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backupFile="1" defaultThemeVersion="124226"/>
  <mc:AlternateContent xmlns:mc="http://schemas.openxmlformats.org/markup-compatibility/2006">
    <mc:Choice Requires="x15">
      <x15ac:absPath xmlns:x15ac="http://schemas.microsoft.com/office/spreadsheetml/2010/11/ac" url="https://rbz2.sharepoint.com/sites/EconomicResearchModellingPolicy/Policy_research/Monthly Review Tables/2026 stats/Website July/"/>
    </mc:Choice>
  </mc:AlternateContent>
  <xr:revisionPtr revIDLastSave="229" documentId="8_{EDBCA7A3-71A8-4717-B6A8-4AB546B092FB}" xr6:coauthVersionLast="47" xr6:coauthVersionMax="47" xr10:uidLastSave="{FCB54237-BB43-45C9-AD78-2316971C943B}"/>
  <bookViews>
    <workbookView xWindow="-120" yWindow="-120" windowWidth="20730" windowHeight="11040" firstSheet="8" activeTab="8" xr2:uid="{00000000-000D-0000-FFFF-FFFF00000000}"/>
  </bookViews>
  <sheets>
    <sheet name="NEW11" sheetId="1" state="hidden" r:id="rId1"/>
    <sheet name="1.1" sheetId="2" state="hidden" r:id="rId2"/>
    <sheet name="1.2" sheetId="3" state="hidden" r:id="rId3"/>
    <sheet name="1.3" sheetId="4" state="hidden" r:id="rId4"/>
    <sheet name="Input Merchant Assets" sheetId="11" state="hidden" r:id="rId5"/>
    <sheet name="Input Merchant Liabilities" sheetId="12" state="hidden" r:id="rId6"/>
    <sheet name="Input POSB Assets" sheetId="13" state="hidden" r:id="rId7"/>
    <sheet name="Input POSB Liabilities" sheetId="14" state="hidden" r:id="rId8"/>
    <sheet name="Table 3 Comm Assets " sheetId="20" r:id="rId9"/>
    <sheet name="Table 7 Merchant Bank Assets" sheetId="24" state="hidden" r:id="rId10"/>
    <sheet name="Table 8 Merchant Liabilities" sheetId="25" state="hidden" r:id="rId11"/>
    <sheet name="Table 9 POSB Assets" sheetId="26" state="hidden" r:id="rId12"/>
    <sheet name="Table 10 POSB Liabilities" sheetId="27" state="hidden" r:id="rId13"/>
    <sheet name="Table 11Combined Com Mer Assets" sheetId="28" state="hidden" r:id="rId14"/>
    <sheet name="Table 12 Combined ComMer Liab" sheetId="29" state="hidden" r:id="rId15"/>
    <sheet name="Table 13 CombBuildPOSB Assets" sheetId="30" state="hidden" r:id="rId16"/>
    <sheet name="Table 14 CombBuildPOSB Liab" sheetId="31" state="hidden" r:id="rId17"/>
    <sheet name="2.1" sheetId="32" state="hidden" r:id="rId18"/>
    <sheet name="2.2" sheetId="33" state="hidden" r:id="rId19"/>
    <sheet name="2.3" sheetId="34" state="hidden" r:id="rId20"/>
    <sheet name="2.4" sheetId="35" state="hidden" r:id="rId21"/>
    <sheet name="2.5" sheetId="36" state="hidden" r:id="rId22"/>
    <sheet name="4.1" sheetId="37" state="hidden" r:id="rId23"/>
    <sheet name="4.2" sheetId="38" state="hidden" r:id="rId24"/>
    <sheet name="4.3" sheetId="39" state="hidden" r:id="rId25"/>
    <sheet name="4.4" sheetId="40" state="hidden" r:id="rId26"/>
    <sheet name="5.1" sheetId="41" state="hidden" r:id="rId27"/>
    <sheet name="6" sheetId="42" state="hidden" r:id="rId28"/>
    <sheet name="5.2" sheetId="43" state="hidden" r:id="rId29"/>
    <sheet name="3.1" sheetId="44" state="hidden" r:id="rId30"/>
    <sheet name="6.1" sheetId="45" state="hidden" r:id="rId31"/>
    <sheet name="6.1-new" sheetId="57" state="hidden" r:id="rId32"/>
    <sheet name="7.1" sheetId="46" state="hidden" r:id="rId33"/>
    <sheet name="7.2" sheetId="47" state="hidden" r:id="rId34"/>
    <sheet name="9.1" sheetId="48" state="hidden" r:id="rId35"/>
    <sheet name="9.2" sheetId="49" state="hidden" r:id="rId36"/>
    <sheet name="13.0" sheetId="50" state="hidden" r:id="rId37"/>
    <sheet name="13.1" sheetId="53" state="hidden" r:id="rId38"/>
    <sheet name="15.2" sheetId="51" state="hidden" r:id="rId39"/>
    <sheet name="180" sheetId="52" state="hidden" r:id="rId40"/>
    <sheet name="13.2" sheetId="54" state="hidden" r:id="rId41"/>
    <sheet name="16" sheetId="55" state="hidden" r:id="rId42"/>
  </sheets>
  <externalReferences>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s>
  <definedNames>
    <definedName name="\A">#REF!</definedName>
    <definedName name="\B">#REF!</definedName>
    <definedName name="\c">#REF!</definedName>
    <definedName name="\D">#REF!</definedName>
    <definedName name="\E">#REF!</definedName>
    <definedName name="\F">#REF!</definedName>
    <definedName name="\G">#REF!</definedName>
    <definedName name="\H">#REF!</definedName>
    <definedName name="\I">#REF!</definedName>
    <definedName name="\J">#REF!</definedName>
    <definedName name="\M">#REF!</definedName>
    <definedName name="\P">#REF!</definedName>
    <definedName name="\S">#REF!</definedName>
    <definedName name="\T">#REF!</definedName>
    <definedName name="\T1">#REF!</definedName>
    <definedName name="\T2">[1]BOP!#REF!</definedName>
    <definedName name="\U">#REF!</definedName>
    <definedName name="\W">#REF!</definedName>
    <definedName name="______________CSR96">#REF!</definedName>
    <definedName name="______________CSR97">#REF!</definedName>
    <definedName name="______________GDP96">#REF!</definedName>
    <definedName name="______________GDP97">#REF!</definedName>
    <definedName name="______________NFA1">'[2]NFA-input'!$A$2:$AP$56</definedName>
    <definedName name="______________TAB1">#REF!</definedName>
    <definedName name="______________TAB32">#REF!</definedName>
    <definedName name="______________TAB34">'[3]Table 60'!#REF!</definedName>
    <definedName name="______________TAB35">'[3]Table 60'!#REF!</definedName>
    <definedName name="______________TAB36">#REF!</definedName>
    <definedName name="______________TAB37">#REF!</definedName>
    <definedName name="______________TAB38">'[3]Table 60'!#REF!</definedName>
    <definedName name="______________TAB39">'[3]Table 60'!#REF!</definedName>
    <definedName name="______________TAB41">#REF!</definedName>
    <definedName name="______________VAT96">#REF!</definedName>
    <definedName name="______________VAT97">#REF!</definedName>
    <definedName name="______________YR0110">'[4]Imp:DSA output'!$O$9:$R$464</definedName>
    <definedName name="______________YR89">'[4]Imp:DSA output'!$C$9:$C$464</definedName>
    <definedName name="______________YR90">'[4]Imp:DSA output'!$D$9:$D$464</definedName>
    <definedName name="______________YR91">'[4]Imp:DSA output'!$E$9:$E$464</definedName>
    <definedName name="______________YR92">'[4]Imp:DSA output'!$F$9:$F$464</definedName>
    <definedName name="______________YR93">'[4]Imp:DSA output'!$G$9:$G$464</definedName>
    <definedName name="______________YR94">'[4]Imp:DSA output'!$H$9:$H$464</definedName>
    <definedName name="______________YR95">'[4]Imp:DSA output'!$I$9:$I$464</definedName>
    <definedName name="_____________CSR96">#REF!</definedName>
    <definedName name="_____________CSR97">#REF!</definedName>
    <definedName name="_____________GDP96">#REF!</definedName>
    <definedName name="_____________GDP97">#REF!</definedName>
    <definedName name="_____________NFA1">'[2]NFA-input'!$A$2:$AP$56</definedName>
    <definedName name="_____________TAB1">#REF!</definedName>
    <definedName name="_____________TAB32">#REF!</definedName>
    <definedName name="_____________TAB34">'[3]Table 60'!#REF!</definedName>
    <definedName name="_____________TAB35">'[3]Table 60'!#REF!</definedName>
    <definedName name="_____________TAB36">#REF!</definedName>
    <definedName name="_____________TAB37">#REF!</definedName>
    <definedName name="_____________TAB38">'[3]Table 60'!#REF!</definedName>
    <definedName name="_____________TAB39">'[3]Table 60'!#REF!</definedName>
    <definedName name="_____________TAB41">#REF!</definedName>
    <definedName name="_____________VAT96">#REF!</definedName>
    <definedName name="_____________VAT97">#REF!</definedName>
    <definedName name="_____________YR0110">'[4]Imp:DSA output'!$O$9:$R$464</definedName>
    <definedName name="_____________YR89">'[4]Imp:DSA output'!$C$9:$C$464</definedName>
    <definedName name="_____________YR90">'[4]Imp:DSA output'!$D$9:$D$464</definedName>
    <definedName name="_____________YR91">'[4]Imp:DSA output'!$E$9:$E$464</definedName>
    <definedName name="_____________YR92">'[4]Imp:DSA output'!$F$9:$F$464</definedName>
    <definedName name="_____________YR93">'[4]Imp:DSA output'!$G$9:$G$464</definedName>
    <definedName name="_____________YR94">'[4]Imp:DSA output'!$H$9:$H$464</definedName>
    <definedName name="_____________YR95">'[4]Imp:DSA output'!$I$9:$I$464</definedName>
    <definedName name="____________CSR96">#REF!</definedName>
    <definedName name="____________CSR97">#REF!</definedName>
    <definedName name="____________GDP96">#REF!</definedName>
    <definedName name="____________GDP97">#REF!</definedName>
    <definedName name="____________NFA1">'[2]NFA-input'!$A$2:$AP$56</definedName>
    <definedName name="____________TAB1">#REF!</definedName>
    <definedName name="____________TAB32">#REF!</definedName>
    <definedName name="____________TAB34">'[3]Table 60'!#REF!</definedName>
    <definedName name="____________TAB35">'[3]Table 60'!#REF!</definedName>
    <definedName name="____________TAB36">#REF!</definedName>
    <definedName name="____________TAB37">#REF!</definedName>
    <definedName name="____________TAB38">'[3]Table 60'!#REF!</definedName>
    <definedName name="____________TAB39">'[3]Table 60'!#REF!</definedName>
    <definedName name="____________TAB41">#REF!</definedName>
    <definedName name="____________VAT96">#REF!</definedName>
    <definedName name="____________VAT97">#REF!</definedName>
    <definedName name="____________YR0110">'[4]Imp:DSA output'!$O$9:$R$464</definedName>
    <definedName name="____________YR89">'[4]Imp:DSA output'!$C$9:$C$464</definedName>
    <definedName name="____________YR90">'[4]Imp:DSA output'!$D$9:$D$464</definedName>
    <definedName name="____________YR91">'[4]Imp:DSA output'!$E$9:$E$464</definedName>
    <definedName name="____________YR92">'[4]Imp:DSA output'!$F$9:$F$464</definedName>
    <definedName name="____________YR93">'[4]Imp:DSA output'!$G$9:$G$464</definedName>
    <definedName name="____________YR94">'[4]Imp:DSA output'!$H$9:$H$464</definedName>
    <definedName name="____________YR95">'[4]Imp:DSA output'!$I$9:$I$464</definedName>
    <definedName name="___________CSR96">#REF!</definedName>
    <definedName name="___________CSR97">#REF!</definedName>
    <definedName name="___________GDP96">#REF!</definedName>
    <definedName name="___________GDP97">#REF!</definedName>
    <definedName name="___________NFA1">'[5]NFA-input'!$A$2:$AP$56</definedName>
    <definedName name="___________TAB1">#REF!</definedName>
    <definedName name="___________TAB32">#REF!</definedName>
    <definedName name="___________TAB34">'[6]Table 60'!#REF!</definedName>
    <definedName name="___________TAB35">'[6]Table 60'!#REF!</definedName>
    <definedName name="___________TAB36">#REF!</definedName>
    <definedName name="___________TAB37">#REF!</definedName>
    <definedName name="___________TAB38">'[6]Table 60'!#REF!</definedName>
    <definedName name="___________TAB39">'[6]Table 60'!#REF!</definedName>
    <definedName name="___________TAB41">#REF!</definedName>
    <definedName name="___________VAT96">#REF!</definedName>
    <definedName name="___________VAT97">#REF!</definedName>
    <definedName name="___________YR0110">'[4]Imp:DSA output'!$O$9:$R$464</definedName>
    <definedName name="___________YR89">'[4]Imp:DSA output'!$C$9:$C$464</definedName>
    <definedName name="___________YR90">'[4]Imp:DSA output'!$D$9:$D$464</definedName>
    <definedName name="___________YR91">'[4]Imp:DSA output'!$E$9:$E$464</definedName>
    <definedName name="___________YR92">'[4]Imp:DSA output'!$F$9:$F$464</definedName>
    <definedName name="___________YR93">'[4]Imp:DSA output'!$G$9:$G$464</definedName>
    <definedName name="___________YR94">'[4]Imp:DSA output'!$H$9:$H$464</definedName>
    <definedName name="___________YR95">'[4]Imp:DSA output'!$I$9:$I$464</definedName>
    <definedName name="__________CSR96">#REF!</definedName>
    <definedName name="__________CSR97">#REF!</definedName>
    <definedName name="__________GDP96">#REF!</definedName>
    <definedName name="__________GDP97">#REF!</definedName>
    <definedName name="__________NFA1">'[2]NFA-input'!$A$2:$AP$56</definedName>
    <definedName name="__________TAB1">#REF!</definedName>
    <definedName name="__________TAB32">#REF!</definedName>
    <definedName name="__________TAB34">'[3]Table 60'!#REF!</definedName>
    <definedName name="__________TAB35">'[3]Table 60'!#REF!</definedName>
    <definedName name="__________TAB36">#REF!</definedName>
    <definedName name="__________TAB37">#REF!</definedName>
    <definedName name="__________TAB38">'[3]Table 60'!#REF!</definedName>
    <definedName name="__________TAB39">'[3]Table 60'!#REF!</definedName>
    <definedName name="__________TAB41">#REF!</definedName>
    <definedName name="__________VAT96">#REF!</definedName>
    <definedName name="__________VAT97">#REF!</definedName>
    <definedName name="__________YR0110">'[4]Imp:DSA output'!$O$9:$R$464</definedName>
    <definedName name="__________YR89">'[4]Imp:DSA output'!$C$9:$C$464</definedName>
    <definedName name="__________YR90">'[4]Imp:DSA output'!$D$9:$D$464</definedName>
    <definedName name="__________YR91">'[4]Imp:DSA output'!$E$9:$E$464</definedName>
    <definedName name="__________YR92">'[4]Imp:DSA output'!$F$9:$F$464</definedName>
    <definedName name="__________YR93">'[4]Imp:DSA output'!$G$9:$G$464</definedName>
    <definedName name="__________YR94">'[4]Imp:DSA output'!$H$9:$H$464</definedName>
    <definedName name="__________YR95">'[4]Imp:DSA output'!$I$9:$I$464</definedName>
    <definedName name="_________CSR96">#REF!</definedName>
    <definedName name="_________CSR97">#REF!</definedName>
    <definedName name="_________GDP96">#REF!</definedName>
    <definedName name="_________GDP97">#REF!</definedName>
    <definedName name="_________NFA1">'[2]NFA-input'!$A$2:$AP$56</definedName>
    <definedName name="_________TAB1">#REF!</definedName>
    <definedName name="_________TAB32">#REF!</definedName>
    <definedName name="_________TAB34">'[3]Table 60'!#REF!</definedName>
    <definedName name="_________TAB35">'[3]Table 60'!#REF!</definedName>
    <definedName name="_________TAB36">#REF!</definedName>
    <definedName name="_________TAB37">#REF!</definedName>
    <definedName name="_________TAB38">'[3]Table 60'!#REF!</definedName>
    <definedName name="_________TAB39">'[3]Table 60'!#REF!</definedName>
    <definedName name="_________TAB41">#REF!</definedName>
    <definedName name="_________VAT96">#REF!</definedName>
    <definedName name="_________VAT97">#REF!</definedName>
    <definedName name="_________YR0110">'[4]Imp:DSA output'!$O$9:$R$464</definedName>
    <definedName name="_________YR89">'[4]Imp:DSA output'!$C$9:$C$464</definedName>
    <definedName name="_________YR90">'[4]Imp:DSA output'!$D$9:$D$464</definedName>
    <definedName name="_________YR91">'[4]Imp:DSA output'!$E$9:$E$464</definedName>
    <definedName name="_________YR92">'[4]Imp:DSA output'!$F$9:$F$464</definedName>
    <definedName name="_________YR93">'[4]Imp:DSA output'!$G$9:$G$464</definedName>
    <definedName name="_________YR94">'[4]Imp:DSA output'!$H$9:$H$464</definedName>
    <definedName name="_________YR95">'[4]Imp:DSA output'!$I$9:$I$464</definedName>
    <definedName name="________CSR96">#REF!</definedName>
    <definedName name="________CSR97">#REF!</definedName>
    <definedName name="________GDP96">#REF!</definedName>
    <definedName name="________GDP97">#REF!</definedName>
    <definedName name="________NFA1">'[2]NFA-input'!$A$2:$AP$56</definedName>
    <definedName name="________TAB1">#REF!</definedName>
    <definedName name="________TAB32">#REF!</definedName>
    <definedName name="________TAB34">'[3]Table 60'!#REF!</definedName>
    <definedName name="________TAB35">'[3]Table 60'!#REF!</definedName>
    <definedName name="________TAB36">#REF!</definedName>
    <definedName name="________TAB37">#REF!</definedName>
    <definedName name="________TAB38">'[3]Table 60'!#REF!</definedName>
    <definedName name="________TAB39">'[3]Table 60'!#REF!</definedName>
    <definedName name="________TAB41">#REF!</definedName>
    <definedName name="________VAT96">#REF!</definedName>
    <definedName name="________VAT97">#REF!</definedName>
    <definedName name="________YR0110">'[4]Imp:DSA output'!$O$9:$R$464</definedName>
    <definedName name="________YR89">'[4]Imp:DSA output'!$C$9:$C$464</definedName>
    <definedName name="________YR90">'[4]Imp:DSA output'!$D$9:$D$464</definedName>
    <definedName name="________YR91">'[4]Imp:DSA output'!$E$9:$E$464</definedName>
    <definedName name="________YR92">'[4]Imp:DSA output'!$F$9:$F$464</definedName>
    <definedName name="________YR93">'[4]Imp:DSA output'!$G$9:$G$464</definedName>
    <definedName name="________YR94">'[4]Imp:DSA output'!$H$9:$H$464</definedName>
    <definedName name="________YR95">'[4]Imp:DSA output'!$I$9:$I$464</definedName>
    <definedName name="_______CSR96">#REF!</definedName>
    <definedName name="_______CSR97">#REF!</definedName>
    <definedName name="_______GDP96">#REF!</definedName>
    <definedName name="_______GDP97">#REF!</definedName>
    <definedName name="_______NFA1">'[2]NFA-input'!$A$2:$AP$56</definedName>
    <definedName name="_______TAB1">#REF!</definedName>
    <definedName name="_______TAB32">#REF!</definedName>
    <definedName name="_______TAB34">'[3]Table 60'!#REF!</definedName>
    <definedName name="_______TAB35">'[3]Table 60'!#REF!</definedName>
    <definedName name="_______TAB36">#REF!</definedName>
    <definedName name="_______TAB37">#REF!</definedName>
    <definedName name="_______TAB38">'[3]Table 60'!#REF!</definedName>
    <definedName name="_______TAB39">'[3]Table 60'!#REF!</definedName>
    <definedName name="_______TAB41">#REF!</definedName>
    <definedName name="_______VAT96">#REF!</definedName>
    <definedName name="_______VAT97">#REF!</definedName>
    <definedName name="_______YR0110">'[4]Imp:DSA output'!$O$9:$R$464</definedName>
    <definedName name="_______YR89">'[4]Imp:DSA output'!$C$9:$C$464</definedName>
    <definedName name="_______YR90">'[4]Imp:DSA output'!$D$9:$D$464</definedName>
    <definedName name="_______YR91">'[4]Imp:DSA output'!$E$9:$E$464</definedName>
    <definedName name="_______YR92">'[4]Imp:DSA output'!$F$9:$F$464</definedName>
    <definedName name="_______YR93">'[4]Imp:DSA output'!$G$9:$G$464</definedName>
    <definedName name="_______YR94">'[4]Imp:DSA output'!$H$9:$H$464</definedName>
    <definedName name="_______YR95">'[4]Imp:DSA output'!$I$9:$I$464</definedName>
    <definedName name="______CSR96">#REF!</definedName>
    <definedName name="______CSR97">#REF!</definedName>
    <definedName name="______GDP96">#REF!</definedName>
    <definedName name="______GDP97">#REF!</definedName>
    <definedName name="______NFA1">'[2]NFA-input'!$A$2:$AP$56</definedName>
    <definedName name="______TAB1">#REF!</definedName>
    <definedName name="______TAB32">#REF!</definedName>
    <definedName name="______TAB34">'[3]Table 60'!#REF!</definedName>
    <definedName name="______TAB35">'[3]Table 60'!#REF!</definedName>
    <definedName name="______TAB36">#REF!</definedName>
    <definedName name="______TAB37">#REF!</definedName>
    <definedName name="______TAB38">'[3]Table 60'!#REF!</definedName>
    <definedName name="______TAB39">'[3]Table 60'!#REF!</definedName>
    <definedName name="______TAB41">#REF!</definedName>
    <definedName name="______VAT96">#REF!</definedName>
    <definedName name="______VAT97">#REF!</definedName>
    <definedName name="______YR0110">'[4]Imp:DSA output'!$O$9:$R$464</definedName>
    <definedName name="______YR89">'[4]Imp:DSA output'!$C$9:$C$464</definedName>
    <definedName name="______YR90">'[4]Imp:DSA output'!$D$9:$D$464</definedName>
    <definedName name="______YR91">'[4]Imp:DSA output'!$E$9:$E$464</definedName>
    <definedName name="______YR92">'[4]Imp:DSA output'!$F$9:$F$464</definedName>
    <definedName name="______YR93">'[4]Imp:DSA output'!$G$9:$G$464</definedName>
    <definedName name="______YR94">'[4]Imp:DSA output'!$H$9:$H$464</definedName>
    <definedName name="______YR95">'[4]Imp:DSA output'!$I$9:$I$464</definedName>
    <definedName name="_____CSR96">#REF!</definedName>
    <definedName name="_____CSR97">#REF!</definedName>
    <definedName name="_____GDP96">#REF!</definedName>
    <definedName name="_____GDP97">#REF!</definedName>
    <definedName name="_____NFA1">'[2]NFA-input'!$A$2:$AP$56</definedName>
    <definedName name="_____TAB1">#REF!</definedName>
    <definedName name="_____TAB32">#REF!</definedName>
    <definedName name="_____TAB34">'[3]Table 60'!#REF!</definedName>
    <definedName name="_____TAB35">'[3]Table 60'!#REF!</definedName>
    <definedName name="_____TAB36">#REF!</definedName>
    <definedName name="_____TAB37">#REF!</definedName>
    <definedName name="_____TAB38">'[3]Table 60'!#REF!</definedName>
    <definedName name="_____TAB39">'[3]Table 60'!#REF!</definedName>
    <definedName name="_____TAB41">#REF!</definedName>
    <definedName name="_____VAT96">#REF!</definedName>
    <definedName name="_____VAT97">#REF!</definedName>
    <definedName name="_____YR0110">'[4]Imp:DSA output'!$O$9:$R$464</definedName>
    <definedName name="_____YR89">'[4]Imp:DSA output'!$C$9:$C$464</definedName>
    <definedName name="_____YR90">'[4]Imp:DSA output'!$D$9:$D$464</definedName>
    <definedName name="_____YR91">'[4]Imp:DSA output'!$E$9:$E$464</definedName>
    <definedName name="_____YR92">'[4]Imp:DSA output'!$F$9:$F$464</definedName>
    <definedName name="_____YR93">'[4]Imp:DSA output'!$G$9:$G$464</definedName>
    <definedName name="_____YR94">'[4]Imp:DSA output'!$H$9:$H$464</definedName>
    <definedName name="_____YR95">'[4]Imp:DSA output'!$I$9:$I$464</definedName>
    <definedName name="____CSR96">#REF!</definedName>
    <definedName name="____CSR97">#REF!</definedName>
    <definedName name="____GDP96">#REF!</definedName>
    <definedName name="____GDP97">#REF!</definedName>
    <definedName name="____NFA1">'[2]NFA-input'!$A$2:$AP$56</definedName>
    <definedName name="____TAB1">#REF!</definedName>
    <definedName name="____TAB32">#REF!</definedName>
    <definedName name="____TAB34">'[3]Table 60'!#REF!</definedName>
    <definedName name="____TAB35">'[3]Table 60'!#REF!</definedName>
    <definedName name="____TAB36">#REF!</definedName>
    <definedName name="____TAB37">#REF!</definedName>
    <definedName name="____TAB38">'[3]Table 60'!#REF!</definedName>
    <definedName name="____TAB39">'[3]Table 60'!#REF!</definedName>
    <definedName name="____TAB41">#REF!</definedName>
    <definedName name="____VAT96">#REF!</definedName>
    <definedName name="____VAT97">#REF!</definedName>
    <definedName name="____YR0110">'[4]Imp:DSA output'!$O$9:$R$464</definedName>
    <definedName name="____YR89">'[4]Imp:DSA output'!$C$9:$C$464</definedName>
    <definedName name="____YR90">'[4]Imp:DSA output'!$D$9:$D$464</definedName>
    <definedName name="____YR91">'[4]Imp:DSA output'!$E$9:$E$464</definedName>
    <definedName name="____YR92">'[4]Imp:DSA output'!$F$9:$F$464</definedName>
    <definedName name="____YR93">'[4]Imp:DSA output'!$G$9:$G$464</definedName>
    <definedName name="____YR94">'[4]Imp:DSA output'!$H$9:$H$464</definedName>
    <definedName name="____YR95">'[4]Imp:DSA output'!$I$9:$I$464</definedName>
    <definedName name="___CSR96">#REF!</definedName>
    <definedName name="___CSR97">#REF!</definedName>
    <definedName name="___GDP96">#REF!</definedName>
    <definedName name="___GDP97">#REF!</definedName>
    <definedName name="___NFA1">'[2]NFA-input'!$A$2:$AP$56</definedName>
    <definedName name="___TAB1">#REF!</definedName>
    <definedName name="___TAB32">#REF!</definedName>
    <definedName name="___TAB34">'[3]Table 60'!#REF!</definedName>
    <definedName name="___TAB35">'[3]Table 60'!#REF!</definedName>
    <definedName name="___TAB36">#REF!</definedName>
    <definedName name="___TAB37">#REF!</definedName>
    <definedName name="___TAB38">'[3]Table 60'!#REF!</definedName>
    <definedName name="___TAB39">'[3]Table 60'!#REF!</definedName>
    <definedName name="___TAB41">#REF!</definedName>
    <definedName name="___VAT96">#REF!</definedName>
    <definedName name="___VAT97">#REF!</definedName>
    <definedName name="___YR0110">'[4]Imp:DSA output'!$O$9:$R$464</definedName>
    <definedName name="___YR89">'[4]Imp:DSA output'!$C$9:$C$464</definedName>
    <definedName name="___YR90">'[4]Imp:DSA output'!$D$9:$D$464</definedName>
    <definedName name="___YR91">'[4]Imp:DSA output'!$E$9:$E$464</definedName>
    <definedName name="___YR92">'[4]Imp:DSA output'!$F$9:$F$464</definedName>
    <definedName name="___YR93">'[4]Imp:DSA output'!$G$9:$G$464</definedName>
    <definedName name="___YR94">'[4]Imp:DSA output'!$H$9:$H$464</definedName>
    <definedName name="___YR95">'[4]Imp:DSA output'!$I$9:$I$464</definedName>
    <definedName name="__10FA_L">#REF!</definedName>
    <definedName name="__11GAZ_LIABS">#REF!</definedName>
    <definedName name="__123Graph_A" hidden="1">[7]E!#REF!</definedName>
    <definedName name="__123Graph_AChart1" hidden="1">'[8]RBZ-former'!$P$5:$P$66</definedName>
    <definedName name="__123Graph_AChart2" hidden="1">'[8]RBZ-former'!$V$5:$V$66</definedName>
    <definedName name="__123Graph_AREER" hidden="1">[9]ER!#REF!</definedName>
    <definedName name="__123Graph_B" hidden="1">[7]E!#REF!</definedName>
    <definedName name="__123Graph_BREER" hidden="1">[9]ER!#REF!</definedName>
    <definedName name="__123Graph_C" hidden="1">[7]E!#REF!</definedName>
    <definedName name="__123Graph_CREER" hidden="1">[9]ER!#REF!</definedName>
    <definedName name="__123Graph_D" hidden="1">[7]E!#REF!</definedName>
    <definedName name="__123Graph_E" hidden="1">[7]E!#REF!</definedName>
    <definedName name="__123Graph_X" hidden="1">[7]E!#REF!</definedName>
    <definedName name="__123Graph_XChart1" hidden="1">'[8]RBZ-former'!$O$5:$O$66</definedName>
    <definedName name="__123Graph_XChart2" hidden="1">'[8]RBZ-former'!$O$5:$O$66</definedName>
    <definedName name="__12INT_RESERVES">#REF!</definedName>
    <definedName name="__1r">#REF!</definedName>
    <definedName name="__2Macros_Import_.qbop">[10]!'[Macros Import].qbop'</definedName>
    <definedName name="__3__123Graph_ACPI_ER_LOG" hidden="1">[9]ER!#REF!</definedName>
    <definedName name="__4__123Graph_BCPI_ER_LOG" hidden="1">[9]ER!#REF!</definedName>
    <definedName name="__5__123Graph_BIBA_IBRD" hidden="1">[9]WB!#REF!</definedName>
    <definedName name="__6B.2_B.3">#REF!</definedName>
    <definedName name="__7B.4___5">#REF!</definedName>
    <definedName name="__8CONSOL_B2">#REF!</definedName>
    <definedName name="__9CONSOL_DEPOSITS">'[11]A 11'!#REF!</definedName>
    <definedName name="__BOP2">[12]BoP!#REF!</definedName>
    <definedName name="__CSR96">#REF!</definedName>
    <definedName name="__CSR97">#REF!</definedName>
    <definedName name="__END94">#REF!</definedName>
    <definedName name="__GDP96">#REF!</definedName>
    <definedName name="__GDP97">#REF!</definedName>
    <definedName name="__NFA1">'[2]NFA-input'!$A$2:$AP$56</definedName>
    <definedName name="__RES2">[12]RES!#REF!</definedName>
    <definedName name="__SUM2">#REF!</definedName>
    <definedName name="__TAB1">#REF!</definedName>
    <definedName name="__Tab11">#REF!</definedName>
    <definedName name="__Tab12">#REF!</definedName>
    <definedName name="__Tab13">#REF!</definedName>
    <definedName name="__Tab14">#REF!</definedName>
    <definedName name="__Tab15">#REF!</definedName>
    <definedName name="__Tab17">#REF!</definedName>
    <definedName name="__Tab18">#REF!</definedName>
    <definedName name="__Tab19">#REF!</definedName>
    <definedName name="__Tab2">#REF!</definedName>
    <definedName name="__Tab20">#REF!</definedName>
    <definedName name="__Tab21">#REF!</definedName>
    <definedName name="__Tab22">#REF!</definedName>
    <definedName name="__Tab23">#REF!</definedName>
    <definedName name="__Tab24">#REF!</definedName>
    <definedName name="__Tab25">#REF!</definedName>
    <definedName name="__Tab26">#REF!</definedName>
    <definedName name="__Tab27">#REF!</definedName>
    <definedName name="__Tab28">#REF!</definedName>
    <definedName name="__Tab29">#REF!</definedName>
    <definedName name="__Tab30">#REF!</definedName>
    <definedName name="__Tab31">#REF!</definedName>
    <definedName name="__Tab32">#REF!</definedName>
    <definedName name="__Tab33">#REF!</definedName>
    <definedName name="__Tab34">#REF!</definedName>
    <definedName name="__Tab35">#REF!</definedName>
    <definedName name="__TAB36">#REF!</definedName>
    <definedName name="__TAB37">#REF!</definedName>
    <definedName name="__TAB38">'[3]Table 60'!#REF!</definedName>
    <definedName name="__TAB39">'[3]Table 60'!#REF!</definedName>
    <definedName name="__Tab4">#REF!</definedName>
    <definedName name="__TAB41">#REF!</definedName>
    <definedName name="__Tab5">#REF!</definedName>
    <definedName name="__Tab6">#REF!</definedName>
    <definedName name="__Tab7">#REF!</definedName>
    <definedName name="__Tab8">#REF!</definedName>
    <definedName name="__Tab9">#REF!</definedName>
    <definedName name="__VAT96">#REF!</definedName>
    <definedName name="__VAT97">#REF!</definedName>
    <definedName name="__WB2">#REF!</definedName>
    <definedName name="__YR0110">'[1]Imp:DSA output'!$O$9:$R$464</definedName>
    <definedName name="__YR89">'[1]Imp:DSA output'!$C$9:$C$464</definedName>
    <definedName name="__YR90">'[1]Imp:DSA output'!$D$9:$D$464</definedName>
    <definedName name="__YR91">'[1]Imp:DSA output'!$E$9:$E$464</definedName>
    <definedName name="__YR92">'[1]Imp:DSA output'!$F$9:$F$464</definedName>
    <definedName name="__YR93">'[1]Imp:DSA output'!$G$9:$G$464</definedName>
    <definedName name="__YR94">'[1]Imp:DSA output'!$H$9:$H$464</definedName>
    <definedName name="__YR95">'[1]Imp:DSA output'!$I$9:$I$464</definedName>
    <definedName name="_10FA_L">#REF!</definedName>
    <definedName name="_11GAZ_LIABS">#REF!</definedName>
    <definedName name="_12INT_RESERVES">#REF!</definedName>
    <definedName name="_1r">#REF!</definedName>
    <definedName name="_2Macros_Import_.qbop">[13]!'[Macros Import].qbop'</definedName>
    <definedName name="_3__123Graph_ACPI_ER_LOG" hidden="1">[9]ER!#REF!</definedName>
    <definedName name="_4__123Graph_BCPI_ER_LOG" hidden="1">[9]ER!#REF!</definedName>
    <definedName name="_5__123Graph_BIBA_IBRD" hidden="1">[9]WB!#REF!</definedName>
    <definedName name="_6B.2_B.3">#REF!</definedName>
    <definedName name="_7B.4___5">#REF!</definedName>
    <definedName name="_8CONSOL_B2">#REF!</definedName>
    <definedName name="_96TAXCHG">#REF!</definedName>
    <definedName name="_9CONSOL_DEPOSITS">'[14]A 11'!#REF!</definedName>
    <definedName name="_BOP2">[15]BoP!#REF!</definedName>
    <definedName name="_CSR96">#REF!</definedName>
    <definedName name="_CSR97">#REF!</definedName>
    <definedName name="_END94">#REF!</definedName>
    <definedName name="_Fill" hidden="1">[16]Assumptions!#REF!</definedName>
    <definedName name="_Fill1" hidden="1">#REF!</definedName>
    <definedName name="_filterd" hidden="1">[17]C!$P$428:$T$428</definedName>
    <definedName name="_GDP96">#REF!</definedName>
    <definedName name="_GDP97">#REF!</definedName>
    <definedName name="_NFA1">'[2]NFA-input'!$A$2:$AP$56</definedName>
    <definedName name="_Order1" hidden="1">0</definedName>
    <definedName name="_Order2" hidden="1">0</definedName>
    <definedName name="_Parse_Out" hidden="1">#REF!</definedName>
    <definedName name="_Regression_Int" hidden="1">1</definedName>
    <definedName name="_Regression_Out" hidden="1">#REF!</definedName>
    <definedName name="_Regression_X" hidden="1">#REF!</definedName>
    <definedName name="_Regression_Y" hidden="1">#REF!</definedName>
    <definedName name="_RES2">[15]RES!#REF!</definedName>
    <definedName name="_Sort" hidden="1">#REF!</definedName>
    <definedName name="_SUM2">#REF!</definedName>
    <definedName name="_TAB1">#REF!</definedName>
    <definedName name="_Tab11">#REF!</definedName>
    <definedName name="_Tab12">#REF!</definedName>
    <definedName name="_Tab13">#REF!</definedName>
    <definedName name="_Tab14">#REF!</definedName>
    <definedName name="_Tab15">#REF!</definedName>
    <definedName name="_Tab17">#REF!</definedName>
    <definedName name="_Tab18">#REF!</definedName>
    <definedName name="_Tab19">#REF!</definedName>
    <definedName name="_Tab2">#REF!</definedName>
    <definedName name="_Tab20">#REF!</definedName>
    <definedName name="_Tab21">#REF!</definedName>
    <definedName name="_Tab22">#REF!</definedName>
    <definedName name="_Tab23">#REF!</definedName>
    <definedName name="_Tab24">#REF!</definedName>
    <definedName name="_Tab25">#REF!</definedName>
    <definedName name="_Tab26">#REF!</definedName>
    <definedName name="_Tab27">#REF!</definedName>
    <definedName name="_Tab28">#REF!</definedName>
    <definedName name="_Tab29">#REF!</definedName>
    <definedName name="_Tab30">#REF!</definedName>
    <definedName name="_Tab31">#REF!</definedName>
    <definedName name="_Tab32">#REF!</definedName>
    <definedName name="_Tab33">#REF!</definedName>
    <definedName name="_Tab34">#REF!</definedName>
    <definedName name="_Tab35">#REF!</definedName>
    <definedName name="_TAB36">#REF!</definedName>
    <definedName name="_TAB37">#REF!</definedName>
    <definedName name="_TAB38">'[3]Table 60'!#REF!</definedName>
    <definedName name="_TAB39">'[3]Table 60'!#REF!</definedName>
    <definedName name="_Tab4">#REF!</definedName>
    <definedName name="_TAB41">#REF!</definedName>
    <definedName name="_Tab5">#REF!</definedName>
    <definedName name="_Tab6">#REF!</definedName>
    <definedName name="_Tab7">#REF!</definedName>
    <definedName name="_Tab8">#REF!</definedName>
    <definedName name="_Tab9">#REF!</definedName>
    <definedName name="_VAT96">#REF!</definedName>
    <definedName name="_VAT97">#REF!</definedName>
    <definedName name="_WB2">#REF!</definedName>
    <definedName name="_YR0110">'[1]Imp:DSA output'!$O$9:$R$464</definedName>
    <definedName name="_YR89">'[1]Imp:DSA output'!$C$9:$C$464</definedName>
    <definedName name="_YR90">'[1]Imp:DSA output'!$D$9:$D$464</definedName>
    <definedName name="_YR91">'[1]Imp:DSA output'!$E$9:$E$464</definedName>
    <definedName name="_YR92">'[1]Imp:DSA output'!$F$9:$F$464</definedName>
    <definedName name="_YR93">'[1]Imp:DSA output'!$G$9:$G$464</definedName>
    <definedName name="_YR94">'[1]Imp:DSA output'!$H$9:$H$464</definedName>
    <definedName name="_YR95">'[1]Imp:DSA output'!$I$9:$I$464</definedName>
    <definedName name="_Z">[1]Imp!#REF!</definedName>
    <definedName name="a" hidden="1">{"CN",#N/A,FALSE,"SEFI"}</definedName>
    <definedName name="aa" hidden="1">{"CN",#N/A,FALSE,"SEFI"}</definedName>
    <definedName name="AAA">#REF!</definedName>
    <definedName name="aaaaaa" hidden="1">{"CN",#N/A,FALSE,"SEFI"}</definedName>
    <definedName name="Accrual">'[18]CODE LIST'!$M$3:$M$497</definedName>
    <definedName name="ACTIVATE">#REF!</definedName>
    <definedName name="Actual_prices_through_December_1999">#REF!</definedName>
    <definedName name="af">#REF!</definedName>
    <definedName name="ALL">'[1]Imp:DSA output'!$C$9:$R$464</definedName>
    <definedName name="AnnualDetail">#REF!</definedName>
    <definedName name="AnnualSRTable">#N/A</definedName>
    <definedName name="as" hidden="1">{"CN",#N/A,FALSE,"SEFI"}</definedName>
    <definedName name="ATable1">#REF!</definedName>
    <definedName name="atrade">[10]!atrade</definedName>
    <definedName name="b">[19]Imp!#REF!</definedName>
    <definedName name="BaseYear">[20]Table1m!$A$4</definedName>
    <definedName name="Batumi_debt">#REF!</definedName>
    <definedName name="bb" hidden="1">{"SR_tbs",#N/A,FALSE,"MGSSEI";"SR_tbs",#N/A,FALSE,"MGSBOX";"SR_tbs",#N/A,FALSE,"MGSOCIND"}</definedName>
    <definedName name="BBB">#REF!</definedName>
    <definedName name="BCA">#N/A</definedName>
    <definedName name="BCA_GDP">#N/A</definedName>
    <definedName name="BCA_NGDP">#REF!</definedName>
    <definedName name="BE">#N/A</definedName>
    <definedName name="BEA">#REF!</definedName>
    <definedName name="BEAI">#N/A</definedName>
    <definedName name="BEAIB">#N/A</definedName>
    <definedName name="BEAIG">#N/A</definedName>
    <definedName name="BEAP">#N/A</definedName>
    <definedName name="BEAPB">#N/A</definedName>
    <definedName name="BEAPG">#N/A</definedName>
    <definedName name="BED">#REF!</definedName>
    <definedName name="BED_6">#REF!</definedName>
    <definedName name="BEO">#REF!</definedName>
    <definedName name="BER">#REF!</definedName>
    <definedName name="BERI">#N/A</definedName>
    <definedName name="BERIB">#N/A</definedName>
    <definedName name="BERIG">#N/A</definedName>
    <definedName name="BERP">#N/A</definedName>
    <definedName name="BERPB">#N/A</definedName>
    <definedName name="BERPG">#N/A</definedName>
    <definedName name="BF">#N/A</definedName>
    <definedName name="BFD">#REF!</definedName>
    <definedName name="BFDA">#REF!</definedName>
    <definedName name="BFDI">#REF!</definedName>
    <definedName name="BFDIL">#REF!</definedName>
    <definedName name="BFL">#N/A</definedName>
    <definedName name="BFL_D">#N/A</definedName>
    <definedName name="BFL_DF">#N/A</definedName>
    <definedName name="BFLB">#N/A</definedName>
    <definedName name="BFLB_D">#N/A</definedName>
    <definedName name="BFLB_DF">#N/A</definedName>
    <definedName name="BFLD_DF">[0]!BFLD_DF</definedName>
    <definedName name="BFLG">#N/A</definedName>
    <definedName name="BFLG_D">#N/A</definedName>
    <definedName name="BFLG_DF">#N/A</definedName>
    <definedName name="BFLRES">'[21]WETA W2003'!#REF!</definedName>
    <definedName name="BFO">#REF!</definedName>
    <definedName name="BFO_S">'[21]WETA W2003'!#REF!</definedName>
    <definedName name="BFOA">#REF!</definedName>
    <definedName name="BFOAG">#REF!</definedName>
    <definedName name="BFOL">#REF!</definedName>
    <definedName name="BFOL_B">#REF!</definedName>
    <definedName name="BFOL_G">#REF!</definedName>
    <definedName name="BFOL_L">#REF!</definedName>
    <definedName name="BFOL_O">#REF!</definedName>
    <definedName name="BFOL_S">#REF!</definedName>
    <definedName name="BFOLB">#REF!</definedName>
    <definedName name="BFOLG_L">#REF!</definedName>
    <definedName name="BFP">#REF!</definedName>
    <definedName name="BFPA">#REF!</definedName>
    <definedName name="BFPAG">#REF!</definedName>
    <definedName name="BFPL">#REF!</definedName>
    <definedName name="BFPLBN">#REF!</definedName>
    <definedName name="BFPLD">#REF!</definedName>
    <definedName name="BFPLD_G">#REF!</definedName>
    <definedName name="BFPLE">#REF!</definedName>
    <definedName name="BFPLE_G">#REF!</definedName>
    <definedName name="BFPLMM">#REF!</definedName>
    <definedName name="BFRA">#N/A</definedName>
    <definedName name="BFUND">#REF!</definedName>
    <definedName name="BGS">#REF!</definedName>
    <definedName name="BI">#N/A</definedName>
    <definedName name="BIGBUD">#REF!</definedName>
    <definedName name="BiH....Stock_of_External_Debt__Before_Debt_Relief___1997_2005_1__2">#REF!</definedName>
    <definedName name="BIP">#REF!</definedName>
    <definedName name="BK">#N/A</definedName>
    <definedName name="BKF">#N/A</definedName>
    <definedName name="BKFA">#REF!</definedName>
    <definedName name="BKO">#REF!</definedName>
    <definedName name="BM">#REF!</definedName>
    <definedName name="BMG">[22]Q6!$E$28:$AH$28</definedName>
    <definedName name="BMII">#N/A</definedName>
    <definedName name="BMII_7">#REF!</definedName>
    <definedName name="BMIIB">#N/A</definedName>
    <definedName name="BMIIG">#N/A</definedName>
    <definedName name="BMS">#REF!</definedName>
    <definedName name="BOP">#N/A</definedName>
    <definedName name="BOPINDIC">#REF!</definedName>
    <definedName name="BOPSUM">#REF!</definedName>
    <definedName name="BOPUSD">#REF!</definedName>
    <definedName name="BRASS">#REF!</definedName>
    <definedName name="BRASS_1">#REF!</definedName>
    <definedName name="BRASS_6">#REF!</definedName>
    <definedName name="BTR">#REF!</definedName>
    <definedName name="BTRG">#REF!</definedName>
    <definedName name="BUControlSheet_CurrencySelections">[23]Control!$A$19:$A$20</definedName>
    <definedName name="BUControlSheet_FormulaSelections">[23]Control!$A$16:$A$17</definedName>
    <definedName name="BUControlSheet_RevisionSelections">[23]Control!$A$21:$A$22</definedName>
    <definedName name="BUControlSheet_ScaleSelections">[23]Control!$J$35:$J$36</definedName>
    <definedName name="BUDGET">#REF!</definedName>
    <definedName name="BUnits">#REF!</definedName>
    <definedName name="BX">#REF!</definedName>
    <definedName name="BXG">[22]Q6!$E$26:$AH$26</definedName>
    <definedName name="BXS">#REF!</definedName>
    <definedName name="C.2">#REF!</definedName>
    <definedName name="calcNGS_NGDP">#N/A</definedName>
    <definedName name="Cash">'[18]CODE LIST'!$O$3:$O$497</definedName>
    <definedName name="CBK">'[2]CBK-input'!$A$1:$AQ$87</definedName>
    <definedName name="cc" hidden="1">{"CN",#N/A,FALSE,"SEFI"}</definedName>
    <definedName name="CCC">#REF!</definedName>
    <definedName name="CCODE">#REF!</definedName>
    <definedName name="cgshare">#REF!</definedName>
    <definedName name="CHK5.1">#REF!</definedName>
    <definedName name="cirr">#REF!</definedName>
    <definedName name="CONSOL">#REF!</definedName>
    <definedName name="CONSOLC2">#REF!</definedName>
    <definedName name="Coordinator_List">[24]Control!$J$20:$J$21</definedName>
    <definedName name="copystart">#REF!</definedName>
    <definedName name="Copytodebt">'[1]in-out'!#REF!</definedName>
    <definedName name="COUNT">#REF!</definedName>
    <definedName name="COUNTER">#REF!</definedName>
    <definedName name="Countries">#REF!</definedName>
    <definedName name="Country">[25]Control!$C$1</definedName>
    <definedName name="Country_list">[26]CPIA!$A$7:$A$81</definedName>
    <definedName name="CountryName">[20]Table1m!$A$6</definedName>
    <definedName name="Coverage">'[18]CODE LIST'!$E$512:$E$520</definedName>
    <definedName name="CPF">#REF!</definedName>
    <definedName name="CPI">#REF!</definedName>
    <definedName name="CPI_Core">#REF!</definedName>
    <definedName name="CPI_NAT_monthly">#REF!</definedName>
    <definedName name="CSIDATES">[27]WEO!#REF!</definedName>
    <definedName name="CSR97b">#REF!</definedName>
    <definedName name="ctyList">#REF!</definedName>
    <definedName name="CUMBUD">#REF!</definedName>
    <definedName name="CUMPROG">#REF!</definedName>
    <definedName name="Currency_Def">[24]Control!$BA$330:$BA$487</definedName>
    <definedName name="Currency_List">'[26]GE Calculation'!$B$41:$B$52</definedName>
    <definedName name="CurrVintage">'[28]A Current Data'!$D$60</definedName>
    <definedName name="cuth" hidden="1">{"SR_tbs",#N/A,FALSE,"MGSSEI";"SR_tbs",#N/A,FALSE,"MGSBOX";"SR_tbs",#N/A,FALSE,"MGSOCIND"}</definedName>
    <definedName name="d">#REF!</definedName>
    <definedName name="D_B">#REF!</definedName>
    <definedName name="D_G">#REF!</definedName>
    <definedName name="D_Ind">#REF!</definedName>
    <definedName name="D_L">#REF!</definedName>
    <definedName name="D_O">#REF!</definedName>
    <definedName name="D_S">#REF!</definedName>
    <definedName name="D_SRM">#REF!</definedName>
    <definedName name="D_SY">#REF!</definedName>
    <definedName name="da">#REF!</definedName>
    <definedName name="DABproj">#N/A</definedName>
    <definedName name="DAGproj">#N/A</definedName>
    <definedName name="DAproj">#N/A</definedName>
    <definedName name="DASD">#N/A</definedName>
    <definedName name="DASDB">#N/A</definedName>
    <definedName name="DASDG">#N/A</definedName>
    <definedName name="data">#REF!</definedName>
    <definedName name="_xlnm.Database">#REF!</definedName>
    <definedName name="date">#REF!</definedName>
    <definedName name="DATES">#REF!</definedName>
    <definedName name="Dates1">#REF!</definedName>
    <definedName name="DATEWEO">#REF!</definedName>
    <definedName name="DB">#REF!</definedName>
    <definedName name="DBA">'[21]WETA W2003'!#REF!</definedName>
    <definedName name="DBI">'[21]WETA W2003'!#REF!</definedName>
    <definedName name="DBproj">#N/A</definedName>
    <definedName name="DEBRIEF">#REF!</definedName>
    <definedName name="DEBT">#REF!</definedName>
    <definedName name="DebtCG">'[29]Fis-Debt (cy)'!#REF!</definedName>
    <definedName name="DEFL">#REF!</definedName>
    <definedName name="dem">#REF!</definedName>
    <definedName name="Department">[20]Table1m!$B$2</definedName>
    <definedName name="DG">#REF!</definedName>
    <definedName name="DG_S">#REF!</definedName>
    <definedName name="DGproj">#N/A</definedName>
    <definedName name="Discount_IDA">[30]NPV!$B$28</definedName>
    <definedName name="Discount_NC">[30]NPV!#REF!</definedName>
    <definedName name="Discount_Rate_GE">#REF!</definedName>
    <definedName name="DiscountRate">#REF!</definedName>
    <definedName name="DMU">'[21]WETA W2003'!#REF!</definedName>
    <definedName name="DO">#REF!</definedName>
    <definedName name="documentation">#REF!</definedName>
    <definedName name="Dproj">#N/A</definedName>
    <definedName name="DS">#REF!</definedName>
    <definedName name="DSA_Assumptions">#REF!</definedName>
    <definedName name="DSD">#N/A</definedName>
    <definedName name="DSD_S">#N/A</definedName>
    <definedName name="DSDB">#N/A</definedName>
    <definedName name="DSDG">#N/A</definedName>
    <definedName name="DSI">#REF!</definedName>
    <definedName name="DSIBproj">#N/A</definedName>
    <definedName name="DSIGproj">#N/A</definedName>
    <definedName name="DSIproj">#N/A</definedName>
    <definedName name="DSISD">#N/A</definedName>
    <definedName name="DSISDB">#N/A</definedName>
    <definedName name="DSISDG">#N/A</definedName>
    <definedName name="DSP">#REF!</definedName>
    <definedName name="DSPBproj">#N/A</definedName>
    <definedName name="DSPG">#REF!</definedName>
    <definedName name="DSPGproj">#N/A</definedName>
    <definedName name="DSPproj">#N/A</definedName>
    <definedName name="DSPSD">#N/A</definedName>
    <definedName name="DSPSDB">#N/A</definedName>
    <definedName name="DSPSDG">#N/A</definedName>
    <definedName name="e" hidden="1">{"Main Economic Indicators",#N/A,FALSE,"C"}</definedName>
    <definedName name="EBRD">#REF!</definedName>
    <definedName name="EC">#REF!</definedName>
    <definedName name="ed">'[19]Imp:DSA output'!$I$9:$I$464</definedName>
    <definedName name="EDNA">#N/A</definedName>
    <definedName name="EDSSDESCRIPTOR">#REF!</definedName>
    <definedName name="EDSSFILE">#REF!</definedName>
    <definedName name="EDSSNAME">#REF!</definedName>
    <definedName name="EDSSTABLES">#REF!</definedName>
    <definedName name="EDSSTIME">#REF!</definedName>
    <definedName name="ee" hidden="1">{"CN",#N/A,FALSE,"SEFI"}</definedName>
    <definedName name="EISCODE">#REF!</definedName>
    <definedName name="empty">#REF!</definedName>
    <definedName name="ENDA">#N/A</definedName>
    <definedName name="er" hidden="1">{"Main Economic Indicators",#N/A,FALSE,"C"}</definedName>
    <definedName name="ergf" hidden="1">{"Main Economic Indicators",#N/A,FALSE,"C"}</definedName>
    <definedName name="ergferger" hidden="1">{"Main Economic Indicators",#N/A,FALSE,"C"}</definedName>
    <definedName name="es">'[19]Imp:DSA output'!$B$9:$F$464</definedName>
    <definedName name="ESAF_QUAR_GDP">#REF!</definedName>
    <definedName name="esafr">#REF!</definedName>
    <definedName name="eurocirr">#REF!</definedName>
    <definedName name="EUROi">#REF!</definedName>
    <definedName name="eurorepay">#REF!</definedName>
    <definedName name="exchr">#REF!</definedName>
    <definedName name="Excise96">#REF!</definedName>
    <definedName name="Excise97">#REF!</definedName>
    <definedName name="Excise97b">#REF!</definedName>
    <definedName name="ExitWRS">[31]Main!$AB$25</definedName>
    <definedName name="EXP">#REF!</definedName>
    <definedName name="ff">[32]BOP!#REF!</definedName>
    <definedName name="Fisc">#REF!</definedName>
    <definedName name="Fiscal">#REF!</definedName>
    <definedName name="FMB">'[21]WETA W2003'!#REF!</definedName>
    <definedName name="fr">'[19]Imp:DSA output'!$S$9:$IG$464</definedName>
    <definedName name="FRAMENO">#REF!</definedName>
    <definedName name="framework_macro">#REF!</definedName>
    <definedName name="framework_macro_new">#REF!</definedName>
    <definedName name="framework_monetary">#REF!</definedName>
    <definedName name="FRAMEYES">#REF!</definedName>
    <definedName name="FULL">[2]Survey!$A$1:$BQ$151</definedName>
    <definedName name="GAP">#REF!</definedName>
    <definedName name="GAPFGFROM">#REF!</definedName>
    <definedName name="GAPFGTO">#REF!</definedName>
    <definedName name="GAPSTFROM">#REF!</definedName>
    <definedName name="GAPSTTO">#REF!</definedName>
    <definedName name="GAPTEST">#REF!</definedName>
    <definedName name="GAPTESTFG">#REF!</definedName>
    <definedName name="GAZZETTE">#REF!</definedName>
    <definedName name="GCB_NGDP">#N/A</definedName>
    <definedName name="GCEEP">'[21]WETA W2003'!#REF!</definedName>
    <definedName name="GCEHP">'[21]WETA W2003'!#REF!</definedName>
    <definedName name="GCENL">[27]WEO!#REF!</definedName>
    <definedName name="GCG">'[21]WETA W2003'!#REF!</definedName>
    <definedName name="GCGC">'[21]WETA W2003'!#REF!</definedName>
    <definedName name="GCRG">[27]WEO!#REF!</definedName>
    <definedName name="GGB_NGDP">#N/A</definedName>
    <definedName name="GGENL">[27]WEO!#REF!</definedName>
    <definedName name="GGRG">[27]WEO!#REF!</definedName>
    <definedName name="govt">#REF!</definedName>
    <definedName name="GOZREV">#REF!</definedName>
    <definedName name="Grace_IDA">[30]NPV!$B$25</definedName>
    <definedName name="Grace_NC">[30]NPV!#REF!</definedName>
    <definedName name="HEADING">#REF!</definedName>
    <definedName name="hhhhhh">#REF!</definedName>
    <definedName name="hn">'[19]Imp:DSA output'!$H$9:$H$464</definedName>
    <definedName name="IDAi">#REF!</definedName>
    <definedName name="IDAr">#REF!</definedName>
    <definedName name="IFSASSETS">#REF!</definedName>
    <definedName name="IFSLIABS">#REF!</definedName>
    <definedName name="IM">#REF!</definedName>
    <definedName name="IMF">#REF!</definedName>
    <definedName name="IMFi">#REF!</definedName>
    <definedName name="ImpDuty96">#REF!</definedName>
    <definedName name="ImpDuty97">#REF!</definedName>
    <definedName name="ImpDuty97b">#REF!</definedName>
    <definedName name="Import96">#REF!</definedName>
    <definedName name="Import97">#REF!</definedName>
    <definedName name="IN">'[33]INPUT-A'!#REF!</definedName>
    <definedName name="IncTax96">#REF!</definedName>
    <definedName name="IncTax97">#REF!</definedName>
    <definedName name="IncTax97b">#REF!</definedName>
    <definedName name="INPUT_2">[12]Input!#REF!</definedName>
    <definedName name="INPUT_4">[12]Input!#REF!</definedName>
    <definedName name="Interesrateassumption">#REF!</definedName>
    <definedName name="INTEREST">#REF!</definedName>
    <definedName name="Interest_IDA">[30]NPV!$B$27</definedName>
    <definedName name="Interest_NC">[30]NPV!#REF!</definedName>
    <definedName name="InterestRate">#REF!</definedName>
    <definedName name="INV">#REF!</definedName>
    <definedName name="InvInc96">#REF!</definedName>
    <definedName name="InvInc97">#REF!</definedName>
    <definedName name="InvInc97b">#REF!</definedName>
    <definedName name="jj" hidden="1">{"SR_tbs",#N/A,FALSE,"MGSSEI";"SR_tbs",#N/A,FALSE,"MGSBOX";"SR_tbs",#N/A,FALSE,"MGSOCIND"}</definedName>
    <definedName name="LINES">#REF!</definedName>
    <definedName name="lllll" hidden="1">{"CN",#N/A,FALSE,"SEFI"}</definedName>
    <definedName name="LTcirr">#REF!</definedName>
    <definedName name="LTr">#REF!</definedName>
    <definedName name="LUR">#N/A</definedName>
    <definedName name="m">'[19]Imp:DSA output'!$G$9:$G$464</definedName>
    <definedName name="M_indices">#REF!</definedName>
    <definedName name="MACRO">#REF!</definedName>
    <definedName name="MACRO_ASSUMP_2006">#REF!</definedName>
    <definedName name="Maturity_IDA">[30]NPV!$B$26</definedName>
    <definedName name="Maturity_NC">[30]NPV!#REF!</definedName>
    <definedName name="MCV">#N/A</definedName>
    <definedName name="MCV_B">#N/A</definedName>
    <definedName name="MCV_B1">#REF!</definedName>
    <definedName name="MCV_D">#N/A</definedName>
    <definedName name="MCV_D1">#REF!</definedName>
    <definedName name="MCV_N">#N/A</definedName>
    <definedName name="MCV_T">#N/A</definedName>
    <definedName name="MCV_T1">#REF!</definedName>
    <definedName name="MEDBUD">#REF!</definedName>
    <definedName name="MEDBUDCAL">#REF!</definedName>
    <definedName name="MEDBUDGDP">#REF!</definedName>
    <definedName name="MEDDODE">#REF!</definedName>
    <definedName name="MEDEXASS">#REF!</definedName>
    <definedName name="MEDFOFI">#REF!</definedName>
    <definedName name="MEDINPUT">#REF!</definedName>
    <definedName name="MEDREVASS">#REF!</definedName>
    <definedName name="mflowsa">[10]!mflowsa</definedName>
    <definedName name="mflowsq">[10]!mflowsq</definedName>
    <definedName name="MICROM">[27]WEO!#REF!</definedName>
    <definedName name="MIDDLE">#REF!</definedName>
    <definedName name="Mindices">#REF!</definedName>
    <definedName name="MISC4">[12]OUTPUT!#REF!</definedName>
    <definedName name="mmm" hidden="1">{"Main Economic Indicators",#N/A,FALSE,"C"}</definedName>
    <definedName name="MonthlyDetail">#REF!</definedName>
    <definedName name="MonthlySRTable">#REF!</definedName>
    <definedName name="mstocksa">[10]!mstocksa</definedName>
    <definedName name="mstocksq">[10]!mstocksq</definedName>
    <definedName name="n">#REF!</definedName>
    <definedName name="NAinp">#REF!</definedName>
    <definedName name="namebop">#REF!</definedName>
    <definedName name="NAMES">#REF!</definedName>
    <definedName name="NAMEWEO">#REF!</definedName>
    <definedName name="NCG">#N/A</definedName>
    <definedName name="NCG_R">#N/A</definedName>
    <definedName name="NCP">#N/A</definedName>
    <definedName name="NCP_R">#N/A</definedName>
    <definedName name="NetIssDev96">#REF!</definedName>
    <definedName name="NetIssDev97">#REF!</definedName>
    <definedName name="NetIssDev97b">#REF!</definedName>
    <definedName name="NetIssRecOther96">#REF!</definedName>
    <definedName name="NetIssRecOther97">#REF!</definedName>
    <definedName name="NetIssRecOther97b">#REF!</definedName>
    <definedName name="NEWSHEET">#REF!</definedName>
    <definedName name="NFI">#N/A</definedName>
    <definedName name="NFI_R">#N/A</definedName>
    <definedName name="NFIP">'[21]WETA W2003'!#REF!</definedName>
    <definedName name="NGDP">#N/A</definedName>
    <definedName name="NGDP_DG">#N/A</definedName>
    <definedName name="NGDP_R">#N/A</definedName>
    <definedName name="NGDP_RG">#N/A</definedName>
    <definedName name="NGS">[27]WEO!#REF!</definedName>
    <definedName name="NGS_NGDP">#N/A</definedName>
    <definedName name="NINV">#N/A</definedName>
    <definedName name="NINV_R">#N/A</definedName>
    <definedName name="NM">#N/A</definedName>
    <definedName name="NM_R">#N/A</definedName>
    <definedName name="NMG">'[21]WETA W2003'!#REF!</definedName>
    <definedName name="NMG_R">'[21]WETA W2003'!#REF!</definedName>
    <definedName name="NMG_RG">#N/A</definedName>
    <definedName name="nn" hidden="1">{"CN",#N/A,FALSE,"SEFI"}</definedName>
    <definedName name="NNAMES">'[21]WETA W2003'!#REF!</definedName>
    <definedName name="nnn" hidden="1">{"Main Economic Indicators",#N/A,FALSE,"C"}</definedName>
    <definedName name="Notes">[34]UPLOAD!#REF!</definedName>
    <definedName name="NOTITLES">#REF!</definedName>
    <definedName name="NTDD_RG">[0]!NTDD_RG</definedName>
    <definedName name="NX">#N/A</definedName>
    <definedName name="NX_R">#N/A</definedName>
    <definedName name="NXG">'[21]WETA W2003'!#REF!</definedName>
    <definedName name="NXG_R">'[21]WETA W2003'!#REF!</definedName>
    <definedName name="NXG_RG">#N/A</definedName>
    <definedName name="OECD_Table">#REF!</definedName>
    <definedName name="ooo" hidden="1">{"Main Economic Indicators",#N/A,FALSE,"C"}</definedName>
    <definedName name="op">'[19]Imp:DSA output'!$O$9:$R$464</definedName>
    <definedName name="OtherRev96">#REF!</definedName>
    <definedName name="OtherRev97">#REF!</definedName>
    <definedName name="OtherRev97b">#REF!</definedName>
    <definedName name="Paym_Cap">#REF!</definedName>
    <definedName name="pchBM">#REF!</definedName>
    <definedName name="pchBMG">#REF!</definedName>
    <definedName name="pchBX">#REF!</definedName>
    <definedName name="pchBXG">#REF!</definedName>
    <definedName name="PCPI">#REF!</definedName>
    <definedName name="PCPIG">#N/A</definedName>
    <definedName name="Pensions96">#REF!</definedName>
    <definedName name="Pensions97">#REF!</definedName>
    <definedName name="Pensions97b">#REF!</definedName>
    <definedName name="PFP">#REF!</definedName>
    <definedName name="pfp_table1">#REF!</definedName>
    <definedName name="Pilot2">#REF!</definedName>
    <definedName name="ppp" hidden="1">{"Main Economic Indicators",#N/A,FALSE,"C"}</definedName>
    <definedName name="PPPWGT">#N/A</definedName>
    <definedName name="PRICE">#REF!</definedName>
    <definedName name="PRICETAB">#REF!</definedName>
    <definedName name="print">#REF!</definedName>
    <definedName name="_xlnm.Print_Area" localSheetId="1">'1.1'!$A$2:$M$412</definedName>
    <definedName name="_xlnm.Print_Area" localSheetId="2">'1.2'!$B$2:$N$408</definedName>
    <definedName name="_xlnm.Print_Area" localSheetId="3">'1.3'!$A$2:$N$411</definedName>
    <definedName name="_xlnm.Print_Area" localSheetId="36">'13.0'!$A$1:$H$61</definedName>
    <definedName name="_xlnm.Print_Area" localSheetId="37">'13.1'!$B$1:$H$44</definedName>
    <definedName name="_xlnm.Print_Area" localSheetId="38">'15.2'!$A$1:$L$206</definedName>
    <definedName name="_xlnm.Print_Area" localSheetId="39">'180'!$A$1:$K$198</definedName>
    <definedName name="_xlnm.Print_Area" localSheetId="17">'2.1'!$B$91:$O$92</definedName>
    <definedName name="_xlnm.Print_Area" localSheetId="19">'2.3'!$A$1:$O$14</definedName>
    <definedName name="_xlnm.Print_Area" localSheetId="21">'2.5'!$C$1:$Q$13</definedName>
    <definedName name="_xlnm.Print_Area" localSheetId="29">'3.1'!$A$1:$O$2</definedName>
    <definedName name="_xlnm.Print_Area" localSheetId="22">'4.1'!$A$1:$C$173</definedName>
    <definedName name="_xlnm.Print_Area" localSheetId="23">'4.2'!$C$8:$E$64</definedName>
    <definedName name="_xlnm.Print_Area" localSheetId="24">'4.3'!$A$1:$H$323</definedName>
    <definedName name="_xlnm.Print_Area" localSheetId="26">'5.1'!#REF!</definedName>
    <definedName name="_xlnm.Print_Area" localSheetId="28">'5.2'!#REF!</definedName>
    <definedName name="_xlnm.Print_Area" localSheetId="27">'6'!$C$1:$M$186</definedName>
    <definedName name="_xlnm.Print_Area" localSheetId="30">'6.1'!$C$1:$I$61</definedName>
    <definedName name="_xlnm.Print_Area" localSheetId="31">'6.1-new'!$D$1:$K$61</definedName>
    <definedName name="_xlnm.Print_Area" localSheetId="32">'7.1'!$A$1:$M$511</definedName>
    <definedName name="_xlnm.Print_Area" localSheetId="33">'7.2'!$A$1:$M$325</definedName>
    <definedName name="_xlnm.Print_Area" localSheetId="34">'9.1'!$A$2:$N$350</definedName>
    <definedName name="_xlnm.Print_Area" localSheetId="35">'9.2'!$A$1:$M$183</definedName>
    <definedName name="_xlnm.Print_Area" localSheetId="0">'NEW11'!$A$1:$BE$58</definedName>
    <definedName name="_xlnm.Print_Area" localSheetId="12">'Table 10 POSB Liabilities'!$C$1:$S$45</definedName>
    <definedName name="_xlnm.Print_Area" localSheetId="13">'Table 11Combined Com Mer Assets'!$A$1:$V$36</definedName>
    <definedName name="_xlnm.Print_Area" localSheetId="14">'Table 12 Combined ComMer Liab'!$C$1:$U$44</definedName>
    <definedName name="_xlnm.Print_Area" localSheetId="15">'Table 13 CombBuildPOSB Assets'!$A$1:$S$36</definedName>
    <definedName name="_xlnm.Print_Area" localSheetId="16">'Table 14 CombBuildPOSB Liab'!$C$1:$S$44</definedName>
    <definedName name="_xlnm.Print_Area" localSheetId="8">'Table 3 Comm Assets '!$A$1:$X$36</definedName>
    <definedName name="_xlnm.Print_Area" localSheetId="9">'Table 7 Merchant Bank Assets'!$A$1:$U$36</definedName>
    <definedName name="_xlnm.Print_Area" localSheetId="10">'Table 8 Merchant Liabilities'!$C$1:$U$44</definedName>
    <definedName name="_xlnm.Print_Area" localSheetId="11">'Table 9 POSB Assets'!$A$1:$V$36</definedName>
    <definedName name="_xlnm.Print_Area">#REF!</definedName>
    <definedName name="Print_Area_MI">#REF!</definedName>
    <definedName name="_xlnm.Print_Titles" localSheetId="1">'1.1'!$C:$C,'1.1'!$2:$13</definedName>
    <definedName name="_xlnm.Print_Titles" localSheetId="2">'1.2'!$B:$B,'1.2'!$2:$13</definedName>
    <definedName name="_xlnm.Print_Titles" localSheetId="3">'1.3'!$B:$B,'1.3'!$2:$13</definedName>
    <definedName name="_xlnm.Print_Titles">#REF!,#REF!</definedName>
    <definedName name="PRINTMACRO">#REF!</definedName>
    <definedName name="PrintThis_Links">[31]Links!$A$1:$F$33</definedName>
    <definedName name="PRMONTH">#REF!</definedName>
    <definedName name="prn">[30]FSUOUT!$B$2:$V$32</definedName>
    <definedName name="Prog1998">'[35]2003'!#REF!</definedName>
    <definedName name="ProjExp">#REF!</definedName>
    <definedName name="ProjExpP">#REF!</definedName>
    <definedName name="ProjRev">#REF!</definedName>
    <definedName name="ProjRevP">#REF!</definedName>
    <definedName name="PRT">#REF!</definedName>
    <definedName name="prueba" hidden="1">{"CN",#N/A,FALSE,"SEFI"}</definedName>
    <definedName name="PRYEAR">#REF!</definedName>
    <definedName name="q">'[19]Imp:DSA output'!$M$9:$IH$9</definedName>
    <definedName name="Q_5">#REF!</definedName>
    <definedName name="Q_6">#REF!</definedName>
    <definedName name="Q_7">#REF!</definedName>
    <definedName name="Q_indices">#REF!</definedName>
    <definedName name="QFISCAL">'[36]Quarterly Raw Data'!#REF!</definedName>
    <definedName name="qq" hidden="1">{"Main Economic Indicators",#N/A,FALSE,"C"}</definedName>
    <definedName name="qqq" hidden="1">{#N/A,#N/A,FALSE,"EXTRABUDGT"}</definedName>
    <definedName name="QTAB7">'[36]Quarterly MacroFlow'!#REF!</definedName>
    <definedName name="QTAB7A">'[36]Quarterly MacroFlow'!#REF!</definedName>
    <definedName name="Range_DownloadMonth">[23]Control!$C$2</definedName>
    <definedName name="Range_DownloadQuarter">[23]Control!$C$3</definedName>
    <definedName name="Range_DSTNotes">#REF!</definedName>
    <definedName name="Range_InValidResultsStart">#REF!</definedName>
    <definedName name="Range_NumberofFailuresStart">#REF!</definedName>
    <definedName name="Range_ValidationResultsStart">#REF!</definedName>
    <definedName name="Range_ValidationRulesStart">#REF!</definedName>
    <definedName name="rangename">#REF!</definedName>
    <definedName name="RateCons">#REF!</definedName>
    <definedName name="RateGDP">#REF!</definedName>
    <definedName name="RateGDPNom">#REF!</definedName>
    <definedName name="RateImp">#REF!</definedName>
    <definedName name="RateInfl">#REF!</definedName>
    <definedName name="RatePublicWage">#REF!</definedName>
    <definedName name="re">[19]BOP!#REF!</definedName>
    <definedName name="RED_BOP">#REF!</definedName>
    <definedName name="red_cpi">#REF!</definedName>
    <definedName name="RED_D">#REF!</definedName>
    <definedName name="RED_DS">#REF!</definedName>
    <definedName name="red_gdp_exp">#REF!</definedName>
    <definedName name="red_govt_empl">#REF!</definedName>
    <definedName name="RED_NATCPI">#REF!</definedName>
    <definedName name="RED_TBCPI">#REF!</definedName>
    <definedName name="RED_TRD">#REF!</definedName>
    <definedName name="REGISTERALL">#REF!</definedName>
    <definedName name="Reporting_Country">[24]Control!$C$1</definedName>
    <definedName name="Reporting_CountryCode">[23]Control!$B$28</definedName>
    <definedName name="Reporting_Currency">[24]Control!$C$5</definedName>
    <definedName name="Reporting_Frequency">[24]Control!$C$8</definedName>
    <definedName name="RESERVE">'[37]RBZ-former'!$O$2:$V$66</definedName>
    <definedName name="REV">#REF!</definedName>
    <definedName name="RgFdPartCsource">#REF!</definedName>
    <definedName name="RgFdPartEseries">#REF!</definedName>
    <definedName name="RgFdPartEsource">#REF!</definedName>
    <definedName name="RgFdReptCSeries">#REF!</definedName>
    <definedName name="RgFdReptCsource">#REF!</definedName>
    <definedName name="RgFdReptEseries">#REF!</definedName>
    <definedName name="RgFdReptEsource">#REF!</definedName>
    <definedName name="RgFdSAMethod">#REF!</definedName>
    <definedName name="RgFdTbBper">#REF!</definedName>
    <definedName name="RgFdTbCreate">#REF!</definedName>
    <definedName name="RgFdTbEper">#REF!</definedName>
    <definedName name="RGFdTbFoot">#REF!</definedName>
    <definedName name="RgFdTbFreq">#REF!</definedName>
    <definedName name="RgFdTbFreqVal">#REF!</definedName>
    <definedName name="RgFdTbSendto">#REF!</definedName>
    <definedName name="RgFdWgtMethod">#REF!</definedName>
    <definedName name="right">#REF!</definedName>
    <definedName name="rindex">#REF!</definedName>
    <definedName name="rngErrorSort">[31]ErrCheck!$A$4</definedName>
    <definedName name="rngLastSave">[31]Main!$G$19</definedName>
    <definedName name="rngLastSent">[31]Main!$G$18</definedName>
    <definedName name="rngLastUpdate">[31]Links!$D$2</definedName>
    <definedName name="rngNeedsUpdate">[31]Links!$E$2</definedName>
    <definedName name="rngQuestChecked">[31]ErrCheck!$A$3</definedName>
    <definedName name="rog" hidden="1">[38]WEO!#REF!</definedName>
    <definedName name="ROMBOP">#REF!</definedName>
    <definedName name="Rows_Table">#REF!</definedName>
    <definedName name="rr" hidden="1">{"CN",#N/A,FALSE,"SEFI"}</definedName>
    <definedName name="rrrr" hidden="1">{"CN",#N/A,FALSE,"SEFI"}</definedName>
    <definedName name="rrrrr">[39]Control!$A$19:$A$20</definedName>
    <definedName name="rrrrrrrrrr">[39]Control!$C$4</definedName>
    <definedName name="rtr" hidden="1">{"Main Economic Indicators",#N/A,FALSE,"C"}</definedName>
    <definedName name="rtre" hidden="1">{"Main Economic Indicators",#N/A,FALSE,"C"}</definedName>
    <definedName name="SA_Tab">#REF!</definedName>
    <definedName name="SafetyNet96">#REF!</definedName>
    <definedName name="SafetyNet97">#REF!</definedName>
    <definedName name="SafetyNet97b">#REF!</definedName>
    <definedName name="Scale_Def">[24]Control!$V$42:$V$45</definedName>
    <definedName name="sdr">#REF!</definedName>
    <definedName name="SDR_Q198">'[40]Ext. Fin., Quarterly (old)'!#REF!</definedName>
    <definedName name="SDR_Q298">'[40]Ext. Fin., Quarterly (old)'!#REF!</definedName>
    <definedName name="sdrcirr">#REF!</definedName>
    <definedName name="sds_gdp_exp_lari">#REF!</definedName>
    <definedName name="sds_gdp_origin">#REF!</definedName>
    <definedName name="sds_gpd_exp_gdp">#REF!</definedName>
    <definedName name="SECTORS">#REF!</definedName>
    <definedName name="select">'[41]CODE LIST'!$N$2:$N$6</definedName>
    <definedName name="sencount" hidden="1">2</definedName>
    <definedName name="sheetname">#REF!</definedName>
    <definedName name="ss" hidden="1">{"Main Economic Indicators",#N/A,FALSE,"C"}</definedName>
    <definedName name="START">#REF!</definedName>
    <definedName name="STFQTAB">#REF!</definedName>
    <definedName name="STOP">#REF!</definedName>
    <definedName name="SUM">[9]BoP!$E$313:$BE$365</definedName>
    <definedName name="SUMMARY">#REF!</definedName>
    <definedName name="t">#REF!</definedName>
    <definedName name="Tab25a">#REF!</definedName>
    <definedName name="Tab25b">#REF!</definedName>
    <definedName name="Table....BiH__London_Club_Debt_Stock_and_Current_Maturities_before_Rescheduling_1___1997_2005">#REF!</definedName>
    <definedName name="Table..._BiH__Outstanding_Stock_of_Debt_and_Current_Maturities__1997_2005">#REF!</definedName>
    <definedName name="Table...Calculation_of_Unallocated_PC_Debt_and_Current_Maturities__1997_2005__1">#REF!</definedName>
    <definedName name="Table_....__BiH___Stock__of__Other_Commercial_Debt_anf_Debt_Service__1997__2005">#REF!</definedName>
    <definedName name="Table_....__BiH___Stock_of_Debt_and_Current_Maturities__1997_2005">#REF!</definedName>
    <definedName name="Table_....__BiH___Stock_of_Non_convertible_debt_and_debt_service__1997__2005">#REF!</definedName>
    <definedName name="Table_.__BiH___Outstanding_Stock_and_Debt_Service_to_IFIs__1996_2005">#REF!</definedName>
    <definedName name="Table__47">[42]RED47!$A$1:$I$53</definedName>
    <definedName name="Table_1.__BiH___Outstanding_Stock_PC_Debt_and_Debt_Service__1997_2005">#REF!</definedName>
    <definedName name="Table_2._Country_X___Public_Sector_Financing_1">#REF!</definedName>
    <definedName name="Table_3.__BiH___Outstanding_PC_Suppliers__Credit_and_Current_Maturities__1997_2005">#REF!</definedName>
    <definedName name="Table_30._Zimbabwe__Nonbank_Financial_Institutions__Assets__1998_2003">#REF!</definedName>
    <definedName name="Table_31._Zimbabwe__Balance_of_Payments__1998_2003">#REF!</definedName>
    <definedName name="Table_32._Zimbabwe__External_Trade_Indicators__1998_2003">#REF!</definedName>
    <definedName name="Table_34._Zimbabwe__Direction_of_Export_Trade__1998_2002">#REF!</definedName>
    <definedName name="Table_6._Bosnia_and_Herzegovina___Balance_of_Payments__1996_2005">#REF!</definedName>
    <definedName name="Table_Template">#REF!</definedName>
    <definedName name="Table1">#REF!</definedName>
    <definedName name="Table10">#REF!</definedName>
    <definedName name="Table11">#REF!</definedName>
    <definedName name="Table12">#REF!</definedName>
    <definedName name="Table13">#REF!</definedName>
    <definedName name="table14">#REF!</definedName>
    <definedName name="table15">#REF!</definedName>
    <definedName name="table15.Imports3">#REF!</definedName>
    <definedName name="table16">#REF!</definedName>
    <definedName name="Table17">#REF!</definedName>
    <definedName name="Table18">#REF!</definedName>
    <definedName name="table19">#REF!</definedName>
    <definedName name="TABLE1B">#REF!</definedName>
    <definedName name="Table2">#REF!</definedName>
    <definedName name="table20">#REF!</definedName>
    <definedName name="table21">#REF!</definedName>
    <definedName name="table22">#REF!</definedName>
    <definedName name="table23">#REF!</definedName>
    <definedName name="table24">#REF!</definedName>
    <definedName name="table25">#REF!</definedName>
    <definedName name="table26">#REF!</definedName>
    <definedName name="Table27">#REF!</definedName>
    <definedName name="table28">#REF!</definedName>
    <definedName name="Table29">#REF!</definedName>
    <definedName name="table3.1.Financing.requirements">[43]Main!#REF!</definedName>
    <definedName name="table3.fiscal">[43]Main!#REF!</definedName>
    <definedName name="Table30">#REF!</definedName>
    <definedName name="table30.Exchange.rate">#REF!</definedName>
    <definedName name="Table31">#REF!</definedName>
    <definedName name="Table32">#REF!</definedName>
    <definedName name="Table33A">#REF!</definedName>
    <definedName name="Table33B">#REF!</definedName>
    <definedName name="table34">#REF!</definedName>
    <definedName name="Table35">#REF!</definedName>
    <definedName name="Table36">#REF!</definedName>
    <definedName name="Table37">#REF!</definedName>
    <definedName name="Table38">#REF!</definedName>
    <definedName name="Table4">#REF!</definedName>
    <definedName name="Table5">#REF!</definedName>
    <definedName name="Table6">#REF!</definedName>
    <definedName name="Table7">#REF!</definedName>
    <definedName name="TableA">#REF!</definedName>
    <definedName name="TableB1">#REF!</definedName>
    <definedName name="TableB2">#REF!</definedName>
    <definedName name="TableB3">#REF!</definedName>
    <definedName name="TableC1">#REF!</definedName>
    <definedName name="TableC2">#REF!</definedName>
    <definedName name="TableC3">#REF!</definedName>
    <definedName name="tablename">#REF!</definedName>
    <definedName name="TabQ_const">#REF!</definedName>
    <definedName name="TAXCUT">#REF!</definedName>
    <definedName name="tblChecks">[31]ErrCheck!$A$3:$E$5</definedName>
    <definedName name="tblLinks">[31]Links!$A$4:$F$33</definedName>
    <definedName name="temp" hidden="1">[38]WEO!#REF!</definedName>
    <definedName name="Template_Table">#REF!</definedName>
    <definedName name="Test">#REF!</definedName>
    <definedName name="Test1">#REF!</definedName>
    <definedName name="TITLE">#REF!</definedName>
    <definedName name="TITLES">#REF!</definedName>
    <definedName name="TM">#REF!</definedName>
    <definedName name="TM_D">#REF!</definedName>
    <definedName name="TM_DPCH">#REF!</definedName>
    <definedName name="TM_R">#REF!</definedName>
    <definedName name="TM_RPCH">#REF!</definedName>
    <definedName name="TMG">#REF!</definedName>
    <definedName name="TMG_D">[22]Q5!$E$23:$AH$23</definedName>
    <definedName name="TMG_DPCH">#REF!</definedName>
    <definedName name="TMG_R">#REF!</definedName>
    <definedName name="TMG_RPCH">#REF!</definedName>
    <definedName name="TMGO">#N/A</definedName>
    <definedName name="TMGO_D">#REF!</definedName>
    <definedName name="TMGO_DPCH">#REF!</definedName>
    <definedName name="TMGO_R">#REF!</definedName>
    <definedName name="TMGO_RPCH">#REF!</definedName>
    <definedName name="TMGXO">#REF!</definedName>
    <definedName name="TMGXO_D">#REF!</definedName>
    <definedName name="TMGXO_DPCH">#REF!</definedName>
    <definedName name="TMGXO_R">#REF!</definedName>
    <definedName name="TMGXO_RPCH">#REF!</definedName>
    <definedName name="TMS">#REF!</definedName>
    <definedName name="TOC">#REF!</definedName>
    <definedName name="TODO">[44]BCC!$A$1:$N$821,[44]BCC!$A$822:$N$1624</definedName>
    <definedName name="Trade">#REF!</definedName>
    <definedName name="TRADE3">[12]Trade!#REF!</definedName>
    <definedName name="Transactions_with_IMF__1997_2005">#REF!</definedName>
    <definedName name="Transactions_with_the_World_Bank__1997_2005">#REF!</definedName>
    <definedName name="TX">#REF!</definedName>
    <definedName name="TX_D">#REF!</definedName>
    <definedName name="TX_DPCH">#REF!</definedName>
    <definedName name="TX_R">#REF!</definedName>
    <definedName name="TX_RPCH">#REF!</definedName>
    <definedName name="TXG">#REF!</definedName>
    <definedName name="TXG_D">#N/A</definedName>
    <definedName name="TXG_DPCH">#REF!</definedName>
    <definedName name="TXG_R">#REF!</definedName>
    <definedName name="TXG_RPCH">#REF!</definedName>
    <definedName name="TXGO">#N/A</definedName>
    <definedName name="TXGO_D">#REF!</definedName>
    <definedName name="TXGO_DPCH">#REF!</definedName>
    <definedName name="TXGO_R">#REF!</definedName>
    <definedName name="TXGO_RPCH">#REF!</definedName>
    <definedName name="TXGXO">#REF!</definedName>
    <definedName name="TXGXO_D">#REF!</definedName>
    <definedName name="TXGXO_DPCH">#REF!</definedName>
    <definedName name="TXGXO_R">#REF!</definedName>
    <definedName name="TXGXO_RPCH">#REF!</definedName>
    <definedName name="TXS">#REF!</definedName>
    <definedName name="uj">'[19]Imp:DSA output'!$F$9:$F$464</definedName>
    <definedName name="unemp_96Q3">#REF!</definedName>
    <definedName name="unemp_96Q4">#REF!</definedName>
    <definedName name="unemp_97Q1">#REF!</definedName>
    <definedName name="unemp_97Q2">#REF!</definedName>
    <definedName name="unemp_nat">#REF!</definedName>
    <definedName name="unemp_urbrural">#REF!</definedName>
    <definedName name="Units" comment="List of Feasible Units">#REF!</definedName>
    <definedName name="Units2">#REF!</definedName>
    <definedName name="Uploaded_Currency">[25]Control!$F$17</definedName>
    <definedName name="Uploaded_Scale">[25]Control!$F$18</definedName>
    <definedName name="uscirr">#REF!</definedName>
    <definedName name="USDSR">#REF!</definedName>
    <definedName name="USERNAME">#REF!</definedName>
    <definedName name="USi">#REF!</definedName>
    <definedName name="usrepay">#REF!</definedName>
    <definedName name="uu" hidden="1">{"CN",#N/A,FALSE,"SEFI"}</definedName>
    <definedName name="uy">[19]IN!#REF!</definedName>
    <definedName name="v" hidden="1">{"CN",#N/A,FALSE,"SEFI"}</definedName>
    <definedName name="VAT97b">#REF!</definedName>
    <definedName name="vs">'[19]Imp:DSA output'!$A$1</definedName>
    <definedName name="VTITLES">#REF!</definedName>
    <definedName name="vv" hidden="1">{"Main Economic Indicators",#N/A,FALSE,"C"}</definedName>
    <definedName name="vvv" hidden="1">{"Main Economic Indicators",#N/A,FALSE,"C"}</definedName>
    <definedName name="w" hidden="1">{"Main Economic Indicators",#N/A,FALSE,"C"}</definedName>
    <definedName name="wage_govt_sector">#REF!</definedName>
    <definedName name="Wages96">#REF!</definedName>
    <definedName name="Wages97">#REF!</definedName>
    <definedName name="Wages97b">#REF!</definedName>
    <definedName name="WAPR">#REF!</definedName>
    <definedName name="WEIGHTS">#REF!</definedName>
    <definedName name="WEO">#REF!</definedName>
    <definedName name="WIN">[27]WEO!#REF!</definedName>
    <definedName name="WPCP33_D">#REF!</definedName>
    <definedName name="WPCP33pch">#REF!</definedName>
    <definedName name="wrn.BANKS." hidden="1">{#N/A,#N/A,FALSE,"BANKS"}</definedName>
    <definedName name="wrn.BOP." hidden="1">{#N/A,#N/A,FALSE,"BOP"}</definedName>
    <definedName name="wrn.BOP_MIDTERM." hidden="1">{"BOP_TAB",#N/A,FALSE,"N";"MIDTERM_TAB",#N/A,FALSE,"O"}</definedName>
    <definedName name="wrn.BOPALL." hidden="1">{#N/A,#N/A,TRUE,"BoP"}</definedName>
    <definedName name="wrn.cn" hidden="1">{"CN",#N/A,FALSE,"SEFI"}</definedName>
    <definedName name="wrn.cn." hidden="1">{"CN",#N/A,FALSE,"SEFI"}</definedName>
    <definedName name="wrn.CREDIT." hidden="1">{#N/A,#N/A,FALSE,"CREDIT"}</definedName>
    <definedName name="wrn.DEBTSVC." hidden="1">{#N/A,#N/A,FALSE,"DEBTSVC"}</definedName>
    <definedName name="wrn.DEPO." hidden="1">{#N/A,#N/A,FALSE,"DEPO"}</definedName>
    <definedName name="wrn.EXCISE." hidden="1">{#N/A,#N/A,FALSE,"EXCISE"}</definedName>
    <definedName name="wrn.EXRATE." hidden="1">{#N/A,#N/A,FALSE,"EXRATE"}</definedName>
    <definedName name="wrn.EXTDEBT." hidden="1">{#N/A,#N/A,FALSE,"EXTDEBT"}</definedName>
    <definedName name="wrn.EXTRABUDGT." hidden="1">{#N/A,#N/A,FALSE,"EXTRABUDGT"}</definedName>
    <definedName name="wrn.EXTRABUDGT2." hidden="1">{#N/A,#N/A,FALSE,"EXTRABUDGT2"}</definedName>
    <definedName name="wrn.GDP." hidden="1">{#N/A,#N/A,FALSE,"GDP_ORIGIN";#N/A,#N/A,FALSE,"EMP_POP"}</definedName>
    <definedName name="wrn.GGOVT." hidden="1">{#N/A,#N/A,FALSE,"GGOVT"}</definedName>
    <definedName name="wrn.GGOVT2." hidden="1">{#N/A,#N/A,FALSE,"GGOVT2"}</definedName>
    <definedName name="wrn.GGOVTPC." hidden="1">{#N/A,#N/A,FALSE,"GGOVT%"}</definedName>
    <definedName name="wrn.INCOMETX." hidden="1">{#N/A,#N/A,FALSE,"INCOMETX"}</definedName>
    <definedName name="wrn.Input._.and._.output._.tables." hidden="1">{#N/A,#N/A,FALSE,"SimInp1";#N/A,#N/A,FALSE,"SimInp2";#N/A,#N/A,FALSE,"SimOut1";#N/A,#N/A,FALSE,"SimOut2";#N/A,#N/A,FALSE,"SimOut3";#N/A,#N/A,FALSE,"SimOut4";#N/A,#N/A,FALSE,"SimOut5"}</definedName>
    <definedName name="wrn.INTERST." hidden="1">{#N/A,#N/A,FALSE,"INTERST"}</definedName>
    <definedName name="wrn.Main._.Economic._.Indicators." hidden="1">{"Main Economic Indicators",#N/A,FALSE,"C"}</definedName>
    <definedName name="wrn.MDABOP." hidden="1">{"BOP_TAB",#N/A,FALSE,"N";"MIDTERM_TAB",#N/A,FALSE,"O";"FUND_CRED",#N/A,FALSE,"P";"DEBT_TAB1",#N/A,FALSE,"Q";"DEBT_TAB2",#N/A,FALSE,"Q";"FORFIN_TAB1",#N/A,FALSE,"R";"FORFIN_TAB2",#N/A,FALSE,"R";"BOP_ANALY",#N/A,FALSE,"U"}</definedName>
    <definedName name="wrn.MONA." hidden="1">{"MONA",#N/A,FALSE,"S"}</definedName>
    <definedName name="wrn.MS." hidden="1">{#N/A,#N/A,FALSE,"MS"}</definedName>
    <definedName name="wrn.NBG." hidden="1">{#N/A,#N/A,FALSE,"NBG"}</definedName>
    <definedName name="wrn.Output._.tables." hidden="1">{#N/A,#N/A,FALSE,"I";#N/A,#N/A,FALSE,"J";#N/A,#N/A,FALSE,"K";#N/A,#N/A,FALSE,"L";#N/A,#N/A,FALSE,"M";#N/A,#N/A,FALSE,"N";#N/A,#N/A,FALSE,"O"}</definedName>
    <definedName name="wrn.PCPI." hidden="1">{#N/A,#N/A,FALSE,"PCPI"}</definedName>
    <definedName name="wrn.PENSION." hidden="1">{#N/A,#N/A,FALSE,"PENSION"}</definedName>
    <definedName name="wrn.PRUDENT." hidden="1">{#N/A,#N/A,FALSE,"PRUDENT"}</definedName>
    <definedName name="wrn.PUBLEXP." hidden="1">{#N/A,#N/A,FALSE,"PUBLEXP"}</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VSHARE." hidden="1">{#N/A,#N/A,FALSE,"REVSHARE"}</definedName>
    <definedName name="wrn.STAFF_REPORT_TABLES." hidden="1">{"SR_tbs",#N/A,FALSE,"MGSSEI";"SR_tbs",#N/A,FALSE,"MGSBOX";"SR_tbs",#N/A,FALSE,"MGSOCIND"}</definedName>
    <definedName name="wrn.STATE." hidden="1">{#N/A,#N/A,FALSE,"STATE"}</definedName>
    <definedName name="wrn.TAXARREARS." hidden="1">{#N/A,#N/A,FALSE,"TAXARREARS"}</definedName>
    <definedName name="wrn.TAXPAYRS." hidden="1">{#N/A,#N/A,FALSE,"TAXPAYRS"}</definedName>
    <definedName name="wrn.test." hidden="1">{"Sum Param for financing cap",#N/A,FALSE,"Sum";"Sum selected econ indictrs",#N/A,FALSE,"Sum";"Sum Sav Inv assmt of dom. fin.",#N/A,FALSE,"Sum"}</definedName>
    <definedName name="wrn.test.Alt" hidden="1">{"Sum Param for financing cap",#N/A,FALSE,"Sum";"Sum selected econ indictrs",#N/A,FALSE,"Sum";"Sum Sav Inv assmt of dom. fin.",#N/A,FALSE,"Sum"}</definedName>
    <definedName name="wrn.TRADE." hidden="1">{#N/A,#N/A,FALSE,"TRADE"}</definedName>
    <definedName name="wrn.TRANSPORT." hidden="1">{#N/A,#N/A,FALSE,"TRANPORT"}</definedName>
    <definedName name="wrn.UNEMPL." hidden="1">{#N/A,#N/A,FALSE,"EMP_POP";#N/A,#N/A,FALSE,"UNEMPL"}</definedName>
    <definedName name="wrn.WAGES." hidden="1">{#N/A,#N/A,FALSE,"WAGES"}</definedName>
    <definedName name="wrn.WEO." hidden="1">{"WEO",#N/A,FALSE,"T"}</definedName>
    <definedName name="ws">'[19]Imp:DSA output'!$B$9:$B$464</definedName>
    <definedName name="ww" hidden="1">{"CN",#N/A,FALSE,"SEFI"}</definedName>
    <definedName name="www">[45]Control!$B$13</definedName>
    <definedName name="x" hidden="1">{"Main Economic Indicators",#N/A,FALSE,"C"}</definedName>
    <definedName name="XCons">#REF!</definedName>
    <definedName name="XGDP">#REF!</definedName>
    <definedName name="XGDPNom">#REF!</definedName>
    <definedName name="XGS">#REF!</definedName>
    <definedName name="XImp">#REF!</definedName>
    <definedName name="XInfl">#REF!</definedName>
    <definedName name="xx" hidden="1">{"Main Economic Indicators",#N/A,FALSE,"C"}</definedName>
    <definedName name="xxWRS_1">#REF!</definedName>
    <definedName name="xxWRS_2">#REF!</definedName>
    <definedName name="xxWRS_3">#REF!</definedName>
    <definedName name="xxWRS_4">[30]Q5!$A$1:$A$104</definedName>
    <definedName name="xxWRS_5">[30]Q6!$A$1:$A$160</definedName>
    <definedName name="xxWRS_6">[30]Q7!$A$1:$A$59</definedName>
    <definedName name="xxWRS_7">[30]Q5!$A$1:$A$109</definedName>
    <definedName name="xxWRS_8">[30]Q6!$A$1:$A$162</definedName>
    <definedName name="xxWRS_9">[30]Q7!$A$1:$A$61</definedName>
    <definedName name="ycirr">#REF!</definedName>
    <definedName name="Year">#REF!</definedName>
    <definedName name="Years">#REF!</definedName>
    <definedName name="yencirr">#REF!</definedName>
    <definedName name="YENi">#REF!</definedName>
    <definedName name="yenr">#REF!</definedName>
    <definedName name="yenrepay">#REF!</definedName>
    <definedName name="YRB">'[1]Imp:DSA output'!$B$9:$B$464</definedName>
    <definedName name="YRHIDE">'[1]Imp:DSA output'!$C$9:$G$464</definedName>
    <definedName name="YRPOST">'[1]Imp:DSA output'!$M$9:$IH$9</definedName>
    <definedName name="YRPRE">'[1]Imp:DSA output'!$B$9:$F$464</definedName>
    <definedName name="YRTITLES">'[1]Imp:DSA output'!$A$1</definedName>
    <definedName name="YRX">'[1]Imp:DSA output'!$S$9:$IG$464</definedName>
    <definedName name="yyy" hidden="1">{"Main Economic Indicators",#N/A,FALSE,"C"}</definedName>
    <definedName name="Z">[1]Imp!#REF!</definedName>
    <definedName name="Z_098C004C_808F_436E_8F18_182F927479D1_.wvu.Cols" localSheetId="38" hidden="1">'15.2'!$H:$K</definedName>
    <definedName name="Z_098C004C_808F_436E_8F18_182F927479D1_.wvu.Cols" localSheetId="39" hidden="1">'180'!$D:$D</definedName>
    <definedName name="Z_098C004C_808F_436E_8F18_182F927479D1_.wvu.Cols" localSheetId="23" hidden="1">'4.2'!$G:$I</definedName>
    <definedName name="Z_098C004C_808F_436E_8F18_182F927479D1_.wvu.Cols" localSheetId="24" hidden="1">'4.3'!$D:$H</definedName>
    <definedName name="Z_098C004C_808F_436E_8F18_182F927479D1_.wvu.Cols" localSheetId="0" hidden="1">'NEW11'!$C:$AQ</definedName>
    <definedName name="Z_098C004C_808F_436E_8F18_182F927479D1_.wvu.PrintArea" localSheetId="1" hidden="1">'1.1'!$A$2:$M$412</definedName>
    <definedName name="Z_098C004C_808F_436E_8F18_182F927479D1_.wvu.PrintArea" localSheetId="2" hidden="1">'1.2'!$B$2:$N$408</definedName>
    <definedName name="Z_098C004C_808F_436E_8F18_182F927479D1_.wvu.PrintArea" localSheetId="3" hidden="1">'1.3'!$A$2:$N$411</definedName>
    <definedName name="Z_098C004C_808F_436E_8F18_182F927479D1_.wvu.PrintArea" localSheetId="36" hidden="1">'13.0'!$A$1:$H$61</definedName>
    <definedName name="Z_098C004C_808F_436E_8F18_182F927479D1_.wvu.PrintArea" localSheetId="37" hidden="1">'13.1'!$B$1:$H$44</definedName>
    <definedName name="Z_098C004C_808F_436E_8F18_182F927479D1_.wvu.PrintArea" localSheetId="38" hidden="1">'15.2'!$A$1:$L$206</definedName>
    <definedName name="Z_098C004C_808F_436E_8F18_182F927479D1_.wvu.PrintArea" localSheetId="39" hidden="1">'180'!$A$1:$K$198</definedName>
    <definedName name="Z_098C004C_808F_436E_8F18_182F927479D1_.wvu.PrintArea" localSheetId="17" hidden="1">'2.1'!$B$91:$O$92</definedName>
    <definedName name="Z_098C004C_808F_436E_8F18_182F927479D1_.wvu.PrintArea" localSheetId="19" hidden="1">'2.3'!$A$1:$O$14</definedName>
    <definedName name="Z_098C004C_808F_436E_8F18_182F927479D1_.wvu.PrintArea" localSheetId="21" hidden="1">'2.5'!$C$1:$Q$13</definedName>
    <definedName name="Z_098C004C_808F_436E_8F18_182F927479D1_.wvu.PrintArea" localSheetId="29" hidden="1">'3.1'!$A$1:$O$2</definedName>
    <definedName name="Z_098C004C_808F_436E_8F18_182F927479D1_.wvu.PrintArea" localSheetId="22" hidden="1">'4.1'!$A$1:$C$173</definedName>
    <definedName name="Z_098C004C_808F_436E_8F18_182F927479D1_.wvu.PrintArea" localSheetId="23" hidden="1">'4.2'!$C$8:$E$64</definedName>
    <definedName name="Z_098C004C_808F_436E_8F18_182F927479D1_.wvu.PrintArea" localSheetId="24" hidden="1">'4.3'!$A$1:$H$323</definedName>
    <definedName name="Z_098C004C_808F_436E_8F18_182F927479D1_.wvu.PrintArea" localSheetId="27" hidden="1">'6'!$C$1:$M$186</definedName>
    <definedName name="Z_098C004C_808F_436E_8F18_182F927479D1_.wvu.PrintArea" localSheetId="30" hidden="1">'6.1'!$C$1:$I$61</definedName>
    <definedName name="Z_098C004C_808F_436E_8F18_182F927479D1_.wvu.PrintArea" localSheetId="31" hidden="1">'6.1-new'!$D$1:$K$61</definedName>
    <definedName name="Z_098C004C_808F_436E_8F18_182F927479D1_.wvu.PrintArea" localSheetId="32" hidden="1">'7.1'!$A$1:$M$511</definedName>
    <definedName name="Z_098C004C_808F_436E_8F18_182F927479D1_.wvu.PrintArea" localSheetId="33" hidden="1">'7.2'!$A$1:$M$325</definedName>
    <definedName name="Z_098C004C_808F_436E_8F18_182F927479D1_.wvu.PrintArea" localSheetId="34" hidden="1">'9.1'!$A$2:$N$350</definedName>
    <definedName name="Z_098C004C_808F_436E_8F18_182F927479D1_.wvu.PrintArea" localSheetId="35" hidden="1">'9.2'!$A$1:$M$183</definedName>
    <definedName name="Z_098C004C_808F_436E_8F18_182F927479D1_.wvu.PrintArea" localSheetId="0" hidden="1">'NEW11'!$A$1:$BE$58</definedName>
    <definedName name="Z_098C004C_808F_436E_8F18_182F927479D1_.wvu.PrintArea" localSheetId="12" hidden="1">'Table 10 POSB Liabilities'!$C$1:$S$45</definedName>
    <definedName name="Z_098C004C_808F_436E_8F18_182F927479D1_.wvu.PrintArea" localSheetId="13" hidden="1">'Table 11Combined Com Mer Assets'!$A$1:$V$36</definedName>
    <definedName name="Z_098C004C_808F_436E_8F18_182F927479D1_.wvu.PrintArea" localSheetId="14" hidden="1">'Table 12 Combined ComMer Liab'!$C$1:$U$44</definedName>
    <definedName name="Z_098C004C_808F_436E_8F18_182F927479D1_.wvu.PrintArea" localSheetId="15" hidden="1">'Table 13 CombBuildPOSB Assets'!$A$1:$S$36</definedName>
    <definedName name="Z_098C004C_808F_436E_8F18_182F927479D1_.wvu.PrintArea" localSheetId="16" hidden="1">'Table 14 CombBuildPOSB Liab'!$C$1:$S$44</definedName>
    <definedName name="Z_098C004C_808F_436E_8F18_182F927479D1_.wvu.PrintArea" localSheetId="8" hidden="1">'Table 3 Comm Assets '!$A$1:$X$36</definedName>
    <definedName name="Z_098C004C_808F_436E_8F18_182F927479D1_.wvu.PrintArea" localSheetId="9" hidden="1">'Table 7 Merchant Bank Assets'!$A$1:$U$36</definedName>
    <definedName name="Z_098C004C_808F_436E_8F18_182F927479D1_.wvu.PrintArea" localSheetId="10" hidden="1">'Table 8 Merchant Liabilities'!$C$1:$U$44</definedName>
    <definedName name="Z_098C004C_808F_436E_8F18_182F927479D1_.wvu.PrintArea" localSheetId="11" hidden="1">'Table 9 POSB Assets'!$A$1:$V$36</definedName>
    <definedName name="Z_098C004C_808F_436E_8F18_182F927479D1_.wvu.PrintTitles" localSheetId="1" hidden="1">'1.1'!$C:$C,'1.1'!$2:$13</definedName>
    <definedName name="Z_098C004C_808F_436E_8F18_182F927479D1_.wvu.PrintTitles" localSheetId="2" hidden="1">'1.2'!$B:$B,'1.2'!$2:$13</definedName>
    <definedName name="Z_098C004C_808F_436E_8F18_182F927479D1_.wvu.PrintTitles" localSheetId="3" hidden="1">'1.3'!$B:$B,'1.3'!$2:$13</definedName>
    <definedName name="Z_098C004C_808F_436E_8F18_182F927479D1_.wvu.Rows" localSheetId="1" hidden="1">'1.1'!$15:$379,'1.1'!$393:$404</definedName>
    <definedName name="Z_098C004C_808F_436E_8F18_182F927479D1_.wvu.Rows" localSheetId="2" hidden="1">'1.2'!$15:$379,'1.2'!$393:$404</definedName>
    <definedName name="Z_098C004C_808F_436E_8F18_182F927479D1_.wvu.Rows" localSheetId="3" hidden="1">'1.3'!$16:$379</definedName>
    <definedName name="Z_098C004C_808F_436E_8F18_182F927479D1_.wvu.Rows" localSheetId="36" hidden="1">'13.0'!$8:$81,'13.0'!$83:$97</definedName>
    <definedName name="Z_098C004C_808F_436E_8F18_182F927479D1_.wvu.Rows" localSheetId="37" hidden="1">'13.1'!$2:$54,'13.1'!$59:$75,'13.1'!$77:$92,'13.1'!$106:$106,'13.1'!$332:$340</definedName>
    <definedName name="Z_098C004C_808F_436E_8F18_182F927479D1_.wvu.Rows" localSheetId="40" hidden="1">'13.2'!$5:$37</definedName>
    <definedName name="Z_098C004C_808F_436E_8F18_182F927479D1_.wvu.Rows" localSheetId="38" hidden="1">'15.2'!$17:$169,'15.2'!$171:$185</definedName>
    <definedName name="Z_098C004C_808F_436E_8F18_182F927479D1_.wvu.Rows" localSheetId="39" hidden="1">'180'!$15:$167,'180'!$192:$194,'180'!$320:$328</definedName>
    <definedName name="Z_098C004C_808F_436E_8F18_182F927479D1_.wvu.Rows" localSheetId="17" hidden="1">'2.1'!$10:$115</definedName>
    <definedName name="Z_098C004C_808F_436E_8F18_182F927479D1_.wvu.Rows" localSheetId="19" hidden="1">'2.3'!$4:$105,'2.3'!$117:$126</definedName>
    <definedName name="Z_098C004C_808F_436E_8F18_182F927479D1_.wvu.Rows" localSheetId="29" hidden="1">'3.1'!#REF!</definedName>
    <definedName name="Z_098C004C_808F_436E_8F18_182F927479D1_.wvu.Rows" localSheetId="22" hidden="1">'4.1'!$1:$173,'4.1'!$188:$205,'4.1'!$207:$253,'4.1'!$263:$282,'4.1'!$339:$347</definedName>
    <definedName name="Z_098C004C_808F_436E_8F18_182F927479D1_.wvu.Rows" localSheetId="23" hidden="1">'4.2'!$8:$64,'4.2'!$69:$108</definedName>
    <definedName name="Z_098C004C_808F_436E_8F18_182F927479D1_.wvu.Rows" localSheetId="24" hidden="1">'4.3'!$11:$242,'4.3'!$339:$435,'4.3'!$493:$501</definedName>
    <definedName name="Z_098C004C_808F_436E_8F18_182F927479D1_.wvu.Rows" localSheetId="25" hidden="1">'4.4'!$16:$127,'4.4'!$168:$173,'4.4'!$175:$175</definedName>
    <definedName name="Z_098C004C_808F_436E_8F18_182F927479D1_.wvu.Rows" localSheetId="26" hidden="1">'5.1'!$3:$56,'5.1'!$59:$80,'5.1'!$160:$174</definedName>
    <definedName name="Z_098C004C_808F_436E_8F18_182F927479D1_.wvu.Rows" localSheetId="28" hidden="1">'5.2'!$7:$29,'5.2'!$96:$110</definedName>
    <definedName name="Z_098C004C_808F_436E_8F18_182F927479D1_.wvu.Rows" localSheetId="27" hidden="1">'6'!$8:$141</definedName>
    <definedName name="Z_098C004C_808F_436E_8F18_182F927479D1_.wvu.Rows" localSheetId="30" hidden="1">'6.1'!$1:$77,'6.1'!$89:$118</definedName>
    <definedName name="Z_098C004C_808F_436E_8F18_182F927479D1_.wvu.Rows" localSheetId="31" hidden="1">'6.1-new'!$1:$77,'6.1-new'!#REF!</definedName>
    <definedName name="Z_098C004C_808F_436E_8F18_182F927479D1_.wvu.Rows" localSheetId="32" hidden="1">'7.1'!$15:$283,'7.1'!$285:$485</definedName>
    <definedName name="Z_098C004C_808F_436E_8F18_182F927479D1_.wvu.Rows" localSheetId="33" hidden="1">'7.2'!$15:$297</definedName>
    <definedName name="Z_098C004C_808F_436E_8F18_182F927479D1_.wvu.Rows" localSheetId="34" hidden="1">'9.1'!$13:$150,'9.1'!$152:$334</definedName>
    <definedName name="Z_098C004C_808F_436E_8F18_182F927479D1_.wvu.Rows" localSheetId="35" hidden="1">'9.2'!$15:$151,'9.2'!$153:$167</definedName>
    <definedName name="Z_098C004C_808F_436E_8F18_182F927479D1_.wvu.Rows" localSheetId="0" hidden="1">'NEW11'!$32:$33</definedName>
    <definedName name="Z_098C004C_808F_436E_8F18_182F927479D1_.wvu.Rows" localSheetId="12" hidden="1">'Table 10 POSB Liabilities'!#REF!,'Table 10 POSB Liabilities'!$13:$82</definedName>
    <definedName name="Z_098C004C_808F_436E_8F18_182F927479D1_.wvu.Rows" localSheetId="13" hidden="1">'Table 11Combined Com Mer Assets'!#REF!,'Table 11Combined Com Mer Assets'!$13:$51,'Table 11Combined Com Mer Assets'!#REF!</definedName>
    <definedName name="Z_098C004C_808F_436E_8F18_182F927479D1_.wvu.Rows" localSheetId="14" hidden="1">'Table 12 Combined ComMer Liab'!#REF!,'Table 12 Combined ComMer Liab'!$13:$44</definedName>
    <definedName name="Z_098C004C_808F_436E_8F18_182F927479D1_.wvu.Rows" localSheetId="15" hidden="1">'Table 13 CombBuildPOSB Assets'!#REF!,'Table 13 CombBuildPOSB Assets'!$13:$50,'Table 13 CombBuildPOSB Assets'!#REF!</definedName>
    <definedName name="Z_098C004C_808F_436E_8F18_182F927479D1_.wvu.Rows" localSheetId="16" hidden="1">'Table 14 CombBuildPOSB Liab'!#REF!,'Table 14 CombBuildPOSB Liab'!$13:$44</definedName>
    <definedName name="Z_098C004C_808F_436E_8F18_182F927479D1_.wvu.Rows" localSheetId="8" hidden="1">'Table 3 Comm Assets '!#REF!,'Table 3 Comm Assets '!$13:$107,'Table 3 Comm Assets '!#REF!</definedName>
    <definedName name="Z_098C004C_808F_436E_8F18_182F927479D1_.wvu.Rows" localSheetId="9" hidden="1">'Table 7 Merchant Bank Assets'!#REF!,'Table 7 Merchant Bank Assets'!$13:$44,'Table 7 Merchant Bank Assets'!#REF!</definedName>
    <definedName name="Z_098C004C_808F_436E_8F18_182F927479D1_.wvu.Rows" localSheetId="10" hidden="1">'Table 8 Merchant Liabilities'!#REF!,'Table 8 Merchant Liabilities'!$13:$44</definedName>
    <definedName name="Z_098C004C_808F_436E_8F18_182F927479D1_.wvu.Rows" localSheetId="11" hidden="1">'Table 9 POSB Assets'!#REF!,'Table 9 POSB Assets'!$13:$44,'Table 9 POSB Assets'!#REF!</definedName>
    <definedName name="Z_1A8C061B_2301_11D3_BFD1_000039E37209_.wvu.Cols" hidden="1">'[46]IDA-tab7'!$K:$T,'[46]IDA-tab7'!$V:$AE,'[46]IDA-tab7'!$AG:$AP</definedName>
    <definedName name="Z_1A8C061B_2301_11D3_BFD1_000039E37209_.wvu.Rows" hidden="1">'[46]IDA-tab7'!$10:$11,'[46]IDA-tab7'!$14:$14,'[46]IDA-tab7'!$18:$18</definedName>
    <definedName name="Z_1A8C061C_2301_11D3_BFD1_000039E37209_.wvu.Cols" hidden="1">'[46]IDA-tab7'!$K:$T,'[46]IDA-tab7'!$V:$AE,'[46]IDA-tab7'!$AG:$AP</definedName>
    <definedName name="Z_1A8C061C_2301_11D3_BFD1_000039E37209_.wvu.Rows" hidden="1">'[46]IDA-tab7'!$10:$11,'[46]IDA-tab7'!$14:$14,'[46]IDA-tab7'!$18:$18</definedName>
    <definedName name="Z_1A8C061E_2301_11D3_BFD1_000039E37209_.wvu.Cols" hidden="1">'[46]IDA-tab7'!$K:$T,'[46]IDA-tab7'!$V:$AE,'[46]IDA-tab7'!$AG:$AP</definedName>
    <definedName name="Z_1A8C061E_2301_11D3_BFD1_000039E37209_.wvu.Rows" hidden="1">'[46]IDA-tab7'!$10:$11,'[46]IDA-tab7'!$14:$14,'[46]IDA-tab7'!$18:$18</definedName>
    <definedName name="Z_1A8C061F_2301_11D3_BFD1_000039E37209_.wvu.Cols" hidden="1">'[46]IDA-tab7'!$K:$T,'[46]IDA-tab7'!$V:$AE,'[46]IDA-tab7'!$AG:$AP</definedName>
    <definedName name="Z_1A8C061F_2301_11D3_BFD1_000039E37209_.wvu.Rows" hidden="1">'[46]IDA-tab7'!$10:$11,'[46]IDA-tab7'!$14:$14,'[46]IDA-tab7'!$18:$18</definedName>
    <definedName name="Z_705E0D18_9A83_42CA_8732_90923BE2EC7D_.wvu.Cols" localSheetId="38" hidden="1">'15.2'!$H:$K</definedName>
    <definedName name="Z_705E0D18_9A83_42CA_8732_90923BE2EC7D_.wvu.Cols" localSheetId="39" hidden="1">'180'!$D:$D</definedName>
    <definedName name="Z_705E0D18_9A83_42CA_8732_90923BE2EC7D_.wvu.Cols" localSheetId="29" hidden="1">'3.1'!$D:$M</definedName>
    <definedName name="Z_705E0D18_9A83_42CA_8732_90923BE2EC7D_.wvu.Cols" localSheetId="23" hidden="1">'4.2'!$G:$I</definedName>
    <definedName name="Z_705E0D18_9A83_42CA_8732_90923BE2EC7D_.wvu.Cols" localSheetId="24" hidden="1">'4.3'!$D:$H</definedName>
    <definedName name="Z_705E0D18_9A83_42CA_8732_90923BE2EC7D_.wvu.Cols" localSheetId="0" hidden="1">'NEW11'!$C:$AQ</definedName>
    <definedName name="Z_705E0D18_9A83_42CA_8732_90923BE2EC7D_.wvu.Cols" localSheetId="10" hidden="1">'Table 8 Merchant Liabilities'!$F:$F</definedName>
    <definedName name="Z_705E0D18_9A83_42CA_8732_90923BE2EC7D_.wvu.PrintArea" localSheetId="1" hidden="1">'1.1'!$A$2:$M$412</definedName>
    <definedName name="Z_705E0D18_9A83_42CA_8732_90923BE2EC7D_.wvu.PrintArea" localSheetId="2" hidden="1">'1.2'!$B$2:$N$408</definedName>
    <definedName name="Z_705E0D18_9A83_42CA_8732_90923BE2EC7D_.wvu.PrintArea" localSheetId="3" hidden="1">'1.3'!$A$2:$N$411</definedName>
    <definedName name="Z_705E0D18_9A83_42CA_8732_90923BE2EC7D_.wvu.PrintArea" localSheetId="36" hidden="1">'13.0'!$A$1:$H$61</definedName>
    <definedName name="Z_705E0D18_9A83_42CA_8732_90923BE2EC7D_.wvu.PrintArea" localSheetId="37" hidden="1">'13.1'!$B$1:$H$44</definedName>
    <definedName name="Z_705E0D18_9A83_42CA_8732_90923BE2EC7D_.wvu.PrintArea" localSheetId="38" hidden="1">'15.2'!$A$1:$L$206</definedName>
    <definedName name="Z_705E0D18_9A83_42CA_8732_90923BE2EC7D_.wvu.PrintArea" localSheetId="39" hidden="1">'180'!$A$1:$K$198</definedName>
    <definedName name="Z_705E0D18_9A83_42CA_8732_90923BE2EC7D_.wvu.PrintArea" localSheetId="17" hidden="1">'2.1'!$B$91:$O$92</definedName>
    <definedName name="Z_705E0D18_9A83_42CA_8732_90923BE2EC7D_.wvu.PrintArea" localSheetId="19" hidden="1">'2.3'!$A$1:$O$14</definedName>
    <definedName name="Z_705E0D18_9A83_42CA_8732_90923BE2EC7D_.wvu.PrintArea" localSheetId="21" hidden="1">'2.5'!$C$1:$Q$13</definedName>
    <definedName name="Z_705E0D18_9A83_42CA_8732_90923BE2EC7D_.wvu.PrintArea" localSheetId="29" hidden="1">'3.1'!$A$1:$O$2</definedName>
    <definedName name="Z_705E0D18_9A83_42CA_8732_90923BE2EC7D_.wvu.PrintArea" localSheetId="22" hidden="1">'4.1'!$A$1:$C$173</definedName>
    <definedName name="Z_705E0D18_9A83_42CA_8732_90923BE2EC7D_.wvu.PrintArea" localSheetId="23" hidden="1">'4.2'!$C$8:$E$64</definedName>
    <definedName name="Z_705E0D18_9A83_42CA_8732_90923BE2EC7D_.wvu.PrintArea" localSheetId="24" hidden="1">'4.3'!$A$1:$H$323</definedName>
    <definedName name="Z_705E0D18_9A83_42CA_8732_90923BE2EC7D_.wvu.PrintArea" localSheetId="27" hidden="1">'6'!$C$1:$M$186</definedName>
    <definedName name="Z_705E0D18_9A83_42CA_8732_90923BE2EC7D_.wvu.PrintArea" localSheetId="30" hidden="1">'6.1'!$C$1:$I$61</definedName>
    <definedName name="Z_705E0D18_9A83_42CA_8732_90923BE2EC7D_.wvu.PrintArea" localSheetId="31" hidden="1">'6.1-new'!$D$1:$K$61</definedName>
    <definedName name="Z_705E0D18_9A83_42CA_8732_90923BE2EC7D_.wvu.PrintArea" localSheetId="32" hidden="1">'7.1'!$A$1:$M$511</definedName>
    <definedName name="Z_705E0D18_9A83_42CA_8732_90923BE2EC7D_.wvu.PrintArea" localSheetId="33" hidden="1">'7.2'!$A$1:$M$325</definedName>
    <definedName name="Z_705E0D18_9A83_42CA_8732_90923BE2EC7D_.wvu.PrintArea" localSheetId="34" hidden="1">'9.1'!$A$2:$N$350</definedName>
    <definedName name="Z_705E0D18_9A83_42CA_8732_90923BE2EC7D_.wvu.PrintArea" localSheetId="35" hidden="1">'9.2'!$A$1:$M$183</definedName>
    <definedName name="Z_705E0D18_9A83_42CA_8732_90923BE2EC7D_.wvu.PrintArea" localSheetId="0" hidden="1">'NEW11'!$A$1:$BE$58</definedName>
    <definedName name="Z_705E0D18_9A83_42CA_8732_90923BE2EC7D_.wvu.PrintArea" localSheetId="12" hidden="1">'Table 10 POSB Liabilities'!$C$1:$S$45</definedName>
    <definedName name="Z_705E0D18_9A83_42CA_8732_90923BE2EC7D_.wvu.PrintArea" localSheetId="13" hidden="1">'Table 11Combined Com Mer Assets'!$A$1:$V$36</definedName>
    <definedName name="Z_705E0D18_9A83_42CA_8732_90923BE2EC7D_.wvu.PrintArea" localSheetId="14" hidden="1">'Table 12 Combined ComMer Liab'!$C$1:$U$44</definedName>
    <definedName name="Z_705E0D18_9A83_42CA_8732_90923BE2EC7D_.wvu.PrintArea" localSheetId="15" hidden="1">'Table 13 CombBuildPOSB Assets'!$A$1:$S$36</definedName>
    <definedName name="Z_705E0D18_9A83_42CA_8732_90923BE2EC7D_.wvu.PrintArea" localSheetId="16" hidden="1">'Table 14 CombBuildPOSB Liab'!$C$1:$S$44</definedName>
    <definedName name="Z_705E0D18_9A83_42CA_8732_90923BE2EC7D_.wvu.PrintArea" localSheetId="8" hidden="1">'Table 3 Comm Assets '!$A$1:$X$36</definedName>
    <definedName name="Z_705E0D18_9A83_42CA_8732_90923BE2EC7D_.wvu.PrintArea" localSheetId="9" hidden="1">'Table 7 Merchant Bank Assets'!$A$1:$U$36</definedName>
    <definedName name="Z_705E0D18_9A83_42CA_8732_90923BE2EC7D_.wvu.PrintArea" localSheetId="10" hidden="1">'Table 8 Merchant Liabilities'!$C$1:$U$44</definedName>
    <definedName name="Z_705E0D18_9A83_42CA_8732_90923BE2EC7D_.wvu.PrintArea" localSheetId="11" hidden="1">'Table 9 POSB Assets'!$A$1:$V$36</definedName>
    <definedName name="Z_705E0D18_9A83_42CA_8732_90923BE2EC7D_.wvu.PrintTitles" localSheetId="1" hidden="1">'1.1'!$C:$C,'1.1'!$2:$13</definedName>
    <definedName name="Z_705E0D18_9A83_42CA_8732_90923BE2EC7D_.wvu.PrintTitles" localSheetId="2" hidden="1">'1.2'!$B:$B,'1.2'!$2:$13</definedName>
    <definedName name="Z_705E0D18_9A83_42CA_8732_90923BE2EC7D_.wvu.PrintTitles" localSheetId="3" hidden="1">'1.3'!$B:$B,'1.3'!$2:$13</definedName>
    <definedName name="Z_705E0D18_9A83_42CA_8732_90923BE2EC7D_.wvu.Rows" localSheetId="1" hidden="1">'1.1'!$15:$379,'1.1'!$393:$404</definedName>
    <definedName name="Z_705E0D18_9A83_42CA_8732_90923BE2EC7D_.wvu.Rows" localSheetId="2" hidden="1">'1.2'!$15:$379,'1.2'!$393:$404</definedName>
    <definedName name="Z_705E0D18_9A83_42CA_8732_90923BE2EC7D_.wvu.Rows" localSheetId="3" hidden="1">'1.3'!$16:$379</definedName>
    <definedName name="Z_705E0D18_9A83_42CA_8732_90923BE2EC7D_.wvu.Rows" localSheetId="36" hidden="1">'13.0'!$8:$81,'13.0'!$83:$127,'13.0'!$149:$149</definedName>
    <definedName name="Z_705E0D18_9A83_42CA_8732_90923BE2EC7D_.wvu.Rows" localSheetId="37" hidden="1">'13.1'!$2:$54,'13.1'!$59:$75,'13.1'!$77:$120,'13.1'!$332:$340</definedName>
    <definedName name="Z_705E0D18_9A83_42CA_8732_90923BE2EC7D_.wvu.Rows" localSheetId="40" hidden="1">'13.2'!$5:$66</definedName>
    <definedName name="Z_705E0D18_9A83_42CA_8732_90923BE2EC7D_.wvu.Rows" localSheetId="38" hidden="1">'15.2'!$17:$169,'15.2'!$171:$185</definedName>
    <definedName name="Z_705E0D18_9A83_42CA_8732_90923BE2EC7D_.wvu.Rows" localSheetId="39" hidden="1">'180'!$15:$167,'180'!$192:$194,'180'!$320:$328</definedName>
    <definedName name="Z_705E0D18_9A83_42CA_8732_90923BE2EC7D_.wvu.Rows" localSheetId="17" hidden="1">'2.1'!$10:$129,'2.1'!$131:$144</definedName>
    <definedName name="Z_705E0D18_9A83_42CA_8732_90923BE2EC7D_.wvu.Rows" localSheetId="18" hidden="1">'2.2'!$11:$121</definedName>
    <definedName name="Z_705E0D18_9A83_42CA_8732_90923BE2EC7D_.wvu.Rows" localSheetId="19" hidden="1">'2.3'!$4:$105,'2.3'!$117:$126</definedName>
    <definedName name="Z_705E0D18_9A83_42CA_8732_90923BE2EC7D_.wvu.Rows" localSheetId="22" hidden="1">'4.1'!$1:$173,'4.1'!$188:$205,'4.1'!$207:$253,'4.1'!$263:$282,'4.1'!$339:$347</definedName>
    <definedName name="Z_705E0D18_9A83_42CA_8732_90923BE2EC7D_.wvu.Rows" localSheetId="23" hidden="1">'4.2'!$8:$64,'4.2'!$69:$135,'4.2'!$157:$157</definedName>
    <definedName name="Z_705E0D18_9A83_42CA_8732_90923BE2EC7D_.wvu.Rows" localSheetId="24" hidden="1">'4.3'!$11:$255,'4.3'!$257:$270,'4.3'!$291:$291,'4.3'!$339:$435,'4.3'!$493:$501</definedName>
    <definedName name="Z_705E0D18_9A83_42CA_8732_90923BE2EC7D_.wvu.Rows" localSheetId="25" hidden="1">'4.4'!$16:$127,'4.4'!$168:$173,'4.4'!$175:$175</definedName>
    <definedName name="Z_705E0D18_9A83_42CA_8732_90923BE2EC7D_.wvu.Rows" localSheetId="26" hidden="1">'5.1'!$3:$56,'5.1'!$59:$80,'5.1'!$160:$201</definedName>
    <definedName name="Z_705E0D18_9A83_42CA_8732_90923BE2EC7D_.wvu.Rows" localSheetId="28" hidden="1">'5.2'!$2:$3,'5.2'!$7:$29,'5.2'!#REF!,'5.2'!#REF!,'5.2'!$96:$138</definedName>
    <definedName name="Z_705E0D18_9A83_42CA_8732_90923BE2EC7D_.wvu.Rows" localSheetId="27" hidden="1">'6'!$8:$141</definedName>
    <definedName name="Z_705E0D18_9A83_42CA_8732_90923BE2EC7D_.wvu.Rows" localSheetId="30" hidden="1">'6.1'!$1:$77,'6.1'!$89:$145,'6.1'!$167:$167</definedName>
    <definedName name="Z_705E0D18_9A83_42CA_8732_90923BE2EC7D_.wvu.Rows" localSheetId="31" hidden="1">'6.1-new'!$1:$77,'6.1-new'!#REF!,'6.1-new'!#REF!</definedName>
    <definedName name="Z_705E0D18_9A83_42CA_8732_90923BE2EC7D_.wvu.Rows" localSheetId="32" hidden="1">'7.1'!$15:$283,'7.1'!$285:$485</definedName>
    <definedName name="Z_705E0D18_9A83_42CA_8732_90923BE2EC7D_.wvu.Rows" localSheetId="33" hidden="1">'7.2'!$15:$297</definedName>
    <definedName name="Z_705E0D18_9A83_42CA_8732_90923BE2EC7D_.wvu.Rows" localSheetId="34" hidden="1">'9.1'!$13:$150,'9.1'!$152:$334</definedName>
    <definedName name="Z_705E0D18_9A83_42CA_8732_90923BE2EC7D_.wvu.Rows" localSheetId="35" hidden="1">'9.2'!$15:$151,'9.2'!$153:$167</definedName>
    <definedName name="Z_705E0D18_9A83_42CA_8732_90923BE2EC7D_.wvu.Rows" localSheetId="0" hidden="1">'NEW11'!$32:$33</definedName>
    <definedName name="Z_705E0D18_9A83_42CA_8732_90923BE2EC7D_.wvu.Rows" localSheetId="8" hidden="1">'Table 3 Comm Assets '!$13:$25,'Table 3 Comm Assets '!$27:$39</definedName>
    <definedName name="Z_89CA84C2_78F5_4B05_8F1D_B7C5F97BCB4E_.wvu.Cols" localSheetId="37" hidden="1">'13.1'!#REF!</definedName>
    <definedName name="Z_89CA84C2_78F5_4B05_8F1D_B7C5F97BCB4E_.wvu.Cols" localSheetId="38" hidden="1">'15.2'!$H:$K</definedName>
    <definedName name="Z_89CA84C2_78F5_4B05_8F1D_B7C5F97BCB4E_.wvu.Cols" localSheetId="39" hidden="1">'180'!$D:$D</definedName>
    <definedName name="Z_89CA84C2_78F5_4B05_8F1D_B7C5F97BCB4E_.wvu.Cols" localSheetId="23" hidden="1">'4.2'!$G:$I</definedName>
    <definedName name="Z_89CA84C2_78F5_4B05_8F1D_B7C5F97BCB4E_.wvu.Cols" localSheetId="24" hidden="1">'4.3'!$D:$H</definedName>
    <definedName name="Z_89CA84C2_78F5_4B05_8F1D_B7C5F97BCB4E_.wvu.Cols" localSheetId="0" hidden="1">'NEW11'!$C:$AQ</definedName>
    <definedName name="Z_89CA84C2_78F5_4B05_8F1D_B7C5F97BCB4E_.wvu.Cols" localSheetId="10" hidden="1">'Table 8 Merchant Liabilities'!$F:$F</definedName>
    <definedName name="Z_89CA84C2_78F5_4B05_8F1D_B7C5F97BCB4E_.wvu.PrintArea" localSheetId="1" hidden="1">'1.1'!$A$2:$M$412</definedName>
    <definedName name="Z_89CA84C2_78F5_4B05_8F1D_B7C5F97BCB4E_.wvu.PrintArea" localSheetId="2" hidden="1">'1.2'!$B$2:$N$408</definedName>
    <definedName name="Z_89CA84C2_78F5_4B05_8F1D_B7C5F97BCB4E_.wvu.PrintArea" localSheetId="3" hidden="1">'1.3'!$A$2:$N$411</definedName>
    <definedName name="Z_89CA84C2_78F5_4B05_8F1D_B7C5F97BCB4E_.wvu.PrintArea" localSheetId="36" hidden="1">'13.0'!$A$1:$H$61</definedName>
    <definedName name="Z_89CA84C2_78F5_4B05_8F1D_B7C5F97BCB4E_.wvu.PrintArea" localSheetId="37" hidden="1">'13.1'!$B$1:$H$44</definedName>
    <definedName name="Z_89CA84C2_78F5_4B05_8F1D_B7C5F97BCB4E_.wvu.PrintArea" localSheetId="38" hidden="1">'15.2'!$A$1:$L$206</definedName>
    <definedName name="Z_89CA84C2_78F5_4B05_8F1D_B7C5F97BCB4E_.wvu.PrintArea" localSheetId="39" hidden="1">'180'!$A$1:$K$198</definedName>
    <definedName name="Z_89CA84C2_78F5_4B05_8F1D_B7C5F97BCB4E_.wvu.PrintArea" localSheetId="17" hidden="1">'2.1'!$B$91:$O$92</definedName>
    <definedName name="Z_89CA84C2_78F5_4B05_8F1D_B7C5F97BCB4E_.wvu.PrintArea" localSheetId="19" hidden="1">'2.3'!$A$1:$O$14</definedName>
    <definedName name="Z_89CA84C2_78F5_4B05_8F1D_B7C5F97BCB4E_.wvu.PrintArea" localSheetId="21" hidden="1">'2.5'!$C$1:$Q$13</definedName>
    <definedName name="Z_89CA84C2_78F5_4B05_8F1D_B7C5F97BCB4E_.wvu.PrintArea" localSheetId="29" hidden="1">'3.1'!$A$1:$O$2</definedName>
    <definedName name="Z_89CA84C2_78F5_4B05_8F1D_B7C5F97BCB4E_.wvu.PrintArea" localSheetId="22" hidden="1">'4.1'!$A$1:$C$173</definedName>
    <definedName name="Z_89CA84C2_78F5_4B05_8F1D_B7C5F97BCB4E_.wvu.PrintArea" localSheetId="23" hidden="1">'4.2'!$C$8:$E$64</definedName>
    <definedName name="Z_89CA84C2_78F5_4B05_8F1D_B7C5F97BCB4E_.wvu.PrintArea" localSheetId="24" hidden="1">'4.3'!$A$1:$H$323</definedName>
    <definedName name="Z_89CA84C2_78F5_4B05_8F1D_B7C5F97BCB4E_.wvu.PrintArea" localSheetId="27" hidden="1">'6'!$C$1:$M$186</definedName>
    <definedName name="Z_89CA84C2_78F5_4B05_8F1D_B7C5F97BCB4E_.wvu.PrintArea" localSheetId="30" hidden="1">'6.1'!$C$1:$I$61</definedName>
    <definedName name="Z_89CA84C2_78F5_4B05_8F1D_B7C5F97BCB4E_.wvu.PrintArea" localSheetId="31" hidden="1">'6.1-new'!$D$1:$K$61</definedName>
    <definedName name="Z_89CA84C2_78F5_4B05_8F1D_B7C5F97BCB4E_.wvu.PrintArea" localSheetId="32" hidden="1">'7.1'!$A$1:$M$511</definedName>
    <definedName name="Z_89CA84C2_78F5_4B05_8F1D_B7C5F97BCB4E_.wvu.PrintArea" localSheetId="33" hidden="1">'7.2'!$A$1:$M$325</definedName>
    <definedName name="Z_89CA84C2_78F5_4B05_8F1D_B7C5F97BCB4E_.wvu.PrintArea" localSheetId="34" hidden="1">'9.1'!$A$2:$N$350</definedName>
    <definedName name="Z_89CA84C2_78F5_4B05_8F1D_B7C5F97BCB4E_.wvu.PrintArea" localSheetId="35" hidden="1">'9.2'!$A$1:$M$183</definedName>
    <definedName name="Z_89CA84C2_78F5_4B05_8F1D_B7C5F97BCB4E_.wvu.PrintArea" localSheetId="0" hidden="1">'NEW11'!$A$1:$BE$58</definedName>
    <definedName name="Z_89CA84C2_78F5_4B05_8F1D_B7C5F97BCB4E_.wvu.PrintArea" localSheetId="12" hidden="1">'Table 10 POSB Liabilities'!$C$1:$S$45</definedName>
    <definedName name="Z_89CA84C2_78F5_4B05_8F1D_B7C5F97BCB4E_.wvu.PrintArea" localSheetId="13" hidden="1">'Table 11Combined Com Mer Assets'!$A$1:$V$36</definedName>
    <definedName name="Z_89CA84C2_78F5_4B05_8F1D_B7C5F97BCB4E_.wvu.PrintArea" localSheetId="14" hidden="1">'Table 12 Combined ComMer Liab'!$C$1:$U$44</definedName>
    <definedName name="Z_89CA84C2_78F5_4B05_8F1D_B7C5F97BCB4E_.wvu.PrintArea" localSheetId="15" hidden="1">'Table 13 CombBuildPOSB Assets'!$A$1:$S$36</definedName>
    <definedName name="Z_89CA84C2_78F5_4B05_8F1D_B7C5F97BCB4E_.wvu.PrintArea" localSheetId="16" hidden="1">'Table 14 CombBuildPOSB Liab'!$C$1:$S$44</definedName>
    <definedName name="Z_89CA84C2_78F5_4B05_8F1D_B7C5F97BCB4E_.wvu.PrintArea" localSheetId="8" hidden="1">'Table 3 Comm Assets '!$A$1:$X$36</definedName>
    <definedName name="Z_89CA84C2_78F5_4B05_8F1D_B7C5F97BCB4E_.wvu.PrintArea" localSheetId="9" hidden="1">'Table 7 Merchant Bank Assets'!$A$1:$U$36</definedName>
    <definedName name="Z_89CA84C2_78F5_4B05_8F1D_B7C5F97BCB4E_.wvu.PrintArea" localSheetId="10" hidden="1">'Table 8 Merchant Liabilities'!$C$1:$U$44</definedName>
    <definedName name="Z_89CA84C2_78F5_4B05_8F1D_B7C5F97BCB4E_.wvu.PrintArea" localSheetId="11" hidden="1">'Table 9 POSB Assets'!$A$1:$V$36</definedName>
    <definedName name="Z_89CA84C2_78F5_4B05_8F1D_B7C5F97BCB4E_.wvu.PrintTitles" localSheetId="1" hidden="1">'1.1'!$C:$C,'1.1'!$2:$13</definedName>
    <definedName name="Z_89CA84C2_78F5_4B05_8F1D_B7C5F97BCB4E_.wvu.PrintTitles" localSheetId="2" hidden="1">'1.2'!$B:$B,'1.2'!$2:$13</definedName>
    <definedName name="Z_89CA84C2_78F5_4B05_8F1D_B7C5F97BCB4E_.wvu.PrintTitles" localSheetId="3" hidden="1">'1.3'!$B:$B,'1.3'!$2:$13</definedName>
    <definedName name="Z_89CA84C2_78F5_4B05_8F1D_B7C5F97BCB4E_.wvu.Rows" localSheetId="1" hidden="1">'1.1'!$15:$379,'1.1'!$393:$404</definedName>
    <definedName name="Z_89CA84C2_78F5_4B05_8F1D_B7C5F97BCB4E_.wvu.Rows" localSheetId="2" hidden="1">'1.2'!$15:$379,'1.2'!$393:$404</definedName>
    <definedName name="Z_89CA84C2_78F5_4B05_8F1D_B7C5F97BCB4E_.wvu.Rows" localSheetId="3" hidden="1">'1.3'!$16:$379</definedName>
    <definedName name="Z_89CA84C2_78F5_4B05_8F1D_B7C5F97BCB4E_.wvu.Rows" localSheetId="36" hidden="1">'13.0'!$8:$81,'13.0'!$83:$112,'13.0'!$123:$123</definedName>
    <definedName name="Z_89CA84C2_78F5_4B05_8F1D_B7C5F97BCB4E_.wvu.Rows" localSheetId="37" hidden="1">'13.1'!$2:$54,'13.1'!$59:$75,'13.1'!$77:$107,'13.1'!$332:$340</definedName>
    <definedName name="Z_89CA84C2_78F5_4B05_8F1D_B7C5F97BCB4E_.wvu.Rows" localSheetId="40" hidden="1">'13.2'!$5:$52</definedName>
    <definedName name="Z_89CA84C2_78F5_4B05_8F1D_B7C5F97BCB4E_.wvu.Rows" localSheetId="38" hidden="1">'15.2'!$17:$169,'15.2'!$171:$185</definedName>
    <definedName name="Z_89CA84C2_78F5_4B05_8F1D_B7C5F97BCB4E_.wvu.Rows" localSheetId="39" hidden="1">'180'!$15:$167,'180'!$192:$194,'180'!$320:$328</definedName>
    <definedName name="Z_89CA84C2_78F5_4B05_8F1D_B7C5F97BCB4E_.wvu.Rows" localSheetId="17" hidden="1">'2.1'!$10:$129,'2.1'!$131:$143</definedName>
    <definedName name="Z_89CA84C2_78F5_4B05_8F1D_B7C5F97BCB4E_.wvu.Rows" localSheetId="19" hidden="1">'2.3'!$4:$105,'2.3'!$117:$126</definedName>
    <definedName name="Z_89CA84C2_78F5_4B05_8F1D_B7C5F97BCB4E_.wvu.Rows" localSheetId="22" hidden="1">'4.1'!$1:$173,'4.1'!$188:$205,'4.1'!$207:$253,'4.1'!$263:$282,'4.1'!$339:$347</definedName>
    <definedName name="Z_89CA84C2_78F5_4B05_8F1D_B7C5F97BCB4E_.wvu.Rows" localSheetId="23" hidden="1">'4.2'!$8:$64,'4.2'!$69:$122</definedName>
    <definedName name="Z_89CA84C2_78F5_4B05_8F1D_B7C5F97BCB4E_.wvu.Rows" localSheetId="24" hidden="1">'4.3'!$11:$255,'4.3'!$339:$435,'4.3'!$493:$501</definedName>
    <definedName name="Z_89CA84C2_78F5_4B05_8F1D_B7C5F97BCB4E_.wvu.Rows" localSheetId="25" hidden="1">'4.4'!$16:$127,'4.4'!$168:$173,'4.4'!$175:$175</definedName>
    <definedName name="Z_89CA84C2_78F5_4B05_8F1D_B7C5F97BCB4E_.wvu.Rows" localSheetId="26" hidden="1">'5.1'!$3:$56,'5.1'!$59:$80,'5.1'!$160:$188</definedName>
    <definedName name="Z_89CA84C2_78F5_4B05_8F1D_B7C5F97BCB4E_.wvu.Rows" localSheetId="28" hidden="1">'5.2'!$2:$3,'5.2'!$7:$29,'5.2'!$36:$36,'5.2'!$96:$124</definedName>
    <definedName name="Z_89CA84C2_78F5_4B05_8F1D_B7C5F97BCB4E_.wvu.Rows" localSheetId="27" hidden="1">'6'!$8:$141</definedName>
    <definedName name="Z_89CA84C2_78F5_4B05_8F1D_B7C5F97BCB4E_.wvu.Rows" localSheetId="30" hidden="1">'6.1'!$1:$77,'6.1'!$89:$132</definedName>
    <definedName name="Z_89CA84C2_78F5_4B05_8F1D_B7C5F97BCB4E_.wvu.Rows" localSheetId="31" hidden="1">'6.1-new'!$1:$77,'6.1-new'!#REF!</definedName>
    <definedName name="Z_89CA84C2_78F5_4B05_8F1D_B7C5F97BCB4E_.wvu.Rows" localSheetId="32" hidden="1">'7.1'!$15:$283,'7.1'!$285:$485</definedName>
    <definedName name="Z_89CA84C2_78F5_4B05_8F1D_B7C5F97BCB4E_.wvu.Rows" localSheetId="33" hidden="1">'7.2'!$15:$297</definedName>
    <definedName name="Z_89CA84C2_78F5_4B05_8F1D_B7C5F97BCB4E_.wvu.Rows" localSheetId="34" hidden="1">'9.1'!$13:$150,'9.1'!$152:$334</definedName>
    <definedName name="Z_89CA84C2_78F5_4B05_8F1D_B7C5F97BCB4E_.wvu.Rows" localSheetId="35" hidden="1">'9.2'!$15:$151,'9.2'!$153:$167</definedName>
    <definedName name="Z_89CA84C2_78F5_4B05_8F1D_B7C5F97BCB4E_.wvu.Rows" localSheetId="0" hidden="1">'NEW11'!$32:$33</definedName>
    <definedName name="Z_89CA84C2_78F5_4B05_8F1D_B7C5F97BCB4E_.wvu.Rows" localSheetId="8" hidden="1">'Table 3 Comm Assets '!$13:$25</definedName>
    <definedName name="Z_D45E5F9E_4EA6_40A2_8A1D_3AC67FB8CE54_.wvu.Cols" localSheetId="38" hidden="1">'15.2'!$H:$K</definedName>
    <definedName name="Z_D45E5F9E_4EA6_40A2_8A1D_3AC67FB8CE54_.wvu.Cols" localSheetId="39" hidden="1">'180'!$D:$D</definedName>
    <definedName name="Z_D45E5F9E_4EA6_40A2_8A1D_3AC67FB8CE54_.wvu.Cols" localSheetId="29" hidden="1">'3.1'!$D:$M</definedName>
    <definedName name="Z_D45E5F9E_4EA6_40A2_8A1D_3AC67FB8CE54_.wvu.Cols" localSheetId="23" hidden="1">'4.2'!$G:$I</definedName>
    <definedName name="Z_D45E5F9E_4EA6_40A2_8A1D_3AC67FB8CE54_.wvu.Cols" localSheetId="24" hidden="1">'4.3'!$D:$H</definedName>
    <definedName name="Z_D45E5F9E_4EA6_40A2_8A1D_3AC67FB8CE54_.wvu.Cols" localSheetId="0" hidden="1">'NEW11'!$C:$AQ</definedName>
    <definedName name="Z_D45E5F9E_4EA6_40A2_8A1D_3AC67FB8CE54_.wvu.Cols" localSheetId="10" hidden="1">'Table 8 Merchant Liabilities'!$F:$F</definedName>
    <definedName name="Z_D45E5F9E_4EA6_40A2_8A1D_3AC67FB8CE54_.wvu.PrintArea" localSheetId="1" hidden="1">'1.1'!$A$2:$M$412</definedName>
    <definedName name="Z_D45E5F9E_4EA6_40A2_8A1D_3AC67FB8CE54_.wvu.PrintArea" localSheetId="2" hidden="1">'1.2'!$B$2:$N$408</definedName>
    <definedName name="Z_D45E5F9E_4EA6_40A2_8A1D_3AC67FB8CE54_.wvu.PrintArea" localSheetId="3" hidden="1">'1.3'!$A$2:$N$411</definedName>
    <definedName name="Z_D45E5F9E_4EA6_40A2_8A1D_3AC67FB8CE54_.wvu.PrintArea" localSheetId="36" hidden="1">'13.0'!$A$1:$H$61</definedName>
    <definedName name="Z_D45E5F9E_4EA6_40A2_8A1D_3AC67FB8CE54_.wvu.PrintArea" localSheetId="37" hidden="1">'13.1'!$B$1:$H$44</definedName>
    <definedName name="Z_D45E5F9E_4EA6_40A2_8A1D_3AC67FB8CE54_.wvu.PrintArea" localSheetId="38" hidden="1">'15.2'!$A$1:$L$206</definedName>
    <definedName name="Z_D45E5F9E_4EA6_40A2_8A1D_3AC67FB8CE54_.wvu.PrintArea" localSheetId="39" hidden="1">'180'!$A$1:$K$198</definedName>
    <definedName name="Z_D45E5F9E_4EA6_40A2_8A1D_3AC67FB8CE54_.wvu.PrintArea" localSheetId="17" hidden="1">'2.1'!$B$91:$O$92</definedName>
    <definedName name="Z_D45E5F9E_4EA6_40A2_8A1D_3AC67FB8CE54_.wvu.PrintArea" localSheetId="19" hidden="1">'2.3'!$A$1:$O$14</definedName>
    <definedName name="Z_D45E5F9E_4EA6_40A2_8A1D_3AC67FB8CE54_.wvu.PrintArea" localSheetId="21" hidden="1">'2.5'!$C$1:$Q$13</definedName>
    <definedName name="Z_D45E5F9E_4EA6_40A2_8A1D_3AC67FB8CE54_.wvu.PrintArea" localSheetId="29" hidden="1">'3.1'!$A$1:$O$2</definedName>
    <definedName name="Z_D45E5F9E_4EA6_40A2_8A1D_3AC67FB8CE54_.wvu.PrintArea" localSheetId="22" hidden="1">'4.1'!$A$1:$C$173</definedName>
    <definedName name="Z_D45E5F9E_4EA6_40A2_8A1D_3AC67FB8CE54_.wvu.PrintArea" localSheetId="23" hidden="1">'4.2'!$C$8:$E$64</definedName>
    <definedName name="Z_D45E5F9E_4EA6_40A2_8A1D_3AC67FB8CE54_.wvu.PrintArea" localSheetId="24" hidden="1">'4.3'!$A$1:$H$323</definedName>
    <definedName name="Z_D45E5F9E_4EA6_40A2_8A1D_3AC67FB8CE54_.wvu.PrintArea" localSheetId="27" hidden="1">'6'!$C$1:$M$186</definedName>
    <definedName name="Z_D45E5F9E_4EA6_40A2_8A1D_3AC67FB8CE54_.wvu.PrintArea" localSheetId="30" hidden="1">'6.1'!$C$1:$I$61</definedName>
    <definedName name="Z_D45E5F9E_4EA6_40A2_8A1D_3AC67FB8CE54_.wvu.PrintArea" localSheetId="31" hidden="1">'6.1-new'!$D$1:$K$61</definedName>
    <definedName name="Z_D45E5F9E_4EA6_40A2_8A1D_3AC67FB8CE54_.wvu.PrintArea" localSheetId="32" hidden="1">'7.1'!$A$1:$M$511</definedName>
    <definedName name="Z_D45E5F9E_4EA6_40A2_8A1D_3AC67FB8CE54_.wvu.PrintArea" localSheetId="33" hidden="1">'7.2'!$A$1:$M$325</definedName>
    <definedName name="Z_D45E5F9E_4EA6_40A2_8A1D_3AC67FB8CE54_.wvu.PrintArea" localSheetId="34" hidden="1">'9.1'!$A$2:$N$350</definedName>
    <definedName name="Z_D45E5F9E_4EA6_40A2_8A1D_3AC67FB8CE54_.wvu.PrintArea" localSheetId="35" hidden="1">'9.2'!$A$1:$M$183</definedName>
    <definedName name="Z_D45E5F9E_4EA6_40A2_8A1D_3AC67FB8CE54_.wvu.PrintArea" localSheetId="0" hidden="1">'NEW11'!$A$1:$BE$58</definedName>
    <definedName name="Z_D45E5F9E_4EA6_40A2_8A1D_3AC67FB8CE54_.wvu.PrintArea" localSheetId="12" hidden="1">'Table 10 POSB Liabilities'!$C$1:$S$45</definedName>
    <definedName name="Z_D45E5F9E_4EA6_40A2_8A1D_3AC67FB8CE54_.wvu.PrintArea" localSheetId="13" hidden="1">'Table 11Combined Com Mer Assets'!$A$1:$V$36</definedName>
    <definedName name="Z_D45E5F9E_4EA6_40A2_8A1D_3AC67FB8CE54_.wvu.PrintArea" localSheetId="14" hidden="1">'Table 12 Combined ComMer Liab'!$C$1:$U$44</definedName>
    <definedName name="Z_D45E5F9E_4EA6_40A2_8A1D_3AC67FB8CE54_.wvu.PrintArea" localSheetId="15" hidden="1">'Table 13 CombBuildPOSB Assets'!$A$1:$S$36</definedName>
    <definedName name="Z_D45E5F9E_4EA6_40A2_8A1D_3AC67FB8CE54_.wvu.PrintArea" localSheetId="16" hidden="1">'Table 14 CombBuildPOSB Liab'!$C$1:$S$44</definedName>
    <definedName name="Z_D45E5F9E_4EA6_40A2_8A1D_3AC67FB8CE54_.wvu.PrintArea" localSheetId="8" hidden="1">'Table 3 Comm Assets '!$A$1:$X$36</definedName>
    <definedName name="Z_D45E5F9E_4EA6_40A2_8A1D_3AC67FB8CE54_.wvu.PrintArea" localSheetId="9" hidden="1">'Table 7 Merchant Bank Assets'!$A$1:$U$36</definedName>
    <definedName name="Z_D45E5F9E_4EA6_40A2_8A1D_3AC67FB8CE54_.wvu.PrintArea" localSheetId="10" hidden="1">'Table 8 Merchant Liabilities'!$C$1:$U$44</definedName>
    <definedName name="Z_D45E5F9E_4EA6_40A2_8A1D_3AC67FB8CE54_.wvu.PrintArea" localSheetId="11" hidden="1">'Table 9 POSB Assets'!$A$1:$V$36</definedName>
    <definedName name="Z_D45E5F9E_4EA6_40A2_8A1D_3AC67FB8CE54_.wvu.PrintTitles" localSheetId="1" hidden="1">'1.1'!$C:$C,'1.1'!$2:$13</definedName>
    <definedName name="Z_D45E5F9E_4EA6_40A2_8A1D_3AC67FB8CE54_.wvu.PrintTitles" localSheetId="2" hidden="1">'1.2'!$B:$B,'1.2'!$2:$13</definedName>
    <definedName name="Z_D45E5F9E_4EA6_40A2_8A1D_3AC67FB8CE54_.wvu.PrintTitles" localSheetId="3" hidden="1">'1.3'!$B:$B,'1.3'!$2:$13</definedName>
    <definedName name="Z_D45E5F9E_4EA6_40A2_8A1D_3AC67FB8CE54_.wvu.Rows" localSheetId="1" hidden="1">'1.1'!$15:$379,'1.1'!$393:$404</definedName>
    <definedName name="Z_D45E5F9E_4EA6_40A2_8A1D_3AC67FB8CE54_.wvu.Rows" localSheetId="2" hidden="1">'1.2'!$15:$379,'1.2'!$393:$404</definedName>
    <definedName name="Z_D45E5F9E_4EA6_40A2_8A1D_3AC67FB8CE54_.wvu.Rows" localSheetId="3" hidden="1">'1.3'!$16:$379</definedName>
    <definedName name="Z_D45E5F9E_4EA6_40A2_8A1D_3AC67FB8CE54_.wvu.Rows" localSheetId="36" hidden="1">'13.0'!$8:$81,'13.0'!$83:$127</definedName>
    <definedName name="Z_D45E5F9E_4EA6_40A2_8A1D_3AC67FB8CE54_.wvu.Rows" localSheetId="37" hidden="1">'13.1'!$2:$54,'13.1'!$59:$75,'13.1'!$77:$120,'13.1'!$141:$141,'13.1'!$332:$340</definedName>
    <definedName name="Z_D45E5F9E_4EA6_40A2_8A1D_3AC67FB8CE54_.wvu.Rows" localSheetId="40" hidden="1">'13.2'!$5:$66</definedName>
    <definedName name="Z_D45E5F9E_4EA6_40A2_8A1D_3AC67FB8CE54_.wvu.Rows" localSheetId="38" hidden="1">'15.2'!$17:$169,'15.2'!$171:$185</definedName>
    <definedName name="Z_D45E5F9E_4EA6_40A2_8A1D_3AC67FB8CE54_.wvu.Rows" localSheetId="39" hidden="1">'180'!$15:$167,'180'!$192:$194,'180'!$320:$328</definedName>
    <definedName name="Z_D45E5F9E_4EA6_40A2_8A1D_3AC67FB8CE54_.wvu.Rows" localSheetId="17" hidden="1">'2.1'!$10:$129,'2.1'!$131:$144</definedName>
    <definedName name="Z_D45E5F9E_4EA6_40A2_8A1D_3AC67FB8CE54_.wvu.Rows" localSheetId="18" hidden="1">'2.2'!$11:$135</definedName>
    <definedName name="Z_D45E5F9E_4EA6_40A2_8A1D_3AC67FB8CE54_.wvu.Rows" localSheetId="19" hidden="1">'2.3'!$4:$105,'2.3'!$117:$126</definedName>
    <definedName name="Z_D45E5F9E_4EA6_40A2_8A1D_3AC67FB8CE54_.wvu.Rows" localSheetId="22" hidden="1">'4.1'!$1:$173,'4.1'!$188:$205,'4.1'!$207:$253,'4.1'!$263:$282,'4.1'!$339:$347</definedName>
    <definedName name="Z_D45E5F9E_4EA6_40A2_8A1D_3AC67FB8CE54_.wvu.Rows" localSheetId="23" hidden="1">'4.2'!$8:$64,'4.2'!$69:$135</definedName>
    <definedName name="Z_D45E5F9E_4EA6_40A2_8A1D_3AC67FB8CE54_.wvu.Rows" localSheetId="24" hidden="1">'4.3'!$11:$255,'4.3'!$257:$270,'4.3'!$339:$435,'4.3'!$493:$501</definedName>
    <definedName name="Z_D45E5F9E_4EA6_40A2_8A1D_3AC67FB8CE54_.wvu.Rows" localSheetId="25" hidden="1">'4.4'!$16:$127,'4.4'!$168:$173,'4.4'!$175:$175</definedName>
    <definedName name="Z_D45E5F9E_4EA6_40A2_8A1D_3AC67FB8CE54_.wvu.Rows" localSheetId="26" hidden="1">'5.1'!$3:$56,'5.1'!$59:$80,'5.1'!$160:$201</definedName>
    <definedName name="Z_D45E5F9E_4EA6_40A2_8A1D_3AC67FB8CE54_.wvu.Rows" localSheetId="28" hidden="1">'5.2'!$2:$3,'5.2'!$7:$29,'5.2'!$36:$36,'5.2'!$96:$137</definedName>
    <definedName name="Z_D45E5F9E_4EA6_40A2_8A1D_3AC67FB8CE54_.wvu.Rows" localSheetId="27" hidden="1">'6'!$8:$141</definedName>
    <definedName name="Z_D45E5F9E_4EA6_40A2_8A1D_3AC67FB8CE54_.wvu.Rows" localSheetId="30" hidden="1">'6.1'!$1:$77,'6.1'!$89:$145</definedName>
    <definedName name="Z_D45E5F9E_4EA6_40A2_8A1D_3AC67FB8CE54_.wvu.Rows" localSheetId="31" hidden="1">'6.1-new'!$1:$77,'6.1-new'!#REF!</definedName>
    <definedName name="Z_D45E5F9E_4EA6_40A2_8A1D_3AC67FB8CE54_.wvu.Rows" localSheetId="32" hidden="1">'7.1'!$15:$283,'7.1'!$285:$485</definedName>
    <definedName name="Z_D45E5F9E_4EA6_40A2_8A1D_3AC67FB8CE54_.wvu.Rows" localSheetId="33" hidden="1">'7.2'!$15:$297</definedName>
    <definedName name="Z_D45E5F9E_4EA6_40A2_8A1D_3AC67FB8CE54_.wvu.Rows" localSheetId="34" hidden="1">'9.1'!$13:$150,'9.1'!$152:$334</definedName>
    <definedName name="Z_D45E5F9E_4EA6_40A2_8A1D_3AC67FB8CE54_.wvu.Rows" localSheetId="35" hidden="1">'9.2'!$15:$151,'9.2'!$153:$167</definedName>
    <definedName name="Z_D45E5F9E_4EA6_40A2_8A1D_3AC67FB8CE54_.wvu.Rows" localSheetId="0" hidden="1">'NEW11'!$32:$33</definedName>
    <definedName name="Z_D45E5F9E_4EA6_40A2_8A1D_3AC67FB8CE54_.wvu.Rows" localSheetId="8" hidden="1">'Table 3 Comm Assets '!$13:$25,'Table 3 Comm Assets '!$27:$39</definedName>
    <definedName name="zz" hidden="1">{"CN",#N/A,FALSE,"SEFI"}</definedName>
  </definedNames>
  <calcPr calcId="191029"/>
  <customWorkbookViews>
    <customWorkbookView name="Sibonokuhle Ngwenya - Personal View" guid="{705E0D18-9A83-42CA-8732-90923BE2EC7D}" mergeInterval="0" personalView="1" maximized="1" xWindow="-8" yWindow="-8" windowWidth="1382" windowHeight="744" activeSheetId="15" showComments="commIndAndComment"/>
    <customWorkbookView name="Tafadzwa T. Tendayi - Personal View" guid="{D45E5F9E-4EA6-40A2-8A1D-3AC67FB8CE54}" mergeInterval="0" personalView="1" maximized="1" xWindow="-8" yWindow="-8" windowWidth="1040" windowHeight="744" activeSheetId="45"/>
    <customWorkbookView name="Witness N. Bandura - Personal View" guid="{098C004C-808F-436E-8F18-182F927479D1}" mergeInterval="0" personalView="1" maximized="1" xWindow="-8" yWindow="-8" windowWidth="1040" windowHeight="744" activeSheetId="33"/>
    <customWorkbookView name="Felistas S. Mbedzi - Personal View" guid="{89CA84C2-78F5-4B05-8F1D-B7C5F97BCB4E}" mergeInterval="0" personalView="1" maximized="1" xWindow="-8" yWindow="-8" windowWidth="1040" windowHeight="744" tabRatio="608" activeSheetId="45"/>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W81" i="11" l="1"/>
  <c r="FO81" i="11"/>
  <c r="FJ81" i="11"/>
  <c r="FF81" i="11"/>
  <c r="FB81" i="11"/>
  <c r="EU81" i="11"/>
  <c r="EQ81" i="11"/>
  <c r="EM81" i="11"/>
  <c r="EG81" i="11"/>
  <c r="ED81" i="11"/>
  <c r="EA81" i="11"/>
  <c r="DV81" i="11"/>
  <c r="DQ81" i="11"/>
  <c r="DN81" i="11"/>
  <c r="DK81" i="11" s="1"/>
  <c r="DH81" i="11" s="1"/>
  <c r="DG81" i="11" s="1"/>
  <c r="DB81" i="11"/>
  <c r="CU81" i="11"/>
  <c r="CO81" i="11"/>
  <c r="BZ81" i="11"/>
  <c r="BU81" i="11"/>
  <c r="BM81" i="11"/>
  <c r="BL81" i="11" s="1"/>
  <c r="BE81" i="11"/>
  <c r="AZ81" i="11"/>
  <c r="AS81" i="11"/>
  <c r="AQ81" i="11" s="1"/>
  <c r="AL81" i="11"/>
  <c r="AG81" i="11"/>
  <c r="AC81" i="11"/>
  <c r="Z81" i="11"/>
  <c r="V81" i="11"/>
  <c r="Q81" i="11"/>
  <c r="N81" i="11"/>
  <c r="K81" i="11"/>
  <c r="E81" i="11"/>
  <c r="EZ81" i="12"/>
  <c r="EW81" i="12"/>
  <c r="ET81" i="12"/>
  <c r="EM81" i="12"/>
  <c r="EJ81" i="12"/>
  <c r="EG81" i="12"/>
  <c r="EB81" i="12"/>
  <c r="DW81" i="12"/>
  <c r="DT81" i="12"/>
  <c r="DL81" i="12"/>
  <c r="DI81" i="12"/>
  <c r="DF81" i="12"/>
  <c r="DA81" i="12"/>
  <c r="CX81" i="12"/>
  <c r="CU81" i="12"/>
  <c r="CO81" i="12"/>
  <c r="CI81" i="12"/>
  <c r="CC81" i="12"/>
  <c r="CA81" i="12" s="1"/>
  <c r="BV81" i="12"/>
  <c r="BT81" i="12" s="1"/>
  <c r="BO81" i="12"/>
  <c r="BM81" i="12" s="1"/>
  <c r="BG81" i="12"/>
  <c r="BC81" i="12"/>
  <c r="AY81" i="12"/>
  <c r="AU81" i="12"/>
  <c r="AQ81" i="12"/>
  <c r="AM81" i="12"/>
  <c r="AI81" i="12"/>
  <c r="AE81" i="12"/>
  <c r="AA81" i="12"/>
  <c r="W81" i="12"/>
  <c r="S81" i="12"/>
  <c r="D81" i="12"/>
  <c r="C81" i="12" s="1"/>
  <c r="DL84" i="14"/>
  <c r="DH84" i="14" s="1"/>
  <c r="DB84" i="14"/>
  <c r="DA84" i="14" s="1"/>
  <c r="CU84" i="14"/>
  <c r="CR84" i="14"/>
  <c r="CL84" i="14"/>
  <c r="CH84" i="14"/>
  <c r="CE84" i="14"/>
  <c r="BX84" i="14"/>
  <c r="BS84" i="14"/>
  <c r="BQ84" i="14" s="1"/>
  <c r="BL84" i="14"/>
  <c r="BJ84" i="14" s="1"/>
  <c r="BE84" i="14"/>
  <c r="BC84" i="14" s="1"/>
  <c r="AW84" i="14"/>
  <c r="AS84" i="14"/>
  <c r="AO84" i="14"/>
  <c r="AK84" i="14"/>
  <c r="AG84" i="14"/>
  <c r="AC84" i="14"/>
  <c r="Y84" i="14"/>
  <c r="U84" i="14"/>
  <c r="Q84" i="14"/>
  <c r="D84" i="14"/>
  <c r="C84" i="14" s="1"/>
  <c r="AY81" i="11" l="1"/>
  <c r="DE81" i="12"/>
  <c r="CN81" i="11"/>
  <c r="CD84" i="14"/>
  <c r="ES81" i="12"/>
  <c r="CQ84" i="14"/>
  <c r="J81" i="11"/>
  <c r="DF81" i="11"/>
  <c r="U81" i="11"/>
  <c r="EZ81" i="11"/>
  <c r="EK81" i="11"/>
  <c r="BT81" i="11"/>
  <c r="DZ81" i="11"/>
  <c r="R81" i="12"/>
  <c r="Q81" i="12" s="1"/>
  <c r="CT81" i="12"/>
  <c r="EF81" i="12"/>
  <c r="DR81" i="12"/>
  <c r="BL81" i="12"/>
  <c r="BB84" i="14"/>
  <c r="P84" i="14"/>
  <c r="O84" i="14" s="1"/>
  <c r="DQ84" i="14" l="1"/>
  <c r="GF81" i="11"/>
  <c r="FL81" i="12"/>
  <c r="FW75" i="11" l="1"/>
  <c r="FO75" i="11"/>
  <c r="FJ75" i="11"/>
  <c r="FF75" i="11"/>
  <c r="FB75" i="11"/>
  <c r="EU75" i="11"/>
  <c r="EQ75" i="11"/>
  <c r="EM75" i="11"/>
  <c r="EG75" i="11"/>
  <c r="ED75" i="11"/>
  <c r="EA75" i="11"/>
  <c r="DV75" i="11"/>
  <c r="DQ75" i="11"/>
  <c r="DN75" i="11"/>
  <c r="DK75" i="11" s="1"/>
  <c r="DH75" i="11" s="1"/>
  <c r="DG75" i="11" s="1"/>
  <c r="DB75" i="11"/>
  <c r="CU75" i="11"/>
  <c r="CO75" i="11"/>
  <c r="BZ75" i="11"/>
  <c r="BU75" i="11"/>
  <c r="BM75" i="11"/>
  <c r="BL75" i="11" s="1"/>
  <c r="BE75" i="11"/>
  <c r="AZ75" i="11"/>
  <c r="AS75" i="11"/>
  <c r="AQ75" i="11" s="1"/>
  <c r="AL75" i="11"/>
  <c r="AG75" i="11"/>
  <c r="AC75" i="11"/>
  <c r="Z75" i="11"/>
  <c r="V75" i="11"/>
  <c r="Q75" i="11"/>
  <c r="N75" i="11"/>
  <c r="K75" i="11"/>
  <c r="E75" i="11"/>
  <c r="FW74" i="11"/>
  <c r="FO74" i="11"/>
  <c r="FJ74" i="11"/>
  <c r="FF74" i="11"/>
  <c r="FB74" i="11"/>
  <c r="EU74" i="11"/>
  <c r="EQ74" i="11"/>
  <c r="EM74" i="11"/>
  <c r="EG74" i="11"/>
  <c r="ED74" i="11"/>
  <c r="EA74" i="11"/>
  <c r="DV74" i="11"/>
  <c r="DQ74" i="11"/>
  <c r="DN74" i="11"/>
  <c r="DK74" i="11" s="1"/>
  <c r="DH74" i="11" s="1"/>
  <c r="DG74" i="11" s="1"/>
  <c r="DB74" i="11"/>
  <c r="CU74" i="11"/>
  <c r="CO74" i="11"/>
  <c r="BZ74" i="11"/>
  <c r="BU74" i="11"/>
  <c r="BM74" i="11"/>
  <c r="BL74" i="11" s="1"/>
  <c r="BE74" i="11"/>
  <c r="AZ74" i="11"/>
  <c r="AS74" i="11"/>
  <c r="AQ74" i="11" s="1"/>
  <c r="AL74" i="11"/>
  <c r="AG74" i="11"/>
  <c r="AC74" i="11"/>
  <c r="Z74" i="11"/>
  <c r="V74" i="11"/>
  <c r="Q74" i="11"/>
  <c r="N74" i="11"/>
  <c r="K74" i="11"/>
  <c r="E74" i="11"/>
  <c r="J75" i="11" l="1"/>
  <c r="CN74" i="11"/>
  <c r="BT74" i="11"/>
  <c r="EZ75" i="11"/>
  <c r="J74" i="11"/>
  <c r="BT75" i="11"/>
  <c r="DZ74" i="11"/>
  <c r="EZ74" i="11"/>
  <c r="EK75" i="11"/>
  <c r="DF75" i="11"/>
  <c r="AY74" i="11"/>
  <c r="DF74" i="11"/>
  <c r="CN75" i="11"/>
  <c r="AY75" i="11"/>
  <c r="U75" i="11"/>
  <c r="U74" i="11"/>
  <c r="EK74" i="11"/>
  <c r="DZ75" i="11"/>
  <c r="GF74" i="11" l="1"/>
  <c r="GF75" i="11"/>
  <c r="EJ73" i="13"/>
  <c r="EH73" i="13" s="1"/>
  <c r="DY73" i="13"/>
  <c r="DT73" i="13"/>
  <c r="DP73" i="13"/>
  <c r="DI73" i="13"/>
  <c r="DE73" i="13"/>
  <c r="DA73" i="13"/>
  <c r="CU73" i="13"/>
  <c r="CQ73" i="13"/>
  <c r="CJ73" i="13"/>
  <c r="CD73" i="13"/>
  <c r="BU73" i="13"/>
  <c r="BT73" i="13" s="1"/>
  <c r="BM73" i="13"/>
  <c r="BL73" i="13" s="1"/>
  <c r="BE73" i="13"/>
  <c r="AZ73" i="13"/>
  <c r="AQ73" i="13"/>
  <c r="AO73" i="13" s="1"/>
  <c r="AK73" i="13"/>
  <c r="AF73" i="13"/>
  <c r="AB73" i="13"/>
  <c r="Y73" i="13"/>
  <c r="T73" i="13"/>
  <c r="Q73" i="13"/>
  <c r="N73" i="13"/>
  <c r="I73" i="13"/>
  <c r="DN73" i="13" l="1"/>
  <c r="AY73" i="13"/>
  <c r="CC73" i="13"/>
  <c r="M73" i="13"/>
  <c r="CY73" i="13"/>
  <c r="X73" i="13"/>
  <c r="E60" i="55"/>
  <c r="F60" i="55"/>
  <c r="O182" i="32"/>
  <c r="O181" i="32"/>
  <c r="O175" i="32"/>
  <c r="O176" i="32"/>
  <c r="O177" i="32"/>
  <c r="O178" i="32"/>
  <c r="O179" i="32"/>
  <c r="O180" i="32"/>
  <c r="E59" i="55"/>
  <c r="F59" i="55"/>
  <c r="E58" i="55"/>
  <c r="F58" i="55"/>
  <c r="E56" i="55"/>
  <c r="E57" i="55"/>
  <c r="F57" i="55"/>
  <c r="F56" i="55"/>
  <c r="J36" i="57"/>
  <c r="H36" i="57"/>
  <c r="J35" i="57"/>
  <c r="H35" i="57"/>
  <c r="J34" i="57"/>
  <c r="H34" i="57"/>
  <c r="J33" i="57"/>
  <c r="H33" i="57"/>
  <c r="J32" i="57"/>
  <c r="H32" i="57"/>
  <c r="J31" i="57"/>
  <c r="H31" i="57"/>
  <c r="J30" i="57"/>
  <c r="H30" i="57"/>
  <c r="J29" i="57"/>
  <c r="H29" i="57"/>
  <c r="J28" i="57"/>
  <c r="H28" i="57"/>
  <c r="J27" i="57"/>
  <c r="H27" i="57"/>
  <c r="J26" i="57"/>
  <c r="H26" i="57"/>
  <c r="J25" i="57"/>
  <c r="H25" i="57"/>
  <c r="W8" i="44"/>
  <c r="W6" i="44" s="1"/>
  <c r="F55" i="55"/>
  <c r="E55" i="55"/>
  <c r="D49" i="55"/>
  <c r="C49" i="55"/>
  <c r="D96" i="54"/>
  <c r="I96" i="54"/>
  <c r="H96" i="54"/>
  <c r="G96" i="54"/>
  <c r="F96" i="54"/>
  <c r="E96" i="54"/>
  <c r="N88" i="41"/>
  <c r="F54" i="55"/>
  <c r="E54" i="55"/>
  <c r="O154" i="33"/>
  <c r="O153" i="33"/>
  <c r="F53" i="55"/>
  <c r="F52" i="55"/>
  <c r="E53" i="55"/>
  <c r="O152" i="33"/>
  <c r="O174" i="32"/>
  <c r="N171" i="32"/>
  <c r="M171" i="32"/>
  <c r="L171" i="32"/>
  <c r="K171" i="32"/>
  <c r="J171" i="32"/>
  <c r="I171" i="32"/>
  <c r="H171" i="32"/>
  <c r="G171" i="32"/>
  <c r="F171" i="32"/>
  <c r="E171" i="32"/>
  <c r="D171" i="32"/>
  <c r="C171" i="32"/>
  <c r="O149" i="33"/>
  <c r="E48" i="55"/>
  <c r="F48" i="55"/>
  <c r="O148" i="33"/>
  <c r="O170" i="32"/>
  <c r="O167" i="32"/>
  <c r="O168" i="32"/>
  <c r="O169" i="32"/>
  <c r="F47" i="55"/>
  <c r="E47" i="55"/>
  <c r="D81" i="54"/>
  <c r="F46" i="55"/>
  <c r="E46" i="55"/>
  <c r="P169" i="32"/>
  <c r="O147" i="33"/>
  <c r="F41" i="55"/>
  <c r="F42" i="55"/>
  <c r="F43" i="55"/>
  <c r="F44" i="55"/>
  <c r="F45" i="55"/>
  <c r="E45" i="55"/>
  <c r="E44" i="55"/>
  <c r="E43" i="55"/>
  <c r="E42" i="55"/>
  <c r="E41" i="55"/>
  <c r="O146" i="33"/>
  <c r="O166" i="32"/>
  <c r="O165" i="32"/>
  <c r="O164" i="32"/>
  <c r="O163" i="32"/>
  <c r="O162" i="32"/>
  <c r="O161" i="32"/>
  <c r="O160" i="32"/>
  <c r="O145" i="33"/>
  <c r="O143" i="33"/>
  <c r="O144" i="33"/>
  <c r="O140" i="33"/>
  <c r="O141" i="33"/>
  <c r="O142" i="33"/>
  <c r="F38" i="55"/>
  <c r="F39" i="55"/>
  <c r="F40" i="55"/>
  <c r="E38" i="55"/>
  <c r="E39" i="55"/>
  <c r="E40" i="55"/>
  <c r="E22" i="55"/>
  <c r="F22" i="55"/>
  <c r="O139" i="33"/>
  <c r="O138" i="33"/>
  <c r="O135" i="33"/>
  <c r="O134" i="33"/>
  <c r="O133" i="33"/>
  <c r="O132" i="33"/>
  <c r="O131" i="33"/>
  <c r="O130" i="33"/>
  <c r="O129" i="33"/>
  <c r="O128" i="33"/>
  <c r="O127" i="33"/>
  <c r="O126" i="33"/>
  <c r="O125" i="33"/>
  <c r="O124" i="33"/>
  <c r="O121" i="33"/>
  <c r="O120" i="33"/>
  <c r="O119" i="33"/>
  <c r="O118" i="33"/>
  <c r="O117" i="33"/>
  <c r="O116" i="33"/>
  <c r="O115" i="33"/>
  <c r="O114" i="33"/>
  <c r="O113" i="33"/>
  <c r="O112" i="33"/>
  <c r="O111" i="33"/>
  <c r="O110" i="33"/>
  <c r="O74" i="33"/>
  <c r="O73" i="33"/>
  <c r="O72" i="33"/>
  <c r="O70" i="33"/>
  <c r="O68" i="33"/>
  <c r="O65" i="33"/>
  <c r="O37" i="33"/>
  <c r="O36" i="33"/>
  <c r="O35" i="33"/>
  <c r="O34" i="33"/>
  <c r="O33" i="33"/>
  <c r="O32" i="33"/>
  <c r="O31" i="33"/>
  <c r="O30" i="33"/>
  <c r="O29" i="33"/>
  <c r="O28" i="33"/>
  <c r="O27" i="33"/>
  <c r="O26" i="33"/>
  <c r="O23" i="33"/>
  <c r="O22" i="33"/>
  <c r="O21" i="33"/>
  <c r="O20" i="33"/>
  <c r="O19" i="33"/>
  <c r="O18" i="33"/>
  <c r="O17" i="33"/>
  <c r="O16" i="33"/>
  <c r="O15" i="33"/>
  <c r="O14" i="33"/>
  <c r="O13" i="33"/>
  <c r="F37" i="55"/>
  <c r="E37" i="55"/>
  <c r="E33" i="55"/>
  <c r="F33" i="55"/>
  <c r="F30" i="55"/>
  <c r="F31" i="55"/>
  <c r="F32" i="55"/>
  <c r="F26" i="55"/>
  <c r="F27" i="55"/>
  <c r="F28" i="55"/>
  <c r="F29" i="55"/>
  <c r="F23" i="55"/>
  <c r="F24" i="55"/>
  <c r="F25" i="55"/>
  <c r="E30" i="55"/>
  <c r="E31" i="55"/>
  <c r="E32" i="55"/>
  <c r="E26" i="55"/>
  <c r="E27" i="55"/>
  <c r="E28" i="55"/>
  <c r="E29" i="55"/>
  <c r="E25" i="55"/>
  <c r="E23" i="55"/>
  <c r="E24" i="55"/>
  <c r="C34" i="55"/>
  <c r="D34" i="55"/>
  <c r="I81" i="54"/>
  <c r="E81" i="54"/>
  <c r="F81" i="54"/>
  <c r="G81" i="54"/>
  <c r="H81" i="54"/>
  <c r="O157" i="32"/>
  <c r="I66" i="54"/>
  <c r="O156" i="32"/>
  <c r="O155" i="32"/>
  <c r="G157" i="45"/>
  <c r="O154" i="32"/>
  <c r="O153" i="32"/>
  <c r="O152" i="32"/>
  <c r="O151" i="32"/>
  <c r="D19" i="55"/>
  <c r="C19" i="55"/>
  <c r="M44" i="31"/>
  <c r="M43" i="30"/>
  <c r="F44" i="29"/>
  <c r="Q43" i="28"/>
  <c r="O149" i="32"/>
  <c r="O150" i="32"/>
  <c r="O148" i="32"/>
  <c r="F120" i="45"/>
  <c r="G120" i="45"/>
  <c r="G122" i="45"/>
  <c r="G125" i="45"/>
  <c r="F126" i="45"/>
  <c r="G126" i="45"/>
  <c r="F131" i="45"/>
  <c r="G131" i="45"/>
  <c r="F134" i="45"/>
  <c r="G134" i="45"/>
  <c r="F145" i="45"/>
  <c r="G145" i="45"/>
  <c r="F43" i="29"/>
  <c r="T27" i="30"/>
  <c r="T26" i="30"/>
  <c r="Q44" i="27"/>
  <c r="P44" i="27"/>
  <c r="O44" i="27"/>
  <c r="N44" i="27"/>
  <c r="L44" i="27"/>
  <c r="K44" i="27"/>
  <c r="I44" i="27"/>
  <c r="H44" i="27"/>
  <c r="F44" i="27"/>
  <c r="E44" i="27"/>
  <c r="Q43" i="27"/>
  <c r="P43" i="27"/>
  <c r="O43" i="27"/>
  <c r="N43" i="27"/>
  <c r="L43" i="27"/>
  <c r="K43" i="27"/>
  <c r="I43" i="27"/>
  <c r="H43" i="27"/>
  <c r="F43" i="27"/>
  <c r="E43" i="27"/>
  <c r="Q41" i="27"/>
  <c r="P41" i="27"/>
  <c r="O41" i="27"/>
  <c r="N41" i="27"/>
  <c r="L41" i="27"/>
  <c r="K41" i="27"/>
  <c r="I41" i="27"/>
  <c r="H41" i="27"/>
  <c r="F41" i="27"/>
  <c r="E41" i="27"/>
  <c r="Q40" i="27"/>
  <c r="P40" i="27"/>
  <c r="O40" i="27"/>
  <c r="N40" i="27"/>
  <c r="L40" i="27"/>
  <c r="K40" i="27"/>
  <c r="I40" i="27"/>
  <c r="H40" i="27"/>
  <c r="F40" i="27"/>
  <c r="E40" i="27"/>
  <c r="Q39" i="27"/>
  <c r="P39" i="27"/>
  <c r="O39" i="27"/>
  <c r="N39" i="27"/>
  <c r="L39" i="27"/>
  <c r="K39" i="27"/>
  <c r="I39" i="27"/>
  <c r="H39" i="27"/>
  <c r="F39" i="27"/>
  <c r="E39" i="27"/>
  <c r="Q38" i="27"/>
  <c r="P38" i="27"/>
  <c r="O38" i="27"/>
  <c r="N38" i="27"/>
  <c r="L38" i="27"/>
  <c r="K38" i="27"/>
  <c r="I38" i="27"/>
  <c r="H38" i="27"/>
  <c r="F38" i="27"/>
  <c r="E38" i="27"/>
  <c r="Q37" i="27"/>
  <c r="P37" i="27"/>
  <c r="O37" i="27"/>
  <c r="N37" i="27"/>
  <c r="L37" i="27"/>
  <c r="K37" i="27"/>
  <c r="I37" i="27"/>
  <c r="H37" i="27"/>
  <c r="F37" i="27"/>
  <c r="E37" i="27"/>
  <c r="Q36" i="27"/>
  <c r="P36" i="27"/>
  <c r="O36" i="27"/>
  <c r="N36" i="27"/>
  <c r="L36" i="27"/>
  <c r="K36" i="27"/>
  <c r="I36" i="27"/>
  <c r="H36" i="27"/>
  <c r="F36" i="27"/>
  <c r="E36" i="27"/>
  <c r="Q35" i="27"/>
  <c r="P35" i="27"/>
  <c r="O35" i="27"/>
  <c r="N35" i="27"/>
  <c r="L35" i="27"/>
  <c r="K35" i="27"/>
  <c r="I35" i="27"/>
  <c r="H35" i="27"/>
  <c r="F35" i="27"/>
  <c r="E35" i="27"/>
  <c r="Q34" i="27"/>
  <c r="P34" i="27"/>
  <c r="O34" i="27"/>
  <c r="N34" i="27"/>
  <c r="L34" i="27"/>
  <c r="K34" i="27"/>
  <c r="I34" i="27"/>
  <c r="H34" i="27"/>
  <c r="F34" i="27"/>
  <c r="E34" i="27"/>
  <c r="Q33" i="27"/>
  <c r="P33" i="27"/>
  <c r="O33" i="27"/>
  <c r="N33" i="27"/>
  <c r="L33" i="27"/>
  <c r="K33" i="27"/>
  <c r="I33" i="27"/>
  <c r="H33" i="27"/>
  <c r="F33" i="27"/>
  <c r="E33" i="27"/>
  <c r="Q32" i="27"/>
  <c r="P32" i="27"/>
  <c r="O32" i="27"/>
  <c r="N32" i="27"/>
  <c r="L32" i="27"/>
  <c r="K32" i="27"/>
  <c r="I32" i="27"/>
  <c r="H32" i="27"/>
  <c r="F32" i="27"/>
  <c r="E32" i="27"/>
  <c r="Q31" i="27"/>
  <c r="P31" i="27"/>
  <c r="O31" i="27"/>
  <c r="N31" i="27"/>
  <c r="L31" i="27"/>
  <c r="K31" i="27"/>
  <c r="I31" i="27"/>
  <c r="H31" i="27"/>
  <c r="F31" i="27"/>
  <c r="E31" i="27"/>
  <c r="Q30" i="27"/>
  <c r="P30" i="27"/>
  <c r="O30" i="27"/>
  <c r="N30" i="27"/>
  <c r="L30" i="27"/>
  <c r="K30" i="27"/>
  <c r="I30" i="27"/>
  <c r="H30" i="27"/>
  <c r="F30" i="27"/>
  <c r="E30" i="27"/>
  <c r="Q29" i="27"/>
  <c r="P29" i="27"/>
  <c r="O29" i="27"/>
  <c r="N29" i="27"/>
  <c r="L29" i="27"/>
  <c r="K29" i="27"/>
  <c r="I29" i="27"/>
  <c r="H29" i="27"/>
  <c r="F29" i="27"/>
  <c r="E29" i="27"/>
  <c r="Q28" i="27"/>
  <c r="P28" i="27"/>
  <c r="O28" i="27"/>
  <c r="N28" i="27"/>
  <c r="L28" i="27"/>
  <c r="K28" i="27"/>
  <c r="I28" i="27"/>
  <c r="H28" i="27"/>
  <c r="F28" i="27"/>
  <c r="E28" i="27"/>
  <c r="Q27" i="27"/>
  <c r="P27" i="27"/>
  <c r="O27" i="27"/>
  <c r="N27" i="27"/>
  <c r="L27" i="27"/>
  <c r="K27" i="27"/>
  <c r="I27" i="27"/>
  <c r="H27" i="27"/>
  <c r="F27" i="27"/>
  <c r="E27" i="27"/>
  <c r="Q26" i="27"/>
  <c r="P26" i="27"/>
  <c r="O26" i="27"/>
  <c r="N26" i="27"/>
  <c r="L26" i="27"/>
  <c r="K26" i="27"/>
  <c r="I26" i="27"/>
  <c r="H26" i="27"/>
  <c r="F26" i="27"/>
  <c r="E26" i="27"/>
  <c r="Q25" i="27"/>
  <c r="P25" i="27"/>
  <c r="O25" i="27"/>
  <c r="N25" i="27"/>
  <c r="L25" i="27"/>
  <c r="K25" i="27"/>
  <c r="I25" i="27"/>
  <c r="H25" i="27"/>
  <c r="F25" i="27"/>
  <c r="E25" i="27"/>
  <c r="Q24" i="27"/>
  <c r="P24" i="27"/>
  <c r="O24" i="27"/>
  <c r="N24" i="27"/>
  <c r="L24" i="27"/>
  <c r="K24" i="27"/>
  <c r="I24" i="27"/>
  <c r="H24" i="27"/>
  <c r="F24" i="27"/>
  <c r="E24" i="27"/>
  <c r="Q23" i="27"/>
  <c r="P23" i="27"/>
  <c r="O23" i="27"/>
  <c r="N23" i="27"/>
  <c r="L23" i="27"/>
  <c r="K23" i="27"/>
  <c r="I23" i="27"/>
  <c r="H23" i="27"/>
  <c r="F23" i="27"/>
  <c r="E23" i="27"/>
  <c r="Q22" i="27"/>
  <c r="P22" i="27"/>
  <c r="O22" i="27"/>
  <c r="N22" i="27"/>
  <c r="L22" i="27"/>
  <c r="K22" i="27"/>
  <c r="I22" i="27"/>
  <c r="H22" i="27"/>
  <c r="F22" i="27"/>
  <c r="E22" i="27"/>
  <c r="Q21" i="27"/>
  <c r="P21" i="27"/>
  <c r="O21" i="27"/>
  <c r="N21" i="27"/>
  <c r="L21" i="27"/>
  <c r="K21" i="27"/>
  <c r="I21" i="27"/>
  <c r="H21" i="27"/>
  <c r="F21" i="27"/>
  <c r="E21" i="27"/>
  <c r="Q20" i="27"/>
  <c r="P20" i="27"/>
  <c r="O20" i="27"/>
  <c r="N20" i="27"/>
  <c r="L20" i="27"/>
  <c r="K20" i="27"/>
  <c r="I20" i="27"/>
  <c r="H20" i="27"/>
  <c r="F20" i="27"/>
  <c r="E20" i="27"/>
  <c r="Q19" i="27"/>
  <c r="P19" i="27"/>
  <c r="O19" i="27"/>
  <c r="N19" i="27"/>
  <c r="L19" i="27"/>
  <c r="K19" i="27"/>
  <c r="I19" i="27"/>
  <c r="H19" i="27"/>
  <c r="F19" i="27"/>
  <c r="E19" i="27"/>
  <c r="Q18" i="27"/>
  <c r="P18" i="27"/>
  <c r="O18" i="27"/>
  <c r="N18" i="27"/>
  <c r="L18" i="27"/>
  <c r="K18" i="27"/>
  <c r="I18" i="27"/>
  <c r="H18" i="27"/>
  <c r="F18" i="27"/>
  <c r="E18" i="27"/>
  <c r="Q17" i="27"/>
  <c r="P17" i="27"/>
  <c r="O17" i="27"/>
  <c r="N17" i="27"/>
  <c r="L17" i="27"/>
  <c r="K17" i="27"/>
  <c r="I17" i="27"/>
  <c r="H17" i="27"/>
  <c r="F17" i="27"/>
  <c r="E17" i="27"/>
  <c r="Q16" i="27"/>
  <c r="P16" i="27"/>
  <c r="O16" i="27"/>
  <c r="N16" i="27"/>
  <c r="L16" i="27"/>
  <c r="K16" i="27"/>
  <c r="I16" i="27"/>
  <c r="H16" i="27"/>
  <c r="F16" i="27"/>
  <c r="E16" i="27"/>
  <c r="Q15" i="27"/>
  <c r="P15" i="27"/>
  <c r="O15" i="27"/>
  <c r="N15" i="27"/>
  <c r="L15" i="27"/>
  <c r="K15" i="27"/>
  <c r="I15" i="27"/>
  <c r="H15" i="27"/>
  <c r="F15" i="27"/>
  <c r="E15" i="27"/>
  <c r="T43" i="26"/>
  <c r="S43" i="26"/>
  <c r="Q43" i="26"/>
  <c r="P43" i="26"/>
  <c r="O43" i="26"/>
  <c r="N43" i="26"/>
  <c r="M43" i="26"/>
  <c r="L43" i="26"/>
  <c r="K43" i="26"/>
  <c r="J43" i="26"/>
  <c r="I43" i="26"/>
  <c r="H43" i="26"/>
  <c r="G43" i="26"/>
  <c r="F43" i="26"/>
  <c r="E43" i="26"/>
  <c r="D43" i="26"/>
  <c r="C43" i="26"/>
  <c r="T42" i="26"/>
  <c r="S42" i="26"/>
  <c r="Q42" i="26"/>
  <c r="P42" i="26"/>
  <c r="O42" i="26"/>
  <c r="N42" i="26"/>
  <c r="M42" i="26"/>
  <c r="L42" i="26"/>
  <c r="K42" i="26"/>
  <c r="J42" i="26"/>
  <c r="I42" i="26"/>
  <c r="H42" i="26"/>
  <c r="G42" i="26"/>
  <c r="F42" i="26"/>
  <c r="E42" i="26"/>
  <c r="D42" i="26"/>
  <c r="C42" i="26"/>
  <c r="W40" i="26"/>
  <c r="Y40" i="26" s="1"/>
  <c r="T39" i="26"/>
  <c r="S39" i="26"/>
  <c r="Q39" i="26"/>
  <c r="P39" i="26"/>
  <c r="O39" i="26"/>
  <c r="N39" i="26"/>
  <c r="M39" i="26"/>
  <c r="L39" i="26"/>
  <c r="K39" i="26"/>
  <c r="J39" i="26"/>
  <c r="I39" i="26"/>
  <c r="H39" i="26"/>
  <c r="G39" i="26"/>
  <c r="F39" i="26"/>
  <c r="E39" i="26"/>
  <c r="D39" i="26"/>
  <c r="C39" i="26"/>
  <c r="T38" i="26"/>
  <c r="S38" i="26"/>
  <c r="Q38" i="26"/>
  <c r="P38" i="26"/>
  <c r="O38" i="26"/>
  <c r="N38" i="26"/>
  <c r="M38" i="26"/>
  <c r="L38" i="26"/>
  <c r="K38" i="26"/>
  <c r="J38" i="26"/>
  <c r="I38" i="26"/>
  <c r="H38" i="26"/>
  <c r="G38" i="26"/>
  <c r="F38" i="26"/>
  <c r="E38" i="26"/>
  <c r="D38" i="26"/>
  <c r="C38" i="26"/>
  <c r="T37" i="26"/>
  <c r="S37" i="26"/>
  <c r="Q37" i="26"/>
  <c r="P37" i="26"/>
  <c r="O37" i="26"/>
  <c r="N37" i="26"/>
  <c r="M37" i="26"/>
  <c r="L37" i="26"/>
  <c r="K37" i="26"/>
  <c r="J37" i="26"/>
  <c r="I37" i="26"/>
  <c r="H37" i="26"/>
  <c r="G37" i="26"/>
  <c r="F37" i="26"/>
  <c r="E37" i="26"/>
  <c r="D37" i="26"/>
  <c r="C37" i="26"/>
  <c r="T36" i="26"/>
  <c r="S36" i="26"/>
  <c r="Q36" i="26"/>
  <c r="P36" i="26"/>
  <c r="O36" i="26"/>
  <c r="N36" i="26"/>
  <c r="M36" i="26"/>
  <c r="L36" i="26"/>
  <c r="K36" i="26"/>
  <c r="J36" i="26"/>
  <c r="I36" i="26"/>
  <c r="H36" i="26"/>
  <c r="G36" i="26"/>
  <c r="F36" i="26"/>
  <c r="E36" i="26"/>
  <c r="D36" i="26"/>
  <c r="C36" i="26"/>
  <c r="T35" i="26"/>
  <c r="S35" i="26"/>
  <c r="Q35" i="26"/>
  <c r="P35" i="26"/>
  <c r="O35" i="26"/>
  <c r="N35" i="26"/>
  <c r="M35" i="26"/>
  <c r="L35" i="26"/>
  <c r="K35" i="26"/>
  <c r="J35" i="26"/>
  <c r="I35" i="26"/>
  <c r="H35" i="26"/>
  <c r="G35" i="26"/>
  <c r="F35" i="26"/>
  <c r="E35" i="26"/>
  <c r="D35" i="26"/>
  <c r="C35" i="26"/>
  <c r="T34" i="26"/>
  <c r="S34" i="26"/>
  <c r="Q34" i="26"/>
  <c r="P34" i="26"/>
  <c r="O34" i="26"/>
  <c r="N34" i="26"/>
  <c r="M34" i="26"/>
  <c r="L34" i="26"/>
  <c r="K34" i="26"/>
  <c r="J34" i="26"/>
  <c r="I34" i="26"/>
  <c r="H34" i="26"/>
  <c r="G34" i="26"/>
  <c r="F34" i="26"/>
  <c r="E34" i="26"/>
  <c r="D34" i="26"/>
  <c r="C34" i="26"/>
  <c r="T33" i="26"/>
  <c r="S33" i="26"/>
  <c r="Q33" i="26"/>
  <c r="P33" i="26"/>
  <c r="O33" i="26"/>
  <c r="N33" i="26"/>
  <c r="M33" i="26"/>
  <c r="L33" i="26"/>
  <c r="K33" i="26"/>
  <c r="J33" i="26"/>
  <c r="I33" i="26"/>
  <c r="H33" i="26"/>
  <c r="G33" i="26"/>
  <c r="F33" i="26"/>
  <c r="E33" i="26"/>
  <c r="D33" i="26"/>
  <c r="C33" i="26"/>
  <c r="T32" i="26"/>
  <c r="S32" i="26"/>
  <c r="Q32" i="26"/>
  <c r="P32" i="26"/>
  <c r="O32" i="26"/>
  <c r="N32" i="26"/>
  <c r="M32" i="26"/>
  <c r="L32" i="26"/>
  <c r="K32" i="26"/>
  <c r="J32" i="26"/>
  <c r="I32" i="26"/>
  <c r="H32" i="26"/>
  <c r="G32" i="26"/>
  <c r="F32" i="26"/>
  <c r="E32" i="26"/>
  <c r="D32" i="26"/>
  <c r="C32" i="26"/>
  <c r="T31" i="26"/>
  <c r="S31" i="26"/>
  <c r="Q31" i="26"/>
  <c r="P31" i="26"/>
  <c r="O31" i="26"/>
  <c r="N31" i="26"/>
  <c r="M31" i="26"/>
  <c r="L31" i="26"/>
  <c r="K31" i="26"/>
  <c r="J31" i="26"/>
  <c r="I31" i="26"/>
  <c r="H31" i="26"/>
  <c r="G31" i="26"/>
  <c r="F31" i="26"/>
  <c r="E31" i="26"/>
  <c r="D31" i="26"/>
  <c r="C31" i="26"/>
  <c r="T30" i="26"/>
  <c r="S30" i="26"/>
  <c r="Q30" i="26"/>
  <c r="P30" i="26"/>
  <c r="O30" i="26"/>
  <c r="N30" i="26"/>
  <c r="M30" i="26"/>
  <c r="L30" i="26"/>
  <c r="K30" i="26"/>
  <c r="J30" i="26"/>
  <c r="I30" i="26"/>
  <c r="H30" i="26"/>
  <c r="G30" i="26"/>
  <c r="F30" i="26"/>
  <c r="E30" i="26"/>
  <c r="D30" i="26"/>
  <c r="C30" i="26"/>
  <c r="T29" i="26"/>
  <c r="S29" i="26"/>
  <c r="Q29" i="26"/>
  <c r="P29" i="26"/>
  <c r="O29" i="26"/>
  <c r="N29" i="26"/>
  <c r="M29" i="26"/>
  <c r="L29" i="26"/>
  <c r="K29" i="26"/>
  <c r="J29" i="26"/>
  <c r="I29" i="26"/>
  <c r="H29" i="26"/>
  <c r="G29" i="26"/>
  <c r="F29" i="26"/>
  <c r="E29" i="26"/>
  <c r="D29" i="26"/>
  <c r="C29" i="26"/>
  <c r="T28" i="26"/>
  <c r="S28" i="26"/>
  <c r="Q28" i="26"/>
  <c r="P28" i="26"/>
  <c r="O28" i="26"/>
  <c r="N28" i="26"/>
  <c r="M28" i="26"/>
  <c r="L28" i="26"/>
  <c r="K28" i="26"/>
  <c r="J28" i="26"/>
  <c r="I28" i="26"/>
  <c r="H28" i="26"/>
  <c r="G28" i="26"/>
  <c r="F28" i="26"/>
  <c r="E28" i="26"/>
  <c r="D28" i="26"/>
  <c r="C28" i="26"/>
  <c r="W27" i="26"/>
  <c r="W26" i="26"/>
  <c r="T25" i="26"/>
  <c r="S25" i="26"/>
  <c r="Q25" i="26"/>
  <c r="P25" i="26"/>
  <c r="O25" i="26"/>
  <c r="N25" i="26"/>
  <c r="M25" i="26"/>
  <c r="L25" i="26"/>
  <c r="K25" i="26"/>
  <c r="J25" i="26"/>
  <c r="I25" i="26"/>
  <c r="H25" i="26"/>
  <c r="G25" i="26"/>
  <c r="F25" i="26"/>
  <c r="E25" i="26"/>
  <c r="D25" i="26"/>
  <c r="C25" i="26"/>
  <c r="T24" i="26"/>
  <c r="S24" i="26"/>
  <c r="Q24" i="26"/>
  <c r="P24" i="26"/>
  <c r="O24" i="26"/>
  <c r="N24" i="26"/>
  <c r="M24" i="26"/>
  <c r="L24" i="26"/>
  <c r="K24" i="26"/>
  <c r="J24" i="26"/>
  <c r="I24" i="26"/>
  <c r="H24" i="26"/>
  <c r="G24" i="26"/>
  <c r="F24" i="26"/>
  <c r="E24" i="26"/>
  <c r="D24" i="26"/>
  <c r="C24" i="26"/>
  <c r="T23" i="26"/>
  <c r="S23" i="26"/>
  <c r="Q23" i="26"/>
  <c r="P23" i="26"/>
  <c r="O23" i="26"/>
  <c r="N23" i="26"/>
  <c r="M23" i="26"/>
  <c r="L23" i="26"/>
  <c r="K23" i="26"/>
  <c r="J23" i="26"/>
  <c r="I23" i="26"/>
  <c r="H23" i="26"/>
  <c r="G23" i="26"/>
  <c r="F23" i="26"/>
  <c r="E23" i="26"/>
  <c r="D23" i="26"/>
  <c r="C23" i="26"/>
  <c r="T22" i="26"/>
  <c r="S22" i="26"/>
  <c r="Q22" i="26"/>
  <c r="P22" i="26"/>
  <c r="O22" i="26"/>
  <c r="N22" i="26"/>
  <c r="M22" i="26"/>
  <c r="L22" i="26"/>
  <c r="K22" i="26"/>
  <c r="J22" i="26"/>
  <c r="I22" i="26"/>
  <c r="H22" i="26"/>
  <c r="G22" i="26"/>
  <c r="F22" i="26"/>
  <c r="E22" i="26"/>
  <c r="D22" i="26"/>
  <c r="C22" i="26"/>
  <c r="T21" i="26"/>
  <c r="S21" i="26"/>
  <c r="Q21" i="26"/>
  <c r="P21" i="26"/>
  <c r="O21" i="26"/>
  <c r="N21" i="26"/>
  <c r="M21" i="26"/>
  <c r="L21" i="26"/>
  <c r="K21" i="26"/>
  <c r="J21" i="26"/>
  <c r="I21" i="26"/>
  <c r="H21" i="26"/>
  <c r="G21" i="26"/>
  <c r="F21" i="26"/>
  <c r="E21" i="26"/>
  <c r="D21" i="26"/>
  <c r="C21" i="26"/>
  <c r="T20" i="26"/>
  <c r="S20" i="26"/>
  <c r="Q20" i="26"/>
  <c r="P20" i="26"/>
  <c r="O20" i="26"/>
  <c r="N20" i="26"/>
  <c r="M20" i="26"/>
  <c r="L20" i="26"/>
  <c r="K20" i="26"/>
  <c r="J20" i="26"/>
  <c r="I20" i="26"/>
  <c r="H20" i="26"/>
  <c r="G20" i="26"/>
  <c r="F20" i="26"/>
  <c r="E20" i="26"/>
  <c r="D20" i="26"/>
  <c r="C20" i="26"/>
  <c r="T19" i="26"/>
  <c r="S19" i="26"/>
  <c r="Q19" i="26"/>
  <c r="P19" i="26"/>
  <c r="O19" i="26"/>
  <c r="N19" i="26"/>
  <c r="M19" i="26"/>
  <c r="L19" i="26"/>
  <c r="K19" i="26"/>
  <c r="J19" i="26"/>
  <c r="I19" i="26"/>
  <c r="H19" i="26"/>
  <c r="G19" i="26"/>
  <c r="F19" i="26"/>
  <c r="E19" i="26"/>
  <c r="D19" i="26"/>
  <c r="C19" i="26"/>
  <c r="T18" i="26"/>
  <c r="S18" i="26"/>
  <c r="Q18" i="26"/>
  <c r="P18" i="26"/>
  <c r="O18" i="26"/>
  <c r="N18" i="26"/>
  <c r="M18" i="26"/>
  <c r="L18" i="26"/>
  <c r="K18" i="26"/>
  <c r="J18" i="26"/>
  <c r="I18" i="26"/>
  <c r="H18" i="26"/>
  <c r="G18" i="26"/>
  <c r="F18" i="26"/>
  <c r="E18" i="26"/>
  <c r="D18" i="26"/>
  <c r="C18" i="26"/>
  <c r="T17" i="26"/>
  <c r="S17" i="26"/>
  <c r="Q17" i="26"/>
  <c r="P17" i="26"/>
  <c r="O17" i="26"/>
  <c r="N17" i="26"/>
  <c r="M17" i="26"/>
  <c r="L17" i="26"/>
  <c r="K17" i="26"/>
  <c r="J17" i="26"/>
  <c r="I17" i="26"/>
  <c r="H17" i="26"/>
  <c r="G17" i="26"/>
  <c r="F17" i="26"/>
  <c r="E17" i="26"/>
  <c r="D17" i="26"/>
  <c r="C17" i="26"/>
  <c r="T16" i="26"/>
  <c r="S16" i="26"/>
  <c r="Q16" i="26"/>
  <c r="P16" i="26"/>
  <c r="O16" i="26"/>
  <c r="N16" i="26"/>
  <c r="M16" i="26"/>
  <c r="L16" i="26"/>
  <c r="K16" i="26"/>
  <c r="J16" i="26"/>
  <c r="I16" i="26"/>
  <c r="H16" i="26"/>
  <c r="G16" i="26"/>
  <c r="F16" i="26"/>
  <c r="E16" i="26"/>
  <c r="D16" i="26"/>
  <c r="C16" i="26"/>
  <c r="T15" i="26"/>
  <c r="S15" i="26"/>
  <c r="Q15" i="26"/>
  <c r="P15" i="26"/>
  <c r="O15" i="26"/>
  <c r="N15" i="26"/>
  <c r="M15" i="26"/>
  <c r="L15" i="26"/>
  <c r="K15" i="26"/>
  <c r="J15" i="26"/>
  <c r="I15" i="26"/>
  <c r="H15" i="26"/>
  <c r="G15" i="26"/>
  <c r="F15" i="26"/>
  <c r="E15" i="26"/>
  <c r="D15" i="26"/>
  <c r="C15" i="26"/>
  <c r="T14" i="26"/>
  <c r="S14" i="26"/>
  <c r="Q14" i="26"/>
  <c r="P14" i="26"/>
  <c r="O14" i="26"/>
  <c r="N14" i="26"/>
  <c r="M14" i="26"/>
  <c r="L14" i="26"/>
  <c r="K14" i="26"/>
  <c r="J14" i="26"/>
  <c r="I14" i="26"/>
  <c r="H14" i="26"/>
  <c r="G14" i="26"/>
  <c r="F14" i="26"/>
  <c r="E14" i="26"/>
  <c r="D14" i="26"/>
  <c r="C14" i="26"/>
  <c r="S44" i="25"/>
  <c r="R44" i="25"/>
  <c r="Q44" i="25"/>
  <c r="P44" i="25"/>
  <c r="O44" i="25"/>
  <c r="N44" i="25"/>
  <c r="M44" i="25"/>
  <c r="L44" i="25"/>
  <c r="L44" i="29" s="1"/>
  <c r="J44" i="25"/>
  <c r="I44" i="25"/>
  <c r="G44" i="25"/>
  <c r="E44" i="25"/>
  <c r="S43" i="25"/>
  <c r="R43" i="25"/>
  <c r="Q43" i="25"/>
  <c r="P43" i="25"/>
  <c r="O43" i="25"/>
  <c r="N43" i="25"/>
  <c r="M43" i="25"/>
  <c r="L43" i="25"/>
  <c r="J43" i="25"/>
  <c r="I43" i="25"/>
  <c r="G43" i="25"/>
  <c r="E43" i="25"/>
  <c r="S40" i="25"/>
  <c r="R40" i="25"/>
  <c r="Q40" i="25"/>
  <c r="P40" i="25"/>
  <c r="O40" i="25"/>
  <c r="N40" i="25"/>
  <c r="M40" i="25"/>
  <c r="L40" i="25"/>
  <c r="J40" i="25"/>
  <c r="I40" i="25"/>
  <c r="G40" i="25"/>
  <c r="E40" i="25"/>
  <c r="S39" i="25"/>
  <c r="R39" i="25"/>
  <c r="Q39" i="25"/>
  <c r="P39" i="25"/>
  <c r="O39" i="25"/>
  <c r="N39" i="25"/>
  <c r="M39" i="25"/>
  <c r="L39" i="25"/>
  <c r="J39" i="25"/>
  <c r="I39" i="25"/>
  <c r="G39" i="25"/>
  <c r="E39" i="25"/>
  <c r="S38" i="25"/>
  <c r="R38" i="25"/>
  <c r="Q38" i="25"/>
  <c r="P38" i="25"/>
  <c r="O38" i="25"/>
  <c r="N38" i="25"/>
  <c r="M38" i="25"/>
  <c r="L38" i="25"/>
  <c r="J38" i="25"/>
  <c r="I38" i="25"/>
  <c r="G38" i="25"/>
  <c r="E38" i="25"/>
  <c r="S37" i="25"/>
  <c r="R37" i="25"/>
  <c r="Q37" i="25"/>
  <c r="P37" i="25"/>
  <c r="O37" i="25"/>
  <c r="N37" i="25"/>
  <c r="M37" i="25"/>
  <c r="L37" i="25"/>
  <c r="J37" i="25"/>
  <c r="I37" i="25"/>
  <c r="G37" i="25"/>
  <c r="E37" i="25"/>
  <c r="S36" i="25"/>
  <c r="R36" i="25"/>
  <c r="Q36" i="25"/>
  <c r="P36" i="25"/>
  <c r="O36" i="25"/>
  <c r="N36" i="25"/>
  <c r="M36" i="25"/>
  <c r="L36" i="25"/>
  <c r="J36" i="25"/>
  <c r="I36" i="25"/>
  <c r="G36" i="25"/>
  <c r="E36" i="25"/>
  <c r="S35" i="25"/>
  <c r="R35" i="25"/>
  <c r="Q35" i="25"/>
  <c r="P35" i="25"/>
  <c r="O35" i="25"/>
  <c r="N35" i="25"/>
  <c r="M35" i="25"/>
  <c r="L35" i="25"/>
  <c r="J35" i="25"/>
  <c r="I35" i="25"/>
  <c r="G35" i="25"/>
  <c r="E35" i="25"/>
  <c r="S34" i="25"/>
  <c r="R34" i="25"/>
  <c r="Q34" i="25"/>
  <c r="P34" i="25"/>
  <c r="O34" i="25"/>
  <c r="N34" i="25"/>
  <c r="M34" i="25"/>
  <c r="L34" i="25"/>
  <c r="J34" i="25"/>
  <c r="I34" i="25"/>
  <c r="G34" i="25"/>
  <c r="E34" i="25"/>
  <c r="S33" i="25"/>
  <c r="R33" i="25"/>
  <c r="Q33" i="25"/>
  <c r="P33" i="25"/>
  <c r="O33" i="25"/>
  <c r="N33" i="25"/>
  <c r="M33" i="25"/>
  <c r="L33" i="25"/>
  <c r="J33" i="25"/>
  <c r="I33" i="25"/>
  <c r="G33" i="25"/>
  <c r="E33" i="25"/>
  <c r="S32" i="25"/>
  <c r="R32" i="25"/>
  <c r="Q32" i="25"/>
  <c r="P32" i="25"/>
  <c r="O32" i="25"/>
  <c r="N32" i="25"/>
  <c r="M32" i="25"/>
  <c r="L32" i="25"/>
  <c r="J32" i="25"/>
  <c r="I32" i="25"/>
  <c r="G32" i="25"/>
  <c r="E32" i="25"/>
  <c r="S31" i="25"/>
  <c r="R31" i="25"/>
  <c r="Q31" i="25"/>
  <c r="P31" i="25"/>
  <c r="O31" i="25"/>
  <c r="N31" i="25"/>
  <c r="M31" i="25"/>
  <c r="L31" i="25"/>
  <c r="J31" i="25"/>
  <c r="I31" i="25"/>
  <c r="G31" i="25"/>
  <c r="E31" i="25"/>
  <c r="S30" i="25"/>
  <c r="R30" i="25"/>
  <c r="Q30" i="25"/>
  <c r="P30" i="25"/>
  <c r="O30" i="25"/>
  <c r="N30" i="25"/>
  <c r="M30" i="25"/>
  <c r="L30" i="25"/>
  <c r="J30" i="25"/>
  <c r="I30" i="25"/>
  <c r="G30" i="25"/>
  <c r="E30" i="25"/>
  <c r="S29" i="25"/>
  <c r="R29" i="25"/>
  <c r="Q29" i="25"/>
  <c r="P29" i="25"/>
  <c r="O29" i="25"/>
  <c r="N29" i="25"/>
  <c r="M29" i="25"/>
  <c r="L29" i="25"/>
  <c r="J29" i="25"/>
  <c r="I29" i="25"/>
  <c r="G29" i="25"/>
  <c r="E29" i="25"/>
  <c r="S26" i="25"/>
  <c r="R26" i="25"/>
  <c r="Q26" i="25"/>
  <c r="P26" i="25"/>
  <c r="O26" i="25"/>
  <c r="N26" i="25"/>
  <c r="M26" i="25"/>
  <c r="L26" i="25"/>
  <c r="J26" i="25"/>
  <c r="I26" i="25"/>
  <c r="G26" i="25"/>
  <c r="E26" i="25"/>
  <c r="S25" i="25"/>
  <c r="R25" i="25"/>
  <c r="Q25" i="25"/>
  <c r="P25" i="25"/>
  <c r="O25" i="25"/>
  <c r="N25" i="25"/>
  <c r="M25" i="25"/>
  <c r="L25" i="25"/>
  <c r="J25" i="25"/>
  <c r="I25" i="25"/>
  <c r="G25" i="25"/>
  <c r="E25" i="25"/>
  <c r="S24" i="25"/>
  <c r="R24" i="25"/>
  <c r="Q24" i="25"/>
  <c r="P24" i="25"/>
  <c r="O24" i="25"/>
  <c r="N24" i="25"/>
  <c r="M24" i="25"/>
  <c r="L24" i="25"/>
  <c r="J24" i="25"/>
  <c r="I24" i="25"/>
  <c r="G24" i="25"/>
  <c r="E24" i="25"/>
  <c r="S23" i="25"/>
  <c r="R23" i="25"/>
  <c r="Q23" i="25"/>
  <c r="P23" i="25"/>
  <c r="O23" i="25"/>
  <c r="N23" i="25"/>
  <c r="M23" i="25"/>
  <c r="L23" i="25"/>
  <c r="J23" i="25"/>
  <c r="I23" i="25"/>
  <c r="G23" i="25"/>
  <c r="E23" i="25"/>
  <c r="S22" i="25"/>
  <c r="R22" i="25"/>
  <c r="Q22" i="25"/>
  <c r="P22" i="25"/>
  <c r="O22" i="25"/>
  <c r="N22" i="25"/>
  <c r="M22" i="25"/>
  <c r="L22" i="25"/>
  <c r="J22" i="25"/>
  <c r="I22" i="25"/>
  <c r="G22" i="25"/>
  <c r="E22" i="25"/>
  <c r="S21" i="25"/>
  <c r="R21" i="25"/>
  <c r="Q21" i="25"/>
  <c r="P21" i="25"/>
  <c r="O21" i="25"/>
  <c r="N21" i="25"/>
  <c r="M21" i="25"/>
  <c r="L21" i="25"/>
  <c r="J21" i="25"/>
  <c r="I21" i="25"/>
  <c r="G21" i="25"/>
  <c r="E21" i="25"/>
  <c r="S20" i="25"/>
  <c r="R20" i="25"/>
  <c r="Q20" i="25"/>
  <c r="P20" i="25"/>
  <c r="O20" i="25"/>
  <c r="N20" i="25"/>
  <c r="M20" i="25"/>
  <c r="L20" i="25"/>
  <c r="J20" i="25"/>
  <c r="I20" i="25"/>
  <c r="G20" i="25"/>
  <c r="E20" i="25"/>
  <c r="S19" i="25"/>
  <c r="R19" i="25"/>
  <c r="Q19" i="25"/>
  <c r="P19" i="25"/>
  <c r="O19" i="25"/>
  <c r="N19" i="25"/>
  <c r="M19" i="25"/>
  <c r="L19" i="25"/>
  <c r="J19" i="25"/>
  <c r="I19" i="25"/>
  <c r="G19" i="25"/>
  <c r="E19" i="25"/>
  <c r="S18" i="25"/>
  <c r="R18" i="25"/>
  <c r="Q18" i="25"/>
  <c r="P18" i="25"/>
  <c r="O18" i="25"/>
  <c r="N18" i="25"/>
  <c r="M18" i="25"/>
  <c r="L18" i="25"/>
  <c r="J18" i="25"/>
  <c r="I18" i="25"/>
  <c r="G18" i="25"/>
  <c r="E18" i="25"/>
  <c r="S17" i="25"/>
  <c r="R17" i="25"/>
  <c r="Q17" i="25"/>
  <c r="P17" i="25"/>
  <c r="O17" i="25"/>
  <c r="N17" i="25"/>
  <c r="M17" i="25"/>
  <c r="L17" i="25"/>
  <c r="J17" i="25"/>
  <c r="I17" i="25"/>
  <c r="G17" i="25"/>
  <c r="E17" i="25"/>
  <c r="S16" i="25"/>
  <c r="R16" i="25"/>
  <c r="Q16" i="25"/>
  <c r="P16" i="25"/>
  <c r="O16" i="25"/>
  <c r="N16" i="25"/>
  <c r="M16" i="25"/>
  <c r="L16" i="25"/>
  <c r="J16" i="25"/>
  <c r="I16" i="25"/>
  <c r="G16" i="25"/>
  <c r="E16" i="25"/>
  <c r="S15" i="25"/>
  <c r="R15" i="25"/>
  <c r="Q15" i="25"/>
  <c r="P15" i="25"/>
  <c r="O15" i="25"/>
  <c r="N15" i="25"/>
  <c r="M15" i="25"/>
  <c r="L15" i="25"/>
  <c r="J15" i="25"/>
  <c r="I15" i="25"/>
  <c r="G15" i="25"/>
  <c r="E15" i="25"/>
  <c r="S43" i="24"/>
  <c r="R43" i="24"/>
  <c r="Q43" i="24"/>
  <c r="P43" i="24"/>
  <c r="O43" i="24"/>
  <c r="N43" i="24"/>
  <c r="M43" i="24"/>
  <c r="L43" i="24"/>
  <c r="K43" i="24"/>
  <c r="J43" i="24"/>
  <c r="I43" i="24"/>
  <c r="H43" i="24"/>
  <c r="G43" i="24"/>
  <c r="F43" i="24"/>
  <c r="E43" i="24"/>
  <c r="D43" i="24"/>
  <c r="C43" i="24"/>
  <c r="S42" i="24"/>
  <c r="R42" i="24"/>
  <c r="Q42" i="24"/>
  <c r="P42" i="24"/>
  <c r="O42" i="24"/>
  <c r="N42" i="24"/>
  <c r="M42" i="24"/>
  <c r="L42" i="24"/>
  <c r="K42" i="24"/>
  <c r="J42" i="24"/>
  <c r="I42" i="24"/>
  <c r="H42" i="24"/>
  <c r="G42" i="24"/>
  <c r="F42" i="24"/>
  <c r="E42" i="24"/>
  <c r="D42" i="24"/>
  <c r="C42" i="24"/>
  <c r="S39" i="24"/>
  <c r="R39" i="24"/>
  <c r="Q39" i="24"/>
  <c r="P39" i="24"/>
  <c r="O39" i="24"/>
  <c r="N39" i="24"/>
  <c r="M39" i="24"/>
  <c r="L39" i="24"/>
  <c r="K39" i="24"/>
  <c r="J39" i="24"/>
  <c r="I39" i="24"/>
  <c r="H39" i="24"/>
  <c r="G39" i="24"/>
  <c r="F39" i="24"/>
  <c r="E39" i="24"/>
  <c r="D39" i="24"/>
  <c r="C39" i="24"/>
  <c r="S38" i="24"/>
  <c r="R38" i="24"/>
  <c r="Q38" i="24"/>
  <c r="P38" i="24"/>
  <c r="O38" i="24"/>
  <c r="N38" i="24"/>
  <c r="M38" i="24"/>
  <c r="L38" i="24"/>
  <c r="K38" i="24"/>
  <c r="J38" i="24"/>
  <c r="I38" i="24"/>
  <c r="H38" i="24"/>
  <c r="G38" i="24"/>
  <c r="F38" i="24"/>
  <c r="E38" i="24"/>
  <c r="D38" i="24"/>
  <c r="C38" i="24"/>
  <c r="S37" i="24"/>
  <c r="R37" i="24"/>
  <c r="Q37" i="24"/>
  <c r="P37" i="24"/>
  <c r="O37" i="24"/>
  <c r="N37" i="24"/>
  <c r="M37" i="24"/>
  <c r="L37" i="24"/>
  <c r="K37" i="24"/>
  <c r="J37" i="24"/>
  <c r="I37" i="24"/>
  <c r="H37" i="24"/>
  <c r="G37" i="24"/>
  <c r="F37" i="24"/>
  <c r="E37" i="24"/>
  <c r="D37" i="24"/>
  <c r="C37" i="24"/>
  <c r="S36" i="24"/>
  <c r="R36" i="24"/>
  <c r="Q36" i="24"/>
  <c r="P36" i="24"/>
  <c r="O36" i="24"/>
  <c r="N36" i="24"/>
  <c r="M36" i="24"/>
  <c r="L36" i="24"/>
  <c r="K36" i="24"/>
  <c r="J36" i="24"/>
  <c r="I36" i="24"/>
  <c r="H36" i="24"/>
  <c r="G36" i="24"/>
  <c r="F36" i="24"/>
  <c r="E36" i="24"/>
  <c r="D36" i="24"/>
  <c r="C36" i="24"/>
  <c r="S35" i="24"/>
  <c r="R35" i="24"/>
  <c r="Q35" i="24"/>
  <c r="P35" i="24"/>
  <c r="O35" i="24"/>
  <c r="N35" i="24"/>
  <c r="M35" i="24"/>
  <c r="L35" i="24"/>
  <c r="K35" i="24"/>
  <c r="J35" i="24"/>
  <c r="I35" i="24"/>
  <c r="H35" i="24"/>
  <c r="G35" i="24"/>
  <c r="F35" i="24"/>
  <c r="E35" i="24"/>
  <c r="D35" i="24"/>
  <c r="C35" i="24"/>
  <c r="S34" i="24"/>
  <c r="R34" i="24"/>
  <c r="Q34" i="24"/>
  <c r="P34" i="24"/>
  <c r="O34" i="24"/>
  <c r="N34" i="24"/>
  <c r="M34" i="24"/>
  <c r="L34" i="24"/>
  <c r="K34" i="24"/>
  <c r="J34" i="24"/>
  <c r="I34" i="24"/>
  <c r="H34" i="24"/>
  <c r="G34" i="24"/>
  <c r="F34" i="24"/>
  <c r="E34" i="24"/>
  <c r="D34" i="24"/>
  <c r="C34" i="24"/>
  <c r="S33" i="24"/>
  <c r="R33" i="24"/>
  <c r="Q33" i="24"/>
  <c r="P33" i="24"/>
  <c r="O33" i="24"/>
  <c r="N33" i="24"/>
  <c r="M33" i="24"/>
  <c r="L33" i="24"/>
  <c r="K33" i="24"/>
  <c r="J33" i="24"/>
  <c r="I33" i="24"/>
  <c r="H33" i="24"/>
  <c r="G33" i="24"/>
  <c r="F33" i="24"/>
  <c r="E33" i="24"/>
  <c r="D33" i="24"/>
  <c r="C33" i="24"/>
  <c r="S32" i="24"/>
  <c r="R32" i="24"/>
  <c r="Q32" i="24"/>
  <c r="P32" i="24"/>
  <c r="O32" i="24"/>
  <c r="N32" i="24"/>
  <c r="M32" i="24"/>
  <c r="L32" i="24"/>
  <c r="K32" i="24"/>
  <c r="J32" i="24"/>
  <c r="I32" i="24"/>
  <c r="H32" i="24"/>
  <c r="G32" i="24"/>
  <c r="F32" i="24"/>
  <c r="E32" i="24"/>
  <c r="D32" i="24"/>
  <c r="C32" i="24"/>
  <c r="S31" i="24"/>
  <c r="R31" i="24"/>
  <c r="Q31" i="24"/>
  <c r="P31" i="24"/>
  <c r="O31" i="24"/>
  <c r="N31" i="24"/>
  <c r="M31" i="24"/>
  <c r="L31" i="24"/>
  <c r="K31" i="24"/>
  <c r="J31" i="24"/>
  <c r="I31" i="24"/>
  <c r="H31" i="24"/>
  <c r="G31" i="24"/>
  <c r="F31" i="24"/>
  <c r="E31" i="24"/>
  <c r="D31" i="24"/>
  <c r="C31" i="24"/>
  <c r="S30" i="24"/>
  <c r="R30" i="24"/>
  <c r="Q30" i="24"/>
  <c r="P30" i="24"/>
  <c r="O30" i="24"/>
  <c r="N30" i="24"/>
  <c r="M30" i="24"/>
  <c r="L30" i="24"/>
  <c r="K30" i="24"/>
  <c r="J30" i="24"/>
  <c r="I30" i="24"/>
  <c r="H30" i="24"/>
  <c r="G30" i="24"/>
  <c r="F30" i="24"/>
  <c r="E30" i="24"/>
  <c r="D30" i="24"/>
  <c r="C30" i="24"/>
  <c r="S29" i="24"/>
  <c r="R29" i="24"/>
  <c r="Q29" i="24"/>
  <c r="P29" i="24"/>
  <c r="O29" i="24"/>
  <c r="N29" i="24"/>
  <c r="M29" i="24"/>
  <c r="L29" i="24"/>
  <c r="K29" i="24"/>
  <c r="J29" i="24"/>
  <c r="I29" i="24"/>
  <c r="H29" i="24"/>
  <c r="G29" i="24"/>
  <c r="F29" i="24"/>
  <c r="E29" i="24"/>
  <c r="D29" i="24"/>
  <c r="C29" i="24"/>
  <c r="S28" i="24"/>
  <c r="R28" i="24"/>
  <c r="Q28" i="24"/>
  <c r="P28" i="24"/>
  <c r="O28" i="24"/>
  <c r="N28" i="24"/>
  <c r="M28" i="24"/>
  <c r="L28" i="24"/>
  <c r="K28" i="24"/>
  <c r="J28" i="24"/>
  <c r="I28" i="24"/>
  <c r="H28" i="24"/>
  <c r="G28" i="24"/>
  <c r="F28" i="24"/>
  <c r="E28" i="24"/>
  <c r="D28" i="24"/>
  <c r="C28" i="24"/>
  <c r="V27" i="24"/>
  <c r="V26" i="24"/>
  <c r="S25" i="24"/>
  <c r="R25" i="24"/>
  <c r="Q25" i="24"/>
  <c r="P25" i="24"/>
  <c r="O25" i="24"/>
  <c r="N25" i="24"/>
  <c r="M25" i="24"/>
  <c r="L25" i="24"/>
  <c r="K25" i="24"/>
  <c r="J25" i="24"/>
  <c r="I25" i="24"/>
  <c r="H25" i="24"/>
  <c r="G25" i="24"/>
  <c r="F25" i="24"/>
  <c r="E25" i="24"/>
  <c r="D25" i="24"/>
  <c r="C25" i="24"/>
  <c r="S24" i="24"/>
  <c r="R24" i="24"/>
  <c r="Q24" i="24"/>
  <c r="P24" i="24"/>
  <c r="O24" i="24"/>
  <c r="N24" i="24"/>
  <c r="M24" i="24"/>
  <c r="L24" i="24"/>
  <c r="K24" i="24"/>
  <c r="J24" i="24"/>
  <c r="I24" i="24"/>
  <c r="H24" i="24"/>
  <c r="G24" i="24"/>
  <c r="F24" i="24"/>
  <c r="E24" i="24"/>
  <c r="D24" i="24"/>
  <c r="C24" i="24"/>
  <c r="S23" i="24"/>
  <c r="R23" i="24"/>
  <c r="Q23" i="24"/>
  <c r="P23" i="24"/>
  <c r="O23" i="24"/>
  <c r="N23" i="24"/>
  <c r="M23" i="24"/>
  <c r="L23" i="24"/>
  <c r="K23" i="24"/>
  <c r="J23" i="24"/>
  <c r="I23" i="24"/>
  <c r="H23" i="24"/>
  <c r="G23" i="24"/>
  <c r="F23" i="24"/>
  <c r="E23" i="24"/>
  <c r="D23" i="24"/>
  <c r="C23" i="24"/>
  <c r="S22" i="24"/>
  <c r="R22" i="24"/>
  <c r="Q22" i="24"/>
  <c r="P22" i="24"/>
  <c r="O22" i="24"/>
  <c r="N22" i="24"/>
  <c r="M22" i="24"/>
  <c r="L22" i="24"/>
  <c r="K22" i="24"/>
  <c r="J22" i="24"/>
  <c r="I22" i="24"/>
  <c r="H22" i="24"/>
  <c r="G22" i="24"/>
  <c r="F22" i="24"/>
  <c r="E22" i="24"/>
  <c r="D22" i="24"/>
  <c r="C22" i="24"/>
  <c r="S21" i="24"/>
  <c r="R21" i="24"/>
  <c r="Q21" i="24"/>
  <c r="P21" i="24"/>
  <c r="O21" i="24"/>
  <c r="N21" i="24"/>
  <c r="M21" i="24"/>
  <c r="L21" i="24"/>
  <c r="K21" i="24"/>
  <c r="J21" i="24"/>
  <c r="I21" i="24"/>
  <c r="H21" i="24"/>
  <c r="G21" i="24"/>
  <c r="F21" i="24"/>
  <c r="E21" i="24"/>
  <c r="D21" i="24"/>
  <c r="C21" i="24"/>
  <c r="S20" i="24"/>
  <c r="R20" i="24"/>
  <c r="Q20" i="24"/>
  <c r="P20" i="24"/>
  <c r="O20" i="24"/>
  <c r="N20" i="24"/>
  <c r="M20" i="24"/>
  <c r="L20" i="24"/>
  <c r="K20" i="24"/>
  <c r="J20" i="24"/>
  <c r="I20" i="24"/>
  <c r="H20" i="24"/>
  <c r="G20" i="24"/>
  <c r="F20" i="24"/>
  <c r="E20" i="24"/>
  <c r="D20" i="24"/>
  <c r="C20" i="24"/>
  <c r="S19" i="24"/>
  <c r="R19" i="24"/>
  <c r="Q19" i="24"/>
  <c r="P19" i="24"/>
  <c r="O19" i="24"/>
  <c r="N19" i="24"/>
  <c r="M19" i="24"/>
  <c r="L19" i="24"/>
  <c r="K19" i="24"/>
  <c r="J19" i="24"/>
  <c r="I19" i="24"/>
  <c r="H19" i="24"/>
  <c r="G19" i="24"/>
  <c r="F19" i="24"/>
  <c r="E19" i="24"/>
  <c r="D19" i="24"/>
  <c r="C19" i="24"/>
  <c r="S18" i="24"/>
  <c r="R18" i="24"/>
  <c r="Q18" i="24"/>
  <c r="P18" i="24"/>
  <c r="O18" i="24"/>
  <c r="N18" i="24"/>
  <c r="M18" i="24"/>
  <c r="L18" i="24"/>
  <c r="K18" i="24"/>
  <c r="J18" i="24"/>
  <c r="I18" i="24"/>
  <c r="H18" i="24"/>
  <c r="G18" i="24"/>
  <c r="F18" i="24"/>
  <c r="E18" i="24"/>
  <c r="D18" i="24"/>
  <c r="C18" i="24"/>
  <c r="S17" i="24"/>
  <c r="R17" i="24"/>
  <c r="Q17" i="24"/>
  <c r="P17" i="24"/>
  <c r="O17" i="24"/>
  <c r="N17" i="24"/>
  <c r="M17" i="24"/>
  <c r="L17" i="24"/>
  <c r="K17" i="24"/>
  <c r="J17" i="24"/>
  <c r="I17" i="24"/>
  <c r="H17" i="24"/>
  <c r="G17" i="24"/>
  <c r="F17" i="24"/>
  <c r="E17" i="24"/>
  <c r="D17" i="24"/>
  <c r="C17" i="24"/>
  <c r="S16" i="24"/>
  <c r="R16" i="24"/>
  <c r="Q16" i="24"/>
  <c r="P16" i="24"/>
  <c r="O16" i="24"/>
  <c r="N16" i="24"/>
  <c r="M16" i="24"/>
  <c r="L16" i="24"/>
  <c r="K16" i="24"/>
  <c r="J16" i="24"/>
  <c r="I16" i="24"/>
  <c r="H16" i="24"/>
  <c r="G16" i="24"/>
  <c r="F16" i="24"/>
  <c r="E16" i="24"/>
  <c r="D16" i="24"/>
  <c r="C16" i="24"/>
  <c r="S15" i="24"/>
  <c r="R15" i="24"/>
  <c r="Q15" i="24"/>
  <c r="P15" i="24"/>
  <c r="O15" i="24"/>
  <c r="N15" i="24"/>
  <c r="M15" i="24"/>
  <c r="L15" i="24"/>
  <c r="K15" i="24"/>
  <c r="J15" i="24"/>
  <c r="I15" i="24"/>
  <c r="H15" i="24"/>
  <c r="G15" i="24"/>
  <c r="F15" i="24"/>
  <c r="E15" i="24"/>
  <c r="D15" i="24"/>
  <c r="C15" i="24"/>
  <c r="S14" i="24"/>
  <c r="R14" i="24"/>
  <c r="Q14" i="24"/>
  <c r="P14" i="24"/>
  <c r="O14" i="24"/>
  <c r="N14" i="24"/>
  <c r="M14" i="24"/>
  <c r="L14" i="24"/>
  <c r="K14" i="24"/>
  <c r="J14" i="24"/>
  <c r="I14" i="24"/>
  <c r="H14" i="24"/>
  <c r="G14" i="24"/>
  <c r="F14" i="24"/>
  <c r="E14" i="24"/>
  <c r="D14" i="24"/>
  <c r="C14" i="24"/>
  <c r="M43" i="31"/>
  <c r="Q40" i="31"/>
  <c r="P40" i="31"/>
  <c r="O40" i="31"/>
  <c r="N40" i="31"/>
  <c r="M40" i="31"/>
  <c r="M39" i="31"/>
  <c r="M38" i="31"/>
  <c r="M37" i="31"/>
  <c r="M36" i="31"/>
  <c r="M35" i="31"/>
  <c r="M34" i="31"/>
  <c r="M33" i="31"/>
  <c r="L33" i="31"/>
  <c r="K33" i="31"/>
  <c r="I33" i="31"/>
  <c r="H33" i="31"/>
  <c r="F33" i="31"/>
  <c r="Q32" i="31"/>
  <c r="O32" i="31"/>
  <c r="N32" i="31"/>
  <c r="M32" i="31"/>
  <c r="M31" i="31"/>
  <c r="M30" i="31"/>
  <c r="M29" i="31"/>
  <c r="Q26" i="31"/>
  <c r="P26" i="31"/>
  <c r="O26" i="31"/>
  <c r="M26" i="31"/>
  <c r="M25" i="31"/>
  <c r="M24" i="31"/>
  <c r="M23" i="31"/>
  <c r="M22" i="31"/>
  <c r="M21" i="31"/>
  <c r="M20" i="31"/>
  <c r="M19" i="31"/>
  <c r="L19" i="31"/>
  <c r="I19" i="31"/>
  <c r="F19" i="31"/>
  <c r="E19" i="31"/>
  <c r="Q18" i="31"/>
  <c r="P18" i="31"/>
  <c r="O18" i="31"/>
  <c r="M18" i="31"/>
  <c r="M17" i="31"/>
  <c r="M16" i="31"/>
  <c r="M15" i="31"/>
  <c r="N42" i="30"/>
  <c r="M42" i="30"/>
  <c r="M39" i="30"/>
  <c r="M38" i="30"/>
  <c r="M37" i="30"/>
  <c r="M36" i="30"/>
  <c r="K36" i="30"/>
  <c r="J36" i="30"/>
  <c r="I36" i="30"/>
  <c r="G36" i="30"/>
  <c r="C36" i="30"/>
  <c r="Q35" i="30"/>
  <c r="P35" i="30"/>
  <c r="M35" i="30"/>
  <c r="M34" i="30"/>
  <c r="M33" i="30"/>
  <c r="M32" i="30"/>
  <c r="L32" i="30"/>
  <c r="K32" i="30"/>
  <c r="I32" i="30"/>
  <c r="G32" i="30"/>
  <c r="F32" i="30"/>
  <c r="E32" i="30"/>
  <c r="D32" i="30"/>
  <c r="C32" i="30"/>
  <c r="M31" i="30"/>
  <c r="M30" i="30"/>
  <c r="M29" i="30"/>
  <c r="M28" i="30"/>
  <c r="K28" i="30"/>
  <c r="J28" i="30"/>
  <c r="I28" i="30"/>
  <c r="H28" i="30"/>
  <c r="G28" i="30"/>
  <c r="C28" i="30"/>
  <c r="M25" i="30"/>
  <c r="M24" i="30"/>
  <c r="M23" i="30"/>
  <c r="L23" i="30"/>
  <c r="J23" i="30"/>
  <c r="H23" i="30"/>
  <c r="G23" i="30"/>
  <c r="F23" i="30"/>
  <c r="E23" i="30"/>
  <c r="D23" i="30"/>
  <c r="Q22" i="30"/>
  <c r="M22" i="30"/>
  <c r="M21" i="30"/>
  <c r="M20" i="30"/>
  <c r="M19" i="30"/>
  <c r="L19" i="30"/>
  <c r="K19" i="30"/>
  <c r="J19" i="30"/>
  <c r="I19" i="30"/>
  <c r="H19" i="30"/>
  <c r="D19" i="30"/>
  <c r="C19" i="30"/>
  <c r="Q18" i="30"/>
  <c r="P18" i="30"/>
  <c r="M18" i="30"/>
  <c r="M17" i="30"/>
  <c r="M16" i="30"/>
  <c r="M15" i="30"/>
  <c r="L15" i="30"/>
  <c r="H15" i="30"/>
  <c r="G15" i="30"/>
  <c r="F15" i="30"/>
  <c r="E15" i="30"/>
  <c r="D15" i="30"/>
  <c r="M14" i="30"/>
  <c r="T42" i="28"/>
  <c r="S42" i="28"/>
  <c r="R42" i="28"/>
  <c r="Q42" i="28"/>
  <c r="P42" i="28"/>
  <c r="O42" i="28"/>
  <c r="N42" i="28"/>
  <c r="M42" i="28"/>
  <c r="L42" i="28"/>
  <c r="K42" i="28"/>
  <c r="J42" i="28"/>
  <c r="I42" i="28"/>
  <c r="H42" i="28"/>
  <c r="G42" i="28"/>
  <c r="F42" i="28"/>
  <c r="E42" i="28"/>
  <c r="D42" i="28"/>
  <c r="C42" i="28"/>
  <c r="Q39" i="28"/>
  <c r="P39" i="28"/>
  <c r="L39" i="28"/>
  <c r="K39" i="28"/>
  <c r="J39" i="28"/>
  <c r="I39" i="28"/>
  <c r="H39" i="28"/>
  <c r="D39" i="28"/>
  <c r="C39" i="28"/>
  <c r="T38" i="28"/>
  <c r="S38" i="28"/>
  <c r="R38" i="28"/>
  <c r="Q38" i="28"/>
  <c r="Q37" i="28"/>
  <c r="Q36" i="28"/>
  <c r="Q35" i="28"/>
  <c r="Q34" i="28"/>
  <c r="Q33" i="28"/>
  <c r="Q32" i="28"/>
  <c r="Q31" i="28"/>
  <c r="P31" i="28"/>
  <c r="N31" i="28"/>
  <c r="L31" i="28"/>
  <c r="K31" i="28"/>
  <c r="J31" i="28"/>
  <c r="I31" i="28"/>
  <c r="H31" i="28"/>
  <c r="F31" i="28"/>
  <c r="D31" i="28"/>
  <c r="C31" i="28"/>
  <c r="T30" i="28"/>
  <c r="S30" i="28"/>
  <c r="R30" i="28"/>
  <c r="Q30" i="28"/>
  <c r="Q29" i="28"/>
  <c r="Q28" i="28"/>
  <c r="Q25" i="28"/>
  <c r="Q24" i="28"/>
  <c r="Q23" i="28"/>
  <c r="Q22" i="28"/>
  <c r="Q21" i="28"/>
  <c r="Q20" i="28"/>
  <c r="Q19" i="28"/>
  <c r="P19" i="28"/>
  <c r="O19" i="28"/>
  <c r="N19" i="28"/>
  <c r="M19" i="28"/>
  <c r="L19" i="28"/>
  <c r="J19" i="28"/>
  <c r="H19" i="28"/>
  <c r="G19" i="28"/>
  <c r="F19" i="28"/>
  <c r="E19" i="28"/>
  <c r="D19" i="28"/>
  <c r="R18" i="28"/>
  <c r="Q18" i="28"/>
  <c r="Q17" i="28"/>
  <c r="Q16" i="28"/>
  <c r="Q15" i="28"/>
  <c r="Q14" i="28"/>
  <c r="F40" i="29"/>
  <c r="F38" i="29"/>
  <c r="F37" i="29"/>
  <c r="F36" i="29"/>
  <c r="F35" i="29"/>
  <c r="E34" i="29"/>
  <c r="S33" i="29"/>
  <c r="M33" i="29"/>
  <c r="L33" i="29"/>
  <c r="J33" i="29"/>
  <c r="F32" i="29"/>
  <c r="F31" i="29"/>
  <c r="F30" i="29"/>
  <c r="F29" i="29"/>
  <c r="F26" i="29"/>
  <c r="F25" i="29"/>
  <c r="F24" i="29"/>
  <c r="Q23" i="29"/>
  <c r="M23" i="29"/>
  <c r="G23" i="29"/>
  <c r="F23" i="29"/>
  <c r="F21" i="29"/>
  <c r="F20" i="29"/>
  <c r="F19" i="29"/>
  <c r="F18" i="29"/>
  <c r="F17" i="29"/>
  <c r="F16" i="29"/>
  <c r="Q15" i="29"/>
  <c r="M15" i="29"/>
  <c r="F15" i="29"/>
  <c r="F17" i="55"/>
  <c r="F16" i="55"/>
  <c r="F18" i="55"/>
  <c r="E18" i="55"/>
  <c r="E17" i="55"/>
  <c r="E16" i="55"/>
  <c r="F15" i="55"/>
  <c r="E15" i="55"/>
  <c r="F14" i="55"/>
  <c r="E14" i="55"/>
  <c r="F13" i="55"/>
  <c r="E13" i="55"/>
  <c r="F12" i="55"/>
  <c r="E12" i="55"/>
  <c r="F11" i="55"/>
  <c r="E11" i="55"/>
  <c r="F10" i="55"/>
  <c r="E10" i="55"/>
  <c r="F9" i="55"/>
  <c r="E9" i="55"/>
  <c r="F8" i="55"/>
  <c r="E8" i="55"/>
  <c r="F7" i="55"/>
  <c r="E7" i="55"/>
  <c r="D66" i="54"/>
  <c r="G66" i="54"/>
  <c r="H66" i="54"/>
  <c r="F66" i="54"/>
  <c r="E66" i="54"/>
  <c r="O140" i="32"/>
  <c r="O132" i="32"/>
  <c r="E51" i="54"/>
  <c r="F51" i="54"/>
  <c r="G51" i="54"/>
  <c r="H51" i="54"/>
  <c r="I51" i="54"/>
  <c r="D51" i="54"/>
  <c r="E106" i="53"/>
  <c r="F106" i="53"/>
  <c r="G106" i="53"/>
  <c r="H106" i="53"/>
  <c r="I106" i="53"/>
  <c r="D106" i="53"/>
  <c r="O126" i="32"/>
  <c r="O127" i="32"/>
  <c r="O128" i="32"/>
  <c r="O129" i="32"/>
  <c r="O125" i="32"/>
  <c r="O124" i="32"/>
  <c r="O123" i="32"/>
  <c r="O122" i="32"/>
  <c r="O121" i="32"/>
  <c r="O120" i="32"/>
  <c r="E37" i="54"/>
  <c r="F37" i="54"/>
  <c r="G37" i="54"/>
  <c r="H37" i="54"/>
  <c r="I37" i="54"/>
  <c r="D37" i="54"/>
  <c r="E91" i="53"/>
  <c r="F91" i="53"/>
  <c r="G91" i="53"/>
  <c r="H91" i="53"/>
  <c r="I91" i="53"/>
  <c r="D91" i="53"/>
  <c r="O119" i="32"/>
  <c r="F117" i="45"/>
  <c r="O114" i="32"/>
  <c r="O113" i="32"/>
  <c r="O112" i="32"/>
  <c r="O64" i="32"/>
  <c r="O58" i="32"/>
  <c r="O56" i="32"/>
  <c r="O54" i="32"/>
  <c r="O52" i="32"/>
  <c r="O50" i="32"/>
  <c r="O48" i="32"/>
  <c r="O46" i="32"/>
  <c r="O44" i="32"/>
  <c r="O42" i="32"/>
  <c r="O40" i="32"/>
  <c r="O38" i="32"/>
  <c r="O36" i="32"/>
  <c r="O32" i="32"/>
  <c r="O30" i="32"/>
  <c r="O28" i="32"/>
  <c r="O26" i="32"/>
  <c r="O24" i="32"/>
  <c r="O22" i="32"/>
  <c r="O20" i="32"/>
  <c r="O18" i="32"/>
  <c r="O16" i="32"/>
  <c r="O14" i="32"/>
  <c r="O12" i="32"/>
  <c r="P101" i="36"/>
  <c r="N103" i="34"/>
  <c r="O103" i="35"/>
  <c r="P99" i="36"/>
  <c r="O101" i="35"/>
  <c r="N101" i="34"/>
  <c r="O100" i="35"/>
  <c r="P98" i="36"/>
  <c r="N100" i="34"/>
  <c r="P97" i="36"/>
  <c r="O99" i="35"/>
  <c r="N99" i="34"/>
  <c r="R67" i="41"/>
  <c r="D114" i="35"/>
  <c r="E114" i="35"/>
  <c r="F114" i="35"/>
  <c r="G114" i="35"/>
  <c r="H114" i="35"/>
  <c r="I114" i="35"/>
  <c r="J114" i="35"/>
  <c r="K114" i="35"/>
  <c r="L114" i="35"/>
  <c r="M114" i="35"/>
  <c r="N114" i="35"/>
  <c r="C114" i="35"/>
  <c r="O112" i="35"/>
  <c r="O113" i="35"/>
  <c r="P95" i="36"/>
  <c r="O97" i="35"/>
  <c r="N97" i="34"/>
  <c r="AZ36" i="1"/>
  <c r="AZ52" i="1"/>
  <c r="P93" i="36"/>
  <c r="N95" i="34"/>
  <c r="O95" i="35"/>
  <c r="AY52" i="1"/>
  <c r="AY36" i="1"/>
  <c r="AY19" i="1"/>
  <c r="O91" i="35"/>
  <c r="N92" i="34"/>
  <c r="AX52" i="1"/>
  <c r="AX36" i="1"/>
  <c r="AX19" i="1"/>
  <c r="E52" i="53"/>
  <c r="D52" i="53"/>
  <c r="G51" i="53"/>
  <c r="G52" i="53" s="1"/>
  <c r="F51" i="53"/>
  <c r="F52" i="53" s="1"/>
  <c r="P63" i="36"/>
  <c r="P61" i="36"/>
  <c r="P59" i="36"/>
  <c r="P57" i="36"/>
  <c r="P55" i="36"/>
  <c r="P53" i="36"/>
  <c r="P51" i="36"/>
  <c r="P49" i="36"/>
  <c r="P47" i="36"/>
  <c r="P45" i="36"/>
  <c r="P43" i="36"/>
  <c r="P41" i="36"/>
  <c r="P37" i="36"/>
  <c r="P35" i="36"/>
  <c r="P33" i="36"/>
  <c r="P31" i="36"/>
  <c r="P29" i="36"/>
  <c r="P27" i="36"/>
  <c r="P25" i="36"/>
  <c r="P23" i="36"/>
  <c r="P21" i="36"/>
  <c r="P19" i="36"/>
  <c r="P17" i="36"/>
  <c r="P15" i="36"/>
  <c r="O62" i="35"/>
  <c r="O60" i="35"/>
  <c r="O58" i="35"/>
  <c r="O56" i="35"/>
  <c r="O54" i="35"/>
  <c r="O52" i="35"/>
  <c r="O50" i="35"/>
  <c r="O48" i="35"/>
  <c r="O46" i="35"/>
  <c r="O44" i="35"/>
  <c r="O42" i="35"/>
  <c r="O40" i="35"/>
  <c r="O36" i="35"/>
  <c r="O34" i="35"/>
  <c r="O32" i="35"/>
  <c r="O30" i="35"/>
  <c r="O28" i="35"/>
  <c r="O26" i="35"/>
  <c r="O24" i="35"/>
  <c r="O22" i="35"/>
  <c r="O20" i="35"/>
  <c r="O18" i="35"/>
  <c r="O16" i="35"/>
  <c r="M63" i="34"/>
  <c r="N63" i="34" s="1"/>
  <c r="M61" i="34"/>
  <c r="N61" i="34" s="1"/>
  <c r="M59" i="34"/>
  <c r="N59" i="34" s="1"/>
  <c r="M57" i="34"/>
  <c r="N57" i="34" s="1"/>
  <c r="M55" i="34"/>
  <c r="N55" i="34" s="1"/>
  <c r="M53" i="34"/>
  <c r="N53" i="34" s="1"/>
  <c r="M51" i="34"/>
  <c r="N51" i="34" s="1"/>
  <c r="M49" i="34"/>
  <c r="N49" i="34" s="1"/>
  <c r="M47" i="34"/>
  <c r="N47" i="34" s="1"/>
  <c r="M45" i="34"/>
  <c r="N45" i="34" s="1"/>
  <c r="M43" i="34"/>
  <c r="N43" i="34" s="1"/>
  <c r="M41" i="34"/>
  <c r="N41" i="34" s="1"/>
  <c r="N37" i="34"/>
  <c r="N35" i="34"/>
  <c r="N33" i="34"/>
  <c r="N31" i="34"/>
  <c r="N29" i="34"/>
  <c r="N27" i="34"/>
  <c r="M25" i="34"/>
  <c r="N25" i="34" s="1"/>
  <c r="N23" i="34"/>
  <c r="N21" i="34"/>
  <c r="N19" i="34"/>
  <c r="N17" i="34"/>
  <c r="N15" i="34"/>
  <c r="AW52" i="1"/>
  <c r="AW36" i="1"/>
  <c r="AW19" i="1"/>
  <c r="AV52" i="1"/>
  <c r="AV36" i="1"/>
  <c r="AV19" i="1"/>
  <c r="AU52" i="1"/>
  <c r="AU36" i="1"/>
  <c r="AU19" i="1"/>
  <c r="AS19" i="1"/>
  <c r="AT19" i="1"/>
  <c r="AS36" i="1"/>
  <c r="AT36" i="1"/>
  <c r="AS52" i="1"/>
  <c r="AT52" i="1"/>
  <c r="AR52" i="1"/>
  <c r="AQ52" i="1"/>
  <c r="AR36" i="1"/>
  <c r="AQ36" i="1"/>
  <c r="AR19" i="1"/>
  <c r="AQ19" i="1"/>
  <c r="AP52" i="1"/>
  <c r="AP36" i="1"/>
  <c r="AO19" i="1"/>
  <c r="AP19" i="1"/>
  <c r="AO52" i="1"/>
  <c r="AN36" i="1"/>
  <c r="AO36" i="1"/>
  <c r="AN19" i="1"/>
  <c r="AL19" i="1"/>
  <c r="AN52" i="1"/>
  <c r="M54" i="1"/>
  <c r="N54" i="1"/>
  <c r="AM52" i="1"/>
  <c r="AM36" i="1"/>
  <c r="AM19" i="1"/>
  <c r="AL52" i="1"/>
  <c r="AL36" i="1"/>
  <c r="G36" i="53"/>
  <c r="F36" i="53"/>
  <c r="AK52" i="1"/>
  <c r="AK36" i="1"/>
  <c r="AK19" i="1"/>
  <c r="AJ52" i="1"/>
  <c r="AJ36" i="1"/>
  <c r="AJ19" i="1"/>
  <c r="AI52" i="1"/>
  <c r="AI36" i="1"/>
  <c r="AI19" i="1"/>
  <c r="AH52" i="1"/>
  <c r="AH36" i="1"/>
  <c r="AH19" i="1"/>
  <c r="AG52" i="1"/>
  <c r="AG36" i="1"/>
  <c r="AG19" i="1"/>
  <c r="AF52" i="1"/>
  <c r="AF36" i="1"/>
  <c r="AF19" i="1"/>
  <c r="G30" i="53"/>
  <c r="F30" i="53"/>
  <c r="E29" i="53"/>
  <c r="D29" i="53"/>
  <c r="AE52" i="1"/>
  <c r="AE36" i="1"/>
  <c r="AE19" i="1"/>
  <c r="AD52" i="1"/>
  <c r="AD36" i="1"/>
  <c r="AD19" i="1"/>
  <c r="I186" i="52"/>
  <c r="I185" i="52"/>
  <c r="H186" i="52"/>
  <c r="H185" i="52"/>
  <c r="E186" i="52"/>
  <c r="E185" i="52"/>
  <c r="AB52" i="1"/>
  <c r="AB36" i="1"/>
  <c r="AB19" i="1"/>
  <c r="AC36" i="1"/>
  <c r="AC52" i="1"/>
  <c r="AC19" i="1"/>
  <c r="H36" i="45"/>
  <c r="H35" i="45"/>
  <c r="H34" i="45"/>
  <c r="H33" i="45"/>
  <c r="H32" i="45"/>
  <c r="H31" i="45"/>
  <c r="H30" i="45"/>
  <c r="H29" i="45"/>
  <c r="H28" i="45"/>
  <c r="H27" i="45"/>
  <c r="H26" i="45"/>
  <c r="H25" i="45"/>
  <c r="G36" i="45"/>
  <c r="G35" i="45"/>
  <c r="G34" i="45"/>
  <c r="G33" i="45"/>
  <c r="G32" i="45"/>
  <c r="G31" i="45"/>
  <c r="G30" i="45"/>
  <c r="G29" i="45"/>
  <c r="G28" i="45"/>
  <c r="G27" i="45"/>
  <c r="G26" i="45"/>
  <c r="G25" i="45"/>
  <c r="B214" i="52"/>
  <c r="G25" i="53"/>
  <c r="F25" i="53"/>
  <c r="AA52" i="1"/>
  <c r="AA36" i="1"/>
  <c r="AA19" i="1"/>
  <c r="I172" i="52"/>
  <c r="I173" i="52"/>
  <c r="I174" i="52"/>
  <c r="I175" i="52"/>
  <c r="I176" i="52"/>
  <c r="I177" i="52"/>
  <c r="I178" i="52"/>
  <c r="I179" i="52"/>
  <c r="I180" i="52"/>
  <c r="I181" i="52"/>
  <c r="I170" i="52"/>
  <c r="P52" i="1"/>
  <c r="Q52" i="1"/>
  <c r="R52" i="1"/>
  <c r="S52" i="1"/>
  <c r="T52" i="1"/>
  <c r="U52" i="1"/>
  <c r="V52" i="1"/>
  <c r="W52" i="1"/>
  <c r="X52" i="1"/>
  <c r="Y52" i="1"/>
  <c r="Z52" i="1"/>
  <c r="O52" i="1"/>
  <c r="P36" i="1"/>
  <c r="Q36" i="1"/>
  <c r="R36" i="1"/>
  <c r="S36" i="1"/>
  <c r="T36" i="1"/>
  <c r="U36" i="1"/>
  <c r="V36" i="1"/>
  <c r="W36" i="1"/>
  <c r="X36" i="1"/>
  <c r="Y36" i="1"/>
  <c r="Z36" i="1"/>
  <c r="O36" i="1"/>
  <c r="P19" i="1"/>
  <c r="Q19" i="1"/>
  <c r="R19" i="1"/>
  <c r="S19" i="1"/>
  <c r="T19" i="1"/>
  <c r="U19" i="1"/>
  <c r="V19" i="1"/>
  <c r="W19" i="1"/>
  <c r="X19" i="1"/>
  <c r="Y19" i="1"/>
  <c r="Z19" i="1"/>
  <c r="O19" i="1"/>
  <c r="E21" i="53"/>
  <c r="F21" i="53"/>
  <c r="G21" i="53"/>
  <c r="D21" i="53"/>
  <c r="E181" i="52"/>
  <c r="F181" i="52" s="1"/>
  <c r="H181" i="52" s="1"/>
  <c r="E180" i="52"/>
  <c r="F180" i="52" s="1"/>
  <c r="H180" i="52" s="1"/>
  <c r="H179" i="52"/>
  <c r="E179" i="52"/>
  <c r="H178" i="52"/>
  <c r="E178" i="52"/>
  <c r="H177" i="52"/>
  <c r="E177" i="52"/>
  <c r="H176" i="52"/>
  <c r="E176" i="52"/>
  <c r="H175" i="52"/>
  <c r="E175" i="52"/>
  <c r="H174" i="52"/>
  <c r="E174" i="52"/>
  <c r="H173" i="52"/>
  <c r="E173" i="52"/>
  <c r="H172" i="52"/>
  <c r="E172" i="52"/>
  <c r="H171" i="52"/>
  <c r="K171" i="52" s="1"/>
  <c r="E171" i="52"/>
  <c r="H170" i="52"/>
  <c r="E170" i="52"/>
  <c r="H330" i="53"/>
  <c r="H331" i="53"/>
  <c r="H332" i="53"/>
  <c r="E24" i="52"/>
  <c r="E32" i="52"/>
  <c r="H32" i="52"/>
  <c r="K32" i="52" s="1"/>
  <c r="B33" i="52"/>
  <c r="E33" i="52" s="1"/>
  <c r="G33" i="52"/>
  <c r="H33" i="52" s="1"/>
  <c r="K33" i="52" s="1"/>
  <c r="E34" i="52"/>
  <c r="H34" i="52"/>
  <c r="K34" i="52" s="1"/>
  <c r="C37" i="52"/>
  <c r="F37" i="52"/>
  <c r="J37" i="52"/>
  <c r="B41" i="52"/>
  <c r="E41" i="52" s="1"/>
  <c r="H41" i="52"/>
  <c r="K41" i="52" s="1"/>
  <c r="B42" i="52"/>
  <c r="C42" i="52"/>
  <c r="C43" i="52" s="1"/>
  <c r="F42" i="52"/>
  <c r="G42" i="52"/>
  <c r="J42" i="52"/>
  <c r="F43" i="52"/>
  <c r="G43" i="52"/>
  <c r="J43" i="52"/>
  <c r="B44" i="52"/>
  <c r="C44" i="52"/>
  <c r="F44" i="52"/>
  <c r="G44" i="52"/>
  <c r="J44" i="52"/>
  <c r="B45" i="52"/>
  <c r="C45" i="52"/>
  <c r="F45" i="52"/>
  <c r="G45" i="52"/>
  <c r="J45" i="52"/>
  <c r="B46" i="52"/>
  <c r="C46" i="52"/>
  <c r="F46" i="52"/>
  <c r="G46" i="52"/>
  <c r="J46" i="52"/>
  <c r="B47" i="52"/>
  <c r="C47" i="52"/>
  <c r="F47" i="52"/>
  <c r="G47" i="52"/>
  <c r="J47" i="52"/>
  <c r="B48" i="52"/>
  <c r="C48" i="52"/>
  <c r="F48" i="52"/>
  <c r="G48" i="52"/>
  <c r="J48" i="52"/>
  <c r="B49" i="52"/>
  <c r="C49" i="52"/>
  <c r="F49" i="52"/>
  <c r="G49" i="52"/>
  <c r="J49" i="52"/>
  <c r="B50" i="52"/>
  <c r="C50" i="52"/>
  <c r="F50" i="52"/>
  <c r="G50" i="52"/>
  <c r="J50" i="52"/>
  <c r="B51" i="52"/>
  <c r="C51" i="52"/>
  <c r="F51" i="52"/>
  <c r="G51" i="52"/>
  <c r="J51" i="52"/>
  <c r="B52" i="52"/>
  <c r="C52" i="52"/>
  <c r="F52" i="52"/>
  <c r="G52" i="52"/>
  <c r="J52" i="52"/>
  <c r="E56" i="52"/>
  <c r="H56" i="52"/>
  <c r="K56" i="52" s="1"/>
  <c r="B57" i="52"/>
  <c r="C57" i="52"/>
  <c r="F57" i="52"/>
  <c r="G57" i="52"/>
  <c r="J57" i="52"/>
  <c r="B58" i="52"/>
  <c r="C58" i="52"/>
  <c r="F58" i="52"/>
  <c r="G58" i="52"/>
  <c r="J58" i="52"/>
  <c r="B59" i="52"/>
  <c r="C59" i="52"/>
  <c r="F59" i="52"/>
  <c r="G59" i="52"/>
  <c r="J59" i="52"/>
  <c r="E60" i="52"/>
  <c r="H60" i="52"/>
  <c r="K60" i="52" s="1"/>
  <c r="B61" i="52"/>
  <c r="E61" i="52" s="1"/>
  <c r="H61" i="52"/>
  <c r="K61" i="52" s="1"/>
  <c r="B62" i="52"/>
  <c r="E62" i="52" s="1"/>
  <c r="H62" i="52"/>
  <c r="K62" i="52" s="1"/>
  <c r="E63" i="52"/>
  <c r="H63" i="52"/>
  <c r="K63" i="52" s="1"/>
  <c r="B64" i="52"/>
  <c r="E64" i="52" s="1"/>
  <c r="H64" i="52"/>
  <c r="K64" i="52" s="1"/>
  <c r="E65" i="52"/>
  <c r="G65" i="52"/>
  <c r="H65" i="52" s="1"/>
  <c r="K65" i="52" s="1"/>
  <c r="B66" i="52"/>
  <c r="G66" i="52"/>
  <c r="H66" i="52" s="1"/>
  <c r="K66" i="52" s="1"/>
  <c r="B67" i="52"/>
  <c r="E67" i="52" s="1"/>
  <c r="H67" i="52"/>
  <c r="K67" i="52" s="1"/>
  <c r="E71" i="52"/>
  <c r="G71" i="52"/>
  <c r="H71" i="52" s="1"/>
  <c r="E72" i="52"/>
  <c r="H72" i="52"/>
  <c r="K72" i="52" s="1"/>
  <c r="B73" i="52"/>
  <c r="G73" i="52"/>
  <c r="H73" i="52" s="1"/>
  <c r="K73" i="52" s="1"/>
  <c r="E74" i="52"/>
  <c r="H74" i="52"/>
  <c r="K74" i="52" s="1"/>
  <c r="B75" i="52"/>
  <c r="E75" i="52" s="1"/>
  <c r="H75" i="52"/>
  <c r="K75" i="52" s="1"/>
  <c r="B76" i="52"/>
  <c r="H76" i="52"/>
  <c r="K76" i="52" s="1"/>
  <c r="B77" i="52"/>
  <c r="E77" i="52" s="1"/>
  <c r="H77" i="52"/>
  <c r="K77" i="52" s="1"/>
  <c r="B78" i="52"/>
  <c r="E78" i="52" s="1"/>
  <c r="H78" i="52"/>
  <c r="K78" i="52" s="1"/>
  <c r="E79" i="52"/>
  <c r="H79" i="52"/>
  <c r="K79" i="52" s="1"/>
  <c r="B80" i="52"/>
  <c r="E80" i="52" s="1"/>
  <c r="H80" i="52"/>
  <c r="K80" i="52" s="1"/>
  <c r="E81" i="52"/>
  <c r="H81" i="52"/>
  <c r="K81" i="52" s="1"/>
  <c r="B82" i="52"/>
  <c r="E82" i="52" s="1"/>
  <c r="H82" i="52"/>
  <c r="K82" i="52" s="1"/>
  <c r="B86" i="52"/>
  <c r="E86" i="52" s="1"/>
  <c r="H86" i="52"/>
  <c r="K86" i="52" s="1"/>
  <c r="B87" i="52"/>
  <c r="E87" i="52" s="1"/>
  <c r="H87" i="52"/>
  <c r="K87" i="52" s="1"/>
  <c r="E88" i="52"/>
  <c r="H88" i="52"/>
  <c r="K88" i="52" s="1"/>
  <c r="E89" i="52"/>
  <c r="H89" i="52"/>
  <c r="K89" i="52" s="1"/>
  <c r="E90" i="52"/>
  <c r="H90" i="52"/>
  <c r="K90" i="52" s="1"/>
  <c r="B91" i="52"/>
  <c r="E91" i="52" s="1"/>
  <c r="H91" i="52"/>
  <c r="K91" i="52" s="1"/>
  <c r="B92" i="52"/>
  <c r="E92" i="52" s="1"/>
  <c r="H92" i="52"/>
  <c r="K92" i="52" s="1"/>
  <c r="B93" i="52"/>
  <c r="E93" i="52" s="1"/>
  <c r="H93" i="52"/>
  <c r="K93" i="52" s="1"/>
  <c r="B94" i="52"/>
  <c r="E94" i="52" s="1"/>
  <c r="H94" i="52"/>
  <c r="K94" i="52" s="1"/>
  <c r="E95" i="52"/>
  <c r="H95" i="52"/>
  <c r="K95" i="52" s="1"/>
  <c r="B96" i="52"/>
  <c r="E96" i="52" s="1"/>
  <c r="H96" i="52"/>
  <c r="K96" i="52" s="1"/>
  <c r="B97" i="52"/>
  <c r="E97" i="52" s="1"/>
  <c r="H97" i="52"/>
  <c r="K97" i="52" s="1"/>
  <c r="E101" i="52"/>
  <c r="H101" i="52"/>
  <c r="K101" i="52" s="1"/>
  <c r="B102" i="52"/>
  <c r="E102" i="52" s="1"/>
  <c r="H102" i="52"/>
  <c r="K102" i="52" s="1"/>
  <c r="B103" i="52"/>
  <c r="E103" i="52" s="1"/>
  <c r="H103" i="52"/>
  <c r="K103" i="52" s="1"/>
  <c r="E104" i="52"/>
  <c r="H104" i="52"/>
  <c r="K104" i="52" s="1"/>
  <c r="B105" i="52"/>
  <c r="E105" i="52" s="1"/>
  <c r="H105" i="52"/>
  <c r="K105" i="52" s="1"/>
  <c r="E106" i="52"/>
  <c r="H106" i="52"/>
  <c r="K106" i="52" s="1"/>
  <c r="E107" i="52"/>
  <c r="H107" i="52"/>
  <c r="K107" i="52" s="1"/>
  <c r="E108" i="52"/>
  <c r="H108" i="52"/>
  <c r="K108" i="52" s="1"/>
  <c r="E109" i="52"/>
  <c r="H109" i="52"/>
  <c r="K109" i="52" s="1"/>
  <c r="E111" i="52"/>
  <c r="H111" i="52"/>
  <c r="K111" i="52" s="1"/>
  <c r="E112" i="52"/>
  <c r="H112" i="52"/>
  <c r="K112" i="52" s="1"/>
  <c r="E116" i="52"/>
  <c r="H116" i="52"/>
  <c r="K116" i="52" s="1"/>
  <c r="E117" i="52"/>
  <c r="H117" i="52"/>
  <c r="K117" i="52" s="1"/>
  <c r="E118" i="52"/>
  <c r="H118" i="52"/>
  <c r="K118" i="52" s="1"/>
  <c r="E119" i="52"/>
  <c r="H119" i="52"/>
  <c r="K119" i="52" s="1"/>
  <c r="E120" i="52"/>
  <c r="H120" i="52"/>
  <c r="K120" i="52" s="1"/>
  <c r="E121" i="52"/>
  <c r="H121" i="52"/>
  <c r="K121" i="52" s="1"/>
  <c r="B122" i="52"/>
  <c r="E122" i="52" s="1"/>
  <c r="H122" i="52"/>
  <c r="K122" i="52" s="1"/>
  <c r="E123" i="52"/>
  <c r="H123" i="52"/>
  <c r="K123" i="52" s="1"/>
  <c r="B124" i="52"/>
  <c r="E124" i="52" s="1"/>
  <c r="H124" i="52"/>
  <c r="K124" i="52" s="1"/>
  <c r="E125" i="52"/>
  <c r="H125" i="52"/>
  <c r="K125" i="52" s="1"/>
  <c r="E126" i="52"/>
  <c r="H126" i="52"/>
  <c r="K126" i="52" s="1"/>
  <c r="E127" i="52"/>
  <c r="H127" i="52"/>
  <c r="K127" i="52" s="1"/>
  <c r="E131" i="52"/>
  <c r="H131" i="52"/>
  <c r="K131" i="52" s="1"/>
  <c r="B132" i="52"/>
  <c r="E132" i="52" s="1"/>
  <c r="H132" i="52"/>
  <c r="K132" i="52" s="1"/>
  <c r="B133" i="52"/>
  <c r="E133" i="52" s="1"/>
  <c r="H133" i="52"/>
  <c r="K133" i="52" s="1"/>
  <c r="B134" i="52"/>
  <c r="E134" i="52" s="1"/>
  <c r="H134" i="52"/>
  <c r="K134" i="52" s="1"/>
  <c r="B135" i="52"/>
  <c r="E135" i="52" s="1"/>
  <c r="H135" i="52"/>
  <c r="K135" i="52" s="1"/>
  <c r="B136" i="52"/>
  <c r="E136" i="52" s="1"/>
  <c r="H136" i="52"/>
  <c r="K136" i="52" s="1"/>
  <c r="E137" i="52"/>
  <c r="H137" i="52"/>
  <c r="K137" i="52" s="1"/>
  <c r="E138" i="52"/>
  <c r="G138" i="52"/>
  <c r="H138" i="52" s="1"/>
  <c r="K138" i="52" s="1"/>
  <c r="E139" i="52"/>
  <c r="H139" i="52"/>
  <c r="K139" i="52" s="1"/>
  <c r="E140" i="52"/>
  <c r="H140" i="52"/>
  <c r="K140" i="52" s="1"/>
  <c r="E141" i="52"/>
  <c r="H141" i="52"/>
  <c r="K141" i="52" s="1"/>
  <c r="E142" i="52"/>
  <c r="H142" i="52"/>
  <c r="K142" i="52" s="1"/>
  <c r="H146" i="52"/>
  <c r="K146" i="52" s="1"/>
  <c r="H147" i="52"/>
  <c r="K147" i="52" s="1"/>
  <c r="H148" i="52"/>
  <c r="K148" i="52" s="1"/>
  <c r="E149" i="52"/>
  <c r="H149" i="52"/>
  <c r="K149" i="52" s="1"/>
  <c r="E150" i="52"/>
  <c r="H150" i="52"/>
  <c r="K150" i="52" s="1"/>
  <c r="E151" i="52"/>
  <c r="H151" i="52"/>
  <c r="K151" i="52" s="1"/>
  <c r="E152" i="52"/>
  <c r="H152" i="52"/>
  <c r="K152" i="52" s="1"/>
  <c r="E153" i="52"/>
  <c r="H153" i="52"/>
  <c r="K153" i="52" s="1"/>
  <c r="E154" i="52"/>
  <c r="H154" i="52"/>
  <c r="K154" i="52" s="1"/>
  <c r="E155" i="52"/>
  <c r="H155" i="52"/>
  <c r="K155" i="52" s="1"/>
  <c r="E156" i="52"/>
  <c r="H156" i="52"/>
  <c r="K156" i="52" s="1"/>
  <c r="E157" i="52"/>
  <c r="H157" i="52"/>
  <c r="K157" i="52" s="1"/>
  <c r="H317" i="52"/>
  <c r="H318" i="52"/>
  <c r="H319" i="52"/>
  <c r="D113" i="51"/>
  <c r="D114" i="51"/>
  <c r="D115" i="51"/>
  <c r="D116" i="51"/>
  <c r="D118" i="51"/>
  <c r="H118" i="51"/>
  <c r="J118" i="51"/>
  <c r="D120" i="51"/>
  <c r="H120" i="51"/>
  <c r="J120" i="51"/>
  <c r="D121" i="51"/>
  <c r="H121" i="51"/>
  <c r="J121" i="51"/>
  <c r="D122" i="51"/>
  <c r="H122" i="51"/>
  <c r="J122" i="51"/>
  <c r="D123" i="51"/>
  <c r="H123" i="51"/>
  <c r="J123" i="51"/>
  <c r="D124" i="51"/>
  <c r="H124" i="51"/>
  <c r="J124" i="51"/>
  <c r="D128" i="51"/>
  <c r="H128" i="51"/>
  <c r="J128" i="51"/>
  <c r="D129" i="51"/>
  <c r="H129" i="51"/>
  <c r="J129" i="51"/>
  <c r="D130" i="51"/>
  <c r="H130" i="51"/>
  <c r="J130" i="51"/>
  <c r="D131" i="51"/>
  <c r="H131" i="51"/>
  <c r="J131" i="51"/>
  <c r="H132" i="51"/>
  <c r="J132" i="51"/>
  <c r="H133" i="51"/>
  <c r="J133" i="51"/>
  <c r="D134" i="51"/>
  <c r="H134" i="51"/>
  <c r="J134" i="51"/>
  <c r="J135" i="51"/>
  <c r="D136" i="51"/>
  <c r="H136" i="51"/>
  <c r="J136" i="51"/>
  <c r="D137" i="51"/>
  <c r="H137" i="51"/>
  <c r="H138" i="51"/>
  <c r="J138" i="51"/>
  <c r="D139" i="51"/>
  <c r="H139" i="51"/>
  <c r="J139" i="51"/>
  <c r="H164" i="51"/>
  <c r="G48" i="49"/>
  <c r="M48" i="49" s="1"/>
  <c r="G49" i="49"/>
  <c r="M49" i="49" s="1"/>
  <c r="G50" i="49"/>
  <c r="M50" i="49" s="1"/>
  <c r="G51" i="49"/>
  <c r="M51" i="49" s="1"/>
  <c r="G52" i="49"/>
  <c r="M52" i="49" s="1"/>
  <c r="G53" i="49"/>
  <c r="M53" i="49" s="1"/>
  <c r="G54" i="49"/>
  <c r="M54" i="49" s="1"/>
  <c r="G55" i="49"/>
  <c r="M55" i="49" s="1"/>
  <c r="G56" i="49"/>
  <c r="M56" i="49" s="1"/>
  <c r="G57" i="49"/>
  <c r="M57" i="49" s="1"/>
  <c r="G58" i="49"/>
  <c r="M58" i="49" s="1"/>
  <c r="G59" i="49"/>
  <c r="M59" i="49" s="1"/>
  <c r="G63" i="49"/>
  <c r="M63" i="49" s="1"/>
  <c r="G64" i="49"/>
  <c r="M64" i="49" s="1"/>
  <c r="G65" i="49"/>
  <c r="M65" i="49" s="1"/>
  <c r="G66" i="49"/>
  <c r="M66" i="49" s="1"/>
  <c r="G67" i="49"/>
  <c r="M67" i="49" s="1"/>
  <c r="G68" i="49"/>
  <c r="M68" i="49" s="1"/>
  <c r="G69" i="49"/>
  <c r="M69" i="49" s="1"/>
  <c r="G70" i="49"/>
  <c r="M70" i="49" s="1"/>
  <c r="G71" i="49"/>
  <c r="M71" i="49" s="1"/>
  <c r="G72" i="49"/>
  <c r="M72" i="49" s="1"/>
  <c r="G73" i="49"/>
  <c r="M73" i="49" s="1"/>
  <c r="M74" i="49"/>
  <c r="G78" i="49"/>
  <c r="M78" i="49" s="1"/>
  <c r="G79" i="49"/>
  <c r="M79" i="49" s="1"/>
  <c r="G80" i="49"/>
  <c r="M80" i="49" s="1"/>
  <c r="G81" i="49"/>
  <c r="M81" i="49" s="1"/>
  <c r="G82" i="49"/>
  <c r="M82" i="49" s="1"/>
  <c r="G83" i="49"/>
  <c r="M83" i="49" s="1"/>
  <c r="G86" i="49"/>
  <c r="M86" i="49" s="1"/>
  <c r="G87" i="49"/>
  <c r="M87" i="49" s="1"/>
  <c r="G88" i="49"/>
  <c r="M88" i="49" s="1"/>
  <c r="G89" i="49"/>
  <c r="M89" i="49" s="1"/>
  <c r="G90" i="49"/>
  <c r="M90" i="49" s="1"/>
  <c r="G91" i="49"/>
  <c r="M91" i="49" s="1"/>
  <c r="G95" i="49"/>
  <c r="M95" i="49" s="1"/>
  <c r="G96" i="49"/>
  <c r="M96" i="49" s="1"/>
  <c r="G97" i="49"/>
  <c r="M97" i="49" s="1"/>
  <c r="G98" i="49"/>
  <c r="M98" i="49" s="1"/>
  <c r="G99" i="49"/>
  <c r="M99" i="49" s="1"/>
  <c r="G100" i="49"/>
  <c r="M100" i="49" s="1"/>
  <c r="G101" i="49"/>
  <c r="M101" i="49" s="1"/>
  <c r="G102" i="49"/>
  <c r="M102" i="49" s="1"/>
  <c r="G103" i="49"/>
  <c r="M103" i="49" s="1"/>
  <c r="G104" i="49"/>
  <c r="M104" i="49" s="1"/>
  <c r="G105" i="49"/>
  <c r="M105" i="49" s="1"/>
  <c r="G106" i="49"/>
  <c r="M106" i="49" s="1"/>
  <c r="G109" i="49"/>
  <c r="M109" i="49" s="1"/>
  <c r="G110" i="49"/>
  <c r="M110" i="49" s="1"/>
  <c r="G111" i="49"/>
  <c r="M111" i="49" s="1"/>
  <c r="M125" i="49"/>
  <c r="M126" i="49"/>
  <c r="M127" i="49"/>
  <c r="M128" i="49"/>
  <c r="M136" i="49"/>
  <c r="M140" i="49"/>
  <c r="M141" i="49"/>
  <c r="M142" i="49"/>
  <c r="M143" i="49"/>
  <c r="M144" i="49"/>
  <c r="P144" i="49"/>
  <c r="M145" i="49"/>
  <c r="M146" i="49"/>
  <c r="M147" i="49"/>
  <c r="M148" i="49"/>
  <c r="M149" i="49"/>
  <c r="M150" i="49"/>
  <c r="M151" i="49"/>
  <c r="G155" i="49"/>
  <c r="M155" i="49" s="1"/>
  <c r="G156" i="49"/>
  <c r="M156" i="49" s="1"/>
  <c r="G157" i="49"/>
  <c r="M157" i="49" s="1"/>
  <c r="G158" i="49"/>
  <c r="M158" i="49" s="1"/>
  <c r="G159" i="49"/>
  <c r="M159" i="49" s="1"/>
  <c r="G160" i="49"/>
  <c r="M160" i="49" s="1"/>
  <c r="G161" i="49"/>
  <c r="M161" i="49" s="1"/>
  <c r="G162" i="49"/>
  <c r="M162" i="49" s="1"/>
  <c r="G163" i="49"/>
  <c r="M163" i="49" s="1"/>
  <c r="G164" i="49"/>
  <c r="M164" i="49" s="1"/>
  <c r="G165" i="49"/>
  <c r="M165" i="49" s="1"/>
  <c r="G166" i="49"/>
  <c r="M166" i="49" s="1"/>
  <c r="M170" i="49"/>
  <c r="M171" i="49"/>
  <c r="M172" i="49"/>
  <c r="M173" i="49"/>
  <c r="M174" i="49"/>
  <c r="M175" i="49"/>
  <c r="M176" i="49"/>
  <c r="M177" i="49"/>
  <c r="M178" i="49"/>
  <c r="M179" i="49"/>
  <c r="M180" i="49"/>
  <c r="M181" i="49"/>
  <c r="J46" i="48"/>
  <c r="M46" i="48" s="1"/>
  <c r="J47" i="48"/>
  <c r="M47" i="48" s="1"/>
  <c r="J48" i="48"/>
  <c r="M48" i="48" s="1"/>
  <c r="J49" i="48"/>
  <c r="M49" i="48" s="1"/>
  <c r="J50" i="48"/>
  <c r="M50" i="48" s="1"/>
  <c r="J51" i="48"/>
  <c r="M51" i="48" s="1"/>
  <c r="J52" i="48"/>
  <c r="M52" i="48" s="1"/>
  <c r="J53" i="48"/>
  <c r="M53" i="48" s="1"/>
  <c r="J54" i="48"/>
  <c r="M54" i="48" s="1"/>
  <c r="J55" i="48"/>
  <c r="M55" i="48" s="1"/>
  <c r="J56" i="48"/>
  <c r="M56" i="48" s="1"/>
  <c r="J57" i="48"/>
  <c r="M57" i="48" s="1"/>
  <c r="J61" i="48"/>
  <c r="M61" i="48" s="1"/>
  <c r="J62" i="48"/>
  <c r="M62" i="48" s="1"/>
  <c r="J63" i="48"/>
  <c r="M63" i="48" s="1"/>
  <c r="J64" i="48"/>
  <c r="M64" i="48" s="1"/>
  <c r="J65" i="48"/>
  <c r="M65" i="48" s="1"/>
  <c r="J66" i="48"/>
  <c r="M66" i="48" s="1"/>
  <c r="J67" i="48"/>
  <c r="M67" i="48" s="1"/>
  <c r="J68" i="48"/>
  <c r="M68" i="48" s="1"/>
  <c r="J69" i="48"/>
  <c r="M69" i="48" s="1"/>
  <c r="J70" i="48"/>
  <c r="M70" i="48" s="1"/>
  <c r="J71" i="48"/>
  <c r="M71" i="48" s="1"/>
  <c r="J72" i="48"/>
  <c r="M72" i="48" s="1"/>
  <c r="J76" i="48"/>
  <c r="M76" i="48" s="1"/>
  <c r="J77" i="48"/>
  <c r="M77" i="48" s="1"/>
  <c r="J78" i="48"/>
  <c r="M78" i="48" s="1"/>
  <c r="J79" i="48"/>
  <c r="M79" i="48" s="1"/>
  <c r="J80" i="48"/>
  <c r="M80" i="48" s="1"/>
  <c r="J81" i="48"/>
  <c r="M81" i="48" s="1"/>
  <c r="J84" i="48"/>
  <c r="M84" i="48" s="1"/>
  <c r="J85" i="48"/>
  <c r="M85" i="48" s="1"/>
  <c r="J86" i="48"/>
  <c r="M86" i="48" s="1"/>
  <c r="J87" i="48"/>
  <c r="M87" i="48" s="1"/>
  <c r="J88" i="48"/>
  <c r="M88" i="48" s="1"/>
  <c r="J89" i="48"/>
  <c r="M89" i="48" s="1"/>
  <c r="J93" i="48"/>
  <c r="M93" i="48" s="1"/>
  <c r="J94" i="48"/>
  <c r="M94" i="48" s="1"/>
  <c r="J95" i="48"/>
  <c r="M95" i="48" s="1"/>
  <c r="J96" i="48"/>
  <c r="M96" i="48" s="1"/>
  <c r="J97" i="48"/>
  <c r="M97" i="48" s="1"/>
  <c r="J98" i="48"/>
  <c r="M98" i="48" s="1"/>
  <c r="J99" i="48"/>
  <c r="M99" i="48" s="1"/>
  <c r="J100" i="48"/>
  <c r="M100" i="48" s="1"/>
  <c r="J101" i="48"/>
  <c r="M101" i="48" s="1"/>
  <c r="J102" i="48"/>
  <c r="M102" i="48" s="1"/>
  <c r="J103" i="48"/>
  <c r="M103" i="48" s="1"/>
  <c r="J104" i="48"/>
  <c r="M104" i="48" s="1"/>
  <c r="J108" i="48"/>
  <c r="M108" i="48" s="1"/>
  <c r="J109" i="48"/>
  <c r="M109" i="48" s="1"/>
  <c r="J110" i="48"/>
  <c r="M110" i="48" s="1"/>
  <c r="M127" i="48"/>
  <c r="M133" i="48"/>
  <c r="M134" i="48"/>
  <c r="M135" i="48"/>
  <c r="M139" i="48"/>
  <c r="M140" i="48"/>
  <c r="M141" i="48"/>
  <c r="M142" i="48"/>
  <c r="M143" i="48"/>
  <c r="M144" i="48"/>
  <c r="M145" i="48"/>
  <c r="M146" i="48"/>
  <c r="M147" i="48"/>
  <c r="M148" i="48"/>
  <c r="M149" i="48"/>
  <c r="M150" i="48"/>
  <c r="M154" i="48"/>
  <c r="M155" i="48"/>
  <c r="M156" i="48"/>
  <c r="M157" i="48"/>
  <c r="M158" i="48"/>
  <c r="M159" i="48"/>
  <c r="M160" i="48"/>
  <c r="M161" i="48"/>
  <c r="M162" i="48"/>
  <c r="M163" i="48"/>
  <c r="M164" i="48"/>
  <c r="M165" i="48"/>
  <c r="J214" i="48"/>
  <c r="M214" i="48" s="1"/>
  <c r="J215" i="48"/>
  <c r="M215" i="48" s="1"/>
  <c r="J216" i="48"/>
  <c r="M216" i="48" s="1"/>
  <c r="J217" i="48"/>
  <c r="M217" i="48" s="1"/>
  <c r="J218" i="48"/>
  <c r="M218" i="48" s="1"/>
  <c r="J219" i="48"/>
  <c r="M219" i="48" s="1"/>
  <c r="J220" i="48"/>
  <c r="M220" i="48" s="1"/>
  <c r="J221" i="48"/>
  <c r="M221" i="48" s="1"/>
  <c r="J222" i="48"/>
  <c r="M222" i="48" s="1"/>
  <c r="J223" i="48"/>
  <c r="M223" i="48" s="1"/>
  <c r="J224" i="48"/>
  <c r="M224" i="48" s="1"/>
  <c r="J225" i="48"/>
  <c r="M225" i="48" s="1"/>
  <c r="J229" i="48"/>
  <c r="M229" i="48" s="1"/>
  <c r="J230" i="48"/>
  <c r="M230" i="48" s="1"/>
  <c r="J231" i="48"/>
  <c r="M231" i="48" s="1"/>
  <c r="J232" i="48"/>
  <c r="M232" i="48" s="1"/>
  <c r="J233" i="48"/>
  <c r="M233" i="48" s="1"/>
  <c r="J234" i="48"/>
  <c r="M234" i="48" s="1"/>
  <c r="J235" i="48"/>
  <c r="M235" i="48" s="1"/>
  <c r="J236" i="48"/>
  <c r="M236" i="48" s="1"/>
  <c r="J237" i="48"/>
  <c r="M237" i="48" s="1"/>
  <c r="J238" i="48"/>
  <c r="M238" i="48" s="1"/>
  <c r="J239" i="48"/>
  <c r="M239" i="48" s="1"/>
  <c r="J240" i="48"/>
  <c r="M240" i="48" s="1"/>
  <c r="J244" i="48"/>
  <c r="M244" i="48" s="1"/>
  <c r="J245" i="48"/>
  <c r="M245" i="48" s="1"/>
  <c r="J246" i="48"/>
  <c r="M246" i="48" s="1"/>
  <c r="J247" i="48"/>
  <c r="M247" i="48" s="1"/>
  <c r="J248" i="48"/>
  <c r="M248" i="48" s="1"/>
  <c r="J249" i="48"/>
  <c r="M249" i="48" s="1"/>
  <c r="J252" i="48"/>
  <c r="M252" i="48" s="1"/>
  <c r="J253" i="48"/>
  <c r="M253" i="48" s="1"/>
  <c r="J254" i="48"/>
  <c r="M254" i="48" s="1"/>
  <c r="J255" i="48"/>
  <c r="M255" i="48" s="1"/>
  <c r="J256" i="48"/>
  <c r="M256" i="48" s="1"/>
  <c r="J257" i="48"/>
  <c r="M257" i="48" s="1"/>
  <c r="J261" i="48"/>
  <c r="M261" i="48" s="1"/>
  <c r="J262" i="48"/>
  <c r="M262" i="48" s="1"/>
  <c r="J263" i="48"/>
  <c r="M263" i="48" s="1"/>
  <c r="J264" i="48"/>
  <c r="M264" i="48" s="1"/>
  <c r="J265" i="48"/>
  <c r="M265" i="48" s="1"/>
  <c r="J266" i="48"/>
  <c r="M266" i="48" s="1"/>
  <c r="J267" i="48"/>
  <c r="M267" i="48" s="1"/>
  <c r="J268" i="48"/>
  <c r="M268" i="48" s="1"/>
  <c r="J269" i="48"/>
  <c r="M269" i="48" s="1"/>
  <c r="J270" i="48"/>
  <c r="M270" i="48" s="1"/>
  <c r="J271" i="48"/>
  <c r="M271" i="48" s="1"/>
  <c r="J272" i="48"/>
  <c r="M272" i="48" s="1"/>
  <c r="J276" i="48"/>
  <c r="M276" i="48" s="1"/>
  <c r="J277" i="48"/>
  <c r="M277" i="48" s="1"/>
  <c r="J278" i="48"/>
  <c r="M278" i="48" s="1"/>
  <c r="M295" i="48"/>
  <c r="M301" i="48"/>
  <c r="M302" i="48"/>
  <c r="M303" i="48"/>
  <c r="M307" i="48"/>
  <c r="M308" i="48"/>
  <c r="M309" i="48"/>
  <c r="M310" i="48"/>
  <c r="M311" i="48"/>
  <c r="M312" i="48"/>
  <c r="M313" i="48"/>
  <c r="M314" i="48"/>
  <c r="M315" i="48"/>
  <c r="M316" i="48"/>
  <c r="M317" i="48"/>
  <c r="M318" i="48"/>
  <c r="M322" i="48"/>
  <c r="M323" i="48"/>
  <c r="M324" i="48"/>
  <c r="M325" i="48"/>
  <c r="M326" i="48"/>
  <c r="M327" i="48"/>
  <c r="M328" i="48"/>
  <c r="M329" i="48"/>
  <c r="M330" i="48"/>
  <c r="M331" i="48"/>
  <c r="M332" i="48"/>
  <c r="M333" i="48"/>
  <c r="M337" i="48"/>
  <c r="M338" i="48"/>
  <c r="M339" i="48"/>
  <c r="M340" i="48"/>
  <c r="M341" i="48"/>
  <c r="M342" i="48"/>
  <c r="M343" i="48"/>
  <c r="M344" i="48"/>
  <c r="M345" i="48"/>
  <c r="M346" i="48"/>
  <c r="M347" i="48"/>
  <c r="M348" i="48"/>
  <c r="E59" i="47"/>
  <c r="M59" i="47" s="1"/>
  <c r="E61" i="47"/>
  <c r="M61" i="47" s="1"/>
  <c r="E62" i="47"/>
  <c r="M62" i="47" s="1"/>
  <c r="E63" i="47"/>
  <c r="M63" i="47" s="1"/>
  <c r="E65" i="47"/>
  <c r="M65" i="47" s="1"/>
  <c r="E67" i="47"/>
  <c r="I67" i="47"/>
  <c r="I68" i="47"/>
  <c r="E69" i="47"/>
  <c r="I69" i="47"/>
  <c r="E71" i="47"/>
  <c r="M71" i="47" s="1"/>
  <c r="E73" i="47"/>
  <c r="M73" i="47" s="1"/>
  <c r="E75" i="47"/>
  <c r="M75" i="47" s="1"/>
  <c r="E77" i="47"/>
  <c r="M77" i="47" s="1"/>
  <c r="E79" i="47"/>
  <c r="M79" i="47" s="1"/>
  <c r="E81" i="47"/>
  <c r="M81" i="47" s="1"/>
  <c r="E83" i="47"/>
  <c r="M83" i="47" s="1"/>
  <c r="E87" i="47"/>
  <c r="M87" i="47" s="1"/>
  <c r="E89" i="47"/>
  <c r="M89" i="47" s="1"/>
  <c r="E91" i="47"/>
  <c r="M91" i="47" s="1"/>
  <c r="E93" i="47"/>
  <c r="M93" i="47" s="1"/>
  <c r="E95" i="47"/>
  <c r="M95" i="47" s="1"/>
  <c r="E97" i="47"/>
  <c r="M97" i="47" s="1"/>
  <c r="E99" i="47"/>
  <c r="M99" i="47" s="1"/>
  <c r="E101" i="47"/>
  <c r="M101" i="47" s="1"/>
  <c r="E103" i="47"/>
  <c r="M103" i="47" s="1"/>
  <c r="E105" i="47"/>
  <c r="M105" i="47" s="1"/>
  <c r="E107" i="47"/>
  <c r="M107" i="47" s="1"/>
  <c r="M109" i="47"/>
  <c r="E113" i="47"/>
  <c r="M113" i="47" s="1"/>
  <c r="E115" i="47"/>
  <c r="M115" i="47" s="1"/>
  <c r="E117" i="47"/>
  <c r="M117" i="47" s="1"/>
  <c r="M119" i="47"/>
  <c r="M121" i="47"/>
  <c r="M123" i="47"/>
  <c r="M127" i="47"/>
  <c r="M129" i="47"/>
  <c r="M131" i="47"/>
  <c r="M133" i="47"/>
  <c r="M135" i="47"/>
  <c r="M137" i="47"/>
  <c r="M141" i="47"/>
  <c r="M143" i="47"/>
  <c r="M145" i="47"/>
  <c r="M147" i="47"/>
  <c r="M149" i="47"/>
  <c r="M151" i="47"/>
  <c r="M153" i="47"/>
  <c r="M155" i="47"/>
  <c r="M157" i="47"/>
  <c r="M159" i="47"/>
  <c r="M161" i="47"/>
  <c r="M163" i="47"/>
  <c r="E167" i="47"/>
  <c r="M167" i="47" s="1"/>
  <c r="E169" i="47"/>
  <c r="M169" i="47" s="1"/>
  <c r="E171" i="47"/>
  <c r="M171" i="47" s="1"/>
  <c r="E173" i="47"/>
  <c r="M173" i="47" s="1"/>
  <c r="M175" i="47"/>
  <c r="M177" i="47"/>
  <c r="M179" i="47"/>
  <c r="M181" i="47"/>
  <c r="M183" i="47"/>
  <c r="M185" i="47"/>
  <c r="M187" i="47"/>
  <c r="M189" i="47"/>
  <c r="E193" i="47"/>
  <c r="M193" i="47" s="1"/>
  <c r="E195" i="47"/>
  <c r="M195" i="47" s="1"/>
  <c r="E197" i="47"/>
  <c r="M197" i="47" s="1"/>
  <c r="M199" i="47"/>
  <c r="M201" i="47"/>
  <c r="M203" i="47"/>
  <c r="M205" i="47"/>
  <c r="M207" i="47"/>
  <c r="M209" i="47"/>
  <c r="M231" i="47"/>
  <c r="M237" i="47"/>
  <c r="M239" i="47"/>
  <c r="M241" i="47"/>
  <c r="E275" i="47"/>
  <c r="M275" i="47" s="1"/>
  <c r="E277" i="47"/>
  <c r="M277" i="47" s="1"/>
  <c r="E279" i="47"/>
  <c r="M279" i="47" s="1"/>
  <c r="E281" i="47"/>
  <c r="M281" i="47" s="1"/>
  <c r="E283" i="47"/>
  <c r="M283" i="47" s="1"/>
  <c r="E285" i="47"/>
  <c r="M285" i="47" s="1"/>
  <c r="E287" i="47"/>
  <c r="M287" i="47" s="1"/>
  <c r="M289" i="47"/>
  <c r="M291" i="47"/>
  <c r="M293" i="47"/>
  <c r="M295" i="47"/>
  <c r="E307" i="47"/>
  <c r="M307" i="47" s="1"/>
  <c r="E309" i="47"/>
  <c r="M309" i="47" s="1"/>
  <c r="E311" i="47"/>
  <c r="M311" i="47" s="1"/>
  <c r="M313" i="47"/>
  <c r="M315" i="47"/>
  <c r="E317" i="47"/>
  <c r="M317" i="47" s="1"/>
  <c r="M319" i="47"/>
  <c r="M321" i="47"/>
  <c r="M323" i="47"/>
  <c r="E18" i="46"/>
  <c r="F18" i="46" s="1"/>
  <c r="G18" i="46"/>
  <c r="F19" i="46"/>
  <c r="I19" i="46" s="1"/>
  <c r="L19" i="46" s="1"/>
  <c r="F20" i="46"/>
  <c r="I20" i="46" s="1"/>
  <c r="L20" i="46" s="1"/>
  <c r="C21" i="46"/>
  <c r="F21" i="46" s="1"/>
  <c r="I21" i="46" s="1"/>
  <c r="L21" i="46" s="1"/>
  <c r="F22" i="46"/>
  <c r="I22" i="46" s="1"/>
  <c r="L22" i="46" s="1"/>
  <c r="F23" i="46"/>
  <c r="I23" i="46" s="1"/>
  <c r="L23" i="46" s="1"/>
  <c r="F24" i="46"/>
  <c r="I24" i="46" s="1"/>
  <c r="L24" i="46" s="1"/>
  <c r="F25" i="46"/>
  <c r="I25" i="46" s="1"/>
  <c r="L25" i="46" s="1"/>
  <c r="F26" i="46"/>
  <c r="I26" i="46" s="1"/>
  <c r="L26" i="46" s="1"/>
  <c r="C27" i="46"/>
  <c r="F27" i="46" s="1"/>
  <c r="I27" i="46" s="1"/>
  <c r="L27" i="46" s="1"/>
  <c r="F28" i="46"/>
  <c r="I28" i="46" s="1"/>
  <c r="L28" i="46" s="1"/>
  <c r="F29" i="46"/>
  <c r="I29" i="46" s="1"/>
  <c r="L29" i="46" s="1"/>
  <c r="F33" i="46"/>
  <c r="I33" i="46" s="1"/>
  <c r="L33" i="46" s="1"/>
  <c r="F35" i="46"/>
  <c r="I35" i="46" s="1"/>
  <c r="L35" i="46" s="1"/>
  <c r="F37" i="46"/>
  <c r="I37" i="46" s="1"/>
  <c r="L37" i="46" s="1"/>
  <c r="F39" i="46"/>
  <c r="I39" i="46" s="1"/>
  <c r="L39" i="46" s="1"/>
  <c r="F41" i="46"/>
  <c r="I41" i="46" s="1"/>
  <c r="L41" i="46" s="1"/>
  <c r="F43" i="46"/>
  <c r="I43" i="46" s="1"/>
  <c r="L43" i="46" s="1"/>
  <c r="F45" i="46"/>
  <c r="I45" i="46" s="1"/>
  <c r="L45" i="46" s="1"/>
  <c r="F47" i="46"/>
  <c r="I47" i="46" s="1"/>
  <c r="L47" i="46" s="1"/>
  <c r="F49" i="46"/>
  <c r="I49" i="46" s="1"/>
  <c r="L49" i="46" s="1"/>
  <c r="F51" i="46"/>
  <c r="I51" i="46" s="1"/>
  <c r="L51" i="46" s="1"/>
  <c r="F53" i="46"/>
  <c r="I53" i="46" s="1"/>
  <c r="L53" i="46" s="1"/>
  <c r="F55" i="46"/>
  <c r="I55" i="46" s="1"/>
  <c r="L55" i="46" s="1"/>
  <c r="F59" i="46"/>
  <c r="I59" i="46" s="1"/>
  <c r="L59" i="46" s="1"/>
  <c r="F61" i="46"/>
  <c r="I61" i="46" s="1"/>
  <c r="L61" i="46" s="1"/>
  <c r="F63" i="46"/>
  <c r="I63" i="46" s="1"/>
  <c r="L63" i="46" s="1"/>
  <c r="F65" i="46"/>
  <c r="I65" i="46" s="1"/>
  <c r="L65" i="46" s="1"/>
  <c r="F67" i="46"/>
  <c r="I67" i="46" s="1"/>
  <c r="L67" i="46" s="1"/>
  <c r="F69" i="46"/>
  <c r="I69" i="46" s="1"/>
  <c r="L69" i="46" s="1"/>
  <c r="F71" i="46"/>
  <c r="I71" i="46" s="1"/>
  <c r="L71" i="46" s="1"/>
  <c r="F73" i="46"/>
  <c r="I73" i="46" s="1"/>
  <c r="L73" i="46" s="1"/>
  <c r="F75" i="46"/>
  <c r="I75" i="46" s="1"/>
  <c r="L75" i="46" s="1"/>
  <c r="F77" i="46"/>
  <c r="I77" i="46" s="1"/>
  <c r="L77" i="46" s="1"/>
  <c r="F79" i="46"/>
  <c r="I79" i="46" s="1"/>
  <c r="L79" i="46" s="1"/>
  <c r="F81" i="46"/>
  <c r="I81" i="46" s="1"/>
  <c r="L81" i="46" s="1"/>
  <c r="F83" i="46"/>
  <c r="I83" i="46" s="1"/>
  <c r="L83" i="46" s="1"/>
  <c r="F87" i="46"/>
  <c r="I87" i="46" s="1"/>
  <c r="L87" i="46" s="1"/>
  <c r="F89" i="46"/>
  <c r="I89" i="46" s="1"/>
  <c r="L89" i="46" s="1"/>
  <c r="F91" i="46"/>
  <c r="I91" i="46" s="1"/>
  <c r="L91" i="46" s="1"/>
  <c r="F93" i="46"/>
  <c r="I93" i="46" s="1"/>
  <c r="L93" i="46" s="1"/>
  <c r="F95" i="46"/>
  <c r="I95" i="46" s="1"/>
  <c r="L95" i="46" s="1"/>
  <c r="F97" i="46"/>
  <c r="I97" i="46" s="1"/>
  <c r="L97" i="46" s="1"/>
  <c r="F99" i="46"/>
  <c r="I99" i="46" s="1"/>
  <c r="L99" i="46" s="1"/>
  <c r="F101" i="46"/>
  <c r="I101" i="46" s="1"/>
  <c r="L101" i="46" s="1"/>
  <c r="F103" i="46"/>
  <c r="I103" i="46" s="1"/>
  <c r="L103" i="46" s="1"/>
  <c r="F105" i="46"/>
  <c r="I105" i="46" s="1"/>
  <c r="L105" i="46" s="1"/>
  <c r="F107" i="46"/>
  <c r="I107" i="46" s="1"/>
  <c r="L107" i="46" s="1"/>
  <c r="L109" i="46"/>
  <c r="F113" i="46"/>
  <c r="I113" i="46" s="1"/>
  <c r="L113" i="46" s="1"/>
  <c r="F115" i="46"/>
  <c r="I115" i="46" s="1"/>
  <c r="L115" i="46" s="1"/>
  <c r="I117" i="46"/>
  <c r="L117" i="46" s="1"/>
  <c r="I119" i="46"/>
  <c r="L119" i="46" s="1"/>
  <c r="I121" i="46"/>
  <c r="L121" i="46" s="1"/>
  <c r="I123" i="46"/>
  <c r="L123" i="46" s="1"/>
  <c r="I127" i="46"/>
  <c r="L127" i="46" s="1"/>
  <c r="I129" i="46"/>
  <c r="L129" i="46" s="1"/>
  <c r="I131" i="46"/>
  <c r="L131" i="46" s="1"/>
  <c r="L133" i="46"/>
  <c r="L135" i="46"/>
  <c r="L137" i="46"/>
  <c r="L141" i="46"/>
  <c r="L143" i="46"/>
  <c r="L145" i="46"/>
  <c r="I147" i="46"/>
  <c r="L147" i="46" s="1"/>
  <c r="I149" i="46"/>
  <c r="L149" i="46" s="1"/>
  <c r="I151" i="46"/>
  <c r="L151" i="46" s="1"/>
  <c r="I153" i="46"/>
  <c r="L153" i="46" s="1"/>
  <c r="I155" i="46"/>
  <c r="L155" i="46" s="1"/>
  <c r="I157" i="46"/>
  <c r="L157" i="46" s="1"/>
  <c r="F159" i="46"/>
  <c r="I159" i="46" s="1"/>
  <c r="L159" i="46" s="1"/>
  <c r="F161" i="46"/>
  <c r="I161" i="46" s="1"/>
  <c r="L161" i="46" s="1"/>
  <c r="F163" i="46"/>
  <c r="I163" i="46" s="1"/>
  <c r="L163" i="46" s="1"/>
  <c r="F167" i="46"/>
  <c r="I167" i="46" s="1"/>
  <c r="L167" i="46" s="1"/>
  <c r="F169" i="46"/>
  <c r="I169" i="46" s="1"/>
  <c r="L169" i="46" s="1"/>
  <c r="F171" i="46"/>
  <c r="I171" i="46" s="1"/>
  <c r="L171" i="46" s="1"/>
  <c r="F173" i="46"/>
  <c r="I173" i="46" s="1"/>
  <c r="L173" i="46" s="1"/>
  <c r="F175" i="46"/>
  <c r="L175" i="46"/>
  <c r="F177" i="46"/>
  <c r="L177" i="46"/>
  <c r="F179" i="46"/>
  <c r="I179" i="46" s="1"/>
  <c r="L179" i="46" s="1"/>
  <c r="F181" i="46"/>
  <c r="I181" i="46" s="1"/>
  <c r="L181" i="46" s="1"/>
  <c r="F183" i="46"/>
  <c r="I183" i="46" s="1"/>
  <c r="L183" i="46" s="1"/>
  <c r="F185" i="46"/>
  <c r="I185" i="46" s="1"/>
  <c r="L185" i="46" s="1"/>
  <c r="F187" i="46"/>
  <c r="I187" i="46" s="1"/>
  <c r="L187" i="46" s="1"/>
  <c r="F189" i="46"/>
  <c r="I189" i="46" s="1"/>
  <c r="L189" i="46" s="1"/>
  <c r="F193" i="46"/>
  <c r="I193" i="46" s="1"/>
  <c r="L193" i="46" s="1"/>
  <c r="F195" i="46"/>
  <c r="I195" i="46" s="1"/>
  <c r="L195" i="46" s="1"/>
  <c r="F197" i="46"/>
  <c r="I197" i="46" s="1"/>
  <c r="L197" i="46" s="1"/>
  <c r="F199" i="46"/>
  <c r="I199" i="46" s="1"/>
  <c r="L199" i="46" s="1"/>
  <c r="F201" i="46"/>
  <c r="I201" i="46" s="1"/>
  <c r="L201" i="46" s="1"/>
  <c r="F203" i="46"/>
  <c r="I203" i="46" s="1"/>
  <c r="L203" i="46" s="1"/>
  <c r="F205" i="46"/>
  <c r="I205" i="46" s="1"/>
  <c r="L205" i="46" s="1"/>
  <c r="F207" i="46"/>
  <c r="I207" i="46" s="1"/>
  <c r="L207" i="46" s="1"/>
  <c r="F209" i="46"/>
  <c r="I209" i="46" s="1"/>
  <c r="L209" i="46" s="1"/>
  <c r="L211" i="46"/>
  <c r="I215" i="46"/>
  <c r="L215" i="46" s="1"/>
  <c r="L219" i="46"/>
  <c r="L221" i="46"/>
  <c r="L223" i="46"/>
  <c r="L225" i="46"/>
  <c r="L227" i="46"/>
  <c r="L229" i="46"/>
  <c r="L231" i="46"/>
  <c r="L233" i="46"/>
  <c r="L235" i="46"/>
  <c r="L237" i="46"/>
  <c r="L239" i="46"/>
  <c r="L241" i="46"/>
  <c r="L245" i="46"/>
  <c r="L247" i="46"/>
  <c r="L249" i="46"/>
  <c r="L251" i="46"/>
  <c r="L253" i="46"/>
  <c r="L255" i="46"/>
  <c r="L257" i="46"/>
  <c r="L259" i="46"/>
  <c r="L261" i="46"/>
  <c r="L263" i="46"/>
  <c r="L265" i="46"/>
  <c r="L267" i="46"/>
  <c r="F462" i="46"/>
  <c r="I462" i="46" s="1"/>
  <c r="L462" i="46" s="1"/>
  <c r="F464" i="46"/>
  <c r="I464" i="46" s="1"/>
  <c r="L464" i="46" s="1"/>
  <c r="F466" i="46"/>
  <c r="I466" i="46" s="1"/>
  <c r="L466" i="46" s="1"/>
  <c r="F468" i="46"/>
  <c r="I468" i="46" s="1"/>
  <c r="L468" i="46" s="1"/>
  <c r="F470" i="46"/>
  <c r="I470" i="46" s="1"/>
  <c r="L470" i="46" s="1"/>
  <c r="F472" i="46"/>
  <c r="I472" i="46" s="1"/>
  <c r="L472" i="46" s="1"/>
  <c r="F474" i="46"/>
  <c r="I474" i="46" s="1"/>
  <c r="L474" i="46" s="1"/>
  <c r="F476" i="46"/>
  <c r="I476" i="46" s="1"/>
  <c r="L476" i="46" s="1"/>
  <c r="F478" i="46"/>
  <c r="I478" i="46" s="1"/>
  <c r="L478" i="46" s="1"/>
  <c r="F480" i="46"/>
  <c r="I480" i="46" s="1"/>
  <c r="L480" i="46" s="1"/>
  <c r="F482" i="46"/>
  <c r="I482" i="46" s="1"/>
  <c r="L482" i="46" s="1"/>
  <c r="L484" i="46"/>
  <c r="L494" i="46"/>
  <c r="L496" i="46"/>
  <c r="L498" i="46"/>
  <c r="L500" i="46"/>
  <c r="L502" i="46"/>
  <c r="L504" i="46"/>
  <c r="L506" i="46"/>
  <c r="L508" i="46"/>
  <c r="L510" i="46"/>
  <c r="D12" i="42"/>
  <c r="D13" i="42" s="1"/>
  <c r="H490" i="39"/>
  <c r="H491" i="39"/>
  <c r="H492" i="39"/>
  <c r="D336" i="37"/>
  <c r="D337" i="37"/>
  <c r="D338" i="37"/>
  <c r="F28" i="4"/>
  <c r="F30" i="4"/>
  <c r="F32" i="4"/>
  <c r="F34" i="4"/>
  <c r="F36" i="4"/>
  <c r="F38" i="4"/>
  <c r="F40" i="4"/>
  <c r="F44" i="4"/>
  <c r="F46" i="4"/>
  <c r="F50" i="4"/>
  <c r="F52" i="4"/>
  <c r="F88" i="4"/>
  <c r="F90" i="4"/>
  <c r="F92" i="4"/>
  <c r="F96" i="4"/>
  <c r="F98" i="4"/>
  <c r="F100" i="4"/>
  <c r="F102" i="4"/>
  <c r="D166" i="4"/>
  <c r="D168" i="4"/>
  <c r="F168" i="4"/>
  <c r="D170" i="4"/>
  <c r="D174" i="4"/>
  <c r="D176" i="4"/>
  <c r="D178" i="4"/>
  <c r="D180" i="4"/>
  <c r="D182" i="4"/>
  <c r="D184" i="4"/>
  <c r="D186" i="4"/>
  <c r="D188" i="4"/>
  <c r="D190" i="4"/>
  <c r="D192" i="4"/>
  <c r="D194" i="4"/>
  <c r="D196" i="4"/>
  <c r="D200" i="4"/>
  <c r="D202" i="4"/>
  <c r="D204" i="4"/>
  <c r="F204" i="4"/>
  <c r="D206" i="4"/>
  <c r="F206" i="4"/>
  <c r="F208" i="4"/>
  <c r="D210" i="4"/>
  <c r="F210" i="4"/>
  <c r="D212" i="4"/>
  <c r="F212" i="4"/>
  <c r="F214" i="4"/>
  <c r="F216" i="4"/>
  <c r="F218" i="4"/>
  <c r="F220" i="4"/>
  <c r="F222" i="4"/>
  <c r="F226" i="4"/>
  <c r="F228" i="4"/>
  <c r="F230" i="4"/>
  <c r="D234" i="4"/>
  <c r="E234" i="4"/>
  <c r="F234" i="4"/>
  <c r="D236" i="4"/>
  <c r="E236" i="4"/>
  <c r="F236" i="4"/>
  <c r="D238" i="4"/>
  <c r="E238" i="4"/>
  <c r="F238" i="4"/>
  <c r="D240" i="4"/>
  <c r="E240" i="4"/>
  <c r="F240" i="4"/>
  <c r="D242" i="4"/>
  <c r="E242" i="4"/>
  <c r="F242" i="4"/>
  <c r="F244" i="4"/>
  <c r="D246" i="4"/>
  <c r="E246" i="4"/>
  <c r="F246" i="4"/>
  <c r="D248" i="4"/>
  <c r="E248" i="4"/>
  <c r="F248" i="4"/>
  <c r="E252" i="4"/>
  <c r="D252" i="4" s="1"/>
  <c r="F252" i="4"/>
  <c r="D254" i="4"/>
  <c r="F254" i="4"/>
  <c r="D256" i="4"/>
  <c r="F256" i="4"/>
  <c r="D258" i="4"/>
  <c r="F258" i="4"/>
  <c r="D260" i="4"/>
  <c r="F260" i="4"/>
  <c r="D262" i="4"/>
  <c r="F262" i="4"/>
  <c r="D264" i="4"/>
  <c r="F264" i="4"/>
  <c r="H264" i="4"/>
  <c r="H265" i="4"/>
  <c r="D266" i="4"/>
  <c r="E266" i="4"/>
  <c r="F266" i="4"/>
  <c r="H266" i="4"/>
  <c r="D268" i="4"/>
  <c r="F268" i="4"/>
  <c r="D270" i="4"/>
  <c r="F270" i="4"/>
  <c r="D272" i="4"/>
  <c r="F272" i="4"/>
  <c r="D274" i="4"/>
  <c r="F274" i="4"/>
  <c r="D278" i="4"/>
  <c r="F278" i="4"/>
  <c r="F280" i="4"/>
  <c r="F282" i="4"/>
  <c r="D288" i="4"/>
  <c r="F288" i="4"/>
  <c r="F290" i="4"/>
  <c r="O290" i="4" s="1"/>
  <c r="F292" i="4"/>
  <c r="O292" i="4" s="1"/>
  <c r="F294" i="4"/>
  <c r="O294" i="4" s="1"/>
  <c r="F296" i="4"/>
  <c r="O296" i="4" s="1"/>
  <c r="F298" i="4"/>
  <c r="O298" i="4" s="1"/>
  <c r="F300" i="4"/>
  <c r="O300" i="4" s="1"/>
  <c r="D304" i="4"/>
  <c r="F304" i="4"/>
  <c r="D306" i="4"/>
  <c r="F306" i="4"/>
  <c r="D308" i="4"/>
  <c r="F308" i="4"/>
  <c r="D310" i="4"/>
  <c r="F310" i="4"/>
  <c r="D312" i="4"/>
  <c r="F312" i="4"/>
  <c r="O314" i="4"/>
  <c r="O316" i="4"/>
  <c r="O318" i="4"/>
  <c r="O320" i="4"/>
  <c r="O322" i="4"/>
  <c r="O324" i="4"/>
  <c r="O326" i="4"/>
  <c r="O329" i="4"/>
  <c r="O330" i="4"/>
  <c r="O331" i="4"/>
  <c r="O332" i="4"/>
  <c r="O333" i="4"/>
  <c r="O334" i="4"/>
  <c r="O336" i="4"/>
  <c r="O338" i="4"/>
  <c r="O340" i="4"/>
  <c r="O342" i="4"/>
  <c r="D344" i="4"/>
  <c r="O344" i="4" s="1"/>
  <c r="D346" i="4"/>
  <c r="F346" i="4"/>
  <c r="D348" i="4"/>
  <c r="F348" i="4"/>
  <c r="D350" i="4"/>
  <c r="F350" i="4"/>
  <c r="D352" i="4"/>
  <c r="F352" i="4"/>
  <c r="O356" i="4"/>
  <c r="O358" i="4"/>
  <c r="D360" i="4"/>
  <c r="F360" i="4"/>
  <c r="O360" i="4"/>
  <c r="D362" i="4"/>
  <c r="F362" i="4"/>
  <c r="O362" i="4"/>
  <c r="D364" i="4"/>
  <c r="F364" i="4"/>
  <c r="O364" i="4"/>
  <c r="D366" i="4"/>
  <c r="F366" i="4"/>
  <c r="O366" i="4"/>
  <c r="D368" i="4"/>
  <c r="F368" i="4"/>
  <c r="O368" i="4"/>
  <c r="D370" i="4"/>
  <c r="F370" i="4"/>
  <c r="O370" i="4"/>
  <c r="D372" i="4"/>
  <c r="F372" i="4"/>
  <c r="O372" i="4"/>
  <c r="D374" i="4"/>
  <c r="F374" i="4"/>
  <c r="O374" i="4"/>
  <c r="D376" i="4"/>
  <c r="F376" i="4"/>
  <c r="O376" i="4"/>
  <c r="D378" i="4"/>
  <c r="F378" i="4"/>
  <c r="O378" i="4"/>
  <c r="D382" i="4"/>
  <c r="F382" i="4"/>
  <c r="O382" i="4"/>
  <c r="T382" i="4"/>
  <c r="T406" i="4" s="1"/>
  <c r="T407" i="4" s="1"/>
  <c r="T408" i="4" s="1"/>
  <c r="D384" i="4"/>
  <c r="F384" i="4"/>
  <c r="D386" i="4"/>
  <c r="F386" i="4"/>
  <c r="O386" i="4"/>
  <c r="D388" i="4"/>
  <c r="F388" i="4"/>
  <c r="O388" i="4"/>
  <c r="D390" i="4"/>
  <c r="F390" i="4"/>
  <c r="O390" i="4"/>
  <c r="D392" i="4"/>
  <c r="F392" i="4"/>
  <c r="O392" i="4"/>
  <c r="D404" i="4"/>
  <c r="F404" i="4"/>
  <c r="G108" i="3"/>
  <c r="I108" i="3"/>
  <c r="G110" i="3"/>
  <c r="I110" i="3"/>
  <c r="G112" i="3"/>
  <c r="I112" i="3"/>
  <c r="G114" i="3"/>
  <c r="I114" i="3"/>
  <c r="G116" i="3"/>
  <c r="I116" i="3"/>
  <c r="G118" i="3"/>
  <c r="I118" i="3"/>
  <c r="G122" i="3"/>
  <c r="I122" i="3"/>
  <c r="G124" i="3"/>
  <c r="I124" i="3"/>
  <c r="G126" i="3"/>
  <c r="I126" i="3"/>
  <c r="G128" i="3"/>
  <c r="I128" i="3"/>
  <c r="G130" i="3"/>
  <c r="I130" i="3"/>
  <c r="G132" i="3"/>
  <c r="I132" i="3"/>
  <c r="G134" i="3"/>
  <c r="I134" i="3"/>
  <c r="G136" i="3"/>
  <c r="I136" i="3"/>
  <c r="G140" i="3"/>
  <c r="H140" i="3"/>
  <c r="I140" i="3"/>
  <c r="G142" i="3"/>
  <c r="H142" i="3"/>
  <c r="I142" i="3"/>
  <c r="C144" i="3"/>
  <c r="G144" i="3"/>
  <c r="I144" i="3"/>
  <c r="G148" i="3"/>
  <c r="I148" i="3"/>
  <c r="G150" i="3"/>
  <c r="I150" i="3"/>
  <c r="G152" i="3"/>
  <c r="I152" i="3"/>
  <c r="G154" i="3"/>
  <c r="I154" i="3"/>
  <c r="G156" i="3"/>
  <c r="I156" i="3"/>
  <c r="G158" i="3"/>
  <c r="I158" i="3"/>
  <c r="G160" i="3"/>
  <c r="I160" i="3"/>
  <c r="G162" i="3"/>
  <c r="I162" i="3"/>
  <c r="G164" i="3"/>
  <c r="I164" i="3"/>
  <c r="G166" i="3"/>
  <c r="G168" i="3"/>
  <c r="I168" i="3"/>
  <c r="G170" i="3"/>
  <c r="I170" i="3"/>
  <c r="G174" i="3"/>
  <c r="I174" i="3"/>
  <c r="G176" i="3"/>
  <c r="I176" i="3"/>
  <c r="G178" i="3"/>
  <c r="I178" i="3"/>
  <c r="G180" i="3"/>
  <c r="I180" i="3"/>
  <c r="G182" i="3"/>
  <c r="I182" i="3"/>
  <c r="G184" i="3"/>
  <c r="I184" i="3"/>
  <c r="G186" i="3"/>
  <c r="I186" i="3"/>
  <c r="G188" i="3"/>
  <c r="I188" i="3"/>
  <c r="G190" i="3"/>
  <c r="I190" i="3"/>
  <c r="G192" i="3"/>
  <c r="I192" i="3"/>
  <c r="G194" i="3"/>
  <c r="I194" i="3"/>
  <c r="G196" i="3"/>
  <c r="I196" i="3"/>
  <c r="G200" i="3"/>
  <c r="I200" i="3"/>
  <c r="G202" i="3"/>
  <c r="I202" i="3"/>
  <c r="G204" i="3"/>
  <c r="I204" i="3"/>
  <c r="G206" i="3"/>
  <c r="I206" i="3"/>
  <c r="G208" i="3"/>
  <c r="I208" i="3"/>
  <c r="G210" i="3"/>
  <c r="G212" i="3"/>
  <c r="G214" i="3"/>
  <c r="G216" i="3"/>
  <c r="G218" i="3"/>
  <c r="G220" i="3"/>
  <c r="G222" i="3"/>
  <c r="G226" i="3"/>
  <c r="G228" i="3"/>
  <c r="G230" i="3"/>
  <c r="I230" i="3"/>
  <c r="G234" i="3"/>
  <c r="G236" i="3"/>
  <c r="I236" i="3"/>
  <c r="G238" i="3"/>
  <c r="G240" i="3"/>
  <c r="I240" i="3"/>
  <c r="G242" i="3"/>
  <c r="G244" i="3"/>
  <c r="G246" i="3"/>
  <c r="I246" i="3"/>
  <c r="G248" i="3"/>
  <c r="I248" i="3"/>
  <c r="G252" i="3"/>
  <c r="I252" i="3"/>
  <c r="G254" i="3"/>
  <c r="I254" i="3"/>
  <c r="G256" i="3"/>
  <c r="G258" i="3"/>
  <c r="I258" i="3"/>
  <c r="G260" i="3"/>
  <c r="I260" i="3"/>
  <c r="G262" i="3"/>
  <c r="I262" i="3"/>
  <c r="H264" i="3"/>
  <c r="G264" i="3" s="1"/>
  <c r="H265" i="3"/>
  <c r="H266" i="3"/>
  <c r="I266" i="3"/>
  <c r="G268" i="3"/>
  <c r="I268" i="3"/>
  <c r="G270" i="3"/>
  <c r="I270" i="3"/>
  <c r="H272" i="3"/>
  <c r="G272" i="3" s="1"/>
  <c r="I272" i="3"/>
  <c r="H274" i="3"/>
  <c r="G274" i="3" s="1"/>
  <c r="I274" i="3"/>
  <c r="H278" i="3"/>
  <c r="G278" i="3" s="1"/>
  <c r="H280" i="3"/>
  <c r="G280" i="3" s="1"/>
  <c r="H282" i="3"/>
  <c r="G282" i="3" s="1"/>
  <c r="H284" i="3"/>
  <c r="H286" i="3"/>
  <c r="H288" i="3"/>
  <c r="G288" i="3" s="1"/>
  <c r="I288" i="3"/>
  <c r="H290" i="3"/>
  <c r="G290" i="3" s="1"/>
  <c r="O290" i="3" s="1"/>
  <c r="H292" i="3"/>
  <c r="G292" i="3" s="1"/>
  <c r="O292" i="3" s="1"/>
  <c r="H294" i="3"/>
  <c r="G294" i="3" s="1"/>
  <c r="O294" i="3" s="1"/>
  <c r="H296" i="3"/>
  <c r="G296" i="3" s="1"/>
  <c r="O296" i="3" s="1"/>
  <c r="G298" i="3"/>
  <c r="O298" i="3" s="1"/>
  <c r="G300" i="3"/>
  <c r="O300" i="3" s="1"/>
  <c r="H304" i="3"/>
  <c r="G304" i="3" s="1"/>
  <c r="O304" i="3" s="1"/>
  <c r="H306" i="3"/>
  <c r="G306" i="3" s="1"/>
  <c r="O306" i="3" s="1"/>
  <c r="H308" i="3"/>
  <c r="G308" i="3" s="1"/>
  <c r="O308" i="3" s="1"/>
  <c r="H310" i="3"/>
  <c r="G310" i="3" s="1"/>
  <c r="O310" i="3" s="1"/>
  <c r="H312" i="3"/>
  <c r="G312" i="3" s="1"/>
  <c r="O312" i="3" s="1"/>
  <c r="O314" i="3"/>
  <c r="O316" i="3"/>
  <c r="O318" i="3"/>
  <c r="O320" i="3"/>
  <c r="O322" i="3"/>
  <c r="O324" i="3"/>
  <c r="O326" i="3"/>
  <c r="O330" i="3"/>
  <c r="O331" i="3"/>
  <c r="O332" i="3"/>
  <c r="O333" i="3"/>
  <c r="O334" i="3"/>
  <c r="O336" i="3"/>
  <c r="O338" i="3"/>
  <c r="O340" i="3"/>
  <c r="O342" i="3"/>
  <c r="H344" i="3"/>
  <c r="G344" i="3" s="1"/>
  <c r="O344" i="3" s="1"/>
  <c r="H346" i="3"/>
  <c r="G346" i="3" s="1"/>
  <c r="I346" i="3"/>
  <c r="G348" i="3"/>
  <c r="I348" i="3"/>
  <c r="G350" i="3"/>
  <c r="I350" i="3"/>
  <c r="G352" i="3"/>
  <c r="I352" i="3"/>
  <c r="G356" i="3"/>
  <c r="I356" i="3"/>
  <c r="O356" i="3"/>
  <c r="H358" i="3"/>
  <c r="G358" i="3" s="1"/>
  <c r="I358" i="3"/>
  <c r="H360" i="3"/>
  <c r="G360" i="3" s="1"/>
  <c r="I360" i="3"/>
  <c r="G362" i="3"/>
  <c r="I362" i="3"/>
  <c r="H364" i="3"/>
  <c r="G364" i="3" s="1"/>
  <c r="I364" i="3"/>
  <c r="G366" i="3"/>
  <c r="I366" i="3"/>
  <c r="H368" i="3"/>
  <c r="G368" i="3" s="1"/>
  <c r="I368" i="3"/>
  <c r="H370" i="3"/>
  <c r="G370" i="3" s="1"/>
  <c r="I370" i="3"/>
  <c r="H372" i="3"/>
  <c r="G372" i="3" s="1"/>
  <c r="I372" i="3"/>
  <c r="H374" i="3"/>
  <c r="G374" i="3" s="1"/>
  <c r="I374" i="3"/>
  <c r="H376" i="3"/>
  <c r="G376" i="3" s="1"/>
  <c r="I376" i="3"/>
  <c r="H378" i="3"/>
  <c r="G378" i="3" s="1"/>
  <c r="O378" i="3" s="1"/>
  <c r="H382" i="3"/>
  <c r="G382" i="3" s="1"/>
  <c r="I382" i="3"/>
  <c r="G384" i="3"/>
  <c r="I384" i="3"/>
  <c r="G386" i="3"/>
  <c r="I386" i="3"/>
  <c r="G388" i="3"/>
  <c r="I388" i="3"/>
  <c r="G390" i="3"/>
  <c r="I390" i="3"/>
  <c r="G392" i="3"/>
  <c r="I392" i="3"/>
  <c r="O394" i="3"/>
  <c r="O396" i="3"/>
  <c r="O398" i="3"/>
  <c r="O400" i="3"/>
  <c r="O402" i="3"/>
  <c r="H404" i="3"/>
  <c r="G404" i="3" s="1"/>
  <c r="I404" i="3"/>
  <c r="H410" i="3"/>
  <c r="F18" i="2"/>
  <c r="K18" i="2" s="1"/>
  <c r="F20" i="2"/>
  <c r="K20" i="2" s="1"/>
  <c r="F22" i="2"/>
  <c r="K22" i="2" s="1"/>
  <c r="F24" i="2"/>
  <c r="K24" i="2" s="1"/>
  <c r="F26" i="2"/>
  <c r="K26" i="2" s="1"/>
  <c r="F28" i="2"/>
  <c r="K28" i="2" s="1"/>
  <c r="F30" i="2"/>
  <c r="K30" i="2" s="1"/>
  <c r="F32" i="2"/>
  <c r="K32" i="2" s="1"/>
  <c r="F34" i="2"/>
  <c r="K34" i="2" s="1"/>
  <c r="F36" i="2"/>
  <c r="K36" i="2" s="1"/>
  <c r="F38" i="2"/>
  <c r="K38" i="2" s="1"/>
  <c r="F40" i="2"/>
  <c r="K40" i="2" s="1"/>
  <c r="F44" i="2"/>
  <c r="K44" i="2" s="1"/>
  <c r="F46" i="2"/>
  <c r="K46" i="2" s="1"/>
  <c r="F48" i="2"/>
  <c r="K48" i="2" s="1"/>
  <c r="F50" i="2"/>
  <c r="K50" i="2" s="1"/>
  <c r="F52" i="2"/>
  <c r="K52" i="2" s="1"/>
  <c r="F54" i="2"/>
  <c r="K54" i="2" s="1"/>
  <c r="F56" i="2"/>
  <c r="K56" i="2" s="1"/>
  <c r="F58" i="2"/>
  <c r="K58" i="2" s="1"/>
  <c r="F60" i="2"/>
  <c r="K60" i="2" s="1"/>
  <c r="F62" i="2"/>
  <c r="K62" i="2" s="1"/>
  <c r="F64" i="2"/>
  <c r="K64" i="2" s="1"/>
  <c r="F66" i="2"/>
  <c r="K66" i="2" s="1"/>
  <c r="F70" i="2"/>
  <c r="K70" i="2" s="1"/>
  <c r="F72" i="2"/>
  <c r="K72" i="2" s="1"/>
  <c r="F74" i="2"/>
  <c r="K74" i="2" s="1"/>
  <c r="F76" i="2"/>
  <c r="K76" i="2" s="1"/>
  <c r="F78" i="2"/>
  <c r="K78" i="2" s="1"/>
  <c r="F80" i="2"/>
  <c r="K80" i="2" s="1"/>
  <c r="F82" i="2"/>
  <c r="K82" i="2" s="1"/>
  <c r="F84" i="2"/>
  <c r="J84" i="2"/>
  <c r="F86" i="2"/>
  <c r="J86" i="2"/>
  <c r="J88" i="2"/>
  <c r="K88" i="2" s="1"/>
  <c r="J90" i="2"/>
  <c r="K90" i="2" s="1"/>
  <c r="J92" i="2"/>
  <c r="K92" i="2" s="1"/>
  <c r="K96" i="2"/>
  <c r="F98" i="2"/>
  <c r="J98" i="2"/>
  <c r="F100" i="2"/>
  <c r="J100" i="2"/>
  <c r="F102" i="2"/>
  <c r="J102" i="2"/>
  <c r="F104" i="2"/>
  <c r="J104" i="2"/>
  <c r="F106" i="2"/>
  <c r="J106" i="2"/>
  <c r="G108" i="2"/>
  <c r="I108" i="2"/>
  <c r="J108" i="2"/>
  <c r="G110" i="2"/>
  <c r="I110" i="2"/>
  <c r="J110" i="2"/>
  <c r="G112" i="2"/>
  <c r="I112" i="2"/>
  <c r="J112" i="2"/>
  <c r="G114" i="2"/>
  <c r="I114" i="2"/>
  <c r="J114" i="2"/>
  <c r="G116" i="2"/>
  <c r="I116" i="2"/>
  <c r="J116" i="2"/>
  <c r="G118" i="2"/>
  <c r="I118" i="2"/>
  <c r="G122" i="2"/>
  <c r="I122" i="2"/>
  <c r="G124" i="2"/>
  <c r="I124" i="2"/>
  <c r="G126" i="2"/>
  <c r="I126" i="2"/>
  <c r="G128" i="2"/>
  <c r="I128" i="2"/>
  <c r="G130" i="2"/>
  <c r="I130" i="2"/>
  <c r="G132" i="2"/>
  <c r="I132" i="2"/>
  <c r="G134" i="2"/>
  <c r="I134" i="2"/>
  <c r="G136" i="2"/>
  <c r="I136" i="2"/>
  <c r="K138" i="2"/>
  <c r="G140" i="2"/>
  <c r="I140" i="2"/>
  <c r="G142" i="2"/>
  <c r="I142" i="2"/>
  <c r="G144" i="2"/>
  <c r="I144" i="2"/>
  <c r="L144" i="2"/>
  <c r="G148" i="2"/>
  <c r="I148" i="2"/>
  <c r="G150" i="2"/>
  <c r="I150" i="2"/>
  <c r="G152" i="2"/>
  <c r="I152" i="2"/>
  <c r="G154" i="2"/>
  <c r="I154" i="2"/>
  <c r="G156" i="2"/>
  <c r="I156" i="2"/>
  <c r="F158" i="2"/>
  <c r="G158" i="2"/>
  <c r="I158" i="2"/>
  <c r="G160" i="2"/>
  <c r="I160" i="2"/>
  <c r="G162" i="2"/>
  <c r="I162" i="2"/>
  <c r="G164" i="2"/>
  <c r="I164" i="2"/>
  <c r="G166" i="2"/>
  <c r="I166" i="2"/>
  <c r="G168" i="2"/>
  <c r="I168" i="2"/>
  <c r="G170" i="2"/>
  <c r="I170" i="2"/>
  <c r="G174" i="2"/>
  <c r="I174" i="2"/>
  <c r="G176" i="2"/>
  <c r="I176" i="2"/>
  <c r="G178" i="2"/>
  <c r="I178" i="2"/>
  <c r="G180" i="2"/>
  <c r="I180" i="2"/>
  <c r="G182" i="2"/>
  <c r="I182" i="2"/>
  <c r="G184" i="2"/>
  <c r="I184" i="2"/>
  <c r="G186" i="2"/>
  <c r="I186" i="2"/>
  <c r="G188" i="2"/>
  <c r="I188" i="2"/>
  <c r="G190" i="2"/>
  <c r="I190" i="2"/>
  <c r="G192" i="2"/>
  <c r="I192" i="2"/>
  <c r="G194" i="2"/>
  <c r="I194" i="2"/>
  <c r="G196" i="2"/>
  <c r="I196" i="2"/>
  <c r="G200" i="2"/>
  <c r="I200" i="2"/>
  <c r="G202" i="2"/>
  <c r="I202" i="2"/>
  <c r="G204" i="2"/>
  <c r="I204" i="2"/>
  <c r="G206" i="2"/>
  <c r="I206" i="2"/>
  <c r="G208" i="2"/>
  <c r="I208" i="2"/>
  <c r="G210" i="2"/>
  <c r="I210" i="2"/>
  <c r="G212" i="2"/>
  <c r="I212" i="2"/>
  <c r="G214" i="2"/>
  <c r="I214" i="2"/>
  <c r="G216" i="2"/>
  <c r="I216" i="2"/>
  <c r="G218" i="2"/>
  <c r="I218" i="2"/>
  <c r="G220" i="2"/>
  <c r="I220" i="2"/>
  <c r="G222" i="2"/>
  <c r="I222" i="2"/>
  <c r="G226" i="2"/>
  <c r="I226" i="2"/>
  <c r="G228" i="2"/>
  <c r="I228" i="2"/>
  <c r="G230" i="2"/>
  <c r="I230" i="2"/>
  <c r="K232" i="2"/>
  <c r="G234" i="2"/>
  <c r="I234" i="2"/>
  <c r="G236" i="2"/>
  <c r="I236" i="2"/>
  <c r="G238" i="2"/>
  <c r="I238" i="2"/>
  <c r="G240" i="2"/>
  <c r="I240" i="2"/>
  <c r="G242" i="2"/>
  <c r="I242" i="2"/>
  <c r="G244" i="2"/>
  <c r="I244" i="2"/>
  <c r="G246" i="2"/>
  <c r="I246" i="2"/>
  <c r="G248" i="2"/>
  <c r="I248" i="2"/>
  <c r="G252" i="2"/>
  <c r="I252" i="2"/>
  <c r="G254" i="2"/>
  <c r="I254" i="2"/>
  <c r="G256" i="2"/>
  <c r="I256" i="2"/>
  <c r="G258" i="2"/>
  <c r="I258" i="2"/>
  <c r="G260" i="2"/>
  <c r="I260" i="2"/>
  <c r="G262" i="2"/>
  <c r="I262" i="2"/>
  <c r="H264" i="2"/>
  <c r="G264" i="2" s="1"/>
  <c r="H265" i="2"/>
  <c r="H266" i="2"/>
  <c r="K266" i="2" s="1"/>
  <c r="G268" i="2"/>
  <c r="I268" i="2"/>
  <c r="G270" i="2"/>
  <c r="I270" i="2"/>
  <c r="G272" i="2"/>
  <c r="I272" i="2"/>
  <c r="I274" i="2"/>
  <c r="H274" i="2" s="1"/>
  <c r="G278" i="2"/>
  <c r="I278" i="2"/>
  <c r="G280" i="2"/>
  <c r="I280" i="2"/>
  <c r="G282" i="2"/>
  <c r="I282" i="2"/>
  <c r="K284" i="2"/>
  <c r="K286" i="2"/>
  <c r="G288" i="2"/>
  <c r="I288" i="2"/>
  <c r="G290" i="2"/>
  <c r="I290" i="2"/>
  <c r="G292" i="2"/>
  <c r="I292" i="2"/>
  <c r="G294" i="2"/>
  <c r="I294" i="2"/>
  <c r="G296" i="2"/>
  <c r="I296" i="2"/>
  <c r="G298" i="2"/>
  <c r="I298" i="2"/>
  <c r="G300" i="2"/>
  <c r="I300" i="2"/>
  <c r="H304" i="2"/>
  <c r="G304" i="2" s="1"/>
  <c r="I304" i="2"/>
  <c r="H306" i="2"/>
  <c r="G306" i="2" s="1"/>
  <c r="I306" i="2"/>
  <c r="H308" i="2"/>
  <c r="G308" i="2" s="1"/>
  <c r="I308" i="2"/>
  <c r="H310" i="2"/>
  <c r="G310" i="2" s="1"/>
  <c r="I310" i="2"/>
  <c r="H312" i="2"/>
  <c r="G312" i="2" s="1"/>
  <c r="I312" i="2"/>
  <c r="D314" i="2"/>
  <c r="E314" i="2"/>
  <c r="F314" i="2"/>
  <c r="H314" i="2"/>
  <c r="G314" i="2" s="1"/>
  <c r="I314" i="2"/>
  <c r="L314" i="2"/>
  <c r="N316" i="2"/>
  <c r="N318" i="2"/>
  <c r="N320" i="2"/>
  <c r="N322" i="2"/>
  <c r="N324" i="2"/>
  <c r="N326" i="2"/>
  <c r="N327" i="2"/>
  <c r="N328" i="2"/>
  <c r="N329" i="2"/>
  <c r="N330" i="2"/>
  <c r="N331" i="2"/>
  <c r="N332" i="2"/>
  <c r="N333" i="2"/>
  <c r="N334" i="2"/>
  <c r="N336" i="2"/>
  <c r="N338" i="2"/>
  <c r="N340" i="2"/>
  <c r="N342" i="2"/>
  <c r="H344" i="2"/>
  <c r="G344" i="2" s="1"/>
  <c r="I344" i="2"/>
  <c r="H346" i="2"/>
  <c r="G346" i="2" s="1"/>
  <c r="J346" i="2"/>
  <c r="I346" i="2" s="1"/>
  <c r="G348" i="2"/>
  <c r="I348" i="2"/>
  <c r="G350" i="2"/>
  <c r="I350" i="2"/>
  <c r="G352" i="2"/>
  <c r="I352" i="2"/>
  <c r="G356" i="2"/>
  <c r="I356" i="2"/>
  <c r="G358" i="2"/>
  <c r="I358" i="2"/>
  <c r="H360" i="2"/>
  <c r="G360" i="2" s="1"/>
  <c r="I360" i="2"/>
  <c r="G362" i="2"/>
  <c r="I362" i="2"/>
  <c r="H364" i="2"/>
  <c r="G364" i="2" s="1"/>
  <c r="I364" i="2"/>
  <c r="G366" i="2"/>
  <c r="I366" i="2"/>
  <c r="H368" i="2"/>
  <c r="G368" i="2" s="1"/>
  <c r="I368" i="2"/>
  <c r="H370" i="2"/>
  <c r="G370" i="2" s="1"/>
  <c r="I370" i="2"/>
  <c r="H372" i="2"/>
  <c r="G372" i="2" s="1"/>
  <c r="I372" i="2"/>
  <c r="H374" i="2"/>
  <c r="G374" i="2" s="1"/>
  <c r="I374" i="2"/>
  <c r="H376" i="2"/>
  <c r="G376" i="2" s="1"/>
  <c r="I376" i="2"/>
  <c r="H378" i="2"/>
  <c r="G378" i="2" s="1"/>
  <c r="I378" i="2"/>
  <c r="G382" i="2"/>
  <c r="I382" i="2"/>
  <c r="G384" i="2"/>
  <c r="I384" i="2"/>
  <c r="G386" i="2"/>
  <c r="I386" i="2"/>
  <c r="G388" i="2"/>
  <c r="I388" i="2"/>
  <c r="G390" i="2"/>
  <c r="I390" i="2"/>
  <c r="H392" i="2"/>
  <c r="G392" i="2" s="1"/>
  <c r="J392" i="2"/>
  <c r="I392" i="2" s="1"/>
  <c r="N394" i="2"/>
  <c r="N396" i="2"/>
  <c r="N398" i="2"/>
  <c r="N400" i="2"/>
  <c r="N402" i="2"/>
  <c r="H404" i="2"/>
  <c r="I404" i="2"/>
  <c r="O407" i="2"/>
  <c r="O409" i="2"/>
  <c r="S31" i="28" l="1"/>
  <c r="I32" i="28"/>
  <c r="S39" i="28"/>
  <c r="O19" i="31"/>
  <c r="H36" i="30"/>
  <c r="D38" i="28"/>
  <c r="E17" i="29"/>
  <c r="M19" i="29"/>
  <c r="M29" i="29"/>
  <c r="E35" i="29"/>
  <c r="M37" i="29"/>
  <c r="C15" i="28"/>
  <c r="K15" i="28"/>
  <c r="C23" i="28"/>
  <c r="K23" i="28"/>
  <c r="G35" i="28"/>
  <c r="O35" i="28"/>
  <c r="E17" i="30"/>
  <c r="P20" i="30"/>
  <c r="I21" i="30"/>
  <c r="E25" i="30"/>
  <c r="H30" i="30"/>
  <c r="L34" i="30"/>
  <c r="H38" i="30"/>
  <c r="E15" i="31"/>
  <c r="F20" i="31"/>
  <c r="E23" i="31"/>
  <c r="K29" i="31"/>
  <c r="N36" i="31"/>
  <c r="K37" i="31"/>
  <c r="G22" i="29"/>
  <c r="Q22" i="29"/>
  <c r="G32" i="29"/>
  <c r="Q32" i="29"/>
  <c r="G40" i="29"/>
  <c r="Q40" i="29"/>
  <c r="H26" i="25"/>
  <c r="H34" i="25"/>
  <c r="K34" i="25" s="1"/>
  <c r="T34" i="25" s="1"/>
  <c r="V34" i="25" s="1"/>
  <c r="W34" i="25" s="1"/>
  <c r="H36" i="25"/>
  <c r="K36" i="25" s="1"/>
  <c r="T36" i="25" s="1"/>
  <c r="V36" i="25" s="1"/>
  <c r="W36" i="25" s="1"/>
  <c r="H38" i="25"/>
  <c r="O44" i="31"/>
  <c r="E44" i="31"/>
  <c r="E44" i="29"/>
  <c r="P20" i="29"/>
  <c r="G20" i="29"/>
  <c r="Q20" i="29"/>
  <c r="L21" i="29"/>
  <c r="E22" i="29"/>
  <c r="G30" i="29"/>
  <c r="Q30" i="29"/>
  <c r="G38" i="29"/>
  <c r="Q38" i="29"/>
  <c r="M21" i="29"/>
  <c r="M31" i="29"/>
  <c r="M39" i="29"/>
  <c r="Q16" i="29"/>
  <c r="L17" i="29"/>
  <c r="E18" i="29"/>
  <c r="G24" i="29"/>
  <c r="Q24" i="29"/>
  <c r="L25" i="29"/>
  <c r="E26" i="29"/>
  <c r="G34" i="29"/>
  <c r="Q34" i="29"/>
  <c r="M17" i="29"/>
  <c r="M25" i="29"/>
  <c r="M35" i="29"/>
  <c r="G18" i="29"/>
  <c r="Q18" i="29"/>
  <c r="G26" i="29"/>
  <c r="Q26" i="29"/>
  <c r="L29" i="29"/>
  <c r="E30" i="29"/>
  <c r="H30" i="29" s="1"/>
  <c r="G36" i="29"/>
  <c r="Q36" i="29"/>
  <c r="L37" i="29"/>
  <c r="E38" i="29"/>
  <c r="N17" i="29"/>
  <c r="N25" i="29"/>
  <c r="G43" i="28"/>
  <c r="O43" i="28"/>
  <c r="P34" i="28"/>
  <c r="P32" i="29"/>
  <c r="P40" i="29"/>
  <c r="G18" i="28"/>
  <c r="O18" i="28"/>
  <c r="C30" i="28"/>
  <c r="K30" i="28"/>
  <c r="N16" i="30"/>
  <c r="N24" i="30"/>
  <c r="F18" i="31"/>
  <c r="F26" i="31"/>
  <c r="O31" i="31"/>
  <c r="L32" i="31"/>
  <c r="O39" i="31"/>
  <c r="L40" i="31"/>
  <c r="Q43" i="31"/>
  <c r="P16" i="29"/>
  <c r="P24" i="29"/>
  <c r="P36" i="29"/>
  <c r="L36" i="31"/>
  <c r="I21" i="29"/>
  <c r="R21" i="29"/>
  <c r="T14" i="28"/>
  <c r="J15" i="28"/>
  <c r="T22" i="28"/>
  <c r="J23" i="28"/>
  <c r="F35" i="28"/>
  <c r="N35" i="28"/>
  <c r="D17" i="30"/>
  <c r="L17" i="30"/>
  <c r="H21" i="30"/>
  <c r="D25" i="30"/>
  <c r="L25" i="30"/>
  <c r="G30" i="30"/>
  <c r="C34" i="30"/>
  <c r="K34" i="30"/>
  <c r="G38" i="30"/>
  <c r="Q22" i="31"/>
  <c r="I29" i="31"/>
  <c r="I37" i="31"/>
  <c r="I36" i="28"/>
  <c r="F16" i="31"/>
  <c r="O37" i="31"/>
  <c r="L18" i="29"/>
  <c r="E37" i="29"/>
  <c r="G14" i="28"/>
  <c r="O14" i="28"/>
  <c r="O22" i="28"/>
  <c r="C34" i="28"/>
  <c r="K34" i="28"/>
  <c r="O21" i="31"/>
  <c r="L22" i="31"/>
  <c r="F36" i="31"/>
  <c r="I17" i="29"/>
  <c r="R17" i="29"/>
  <c r="I25" i="29"/>
  <c r="R25" i="29"/>
  <c r="F15" i="28"/>
  <c r="N15" i="28"/>
  <c r="F23" i="28"/>
  <c r="N23" i="28"/>
  <c r="T34" i="28"/>
  <c r="J35" i="28"/>
  <c r="D21" i="30"/>
  <c r="L21" i="30"/>
  <c r="H25" i="30"/>
  <c r="G34" i="30"/>
  <c r="C38" i="30"/>
  <c r="K38" i="30"/>
  <c r="I15" i="31"/>
  <c r="I23" i="31"/>
  <c r="Q36" i="31"/>
  <c r="E21" i="29"/>
  <c r="P25" i="29"/>
  <c r="P21" i="29"/>
  <c r="I29" i="29"/>
  <c r="I37" i="29"/>
  <c r="R37" i="29"/>
  <c r="R14" i="28"/>
  <c r="H15" i="28"/>
  <c r="P15" i="28"/>
  <c r="R22" i="28"/>
  <c r="H23" i="28"/>
  <c r="P23" i="28"/>
  <c r="D35" i="28"/>
  <c r="L35" i="28"/>
  <c r="Q16" i="30"/>
  <c r="J17" i="30"/>
  <c r="F21" i="30"/>
  <c r="Q24" i="30"/>
  <c r="J25" i="30"/>
  <c r="E30" i="30"/>
  <c r="P33" i="30"/>
  <c r="I34" i="30"/>
  <c r="E38" i="30"/>
  <c r="L15" i="31"/>
  <c r="O22" i="31"/>
  <c r="L23" i="31"/>
  <c r="F29" i="31"/>
  <c r="T43" i="28"/>
  <c r="L32" i="29"/>
  <c r="E33" i="29"/>
  <c r="C18" i="28"/>
  <c r="K18" i="28"/>
  <c r="G30" i="28"/>
  <c r="O30" i="28"/>
  <c r="G38" i="28"/>
  <c r="O38" i="28"/>
  <c r="N20" i="30"/>
  <c r="H42" i="30"/>
  <c r="O17" i="31"/>
  <c r="L18" i="31"/>
  <c r="O25" i="31"/>
  <c r="L26" i="31"/>
  <c r="F32" i="31"/>
  <c r="F40" i="31"/>
  <c r="G18" i="27"/>
  <c r="G22" i="27"/>
  <c r="J22" i="27" s="1"/>
  <c r="R22" i="27" s="1"/>
  <c r="T22" i="27" s="1"/>
  <c r="G26" i="27"/>
  <c r="G30" i="27"/>
  <c r="J30" i="27" s="1"/>
  <c r="R30" i="27" s="1"/>
  <c r="T30" i="27" s="1"/>
  <c r="R54" i="1"/>
  <c r="N364" i="2"/>
  <c r="J21" i="29"/>
  <c r="S21" i="29"/>
  <c r="S15" i="28"/>
  <c r="H19" i="25"/>
  <c r="K19" i="25" s="1"/>
  <c r="T19" i="25" s="1"/>
  <c r="V19" i="25" s="1"/>
  <c r="W19" i="25" s="1"/>
  <c r="H21" i="25"/>
  <c r="H29" i="25"/>
  <c r="K29" i="25" s="1"/>
  <c r="T29" i="25" s="1"/>
  <c r="V29" i="25" s="1"/>
  <c r="W29" i="25" s="1"/>
  <c r="H33" i="25"/>
  <c r="K33" i="25" s="1"/>
  <c r="T33" i="25" s="1"/>
  <c r="V33" i="25" s="1"/>
  <c r="W33" i="25" s="1"/>
  <c r="H39" i="25"/>
  <c r="K39" i="25" s="1"/>
  <c r="T39" i="25" s="1"/>
  <c r="V39" i="25" s="1"/>
  <c r="W39" i="25" s="1"/>
  <c r="H34" i="30"/>
  <c r="K15" i="31"/>
  <c r="C14" i="28"/>
  <c r="K14" i="28"/>
  <c r="C22" i="28"/>
  <c r="K22" i="28"/>
  <c r="F22" i="31"/>
  <c r="O35" i="31"/>
  <c r="G34" i="27"/>
  <c r="J34" i="27" s="1"/>
  <c r="R34" i="27" s="1"/>
  <c r="T34" i="27" s="1"/>
  <c r="C38" i="28"/>
  <c r="K38" i="28"/>
  <c r="L42" i="30"/>
  <c r="G34" i="28"/>
  <c r="O34" i="28"/>
  <c r="T15" i="28"/>
  <c r="J16" i="28"/>
  <c r="T23" i="28"/>
  <c r="J24" i="28"/>
  <c r="F28" i="28"/>
  <c r="N28" i="28"/>
  <c r="F36" i="28"/>
  <c r="N36" i="28"/>
  <c r="N17" i="30"/>
  <c r="N25" i="30"/>
  <c r="P15" i="31"/>
  <c r="P23" i="31"/>
  <c r="H30" i="31"/>
  <c r="H38" i="31"/>
  <c r="S16" i="28"/>
  <c r="I17" i="28"/>
  <c r="S24" i="28"/>
  <c r="I25" i="28"/>
  <c r="E29" i="28"/>
  <c r="M29" i="28"/>
  <c r="E37" i="28"/>
  <c r="M37" i="28"/>
  <c r="F16" i="30"/>
  <c r="Q19" i="30"/>
  <c r="J20" i="30"/>
  <c r="F24" i="30"/>
  <c r="P28" i="30"/>
  <c r="I29" i="30"/>
  <c r="E33" i="30"/>
  <c r="P36" i="30"/>
  <c r="I37" i="30"/>
  <c r="N16" i="31"/>
  <c r="K17" i="31"/>
  <c r="N24" i="31"/>
  <c r="K25" i="31"/>
  <c r="H43" i="31"/>
  <c r="G43" i="27"/>
  <c r="J43" i="27" s="1"/>
  <c r="R43" i="27" s="1"/>
  <c r="T43" i="27" s="1"/>
  <c r="R17" i="28"/>
  <c r="H18" i="28"/>
  <c r="P18" i="28"/>
  <c r="R25" i="28"/>
  <c r="D30" i="28"/>
  <c r="L30" i="28"/>
  <c r="L38" i="28"/>
  <c r="N33" i="30"/>
  <c r="E42" i="30"/>
  <c r="H18" i="31"/>
  <c r="H26" i="31"/>
  <c r="P31" i="31"/>
  <c r="P39" i="31"/>
  <c r="F20" i="28"/>
  <c r="N20" i="28"/>
  <c r="T31" i="28"/>
  <c r="J32" i="28"/>
  <c r="T39" i="28"/>
  <c r="P19" i="31"/>
  <c r="H34" i="31"/>
  <c r="E21" i="28"/>
  <c r="M21" i="28"/>
  <c r="S32" i="28"/>
  <c r="I33" i="28"/>
  <c r="H14" i="30"/>
  <c r="D18" i="30"/>
  <c r="L18" i="30"/>
  <c r="H22" i="30"/>
  <c r="G31" i="30"/>
  <c r="C35" i="30"/>
  <c r="K35" i="30"/>
  <c r="G39" i="30"/>
  <c r="N20" i="31"/>
  <c r="K21" i="31"/>
  <c r="E35" i="31"/>
  <c r="G20" i="27"/>
  <c r="J20" i="27" s="1"/>
  <c r="R20" i="27" s="1"/>
  <c r="T20" i="27" s="1"/>
  <c r="G24" i="27"/>
  <c r="J24" i="27" s="1"/>
  <c r="R24" i="27" s="1"/>
  <c r="T24" i="27" s="1"/>
  <c r="G28" i="27"/>
  <c r="J28" i="27" s="1"/>
  <c r="R28" i="27" s="1"/>
  <c r="T28" i="27" s="1"/>
  <c r="G32" i="27"/>
  <c r="J32" i="27" s="1"/>
  <c r="R32" i="27" s="1"/>
  <c r="T32" i="27" s="1"/>
  <c r="L14" i="28"/>
  <c r="D22" i="28"/>
  <c r="L22" i="28"/>
  <c r="R33" i="28"/>
  <c r="H34" i="28"/>
  <c r="H22" i="31"/>
  <c r="P35" i="31"/>
  <c r="T19" i="28"/>
  <c r="J20" i="28"/>
  <c r="N32" i="28"/>
  <c r="P33" i="31"/>
  <c r="Q35" i="29"/>
  <c r="I21" i="28"/>
  <c r="K368" i="2"/>
  <c r="M18" i="29"/>
  <c r="M26" i="29"/>
  <c r="D34" i="28"/>
  <c r="Q17" i="29"/>
  <c r="S20" i="28"/>
  <c r="J17" i="29"/>
  <c r="S17" i="29"/>
  <c r="G19" i="29"/>
  <c r="J25" i="29"/>
  <c r="S25" i="29"/>
  <c r="O15" i="28"/>
  <c r="D30" i="30"/>
  <c r="L30" i="30"/>
  <c r="D38" i="30"/>
  <c r="L38" i="30"/>
  <c r="D22" i="30"/>
  <c r="H24" i="31"/>
  <c r="P29" i="31"/>
  <c r="P37" i="31"/>
  <c r="J29" i="29"/>
  <c r="S29" i="29"/>
  <c r="J37" i="29"/>
  <c r="S37" i="29"/>
  <c r="Q39" i="29"/>
  <c r="S14" i="28"/>
  <c r="I15" i="28"/>
  <c r="S22" i="28"/>
  <c r="I23" i="28"/>
  <c r="E35" i="28"/>
  <c r="M35" i="28"/>
  <c r="C17" i="30"/>
  <c r="K17" i="30"/>
  <c r="G21" i="30"/>
  <c r="Q23" i="30"/>
  <c r="J24" i="30"/>
  <c r="C25" i="30"/>
  <c r="K25" i="30"/>
  <c r="F30" i="30"/>
  <c r="P32" i="30"/>
  <c r="I33" i="30"/>
  <c r="Q33" i="30"/>
  <c r="J34" i="30"/>
  <c r="F38" i="30"/>
  <c r="E17" i="31"/>
  <c r="P22" i="31"/>
  <c r="H29" i="31"/>
  <c r="H37" i="31"/>
  <c r="K39" i="31"/>
  <c r="E59" i="52"/>
  <c r="M22" i="29"/>
  <c r="D18" i="28"/>
  <c r="R29" i="28"/>
  <c r="P25" i="31"/>
  <c r="N43" i="31"/>
  <c r="H15" i="25"/>
  <c r="K15" i="25" s="1"/>
  <c r="T15" i="25" s="1"/>
  <c r="V15" i="25" s="1"/>
  <c r="W14" i="25" s="1"/>
  <c r="AH54" i="1"/>
  <c r="G19" i="27"/>
  <c r="J19" i="27" s="1"/>
  <c r="R19" i="27" s="1"/>
  <c r="T19" i="27" s="1"/>
  <c r="M43" i="29"/>
  <c r="L43" i="30"/>
  <c r="D43" i="30"/>
  <c r="AZ54" i="1"/>
  <c r="S21" i="28"/>
  <c r="H50" i="52"/>
  <c r="K50" i="52" s="1"/>
  <c r="L43" i="29"/>
  <c r="N37" i="29"/>
  <c r="D15" i="28"/>
  <c r="L23" i="28"/>
  <c r="R34" i="28"/>
  <c r="J21" i="30"/>
  <c r="F23" i="31"/>
  <c r="I30" i="30"/>
  <c r="P37" i="30"/>
  <c r="F15" i="31"/>
  <c r="O36" i="31"/>
  <c r="L15" i="28"/>
  <c r="H35" i="28"/>
  <c r="F25" i="30"/>
  <c r="P29" i="30"/>
  <c r="L29" i="31"/>
  <c r="H16" i="25"/>
  <c r="K16" i="25" s="1"/>
  <c r="T16" i="25" s="1"/>
  <c r="V16" i="25" s="1"/>
  <c r="W16" i="25" s="1"/>
  <c r="H18" i="25"/>
  <c r="K18" i="25" s="1"/>
  <c r="T18" i="25" s="1"/>
  <c r="V18" i="25" s="1"/>
  <c r="W18" i="25" s="1"/>
  <c r="H20" i="25"/>
  <c r="K20" i="25" s="1"/>
  <c r="T20" i="25" s="1"/>
  <c r="V20" i="25" s="1"/>
  <c r="W20" i="25" s="1"/>
  <c r="H22" i="25"/>
  <c r="K22" i="25" s="1"/>
  <c r="T22" i="25" s="1"/>
  <c r="V22" i="25" s="1"/>
  <c r="W22" i="25" s="1"/>
  <c r="N21" i="29"/>
  <c r="P35" i="28"/>
  <c r="F17" i="30"/>
  <c r="Q20" i="30"/>
  <c r="E34" i="30"/>
  <c r="I38" i="30"/>
  <c r="L37" i="31"/>
  <c r="F43" i="30"/>
  <c r="G33" i="30"/>
  <c r="N43" i="30"/>
  <c r="K180" i="52"/>
  <c r="F18" i="28"/>
  <c r="C21" i="28"/>
  <c r="K21" i="28"/>
  <c r="G25" i="28"/>
  <c r="O25" i="28"/>
  <c r="C29" i="28"/>
  <c r="K29" i="28"/>
  <c r="O33" i="28"/>
  <c r="J23" i="29"/>
  <c r="S31" i="29"/>
  <c r="S39" i="29"/>
  <c r="F14" i="30"/>
  <c r="L16" i="30"/>
  <c r="Q17" i="30"/>
  <c r="H20" i="30"/>
  <c r="Q25" i="30"/>
  <c r="E31" i="30"/>
  <c r="H21" i="31"/>
  <c r="H25" i="31"/>
  <c r="P30" i="31"/>
  <c r="P34" i="31"/>
  <c r="H43" i="30"/>
  <c r="K216" i="2"/>
  <c r="K190" i="2"/>
  <c r="K160" i="2"/>
  <c r="H24" i="25"/>
  <c r="K24" i="25" s="1"/>
  <c r="T24" i="25" s="1"/>
  <c r="V24" i="25" s="1"/>
  <c r="W24" i="25" s="1"/>
  <c r="H25" i="25"/>
  <c r="K25" i="25" s="1"/>
  <c r="T25" i="25" s="1"/>
  <c r="V25" i="25" s="1"/>
  <c r="W25" i="25" s="1"/>
  <c r="Z54" i="1"/>
  <c r="V54" i="1"/>
  <c r="K177" i="52"/>
  <c r="I20" i="29"/>
  <c r="K181" i="52"/>
  <c r="K185" i="52"/>
  <c r="AO54" i="1"/>
  <c r="AR54" i="1"/>
  <c r="AS54" i="1"/>
  <c r="J37" i="30"/>
  <c r="H30" i="25"/>
  <c r="K30" i="25" s="1"/>
  <c r="T30" i="25" s="1"/>
  <c r="V30" i="25" s="1"/>
  <c r="W30" i="25" s="1"/>
  <c r="H32" i="25"/>
  <c r="K32" i="25" s="1"/>
  <c r="T32" i="25" s="1"/>
  <c r="V32" i="25" s="1"/>
  <c r="W32" i="25" s="1"/>
  <c r="H47" i="52"/>
  <c r="K47" i="52" s="1"/>
  <c r="K270" i="2"/>
  <c r="K226" i="2"/>
  <c r="K208" i="2"/>
  <c r="K204" i="2"/>
  <c r="K200" i="2"/>
  <c r="K182" i="2"/>
  <c r="K174" i="2"/>
  <c r="K164" i="2"/>
  <c r="K144" i="2"/>
  <c r="K140" i="2"/>
  <c r="K102" i="2"/>
  <c r="K98" i="2"/>
  <c r="K84" i="2"/>
  <c r="T54" i="1"/>
  <c r="P54" i="1"/>
  <c r="E28" i="28"/>
  <c r="I28" i="28"/>
  <c r="E32" i="28"/>
  <c r="M32" i="28"/>
  <c r="S35" i="28"/>
  <c r="H35" i="25"/>
  <c r="K35" i="25" s="1"/>
  <c r="T35" i="25" s="1"/>
  <c r="V35" i="25" s="1"/>
  <c r="W35" i="25" s="1"/>
  <c r="H37" i="25"/>
  <c r="K37" i="25" s="1"/>
  <c r="T37" i="25" s="1"/>
  <c r="V37" i="25" s="1"/>
  <c r="W37" i="25" s="1"/>
  <c r="H40" i="25"/>
  <c r="K40" i="25" s="1"/>
  <c r="T40" i="25" s="1"/>
  <c r="V40" i="25" s="1"/>
  <c r="W40" i="25" s="1"/>
  <c r="H44" i="25"/>
  <c r="K44" i="25" s="1"/>
  <c r="T44" i="25" s="1"/>
  <c r="V44" i="25" s="1"/>
  <c r="W44" i="25" s="1"/>
  <c r="F31" i="30"/>
  <c r="N32" i="30"/>
  <c r="O15" i="31"/>
  <c r="L20" i="31"/>
  <c r="F24" i="31"/>
  <c r="L24" i="31"/>
  <c r="Y54" i="1"/>
  <c r="U54" i="1"/>
  <c r="K388" i="2"/>
  <c r="N384" i="2"/>
  <c r="N374" i="2"/>
  <c r="N362" i="2"/>
  <c r="N358" i="2"/>
  <c r="N352" i="2"/>
  <c r="N348" i="2"/>
  <c r="K310" i="2"/>
  <c r="K300" i="2"/>
  <c r="K296" i="2"/>
  <c r="N288" i="2"/>
  <c r="K278" i="2"/>
  <c r="K262" i="2"/>
  <c r="K254" i="2"/>
  <c r="K244" i="2"/>
  <c r="K236" i="2"/>
  <c r="K150" i="2"/>
  <c r="K132" i="2"/>
  <c r="H20" i="28"/>
  <c r="O34" i="29"/>
  <c r="O38" i="29"/>
  <c r="Q42" i="30"/>
  <c r="N19" i="31"/>
  <c r="N33" i="31"/>
  <c r="N37" i="31"/>
  <c r="O364" i="3"/>
  <c r="O376" i="3"/>
  <c r="O368" i="3"/>
  <c r="O288" i="3"/>
  <c r="Q54" i="1"/>
  <c r="N376" i="2"/>
  <c r="K372" i="2"/>
  <c r="N368" i="2"/>
  <c r="N350" i="2"/>
  <c r="K242" i="2"/>
  <c r="O392" i="3"/>
  <c r="O384" i="3"/>
  <c r="O352" i="3"/>
  <c r="O348" i="3"/>
  <c r="O384" i="4"/>
  <c r="L15" i="29"/>
  <c r="P15" i="29"/>
  <c r="E16" i="29"/>
  <c r="L19" i="29"/>
  <c r="L23" i="29"/>
  <c r="P23" i="29"/>
  <c r="E24" i="29"/>
  <c r="L31" i="29"/>
  <c r="L35" i="29"/>
  <c r="P35" i="29"/>
  <c r="E36" i="29"/>
  <c r="L39" i="29"/>
  <c r="K348" i="2"/>
  <c r="G37" i="52"/>
  <c r="O390" i="3"/>
  <c r="O386" i="3"/>
  <c r="O382" i="3"/>
  <c r="O312" i="4"/>
  <c r="O288" i="4"/>
  <c r="J36" i="52"/>
  <c r="H49" i="52"/>
  <c r="K49" i="52" s="1"/>
  <c r="K172" i="52"/>
  <c r="K179" i="52"/>
  <c r="K175" i="52"/>
  <c r="AC54" i="1"/>
  <c r="AD54" i="1"/>
  <c r="AJ54" i="1"/>
  <c r="AM54" i="1"/>
  <c r="AB54" i="1"/>
  <c r="K186" i="52"/>
  <c r="AE54" i="1"/>
  <c r="AI54" i="1"/>
  <c r="AN54" i="1"/>
  <c r="AT54" i="1"/>
  <c r="AU54" i="1"/>
  <c r="K196" i="2"/>
  <c r="K86" i="2"/>
  <c r="O114" i="35"/>
  <c r="N115" i="35" s="1"/>
  <c r="G15" i="27"/>
  <c r="J15" i="27" s="1"/>
  <c r="R15" i="27" s="1"/>
  <c r="T15" i="27" s="1"/>
  <c r="G23" i="27"/>
  <c r="J23" i="27" s="1"/>
  <c r="R23" i="27" s="1"/>
  <c r="T23" i="27" s="1"/>
  <c r="G27" i="27"/>
  <c r="J27" i="27" s="1"/>
  <c r="R27" i="27" s="1"/>
  <c r="T27" i="27" s="1"/>
  <c r="G29" i="27"/>
  <c r="J29" i="27" s="1"/>
  <c r="R29" i="27" s="1"/>
  <c r="T29" i="27" s="1"/>
  <c r="G31" i="27"/>
  <c r="J31" i="27" s="1"/>
  <c r="R31" i="27" s="1"/>
  <c r="T31" i="27" s="1"/>
  <c r="G35" i="27"/>
  <c r="J35" i="27" s="1"/>
  <c r="R35" i="27" s="1"/>
  <c r="T35" i="27" s="1"/>
  <c r="G39" i="27"/>
  <c r="J39" i="27" s="1"/>
  <c r="R39" i="27" s="1"/>
  <c r="T39" i="27" s="1"/>
  <c r="G44" i="27"/>
  <c r="J44" i="27" s="1"/>
  <c r="R44" i="27" s="1"/>
  <c r="T44" i="27" s="1"/>
  <c r="E31" i="31"/>
  <c r="E39" i="31"/>
  <c r="E73" i="52"/>
  <c r="E37" i="52" s="1"/>
  <c r="B37" i="52"/>
  <c r="X54" i="1"/>
  <c r="E21" i="31"/>
  <c r="E34" i="31"/>
  <c r="E38" i="31"/>
  <c r="G38" i="27"/>
  <c r="J38" i="27" s="1"/>
  <c r="R38" i="27" s="1"/>
  <c r="T38" i="27" s="1"/>
  <c r="G404" i="2"/>
  <c r="N404" i="2" s="1"/>
  <c r="N372" i="2"/>
  <c r="K356" i="2"/>
  <c r="N294" i="2"/>
  <c r="K256" i="2"/>
  <c r="K238" i="2"/>
  <c r="K156" i="2"/>
  <c r="K126" i="2"/>
  <c r="M67" i="47"/>
  <c r="H52" i="52"/>
  <c r="K52" i="52" s="1"/>
  <c r="E46" i="52"/>
  <c r="H44" i="52"/>
  <c r="K44" i="52" s="1"/>
  <c r="H42" i="52"/>
  <c r="K42" i="52" s="1"/>
  <c r="K170" i="52"/>
  <c r="K178" i="52"/>
  <c r="K174" i="52"/>
  <c r="AA54" i="1"/>
  <c r="AF54" i="1"/>
  <c r="AG54" i="1"/>
  <c r="AK54" i="1"/>
  <c r="AL54" i="1"/>
  <c r="AP54" i="1"/>
  <c r="AV54" i="1"/>
  <c r="AW54" i="1"/>
  <c r="O18" i="29"/>
  <c r="O22" i="29"/>
  <c r="J26" i="29"/>
  <c r="O26" i="29"/>
  <c r="O30" i="29"/>
  <c r="R15" i="28"/>
  <c r="H16" i="28"/>
  <c r="P16" i="28"/>
  <c r="D20" i="28"/>
  <c r="L20" i="28"/>
  <c r="R23" i="28"/>
  <c r="H24" i="28"/>
  <c r="P24" i="28"/>
  <c r="D28" i="28"/>
  <c r="L28" i="28"/>
  <c r="R31" i="28"/>
  <c r="H32" i="28"/>
  <c r="P32" i="28"/>
  <c r="H36" i="28"/>
  <c r="L36" i="28"/>
  <c r="R39" i="28"/>
  <c r="N15" i="30"/>
  <c r="N23" i="30"/>
  <c r="N15" i="31"/>
  <c r="K16" i="31"/>
  <c r="K20" i="31"/>
  <c r="N23" i="31"/>
  <c r="K24" i="31"/>
  <c r="K390" i="2"/>
  <c r="N346" i="2"/>
  <c r="N304" i="2"/>
  <c r="N290" i="2"/>
  <c r="K246" i="2"/>
  <c r="K234" i="2"/>
  <c r="K148" i="2"/>
  <c r="K134" i="2"/>
  <c r="K122" i="2"/>
  <c r="J15" i="29"/>
  <c r="S15" i="29"/>
  <c r="P18" i="29"/>
  <c r="J19" i="29"/>
  <c r="S19" i="29"/>
  <c r="P22" i="29"/>
  <c r="S23" i="29"/>
  <c r="P26" i="29"/>
  <c r="P30" i="29"/>
  <c r="J31" i="29"/>
  <c r="P34" i="29"/>
  <c r="J35" i="29"/>
  <c r="S35" i="29"/>
  <c r="P38" i="29"/>
  <c r="J39" i="29"/>
  <c r="E16" i="28"/>
  <c r="I16" i="28"/>
  <c r="M16" i="28"/>
  <c r="G17" i="28"/>
  <c r="O17" i="28"/>
  <c r="E20" i="28"/>
  <c r="M20" i="28"/>
  <c r="N360" i="2"/>
  <c r="K350" i="2"/>
  <c r="N308" i="2"/>
  <c r="K298" i="2"/>
  <c r="K280" i="2"/>
  <c r="K260" i="2"/>
  <c r="K252" i="2"/>
  <c r="K152" i="2"/>
  <c r="K130" i="2"/>
  <c r="K114" i="2"/>
  <c r="N356" i="2"/>
  <c r="O404" i="3"/>
  <c r="AX54" i="1"/>
  <c r="F19" i="55"/>
  <c r="E19" i="55"/>
  <c r="O16" i="29"/>
  <c r="O20" i="29"/>
  <c r="O24" i="29"/>
  <c r="O32" i="29"/>
  <c r="J36" i="29"/>
  <c r="O36" i="29"/>
  <c r="O40" i="29"/>
  <c r="J14" i="28"/>
  <c r="R16" i="28"/>
  <c r="D17" i="28"/>
  <c r="H17" i="28"/>
  <c r="L17" i="28"/>
  <c r="P17" i="28"/>
  <c r="J18" i="28"/>
  <c r="N18" i="28"/>
  <c r="R20" i="28"/>
  <c r="D21" i="28"/>
  <c r="H21" i="28"/>
  <c r="L21" i="28"/>
  <c r="P21" i="28"/>
  <c r="T21" i="28"/>
  <c r="J22" i="28"/>
  <c r="R24" i="28"/>
  <c r="D25" i="28"/>
  <c r="H25" i="28"/>
  <c r="L25" i="28"/>
  <c r="P25" i="28"/>
  <c r="D29" i="28"/>
  <c r="L29" i="28"/>
  <c r="T29" i="28"/>
  <c r="J30" i="28"/>
  <c r="R32" i="28"/>
  <c r="D33" i="28"/>
  <c r="H33" i="28"/>
  <c r="L33" i="28"/>
  <c r="P33" i="28"/>
  <c r="F34" i="28"/>
  <c r="N34" i="28"/>
  <c r="R36" i="28"/>
  <c r="D37" i="28"/>
  <c r="H37" i="28"/>
  <c r="L37" i="28"/>
  <c r="P37" i="28"/>
  <c r="T37" i="28"/>
  <c r="J38" i="28"/>
  <c r="C14" i="30"/>
  <c r="G14" i="30"/>
  <c r="K14" i="30"/>
  <c r="O14" i="30"/>
  <c r="P15" i="30"/>
  <c r="E16" i="30"/>
  <c r="C18" i="30"/>
  <c r="G18" i="30"/>
  <c r="K18" i="30"/>
  <c r="P19" i="30"/>
  <c r="E20" i="30"/>
  <c r="I20" i="30"/>
  <c r="C22" i="30"/>
  <c r="G22" i="30"/>
  <c r="K22" i="30"/>
  <c r="O22" i="30"/>
  <c r="P23" i="30"/>
  <c r="E24" i="30"/>
  <c r="I24" i="30"/>
  <c r="D29" i="30"/>
  <c r="H29" i="30"/>
  <c r="L29" i="30"/>
  <c r="Q30" i="30"/>
  <c r="J31" i="30"/>
  <c r="N31" i="30"/>
  <c r="D33" i="30"/>
  <c r="H33" i="30"/>
  <c r="L33" i="30"/>
  <c r="Q34" i="30"/>
  <c r="F35" i="30"/>
  <c r="J35" i="30"/>
  <c r="O36" i="30"/>
  <c r="D37" i="30"/>
  <c r="H37" i="30"/>
  <c r="L37" i="30"/>
  <c r="Q38" i="30"/>
  <c r="F39" i="30"/>
  <c r="N39" i="30"/>
  <c r="C42" i="30"/>
  <c r="K42" i="30"/>
  <c r="Q16" i="31"/>
  <c r="I17" i="31"/>
  <c r="E18" i="31"/>
  <c r="K18" i="31"/>
  <c r="Q20" i="31"/>
  <c r="I21" i="31"/>
  <c r="S23" i="28"/>
  <c r="I24" i="28"/>
  <c r="M28" i="28"/>
  <c r="G33" i="28"/>
  <c r="E36" i="28"/>
  <c r="M36" i="28"/>
  <c r="C37" i="28"/>
  <c r="K37" i="28"/>
  <c r="D16" i="30"/>
  <c r="J18" i="30"/>
  <c r="F22" i="30"/>
  <c r="D24" i="30"/>
  <c r="L24" i="30"/>
  <c r="G29" i="30"/>
  <c r="C33" i="30"/>
  <c r="K33" i="30"/>
  <c r="P34" i="30"/>
  <c r="I35" i="30"/>
  <c r="N36" i="30"/>
  <c r="G37" i="30"/>
  <c r="E39" i="30"/>
  <c r="L16" i="31"/>
  <c r="O23" i="31"/>
  <c r="O29" i="31"/>
  <c r="F30" i="31"/>
  <c r="L30" i="31"/>
  <c r="O33" i="31"/>
  <c r="L34" i="31"/>
  <c r="L38" i="31"/>
  <c r="P38" i="31"/>
  <c r="E43" i="31"/>
  <c r="N21" i="31"/>
  <c r="E22" i="31"/>
  <c r="Q24" i="31"/>
  <c r="I25" i="31"/>
  <c r="E26" i="31"/>
  <c r="K26" i="31"/>
  <c r="Q30" i="31"/>
  <c r="I31" i="31"/>
  <c r="N31" i="31"/>
  <c r="K32" i="31"/>
  <c r="Q34" i="31"/>
  <c r="I35" i="31"/>
  <c r="N35" i="31"/>
  <c r="K36" i="31"/>
  <c r="Q38" i="31"/>
  <c r="I39" i="31"/>
  <c r="N39" i="31"/>
  <c r="E40" i="31"/>
  <c r="K40" i="31"/>
  <c r="F43" i="31"/>
  <c r="L43" i="31"/>
  <c r="P43" i="31"/>
  <c r="T14" i="24"/>
  <c r="V14" i="24" s="1"/>
  <c r="X14" i="24" s="1"/>
  <c r="C16" i="28"/>
  <c r="K16" i="28"/>
  <c r="T19" i="24"/>
  <c r="V19" i="24" s="1"/>
  <c r="W19" i="24" s="1"/>
  <c r="I22" i="28"/>
  <c r="S25" i="28"/>
  <c r="S29" i="28"/>
  <c r="E30" i="28"/>
  <c r="S33" i="28"/>
  <c r="I34" i="28"/>
  <c r="T36" i="24"/>
  <c r="V36" i="24" s="1"/>
  <c r="W36" i="24" s="1"/>
  <c r="E38" i="28"/>
  <c r="M38" i="28"/>
  <c r="T39" i="24"/>
  <c r="V39" i="24" s="1"/>
  <c r="W39" i="24" s="1"/>
  <c r="R20" i="29"/>
  <c r="I22" i="29"/>
  <c r="N22" i="29"/>
  <c r="R22" i="29"/>
  <c r="N24" i="29"/>
  <c r="I30" i="29"/>
  <c r="R30" i="29"/>
  <c r="N35" i="29"/>
  <c r="I38" i="29"/>
  <c r="R39" i="29"/>
  <c r="U17" i="26"/>
  <c r="W17" i="26" s="1"/>
  <c r="Y17" i="26" s="1"/>
  <c r="N18" i="30"/>
  <c r="U19" i="26"/>
  <c r="W19" i="26" s="1"/>
  <c r="Y19" i="26" s="1"/>
  <c r="O19" i="30"/>
  <c r="P25" i="30"/>
  <c r="Q28" i="30"/>
  <c r="J29" i="30"/>
  <c r="O29" i="30"/>
  <c r="L31" i="30"/>
  <c r="F33" i="30"/>
  <c r="N34" i="30"/>
  <c r="H35" i="30"/>
  <c r="F37" i="30"/>
  <c r="O38" i="30"/>
  <c r="D39" i="30"/>
  <c r="H39" i="30"/>
  <c r="L39" i="30"/>
  <c r="F42" i="30"/>
  <c r="O20" i="31"/>
  <c r="L21" i="31"/>
  <c r="Q21" i="31"/>
  <c r="F25" i="31"/>
  <c r="L25" i="31"/>
  <c r="Q31" i="31"/>
  <c r="Q33" i="31"/>
  <c r="O34" i="31"/>
  <c r="O38" i="31"/>
  <c r="Q39" i="31"/>
  <c r="O43" i="31"/>
  <c r="L44" i="31"/>
  <c r="R43" i="28"/>
  <c r="N43" i="28"/>
  <c r="J43" i="28"/>
  <c r="F43" i="28"/>
  <c r="I44" i="29"/>
  <c r="Q43" i="30"/>
  <c r="O54" i="1"/>
  <c r="N43" i="29"/>
  <c r="N44" i="29"/>
  <c r="K21" i="25"/>
  <c r="T21" i="25" s="1"/>
  <c r="V21" i="25" s="1"/>
  <c r="W21" i="25" s="1"/>
  <c r="N388" i="2"/>
  <c r="K288" i="2"/>
  <c r="I18" i="46"/>
  <c r="L18" i="46" s="1"/>
  <c r="F36" i="52"/>
  <c r="H51" i="52"/>
  <c r="K51" i="52" s="1"/>
  <c r="E49" i="52"/>
  <c r="E45" i="52"/>
  <c r="R44" i="29"/>
  <c r="N296" i="2"/>
  <c r="O350" i="4"/>
  <c r="O346" i="4"/>
  <c r="O308" i="4"/>
  <c r="O304" i="4"/>
  <c r="N300" i="2"/>
  <c r="J18" i="27"/>
  <c r="R18" i="27" s="1"/>
  <c r="T18" i="27" s="1"/>
  <c r="K268" i="2"/>
  <c r="K228" i="2"/>
  <c r="K222" i="2"/>
  <c r="K218" i="2"/>
  <c r="K214" i="2"/>
  <c r="K210" i="2"/>
  <c r="K206" i="2"/>
  <c r="K202" i="2"/>
  <c r="K192" i="2"/>
  <c r="K188" i="2"/>
  <c r="K184" i="2"/>
  <c r="K180" i="2"/>
  <c r="K176" i="2"/>
  <c r="K170" i="2"/>
  <c r="K166" i="2"/>
  <c r="K162" i="2"/>
  <c r="K158" i="2"/>
  <c r="K142" i="2"/>
  <c r="K116" i="2"/>
  <c r="K110" i="2"/>
  <c r="K108" i="2"/>
  <c r="K104" i="2"/>
  <c r="K100" i="2"/>
  <c r="O374" i="3"/>
  <c r="O366" i="3"/>
  <c r="O362" i="3"/>
  <c r="O358" i="3"/>
  <c r="S54" i="1"/>
  <c r="AQ54" i="1"/>
  <c r="K26" i="25"/>
  <c r="T26" i="25" s="1"/>
  <c r="V26" i="25" s="1"/>
  <c r="W26" i="25" s="1"/>
  <c r="U39" i="26"/>
  <c r="W39" i="26" s="1"/>
  <c r="X39" i="26" s="1"/>
  <c r="N370" i="2"/>
  <c r="N366" i="2"/>
  <c r="K362" i="2"/>
  <c r="N314" i="2"/>
  <c r="M69" i="47"/>
  <c r="H59" i="52"/>
  <c r="K59" i="52" s="1"/>
  <c r="E58" i="52"/>
  <c r="E57" i="52"/>
  <c r="E52" i="52"/>
  <c r="E51" i="52"/>
  <c r="E48" i="52"/>
  <c r="E47" i="52"/>
  <c r="H46" i="52"/>
  <c r="K46" i="52" s="1"/>
  <c r="H45" i="52"/>
  <c r="K45" i="52" s="1"/>
  <c r="E44" i="52"/>
  <c r="J35" i="52"/>
  <c r="E42" i="52"/>
  <c r="G40" i="27"/>
  <c r="J40" i="27" s="1"/>
  <c r="R40" i="27" s="1"/>
  <c r="T40" i="27" s="1"/>
  <c r="K308" i="2"/>
  <c r="F44" i="31"/>
  <c r="G44" i="31" s="1"/>
  <c r="K384" i="2"/>
  <c r="H57" i="52"/>
  <c r="K57" i="52" s="1"/>
  <c r="N390" i="2"/>
  <c r="K382" i="2"/>
  <c r="K258" i="2"/>
  <c r="K248" i="2"/>
  <c r="K240" i="2"/>
  <c r="K230" i="2"/>
  <c r="K220" i="2"/>
  <c r="K212" i="2"/>
  <c r="K194" i="2"/>
  <c r="K186" i="2"/>
  <c r="K178" i="2"/>
  <c r="K168" i="2"/>
  <c r="K154" i="2"/>
  <c r="K136" i="2"/>
  <c r="K128" i="2"/>
  <c r="K124" i="2"/>
  <c r="K118" i="2"/>
  <c r="K112" i="2"/>
  <c r="K106" i="2"/>
  <c r="O352" i="4"/>
  <c r="O348" i="4"/>
  <c r="O310" i="4"/>
  <c r="O306" i="4"/>
  <c r="W54" i="1"/>
  <c r="K364" i="2"/>
  <c r="K360" i="2"/>
  <c r="G19" i="31"/>
  <c r="J26" i="27"/>
  <c r="R26" i="27" s="1"/>
  <c r="T26" i="27" s="1"/>
  <c r="O350" i="3"/>
  <c r="H58" i="52"/>
  <c r="K58" i="52" s="1"/>
  <c r="E50" i="52"/>
  <c r="H48" i="52"/>
  <c r="K48" i="52" s="1"/>
  <c r="H43" i="52"/>
  <c r="K43" i="52" s="1"/>
  <c r="K71" i="52"/>
  <c r="K37" i="52" s="1"/>
  <c r="H37" i="52"/>
  <c r="N378" i="2"/>
  <c r="K378" i="2"/>
  <c r="N392" i="2"/>
  <c r="K392" i="2"/>
  <c r="R43" i="29"/>
  <c r="I43" i="30"/>
  <c r="E43" i="30"/>
  <c r="K374" i="2"/>
  <c r="N382" i="2"/>
  <c r="G36" i="52"/>
  <c r="K352" i="2"/>
  <c r="N298" i="2"/>
  <c r="K290" i="2"/>
  <c r="K304" i="2"/>
  <c r="C36" i="52"/>
  <c r="B43" i="52"/>
  <c r="E43" i="52" s="1"/>
  <c r="N386" i="2"/>
  <c r="K376" i="2"/>
  <c r="N344" i="2"/>
  <c r="K314" i="2"/>
  <c r="N310" i="2"/>
  <c r="K306" i="2"/>
  <c r="K282" i="2"/>
  <c r="K272" i="2"/>
  <c r="O370" i="3"/>
  <c r="O346" i="3"/>
  <c r="K173" i="52"/>
  <c r="AY54" i="1"/>
  <c r="I18" i="29"/>
  <c r="N18" i="29"/>
  <c r="R18" i="29"/>
  <c r="I26" i="29"/>
  <c r="N26" i="29"/>
  <c r="R26" i="29"/>
  <c r="N30" i="29"/>
  <c r="I34" i="29"/>
  <c r="N34" i="29"/>
  <c r="R34" i="29"/>
  <c r="K358" i="2"/>
  <c r="K366" i="2"/>
  <c r="O388" i="3"/>
  <c r="C35" i="52"/>
  <c r="K176" i="52"/>
  <c r="I15" i="29"/>
  <c r="N15" i="29"/>
  <c r="R15" i="29"/>
  <c r="I19" i="29"/>
  <c r="N19" i="29"/>
  <c r="R19" i="29"/>
  <c r="I23" i="29"/>
  <c r="N23" i="29"/>
  <c r="R23" i="29"/>
  <c r="I31" i="29"/>
  <c r="K264" i="2"/>
  <c r="G35" i="52"/>
  <c r="N312" i="2"/>
  <c r="K294" i="2"/>
  <c r="O372" i="3"/>
  <c r="O360" i="3"/>
  <c r="I16" i="29"/>
  <c r="N16" i="29"/>
  <c r="R16" i="29"/>
  <c r="N20" i="29"/>
  <c r="I24" i="29"/>
  <c r="R24" i="29"/>
  <c r="I32" i="29"/>
  <c r="N31" i="29"/>
  <c r="R31" i="29"/>
  <c r="N38" i="29"/>
  <c r="R38" i="29"/>
  <c r="G16" i="28"/>
  <c r="O16" i="28"/>
  <c r="C20" i="28"/>
  <c r="G20" i="28"/>
  <c r="K20" i="28"/>
  <c r="O20" i="28"/>
  <c r="C24" i="28"/>
  <c r="G24" i="28"/>
  <c r="K24" i="28"/>
  <c r="O24" i="28"/>
  <c r="C28" i="28"/>
  <c r="G28" i="28"/>
  <c r="K28" i="28"/>
  <c r="O28" i="28"/>
  <c r="C32" i="28"/>
  <c r="G32" i="28"/>
  <c r="K32" i="28"/>
  <c r="O32" i="28"/>
  <c r="C36" i="28"/>
  <c r="G36" i="28"/>
  <c r="K36" i="28"/>
  <c r="O36" i="28"/>
  <c r="O21" i="30"/>
  <c r="N30" i="30"/>
  <c r="N38" i="30"/>
  <c r="O39" i="30"/>
  <c r="P42" i="30"/>
  <c r="Q15" i="31"/>
  <c r="I16" i="31"/>
  <c r="Q19" i="31"/>
  <c r="I20" i="31"/>
  <c r="Q23" i="31"/>
  <c r="I24" i="31"/>
  <c r="Q29" i="31"/>
  <c r="I30" i="31"/>
  <c r="I34" i="31"/>
  <c r="Q37" i="31"/>
  <c r="I38" i="31"/>
  <c r="T15" i="24"/>
  <c r="V15" i="24" s="1"/>
  <c r="X15" i="24" s="1"/>
  <c r="T17" i="24"/>
  <c r="V17" i="24" s="1"/>
  <c r="X17" i="24" s="1"/>
  <c r="T18" i="24"/>
  <c r="V18" i="24" s="1"/>
  <c r="W18" i="24" s="1"/>
  <c r="T20" i="24"/>
  <c r="V20" i="24" s="1"/>
  <c r="X20" i="24" s="1"/>
  <c r="T21" i="24"/>
  <c r="V21" i="24" s="1"/>
  <c r="W21" i="24" s="1"/>
  <c r="T23" i="24"/>
  <c r="V23" i="24" s="1"/>
  <c r="W23" i="24" s="1"/>
  <c r="T24" i="24"/>
  <c r="V24" i="24" s="1"/>
  <c r="X24" i="24" s="1"/>
  <c r="T25" i="24"/>
  <c r="V25" i="24" s="1"/>
  <c r="W25" i="24" s="1"/>
  <c r="T30" i="24"/>
  <c r="V30" i="24" s="1"/>
  <c r="X30" i="24" s="1"/>
  <c r="T32" i="24"/>
  <c r="V32" i="24" s="1"/>
  <c r="X32" i="24" s="1"/>
  <c r="T34" i="24"/>
  <c r="V34" i="24" s="1"/>
  <c r="W34" i="24" s="1"/>
  <c r="T43" i="24"/>
  <c r="V43" i="24" s="1"/>
  <c r="X43" i="24" s="1"/>
  <c r="U16" i="26"/>
  <c r="W16" i="26" s="1"/>
  <c r="X16" i="26" s="1"/>
  <c r="U20" i="26"/>
  <c r="W20" i="26" s="1"/>
  <c r="Y20" i="26" s="1"/>
  <c r="U22" i="26"/>
  <c r="W22" i="26" s="1"/>
  <c r="X22" i="26" s="1"/>
  <c r="U23" i="26"/>
  <c r="W23" i="26" s="1"/>
  <c r="Y23" i="26" s="1"/>
  <c r="U25" i="26"/>
  <c r="W25" i="26" s="1"/>
  <c r="Y25" i="26" s="1"/>
  <c r="U28" i="26"/>
  <c r="W28" i="26" s="1"/>
  <c r="X28" i="26" s="1"/>
  <c r="U29" i="26"/>
  <c r="W29" i="26" s="1"/>
  <c r="Y29" i="26" s="1"/>
  <c r="U32" i="26"/>
  <c r="W32" i="26" s="1"/>
  <c r="X32" i="26" s="1"/>
  <c r="U35" i="26"/>
  <c r="W35" i="26" s="1"/>
  <c r="X35" i="26" s="1"/>
  <c r="U36" i="26"/>
  <c r="W36" i="26" s="1"/>
  <c r="Y36" i="26" s="1"/>
  <c r="U38" i="26"/>
  <c r="W38" i="26" s="1"/>
  <c r="Y38" i="26" s="1"/>
  <c r="U43" i="26"/>
  <c r="W43" i="26" s="1"/>
  <c r="Y43" i="26" s="1"/>
  <c r="Q43" i="29"/>
  <c r="G43" i="29"/>
  <c r="M43" i="28"/>
  <c r="I43" i="28"/>
  <c r="E43" i="28"/>
  <c r="P43" i="30"/>
  <c r="N32" i="29"/>
  <c r="R32" i="29"/>
  <c r="I35" i="29"/>
  <c r="R35" i="29"/>
  <c r="I39" i="29"/>
  <c r="N39" i="29"/>
  <c r="T16" i="28"/>
  <c r="F17" i="28"/>
  <c r="J17" i="28"/>
  <c r="N17" i="28"/>
  <c r="T20" i="28"/>
  <c r="J21" i="28"/>
  <c r="N21" i="28"/>
  <c r="T24" i="28"/>
  <c r="F25" i="28"/>
  <c r="J25" i="28"/>
  <c r="N25" i="28"/>
  <c r="T28" i="28"/>
  <c r="F29" i="28"/>
  <c r="J29" i="28"/>
  <c r="N29" i="28"/>
  <c r="T32" i="28"/>
  <c r="F33" i="28"/>
  <c r="J33" i="28"/>
  <c r="N33" i="28"/>
  <c r="T36" i="28"/>
  <c r="F37" i="28"/>
  <c r="J37" i="28"/>
  <c r="N37" i="28"/>
  <c r="I14" i="30"/>
  <c r="C16" i="30"/>
  <c r="G16" i="30"/>
  <c r="K16" i="30"/>
  <c r="P17" i="30"/>
  <c r="E18" i="30"/>
  <c r="I18" i="30"/>
  <c r="C20" i="30"/>
  <c r="G20" i="30"/>
  <c r="K20" i="30"/>
  <c r="O20" i="30"/>
  <c r="P21" i="30"/>
  <c r="E22" i="30"/>
  <c r="I22" i="30"/>
  <c r="G24" i="30"/>
  <c r="K24" i="30"/>
  <c r="F29" i="30"/>
  <c r="O30" i="30"/>
  <c r="D31" i="30"/>
  <c r="H31" i="30"/>
  <c r="Q32" i="30"/>
  <c r="J33" i="30"/>
  <c r="D35" i="30"/>
  <c r="L35" i="30"/>
  <c r="Q36" i="30"/>
  <c r="O16" i="31"/>
  <c r="F17" i="31"/>
  <c r="L17" i="31"/>
  <c r="F21" i="31"/>
  <c r="O24" i="31"/>
  <c r="O30" i="31"/>
  <c r="F31" i="31"/>
  <c r="L31" i="31"/>
  <c r="F35" i="31"/>
  <c r="L35" i="31"/>
  <c r="F39" i="31"/>
  <c r="L39" i="31"/>
  <c r="I43" i="31"/>
  <c r="P44" i="29"/>
  <c r="K44" i="31"/>
  <c r="E34" i="55"/>
  <c r="F34" i="55"/>
  <c r="N29" i="29"/>
  <c r="R29" i="29"/>
  <c r="I33" i="29"/>
  <c r="N33" i="29"/>
  <c r="R33" i="29"/>
  <c r="I36" i="29"/>
  <c r="N36" i="29"/>
  <c r="R36" i="29"/>
  <c r="I40" i="29"/>
  <c r="N40" i="29"/>
  <c r="R40" i="29"/>
  <c r="E14" i="28"/>
  <c r="I14" i="28"/>
  <c r="M14" i="28"/>
  <c r="S17" i="28"/>
  <c r="E18" i="28"/>
  <c r="I18" i="28"/>
  <c r="M18" i="28"/>
  <c r="E22" i="28"/>
  <c r="M22" i="28"/>
  <c r="I30" i="28"/>
  <c r="M30" i="28"/>
  <c r="E34" i="28"/>
  <c r="M34" i="28"/>
  <c r="S37" i="28"/>
  <c r="I38" i="28"/>
  <c r="N14" i="30"/>
  <c r="N22" i="30"/>
  <c r="O37" i="30"/>
  <c r="J42" i="30"/>
  <c r="Q17" i="31"/>
  <c r="I18" i="31"/>
  <c r="I22" i="31"/>
  <c r="Q25" i="31"/>
  <c r="I26" i="31"/>
  <c r="I32" i="31"/>
  <c r="Q35" i="31"/>
  <c r="I36" i="31"/>
  <c r="I40" i="31"/>
  <c r="H17" i="25"/>
  <c r="K17" i="25" s="1"/>
  <c r="T17" i="25" s="1"/>
  <c r="V17" i="25" s="1"/>
  <c r="W17" i="25" s="1"/>
  <c r="H23" i="25"/>
  <c r="K23" i="25" s="1"/>
  <c r="T23" i="25" s="1"/>
  <c r="V23" i="25" s="1"/>
  <c r="W23" i="25" s="1"/>
  <c r="H31" i="25"/>
  <c r="K31" i="25" s="1"/>
  <c r="T31" i="25" s="1"/>
  <c r="V31" i="25" s="1"/>
  <c r="W31" i="25" s="1"/>
  <c r="H43" i="25"/>
  <c r="K43" i="25" s="1"/>
  <c r="T43" i="25" s="1"/>
  <c r="V43" i="25" s="1"/>
  <c r="W43" i="25" s="1"/>
  <c r="G17" i="27"/>
  <c r="J17" i="27" s="1"/>
  <c r="R17" i="27" s="1"/>
  <c r="T17" i="27" s="1"/>
  <c r="G21" i="27"/>
  <c r="J21" i="27" s="1"/>
  <c r="R21" i="27" s="1"/>
  <c r="T21" i="27" s="1"/>
  <c r="G25" i="27"/>
  <c r="J25" i="27" s="1"/>
  <c r="R25" i="27" s="1"/>
  <c r="T25" i="27" s="1"/>
  <c r="G33" i="27"/>
  <c r="J33" i="27" s="1"/>
  <c r="R33" i="27" s="1"/>
  <c r="T33" i="27" s="1"/>
  <c r="G41" i="27"/>
  <c r="J41" i="27" s="1"/>
  <c r="R41" i="27" s="1"/>
  <c r="T41" i="27" s="1"/>
  <c r="S43" i="29"/>
  <c r="S43" i="28"/>
  <c r="K43" i="28"/>
  <c r="C43" i="28"/>
  <c r="N44" i="31"/>
  <c r="E16" i="31"/>
  <c r="N17" i="31"/>
  <c r="P20" i="31"/>
  <c r="H23" i="31"/>
  <c r="P24" i="31"/>
  <c r="H31" i="31"/>
  <c r="K34" i="31"/>
  <c r="P36" i="31"/>
  <c r="K38" i="31"/>
  <c r="H39" i="31"/>
  <c r="K43" i="31"/>
  <c r="N18" i="31"/>
  <c r="H20" i="31"/>
  <c r="N22" i="31"/>
  <c r="K23" i="31"/>
  <c r="N26" i="31"/>
  <c r="H32" i="31"/>
  <c r="N34" i="31"/>
  <c r="K35" i="31"/>
  <c r="N38" i="31"/>
  <c r="O43" i="30"/>
  <c r="J14" i="30"/>
  <c r="P14" i="30"/>
  <c r="N19" i="30"/>
  <c r="L20" i="30"/>
  <c r="K21" i="30"/>
  <c r="O23" i="30"/>
  <c r="O24" i="30"/>
  <c r="O25" i="30"/>
  <c r="K29" i="30"/>
  <c r="Q29" i="30"/>
  <c r="P30" i="30"/>
  <c r="I31" i="30"/>
  <c r="O34" i="30"/>
  <c r="N35" i="30"/>
  <c r="L36" i="30"/>
  <c r="C37" i="30"/>
  <c r="P38" i="30"/>
  <c r="I39" i="30"/>
  <c r="G42" i="30"/>
  <c r="O42" i="30"/>
  <c r="D14" i="30"/>
  <c r="L14" i="30"/>
  <c r="K15" i="30"/>
  <c r="Q15" i="30"/>
  <c r="J16" i="30"/>
  <c r="E21" i="30"/>
  <c r="N21" i="30"/>
  <c r="L22" i="30"/>
  <c r="P24" i="30"/>
  <c r="I25" i="30"/>
  <c r="E29" i="30"/>
  <c r="G35" i="30"/>
  <c r="N37" i="30"/>
  <c r="C39" i="30"/>
  <c r="K39" i="30"/>
  <c r="S16" i="29"/>
  <c r="O19" i="29"/>
  <c r="S26" i="29"/>
  <c r="J30" i="29"/>
  <c r="O31" i="29"/>
  <c r="J34" i="29"/>
  <c r="O35" i="29"/>
  <c r="S36" i="29"/>
  <c r="S38" i="29"/>
  <c r="O39" i="29"/>
  <c r="S40" i="29"/>
  <c r="M20" i="29"/>
  <c r="M32" i="29"/>
  <c r="G37" i="29"/>
  <c r="Q37" i="29"/>
  <c r="F22" i="29"/>
  <c r="F14" i="28"/>
  <c r="N14" i="28"/>
  <c r="R19" i="28"/>
  <c r="P20" i="28"/>
  <c r="K25" i="28"/>
  <c r="T25" i="28"/>
  <c r="O29" i="28"/>
  <c r="N30" i="28"/>
  <c r="C33" i="28"/>
  <c r="K33" i="28"/>
  <c r="S34" i="28"/>
  <c r="G37" i="28"/>
  <c r="O37" i="28"/>
  <c r="F38" i="28"/>
  <c r="G15" i="28"/>
  <c r="G23" i="28"/>
  <c r="O23" i="28"/>
  <c r="F24" i="28"/>
  <c r="N24" i="28"/>
  <c r="J28" i="28"/>
  <c r="H30" i="28"/>
  <c r="L34" i="28"/>
  <c r="R37" i="28"/>
  <c r="H38" i="28"/>
  <c r="P38" i="28"/>
  <c r="G39" i="28"/>
  <c r="L16" i="28"/>
  <c r="T17" i="28"/>
  <c r="N22" i="28"/>
  <c r="L24" i="28"/>
  <c r="P28" i="28"/>
  <c r="M39" i="28"/>
  <c r="H28" i="28"/>
  <c r="H14" i="28"/>
  <c r="R21" i="28"/>
  <c r="H22" i="28"/>
  <c r="P22" i="28"/>
  <c r="E25" i="28"/>
  <c r="M25" i="28"/>
  <c r="S28" i="28"/>
  <c r="I29" i="28"/>
  <c r="G31" i="28"/>
  <c r="F32" i="28"/>
  <c r="T35" i="28"/>
  <c r="J36" i="28"/>
  <c r="I37" i="28"/>
  <c r="T33" i="24"/>
  <c r="V33" i="24" s="1"/>
  <c r="C25" i="28"/>
  <c r="G16" i="27"/>
  <c r="J16" i="27" s="1"/>
  <c r="R16" i="27" s="1"/>
  <c r="T16" i="27" s="1"/>
  <c r="U14" i="26"/>
  <c r="W14" i="26" s="1"/>
  <c r="N292" i="2"/>
  <c r="K292" i="2"/>
  <c r="T42" i="24"/>
  <c r="V42" i="24" s="1"/>
  <c r="D43" i="28"/>
  <c r="U15" i="26"/>
  <c r="W15" i="26" s="1"/>
  <c r="X15" i="26" s="1"/>
  <c r="I15" i="30"/>
  <c r="F18" i="30"/>
  <c r="U18" i="26"/>
  <c r="W18" i="26" s="1"/>
  <c r="U21" i="26"/>
  <c r="W21" i="26" s="1"/>
  <c r="X21" i="26" s="1"/>
  <c r="C21" i="30"/>
  <c r="H24" i="30"/>
  <c r="U24" i="26"/>
  <c r="W24" i="26" s="1"/>
  <c r="U30" i="26"/>
  <c r="W30" i="26" s="1"/>
  <c r="J30" i="30"/>
  <c r="G36" i="27"/>
  <c r="J36" i="27" s="1"/>
  <c r="R36" i="27" s="1"/>
  <c r="T36" i="27" s="1"/>
  <c r="E36" i="31"/>
  <c r="K38" i="25"/>
  <c r="T38" i="25" s="1"/>
  <c r="V38" i="25" s="1"/>
  <c r="W38" i="25" s="1"/>
  <c r="J38" i="29"/>
  <c r="T28" i="24"/>
  <c r="V28" i="24" s="1"/>
  <c r="W28" i="24" s="1"/>
  <c r="U42" i="26"/>
  <c r="W42" i="26" s="1"/>
  <c r="Y42" i="26" s="1"/>
  <c r="U37" i="26"/>
  <c r="W37" i="26" s="1"/>
  <c r="T38" i="24"/>
  <c r="V38" i="24" s="1"/>
  <c r="N25" i="31"/>
  <c r="E31" i="28"/>
  <c r="T31" i="24"/>
  <c r="V31" i="24" s="1"/>
  <c r="D20" i="30"/>
  <c r="K344" i="2"/>
  <c r="T35" i="24"/>
  <c r="V35" i="24" s="1"/>
  <c r="D16" i="28"/>
  <c r="T16" i="24"/>
  <c r="V16" i="24" s="1"/>
  <c r="W16" i="24" s="1"/>
  <c r="T22" i="24"/>
  <c r="V22" i="24" s="1"/>
  <c r="F22" i="28"/>
  <c r="T29" i="24"/>
  <c r="V29" i="24" s="1"/>
  <c r="F34" i="30"/>
  <c r="U34" i="26"/>
  <c r="W34" i="26" s="1"/>
  <c r="X34" i="26" s="1"/>
  <c r="T37" i="24"/>
  <c r="V37" i="24" s="1"/>
  <c r="X37" i="24" s="1"/>
  <c r="G29" i="28"/>
  <c r="J18" i="29"/>
  <c r="S18" i="29"/>
  <c r="K37" i="30"/>
  <c r="U33" i="26"/>
  <c r="W33" i="26" s="1"/>
  <c r="F30" i="28"/>
  <c r="U31" i="26"/>
  <c r="W31" i="26" s="1"/>
  <c r="D24" i="28"/>
  <c r="E23" i="28"/>
  <c r="M23" i="28"/>
  <c r="J20" i="29"/>
  <c r="D28" i="30"/>
  <c r="E37" i="31"/>
  <c r="G37" i="27"/>
  <c r="J37" i="27" s="1"/>
  <c r="R37" i="27" s="1"/>
  <c r="T37" i="27" s="1"/>
  <c r="S20" i="29"/>
  <c r="I23" i="30"/>
  <c r="L28" i="30"/>
  <c r="H32" i="30"/>
  <c r="K346" i="2"/>
  <c r="F35" i="52"/>
  <c r="J16" i="29"/>
  <c r="E17" i="28"/>
  <c r="M17" i="28"/>
  <c r="S18" i="28"/>
  <c r="G17" i="30"/>
  <c r="H18" i="30"/>
  <c r="M34" i="29"/>
  <c r="M40" i="29"/>
  <c r="M33" i="28"/>
  <c r="I35" i="28"/>
  <c r="K23" i="30"/>
  <c r="F28" i="30"/>
  <c r="J32" i="30"/>
  <c r="E35" i="30"/>
  <c r="D36" i="30"/>
  <c r="E37" i="30"/>
  <c r="K312" i="2"/>
  <c r="M16" i="29"/>
  <c r="C19" i="28"/>
  <c r="O15" i="30"/>
  <c r="H16" i="30"/>
  <c r="P16" i="30"/>
  <c r="I17" i="30"/>
  <c r="E33" i="31"/>
  <c r="G33" i="31" s="1"/>
  <c r="J33" i="31" s="1"/>
  <c r="K370" i="2"/>
  <c r="B36" i="52"/>
  <c r="O17" i="29"/>
  <c r="S30" i="29"/>
  <c r="G35" i="29"/>
  <c r="P30" i="28"/>
  <c r="K35" i="28"/>
  <c r="R35" i="28"/>
  <c r="P36" i="28"/>
  <c r="O39" i="28"/>
  <c r="Q39" i="30"/>
  <c r="P21" i="31"/>
  <c r="O23" i="29"/>
  <c r="G21" i="28"/>
  <c r="O21" i="28"/>
  <c r="M31" i="28"/>
  <c r="U42" i="28"/>
  <c r="G15" i="29"/>
  <c r="J24" i="29"/>
  <c r="S24" i="29"/>
  <c r="O29" i="29"/>
  <c r="L18" i="28"/>
  <c r="P31" i="30"/>
  <c r="E36" i="30"/>
  <c r="G17" i="29"/>
  <c r="Q19" i="29"/>
  <c r="M24" i="29"/>
  <c r="G29" i="29"/>
  <c r="Q29" i="29"/>
  <c r="M36" i="29"/>
  <c r="O37" i="29"/>
  <c r="M15" i="28"/>
  <c r="N29" i="30"/>
  <c r="E25" i="31"/>
  <c r="O21" i="29"/>
  <c r="M30" i="29"/>
  <c r="J32" i="29"/>
  <c r="S32" i="29"/>
  <c r="P14" i="28"/>
  <c r="I19" i="28"/>
  <c r="O31" i="28"/>
  <c r="L32" i="28"/>
  <c r="N38" i="28"/>
  <c r="E19" i="30"/>
  <c r="G25" i="30"/>
  <c r="O28" i="30"/>
  <c r="O31" i="30"/>
  <c r="F36" i="30"/>
  <c r="I42" i="30"/>
  <c r="K19" i="31"/>
  <c r="E49" i="55"/>
  <c r="G25" i="29"/>
  <c r="O25" i="29"/>
  <c r="G31" i="29"/>
  <c r="Q31" i="29"/>
  <c r="O33" i="29"/>
  <c r="S36" i="28"/>
  <c r="F20" i="30"/>
  <c r="P22" i="30"/>
  <c r="N30" i="31"/>
  <c r="K31" i="31"/>
  <c r="G21" i="29"/>
  <c r="Q21" i="29"/>
  <c r="J22" i="29"/>
  <c r="S22" i="29"/>
  <c r="S34" i="29"/>
  <c r="M38" i="29"/>
  <c r="J40" i="29"/>
  <c r="K17" i="28"/>
  <c r="K19" i="28"/>
  <c r="G19" i="30"/>
  <c r="Q31" i="30"/>
  <c r="Q37" i="30"/>
  <c r="J38" i="30"/>
  <c r="O171" i="32"/>
  <c r="O15" i="29"/>
  <c r="Q25" i="29"/>
  <c r="G33" i="29"/>
  <c r="Q33" i="29"/>
  <c r="G39" i="29"/>
  <c r="N16" i="28"/>
  <c r="T33" i="28"/>
  <c r="J34" i="28"/>
  <c r="E39" i="28"/>
  <c r="Q21" i="30"/>
  <c r="J22" i="30"/>
  <c r="C29" i="30"/>
  <c r="K31" i="30"/>
  <c r="P17" i="31"/>
  <c r="H36" i="31"/>
  <c r="H40" i="31"/>
  <c r="G43" i="30"/>
  <c r="N306" i="2"/>
  <c r="K274" i="2"/>
  <c r="Q14" i="30"/>
  <c r="P39" i="30"/>
  <c r="H35" i="31"/>
  <c r="F19" i="30"/>
  <c r="L22" i="29"/>
  <c r="E23" i="29"/>
  <c r="H23" i="29" s="1"/>
  <c r="F49" i="55"/>
  <c r="E15" i="29"/>
  <c r="P17" i="29"/>
  <c r="P31" i="29"/>
  <c r="L36" i="29"/>
  <c r="G22" i="28"/>
  <c r="K30" i="30"/>
  <c r="H19" i="31"/>
  <c r="O44" i="29"/>
  <c r="P44" i="31"/>
  <c r="H44" i="31"/>
  <c r="P37" i="29"/>
  <c r="O16" i="30"/>
  <c r="H17" i="30"/>
  <c r="O17" i="30"/>
  <c r="O18" i="30"/>
  <c r="P16" i="31"/>
  <c r="N29" i="31"/>
  <c r="K30" i="31"/>
  <c r="P32" i="31"/>
  <c r="M44" i="29"/>
  <c r="L16" i="29"/>
  <c r="E19" i="29"/>
  <c r="L26" i="29"/>
  <c r="L38" i="29"/>
  <c r="E39" i="29"/>
  <c r="T18" i="28"/>
  <c r="N39" i="28"/>
  <c r="J15" i="30"/>
  <c r="I16" i="30"/>
  <c r="J39" i="30"/>
  <c r="J43" i="29"/>
  <c r="L43" i="28"/>
  <c r="P19" i="29"/>
  <c r="P33" i="29"/>
  <c r="P39" i="29"/>
  <c r="M24" i="28"/>
  <c r="N28" i="30"/>
  <c r="I43" i="29"/>
  <c r="S44" i="29"/>
  <c r="J44" i="29"/>
  <c r="L20" i="29"/>
  <c r="L24" i="29"/>
  <c r="E25" i="29"/>
  <c r="L34" i="29"/>
  <c r="L40" i="29"/>
  <c r="S19" i="28"/>
  <c r="I20" i="28"/>
  <c r="K22" i="31"/>
  <c r="K43" i="30"/>
  <c r="ES73" i="13"/>
  <c r="P29" i="29"/>
  <c r="O32" i="30"/>
  <c r="O33" i="30"/>
  <c r="O35" i="30"/>
  <c r="P43" i="29"/>
  <c r="Q44" i="29"/>
  <c r="G44" i="29"/>
  <c r="J43" i="30"/>
  <c r="L30" i="29"/>
  <c r="R28" i="28"/>
  <c r="H29" i="28"/>
  <c r="P29" i="28"/>
  <c r="O43" i="29"/>
  <c r="P43" i="28"/>
  <c r="H43" i="28"/>
  <c r="Q44" i="31"/>
  <c r="I44" i="31"/>
  <c r="H15" i="31"/>
  <c r="H16" i="31"/>
  <c r="E29" i="31"/>
  <c r="E32" i="31"/>
  <c r="E30" i="31"/>
  <c r="H17" i="31"/>
  <c r="E20" i="31"/>
  <c r="E24" i="31"/>
  <c r="F34" i="31"/>
  <c r="F37" i="31"/>
  <c r="F38" i="31"/>
  <c r="C15" i="30"/>
  <c r="C24" i="30"/>
  <c r="C30" i="30"/>
  <c r="C43" i="30"/>
  <c r="E28" i="30"/>
  <c r="C31" i="30"/>
  <c r="D42" i="30"/>
  <c r="E14" i="30"/>
  <c r="C23" i="30"/>
  <c r="D34" i="30"/>
  <c r="G16" i="29"/>
  <c r="E31" i="29"/>
  <c r="E43" i="29"/>
  <c r="E20" i="29"/>
  <c r="F33" i="29"/>
  <c r="F39" i="29"/>
  <c r="E40" i="29"/>
  <c r="E32" i="29"/>
  <c r="H32" i="29" s="1"/>
  <c r="F34" i="29"/>
  <c r="E29" i="29"/>
  <c r="D23" i="28"/>
  <c r="E24" i="28"/>
  <c r="C35" i="28"/>
  <c r="D36" i="28"/>
  <c r="C17" i="28"/>
  <c r="D14" i="28"/>
  <c r="E15" i="28"/>
  <c r="F16" i="28"/>
  <c r="F21" i="28"/>
  <c r="D32" i="28"/>
  <c r="E33" i="28"/>
  <c r="F39" i="28"/>
  <c r="H35" i="29" l="1"/>
  <c r="K35" i="29" s="1"/>
  <c r="T35" i="29" s="1"/>
  <c r="V35" i="29" s="1"/>
  <c r="G20" i="31"/>
  <c r="J20" i="31" s="1"/>
  <c r="R20" i="31" s="1"/>
  <c r="T20" i="31" s="1"/>
  <c r="H17" i="29"/>
  <c r="K17" i="29" s="1"/>
  <c r="T17" i="29" s="1"/>
  <c r="V17" i="29" s="1"/>
  <c r="G15" i="31"/>
  <c r="J15" i="31" s="1"/>
  <c r="R15" i="31" s="1"/>
  <c r="T15" i="31" s="1"/>
  <c r="U14" i="31" s="1"/>
  <c r="H18" i="29"/>
  <c r="K18" i="29" s="1"/>
  <c r="T18" i="29" s="1"/>
  <c r="V18" i="29" s="1"/>
  <c r="G23" i="31"/>
  <c r="J23" i="31" s="1"/>
  <c r="R23" i="31" s="1"/>
  <c r="T23" i="31" s="1"/>
  <c r="H40" i="29"/>
  <c r="K40" i="29" s="1"/>
  <c r="T40" i="29" s="1"/>
  <c r="V40" i="29" s="1"/>
  <c r="H22" i="29"/>
  <c r="K22" i="29" s="1"/>
  <c r="T22" i="29" s="1"/>
  <c r="V22" i="29" s="1"/>
  <c r="H38" i="29"/>
  <c r="K38" i="29" s="1"/>
  <c r="T38" i="29" s="1"/>
  <c r="V38" i="29" s="1"/>
  <c r="H26" i="29"/>
  <c r="K26" i="29" s="1"/>
  <c r="T26" i="29" s="1"/>
  <c r="V26" i="29" s="1"/>
  <c r="H20" i="29"/>
  <c r="K20" i="29" s="1"/>
  <c r="T20" i="29" s="1"/>
  <c r="V20" i="29" s="1"/>
  <c r="H44" i="29"/>
  <c r="K44" i="29" s="1"/>
  <c r="T44" i="29" s="1"/>
  <c r="V44" i="29" s="1"/>
  <c r="H24" i="29"/>
  <c r="K24" i="29" s="1"/>
  <c r="T24" i="29" s="1"/>
  <c r="V24" i="29" s="1"/>
  <c r="H34" i="29"/>
  <c r="K34" i="29" s="1"/>
  <c r="T34" i="29" s="1"/>
  <c r="V34" i="29" s="1"/>
  <c r="H36" i="29"/>
  <c r="K36" i="29" s="1"/>
  <c r="T36" i="29" s="1"/>
  <c r="V36" i="29" s="1"/>
  <c r="G16" i="31"/>
  <c r="J16" i="31" s="1"/>
  <c r="R16" i="31" s="1"/>
  <c r="T16" i="31" s="1"/>
  <c r="G32" i="31"/>
  <c r="J32" i="31" s="1"/>
  <c r="R32" i="31" s="1"/>
  <c r="T32" i="31" s="1"/>
  <c r="G18" i="31"/>
  <c r="J18" i="31" s="1"/>
  <c r="R18" i="31" s="1"/>
  <c r="T18" i="31" s="1"/>
  <c r="G29" i="31"/>
  <c r="J29" i="31" s="1"/>
  <c r="R29" i="31" s="1"/>
  <c r="T29" i="31" s="1"/>
  <c r="G26" i="31"/>
  <c r="H37" i="29"/>
  <c r="K37" i="29" s="1"/>
  <c r="T37" i="29" s="1"/>
  <c r="V37" i="29" s="1"/>
  <c r="G36" i="31"/>
  <c r="J36" i="31" s="1"/>
  <c r="R36" i="31" s="1"/>
  <c r="T36" i="31" s="1"/>
  <c r="X23" i="26"/>
  <c r="X43" i="26"/>
  <c r="G40" i="31"/>
  <c r="J40" i="31" s="1"/>
  <c r="R40" i="31" s="1"/>
  <c r="T40" i="31" s="1"/>
  <c r="G22" i="31"/>
  <c r="J22" i="31" s="1"/>
  <c r="R22" i="31" s="1"/>
  <c r="T22" i="31" s="1"/>
  <c r="H21" i="29"/>
  <c r="K21" i="29" s="1"/>
  <c r="T21" i="29" s="1"/>
  <c r="V21" i="29" s="1"/>
  <c r="W17" i="24"/>
  <c r="X18" i="24"/>
  <c r="W43" i="24"/>
  <c r="W20" i="24"/>
  <c r="W30" i="24"/>
  <c r="W24" i="24"/>
  <c r="G17" i="31"/>
  <c r="J17" i="31" s="1"/>
  <c r="R17" i="31" s="1"/>
  <c r="T17" i="31" s="1"/>
  <c r="D115" i="35"/>
  <c r="X42" i="26"/>
  <c r="G35" i="31"/>
  <c r="J35" i="31" s="1"/>
  <c r="R35" i="31" s="1"/>
  <c r="T35" i="31" s="1"/>
  <c r="H19" i="29"/>
  <c r="K19" i="29" s="1"/>
  <c r="T19" i="29" s="1"/>
  <c r="V19" i="29" s="1"/>
  <c r="W15" i="25"/>
  <c r="H33" i="29"/>
  <c r="K33" i="29" s="1"/>
  <c r="T33" i="29" s="1"/>
  <c r="V33" i="29" s="1"/>
  <c r="Y34" i="26"/>
  <c r="X38" i="26"/>
  <c r="X39" i="24"/>
  <c r="K23" i="29"/>
  <c r="T23" i="29" s="1"/>
  <c r="V23" i="29" s="1"/>
  <c r="X36" i="24"/>
  <c r="X19" i="26"/>
  <c r="Y32" i="26"/>
  <c r="B35" i="52"/>
  <c r="X29" i="26"/>
  <c r="G34" i="31"/>
  <c r="J34" i="31" s="1"/>
  <c r="R34" i="31" s="1"/>
  <c r="T34" i="31" s="1"/>
  <c r="G24" i="31"/>
  <c r="J24" i="31" s="1"/>
  <c r="R24" i="31" s="1"/>
  <c r="T24" i="31" s="1"/>
  <c r="G43" i="31"/>
  <c r="J43" i="31" s="1"/>
  <c r="R43" i="31" s="1"/>
  <c r="T43" i="31" s="1"/>
  <c r="H16" i="29"/>
  <c r="K16" i="29" s="1"/>
  <c r="T16" i="29" s="1"/>
  <c r="V16" i="29" s="1"/>
  <c r="G31" i="31"/>
  <c r="J31" i="31" s="1"/>
  <c r="R31" i="31" s="1"/>
  <c r="T31" i="31" s="1"/>
  <c r="G25" i="31"/>
  <c r="J25" i="31" s="1"/>
  <c r="R25" i="31" s="1"/>
  <c r="T25" i="31" s="1"/>
  <c r="L115" i="35"/>
  <c r="O115" i="35"/>
  <c r="W14" i="24"/>
  <c r="G115" i="35"/>
  <c r="R33" i="31"/>
  <c r="T33" i="31" s="1"/>
  <c r="C115" i="35"/>
  <c r="X17" i="26"/>
  <c r="I115" i="35"/>
  <c r="X34" i="24"/>
  <c r="J115" i="35"/>
  <c r="G38" i="31"/>
  <c r="J38" i="31" s="1"/>
  <c r="R38" i="31" s="1"/>
  <c r="T38" i="31" s="1"/>
  <c r="Y15" i="26"/>
  <c r="Y21" i="26"/>
  <c r="Y39" i="26"/>
  <c r="Y28" i="26"/>
  <c r="R38" i="30"/>
  <c r="T38" i="30" s="1"/>
  <c r="V38" i="30" s="1"/>
  <c r="H115" i="35"/>
  <c r="K115" i="35"/>
  <c r="F115" i="35"/>
  <c r="J19" i="31"/>
  <c r="R19" i="31" s="1"/>
  <c r="T19" i="31" s="1"/>
  <c r="E115" i="35"/>
  <c r="M115" i="35"/>
  <c r="K404" i="2"/>
  <c r="H35" i="52"/>
  <c r="E36" i="52"/>
  <c r="G30" i="31"/>
  <c r="J30" i="31" s="1"/>
  <c r="R30" i="31" s="1"/>
  <c r="T30" i="31" s="1"/>
  <c r="W37" i="24"/>
  <c r="H36" i="52"/>
  <c r="J26" i="31"/>
  <c r="R26" i="31" s="1"/>
  <c r="T26" i="31" s="1"/>
  <c r="W15" i="24"/>
  <c r="X20" i="26"/>
  <c r="X36" i="26"/>
  <c r="X19" i="24"/>
  <c r="G21" i="31"/>
  <c r="J21" i="31" s="1"/>
  <c r="R21" i="31" s="1"/>
  <c r="T21" i="31" s="1"/>
  <c r="K36" i="52"/>
  <c r="H43" i="29"/>
  <c r="K43" i="29" s="1"/>
  <c r="T43" i="29" s="1"/>
  <c r="V43" i="29" s="1"/>
  <c r="X21" i="24"/>
  <c r="G39" i="31"/>
  <c r="J39" i="31" s="1"/>
  <c r="R39" i="31" s="1"/>
  <c r="T39" i="31" s="1"/>
  <c r="Y35" i="26"/>
  <c r="Y16" i="26"/>
  <c r="X25" i="26"/>
  <c r="X25" i="24"/>
  <c r="R33" i="30"/>
  <c r="T33" i="30" s="1"/>
  <c r="U33" i="30" s="1"/>
  <c r="H15" i="29"/>
  <c r="K15" i="29" s="1"/>
  <c r="T15" i="29" s="1"/>
  <c r="V15" i="29" s="1"/>
  <c r="W14" i="29" s="1"/>
  <c r="X23" i="24"/>
  <c r="E35" i="52"/>
  <c r="W32" i="24"/>
  <c r="X28" i="24"/>
  <c r="Y22" i="26"/>
  <c r="K35" i="52"/>
  <c r="H25" i="29"/>
  <c r="K25" i="29" s="1"/>
  <c r="T25" i="29" s="1"/>
  <c r="V25" i="29" s="1"/>
  <c r="U20" i="28"/>
  <c r="W20" i="28" s="1"/>
  <c r="R20" i="30"/>
  <c r="T20" i="30" s="1"/>
  <c r="V20" i="30" s="1"/>
  <c r="K32" i="29"/>
  <c r="T32" i="29" s="1"/>
  <c r="V32" i="29" s="1"/>
  <c r="H29" i="29"/>
  <c r="K29" i="29" s="1"/>
  <c r="T29" i="29" s="1"/>
  <c r="V29" i="29" s="1"/>
  <c r="U15" i="28"/>
  <c r="W15" i="28" s="1"/>
  <c r="Y15" i="28" s="1"/>
  <c r="U22" i="28"/>
  <c r="W22" i="28" s="1"/>
  <c r="X22" i="28" s="1"/>
  <c r="G37" i="31"/>
  <c r="J37" i="31" s="1"/>
  <c r="R37" i="31" s="1"/>
  <c r="T37" i="31" s="1"/>
  <c r="J44" i="31"/>
  <c r="R44" i="31" s="1"/>
  <c r="T44" i="31" s="1"/>
  <c r="R19" i="30"/>
  <c r="T19" i="30" s="1"/>
  <c r="R21" i="30"/>
  <c r="T21" i="30" s="1"/>
  <c r="R34" i="30"/>
  <c r="T34" i="30" s="1"/>
  <c r="R37" i="30"/>
  <c r="T37" i="30" s="1"/>
  <c r="U37" i="30" s="1"/>
  <c r="R25" i="30"/>
  <c r="T25" i="30" s="1"/>
  <c r="U25" i="30" s="1"/>
  <c r="R23" i="30"/>
  <c r="T23" i="30" s="1"/>
  <c r="V23" i="30" s="1"/>
  <c r="R39" i="30"/>
  <c r="T39" i="30" s="1"/>
  <c r="V39" i="30" s="1"/>
  <c r="R43" i="30"/>
  <c r="T43" i="30" s="1"/>
  <c r="V43" i="30" s="1"/>
  <c r="R15" i="30"/>
  <c r="T15" i="30" s="1"/>
  <c r="U15" i="30" s="1"/>
  <c r="R30" i="30"/>
  <c r="T30" i="30" s="1"/>
  <c r="V30" i="30" s="1"/>
  <c r="R17" i="30"/>
  <c r="T17" i="30" s="1"/>
  <c r="V17" i="30" s="1"/>
  <c r="R32" i="30"/>
  <c r="T32" i="30" s="1"/>
  <c r="R14" i="30"/>
  <c r="T14" i="30" s="1"/>
  <c r="R18" i="30"/>
  <c r="T18" i="30" s="1"/>
  <c r="R24" i="30"/>
  <c r="T24" i="30" s="1"/>
  <c r="R36" i="30"/>
  <c r="T36" i="30" s="1"/>
  <c r="V36" i="30" s="1"/>
  <c r="R31" i="30"/>
  <c r="T31" i="30" s="1"/>
  <c r="U31" i="30" s="1"/>
  <c r="R22" i="30"/>
  <c r="T22" i="30" s="1"/>
  <c r="U22" i="30" s="1"/>
  <c r="R29" i="30"/>
  <c r="T29" i="30" s="1"/>
  <c r="R35" i="30"/>
  <c r="T35" i="30" s="1"/>
  <c r="R28" i="30"/>
  <c r="T28" i="30" s="1"/>
  <c r="V28" i="30" s="1"/>
  <c r="H31" i="29"/>
  <c r="K31" i="29" s="1"/>
  <c r="T31" i="29" s="1"/>
  <c r="V31" i="29" s="1"/>
  <c r="K30" i="29"/>
  <c r="T30" i="29" s="1"/>
  <c r="V30" i="29" s="1"/>
  <c r="U36" i="28"/>
  <c r="W36" i="28" s="1"/>
  <c r="U30" i="28"/>
  <c r="W30" i="28" s="1"/>
  <c r="U33" i="28"/>
  <c r="W33" i="28" s="1"/>
  <c r="Y33" i="28" s="1"/>
  <c r="U35" i="28"/>
  <c r="W35" i="28" s="1"/>
  <c r="U37" i="28"/>
  <c r="W37" i="28" s="1"/>
  <c r="U14" i="28"/>
  <c r="W14" i="28" s="1"/>
  <c r="U23" i="28"/>
  <c r="W23" i="28" s="1"/>
  <c r="Y23" i="28" s="1"/>
  <c r="U39" i="28"/>
  <c r="W39" i="28" s="1"/>
  <c r="U38" i="28"/>
  <c r="W38" i="28" s="1"/>
  <c r="X38" i="28" s="1"/>
  <c r="U16" i="28"/>
  <c r="W16" i="28" s="1"/>
  <c r="U25" i="28"/>
  <c r="W25" i="28" s="1"/>
  <c r="Y25" i="28" s="1"/>
  <c r="U34" i="28"/>
  <c r="W34" i="28" s="1"/>
  <c r="U28" i="28"/>
  <c r="W28" i="28" s="1"/>
  <c r="U21" i="28"/>
  <c r="W21" i="28" s="1"/>
  <c r="Y21" i="28" s="1"/>
  <c r="U18" i="28"/>
  <c r="W18" i="28" s="1"/>
  <c r="U31" i="28"/>
  <c r="W31" i="28" s="1"/>
  <c r="X31" i="28" s="1"/>
  <c r="U32" i="28"/>
  <c r="W32" i="28" s="1"/>
  <c r="U24" i="28"/>
  <c r="W24" i="28" s="1"/>
  <c r="U17" i="28"/>
  <c r="W17" i="28" s="1"/>
  <c r="X17" i="28" s="1"/>
  <c r="U19" i="28"/>
  <c r="W19" i="28" s="1"/>
  <c r="X14" i="26"/>
  <c r="Y14" i="26"/>
  <c r="Z14" i="26" s="1"/>
  <c r="R16" i="30"/>
  <c r="T16" i="30" s="1"/>
  <c r="X38" i="24"/>
  <c r="W38" i="24"/>
  <c r="X16" i="24"/>
  <c r="Y37" i="26"/>
  <c r="X37" i="26"/>
  <c r="Y24" i="26"/>
  <c r="X24" i="26"/>
  <c r="H39" i="29"/>
  <c r="K39" i="29" s="1"/>
  <c r="T39" i="29" s="1"/>
  <c r="V39" i="29" s="1"/>
  <c r="W35" i="24"/>
  <c r="X35" i="24"/>
  <c r="X31" i="26"/>
  <c r="Y31" i="26"/>
  <c r="R42" i="30"/>
  <c r="T42" i="30" s="1"/>
  <c r="U42" i="30" s="1"/>
  <c r="Y33" i="26"/>
  <c r="X33" i="26"/>
  <c r="W29" i="24"/>
  <c r="X29" i="24"/>
  <c r="W42" i="24"/>
  <c r="X42" i="24"/>
  <c r="X33" i="24"/>
  <c r="W33" i="24"/>
  <c r="U29" i="28"/>
  <c r="W29" i="28" s="1"/>
  <c r="Y29" i="28" s="1"/>
  <c r="Y30" i="26"/>
  <c r="X30" i="26"/>
  <c r="U43" i="28"/>
  <c r="W43" i="28" s="1"/>
  <c r="X22" i="24"/>
  <c r="W22" i="24"/>
  <c r="X31" i="24"/>
  <c r="W31" i="24"/>
  <c r="Y18" i="26"/>
  <c r="X18" i="26"/>
  <c r="W42" i="28"/>
  <c r="X20" i="28" l="1"/>
  <c r="Y20" i="28"/>
  <c r="V33" i="30"/>
  <c r="X23" i="28"/>
  <c r="V31" i="30"/>
  <c r="X15" i="28"/>
  <c r="U36" i="30"/>
  <c r="U38" i="30"/>
  <c r="U30" i="30"/>
  <c r="Y22" i="28"/>
  <c r="V19" i="30"/>
  <c r="U19" i="30"/>
  <c r="U23" i="30"/>
  <c r="U39" i="30"/>
  <c r="U20" i="30"/>
  <c r="U32" i="30"/>
  <c r="V32" i="30"/>
  <c r="U24" i="30"/>
  <c r="V24" i="30"/>
  <c r="V15" i="30"/>
  <c r="V25" i="30"/>
  <c r="U28" i="30"/>
  <c r="U17" i="30"/>
  <c r="U29" i="30"/>
  <c r="V29" i="30"/>
  <c r="V14" i="30"/>
  <c r="U14" i="30"/>
  <c r="U43" i="30"/>
  <c r="V42" i="30"/>
  <c r="V22" i="30"/>
  <c r="V37" i="30"/>
  <c r="Y14" i="28"/>
  <c r="X14" i="28"/>
  <c r="Y17" i="28"/>
  <c r="Y38" i="28"/>
  <c r="X25" i="28"/>
  <c r="X29" i="28"/>
  <c r="X24" i="28"/>
  <c r="Y24" i="28"/>
  <c r="X33" i="28"/>
  <c r="V16" i="30"/>
  <c r="U16" i="30"/>
  <c r="Y30" i="28"/>
  <c r="X30" i="28"/>
  <c r="Y31" i="28"/>
  <c r="X21" i="28"/>
  <c r="X37" i="28"/>
  <c r="Y37" i="28"/>
  <c r="X28" i="28"/>
  <c r="Y28" i="28"/>
  <c r="U18" i="30"/>
  <c r="V18" i="30"/>
  <c r="V35" i="30"/>
  <c r="U35" i="30"/>
  <c r="V21" i="30"/>
  <c r="U21" i="30"/>
  <c r="U34" i="30"/>
  <c r="V34" i="30"/>
  <c r="X35" i="28"/>
  <c r="Y35" i="28"/>
  <c r="X16" i="28"/>
  <c r="Y16" i="28"/>
  <c r="X18" i="28"/>
  <c r="Y18" i="28"/>
  <c r="Y34" i="28"/>
  <c r="X34" i="28"/>
  <c r="X36" i="28"/>
  <c r="Y36" i="28"/>
  <c r="X39" i="28"/>
  <c r="Y39" i="28"/>
  <c r="X43" i="28"/>
  <c r="Y43" i="28"/>
  <c r="X19" i="28"/>
  <c r="Y19" i="28"/>
  <c r="X32" i="28"/>
  <c r="Y32" i="28"/>
  <c r="X42" i="28"/>
  <c r="Y42" i="2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N9" authorId="0" shapeId="0" xr:uid="{00000000-0006-0000-1900-000001000000}">
      <text>
        <r>
          <rPr>
            <b/>
            <sz val="9"/>
            <color indexed="81"/>
            <rFont val="Tahoma"/>
            <family val="2"/>
          </rPr>
          <t>Nicholas Ropi:</t>
        </r>
        <r>
          <rPr>
            <sz val="9"/>
            <color indexed="81"/>
            <rFont val="Tahoma"/>
            <family val="2"/>
          </rPr>
          <t xml:space="preserve">
amnts owing to RBZ +cleaaring balances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M9" authorId="0" shapeId="0" xr:uid="{00000000-0006-0000-1B00-000001000000}">
      <text>
        <r>
          <rPr>
            <b/>
            <sz val="9"/>
            <color indexed="81"/>
            <rFont val="Tahoma"/>
            <family val="2"/>
          </rPr>
          <t>Nicholas Ropi:</t>
        </r>
        <r>
          <rPr>
            <sz val="9"/>
            <color indexed="81"/>
            <rFont val="Tahoma"/>
            <family val="2"/>
          </rPr>
          <t xml:space="preserve">
amnts owing to RBZ +cleaaring balances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N9" authorId="0" shapeId="0" xr:uid="{00000000-0006-0000-1D00-000001000000}">
      <text>
        <r>
          <rPr>
            <b/>
            <sz val="9"/>
            <color indexed="81"/>
            <rFont val="Tahoma"/>
            <family val="2"/>
          </rPr>
          <t>Nicholas Ropi:</t>
        </r>
        <r>
          <rPr>
            <sz val="9"/>
            <color indexed="81"/>
            <rFont val="Tahoma"/>
            <family val="2"/>
          </rPr>
          <t xml:space="preserve">
amnts owing to RBZ +cleaaring balances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M9" authorId="0" shapeId="0" xr:uid="{00000000-0006-0000-1F00-000001000000}">
      <text>
        <r>
          <rPr>
            <b/>
            <sz val="9"/>
            <color indexed="81"/>
            <rFont val="Tahoma"/>
            <family val="2"/>
          </rPr>
          <t>Nicholas Ropi:</t>
        </r>
        <r>
          <rPr>
            <sz val="9"/>
            <color indexed="81"/>
            <rFont val="Tahoma"/>
            <family val="2"/>
          </rPr>
          <t xml:space="preserve">
amnts owing to RBZ +cleaaring balances
</t>
        </r>
      </text>
    </comment>
  </commentList>
</comments>
</file>

<file path=xl/sharedStrings.xml><?xml version="1.0" encoding="utf-8"?>
<sst xmlns="http://schemas.openxmlformats.org/spreadsheetml/2006/main" count="8777" uniqueCount="1803">
  <si>
    <t xml:space="preserve">                   US$ Millions</t>
  </si>
  <si>
    <t xml:space="preserve">      US$ Thousands</t>
  </si>
  <si>
    <t xml:space="preserve">US$ </t>
  </si>
  <si>
    <t>65.00-95.00</t>
  </si>
  <si>
    <t>110.00-140.00</t>
  </si>
  <si>
    <t>70.00-170.00</t>
  </si>
  <si>
    <t>60.00-110.00</t>
  </si>
  <si>
    <t>65.00-125.00</t>
  </si>
  <si>
    <t>January</t>
  </si>
  <si>
    <t>February</t>
  </si>
  <si>
    <t>March</t>
  </si>
  <si>
    <t>April</t>
  </si>
  <si>
    <t>August</t>
  </si>
  <si>
    <t>September</t>
  </si>
  <si>
    <t>October</t>
  </si>
  <si>
    <t>November</t>
  </si>
  <si>
    <t>December</t>
  </si>
  <si>
    <t xml:space="preserve">     TABLE 6 : MAJOR CURRENCIES EXCHANGE RATES \1</t>
  </si>
  <si>
    <t>US.DOLLAR</t>
  </si>
  <si>
    <t>P.STERLING</t>
  </si>
  <si>
    <t>RAND</t>
  </si>
  <si>
    <t>D.MARK</t>
  </si>
  <si>
    <t>YEN</t>
  </si>
  <si>
    <t>S.FRANC</t>
  </si>
  <si>
    <t>F.FRANC</t>
  </si>
  <si>
    <t>LIRE</t>
  </si>
  <si>
    <t>PULA</t>
  </si>
  <si>
    <t>MARKET</t>
  </si>
  <si>
    <t>JULY /2</t>
  </si>
  <si>
    <t>Week Ending :</t>
  </si>
  <si>
    <t>1. Zimbabwe dollars per unit of foreign currency.</t>
  </si>
  <si>
    <t>Other</t>
  </si>
  <si>
    <t>End of</t>
  </si>
  <si>
    <t>50.00-350.00</t>
  </si>
  <si>
    <t>Net</t>
  </si>
  <si>
    <t>Foreign</t>
  </si>
  <si>
    <t>Stock</t>
  </si>
  <si>
    <t>Total</t>
  </si>
  <si>
    <t>Deposits</t>
  </si>
  <si>
    <t>Capital</t>
  </si>
  <si>
    <t>2001</t>
  </si>
  <si>
    <t>TABLE 7.1: RESERVE BANK -LIABILITIES</t>
  </si>
  <si>
    <t>Liabilities to the public</t>
  </si>
  <si>
    <t>Notes and</t>
  </si>
  <si>
    <t>coin in</t>
  </si>
  <si>
    <t>and</t>
  </si>
  <si>
    <t>circulation</t>
  </si>
  <si>
    <t>general</t>
  </si>
  <si>
    <t xml:space="preserve">Bankers/1 </t>
  </si>
  <si>
    <t>Central</t>
  </si>
  <si>
    <t>Other/2</t>
  </si>
  <si>
    <t>loans</t>
  </si>
  <si>
    <t>reserve</t>
  </si>
  <si>
    <t>Govt.</t>
  </si>
  <si>
    <t>1. Commercial banks and accepting houses.</t>
  </si>
  <si>
    <t>2. Mainly finance houses and statutory bodies.</t>
  </si>
  <si>
    <t>TABLE 7.2: RESERVE BANK - ASSETS</t>
  </si>
  <si>
    <t xml:space="preserve"> Foreign Assets</t>
  </si>
  <si>
    <t xml:space="preserve">      Bills Discounted</t>
  </si>
  <si>
    <t>Loans and</t>
  </si>
  <si>
    <t>advances</t>
  </si>
  <si>
    <t xml:space="preserve">              Investments</t>
  </si>
  <si>
    <t>Gold</t>
  </si>
  <si>
    <t xml:space="preserve">Treasury </t>
  </si>
  <si>
    <t>Government</t>
  </si>
  <si>
    <t>Discount</t>
  </si>
  <si>
    <t>Building</t>
  </si>
  <si>
    <t>Banks</t>
  </si>
  <si>
    <t>Houses</t>
  </si>
  <si>
    <t>Societies</t>
  </si>
  <si>
    <t>Bank</t>
  </si>
  <si>
    <t>100.00-300.00</t>
  </si>
  <si>
    <t>12.00-60.00</t>
  </si>
  <si>
    <t>14.00-35.00</t>
  </si>
  <si>
    <t>Liabilities</t>
  </si>
  <si>
    <t>90.00-95.00</t>
  </si>
  <si>
    <t>90.00-150.00</t>
  </si>
  <si>
    <t>65.00-100.00</t>
  </si>
  <si>
    <t>30.00-70.00</t>
  </si>
  <si>
    <t>70.00</t>
  </si>
  <si>
    <t>to the</t>
  </si>
  <si>
    <t>8.00-35.00</t>
  </si>
  <si>
    <t>30.00-320.00</t>
  </si>
  <si>
    <t>4.00-230.00</t>
  </si>
  <si>
    <t>12.00-240.00</t>
  </si>
  <si>
    <t>14.00-210.00</t>
  </si>
  <si>
    <t>7.00-13.00</t>
  </si>
  <si>
    <t>19.25-20.00</t>
  </si>
  <si>
    <t>Commercial Banks</t>
  </si>
  <si>
    <t>Liquid</t>
  </si>
  <si>
    <t>8.00-325.00</t>
  </si>
  <si>
    <t>32.00-325.00</t>
  </si>
  <si>
    <t>55.00-60.00</t>
  </si>
  <si>
    <t>40.00-300.00</t>
  </si>
  <si>
    <t>N/Q</t>
  </si>
  <si>
    <t>100.00-260.00</t>
  </si>
  <si>
    <t>Accepting Houses</t>
  </si>
  <si>
    <t>Finance Houses</t>
  </si>
  <si>
    <t>Building Societies</t>
  </si>
  <si>
    <t>asset</t>
  </si>
  <si>
    <t>public</t>
  </si>
  <si>
    <t>ratio</t>
  </si>
  <si>
    <t>23</t>
  </si>
  <si>
    <t>56</t>
  </si>
  <si>
    <t>12</t>
  </si>
  <si>
    <t>50</t>
  </si>
  <si>
    <t>20</t>
  </si>
  <si>
    <t>73</t>
  </si>
  <si>
    <t>17</t>
  </si>
  <si>
    <t>51</t>
  </si>
  <si>
    <t>18</t>
  </si>
  <si>
    <t>82</t>
  </si>
  <si>
    <t>25</t>
  </si>
  <si>
    <t>100</t>
  </si>
  <si>
    <t>10.00-100.00</t>
  </si>
  <si>
    <t>150.00-600.00</t>
  </si>
  <si>
    <t>13</t>
  </si>
  <si>
    <t>53</t>
  </si>
  <si>
    <t>24</t>
  </si>
  <si>
    <t>2.00-13.00</t>
  </si>
  <si>
    <t>14.00-14.50</t>
  </si>
  <si>
    <t>19.25-50.00</t>
  </si>
  <si>
    <t>55</t>
  </si>
  <si>
    <t>28</t>
  </si>
  <si>
    <t>15</t>
  </si>
  <si>
    <t>34</t>
  </si>
  <si>
    <t>14</t>
  </si>
  <si>
    <t>57</t>
  </si>
  <si>
    <t>27</t>
  </si>
  <si>
    <t>37</t>
  </si>
  <si>
    <t>59</t>
  </si>
  <si>
    <t>32</t>
  </si>
  <si>
    <t>60</t>
  </si>
  <si>
    <t>36</t>
  </si>
  <si>
    <t>16</t>
  </si>
  <si>
    <t>61</t>
  </si>
  <si>
    <t>30</t>
  </si>
  <si>
    <t>115</t>
  </si>
  <si>
    <t>31</t>
  </si>
  <si>
    <t>116</t>
  </si>
  <si>
    <t>62</t>
  </si>
  <si>
    <t>235</t>
  </si>
  <si>
    <t>63</t>
  </si>
  <si>
    <t>180.00-260.00</t>
  </si>
  <si>
    <t>149</t>
  </si>
  <si>
    <t>66</t>
  </si>
  <si>
    <t>35</t>
  </si>
  <si>
    <t>113</t>
  </si>
  <si>
    <t>69</t>
  </si>
  <si>
    <t>33</t>
  </si>
  <si>
    <t>163</t>
  </si>
  <si>
    <t>71</t>
  </si>
  <si>
    <t>94</t>
  </si>
  <si>
    <t>22</t>
  </si>
  <si>
    <t>75</t>
  </si>
  <si>
    <t>84</t>
  </si>
  <si>
    <t>77</t>
  </si>
  <si>
    <t>70</t>
  </si>
  <si>
    <t>98</t>
  </si>
  <si>
    <t>38</t>
  </si>
  <si>
    <t>85</t>
  </si>
  <si>
    <t>50.00-105.00</t>
  </si>
  <si>
    <t>90.00-120.00</t>
  </si>
  <si>
    <t>85.00-110.00</t>
  </si>
  <si>
    <t>80.00-101.00</t>
  </si>
  <si>
    <t>100.00-150.00</t>
  </si>
  <si>
    <t>90.00-110.00</t>
  </si>
  <si>
    <t>80.00-100.00</t>
  </si>
  <si>
    <t>70.00-105.00</t>
  </si>
  <si>
    <t>105.00-280.00</t>
  </si>
  <si>
    <t>100.00-250.00</t>
  </si>
  <si>
    <t>65.00-160.00</t>
  </si>
  <si>
    <t>160.00-200.00</t>
  </si>
  <si>
    <t>60.00-200.00</t>
  </si>
  <si>
    <t>53.00-200.00</t>
  </si>
  <si>
    <t>150.00-200.00</t>
  </si>
  <si>
    <t>52.00-200.00</t>
  </si>
  <si>
    <t>100.00-200.00</t>
  </si>
  <si>
    <t>50.00-250.00</t>
  </si>
  <si>
    <t>50.00-200.00</t>
  </si>
  <si>
    <t>60.00-220.00</t>
  </si>
  <si>
    <t>40.00-200.00</t>
  </si>
  <si>
    <t>80.00-250.00</t>
  </si>
  <si>
    <t>200.00-300.00</t>
  </si>
  <si>
    <t>112</t>
  </si>
  <si>
    <t>Expenditure</t>
  </si>
  <si>
    <t>1.00-30.00</t>
  </si>
  <si>
    <t>2.00-30.00</t>
  </si>
  <si>
    <t xml:space="preserve">  Financed  by</t>
  </si>
  <si>
    <t>Revenue</t>
  </si>
  <si>
    <t>including</t>
  </si>
  <si>
    <t>net</t>
  </si>
  <si>
    <t>Grants</t>
  </si>
  <si>
    <t>lending</t>
  </si>
  <si>
    <t>Deficit(-)/</t>
  </si>
  <si>
    <t>borrowing</t>
  </si>
  <si>
    <t>Financing</t>
  </si>
  <si>
    <t>1997.1</t>
  </si>
  <si>
    <t>2627.2</t>
  </si>
  <si>
    <t>2212.3</t>
  </si>
  <si>
    <t>2923.0</t>
  </si>
  <si>
    <t>2616.2</t>
  </si>
  <si>
    <t>3307.8</t>
  </si>
  <si>
    <t>3056.9</t>
  </si>
  <si>
    <t>4053.2</t>
  </si>
  <si>
    <t>3784.9</t>
  </si>
  <si>
    <t>4680.7</t>
  </si>
  <si>
    <t>6758.8</t>
  </si>
  <si>
    <t>8355.5</t>
  </si>
  <si>
    <t>10763.9</t>
  </si>
  <si>
    <t>13408.4</t>
  </si>
  <si>
    <t>13676.0</t>
  </si>
  <si>
    <t>15810.8</t>
  </si>
  <si>
    <t>1998/2</t>
  </si>
  <si>
    <t>1999/3</t>
  </si>
  <si>
    <t>Notes :</t>
  </si>
  <si>
    <t xml:space="preserve">1.    From 1980 to 1997 the fiscal year was from July to June the following year.   </t>
  </si>
  <si>
    <t>8.00-240.00</t>
  </si>
  <si>
    <t xml:space="preserve">2.    For the 18 month period from July 1997 to December 1998.   </t>
  </si>
  <si>
    <t xml:space="preserve">3.    For the fiscal year January 1999 to December 1999.   </t>
  </si>
  <si>
    <t>Period</t>
  </si>
  <si>
    <t>12.00</t>
  </si>
  <si>
    <t>60.00-100.00</t>
  </si>
  <si>
    <t>10.00-25.00</t>
  </si>
  <si>
    <t>7.50-81.25</t>
  </si>
  <si>
    <t>12.00-50.00</t>
  </si>
  <si>
    <t>14.00-40.00</t>
  </si>
  <si>
    <t>10.00-35.00</t>
  </si>
  <si>
    <t>20.00-450.00</t>
  </si>
  <si>
    <t>4.00-300.00</t>
  </si>
  <si>
    <t>9.00-250.00</t>
  </si>
  <si>
    <t>12.00-300.00</t>
  </si>
  <si>
    <t>2.00-50.00</t>
  </si>
  <si>
    <t>14.00-300.00</t>
  </si>
  <si>
    <t>10.00-85.00</t>
  </si>
  <si>
    <t>20.00-150.00</t>
  </si>
  <si>
    <t>10.00-150.00</t>
  </si>
  <si>
    <t>50.00-115.00</t>
  </si>
  <si>
    <t>115.00-300.00</t>
  </si>
  <si>
    <t>50.00-270.00</t>
  </si>
  <si>
    <t>3.00-35.00</t>
  </si>
  <si>
    <t>19.00-175.00</t>
  </si>
  <si>
    <t>95.00-300.00</t>
  </si>
  <si>
    <t>50.00-600.00</t>
  </si>
  <si>
    <t>70.00-180.00</t>
  </si>
  <si>
    <t>70.00-195.00</t>
  </si>
  <si>
    <t>70.00-200.00</t>
  </si>
  <si>
    <t>80.00-180.00</t>
  </si>
  <si>
    <t>100.00-180.00</t>
  </si>
  <si>
    <t>115.00-200.00</t>
  </si>
  <si>
    <t>`</t>
  </si>
  <si>
    <t xml:space="preserve">TABLE 1.1 : MONEY SUPPLY (M1)  </t>
  </si>
  <si>
    <t xml:space="preserve">TABLE 1.2 : MONEY SUPPLY (M2)  /1  </t>
  </si>
  <si>
    <t xml:space="preserve">TABLE 1.3 : BROAD MONEY SUPPLY (M3)  /1 </t>
  </si>
  <si>
    <t>7.00-18.00</t>
  </si>
  <si>
    <t>55.00-150.00</t>
  </si>
  <si>
    <t>80.00-170.00</t>
  </si>
  <si>
    <t>80.00-95.00</t>
  </si>
  <si>
    <t>NOTES</t>
  </si>
  <si>
    <t xml:space="preserve">         DEMAND DEPOSITS  /2</t>
  </si>
  <si>
    <t xml:space="preserve">                                     UNDER 30 DAY TIME DEPOSITS</t>
  </si>
  <si>
    <t xml:space="preserve">                                                     OVER 30 DAY TIME DEPOSITS</t>
  </si>
  <si>
    <t xml:space="preserve">AND </t>
  </si>
  <si>
    <t>END OF</t>
  </si>
  <si>
    <t xml:space="preserve">COIN </t>
  </si>
  <si>
    <t>IN</t>
  </si>
  <si>
    <t>RESERVE</t>
  </si>
  <si>
    <t>DISCOUNT</t>
  </si>
  <si>
    <t xml:space="preserve">  COMMERCIAL BANKS</t>
  </si>
  <si>
    <t xml:space="preserve">  MERCHANT BANKS</t>
  </si>
  <si>
    <t xml:space="preserve">COMMERCIAL </t>
  </si>
  <si>
    <t xml:space="preserve">BUILDING </t>
  </si>
  <si>
    <t xml:space="preserve">P.O.S.B </t>
  </si>
  <si>
    <t xml:space="preserve"> COMMERCIAL BANKS</t>
  </si>
  <si>
    <t xml:space="preserve">    MERCHANT BANKS</t>
  </si>
  <si>
    <t>FINANCE</t>
  </si>
  <si>
    <t>BUILDING</t>
  </si>
  <si>
    <t xml:space="preserve"> MERCHANT BANKS</t>
  </si>
  <si>
    <t xml:space="preserve">                                      BUILDING   SOCIETIES</t>
  </si>
  <si>
    <t>M3   /2</t>
  </si>
  <si>
    <t>CIRCU-</t>
  </si>
  <si>
    <t>BANK</t>
  </si>
  <si>
    <t>HOUSES</t>
  </si>
  <si>
    <t xml:space="preserve">BANKS </t>
  </si>
  <si>
    <t>SOCIETIES</t>
  </si>
  <si>
    <t>/3</t>
  </si>
  <si>
    <t>LATION  /1</t>
  </si>
  <si>
    <t>TOTAL</t>
  </si>
  <si>
    <t>FIXED</t>
  </si>
  <si>
    <t xml:space="preserve">  SHARE </t>
  </si>
  <si>
    <t>DEPOSITS</t>
  </si>
  <si>
    <t>DOMESTIC</t>
  </si>
  <si>
    <t>FCAs /3</t>
  </si>
  <si>
    <t>FCAs</t>
  </si>
  <si>
    <t>CLASS 'C'</t>
  </si>
  <si>
    <t>OTHER</t>
  </si>
  <si>
    <t xml:space="preserve"> </t>
  </si>
  <si>
    <t>1994</t>
  </si>
  <si>
    <t>JANUARY</t>
  </si>
  <si>
    <t>FEBRUARY</t>
  </si>
  <si>
    <t>MARCH</t>
  </si>
  <si>
    <t>APRIL</t>
  </si>
  <si>
    <t>MAY</t>
  </si>
  <si>
    <t>JUNE</t>
  </si>
  <si>
    <t>JULY</t>
  </si>
  <si>
    <t>AUGUST</t>
  </si>
  <si>
    <t>SEPTEMBER</t>
  </si>
  <si>
    <t>OCTOBER</t>
  </si>
  <si>
    <t>NOVEMBER</t>
  </si>
  <si>
    <t>8.00-55.00</t>
  </si>
  <si>
    <t>90.00-260.00</t>
  </si>
  <si>
    <t>DECEMBER</t>
  </si>
  <si>
    <t>1995</t>
  </si>
  <si>
    <t>1996</t>
  </si>
  <si>
    <t>1997</t>
  </si>
  <si>
    <t>1998</t>
  </si>
  <si>
    <t xml:space="preserve">1. Building Societies, Finance Houses and POSB  (OBIs)  currency  holdings now treated as currency with banks . </t>
  </si>
  <si>
    <t>TABLE 4.1 MONEY MARKET INTEREST RATES (percent per annum)</t>
  </si>
  <si>
    <t xml:space="preserve">    Previously , this was currency in circulation and  part of M1.</t>
  </si>
  <si>
    <t>2. OBIs  demand deposits with Discount Houses, Commercial and Merchant Banks (DMBs) now treated</t>
  </si>
  <si>
    <t xml:space="preserve">    as inter - bank  and,  hence netted out of M1 . </t>
  </si>
  <si>
    <t>3. Foreign Currency Accounts.</t>
  </si>
  <si>
    <t>4. M1 (Narrow Money) is defined as notes and coin in circulation plus demand deposits with the banking system.</t>
  </si>
  <si>
    <t>1. M2 is defined as M1 plus savings deposits plus under 30 day deposits  with the banking  system.</t>
  </si>
  <si>
    <t>2. M2 now redefined to include OBI deposits, in addition to DMB deposits.</t>
  </si>
  <si>
    <t xml:space="preserve">1. M3 is defined as M2 plus over 30 day time deposits with the banking sector.  </t>
  </si>
  <si>
    <t>2. M3 now redefined to include OBI deposits, in addition to DMB deposits.</t>
  </si>
  <si>
    <t xml:space="preserve">    Previously,  all OBI non - DMB deposit liabilities were added to M3 to give M4, which now falls away.  </t>
  </si>
  <si>
    <t xml:space="preserve">3. Currently there is no split between POSB under 30 day and over 30 day time deposits.  </t>
  </si>
  <si>
    <t xml:space="preserve">SAVINGS  DEPOSITS </t>
  </si>
  <si>
    <t xml:space="preserve"> M1 /4</t>
  </si>
  <si>
    <t>M2 /2</t>
  </si>
  <si>
    <t xml:space="preserve"> M1</t>
  </si>
  <si>
    <t>1999</t>
  </si>
  <si>
    <t>Feb</t>
  </si>
  <si>
    <t>Mar</t>
  </si>
  <si>
    <t>Apr</t>
  </si>
  <si>
    <t>May</t>
  </si>
  <si>
    <t>Jun</t>
  </si>
  <si>
    <t>Jul</t>
  </si>
  <si>
    <t>Aug</t>
  </si>
  <si>
    <t>Sep</t>
  </si>
  <si>
    <t>Oct</t>
  </si>
  <si>
    <t>Nov</t>
  </si>
  <si>
    <t>Dec</t>
  </si>
  <si>
    <t>Jan</t>
  </si>
  <si>
    <t>June</t>
  </si>
  <si>
    <t>July</t>
  </si>
  <si>
    <t>Sept</t>
  </si>
  <si>
    <t>4.00-100.00</t>
  </si>
  <si>
    <t>12.00-105.00</t>
  </si>
  <si>
    <t>14.00-90.00</t>
  </si>
  <si>
    <t>1.24-25.00</t>
  </si>
  <si>
    <t>0.05-20.00</t>
  </si>
  <si>
    <t>0.05-5.00</t>
  </si>
  <si>
    <t/>
  </si>
  <si>
    <t>90.00-140.00</t>
  </si>
  <si>
    <t>80.00-140.00</t>
  </si>
  <si>
    <t>110.00-180.00</t>
  </si>
  <si>
    <t>150.00-180.00</t>
  </si>
  <si>
    <t>55.00-135.00</t>
  </si>
  <si>
    <t>1.25-18.00</t>
  </si>
  <si>
    <t>3.25-10.00</t>
  </si>
  <si>
    <t>1.25-14.00</t>
  </si>
  <si>
    <t>1.00-10.25</t>
  </si>
  <si>
    <t>1.00-10.23</t>
  </si>
  <si>
    <t>1.23-14.00</t>
  </si>
  <si>
    <t>0.50-15.00</t>
  </si>
  <si>
    <t>3.50-14.00</t>
  </si>
  <si>
    <t>1.50-10.00</t>
  </si>
  <si>
    <t>1.50-14.00</t>
  </si>
  <si>
    <t>8.00-150.00</t>
  </si>
  <si>
    <t>55.00-160.00</t>
  </si>
  <si>
    <t>15.00-75.00</t>
  </si>
  <si>
    <t>$ Million</t>
  </si>
  <si>
    <t>5.00-55.01</t>
  </si>
  <si>
    <t>8.00-340.00</t>
  </si>
  <si>
    <t>32.00-170.00</t>
  </si>
  <si>
    <t>95.00-120.00</t>
  </si>
  <si>
    <t>8.00-330.00</t>
  </si>
  <si>
    <t>95.00-115.00</t>
  </si>
  <si>
    <t>35.00-40.00</t>
  </si>
  <si>
    <t>8.00-350.00</t>
  </si>
  <si>
    <t>32.00-250.00</t>
  </si>
  <si>
    <t>55.00-95.00</t>
  </si>
  <si>
    <t>80.00-90.00</t>
  </si>
  <si>
    <t>85.00-90.00</t>
  </si>
  <si>
    <t>85.00-100.00</t>
  </si>
  <si>
    <t>105.00-110.00</t>
  </si>
  <si>
    <t>COST</t>
  </si>
  <si>
    <t xml:space="preserve">OTHER </t>
  </si>
  <si>
    <t>100.00-110.00</t>
  </si>
  <si>
    <t>AGRICULTURE</t>
  </si>
  <si>
    <t>CONSTRUCTION</t>
  </si>
  <si>
    <t>120.00-320.00</t>
  </si>
  <si>
    <t>COMMUNICATION</t>
  </si>
  <si>
    <t>DISTRIBUTION</t>
  </si>
  <si>
    <t xml:space="preserve">M2 </t>
  </si>
  <si>
    <t>450.00-500.00</t>
  </si>
  <si>
    <t>300.00-500.00</t>
  </si>
  <si>
    <t>300.00-400.00</t>
  </si>
  <si>
    <t>FINANCIAL &amp;</t>
  </si>
  <si>
    <t>FINANCIAL</t>
  </si>
  <si>
    <t>MANUFACTURING</t>
  </si>
  <si>
    <t>MINING</t>
  </si>
  <si>
    <t>SERVICES</t>
  </si>
  <si>
    <t>TRANSPORT</t>
  </si>
  <si>
    <t>INDIVIDUALS</t>
  </si>
  <si>
    <t>INVESTMENTS</t>
  </si>
  <si>
    <t>ORGANISATIONS</t>
  </si>
  <si>
    <t xml:space="preserve">APRIL </t>
  </si>
  <si>
    <t xml:space="preserve">MAY </t>
  </si>
  <si>
    <t>RESERVE BANK</t>
  </si>
  <si>
    <t>90 DAYS</t>
  </si>
  <si>
    <t xml:space="preserve">                      NEGOTIABLE CERTIFICATES OF DEPOSIT \4</t>
  </si>
  <si>
    <t>CALL MONEY</t>
  </si>
  <si>
    <t>BANKERS</t>
  </si>
  <si>
    <t>\2</t>
  </si>
  <si>
    <t>ACCEPTANCE</t>
  </si>
  <si>
    <t>\3</t>
  </si>
  <si>
    <t>6 MONTHS</t>
  </si>
  <si>
    <t>12 MONTHS</t>
  </si>
  <si>
    <t>24 MONTHS</t>
  </si>
  <si>
    <t xml:space="preserve">DECEMBER </t>
  </si>
  <si>
    <t>35.00-87.00</t>
  </si>
  <si>
    <t>60.00-70.00</t>
  </si>
  <si>
    <t>8.00-500.00</t>
  </si>
  <si>
    <t>32.00-220.00</t>
  </si>
  <si>
    <t>95.00-180.00</t>
  </si>
  <si>
    <t>65.00-80.00</t>
  </si>
  <si>
    <t>68.00-80.00</t>
  </si>
  <si>
    <t>65.00-75.00</t>
  </si>
  <si>
    <t>50.00-70.00</t>
  </si>
  <si>
    <t>35.00-77.75</t>
  </si>
  <si>
    <t>CULTURE</t>
  </si>
  <si>
    <t>HOTELS</t>
  </si>
  <si>
    <t xml:space="preserve">ALCOHOLIC BEVERAGES </t>
  </si>
  <si>
    <t>&amp; TOBACCO</t>
  </si>
  <si>
    <t xml:space="preserve">FOOD &amp; </t>
  </si>
  <si>
    <t>200.00-600.01</t>
  </si>
  <si>
    <t>NON ALCOHOLIC BEVERAGES</t>
  </si>
  <si>
    <t>HEALTH</t>
  </si>
  <si>
    <t>RECREATION &amp;</t>
  </si>
  <si>
    <t>RESTAURANTS &amp;</t>
  </si>
  <si>
    <t>35.00-75.00</t>
  </si>
  <si>
    <t>50.00-69.00</t>
  </si>
  <si>
    <t>58.00-75.00</t>
  </si>
  <si>
    <t>70.00-75.00</t>
  </si>
  <si>
    <t>71.00-75.00</t>
  </si>
  <si>
    <t>50.00-70.50</t>
  </si>
  <si>
    <t>50.00</t>
  </si>
  <si>
    <t>35.00-80.00</t>
  </si>
  <si>
    <t>8.00-320.00</t>
  </si>
  <si>
    <t>32.00-175.00</t>
  </si>
  <si>
    <t>8.00-450.00</t>
  </si>
  <si>
    <t>95.00-100.00</t>
  </si>
  <si>
    <t>200.00-480.00</t>
  </si>
  <si>
    <t>400.00-500.00</t>
  </si>
  <si>
    <t>59.50-68.00</t>
  </si>
  <si>
    <t>68.00-72.00</t>
  </si>
  <si>
    <t>50.00-71.00</t>
  </si>
  <si>
    <t>20.00-78.00</t>
  </si>
  <si>
    <t>59.50-75.00</t>
  </si>
  <si>
    <t>63.00-75.00</t>
  </si>
  <si>
    <t>20.00-65.00</t>
  </si>
  <si>
    <t>59.00-64.00</t>
  </si>
  <si>
    <t>63.00-70.00</t>
  </si>
  <si>
    <t>67.00-72.00</t>
  </si>
  <si>
    <t>50.00-66.00</t>
  </si>
  <si>
    <t>35.00-65.00</t>
  </si>
  <si>
    <t>3.00-10.00</t>
  </si>
  <si>
    <t>3.50-8.00</t>
  </si>
  <si>
    <t>3.50-10.00</t>
  </si>
  <si>
    <t>59.00-65.00</t>
  </si>
  <si>
    <t>64.00-75.00</t>
  </si>
  <si>
    <t>68.00-77.00</t>
  </si>
  <si>
    <t>50.00-67.00</t>
  </si>
  <si>
    <t>40.00-75.00</t>
  </si>
  <si>
    <t>59.00-68.00</t>
  </si>
  <si>
    <t>49.00-60.00</t>
  </si>
  <si>
    <t>53.00-73.00</t>
  </si>
  <si>
    <t>52.00-64.00</t>
  </si>
  <si>
    <t>50.00-62.00</t>
  </si>
  <si>
    <t>50.00-55.00</t>
  </si>
  <si>
    <t>10.00-50.00</t>
  </si>
  <si>
    <t>49.00-56.00</t>
  </si>
  <si>
    <t>51.00-60.00</t>
  </si>
  <si>
    <t>49.00-68.00</t>
  </si>
  <si>
    <t>57.00-75.00</t>
  </si>
  <si>
    <t>20.00-58.00</t>
  </si>
  <si>
    <t>49.00-58.50</t>
  </si>
  <si>
    <t>52.00-68.50</t>
  </si>
  <si>
    <t>51.00-80.00</t>
  </si>
  <si>
    <t>25.00-60.00</t>
  </si>
  <si>
    <t>53.50-60.00</t>
  </si>
  <si>
    <t>54.00-69.00</t>
  </si>
  <si>
    <t>53.00-80.00</t>
  </si>
  <si>
    <t>55.00-75.00</t>
  </si>
  <si>
    <t>45.00-60.00</t>
  </si>
  <si>
    <t>30.00-57.00</t>
  </si>
  <si>
    <t>48.00-58.00</t>
  </si>
  <si>
    <t>52.00-65.00</t>
  </si>
  <si>
    <t>53.50-80.00</t>
  </si>
  <si>
    <t>50.00-75.00</t>
  </si>
  <si>
    <t>50.00-60.00</t>
  </si>
  <si>
    <t>5.00-53.06</t>
  </si>
  <si>
    <t>16.00-54.00</t>
  </si>
  <si>
    <t>17.00-57.00</t>
  </si>
  <si>
    <t>18.00-62.00</t>
  </si>
  <si>
    <t>35.00-70.00</t>
  </si>
  <si>
    <t>25.00-70.00</t>
  </si>
  <si>
    <t>4.00-20.00</t>
  </si>
  <si>
    <t>12.00-31.50</t>
  </si>
  <si>
    <t>13.00-34.00</t>
  </si>
  <si>
    <t>14.00-55.00</t>
  </si>
  <si>
    <t>15.00-70.00</t>
  </si>
  <si>
    <t>20.00-70.00</t>
  </si>
  <si>
    <t>4.50-10.00</t>
  </si>
  <si>
    <t>7.00-31.50</t>
  </si>
  <si>
    <t>7.00-34.00</t>
  </si>
  <si>
    <t>13.00-55.00</t>
  </si>
  <si>
    <t>4.00-15.00</t>
  </si>
  <si>
    <t>11.00-15.00</t>
  </si>
  <si>
    <t>11.75-15.00</t>
  </si>
  <si>
    <t>13.00-18.00</t>
  </si>
  <si>
    <t>14.00-21.00</t>
  </si>
  <si>
    <t>20.00-35.00</t>
  </si>
  <si>
    <t>10.50-18.00</t>
  </si>
  <si>
    <t>17.00-20.00</t>
  </si>
  <si>
    <t>20.00-21.00</t>
  </si>
  <si>
    <t>10.50-31.50</t>
  </si>
  <si>
    <t>13.00-20.00</t>
  </si>
  <si>
    <t>8.00-600.00</t>
  </si>
  <si>
    <t>150.00-400.00</t>
  </si>
  <si>
    <t>15.00-55.00</t>
  </si>
  <si>
    <t>16.00-70.00</t>
  </si>
  <si>
    <t>24.00-70.00</t>
  </si>
  <si>
    <t>4.00-25.00</t>
  </si>
  <si>
    <t>11.50-31.50</t>
  </si>
  <si>
    <t>12.00-30.00</t>
  </si>
  <si>
    <t>16.00-55.00</t>
  </si>
  <si>
    <t>23.00-70.00</t>
  </si>
  <si>
    <t>3.00-60.00</t>
  </si>
  <si>
    <t>8.00-100.00</t>
  </si>
  <si>
    <t>12.00-70.00</t>
  </si>
  <si>
    <t>11.00-31.50</t>
  </si>
  <si>
    <t>13.00-22.00</t>
  </si>
  <si>
    <t>15.00-65.00</t>
  </si>
  <si>
    <t>22.00-70.00</t>
  </si>
  <si>
    <t>5.00-30.00</t>
  </si>
  <si>
    <t>15.00-31.50</t>
  </si>
  <si>
    <t>15.00-26.00</t>
  </si>
  <si>
    <t>18.00-65.00</t>
  </si>
  <si>
    <t>5.00-57.00</t>
  </si>
  <si>
    <t>18.00-24.00</t>
  </si>
  <si>
    <t>8.00-62.00</t>
  </si>
  <si>
    <t>18.00-34.00</t>
  </si>
  <si>
    <t>21.00-65.00</t>
  </si>
  <si>
    <t>19.00-70.00</t>
  </si>
  <si>
    <t>12.00-59.70</t>
  </si>
  <si>
    <t>20.00-36.00</t>
  </si>
  <si>
    <t>5.00-40.00</t>
  </si>
  <si>
    <t>15.00-36.00</t>
  </si>
  <si>
    <t>24.00-35.00</t>
  </si>
  <si>
    <t>26.00-65.00</t>
  </si>
  <si>
    <t>24.00-65.00</t>
  </si>
  <si>
    <t>5.00-59.70</t>
  </si>
  <si>
    <t>15.00-38.00</t>
  </si>
  <si>
    <t>28.00-38.00</t>
  </si>
  <si>
    <t>32.00-43.00</t>
  </si>
  <si>
    <t>33.00-57.00</t>
  </si>
  <si>
    <t>45.00-70.00</t>
  </si>
  <si>
    <t>10.00-56.00</t>
  </si>
  <si>
    <t>15.00-35.75</t>
  </si>
  <si>
    <t>29.00-38.00</t>
  </si>
  <si>
    <t>33.00-45.00</t>
  </si>
  <si>
    <t>37.00-57.00</t>
  </si>
  <si>
    <t>45.00-58.00</t>
  </si>
  <si>
    <t>5.00-45.00</t>
  </si>
  <si>
    <t>32.00-45.00</t>
  </si>
  <si>
    <t>45.00-60.50</t>
  </si>
  <si>
    <t>15.00-40.00</t>
  </si>
  <si>
    <t>30.00-45.00</t>
  </si>
  <si>
    <t>35.00-45.00</t>
  </si>
  <si>
    <t>15.00-57.00</t>
  </si>
  <si>
    <t>15.00-38.95</t>
  </si>
  <si>
    <t>19.00-37.00</t>
  </si>
  <si>
    <t>22.00-45.00</t>
  </si>
  <si>
    <t>23.00-45.00</t>
  </si>
  <si>
    <t>34.00-60.00</t>
  </si>
  <si>
    <t>10.26-55.00</t>
  </si>
  <si>
    <t>13.00-38.95</t>
  </si>
  <si>
    <t>24.00-35.50</t>
  </si>
  <si>
    <t>25.00-40.00</t>
  </si>
  <si>
    <t>26.00-43.00</t>
  </si>
  <si>
    <t>27.00-60.00</t>
  </si>
  <si>
    <t>12.00-55.00</t>
  </si>
  <si>
    <t>13.00-37.00</t>
  </si>
  <si>
    <t>25.00-38.00</t>
  </si>
  <si>
    <t>33.00-60.00</t>
  </si>
  <si>
    <t>15.00-56.00</t>
  </si>
  <si>
    <t>25.00-36.00</t>
  </si>
  <si>
    <t>29.00-36.00</t>
  </si>
  <si>
    <t>32.00-50.00</t>
  </si>
  <si>
    <t>13.00-40.00</t>
  </si>
  <si>
    <t>25.00-42.00</t>
  </si>
  <si>
    <t>31.00-40.00</t>
  </si>
  <si>
    <t>33.00-50.00</t>
  </si>
  <si>
    <t>-</t>
  </si>
  <si>
    <t>15.00-50.00</t>
  </si>
  <si>
    <t>29.00-42.00</t>
  </si>
  <si>
    <t>32.00-40.00</t>
  </si>
  <si>
    <t>34.00-50.00</t>
  </si>
  <si>
    <t>13.00-47.00</t>
  </si>
  <si>
    <t>32.00-47.00</t>
  </si>
  <si>
    <t>33.00-47.00</t>
  </si>
  <si>
    <t>32.00-60.00</t>
  </si>
  <si>
    <t>20.00-60.00</t>
  </si>
  <si>
    <t>13.00-58.00</t>
  </si>
  <si>
    <t>32.00-58.00</t>
  </si>
  <si>
    <t>32.00-55.00</t>
  </si>
  <si>
    <t>30.00-60.00</t>
  </si>
  <si>
    <t>40.00-63.00</t>
  </si>
  <si>
    <t>32.00-95.00</t>
  </si>
  <si>
    <t>48.50-66.00</t>
  </si>
  <si>
    <t>45.00-80.00</t>
  </si>
  <si>
    <t>60.00-80.00</t>
  </si>
  <si>
    <t>40.00-90.00</t>
  </si>
  <si>
    <t>65.00-140.00</t>
  </si>
  <si>
    <t>30.00-90.00</t>
  </si>
  <si>
    <t>65.00-90.00</t>
  </si>
  <si>
    <t>70.00-140.00</t>
  </si>
  <si>
    <t>60.00-95.00</t>
  </si>
  <si>
    <t>14.00-50.00</t>
  </si>
  <si>
    <t>5.00-35.00</t>
  </si>
  <si>
    <t>50.00-95.00</t>
  </si>
  <si>
    <t>65.00-65.00</t>
  </si>
  <si>
    <t>60.00-65.00</t>
  </si>
  <si>
    <t>20.00-90.00</t>
  </si>
  <si>
    <t>48.50-75.00</t>
  </si>
  <si>
    <t>40.00-80.00</t>
  </si>
  <si>
    <t>60.00-149.00</t>
  </si>
  <si>
    <t>70.00-100.00</t>
  </si>
  <si>
    <t>72.00-120.00</t>
  </si>
  <si>
    <t>74.00-160.00</t>
  </si>
  <si>
    <t>40.00-100.00</t>
  </si>
  <si>
    <t>63.30-149.00</t>
  </si>
  <si>
    <t>75.00-110.00</t>
  </si>
  <si>
    <t>76.00-100.00</t>
  </si>
  <si>
    <t>77.00-120.00</t>
  </si>
  <si>
    <t>70.00-160.00</t>
  </si>
  <si>
    <t>100.00-105.00</t>
  </si>
  <si>
    <t>60.00-75.00</t>
  </si>
  <si>
    <t>75.00</t>
  </si>
  <si>
    <t>40.00-101.00</t>
  </si>
  <si>
    <t>38.00-105.00</t>
  </si>
  <si>
    <t>75.00-115.00</t>
  </si>
  <si>
    <t>70.00-130.00</t>
  </si>
  <si>
    <t>65.00-180.00</t>
  </si>
  <si>
    <t>65.00-120.00</t>
  </si>
  <si>
    <t>78.00-150.00</t>
  </si>
  <si>
    <t>95.00-160.00</t>
  </si>
  <si>
    <t>85.00-130.00</t>
  </si>
  <si>
    <t>80.00-150.00</t>
  </si>
  <si>
    <t>75.00-180.00</t>
  </si>
  <si>
    <t>65.00-150.00</t>
  </si>
  <si>
    <t>78.28-150.00</t>
  </si>
  <si>
    <t>100.00-160.00</t>
  </si>
  <si>
    <t>85.00-155.00</t>
  </si>
  <si>
    <t>85.00-170.00</t>
  </si>
  <si>
    <t>75.00-220.00</t>
  </si>
  <si>
    <t>90.00-165.00</t>
  </si>
  <si>
    <t>85.00-190.00</t>
  </si>
  <si>
    <t>80.00-220.00</t>
  </si>
  <si>
    <t>75.00-250.00</t>
  </si>
  <si>
    <t>1.28-18.75</t>
  </si>
  <si>
    <t>1.27-24.39</t>
  </si>
  <si>
    <t>100.00-600.00</t>
  </si>
  <si>
    <t>190.00-450.00</t>
  </si>
  <si>
    <t>180.00-600.00</t>
  </si>
  <si>
    <t>150.00-800.00</t>
  </si>
  <si>
    <t>'100.00-900.00</t>
  </si>
  <si>
    <t>85.00-900.00</t>
  </si>
  <si>
    <t>60.00-800.00</t>
  </si>
  <si>
    <t>60.00-900.00</t>
  </si>
  <si>
    <t>10.00-40.00</t>
  </si>
  <si>
    <t>8.00-155.00</t>
  </si>
  <si>
    <t>15.00-35.00</t>
  </si>
  <si>
    <t>120.00-130.00</t>
  </si>
  <si>
    <t xml:space="preserve">                   $ Millions</t>
  </si>
  <si>
    <t>1.   Range of average rates on allotted tenders for 91 days.</t>
  </si>
  <si>
    <t>2. The range of rates paid during the period.</t>
  </si>
  <si>
    <t>3. The range of buying discount rates.</t>
  </si>
  <si>
    <t>4. The buying yield on NCDs issued by different institutions varies</t>
  </si>
  <si>
    <t xml:space="preserve">    and thus the rates represent the spread applicable to the relevant maturities.</t>
  </si>
  <si>
    <t>COMMERCIAL</t>
  </si>
  <si>
    <t>ACCEPTING</t>
  </si>
  <si>
    <t xml:space="preserve">                     BUILDING SOCIETIES</t>
  </si>
  <si>
    <t>BANKS</t>
  </si>
  <si>
    <t xml:space="preserve">     RESIDENTIAL PROPERTY</t>
  </si>
  <si>
    <t>INDUSTRIAL</t>
  </si>
  <si>
    <t>HIRE</t>
  </si>
  <si>
    <t xml:space="preserve">                      MORTGAGE ADVANCES \1</t>
  </si>
  <si>
    <t>PROPERTY</t>
  </si>
  <si>
    <t>LENDING</t>
  </si>
  <si>
    <t>PURCHASE</t>
  </si>
  <si>
    <t>MORTGAGE</t>
  </si>
  <si>
    <t>RATE</t>
  </si>
  <si>
    <t>ADVANCES</t>
  </si>
  <si>
    <t>LOW</t>
  </si>
  <si>
    <t>2000</t>
  </si>
  <si>
    <t>75.00-85.00</t>
  </si>
  <si>
    <t>65.00-85.00</t>
  </si>
  <si>
    <t>100.00-335.00</t>
  </si>
  <si>
    <t>100.00-330.00</t>
  </si>
  <si>
    <t>1.00-12.00</t>
  </si>
  <si>
    <t>1.42-12.00</t>
  </si>
  <si>
    <t>1.32-18.75</t>
  </si>
  <si>
    <t>1.76-18.75</t>
  </si>
  <si>
    <t>5.00-8.00</t>
  </si>
  <si>
    <t>5.00-10.00</t>
  </si>
  <si>
    <t>5.00-8.10</t>
  </si>
  <si>
    <t>0.05-2.00</t>
  </si>
  <si>
    <t>0.42-10.00</t>
  </si>
  <si>
    <t>0.00-0.00</t>
  </si>
  <si>
    <t>0.42-15.00</t>
  </si>
  <si>
    <t>0.25-4.00</t>
  </si>
  <si>
    <t>1.50-15.00</t>
  </si>
  <si>
    <t>4.00-4.00</t>
  </si>
  <si>
    <t>1.00-15.00</t>
  </si>
  <si>
    <t>150.00-450.00</t>
  </si>
  <si>
    <t>0.00-65.00</t>
  </si>
  <si>
    <t>0.00-320.00</t>
  </si>
  <si>
    <t>0.00-60.00</t>
  </si>
  <si>
    <t>3.00-50.00</t>
  </si>
  <si>
    <t>4.00-120.00</t>
  </si>
  <si>
    <t>1.    Including grants.</t>
  </si>
  <si>
    <t>3.    Non-bank financing includes proceeds from sale of assets.</t>
  </si>
  <si>
    <t>Surplus(+)/1</t>
  </si>
  <si>
    <t>Non-bank/3</t>
  </si>
  <si>
    <t>45.00-90.00</t>
  </si>
  <si>
    <t>80.00-120.00</t>
  </si>
  <si>
    <t>FOOD</t>
  </si>
  <si>
    <t>CLOTHING</t>
  </si>
  <si>
    <t>FURNITURE</t>
  </si>
  <si>
    <t>EDUCATION</t>
  </si>
  <si>
    <t>MISC.</t>
  </si>
  <si>
    <t>ALL</t>
  </si>
  <si>
    <t>FOOTWEAR</t>
  </si>
  <si>
    <t>RATES</t>
  </si>
  <si>
    <t>HOUSEHOLD</t>
  </si>
  <si>
    <t>GOODS &amp;</t>
  </si>
  <si>
    <t>ITEMS</t>
  </si>
  <si>
    <t>STORES</t>
  </si>
  <si>
    <t>WEIGHTS</t>
  </si>
  <si>
    <t>8.00-105.00</t>
  </si>
  <si>
    <t>8.00-85.00</t>
  </si>
  <si>
    <t>14.00-70.00</t>
  </si>
  <si>
    <t>2002</t>
  </si>
  <si>
    <t>6.00-255.00</t>
  </si>
  <si>
    <t>POUND</t>
  </si>
  <si>
    <t>SA</t>
  </si>
  <si>
    <t>JAPANESE</t>
  </si>
  <si>
    <t>EUROPEAN</t>
  </si>
  <si>
    <t>BW</t>
  </si>
  <si>
    <t xml:space="preserve">MONTH </t>
  </si>
  <si>
    <t>&amp;</t>
  </si>
  <si>
    <t>5.00-55.00</t>
  </si>
  <si>
    <t xml:space="preserve">FINANCIAL </t>
  </si>
  <si>
    <t>INVESTMENT</t>
  </si>
  <si>
    <t>%</t>
  </si>
  <si>
    <t>TABLE 2.3 :SECTORAL ANALYSIS OF MERCHANT BANKS  ACCEPTANCES</t>
  </si>
  <si>
    <t>COMMUNICATIONS</t>
  </si>
  <si>
    <t>20.00-50.00</t>
  </si>
  <si>
    <t>10.00-45.00</t>
  </si>
  <si>
    <t>20.00-45.00</t>
  </si>
  <si>
    <t>150.00-340.00</t>
  </si>
  <si>
    <t>200.00-600.00</t>
  </si>
  <si>
    <t>250.00-300.00</t>
  </si>
  <si>
    <t>5.00-100.00</t>
  </si>
  <si>
    <t>40.00-220.00</t>
  </si>
  <si>
    <t>8.00-400.00</t>
  </si>
  <si>
    <t>20.00-55.00</t>
  </si>
  <si>
    <t>20.00-40.00</t>
  </si>
  <si>
    <t>5.00-15.00</t>
  </si>
  <si>
    <t>15.00-30.00</t>
  </si>
  <si>
    <t>SAVINGS</t>
  </si>
  <si>
    <t>3 MONTHS</t>
  </si>
  <si>
    <t>5.00-44.00</t>
  </si>
  <si>
    <t>31.00-65.00</t>
  </si>
  <si>
    <t>27.00-55.00</t>
  </si>
  <si>
    <t>29.50-47.00</t>
  </si>
  <si>
    <t>54.00-70.00</t>
  </si>
  <si>
    <t>34.00-47.00</t>
  </si>
  <si>
    <t>30.00-40.00</t>
  </si>
  <si>
    <t>60.00-69.00</t>
  </si>
  <si>
    <t>30.00-39.75</t>
  </si>
  <si>
    <t>31.00-69.00</t>
  </si>
  <si>
    <t>27.00-70.00</t>
  </si>
  <si>
    <t>29.50-50.00</t>
  </si>
  <si>
    <t>64.00-77.00</t>
  </si>
  <si>
    <t>34.00-68.50</t>
  </si>
  <si>
    <t>30.00-300.00</t>
  </si>
  <si>
    <t>36.00-69.50</t>
  </si>
  <si>
    <t>29.00-70.00</t>
  </si>
  <si>
    <t>58.00-73.25</t>
  </si>
  <si>
    <t>34.00-69.00</t>
  </si>
  <si>
    <t>30.00-68.00</t>
  </si>
  <si>
    <t>29.00-62.00</t>
  </si>
  <si>
    <t>61.00-68.00</t>
  </si>
  <si>
    <t>35.00-63.50</t>
  </si>
  <si>
    <t>36.00-70.00</t>
  </si>
  <si>
    <t>64.00-70.00</t>
  </si>
  <si>
    <t>40.00-63.25</t>
  </si>
  <si>
    <t>36.00-72.00</t>
  </si>
  <si>
    <t>29.00-69.00</t>
  </si>
  <si>
    <t>15.00-95.00</t>
  </si>
  <si>
    <t>35.00-50.00</t>
  </si>
  <si>
    <t>63.00-69.00</t>
  </si>
  <si>
    <t>35.00-63.00</t>
  </si>
  <si>
    <t>36.00-68.00</t>
  </si>
  <si>
    <t>29.00-65.00</t>
  </si>
  <si>
    <t>64.00-68.00</t>
  </si>
  <si>
    <t>40.00-59.00</t>
  </si>
  <si>
    <t>60.00-68.00</t>
  </si>
  <si>
    <t>40.00-56.00</t>
  </si>
  <si>
    <t>36.00-71.00</t>
  </si>
  <si>
    <t>34.25-50.00</t>
  </si>
  <si>
    <t>62.00-69.00</t>
  </si>
  <si>
    <t>32.00-71.00</t>
  </si>
  <si>
    <t>28.00-50.00</t>
  </si>
  <si>
    <t>20.00-39.75</t>
  </si>
  <si>
    <t>5.00-41.00</t>
  </si>
  <si>
    <t>30.50-55.00</t>
  </si>
  <si>
    <t>24.50-49.50</t>
  </si>
  <si>
    <t>28.00-41.50</t>
  </si>
  <si>
    <t>50.00-56.00</t>
  </si>
  <si>
    <t>20.00-30.00</t>
  </si>
  <si>
    <t>.</t>
  </si>
  <si>
    <t>30.50-62.00</t>
  </si>
  <si>
    <t>24.50-58.00</t>
  </si>
  <si>
    <t>40.00</t>
  </si>
  <si>
    <t>30.00</t>
  </si>
  <si>
    <t>5.00-50.00</t>
  </si>
  <si>
    <t>24.50-59.00</t>
  </si>
  <si>
    <t>8.00-300.00</t>
  </si>
  <si>
    <t>32.00-320.00</t>
  </si>
  <si>
    <t>120.00-225.00</t>
  </si>
  <si>
    <t>58.00-64.00</t>
  </si>
  <si>
    <t>5.00-43.00</t>
  </si>
  <si>
    <t>12.00-54.00</t>
  </si>
  <si>
    <t>23.00-58.00</t>
  </si>
  <si>
    <t>20.00-41.50</t>
  </si>
  <si>
    <t>10.00-59.00</t>
  </si>
  <si>
    <t>17.00-54.50</t>
  </si>
  <si>
    <t>5.00-29.00</t>
  </si>
  <si>
    <t>9.00-23.00</t>
  </si>
  <si>
    <t>12.00-26.00</t>
  </si>
  <si>
    <t>10.00-20.00</t>
  </si>
  <si>
    <t>12.00-19.00</t>
  </si>
  <si>
    <t>18.00-30.00</t>
  </si>
  <si>
    <t>15.00</t>
  </si>
  <si>
    <t>9.00-18.00</t>
  </si>
  <si>
    <t>12.00-22.00</t>
  </si>
  <si>
    <t>10.50-16.00</t>
  </si>
  <si>
    <t>13.00-30.00</t>
  </si>
  <si>
    <t>1.50-29.00</t>
  </si>
  <si>
    <t>4.00-18.00</t>
  </si>
  <si>
    <t>11.50-22.00</t>
  </si>
  <si>
    <t>10.00-18.00</t>
  </si>
  <si>
    <t>10.50-13.00</t>
  </si>
  <si>
    <t>19.00-20.00</t>
  </si>
  <si>
    <t>4.00-16.00</t>
  </si>
  <si>
    <t>12.00-20.00</t>
  </si>
  <si>
    <t>10.00-15.00</t>
  </si>
  <si>
    <t>16.50-20.00</t>
  </si>
  <si>
    <t>3.00-29.00</t>
  </si>
  <si>
    <t>10.50-15.00</t>
  </si>
  <si>
    <t>16.00-22.00</t>
  </si>
  <si>
    <t>15.00-24.00</t>
  </si>
  <si>
    <t>3.00-19.00</t>
  </si>
  <si>
    <t>11.00-20.00</t>
  </si>
  <si>
    <t>8.00-25.00</t>
  </si>
  <si>
    <t>10.50-19.00</t>
  </si>
  <si>
    <t>10.50-20.00</t>
  </si>
  <si>
    <t>4.00-19.75</t>
  </si>
  <si>
    <t>11.00-22.00</t>
  </si>
  <si>
    <t>15.00-18.00</t>
  </si>
  <si>
    <t>11.00-24.00</t>
  </si>
  <si>
    <t>15.50-23.00</t>
  </si>
  <si>
    <t>18.00-25.00</t>
  </si>
  <si>
    <t>4.00-24.00</t>
  </si>
  <si>
    <t>11.00-25.00</t>
  </si>
  <si>
    <t>8.00-36.00</t>
  </si>
  <si>
    <t>15.50-25.00</t>
  </si>
  <si>
    <t>18.00-35.00</t>
  </si>
  <si>
    <t>15.00-32.00</t>
  </si>
  <si>
    <t>4.00-26.00</t>
  </si>
  <si>
    <t>11.00-30.00</t>
  </si>
  <si>
    <t xml:space="preserve">                  US$ Thousands</t>
  </si>
  <si>
    <t>0.7-15.00</t>
  </si>
  <si>
    <t>RBZ Demand Deposits</t>
  </si>
  <si>
    <t>Discount Hses Dem. Deposits</t>
  </si>
  <si>
    <t>Comm. Banks Dem. Deposits</t>
  </si>
  <si>
    <t>Merchant  Banks Dem. Deposits</t>
  </si>
  <si>
    <t>Building Soc. Savings  Deposits</t>
  </si>
  <si>
    <t>P O S B  Savings  Deposits</t>
  </si>
  <si>
    <t>Comm. Banks U-30 Day  Deposits</t>
  </si>
  <si>
    <t>Merchant Banks U-30 Day  Deposits</t>
  </si>
  <si>
    <t>Finance Hses U- 30 Day Deposits</t>
  </si>
  <si>
    <t>Building Soc. U- 30 Day Deposits</t>
  </si>
  <si>
    <t>Comm. Banks O-30 Day  Deposits</t>
  </si>
  <si>
    <t>Merchant Banks O-30 Day  Deposits</t>
  </si>
  <si>
    <t>Finance Hses O- 30 Day Deposits</t>
  </si>
  <si>
    <t>Building Soc. O- 30 Day Deposits</t>
  </si>
  <si>
    <t>Building Soc. Class C  Deposits</t>
  </si>
  <si>
    <t>Building Soc. Other Share  Deposits</t>
  </si>
  <si>
    <t>P O S B Time Deposits</t>
  </si>
  <si>
    <t>40.00-320.00</t>
  </si>
  <si>
    <t>8.00-180.00</t>
  </si>
  <si>
    <t>8.00-200.00</t>
  </si>
  <si>
    <t>32.00-335.00</t>
  </si>
  <si>
    <t>120.00-250.00</t>
  </si>
  <si>
    <t>130.00-250.00</t>
  </si>
  <si>
    <t>8.00-32.00</t>
  </si>
  <si>
    <t>19.50-30.00</t>
  </si>
  <si>
    <t>4.00-30.00</t>
  </si>
  <si>
    <t>11.00-42.00</t>
  </si>
  <si>
    <t>8.00-46.00</t>
  </si>
  <si>
    <t>18.00-38.00</t>
  </si>
  <si>
    <t>4.00-31.00</t>
  </si>
  <si>
    <t>11.00-48.00</t>
  </si>
  <si>
    <t>8.00-52.00</t>
  </si>
  <si>
    <t>28.00-36.00</t>
  </si>
  <si>
    <t>22.00-40.00</t>
  </si>
  <si>
    <t>4.00-32.00</t>
  </si>
  <si>
    <t>12.00-53.00</t>
  </si>
  <si>
    <t>10.00-58.00</t>
  </si>
  <si>
    <t>20.00-38.00</t>
  </si>
  <si>
    <t>25.00-45.00</t>
  </si>
  <si>
    <t>22.00-48.00</t>
  </si>
  <si>
    <t>11.00-53.00</t>
  </si>
  <si>
    <t>28.00-33.00</t>
  </si>
  <si>
    <t>12.00-40.00</t>
  </si>
  <si>
    <t>28.00-32.00</t>
  </si>
  <si>
    <t>22.00-55.00</t>
  </si>
  <si>
    <t>4.00-35.00</t>
  </si>
  <si>
    <t>12.00-39.00</t>
  </si>
  <si>
    <t>10.00-55.00</t>
  </si>
  <si>
    <t>HSING, WATER,</t>
  </si>
  <si>
    <t>ELECTRICTY, GAS</t>
  </si>
  <si>
    <t>&amp; OTHER</t>
  </si>
  <si>
    <t>FUELS</t>
  </si>
  <si>
    <t>29.00-34.00</t>
  </si>
  <si>
    <t>4.00-36.00</t>
  </si>
  <si>
    <t>12.00-48.00</t>
  </si>
  <si>
    <t>22.00-36.00</t>
  </si>
  <si>
    <t>24.00-42.00</t>
  </si>
  <si>
    <t>22.00-26.00</t>
  </si>
  <si>
    <t>27.00-30.00</t>
  </si>
  <si>
    <t>25.00-35.00</t>
  </si>
  <si>
    <t>22.00-30.00</t>
  </si>
  <si>
    <t>25.00-39.00</t>
  </si>
  <si>
    <t>11.00-39.00</t>
  </si>
  <si>
    <t>8.00-45.00</t>
  </si>
  <si>
    <t>25.00-33.00</t>
  </si>
  <si>
    <t>4.00-33.00</t>
  </si>
  <si>
    <t>8.00-40.00</t>
  </si>
  <si>
    <t>25.00-37.00</t>
  </si>
  <si>
    <t>8.00-375.00</t>
  </si>
  <si>
    <t>32.00-160.00</t>
  </si>
  <si>
    <t>25.00-38.50</t>
  </si>
  <si>
    <t>30.00-44.00</t>
  </si>
  <si>
    <t>4.00-38.00</t>
  </si>
  <si>
    <t>11.00-45.00</t>
  </si>
  <si>
    <t>8.00-50.00</t>
  </si>
  <si>
    <t>30.00-42.00</t>
  </si>
  <si>
    <t>11.00-47.00</t>
  </si>
  <si>
    <t>23.00-30.00</t>
  </si>
  <si>
    <t>3.00-25.00</t>
  </si>
  <si>
    <t>4.00-55.00</t>
  </si>
  <si>
    <t>110.00-150.00</t>
  </si>
  <si>
    <t>150.00-350.00</t>
  </si>
  <si>
    <t>110.00-170.00</t>
  </si>
  <si>
    <t>60.00-85.00</t>
  </si>
  <si>
    <t>31.00-42.00</t>
  </si>
  <si>
    <t>34.00-42.00</t>
  </si>
  <si>
    <t>25.00-30.00</t>
  </si>
  <si>
    <t>32.00-275.00</t>
  </si>
  <si>
    <t>60.00-280.00</t>
  </si>
  <si>
    <t>4.00-75.00</t>
  </si>
  <si>
    <t>11.00-70.00</t>
  </si>
  <si>
    <t>8.00-80.00</t>
  </si>
  <si>
    <t>3.00-45.00</t>
  </si>
  <si>
    <t>11.00-75.00</t>
  </si>
  <si>
    <t>8.00-75.00</t>
  </si>
  <si>
    <t>Bills</t>
  </si>
  <si>
    <t>Contigent</t>
  </si>
  <si>
    <t>Notes</t>
  </si>
  <si>
    <t>Balances</t>
  </si>
  <si>
    <t>NCD's</t>
  </si>
  <si>
    <t>with</t>
  </si>
  <si>
    <t>Treasury</t>
  </si>
  <si>
    <t>Trade</t>
  </si>
  <si>
    <t>Coin</t>
  </si>
  <si>
    <t>RBZ</t>
  </si>
  <si>
    <t>2004</t>
  </si>
  <si>
    <t>Savings</t>
  </si>
  <si>
    <t>Reserves</t>
  </si>
  <si>
    <t>TABLE 9.1 : DISCOUNT HOUSES - LIABILITIES</t>
  </si>
  <si>
    <t>Call Money and other Loans received</t>
  </si>
  <si>
    <t xml:space="preserve">Commercial </t>
  </si>
  <si>
    <t xml:space="preserve">Accepting </t>
  </si>
  <si>
    <t xml:space="preserve">Finance </t>
  </si>
  <si>
    <t>POSB</t>
  </si>
  <si>
    <t xml:space="preserve">Reserve </t>
  </si>
  <si>
    <t>Private</t>
  </si>
  <si>
    <t>Sector</t>
  </si>
  <si>
    <t>Z$ Millions</t>
  </si>
  <si>
    <t>TABLE 9.2 : DISCOUNT HOUSES - ASSETS</t>
  </si>
  <si>
    <t>Agricultural</t>
  </si>
  <si>
    <t>Balance</t>
  </si>
  <si>
    <t>Parastatal</t>
  </si>
  <si>
    <t>with DMBs</t>
  </si>
  <si>
    <t>at OBIs</t>
  </si>
  <si>
    <t>164..3</t>
  </si>
  <si>
    <t>Assets</t>
  </si>
  <si>
    <t>54.00-77.00</t>
  </si>
  <si>
    <t>60.00-83.50</t>
  </si>
  <si>
    <t>50.00-100.00</t>
  </si>
  <si>
    <t>45.00-110.00</t>
  </si>
  <si>
    <t>4.00-95.00</t>
  </si>
  <si>
    <t>60.00-115.00</t>
  </si>
  <si>
    <t>50.00-125.00</t>
  </si>
  <si>
    <t>45.00-120.00</t>
  </si>
  <si>
    <t>53.00-150.00</t>
  </si>
  <si>
    <t>52.00-150.00</t>
  </si>
  <si>
    <t>4.00-145.00</t>
  </si>
  <si>
    <t>12.00-150.00</t>
  </si>
  <si>
    <t>US$ Millions</t>
  </si>
  <si>
    <t>14.00-160.00</t>
  </si>
  <si>
    <t>65.00-175.00</t>
  </si>
  <si>
    <t>55.00-175.00</t>
  </si>
  <si>
    <t>50.00-175.00</t>
  </si>
  <si>
    <t>9.00-350.00</t>
  </si>
  <si>
    <t>12.00-375.00</t>
  </si>
  <si>
    <t>14.00-385.00</t>
  </si>
  <si>
    <t>110.00-550.00</t>
  </si>
  <si>
    <t>80.00-450.00</t>
  </si>
  <si>
    <t>65.00-400.00</t>
  </si>
  <si>
    <t>10.00-250.00</t>
  </si>
  <si>
    <t>12.00-230.00</t>
  </si>
  <si>
    <t>14.00-250.00</t>
  </si>
  <si>
    <t>40.00-450.00</t>
  </si>
  <si>
    <t>25.00-250.00</t>
  </si>
  <si>
    <t>1. The range of rates paid during the period.</t>
  </si>
  <si>
    <t>TABLE 4.4 : OTHER BANKING INSTITUTIONS DEPOSIT RATES (percent per annum)</t>
  </si>
  <si>
    <t xml:space="preserve">                                BUILDING SOCIETIES</t>
  </si>
  <si>
    <t xml:space="preserve">                    P.O.S.B /2</t>
  </si>
  <si>
    <t>TAX FREE</t>
  </si>
  <si>
    <t>CLASS 'B'</t>
  </si>
  <si>
    <t>FIXED DEPOSITS</t>
  </si>
  <si>
    <t>13.00-14.00</t>
  </si>
  <si>
    <t>13.25-15.85</t>
  </si>
  <si>
    <t>13.75-16.00</t>
  </si>
  <si>
    <t>23.00</t>
  </si>
  <si>
    <t>23.50</t>
  </si>
  <si>
    <t>13.00-21.00</t>
  </si>
  <si>
    <t>OTOBER</t>
  </si>
  <si>
    <t>5.00-11.00</t>
  </si>
  <si>
    <t>6.50-8.00</t>
  </si>
  <si>
    <t>10.00-15.85</t>
  </si>
  <si>
    <t>12.00-16.00</t>
  </si>
  <si>
    <t>14.00</t>
  </si>
  <si>
    <t>14.00-18.50</t>
  </si>
  <si>
    <t>7.0-8.00</t>
  </si>
  <si>
    <t>11.00-40.00</t>
  </si>
  <si>
    <t>7.00-12.50</t>
  </si>
  <si>
    <t>15.85</t>
  </si>
  <si>
    <t>16.00</t>
  </si>
  <si>
    <t>7.00-15.00</t>
  </si>
  <si>
    <t>7.00-16.10</t>
  </si>
  <si>
    <t>7.00-16.00</t>
  </si>
  <si>
    <t>7.00-17.30</t>
  </si>
  <si>
    <t>7.00-16.55</t>
  </si>
  <si>
    <t>7.00-18.10</t>
  </si>
  <si>
    <t>7.00-26.75</t>
  </si>
  <si>
    <t>7.00-34.10</t>
  </si>
  <si>
    <t>7.00-37.55</t>
  </si>
  <si>
    <t>7.00-41.85</t>
  </si>
  <si>
    <t>7.00-35.00</t>
  </si>
  <si>
    <t>2.  Interest on deposits with the P.O.S.B. is tax-exempt.</t>
  </si>
  <si>
    <t>6.00-100.00</t>
  </si>
  <si>
    <t>8.00-560.00</t>
  </si>
  <si>
    <t>20.00-250.00</t>
  </si>
  <si>
    <t>8.00-250.00</t>
  </si>
  <si>
    <t>32.00-150.00</t>
  </si>
  <si>
    <t>15.00-85.00</t>
  </si>
  <si>
    <t>05 DECEMBER</t>
  </si>
  <si>
    <t>19 DECEMBER</t>
  </si>
  <si>
    <t>26 DECEMBER</t>
  </si>
  <si>
    <t>12 DECEMBER</t>
  </si>
  <si>
    <t>80.00-130.00</t>
  </si>
  <si>
    <t>20.00-75.00</t>
  </si>
  <si>
    <t>108.00-400.00</t>
  </si>
  <si>
    <t xml:space="preserve">    TABLE 2.4 : SECTORAL ANALYSIS OF COMMERCIAL BANKS DEPOSITS </t>
  </si>
  <si>
    <t>12.00-32.50</t>
  </si>
  <si>
    <t>15.00-27.00</t>
  </si>
  <si>
    <t>14.00-30.00</t>
  </si>
  <si>
    <t>10.00-30.00</t>
  </si>
  <si>
    <t>30.00-35.00</t>
  </si>
  <si>
    <t>3.00-16.00</t>
  </si>
  <si>
    <t>0.50-16.00</t>
  </si>
  <si>
    <t>12.00-17.00</t>
  </si>
  <si>
    <t>1.26-60.00</t>
  </si>
  <si>
    <t>11.00-43.00</t>
  </si>
  <si>
    <t>0.50-18.00</t>
  </si>
  <si>
    <t>10.00-17.00</t>
  </si>
  <si>
    <t>MOBILE &amp; INTERNET</t>
  </si>
  <si>
    <t>Indices</t>
  </si>
  <si>
    <t>Industrial</t>
  </si>
  <si>
    <t>Mining</t>
  </si>
  <si>
    <t>Market Capitalisation</t>
  </si>
  <si>
    <t xml:space="preserve">      TABLE 2.5 : SECTORAL ANALYSIS OF MERCHANT BANKS DEPOSITS </t>
  </si>
  <si>
    <t>1.24-60.00</t>
  </si>
  <si>
    <t>1.28-57.34</t>
  </si>
  <si>
    <t>1.34-57.34</t>
  </si>
  <si>
    <t>1.32-57.34</t>
  </si>
  <si>
    <t>1.26-57.34</t>
  </si>
  <si>
    <t>1.26-58.00</t>
  </si>
  <si>
    <t xml:space="preserve">ZETSS VALUES </t>
  </si>
  <si>
    <t xml:space="preserve">CHEQUE VALUES </t>
  </si>
  <si>
    <t xml:space="preserve">CARD VALUES </t>
  </si>
  <si>
    <t>TABLE 16: CENTRAL GOVERNMENT ACCOUNTS</t>
  </si>
  <si>
    <t>End Period</t>
  </si>
  <si>
    <t>2005</t>
  </si>
  <si>
    <t>(US$ millions)</t>
  </si>
  <si>
    <t>Long-Term External Debt</t>
  </si>
  <si>
    <t>Bilateral Creditors</t>
  </si>
  <si>
    <t>Multilateral Creditors</t>
  </si>
  <si>
    <t>Private Creditors</t>
  </si>
  <si>
    <t>Public Enterprises</t>
  </si>
  <si>
    <t>Monetary Authorities</t>
  </si>
  <si>
    <t>Multilateral Creditors - IMF</t>
  </si>
  <si>
    <t>Short-Term External Debt</t>
  </si>
  <si>
    <t>Supplier's Credits</t>
  </si>
  <si>
    <t>Reserve Bank</t>
  </si>
  <si>
    <t>Total External Debt</t>
  </si>
  <si>
    <t>TABLE 15.2 :  LIQUIDITY RATIOS OF MONETARY BANKS AND OTHER FINANCIAL INSTITUTIONS/1</t>
  </si>
  <si>
    <t>1/ Liquid Asset Ratio is Total liquid assets Divided by Liabilities to Public of Previous Month.</t>
  </si>
  <si>
    <t>Annual Total</t>
  </si>
  <si>
    <t>Total Demand</t>
  </si>
  <si>
    <t>Total Savings and Short term</t>
  </si>
  <si>
    <t>Total Long term</t>
  </si>
  <si>
    <t>Grand Total</t>
  </si>
  <si>
    <t>TABLE 4.1 LENDING RATES (percent per annum)*</t>
  </si>
  <si>
    <t xml:space="preserve">* Depict minimum and maximum rates qouted by the banks. </t>
  </si>
  <si>
    <t xml:space="preserve">                ACCEPTING HOUSES</t>
  </si>
  <si>
    <t>COMMERCIAL BANKS</t>
  </si>
  <si>
    <t xml:space="preserve">     TABLE 6 : SELECTED INTERNATIONAL EXCHANGE RATES</t>
  </si>
  <si>
    <t>RAND/1</t>
  </si>
  <si>
    <t>PULA/1</t>
  </si>
  <si>
    <t>YEN/1</t>
  </si>
  <si>
    <t>Securities</t>
  </si>
  <si>
    <t xml:space="preserve">Non Financial </t>
  </si>
  <si>
    <t xml:space="preserve">      May</t>
  </si>
  <si>
    <t>Amounts Owing to</t>
  </si>
  <si>
    <t>Liablities</t>
  </si>
  <si>
    <t>Demand</t>
  </si>
  <si>
    <t>Foreign Liabilities</t>
  </si>
  <si>
    <t xml:space="preserve">      Jan</t>
  </si>
  <si>
    <t>TABLE 1.1 : BANKING SYSTEM CONSOLIDATED DEPOSITS</t>
  </si>
  <si>
    <t xml:space="preserve">      Feb</t>
  </si>
  <si>
    <t xml:space="preserve">      Mar</t>
  </si>
  <si>
    <t xml:space="preserve">      Apr</t>
  </si>
  <si>
    <t xml:space="preserve">      Jun</t>
  </si>
  <si>
    <t xml:space="preserve">      Jul</t>
  </si>
  <si>
    <t xml:space="preserve">      Aug</t>
  </si>
  <si>
    <t xml:space="preserve">      Sep</t>
  </si>
  <si>
    <t xml:space="preserve">      Oct</t>
  </si>
  <si>
    <t xml:space="preserve">      Nov</t>
  </si>
  <si>
    <t xml:space="preserve">      Dec</t>
  </si>
  <si>
    <t>Of Which</t>
  </si>
  <si>
    <t>Vote of Credit</t>
  </si>
  <si>
    <t>International</t>
  </si>
  <si>
    <t>Aid Grant</t>
  </si>
  <si>
    <t>Comm. Banks Savings  Deposits</t>
  </si>
  <si>
    <t>Foreign Banks</t>
  </si>
  <si>
    <t>Banking Institutions/3</t>
  </si>
  <si>
    <t>CONGLOMERATE</t>
  </si>
  <si>
    <t>CURRENCY/2</t>
  </si>
  <si>
    <t>STERLING/2</t>
  </si>
  <si>
    <t>10.00-43.00</t>
  </si>
  <si>
    <t>TABLE 17 :  ZETSS, CHEQUES AND CARDS ACTIVITY</t>
  </si>
  <si>
    <t>16.00-39.00</t>
  </si>
  <si>
    <t>2.    Negative denotes a deposit at banks. Positive denotes a withdrawal from banks.</t>
  </si>
  <si>
    <t>16.00-32.00</t>
  </si>
  <si>
    <t>0.35-6.00</t>
  </si>
  <si>
    <t>0.15-17.00</t>
  </si>
  <si>
    <t>8.00-28.00</t>
  </si>
  <si>
    <t>14.00-32.00</t>
  </si>
  <si>
    <t>0.30-5.00</t>
  </si>
  <si>
    <t>0.15-5.00</t>
  </si>
  <si>
    <t xml:space="preserve">      June</t>
  </si>
  <si>
    <t>15.00-28.00</t>
  </si>
  <si>
    <t xml:space="preserve">      July</t>
  </si>
  <si>
    <t xml:space="preserve">      Aug.</t>
  </si>
  <si>
    <t>8.00-30.00</t>
  </si>
  <si>
    <t xml:space="preserve">      Oct.</t>
  </si>
  <si>
    <t>323,322,2</t>
  </si>
  <si>
    <t xml:space="preserve"> JANUARY</t>
  </si>
  <si>
    <t> FEBRUARY</t>
  </si>
  <si>
    <t>123,.4</t>
  </si>
  <si>
    <t>96,555,2</t>
  </si>
  <si>
    <t>479,6</t>
  </si>
  <si>
    <t> 16,359.6</t>
  </si>
  <si>
    <t>54,217..1</t>
  </si>
  <si>
    <t>107,730,7</t>
  </si>
  <si>
    <r>
      <t> </t>
    </r>
    <r>
      <rPr>
        <b/>
        <sz val="6"/>
        <color rgb="FF000000"/>
        <rFont val="Times New Roman"/>
        <family val="1"/>
      </rPr>
      <t>FEBRUARY</t>
    </r>
  </si>
  <si>
    <t>263’552.7</t>
  </si>
  <si>
    <t>70,487,9</t>
  </si>
  <si>
    <t> MARCH</t>
  </si>
  <si>
    <t> 46,519.8</t>
  </si>
  <si>
    <t> 5,039.7</t>
  </si>
  <si>
    <t>1,662.6 </t>
  </si>
  <si>
    <t>4,119.3 </t>
  </si>
  <si>
    <t>127,903.5 </t>
  </si>
  <si>
    <t> 91,695.5</t>
  </si>
  <si>
    <t> 17,886.8</t>
  </si>
  <si>
    <t> 39,142.1</t>
  </si>
  <si>
    <t>143,818.6 </t>
  </si>
  <si>
    <t> 4,669.7</t>
  </si>
  <si>
    <t> 83,525.1</t>
  </si>
  <si>
    <t>594,546.8 </t>
  </si>
  <si>
    <t>Merchant Banks</t>
  </si>
  <si>
    <t>Corporate</t>
  </si>
  <si>
    <t>12.53 </t>
  </si>
  <si>
    <t>13.26 </t>
  </si>
  <si>
    <t>13.06 </t>
  </si>
  <si>
    <t>13.00-25.00</t>
  </si>
  <si>
    <t>16.36 </t>
  </si>
  <si>
    <t>6.00-30.00</t>
  </si>
  <si>
    <t>11.86 </t>
  </si>
  <si>
    <t>14.47 </t>
  </si>
  <si>
    <t>6.00-35.00</t>
  </si>
  <si>
    <t>11.58 </t>
  </si>
  <si>
    <t>14.05 </t>
  </si>
  <si>
    <t>10.88 </t>
  </si>
  <si>
    <t>13.93 </t>
  </si>
  <si>
    <t>10.74 </t>
  </si>
  <si>
    <t>13.95 </t>
  </si>
  <si>
    <t>13.25 </t>
  </si>
  <si>
    <t>11.14 </t>
  </si>
  <si>
    <t>17.98 </t>
  </si>
  <si>
    <t>13.92 </t>
  </si>
  <si>
    <t>0.10-17.00</t>
  </si>
  <si>
    <t>0.10-18.00</t>
  </si>
  <si>
    <t>5.00-18.00</t>
  </si>
  <si>
    <t>0.01-12.00</t>
  </si>
  <si>
    <t>5.00-20.00</t>
  </si>
  <si>
    <t>0.00-12.00</t>
  </si>
  <si>
    <t>0.15-8.00</t>
  </si>
  <si>
    <t>11.00-17.00</t>
  </si>
  <si>
    <t>7.00-17.00</t>
  </si>
  <si>
    <t>8.00-17.00</t>
  </si>
  <si>
    <t>6.00-17.00</t>
  </si>
  <si>
    <t>4,033,76</t>
  </si>
  <si>
    <t>NON-FOOD INFLATION</t>
  </si>
  <si>
    <t>FOOD INFLATION</t>
  </si>
  <si>
    <t>TOTAL NON</t>
  </si>
  <si>
    <t>15.00-25.00</t>
  </si>
  <si>
    <t>AND</t>
  </si>
  <si>
    <t>EQUIPMENT</t>
  </si>
  <si>
    <t>1,244,665,.8</t>
  </si>
  <si>
    <t>60,561...8</t>
  </si>
  <si>
    <t>523.585.4</t>
  </si>
  <si>
    <t>3,377,567.7 </t>
  </si>
  <si>
    <t>2,991.999.1</t>
  </si>
  <si>
    <t>Feb </t>
  </si>
  <si>
    <t>10.53 </t>
  </si>
  <si>
    <t>13.00-25.00 </t>
  </si>
  <si>
    <t>17.93 </t>
  </si>
  <si>
    <t>14.36 </t>
  </si>
  <si>
    <t>14.00-25.00</t>
  </si>
  <si>
    <t>8.00-12.00</t>
  </si>
  <si>
    <t> 2.75</t>
  </si>
  <si>
    <t>0.20 </t>
  </si>
  <si>
    <t>1.65 </t>
  </si>
  <si>
    <t>-0.17 </t>
  </si>
  <si>
    <t>-0.08 </t>
  </si>
  <si>
    <t>0.08 </t>
  </si>
  <si>
    <t>0.77 </t>
  </si>
  <si>
    <t>1.11 </t>
  </si>
  <si>
    <t>1.40 </t>
  </si>
  <si>
    <t>0.95 </t>
  </si>
  <si>
    <t>9.00-35.00</t>
  </si>
  <si>
    <t>13.00-23.00</t>
  </si>
  <si>
    <t>39.087.2</t>
  </si>
  <si>
    <t>9.46 </t>
  </si>
  <si>
    <t>15.00-22.50</t>
  </si>
  <si>
    <t>16.89 </t>
  </si>
  <si>
    <t>15.00-23.00</t>
  </si>
  <si>
    <t>3.00-20.00</t>
  </si>
  <si>
    <t>11.00-12.00</t>
  </si>
  <si>
    <t xml:space="preserve">ZETSS </t>
  </si>
  <si>
    <t xml:space="preserve">CHEQUE </t>
  </si>
  <si>
    <t>POS</t>
  </si>
  <si>
    <t>ATM</t>
  </si>
  <si>
    <t>MOBILE</t>
  </si>
  <si>
    <t xml:space="preserve"> INTERNET</t>
  </si>
  <si>
    <t>452.373.8</t>
  </si>
  <si>
    <r>
      <t>F</t>
    </r>
    <r>
      <rPr>
        <b/>
        <sz val="6"/>
        <color rgb="FF000000"/>
        <rFont val="Times New Roman"/>
        <family val="1"/>
      </rPr>
      <t>EBRUARY</t>
    </r>
  </si>
  <si>
    <t>US$  Thousands</t>
  </si>
  <si>
    <t>CONGLOMERATES</t>
  </si>
  <si>
    <t xml:space="preserve">    TABLE 2.3: SECTORAL ANALYSIS OF COMMERCIAL BANKS DEPOSITS </t>
  </si>
  <si>
    <t>/1 Including the only merchant bank still in operation.</t>
  </si>
  <si>
    <t>12.00-12.00</t>
  </si>
  <si>
    <t>3.00-17.00</t>
  </si>
  <si>
    <t>Volume of Shares</t>
  </si>
  <si>
    <t>1.00-17.00</t>
  </si>
  <si>
    <t>4.30-33.50</t>
  </si>
  <si>
    <t>0.50-12.00</t>
  </si>
  <si>
    <t>0.30-8.00</t>
  </si>
  <si>
    <t>4.30-31.00</t>
  </si>
  <si>
    <t>Coins</t>
  </si>
  <si>
    <t>5.00-31.00</t>
  </si>
  <si>
    <t>Bond</t>
  </si>
  <si>
    <t>4.30-26.00</t>
  </si>
  <si>
    <t>1.00-16.00</t>
  </si>
  <si>
    <t>4.30-25.00</t>
  </si>
  <si>
    <t>0.50-8.00</t>
  </si>
  <si>
    <t>0.75-8.00</t>
  </si>
  <si>
    <t>4.00-16.25</t>
  </si>
  <si>
    <t>0.75-17.00</t>
  </si>
  <si>
    <t>6.00-16.00</t>
  </si>
  <si>
    <t>6.00-22.00</t>
  </si>
  <si>
    <t>4.00-22.00</t>
  </si>
  <si>
    <t>MAR</t>
  </si>
  <si>
    <t>APR</t>
  </si>
  <si>
    <t>SEPT</t>
  </si>
  <si>
    <t>OCT</t>
  </si>
  <si>
    <t>NOV</t>
  </si>
  <si>
    <t>DEC</t>
  </si>
  <si>
    <t>JAN</t>
  </si>
  <si>
    <t>FEB</t>
  </si>
  <si>
    <t>AUG</t>
  </si>
  <si>
    <t>..............................................................................</t>
  </si>
  <si>
    <t>HOUSING, WATER,</t>
  </si>
  <si>
    <t>0.50-6.00</t>
  </si>
  <si>
    <t>US$ millions</t>
  </si>
  <si>
    <t>1086,9</t>
  </si>
  <si>
    <t xml:space="preserve"> Notes &amp;</t>
  </si>
  <si>
    <t xml:space="preserve">&amp; </t>
  </si>
  <si>
    <t xml:space="preserve">ALCOHOLIC </t>
  </si>
  <si>
    <t xml:space="preserve">BEVERAGES </t>
  </si>
  <si>
    <t xml:space="preserve">NON ALCOHOLIC </t>
  </si>
  <si>
    <t>BEVERAGES</t>
  </si>
  <si>
    <t>1. Foreign currency per US dollar.</t>
  </si>
  <si>
    <t>2. US dollars per unit of foreign currency.</t>
  </si>
  <si>
    <t xml:space="preserve"> (US$ millions)</t>
  </si>
  <si>
    <t>Source:Reserve Bank of Zimbabwe,2017</t>
  </si>
  <si>
    <t>2. Balances with Reserve Bank of Zimbabwe:</t>
  </si>
  <si>
    <t xml:space="preserve">    (i) Statutory Reserves</t>
  </si>
  <si>
    <t xml:space="preserve">   (a) Commercial Banks</t>
  </si>
  <si>
    <t xml:space="preserve">     (i) Transferable  </t>
  </si>
  <si>
    <t xml:space="preserve">     (ii) Time</t>
  </si>
  <si>
    <t xml:space="preserve">   (b) Accepting Houses</t>
  </si>
  <si>
    <t xml:space="preserve">   (c) Discount Houses</t>
  </si>
  <si>
    <t xml:space="preserve">   (a) Finance  Houses</t>
  </si>
  <si>
    <t xml:space="preserve">   (b) Building Societies</t>
  </si>
  <si>
    <t xml:space="preserve">   (c) Post Office Savings Bank</t>
  </si>
  <si>
    <t xml:space="preserve">   (a) Stocks(at book value)</t>
  </si>
  <si>
    <t xml:space="preserve">    (i) Liquid</t>
  </si>
  <si>
    <t xml:space="preserve">    (ii) Non-liquid</t>
  </si>
  <si>
    <t xml:space="preserve">   (b)  Bonds</t>
  </si>
  <si>
    <t xml:space="preserve">   (c) Treasury Bills</t>
  </si>
  <si>
    <t xml:space="preserve">   (d) Loans and advances</t>
  </si>
  <si>
    <t xml:space="preserve">    (i) Ministries</t>
  </si>
  <si>
    <t xml:space="preserve">    (ii) Departments</t>
  </si>
  <si>
    <t xml:space="preserve">    (iii) Schools and Colleges</t>
  </si>
  <si>
    <t xml:space="preserve">    (iv) Other</t>
  </si>
  <si>
    <t xml:space="preserve">   (a) Municipal Stock</t>
  </si>
  <si>
    <t xml:space="preserve">   (b) Loans and advances</t>
  </si>
  <si>
    <t xml:space="preserve">   (a) Agricultural Marketing Authority</t>
  </si>
  <si>
    <t xml:space="preserve">    (vii) National Railways of Zimbabwe</t>
  </si>
  <si>
    <t xml:space="preserve">    (viii) Air Zimbabwe</t>
  </si>
  <si>
    <t xml:space="preserve">   (e) Other Loans and Advances</t>
  </si>
  <si>
    <t xml:space="preserve">   (a) Loans and Advances</t>
  </si>
  <si>
    <t xml:space="preserve">    (i) Agricultural Finance Corporation</t>
  </si>
  <si>
    <t xml:space="preserve">    (ii) Small Enterprises Development Corporation</t>
  </si>
  <si>
    <t xml:space="preserve">    (iii) Industrial Development Corporation</t>
  </si>
  <si>
    <t xml:space="preserve">    (iv) Zimbabwe Development Corporation</t>
  </si>
  <si>
    <t xml:space="preserve">    (v) Other</t>
  </si>
  <si>
    <t xml:space="preserve">   (b) Other</t>
  </si>
  <si>
    <t xml:space="preserve">    (a) Bills of Exchange</t>
  </si>
  <si>
    <t xml:space="preserve">     (i)Bills Discounted</t>
  </si>
  <si>
    <t xml:space="preserve">        (ia) Internal financing</t>
  </si>
  <si>
    <t xml:space="preserve">        (ib) International trade financing</t>
  </si>
  <si>
    <t xml:space="preserve">     (ii)Bills Receivable</t>
  </si>
  <si>
    <t xml:space="preserve">        (iia) Internal financing</t>
  </si>
  <si>
    <t xml:space="preserve">        (iib) International trade financing</t>
  </si>
  <si>
    <t xml:space="preserve">     (iii)Acceptances Purchased</t>
  </si>
  <si>
    <t xml:space="preserve">        (iiia) Internal financing</t>
  </si>
  <si>
    <t xml:space="preserve">        (iiib) International trade financing</t>
  </si>
  <si>
    <t xml:space="preserve">     (ii)Corporate Bodies</t>
  </si>
  <si>
    <t xml:space="preserve">     (i) Bank's own borrowing</t>
  </si>
  <si>
    <t xml:space="preserve">     (ii) Bank's borrowing on behalf of specific customers</t>
  </si>
  <si>
    <t xml:space="preserve">    (a) Undrawn Offshore Facilities</t>
  </si>
  <si>
    <t xml:space="preserve">    (b) Undrawn Loans and Advance Facilities</t>
  </si>
  <si>
    <t xml:space="preserve">     (i) Individuals</t>
  </si>
  <si>
    <t xml:space="preserve">     (ii) Corporate Bodies</t>
  </si>
  <si>
    <t xml:space="preserve">    (c) Guarrantees</t>
  </si>
  <si>
    <t xml:space="preserve">     (i) Offshore</t>
  </si>
  <si>
    <t xml:space="preserve">     (ii) Domestic</t>
  </si>
  <si>
    <t xml:space="preserve">    (a) Commercial Banks</t>
  </si>
  <si>
    <t xml:space="preserve">    (c) Discount Houses</t>
  </si>
  <si>
    <t xml:space="preserve">    (b) Building Societies</t>
  </si>
  <si>
    <t xml:space="preserve">    (c) Post Office Savings Bank</t>
  </si>
  <si>
    <t>Of Which issued by:</t>
  </si>
  <si>
    <t xml:space="preserve">  Other Depository Corporations</t>
  </si>
  <si>
    <t xml:space="preserve">  Other Financial Corporations</t>
  </si>
  <si>
    <t xml:space="preserve">  Public non-financial Corporations</t>
  </si>
  <si>
    <t xml:space="preserve">  Other non-financial coporations</t>
  </si>
  <si>
    <t xml:space="preserve">  Non-residents</t>
  </si>
  <si>
    <t>_</t>
  </si>
  <si>
    <t>TOTAL ASSETS</t>
  </si>
  <si>
    <t>1. Demand Deposits:</t>
  </si>
  <si>
    <t xml:space="preserve">   (a) Private</t>
  </si>
  <si>
    <t xml:space="preserve">     (iv) Non-resident transferable     </t>
  </si>
  <si>
    <t xml:space="preserve">   (b) Deposit Money Banks</t>
  </si>
  <si>
    <t xml:space="preserve">   (c) Other Banking Institutions</t>
  </si>
  <si>
    <t xml:space="preserve">   (d) Other Financial Institutions</t>
  </si>
  <si>
    <t xml:space="preserve">   (e) Government</t>
  </si>
  <si>
    <t xml:space="preserve">   (f) Local Authorities</t>
  </si>
  <si>
    <t xml:space="preserve">   (g) Non-Financial Public Enterprises</t>
  </si>
  <si>
    <t xml:space="preserve">   (h) Financial Public Enterprises</t>
  </si>
  <si>
    <t xml:space="preserve">  (a) Private</t>
  </si>
  <si>
    <t xml:space="preserve">      (iia) 30 days and under</t>
  </si>
  <si>
    <t xml:space="preserve">      (iib) Over 30 days to 2 years</t>
  </si>
  <si>
    <t xml:space="preserve">      (iic) Over 2 years</t>
  </si>
  <si>
    <t xml:space="preserve">      (iva) 30 days and under</t>
  </si>
  <si>
    <t xml:space="preserve">      (ivb) Over 30 days to 2 years</t>
  </si>
  <si>
    <t xml:space="preserve">      (ivc) Over 2 years</t>
  </si>
  <si>
    <t xml:space="preserve">   (f) Non-Financial Public Enterprises</t>
  </si>
  <si>
    <t xml:space="preserve">   (g) Financial Public Enterprises</t>
  </si>
  <si>
    <t xml:space="preserve">   (h) Local Authorities</t>
  </si>
  <si>
    <t xml:space="preserve">     (i) Demand </t>
  </si>
  <si>
    <t xml:space="preserve">  (b) Public Enterprises</t>
  </si>
  <si>
    <t xml:space="preserve">  (c) Non-resident </t>
  </si>
  <si>
    <t xml:space="preserve">   (c) Loans and advances</t>
  </si>
  <si>
    <t xml:space="preserve">   (a) Finance Houses</t>
  </si>
  <si>
    <t xml:space="preserve">   Amounts Owing to  Banks Abroad:</t>
  </si>
  <si>
    <t xml:space="preserve">    (a) Head Office</t>
  </si>
  <si>
    <t xml:space="preserve">    (b) Other Banks in:</t>
  </si>
  <si>
    <t xml:space="preserve">    (c) Foreign travellers'cheques</t>
  </si>
  <si>
    <t xml:space="preserve">    (e) Offshore Borrowing</t>
  </si>
  <si>
    <t xml:space="preserve">      of which provisions for loan losses</t>
  </si>
  <si>
    <t xml:space="preserve">      of which provisions for other losses</t>
  </si>
  <si>
    <t>Other reserves</t>
  </si>
  <si>
    <t xml:space="preserve">    (d) current year results</t>
  </si>
  <si>
    <t>ASSETS</t>
  </si>
  <si>
    <t>1. Notes and Coin (bond coins)</t>
  </si>
  <si>
    <t>1.</t>
  </si>
  <si>
    <t>Foreign Claims:</t>
  </si>
  <si>
    <t>(a) Notes and coins (foreign currency)</t>
  </si>
  <si>
    <t xml:space="preserve"> Claims on Central Government:</t>
  </si>
  <si>
    <t xml:space="preserve">   (e) Other </t>
  </si>
  <si>
    <t>Claims on Local Authorities:</t>
  </si>
  <si>
    <t>Claims on Non-Financial Public Enterprises</t>
  </si>
  <si>
    <t xml:space="preserve">   (iii) Bonds</t>
  </si>
  <si>
    <t xml:space="preserve"> Claims on Financial Public Enterprises</t>
  </si>
  <si>
    <t>Claims on Other Financial Institutions</t>
  </si>
  <si>
    <t>Negotiable Certificates of Deposit Holdings:</t>
  </si>
  <si>
    <t>Issued by Deposit Money Banks:</t>
  </si>
  <si>
    <t xml:space="preserve">   (i) 30 days and under</t>
  </si>
  <si>
    <t xml:space="preserve">   (ii) over 30 days to 2 years</t>
  </si>
  <si>
    <t xml:space="preserve">   (iii) over 2 years</t>
  </si>
  <si>
    <t>Issued by Other Banking Institutions:</t>
  </si>
  <si>
    <t xml:space="preserve">Holdings of shares </t>
  </si>
  <si>
    <t>Other Assets</t>
  </si>
  <si>
    <t xml:space="preserve"> (please list all items and attach as an appendix)</t>
  </si>
  <si>
    <t xml:space="preserve">   (i) Individuals </t>
  </si>
  <si>
    <t>(b) Deposit Money Banks</t>
  </si>
  <si>
    <t>(c) Other Banking Institutions</t>
  </si>
  <si>
    <t>(e) Government</t>
  </si>
  <si>
    <t>(g) Non-Financial Public Enterprises</t>
  </si>
  <si>
    <t>(h) Financial Public Enterprises</t>
  </si>
  <si>
    <t xml:space="preserve">    (ia) 30 days and under</t>
  </si>
  <si>
    <t xml:space="preserve">    (ib) over 30 days to 2 years</t>
  </si>
  <si>
    <t xml:space="preserve">    (ic) over 2 years</t>
  </si>
  <si>
    <t xml:space="preserve">    (iia) 30 days and under</t>
  </si>
  <si>
    <t xml:space="preserve">    (iib) over 30 days to 2 years</t>
  </si>
  <si>
    <t xml:space="preserve">    (iic) over 2 years</t>
  </si>
  <si>
    <t xml:space="preserve"> Foreign Currency Deposits:</t>
  </si>
  <si>
    <t xml:space="preserve">     (i) Savings</t>
  </si>
  <si>
    <t xml:space="preserve">      (iib) over 30 days to 2 years</t>
  </si>
  <si>
    <t xml:space="preserve">      (iic) over 2 years</t>
  </si>
  <si>
    <t xml:space="preserve">  (c) Non-resident</t>
  </si>
  <si>
    <t xml:space="preserve">   (a) 30 days and under</t>
  </si>
  <si>
    <t xml:space="preserve">   (b) over 30 days to 2 years</t>
  </si>
  <si>
    <t xml:space="preserve">   (c) over 2 years</t>
  </si>
  <si>
    <t>TOTAL LIABILITIES</t>
  </si>
  <si>
    <t>V-CHECK</t>
  </si>
  <si>
    <t xml:space="preserve">  (ii) Current Account</t>
  </si>
  <si>
    <t xml:space="preserve">    (iii) Other</t>
  </si>
  <si>
    <t>3. Balances with Deposit Money Banks:</t>
  </si>
  <si>
    <t xml:space="preserve">   (b) Accepting</t>
  </si>
  <si>
    <t>4. Balances with Other Banking Institutions:</t>
  </si>
  <si>
    <t>5. Money  at  Call with Deposit Money Banks:</t>
  </si>
  <si>
    <t xml:space="preserve">   (a) Commercial  Banks</t>
  </si>
  <si>
    <t>6. Money  at  Call with Other Banking Institutions:</t>
  </si>
  <si>
    <t>7. Foreign  Claims:</t>
  </si>
  <si>
    <t xml:space="preserve">    (a) Notes and coin (foreign currency)</t>
  </si>
  <si>
    <t xml:space="preserve">    (b) Balances with Banks abroad </t>
  </si>
  <si>
    <t xml:space="preserve"> (c) Securities other than shares</t>
  </si>
  <si>
    <t>(d) Other</t>
  </si>
  <si>
    <t>8. Claims  on Central Government:</t>
  </si>
  <si>
    <t xml:space="preserve">   (a) Stocks (at book value)</t>
  </si>
  <si>
    <t xml:space="preserve">      (ii) Non-liquid</t>
  </si>
  <si>
    <t xml:space="preserve">   (b) Bonds</t>
  </si>
  <si>
    <t xml:space="preserve">      (iii) Schools and Colleges </t>
  </si>
  <si>
    <t xml:space="preserve">      (iv) Other</t>
  </si>
  <si>
    <t xml:space="preserve">   (e) Other (RBZ Bills)</t>
  </si>
  <si>
    <t>9. Claims  on Local Authorities:</t>
  </si>
  <si>
    <t xml:space="preserve">        (i) Harare</t>
  </si>
  <si>
    <t xml:space="preserve">       (ii) Bulawayo</t>
  </si>
  <si>
    <t xml:space="preserve">       (iii) Other</t>
  </si>
  <si>
    <t xml:space="preserve">    (c) Other </t>
  </si>
  <si>
    <t>10. Claims on Non-Financial Public Enterprises</t>
  </si>
  <si>
    <t xml:space="preserve">    (i)  Bills</t>
  </si>
  <si>
    <t xml:space="preserve">        (ii) Acceptances</t>
  </si>
  <si>
    <t xml:space="preserve">   (b) Zesa stock</t>
  </si>
  <si>
    <t xml:space="preserve">    (i) Agricultural Marketing Authority</t>
  </si>
  <si>
    <t xml:space="preserve">    (ii) Grain Marketing Board</t>
  </si>
  <si>
    <t xml:space="preserve">    (iii) Dairy Marketing Board</t>
  </si>
  <si>
    <t xml:space="preserve">    (iv) Cotton Marketing Board</t>
  </si>
  <si>
    <t xml:space="preserve">    (v) Cold Storage Commission</t>
  </si>
  <si>
    <t xml:space="preserve">    (vi) Zimbabwe Electricity Supply Authority</t>
  </si>
  <si>
    <t xml:space="preserve">    (ix) Zimbabwe Iron and Steel Company</t>
  </si>
  <si>
    <t xml:space="preserve">   (d) Other claims</t>
  </si>
  <si>
    <t xml:space="preserve">   (f) Offshore Borrowings</t>
  </si>
  <si>
    <t>11. Claims on Financial Public Enterprises</t>
  </si>
  <si>
    <t xml:space="preserve">   (b) Other </t>
  </si>
  <si>
    <t>12. Claims on Other Financial Institutions</t>
  </si>
  <si>
    <t xml:space="preserve">    (a) Loans and Advances</t>
  </si>
  <si>
    <t xml:space="preserve">    (b) Other (specify)</t>
  </si>
  <si>
    <t>13. Claims on Private Sector:</t>
  </si>
  <si>
    <t xml:space="preserve">    (b) Loans and advances to:</t>
  </si>
  <si>
    <t xml:space="preserve">      (i)Individuals</t>
  </si>
  <si>
    <t xml:space="preserve"> (iii)   FCAs Lending</t>
  </si>
  <si>
    <t xml:space="preserve">    (c) Other  Investments </t>
  </si>
  <si>
    <t xml:space="preserve">    (d) Financed by Offshore  Borrowing</t>
  </si>
  <si>
    <t>14. Contingent Claims On Private Sector</t>
  </si>
  <si>
    <t>15. Negotiable Certificates of Deposit Holdings:</t>
  </si>
  <si>
    <t xml:space="preserve">    Issued by Deposit Money Banks</t>
  </si>
  <si>
    <t xml:space="preserve">    (i) 30 days and under</t>
  </si>
  <si>
    <t xml:space="preserve">    (ii) Over 30 days to 2 years</t>
  </si>
  <si>
    <t xml:space="preserve">    (iii) Over 2 years</t>
  </si>
  <si>
    <t>16. Negotiable Certificates of Deposit  Holdings:</t>
  </si>
  <si>
    <t xml:space="preserve">    Issued by  Other Banking Institutions</t>
  </si>
  <si>
    <t xml:space="preserve">17. Holdings of shares </t>
  </si>
  <si>
    <t>18. Fixed Assets</t>
  </si>
  <si>
    <t xml:space="preserve">     (i) Land and Buildings</t>
  </si>
  <si>
    <t xml:space="preserve">     (ii) Furniture, Fittings &amp; Equipment</t>
  </si>
  <si>
    <t xml:space="preserve">     (iii) Vehicles</t>
  </si>
  <si>
    <t>19. Other Assets</t>
  </si>
  <si>
    <t xml:space="preserve">     (please list all items and attach as an appendix)</t>
  </si>
  <si>
    <t xml:space="preserve"> TOTAL ASSETS</t>
  </si>
  <si>
    <t xml:space="preserve">  (i) Individuals</t>
  </si>
  <si>
    <t xml:space="preserve">    (ii) Corporate Bodies</t>
  </si>
  <si>
    <t xml:space="preserve">    (iii) Non-resident non-transferable</t>
  </si>
  <si>
    <t xml:space="preserve">    (iv) Non-resident transferable     </t>
  </si>
  <si>
    <t>2. Time Deposits:</t>
  </si>
  <si>
    <t xml:space="preserve">    (i) Individuals</t>
  </si>
  <si>
    <t xml:space="preserve">     (ia) 30 days and under</t>
  </si>
  <si>
    <t xml:space="preserve">     (ib) over 30 days to 2 years</t>
  </si>
  <si>
    <t xml:space="preserve">     (ic) over 2 years</t>
  </si>
  <si>
    <t xml:space="preserve">     (iia) 30 days and under</t>
  </si>
  <si>
    <t xml:space="preserve">     (iib) over 30 days to 2 years</t>
  </si>
  <si>
    <t xml:space="preserve">     (iic) over 2 years</t>
  </si>
  <si>
    <t xml:space="preserve">     (iiia) 30 days and under</t>
  </si>
  <si>
    <t xml:space="preserve">     (iiib) over 30 days to 2 years</t>
  </si>
  <si>
    <t xml:space="preserve">     (iiic) over 2 years</t>
  </si>
  <si>
    <t>3. Foreign Currency Deposits:</t>
  </si>
  <si>
    <t>4. Negotiable Certificates of Deposit  Issued</t>
  </si>
  <si>
    <t xml:space="preserve">   payable in:</t>
  </si>
  <si>
    <t>5. Amounts owing to Reserve Bank of Zimbabwe:</t>
  </si>
  <si>
    <t xml:space="preserve">    (a) Bills</t>
  </si>
  <si>
    <t xml:space="preserve">    (b) Loans and advances</t>
  </si>
  <si>
    <t xml:space="preserve">    (c) Other (specify)</t>
  </si>
  <si>
    <t>6. Amounts owing to Deposit Money Banks:</t>
  </si>
  <si>
    <t xml:space="preserve">   (a) Commercial Banks:</t>
  </si>
  <si>
    <t>7. Amounts owing to Other Banking Institutions:</t>
  </si>
  <si>
    <t xml:space="preserve">   (a) Finance Houses </t>
  </si>
  <si>
    <t>8. Amounts owing to Other Financial Institutions:</t>
  </si>
  <si>
    <t>9. Foreign Liabilities:</t>
  </si>
  <si>
    <t xml:space="preserve"> (d) Securities other than shares issued to non-residents</t>
  </si>
  <si>
    <t>10. Contingent Liabilities</t>
  </si>
  <si>
    <t xml:space="preserve">    (b) Undrawn Loans and Advance  Facilities</t>
  </si>
  <si>
    <t xml:space="preserve">    (c) Other Contingent Liability</t>
  </si>
  <si>
    <t>11. Bills Payable</t>
  </si>
  <si>
    <t>12. Capital and Reserves:</t>
  </si>
  <si>
    <t xml:space="preserve">   (a) Paid-up Equity Capital</t>
  </si>
  <si>
    <t xml:space="preserve">     (i) Internal</t>
  </si>
  <si>
    <t xml:space="preserve">     (ii) External</t>
  </si>
  <si>
    <t xml:space="preserve">   (b) Other Paid-up Capital (Specify)</t>
  </si>
  <si>
    <t xml:space="preserve">   (c) Reserves, Reserve Funds and Unappropriated profits</t>
  </si>
  <si>
    <t xml:space="preserve">      other reserves</t>
  </si>
  <si>
    <t>13. Other Liabilities</t>
  </si>
  <si>
    <t xml:space="preserve">   (please list all items and attach as an appendix)</t>
  </si>
  <si>
    <t>V- CHECK</t>
  </si>
  <si>
    <t>2.</t>
  </si>
  <si>
    <t>3.</t>
  </si>
  <si>
    <t>4.</t>
  </si>
  <si>
    <t>5.</t>
  </si>
  <si>
    <t>6.</t>
  </si>
  <si>
    <t>7.</t>
  </si>
  <si>
    <t>8.</t>
  </si>
  <si>
    <t>9.</t>
  </si>
  <si>
    <t>10.</t>
  </si>
  <si>
    <t>11.</t>
  </si>
  <si>
    <t>12.</t>
  </si>
  <si>
    <t>13.</t>
  </si>
  <si>
    <t>14.</t>
  </si>
  <si>
    <t>15.</t>
  </si>
  <si>
    <t xml:space="preserve">  </t>
  </si>
  <si>
    <t>Notes and Coin (bond coins)</t>
  </si>
  <si>
    <t>Balances with Reserve Bank of Zimbabwe:</t>
  </si>
  <si>
    <t>Balances with Deposit Money  Banks:</t>
  </si>
  <si>
    <t>(a) Commercial Banks</t>
  </si>
  <si>
    <t>(b) Accepting Houses</t>
  </si>
  <si>
    <t>(c) Discount Houses</t>
  </si>
  <si>
    <t>Balances with Other Banking Institutions:</t>
  </si>
  <si>
    <t>(a) Finance Houses</t>
  </si>
  <si>
    <t>(b) Building Societies</t>
  </si>
  <si>
    <t>Money at call with Deposit Money Banks:</t>
  </si>
  <si>
    <t>Money at call with Other Banking Institutions:</t>
  </si>
  <si>
    <t>(b)Deposits with banks abroad</t>
  </si>
  <si>
    <t xml:space="preserve"> (c) Zimbabwe London Registered Stock</t>
  </si>
  <si>
    <t xml:space="preserve"> (d) External Government Stock</t>
  </si>
  <si>
    <t xml:space="preserve"> (e) Securities issues by non residents</t>
  </si>
  <si>
    <t xml:space="preserve"> (f) Other (specify)- notes and coins</t>
  </si>
  <si>
    <t xml:space="preserve"> (a) Municipal Stock</t>
  </si>
  <si>
    <t xml:space="preserve">  (i) Harare </t>
  </si>
  <si>
    <t xml:space="preserve">  (ii) Bulawayo </t>
  </si>
  <si>
    <t xml:space="preserve">  (ii) Other(specify)</t>
  </si>
  <si>
    <t xml:space="preserve"> (b) Loans and advances</t>
  </si>
  <si>
    <t xml:space="preserve"> (c) Other (Specify)</t>
  </si>
  <si>
    <t xml:space="preserve"> (a) Agricultural Marketing Authority</t>
  </si>
  <si>
    <t xml:space="preserve">  (i) Bills</t>
  </si>
  <si>
    <t xml:space="preserve">  (ii) Acceptances</t>
  </si>
  <si>
    <t xml:space="preserve">  (iii) Bonds</t>
  </si>
  <si>
    <t xml:space="preserve"> (b) Zesa Stock</t>
  </si>
  <si>
    <t xml:space="preserve"> (c) Loans and advances</t>
  </si>
  <si>
    <t xml:space="preserve"> (d) Other (specify)</t>
  </si>
  <si>
    <t xml:space="preserve">  (i) Loans and Advances</t>
  </si>
  <si>
    <t xml:space="preserve">  (ii) Other (specify)</t>
  </si>
  <si>
    <t>Claims on Private sector:</t>
  </si>
  <si>
    <t xml:space="preserve"> (a) Investments</t>
  </si>
  <si>
    <t xml:space="preserve"> (b) Other</t>
  </si>
  <si>
    <t>Fixed Assets:</t>
  </si>
  <si>
    <t xml:space="preserve"> (a) Land and Buildings</t>
  </si>
  <si>
    <t xml:space="preserve"> (b) Furniture, Fittings and Equipment</t>
  </si>
  <si>
    <t xml:space="preserve"> (c) Vehicles</t>
  </si>
  <si>
    <t xml:space="preserve"> 5.  </t>
  </si>
  <si>
    <t xml:space="preserve"> 6.  </t>
  </si>
  <si>
    <t xml:space="preserve"> 7.  </t>
  </si>
  <si>
    <t>Savings Deposits (Including interest payable)</t>
  </si>
  <si>
    <t>(a) Private</t>
  </si>
  <si>
    <t xml:space="preserve">   (i) individuals</t>
  </si>
  <si>
    <t xml:space="preserve">   (ii) companies</t>
  </si>
  <si>
    <t xml:space="preserve">(d) Other Financial Institutions </t>
  </si>
  <si>
    <t>(f) Local Authorities</t>
  </si>
  <si>
    <t>Time Deposits (Including interest payable)</t>
  </si>
  <si>
    <t xml:space="preserve">   (ii) Companies</t>
  </si>
  <si>
    <t>(d) Other Financial Institutions(see attached list)</t>
  </si>
  <si>
    <t>(f) Non-Financial Public Enterprises</t>
  </si>
  <si>
    <t>(g) Financial Public Enterprises</t>
  </si>
  <si>
    <t>(h) Local Authorities</t>
  </si>
  <si>
    <t>Negotiable Certificates of Deposit Issued:</t>
  </si>
  <si>
    <t>Payable In:</t>
  </si>
  <si>
    <t>Amounts Owing to Deposit Money Banks:</t>
  </si>
  <si>
    <t xml:space="preserve"> (a) Commercial Banks</t>
  </si>
  <si>
    <t xml:space="preserve"> (b) Accepting Houses</t>
  </si>
  <si>
    <t xml:space="preserve"> (c) Discount Houses</t>
  </si>
  <si>
    <t>Amounts Owing to Other Banking Institutions:</t>
  </si>
  <si>
    <t xml:space="preserve"> (a) Finance Houses</t>
  </si>
  <si>
    <t xml:space="preserve"> (b) Building Societies</t>
  </si>
  <si>
    <t>Amounts Owing to Other Financial Institutions:</t>
  </si>
  <si>
    <t>(a)Deposits of banks abroad</t>
  </si>
  <si>
    <t>(b)Securities issued to non-residents</t>
  </si>
  <si>
    <t>Capital And Reserves</t>
  </si>
  <si>
    <t xml:space="preserve">    current year results</t>
  </si>
  <si>
    <t xml:space="preserve">                                                                              Other Liabilities (List all items and attach as an appendix)</t>
  </si>
  <si>
    <t>Debt Securities</t>
  </si>
  <si>
    <t>Loans and Advances</t>
  </si>
  <si>
    <t>Contigent Assets</t>
  </si>
  <si>
    <t>Balances  with</t>
  </si>
  <si>
    <t xml:space="preserve">Other Claims </t>
  </si>
  <si>
    <t xml:space="preserve">Other Depository </t>
  </si>
  <si>
    <t>on</t>
  </si>
  <si>
    <r>
      <t>Government</t>
    </r>
    <r>
      <rPr>
        <vertAlign val="superscript"/>
        <sz val="11"/>
        <rFont val="Times New Roman"/>
        <family val="1"/>
      </rPr>
      <t>1</t>
    </r>
  </si>
  <si>
    <t>Local Governemt</t>
  </si>
  <si>
    <r>
      <t>Other</t>
    </r>
    <r>
      <rPr>
        <vertAlign val="superscript"/>
        <sz val="11"/>
        <rFont val="Times New Roman"/>
        <family val="1"/>
      </rPr>
      <t>2</t>
    </r>
  </si>
  <si>
    <t>Local Government</t>
  </si>
  <si>
    <r>
      <t>Other Institutional Units</t>
    </r>
    <r>
      <rPr>
        <vertAlign val="superscript"/>
        <sz val="11"/>
        <rFont val="Times New Roman"/>
        <family val="1"/>
      </rPr>
      <t>3</t>
    </r>
  </si>
  <si>
    <t>Corporations</t>
  </si>
  <si>
    <t>Non-residents</t>
  </si>
  <si>
    <t>securities</t>
  </si>
  <si>
    <t>Vcheck</t>
  </si>
  <si>
    <t>Government securities includes treasuary bills and bonds</t>
  </si>
  <si>
    <t>Includes bankers acceptances, discounted bills and negotiable certificates of deposits.</t>
  </si>
  <si>
    <t xml:space="preserve">Includes households, other financial corporations, </t>
  </si>
  <si>
    <t>Time Deposits</t>
  </si>
  <si>
    <t xml:space="preserve">Total Deposits </t>
  </si>
  <si>
    <t>Other Depository</t>
  </si>
  <si>
    <t xml:space="preserve">Government </t>
  </si>
  <si>
    <t xml:space="preserve">Other Finacial </t>
  </si>
  <si>
    <t>from the public</t>
  </si>
  <si>
    <t xml:space="preserve"> Corporations</t>
  </si>
  <si>
    <t>V check</t>
  </si>
  <si>
    <t>TABLE XXX:  - COMMERCIAL BANKS -ASSETS</t>
  </si>
  <si>
    <t>Other claims</t>
  </si>
  <si>
    <t>Mortgages</t>
  </si>
  <si>
    <t>TABLE XXX : BUILDING SOCIETIES - LIABILITIES</t>
  </si>
  <si>
    <t>TABLE XXX:  - COMMERCIAL AND MERCHANT BANKS -ASSETS</t>
  </si>
  <si>
    <t>TABLE XXX : COMMERCIAL AND MERCHANT BANKS - LIABILITIES</t>
  </si>
  <si>
    <t>TABLE 7.1:  MERCHANT BANKS -ASSETS</t>
  </si>
  <si>
    <t>TABLE 7.2:  MERCHANT BANKS -LIABILITIES</t>
  </si>
  <si>
    <t>1.Government securities includes treasuary bills and bonds</t>
  </si>
  <si>
    <t>2.Includes bankers acceptances, discounted bills and negotiable certificates of deposits.</t>
  </si>
  <si>
    <t xml:space="preserve">3.Includes households, other financial corporations, </t>
  </si>
  <si>
    <t>Local</t>
  </si>
  <si>
    <t>Public</t>
  </si>
  <si>
    <t>Enterprises</t>
  </si>
  <si>
    <t xml:space="preserve">Contigent </t>
  </si>
  <si>
    <t>TABLE 7.1  :  SECTORAL ANALYSIS OF COMMERCIAL BANKS LOANS AND ADVANCES/1</t>
  </si>
  <si>
    <t xml:space="preserve">    TABLE 7.2: SECTORAL ANALYSIS OF COMMERCIAL BANKS DEPOSITS </t>
  </si>
  <si>
    <t>TABLE 8.1: LENDING RATES (percent per annum)</t>
  </si>
  <si>
    <t>TABLE 10: ZIMBABWE: EXTERNAL DEBT OUTSTANDING BY DEBTOR (INCLUDING ALL ARREARS)</t>
  </si>
  <si>
    <t xml:space="preserve">     TABLE 11 : SELECTED INTERNATIONAL EXCHANGE RATES</t>
  </si>
  <si>
    <t>TABLE 12: ZIMBABWE STOCK MARKET STATISTICS</t>
  </si>
  <si>
    <t xml:space="preserve">TABLE 13.1 :  ZETSS AND RETAIL PAYMENTS </t>
  </si>
  <si>
    <t xml:space="preserve">TABLE 13.2 :  ZETSS AND RETAIL PAYMENTS </t>
  </si>
  <si>
    <t>TABLE 14 :  MERCHANDISE TRADE STATISTICS</t>
  </si>
  <si>
    <t>1.00-9.50**</t>
  </si>
  <si>
    <t>feb</t>
  </si>
  <si>
    <t xml:space="preserve"> **Banks have adjusted their costs of holding deposits following the call by the RBZ  to reduce lending rates. </t>
  </si>
  <si>
    <t>EXPORTS</t>
  </si>
  <si>
    <t>IMPORTS</t>
  </si>
  <si>
    <t>TOTAL TRADE</t>
  </si>
  <si>
    <t>TRADE BALANCE</t>
  </si>
  <si>
    <t>TABLE 5.1: COMMERCIAL BANKS -ASSETS</t>
  </si>
  <si>
    <t>1.Government securities include treasuary bills and bonds</t>
  </si>
  <si>
    <t>1. Nominal lending rates depict the range of rates quoted by banks.</t>
  </si>
  <si>
    <t xml:space="preserve">* Deposit rates depict the range of rates qouted by banks. </t>
  </si>
  <si>
    <t>TABLE 8.2 : BANK DEPOSIT RATES (percent per annum)</t>
  </si>
  <si>
    <t xml:space="preserve">TABLE 9.2 : YEARLY INFLATION - % CHANGE IN CONSUMER PRICE INDEX </t>
  </si>
  <si>
    <t xml:space="preserve">TABLE 9.1 : MONTHLY INFLATION - % CHANGE IN CONSUMER PRICE INDEX </t>
  </si>
  <si>
    <t>BOTSWANA</t>
  </si>
  <si>
    <t>SOUTH ARFICAN</t>
  </si>
  <si>
    <t>EURO/2</t>
  </si>
  <si>
    <t>4.45-18.00</t>
  </si>
  <si>
    <r>
      <t>Nominal Lending Rates</t>
    </r>
    <r>
      <rPr>
        <b/>
        <vertAlign val="superscript"/>
        <sz val="13"/>
        <color rgb="FF000000"/>
        <rFont val="Times New Roman"/>
        <family val="1"/>
      </rPr>
      <t>3</t>
    </r>
    <r>
      <rPr>
        <b/>
        <sz val="13"/>
        <color rgb="FF000000"/>
        <rFont val="Times New Roman"/>
        <family val="1"/>
      </rPr>
      <t xml:space="preserve"> </t>
    </r>
  </si>
  <si>
    <r>
      <t xml:space="preserve">Nominal Lending Rates </t>
    </r>
    <r>
      <rPr>
        <b/>
        <vertAlign val="superscript"/>
        <sz val="13"/>
        <color rgb="FF000000"/>
        <rFont val="Times New Roman"/>
        <family val="1"/>
      </rPr>
      <t>1</t>
    </r>
  </si>
  <si>
    <r>
      <t>Individuals</t>
    </r>
    <r>
      <rPr>
        <sz val="13"/>
        <color rgb="FF000000"/>
        <rFont val="Times New Roman"/>
        <family val="1"/>
      </rPr>
      <t xml:space="preserve"> </t>
    </r>
  </si>
  <si>
    <r>
      <t>Nominal Lending Rates</t>
    </r>
    <r>
      <rPr>
        <b/>
        <vertAlign val="superscript"/>
        <sz val="13"/>
        <color rgb="FF000000"/>
        <rFont val="Times New Roman"/>
        <family val="1"/>
      </rPr>
      <t>2</t>
    </r>
  </si>
  <si>
    <t>0.22-12.00</t>
  </si>
  <si>
    <t>59.,977.6</t>
  </si>
  <si>
    <t>All Share*</t>
  </si>
  <si>
    <t>*All Share index was introduced in January 2018</t>
  </si>
  <si>
    <t>FOOD &amp; NON ALCOHOLIC BEVERAGES</t>
  </si>
  <si>
    <t>ALL         ITEMS</t>
  </si>
  <si>
    <t>1.00-8.00</t>
  </si>
  <si>
    <t>1.00-6.75</t>
  </si>
  <si>
    <t>Weighted Lending Rates</t>
  </si>
  <si>
    <t xml:space="preserve">                                    Source:Reserve Bank of Zimbabwe, 2019</t>
  </si>
  <si>
    <t xml:space="preserve">                                Source:Reserve Bank of Zimbabwe, 2019</t>
  </si>
  <si>
    <t>Source:Zimbabwe Stock Exchange ,2019</t>
  </si>
  <si>
    <t>Source:Reserve Bank of Zimbabwe, 2019</t>
  </si>
  <si>
    <t>Source:Zimstat, 2019</t>
  </si>
  <si>
    <t>Source:Reserve Bank of Zimbabwe,2019</t>
  </si>
  <si>
    <t>Source: Reserve Bank of Zimbabwe,2019</t>
  </si>
  <si>
    <t>Source: Reserve Bank of Zimbabwe, 2019</t>
  </si>
  <si>
    <t>Source: Ministry of Finance &amp; Economic Development, 2019;  &amp; Reserve Bank of Zimbabwe, 2019</t>
  </si>
  <si>
    <t>(February 2019 = 100)</t>
  </si>
  <si>
    <t>Market Turnover         ZWL$ million</t>
  </si>
  <si>
    <t>ZWL$ millions</t>
  </si>
  <si>
    <t>ZWL$ ('000)</t>
  </si>
  <si>
    <t xml:space="preserve">                                                               Values of Transactions (ZWL$ millions)</t>
  </si>
  <si>
    <t xml:space="preserve">                                                                       Volumes of Transactions (ZWL$ 000's)</t>
  </si>
  <si>
    <t>USA</t>
  </si>
  <si>
    <t>Dollar</t>
  </si>
  <si>
    <t>1. Foreign currency per ZWL$ dollar.</t>
  </si>
  <si>
    <t>Source: ZIMSTAT, 2019</t>
  </si>
  <si>
    <t>CLOTHING &amp;</t>
  </si>
  <si>
    <t>Other Institutionsl Units</t>
  </si>
  <si>
    <t>Loans in ZiG</t>
  </si>
  <si>
    <t xml:space="preserve">Loans in Foreign Currency </t>
  </si>
  <si>
    <t>ZWG millions</t>
  </si>
  <si>
    <r>
      <t>Government</t>
    </r>
    <r>
      <rPr>
        <vertAlign val="superscript"/>
        <sz val="12"/>
        <rFont val="Times New Roman"/>
        <family val="1"/>
      </rPr>
      <t>1</t>
    </r>
  </si>
  <si>
    <r>
      <t>Other</t>
    </r>
    <r>
      <rPr>
        <vertAlign val="superscript"/>
        <sz val="12"/>
        <rFont val="Times New Roman"/>
        <family val="1"/>
      </rPr>
      <t>2</t>
    </r>
  </si>
  <si>
    <t>Source:Reserve Bank of Zimbabwe,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</si>
</sst>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7">
    <numFmt numFmtId="41" formatCode="_-* #,##0_-;\-* #,##0_-;_-* &quot;-&quot;_-;_-@_-"/>
    <numFmt numFmtId="43" formatCode="_-* #,##0.00_-;\-* #,##0.00_-;_-* &quot;-&quot;??_-;_-@_-"/>
    <numFmt numFmtId="164" formatCode="&quot;$&quot;#,##0_);\(&quot;$&quot;#,##0\)"/>
    <numFmt numFmtId="165" formatCode="_(&quot;$&quot;* #,##0_);_(&quot;$&quot;* \(#,##0\);_(&quot;$&quot;* &quot;-&quot;_);_(@_)"/>
    <numFmt numFmtId="166" formatCode="_(&quot;$&quot;* #,##0.00_);_(&quot;$&quot;* \(#,##0.00\);_(&quot;$&quot;* &quot;-&quot;??_);_(@_)"/>
    <numFmt numFmtId="167" formatCode="_(* #,##0.00_);_(* \(#,##0.00\);_(* &quot;-&quot;??_);_(@_)"/>
    <numFmt numFmtId="168" formatCode="&quot;Z$&quot;#,##0_);\(&quot;Z$&quot;#,##0\)"/>
    <numFmt numFmtId="169" formatCode="_(&quot;Z$&quot;* #,##0.00_);_(&quot;Z$&quot;* \(#,##0.00\);_(&quot;Z$&quot;* &quot;-&quot;??_);_(@_)"/>
    <numFmt numFmtId="170" formatCode="0.0"/>
    <numFmt numFmtId="171" formatCode="0.0000"/>
    <numFmt numFmtId="172" formatCode=";;;"/>
    <numFmt numFmtId="173" formatCode="0.0%"/>
    <numFmt numFmtId="174" formatCode="#,##0.0"/>
    <numFmt numFmtId="175" formatCode="0.000000"/>
    <numFmt numFmtId="176" formatCode="[$-409]mmm\-yy;@"/>
    <numFmt numFmtId="177" formatCode="_(* #,##0.0_);_(* \(#,##0.0\);_(* &quot;-&quot;??_);_(@_)"/>
    <numFmt numFmtId="178" formatCode="#,##0.0_);\(#,##0.0\)"/>
    <numFmt numFmtId="179" formatCode="0_);\(0\)"/>
    <numFmt numFmtId="180" formatCode="_-&quot;£&quot;* #,##0.00_-;\-&quot;£&quot;* #,##0.00_-;_-&quot;£&quot;* &quot;-&quot;??_-;_-@_-"/>
    <numFmt numFmtId="181" formatCode="0.00000000"/>
    <numFmt numFmtId="182" formatCode="0.00000"/>
    <numFmt numFmtId="183" formatCode="0.00_)"/>
    <numFmt numFmtId="184" formatCode="0_)"/>
    <numFmt numFmtId="185" formatCode="_ * #,##0.00_ ;_ * \-#,##0.00_ ;_ * &quot;-&quot;??_ ;_ @_ "/>
    <numFmt numFmtId="186" formatCode="[$-809]d\ mmmm\ yyyy;@"/>
    <numFmt numFmtId="187" formatCode="[$-3009]mmmm\ dd\,\ yyyy;@"/>
    <numFmt numFmtId="188" formatCode="mm/dd/yy"/>
    <numFmt numFmtId="189" formatCode="_-[$€-2]* #,##0.00_-;\-[$€-2]* #,##0.00_-;_-[$€-2]* &quot;-&quot;??_-"/>
    <numFmt numFmtId="190" formatCode="&quot;   &quot;@"/>
    <numFmt numFmtId="191" formatCode="&quot;      &quot;@"/>
    <numFmt numFmtId="192" formatCode="&quot;         &quot;@"/>
    <numFmt numFmtId="193" formatCode="&quot;            &quot;@"/>
    <numFmt numFmtId="194" formatCode="&quot;               &quot;@"/>
    <numFmt numFmtId="195" formatCode="[Black][&gt;0.05]#,##0.0;[Black][&lt;-0.05]\-#,##0.0;;"/>
    <numFmt numFmtId="196" formatCode="[Black][&gt;0.5]#,##0;[Black][&lt;-0.5]\-#,##0;;"/>
    <numFmt numFmtId="197" formatCode="dd\-mmm\-yy_)"/>
    <numFmt numFmtId="198" formatCode="\M\o\n\t\h\ \D.\y\y\y\y"/>
    <numFmt numFmtId="199" formatCode="_(* #,##0_);_(* \(#,##0\);_(* &quot;-&quot;??_);_(@_)"/>
    <numFmt numFmtId="200" formatCode="General_)"/>
    <numFmt numFmtId="201" formatCode="#,##0.000000"/>
    <numFmt numFmtId="202" formatCode="[Black]#,##0.0;[Black]\-#,##0.0;;"/>
    <numFmt numFmtId="203" formatCode="[&gt;=0.05]#,##0.0;[&lt;=-0.05]\-#,##0.0;?0.0"/>
    <numFmt numFmtId="204" formatCode="#.##000"/>
    <numFmt numFmtId="205" formatCode="%#,#00"/>
    <numFmt numFmtId="206" formatCode="#,#00"/>
    <numFmt numFmtId="207" formatCode="#.##0,"/>
    <numFmt numFmtId="208" formatCode="\$#,"/>
    <numFmt numFmtId="209" formatCode="&quot;Cr$&quot;#,##0_);[Red]\(&quot;Cr$&quot;#,##0\)"/>
    <numFmt numFmtId="210" formatCode="&quot;Cr$&quot;#,##0.00_);[Red]\(&quot;Cr$&quot;#,##0.00\)"/>
    <numFmt numFmtId="211" formatCode="\$#,##0.00\ ;\(\$#,##0.00\)"/>
    <numFmt numFmtId="212" formatCode="&quot;$&quot;#,#00"/>
    <numFmt numFmtId="213" formatCode="&quot;$&quot;#,"/>
    <numFmt numFmtId="214" formatCode="#,##0.0____"/>
    <numFmt numFmtId="215" formatCode="#,##0;[Red]\(#,##0\)"/>
    <numFmt numFmtId="216" formatCode="General\ \ \ \ \ \ "/>
    <numFmt numFmtId="217" formatCode="0.0\ \ \ \ \ \ \ \ "/>
    <numFmt numFmtId="218" formatCode="mmmm\ yyyy"/>
  </numFmts>
  <fonts count="237">
    <font>
      <sz val="12"/>
      <name val="SWISS"/>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name val="Times New Roman"/>
      <family val="1"/>
    </font>
    <font>
      <sz val="14"/>
      <name val="Times New Roman"/>
      <family val="1"/>
    </font>
    <font>
      <sz val="18"/>
      <name val="Times New Roman"/>
      <family val="1"/>
    </font>
    <font>
      <b/>
      <sz val="12"/>
      <name val="Times New Roman"/>
      <family val="1"/>
    </font>
    <font>
      <b/>
      <sz val="12"/>
      <name val="SWISS"/>
    </font>
    <font>
      <sz val="12"/>
      <name val="Times New Roman"/>
      <family val="1"/>
    </font>
    <font>
      <sz val="12"/>
      <name val="SWISS"/>
    </font>
    <font>
      <b/>
      <sz val="12"/>
      <name val="Times New Roman"/>
      <family val="1"/>
    </font>
    <font>
      <sz val="12"/>
      <name val="Times New Roman"/>
      <family val="1"/>
    </font>
    <font>
      <sz val="10"/>
      <name val="DUTCH"/>
    </font>
    <font>
      <sz val="12"/>
      <name val="SWISS"/>
    </font>
    <font>
      <sz val="12"/>
      <name val="Arial"/>
      <family val="2"/>
    </font>
    <font>
      <sz val="12"/>
      <name val="SWISS"/>
    </font>
    <font>
      <sz val="10"/>
      <name val="Arial"/>
      <family val="2"/>
    </font>
    <font>
      <b/>
      <sz val="12"/>
      <color indexed="8"/>
      <name val="Times New Roman"/>
      <family val="1"/>
    </font>
    <font>
      <b/>
      <sz val="12"/>
      <name val="Times New Roman"/>
      <family val="1"/>
    </font>
    <font>
      <sz val="12"/>
      <color indexed="8"/>
      <name val="SWISS"/>
    </font>
    <font>
      <sz val="12"/>
      <color indexed="8"/>
      <name val="Times New Roman"/>
      <family val="1"/>
    </font>
    <font>
      <b/>
      <sz val="12"/>
      <color indexed="8"/>
      <name val="SWISS"/>
    </font>
    <font>
      <b/>
      <sz val="12"/>
      <color indexed="8"/>
      <name val="Times New Roman"/>
      <family val="1"/>
    </font>
    <font>
      <sz val="10"/>
      <name val="Times New Roman"/>
      <family val="1"/>
    </font>
    <font>
      <b/>
      <sz val="10"/>
      <name val="Times New Roman"/>
      <family val="1"/>
    </font>
    <font>
      <b/>
      <sz val="10"/>
      <name val="Times New Roman"/>
      <family val="1"/>
    </font>
    <font>
      <i/>
      <sz val="12"/>
      <name val="Times New Roman"/>
      <family val="1"/>
    </font>
    <font>
      <sz val="12"/>
      <name val="Times New Roman"/>
      <family val="1"/>
    </font>
    <font>
      <b/>
      <sz val="18"/>
      <name val="Times New Roman"/>
      <family val="1"/>
    </font>
    <font>
      <sz val="8"/>
      <name val="SWISS"/>
    </font>
    <font>
      <sz val="8"/>
      <name val="Times New Roman"/>
      <family val="1"/>
    </font>
    <font>
      <sz val="12"/>
      <name val="SWISS"/>
    </font>
    <font>
      <b/>
      <sz val="14"/>
      <name val="Times New Roman"/>
      <family val="1"/>
    </font>
    <font>
      <sz val="11"/>
      <name val="Times New Roman"/>
      <family val="1"/>
    </font>
    <font>
      <sz val="12"/>
      <color indexed="9"/>
      <name val="SWISS"/>
    </font>
    <font>
      <sz val="12"/>
      <color indexed="12"/>
      <name val="Times New Roman"/>
      <family val="1"/>
    </font>
    <font>
      <sz val="10"/>
      <name val="Times New Roman"/>
      <family val="1"/>
    </font>
    <font>
      <sz val="10"/>
      <color indexed="8"/>
      <name val="Times New Roman"/>
      <family val="1"/>
    </font>
    <font>
      <b/>
      <sz val="10"/>
      <name val="SWISS"/>
    </font>
    <font>
      <sz val="6"/>
      <name val="Times New Roman"/>
      <family val="1"/>
    </font>
    <font>
      <b/>
      <sz val="6"/>
      <name val="Times New Roman"/>
      <family val="1"/>
    </font>
    <font>
      <b/>
      <sz val="8"/>
      <name val="Times New Roman"/>
      <family val="1"/>
    </font>
    <font>
      <b/>
      <sz val="11"/>
      <color indexed="8"/>
      <name val="Times New Roman"/>
      <family val="1"/>
    </font>
    <font>
      <b/>
      <sz val="11"/>
      <name val="Times New Roman"/>
      <family val="1"/>
    </font>
    <font>
      <sz val="11"/>
      <color indexed="8"/>
      <name val="Times New Roman"/>
      <family val="1"/>
    </font>
    <font>
      <sz val="9"/>
      <name val="Times New Roman"/>
      <family val="1"/>
    </font>
    <font>
      <b/>
      <sz val="9"/>
      <name val="Times New Roman"/>
      <family val="1"/>
    </font>
    <font>
      <sz val="5"/>
      <name val="Times New Roman"/>
      <family val="1"/>
    </font>
    <font>
      <b/>
      <sz val="5"/>
      <name val="Times New Roman"/>
      <family val="1"/>
    </font>
    <font>
      <sz val="5"/>
      <name val="SWISS"/>
    </font>
    <font>
      <b/>
      <sz val="5"/>
      <name val="SWISS"/>
    </font>
    <font>
      <b/>
      <sz val="7"/>
      <color rgb="FF000000"/>
      <name val="Times New Roman"/>
      <family val="1"/>
    </font>
    <font>
      <b/>
      <i/>
      <sz val="7"/>
      <color rgb="FF000000"/>
      <name val="Times New Roman"/>
      <family val="1"/>
    </font>
    <font>
      <b/>
      <sz val="8"/>
      <color rgb="FF000000"/>
      <name val="Times New Roman"/>
      <family val="1"/>
    </font>
    <font>
      <sz val="8"/>
      <color rgb="FF000000"/>
      <name val="Times New Roman"/>
      <family val="1"/>
    </font>
    <font>
      <sz val="6"/>
      <color rgb="FF000000"/>
      <name val="Times New Roman"/>
      <family val="1"/>
    </font>
    <font>
      <b/>
      <sz val="6"/>
      <color rgb="FF000000"/>
      <name val="Times New Roman"/>
      <family val="1"/>
    </font>
    <font>
      <sz val="10"/>
      <color rgb="FF000000"/>
      <name val="Times New Roman"/>
      <family val="1"/>
    </font>
    <font>
      <b/>
      <sz val="9"/>
      <color rgb="FF000000"/>
      <name val="Times New Roman"/>
      <family val="1"/>
    </font>
    <font>
      <sz val="9"/>
      <color rgb="FF000000"/>
      <name val="Times New Roman"/>
      <family val="1"/>
    </font>
    <font>
      <sz val="11"/>
      <color rgb="FF000000"/>
      <name val="Times New Roman"/>
      <family val="1"/>
    </font>
    <font>
      <b/>
      <sz val="12"/>
      <color rgb="FF000000"/>
      <name val="Times New Roman"/>
      <family val="1"/>
    </font>
    <font>
      <b/>
      <sz val="11"/>
      <color rgb="FF000000"/>
      <name val="Times New Roman"/>
      <family val="1"/>
    </font>
    <font>
      <sz val="5"/>
      <color rgb="FF000000"/>
      <name val="Times New Roman"/>
      <family val="1"/>
    </font>
    <font>
      <b/>
      <sz val="5"/>
      <color rgb="FF000000"/>
      <name val="Times New Roman"/>
      <family val="1"/>
    </font>
    <font>
      <b/>
      <sz val="11"/>
      <color rgb="FFFF0000"/>
      <name val="Times New Roman"/>
      <family val="1"/>
    </font>
    <font>
      <b/>
      <sz val="10"/>
      <color rgb="FF000000"/>
      <name val="Times New Roman"/>
      <family val="1"/>
    </font>
    <font>
      <sz val="7"/>
      <color rgb="FF000000"/>
      <name val="Times New Roman"/>
      <family val="1"/>
    </font>
    <font>
      <sz val="12"/>
      <color rgb="FF000000"/>
      <name val="Times New Roman"/>
      <family val="1"/>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8.25"/>
      <name val="Helv"/>
    </font>
    <font>
      <u/>
      <sz val="11"/>
      <color rgb="FF004488"/>
      <name val="Calibri"/>
      <family val="2"/>
      <scheme val="minor"/>
    </font>
    <font>
      <u/>
      <sz val="11"/>
      <color rgb="FF0066AA"/>
      <name val="Calibri"/>
      <family val="2"/>
      <scheme val="minor"/>
    </font>
    <font>
      <b/>
      <sz val="18"/>
      <color theme="3"/>
      <name val="Cambria"/>
      <family val="2"/>
      <scheme val="major"/>
    </font>
    <font>
      <sz val="9"/>
      <color indexed="81"/>
      <name val="Tahoma"/>
      <family val="2"/>
    </font>
    <font>
      <b/>
      <sz val="9"/>
      <color indexed="81"/>
      <name val="Tahoma"/>
      <family val="2"/>
    </font>
    <font>
      <sz val="8"/>
      <color rgb="FF000000"/>
      <name val="SWISS"/>
    </font>
    <font>
      <i/>
      <sz val="12"/>
      <color rgb="FF000000"/>
      <name val="Times New Roman"/>
      <family val="1"/>
    </font>
    <font>
      <i/>
      <sz val="16"/>
      <name val="Times New Roman"/>
      <family val="1"/>
    </font>
    <font>
      <b/>
      <sz val="14"/>
      <color rgb="FF000000"/>
      <name val="Times New Roman"/>
      <family val="1"/>
    </font>
    <font>
      <sz val="11.5"/>
      <name val="Times New Roman"/>
      <family val="1"/>
    </font>
    <font>
      <i/>
      <sz val="13"/>
      <name val="Times New Roman"/>
      <family val="1"/>
    </font>
    <font>
      <i/>
      <sz val="12"/>
      <color indexed="8"/>
      <name val="Times New Roman"/>
      <family val="1"/>
    </font>
    <font>
      <i/>
      <sz val="11"/>
      <color rgb="FF000000"/>
      <name val="Times New Roman"/>
      <family val="1"/>
    </font>
    <font>
      <b/>
      <sz val="11.5"/>
      <name val="Times New Roman"/>
      <family val="1"/>
    </font>
    <font>
      <b/>
      <sz val="11.5"/>
      <color indexed="8"/>
      <name val="Times New Roman"/>
      <family val="1"/>
    </font>
    <font>
      <b/>
      <sz val="11.5"/>
      <color rgb="FF000000"/>
      <name val="Times New Roman"/>
      <family val="1"/>
    </font>
    <font>
      <sz val="11.5"/>
      <color rgb="FF000000"/>
      <name val="Times New Roman"/>
      <family val="1"/>
    </font>
    <font>
      <b/>
      <sz val="6.5"/>
      <color rgb="FF000000"/>
      <name val="Times New Roman"/>
      <family val="1"/>
    </font>
    <font>
      <sz val="6.5"/>
      <color rgb="FF000000"/>
      <name val="Times New Roman"/>
      <family val="1"/>
    </font>
    <font>
      <b/>
      <sz val="14"/>
      <color theme="1"/>
      <name val="Calibri"/>
      <family val="2"/>
      <scheme val="minor"/>
    </font>
    <font>
      <b/>
      <sz val="12"/>
      <color theme="1"/>
      <name val="Calibri"/>
      <family val="2"/>
      <scheme val="minor"/>
    </font>
    <font>
      <sz val="12"/>
      <color theme="1"/>
      <name val="Times New Roman"/>
      <family val="1"/>
    </font>
    <font>
      <b/>
      <sz val="12"/>
      <color theme="1"/>
      <name val="Times New Roman"/>
      <family val="1"/>
    </font>
    <font>
      <b/>
      <sz val="12"/>
      <name val="Arial"/>
      <family val="2"/>
    </font>
    <font>
      <vertAlign val="superscript"/>
      <sz val="11"/>
      <name val="Times New Roman"/>
      <family val="1"/>
    </font>
    <font>
      <u/>
      <sz val="11"/>
      <color theme="10"/>
      <name val="Calibri"/>
      <family val="2"/>
    </font>
    <font>
      <i/>
      <sz val="10"/>
      <name val="Times New Roman"/>
      <family val="1"/>
    </font>
    <font>
      <b/>
      <sz val="13"/>
      <name val="Times New Roman"/>
      <family val="1"/>
    </font>
    <font>
      <sz val="13"/>
      <name val="Times New Roman"/>
      <family val="1"/>
    </font>
    <font>
      <sz val="13"/>
      <color rgb="FF000000"/>
      <name val="Times New Roman"/>
      <family val="1"/>
    </font>
    <font>
      <b/>
      <sz val="13"/>
      <color rgb="FF000000"/>
      <name val="Times New Roman"/>
      <family val="1"/>
    </font>
    <font>
      <sz val="12"/>
      <name val="Helv"/>
    </font>
    <font>
      <sz val="10"/>
      <color indexed="8"/>
      <name val="Arial"/>
      <family val="2"/>
    </font>
    <font>
      <sz val="10"/>
      <color indexed="8"/>
      <name val="MS Sans Serif"/>
      <family val="2"/>
    </font>
    <font>
      <sz val="10"/>
      <color theme="1"/>
      <name val="Tahoma"/>
      <family val="2"/>
    </font>
    <font>
      <sz val="12"/>
      <color theme="1"/>
      <name val="Times New Roman"/>
      <family val="2"/>
    </font>
    <font>
      <b/>
      <sz val="11"/>
      <color indexed="52"/>
      <name val="Calibri"/>
      <family val="2"/>
      <scheme val="minor"/>
    </font>
    <font>
      <sz val="10"/>
      <color indexed="12"/>
      <name val="Arial"/>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60"/>
      <name val="Calibri"/>
      <family val="2"/>
      <scheme val="minor"/>
    </font>
    <font>
      <b/>
      <sz val="18"/>
      <color indexed="56"/>
      <name val="Cambria"/>
      <family val="2"/>
    </font>
    <font>
      <sz val="13"/>
      <name val="SWISS"/>
    </font>
    <font>
      <sz val="14"/>
      <color rgb="FF000000"/>
      <name val="Times New Roman"/>
      <family val="1"/>
    </font>
    <font>
      <sz val="14"/>
      <name val="SWISS"/>
    </font>
    <font>
      <sz val="13"/>
      <color indexed="8"/>
      <name val="Times New Roman"/>
      <family val="1"/>
    </font>
    <font>
      <b/>
      <sz val="13"/>
      <color indexed="8"/>
      <name val="Times New Roman"/>
      <family val="1"/>
    </font>
    <font>
      <sz val="13"/>
      <color indexed="8"/>
      <name val="SWISS"/>
    </font>
    <font>
      <b/>
      <sz val="13"/>
      <color indexed="8"/>
      <name val="SWISS"/>
    </font>
    <font>
      <b/>
      <vertAlign val="superscript"/>
      <sz val="13"/>
      <color rgb="FF000000"/>
      <name val="Times New Roman"/>
      <family val="1"/>
    </font>
    <font>
      <sz val="12"/>
      <name val="Times New Roman"/>
      <family val="1"/>
    </font>
    <font>
      <sz val="11"/>
      <name val="Calibri"/>
      <family val="2"/>
      <scheme val="minor"/>
    </font>
    <font>
      <i/>
      <sz val="16"/>
      <color rgb="FF000000"/>
      <name val="Times New Roman"/>
      <family val="1"/>
    </font>
    <font>
      <b/>
      <sz val="18"/>
      <name val="Arial"/>
      <family val="2"/>
    </font>
    <font>
      <b/>
      <u/>
      <sz val="11"/>
      <color rgb="FF000000"/>
      <name val="Times New Roman"/>
      <family val="1"/>
    </font>
    <font>
      <sz val="10"/>
      <name val="Times New Roman"/>
      <family val="1"/>
    </font>
    <font>
      <b/>
      <sz val="10"/>
      <color indexed="8"/>
      <name val="Verdana"/>
      <family val="2"/>
    </font>
    <font>
      <b/>
      <i/>
      <sz val="10"/>
      <color indexed="8"/>
      <name val="Verdana"/>
      <family val="2"/>
    </font>
    <font>
      <sz val="11"/>
      <color indexed="8"/>
      <name val="Verdana"/>
      <family val="2"/>
    </font>
    <font>
      <b/>
      <sz val="13"/>
      <color indexed="9"/>
      <name val="Verdana"/>
      <family val="2"/>
    </font>
    <font>
      <b/>
      <sz val="10"/>
      <color indexed="54"/>
      <name val="Verdana"/>
      <family val="2"/>
    </font>
    <font>
      <sz val="11"/>
      <color indexed="8"/>
      <name val="Arial"/>
      <family val="2"/>
    </font>
    <font>
      <sz val="12"/>
      <color indexed="24"/>
      <name val="Arial"/>
      <family val="2"/>
    </font>
    <font>
      <b/>
      <sz val="12"/>
      <color indexed="24"/>
      <name val="Arial"/>
      <family val="2"/>
    </font>
    <font>
      <sz val="11"/>
      <name val="Tms Rmn"/>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u/>
      <sz val="7.2"/>
      <color indexed="12"/>
      <name val="Helv"/>
    </font>
    <font>
      <u/>
      <sz val="7.2"/>
      <color indexed="36"/>
      <name val="Helv"/>
    </font>
    <font>
      <sz val="11"/>
      <color indexed="62"/>
      <name val="Calibri"/>
      <family val="2"/>
    </font>
    <font>
      <sz val="11"/>
      <color indexed="60"/>
      <name val="Calibri"/>
      <family val="2"/>
    </font>
    <font>
      <b/>
      <sz val="11"/>
      <color indexed="63"/>
      <name val="Calibri"/>
      <family val="2"/>
    </font>
    <font>
      <sz val="11"/>
      <color indexed="10"/>
      <name val="Calibri"/>
      <family val="2"/>
    </font>
    <font>
      <sz val="11"/>
      <name val="Arial"/>
      <family val="2"/>
    </font>
    <font>
      <sz val="8"/>
      <name val="Arial"/>
      <family val="2"/>
    </font>
    <font>
      <sz val="10"/>
      <color indexed="10"/>
      <name val="Times New Roman"/>
      <family val="1"/>
    </font>
    <font>
      <b/>
      <sz val="10"/>
      <color indexed="8"/>
      <name val="Times New Roman"/>
      <family val="1"/>
    </font>
    <font>
      <sz val="1"/>
      <color indexed="8"/>
      <name val="Courier"/>
      <family val="3"/>
    </font>
    <font>
      <b/>
      <sz val="1"/>
      <color indexed="8"/>
      <name val="Courier"/>
      <family val="3"/>
    </font>
    <font>
      <b/>
      <i/>
      <sz val="16"/>
      <name val="Helv"/>
    </font>
    <font>
      <b/>
      <i/>
      <sz val="10"/>
      <name val="Times New Roman"/>
      <family val="1"/>
    </font>
    <font>
      <i/>
      <sz val="1"/>
      <color indexed="8"/>
      <name val="Courier"/>
      <family val="3"/>
    </font>
    <font>
      <sz val="10"/>
      <color indexed="9"/>
      <name val="Times New Roman"/>
      <family val="1"/>
    </font>
    <font>
      <b/>
      <sz val="10"/>
      <color indexed="10"/>
      <name val="Times New Roman"/>
      <family val="1"/>
    </font>
    <font>
      <b/>
      <sz val="11"/>
      <color indexed="8"/>
      <name val="Verdana"/>
      <family val="2"/>
    </font>
    <font>
      <sz val="9"/>
      <name val="Tms Rmn"/>
    </font>
    <font>
      <sz val="10"/>
      <name val="MS Sans Serif"/>
      <family val="2"/>
    </font>
    <font>
      <sz val="10"/>
      <color indexed="17"/>
      <name val="Times New Roman"/>
      <family val="1"/>
    </font>
    <font>
      <u/>
      <sz val="5"/>
      <color indexed="12"/>
      <name val="Courier"/>
      <family val="3"/>
    </font>
    <font>
      <u/>
      <sz val="10"/>
      <color indexed="36"/>
      <name val="Arial"/>
      <family val="2"/>
    </font>
    <font>
      <sz val="10"/>
      <color indexed="18"/>
      <name val="Times New Roman"/>
      <family val="1"/>
    </font>
    <font>
      <u/>
      <sz val="10"/>
      <name val="Times New Roman"/>
      <family val="1"/>
    </font>
    <font>
      <sz val="10"/>
      <color indexed="19"/>
      <name val="Times New Roman"/>
      <family val="1"/>
    </font>
    <font>
      <sz val="12"/>
      <name val="Tms Rmn"/>
    </font>
    <font>
      <b/>
      <sz val="10"/>
      <color indexed="9"/>
      <name val="Times New Roman"/>
      <family val="1"/>
    </font>
    <font>
      <b/>
      <sz val="11"/>
      <color indexed="18"/>
      <name val="Arial"/>
      <family val="2"/>
    </font>
    <font>
      <b/>
      <i/>
      <sz val="11"/>
      <color indexed="18"/>
      <name val="Arial"/>
      <family val="2"/>
    </font>
    <font>
      <sz val="9"/>
      <name val="Arial"/>
      <family val="2"/>
    </font>
    <font>
      <sz val="12"/>
      <color indexed="9"/>
      <name val="MS Sans Serif"/>
      <family val="2"/>
    </font>
    <font>
      <sz val="11"/>
      <color indexed="9"/>
      <name val="Arial"/>
      <family val="2"/>
    </font>
    <font>
      <b/>
      <sz val="11"/>
      <color indexed="9"/>
      <name val="Arial"/>
      <family val="2"/>
    </font>
    <font>
      <b/>
      <sz val="11"/>
      <color indexed="18"/>
      <name val="Arial Narrow"/>
      <family val="2"/>
    </font>
    <font>
      <b/>
      <sz val="11"/>
      <color indexed="9"/>
      <name val="Arial Narrow"/>
      <family val="2"/>
    </font>
    <font>
      <sz val="11"/>
      <color indexed="18"/>
      <name val="Arial"/>
      <family val="2"/>
    </font>
    <font>
      <sz val="10"/>
      <color indexed="56"/>
      <name val="Arial"/>
      <family val="2"/>
    </font>
    <font>
      <sz val="10"/>
      <color indexed="18"/>
      <name val="Arial"/>
      <family val="2"/>
    </font>
    <font>
      <sz val="10"/>
      <color indexed="9"/>
      <name val="Arial"/>
      <family val="2"/>
    </font>
    <font>
      <sz val="12"/>
      <color indexed="56"/>
      <name val="Arial"/>
      <family val="2"/>
    </font>
    <font>
      <i/>
      <sz val="12"/>
      <color indexed="56"/>
      <name val="Arial"/>
      <family val="2"/>
    </font>
    <font>
      <sz val="11"/>
      <color indexed="56"/>
      <name val="Arial"/>
      <family val="2"/>
    </font>
    <font>
      <i/>
      <sz val="11"/>
      <color indexed="56"/>
      <name val="Arial"/>
      <family val="2"/>
    </font>
    <font>
      <b/>
      <sz val="11"/>
      <color indexed="56"/>
      <name val="Arial"/>
      <family val="2"/>
    </font>
    <font>
      <b/>
      <i/>
      <sz val="11"/>
      <color indexed="56"/>
      <name val="Arial"/>
      <family val="2"/>
    </font>
    <font>
      <sz val="18"/>
      <color indexed="18"/>
      <name val="Arial"/>
      <family val="2"/>
    </font>
    <font>
      <sz val="11"/>
      <color indexed="10"/>
      <name val="Arial"/>
      <family val="2"/>
    </font>
    <font>
      <b/>
      <sz val="18"/>
      <color indexed="8"/>
      <name val="Cambria"/>
      <family val="1"/>
    </font>
    <font>
      <vertAlign val="superscript"/>
      <sz val="9"/>
      <color indexed="8"/>
      <name val="Times New Roman"/>
      <family val="1"/>
    </font>
    <font>
      <sz val="9"/>
      <color indexed="8"/>
      <name val="Times New Roman"/>
      <family val="1"/>
    </font>
    <font>
      <sz val="12"/>
      <color indexed="24"/>
      <name val="Modern"/>
      <family val="3"/>
      <charset val="255"/>
    </font>
    <font>
      <b/>
      <sz val="18"/>
      <color indexed="24"/>
      <name val="Modern"/>
      <family val="3"/>
      <charset val="255"/>
    </font>
    <font>
      <b/>
      <sz val="12"/>
      <color indexed="24"/>
      <name val="Modern"/>
      <family val="3"/>
      <charset val="255"/>
    </font>
    <font>
      <vertAlign val="superscript"/>
      <sz val="12"/>
      <name val="Times New Roman"/>
      <family val="1"/>
    </font>
  </fonts>
  <fills count="78">
    <fill>
      <patternFill patternType="none"/>
    </fill>
    <fill>
      <patternFill patternType="gray125"/>
    </fill>
    <fill>
      <patternFill patternType="solid">
        <fgColor indexed="10"/>
        <bgColor indexed="64"/>
      </patternFill>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rgb="FFFF0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2"/>
      </patternFill>
    </fill>
    <fill>
      <patternFill patternType="solid">
        <fgColor indexed="44"/>
      </patternFill>
    </fill>
    <fill>
      <patternFill patternType="solid">
        <fgColor indexed="11"/>
      </patternFill>
    </fill>
    <fill>
      <patternFill patternType="solid">
        <fgColor indexed="51"/>
      </patternFill>
    </fill>
    <fill>
      <patternFill patternType="solid">
        <fgColor indexed="30"/>
      </patternFill>
    </fill>
    <fill>
      <patternFill patternType="solid">
        <fgColor indexed="29"/>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7"/>
      </patternFill>
    </fill>
    <fill>
      <patternFill patternType="solid">
        <fgColor indexed="47"/>
      </patternFill>
    </fill>
    <fill>
      <patternFill patternType="solid">
        <fgColor indexed="55"/>
      </patternFill>
    </fill>
    <fill>
      <patternFill patternType="solid">
        <fgColor indexed="9"/>
        <bgColor indexed="64"/>
      </patternFill>
    </fill>
    <fill>
      <patternFill patternType="solid">
        <fgColor indexed="22"/>
        <bgColor indexed="64"/>
      </patternFill>
    </fill>
    <fill>
      <patternFill patternType="solid">
        <fgColor indexed="24"/>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indexed="9"/>
        <bgColor indexed="9"/>
      </patternFill>
    </fill>
    <fill>
      <patternFill patternType="lightUp">
        <fgColor indexed="9"/>
        <bgColor indexed="27"/>
      </patternFill>
    </fill>
    <fill>
      <patternFill patternType="lightUp">
        <fgColor indexed="9"/>
        <bgColor indexed="26"/>
      </patternFill>
    </fill>
    <fill>
      <patternFill patternType="solid">
        <fgColor indexed="42"/>
        <bgColor indexed="42"/>
      </patternFill>
    </fill>
    <fill>
      <patternFill patternType="solid">
        <fgColor indexed="43"/>
        <bgColor indexed="43"/>
      </patternFill>
    </fill>
    <fill>
      <patternFill patternType="solid">
        <fgColor indexed="26"/>
        <bgColor indexed="26"/>
      </patternFill>
    </fill>
    <fill>
      <patternFill patternType="solid">
        <fgColor indexed="8"/>
        <bgColor indexed="8"/>
      </patternFill>
    </fill>
    <fill>
      <patternFill patternType="solid">
        <fgColor indexed="43"/>
        <bgColor indexed="64"/>
      </patternFill>
    </fill>
    <fill>
      <patternFill patternType="solid">
        <fgColor indexed="54"/>
        <bgColor indexed="64"/>
      </patternFill>
    </fill>
    <fill>
      <patternFill patternType="solid">
        <fgColor indexed="47"/>
        <bgColor indexed="64"/>
      </patternFill>
    </fill>
    <fill>
      <patternFill patternType="solid">
        <fgColor indexed="21"/>
        <bgColor indexed="64"/>
      </patternFill>
    </fill>
    <fill>
      <patternFill patternType="lightUp">
        <fgColor indexed="54"/>
        <bgColor indexed="41"/>
      </patternFill>
    </fill>
    <fill>
      <patternFill patternType="solid">
        <fgColor indexed="41"/>
        <bgColor indexed="64"/>
      </patternFill>
    </fill>
    <fill>
      <patternFill patternType="solid">
        <fgColor indexed="44"/>
        <bgColor indexed="64"/>
      </patternFill>
    </fill>
  </fills>
  <borders count="239">
    <border>
      <left/>
      <right/>
      <top/>
      <bottom/>
      <diagonal/>
    </border>
    <border>
      <left/>
      <right/>
      <top style="thick">
        <color indexed="8"/>
      </top>
      <bottom/>
      <diagonal/>
    </border>
    <border>
      <left style="thick">
        <color indexed="8"/>
      </left>
      <right/>
      <top/>
      <bottom/>
      <diagonal/>
    </border>
    <border>
      <left style="thick">
        <color indexed="8"/>
      </left>
      <right/>
      <top style="thick">
        <color indexed="8"/>
      </top>
      <bottom/>
      <diagonal/>
    </border>
    <border>
      <left style="thick">
        <color indexed="8"/>
      </left>
      <right style="thick">
        <color indexed="8"/>
      </right>
      <top/>
      <bottom/>
      <diagonal/>
    </border>
    <border>
      <left style="thick">
        <color indexed="8"/>
      </left>
      <right style="thick">
        <color indexed="8"/>
      </right>
      <top style="thick">
        <color indexed="8"/>
      </top>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thick">
        <color indexed="8"/>
      </left>
      <right style="thick">
        <color indexed="8"/>
      </right>
      <top/>
      <bottom style="thick">
        <color indexed="8"/>
      </bottom>
      <diagonal/>
    </border>
    <border>
      <left style="medium">
        <color indexed="64"/>
      </left>
      <right/>
      <top/>
      <bottom style="medium">
        <color indexed="64"/>
      </bottom>
      <diagonal/>
    </border>
    <border>
      <left/>
      <right style="medium">
        <color indexed="64"/>
      </right>
      <top/>
      <bottom style="medium">
        <color indexed="64"/>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style="thick">
        <color indexed="64"/>
      </left>
      <right style="thick">
        <color indexed="64"/>
      </right>
      <top style="thick">
        <color indexed="8"/>
      </top>
      <bottom/>
      <diagonal/>
    </border>
    <border>
      <left style="thick">
        <color indexed="64"/>
      </left>
      <right style="thick">
        <color indexed="64"/>
      </right>
      <top/>
      <bottom style="thick">
        <color indexed="64"/>
      </bottom>
      <diagonal/>
    </border>
    <border>
      <left/>
      <right/>
      <top/>
      <bottom style="thick">
        <color indexed="8"/>
      </bottom>
      <diagonal/>
    </border>
    <border>
      <left style="thick">
        <color indexed="64"/>
      </left>
      <right style="thick">
        <color indexed="8"/>
      </right>
      <top/>
      <bottom/>
      <diagonal/>
    </border>
    <border>
      <left/>
      <right style="thick">
        <color indexed="8"/>
      </right>
      <top/>
      <bottom/>
      <diagonal/>
    </border>
    <border>
      <left style="thick">
        <color indexed="8"/>
      </left>
      <right style="thick">
        <color indexed="8"/>
      </right>
      <top/>
      <bottom style="thick">
        <color indexed="64"/>
      </bottom>
      <diagonal/>
    </border>
    <border>
      <left style="thick">
        <color indexed="8"/>
      </left>
      <right/>
      <top/>
      <bottom style="thick">
        <color indexed="64"/>
      </bottom>
      <diagonal/>
    </border>
    <border>
      <left style="thick">
        <color indexed="8"/>
      </left>
      <right/>
      <top/>
      <bottom style="thick">
        <color indexed="8"/>
      </bottom>
      <diagonal/>
    </border>
    <border>
      <left/>
      <right/>
      <top/>
      <bottom style="thick">
        <color indexed="64"/>
      </bottom>
      <diagonal/>
    </border>
    <border>
      <left/>
      <right/>
      <top style="thick">
        <color indexed="64"/>
      </top>
      <bottom/>
      <diagonal/>
    </border>
    <border>
      <left style="thick">
        <color indexed="64"/>
      </left>
      <right/>
      <top style="thick">
        <color indexed="64"/>
      </top>
      <bottom/>
      <diagonal/>
    </border>
    <border>
      <left style="thick">
        <color indexed="64"/>
      </left>
      <right/>
      <top/>
      <bottom/>
      <diagonal/>
    </border>
    <border>
      <left style="thick">
        <color indexed="64"/>
      </left>
      <right/>
      <top/>
      <bottom style="thick">
        <color indexed="64"/>
      </bottom>
      <diagonal/>
    </border>
    <border>
      <left/>
      <right style="thick">
        <color indexed="8"/>
      </right>
      <top style="thick">
        <color indexed="8"/>
      </top>
      <bottom/>
      <diagonal/>
    </border>
    <border>
      <left style="thick">
        <color indexed="8"/>
      </left>
      <right style="thick">
        <color indexed="64"/>
      </right>
      <top/>
      <bottom/>
      <diagonal/>
    </border>
    <border>
      <left/>
      <right style="thick">
        <color indexed="64"/>
      </right>
      <top/>
      <bottom/>
      <diagonal/>
    </border>
    <border>
      <left/>
      <right style="thick">
        <color indexed="64"/>
      </right>
      <top style="thick">
        <color indexed="8"/>
      </top>
      <bottom/>
      <diagonal/>
    </border>
    <border>
      <left style="thick">
        <color indexed="8"/>
      </left>
      <right style="thick">
        <color indexed="64"/>
      </right>
      <top style="thick">
        <color indexed="8"/>
      </top>
      <bottom/>
      <diagonal/>
    </border>
    <border>
      <left style="thick">
        <color indexed="8"/>
      </left>
      <right style="thick">
        <color indexed="64"/>
      </right>
      <top/>
      <bottom style="thick">
        <color indexed="8"/>
      </bottom>
      <diagonal/>
    </border>
    <border>
      <left/>
      <right style="thick">
        <color indexed="8"/>
      </right>
      <top/>
      <bottom style="thick">
        <color indexed="8"/>
      </bottom>
      <diagonal/>
    </border>
    <border>
      <left style="thick">
        <color indexed="64"/>
      </left>
      <right style="thick">
        <color indexed="8"/>
      </right>
      <top/>
      <bottom style="thick">
        <color indexed="64"/>
      </bottom>
      <diagonal/>
    </border>
    <border>
      <left style="medium">
        <color indexed="64"/>
      </left>
      <right style="medium">
        <color indexed="64"/>
      </right>
      <top/>
      <bottom style="medium">
        <color indexed="64"/>
      </bottom>
      <diagonal/>
    </border>
    <border>
      <left/>
      <right style="thick">
        <color indexed="64"/>
      </right>
      <top style="thick">
        <color indexed="64"/>
      </top>
      <bottom/>
      <diagonal/>
    </border>
    <border>
      <left/>
      <right style="thick">
        <color indexed="64"/>
      </right>
      <top/>
      <bottom style="thick">
        <color indexed="64"/>
      </bottom>
      <diagonal/>
    </border>
    <border>
      <left/>
      <right/>
      <top/>
      <bottom style="medium">
        <color indexed="64"/>
      </bottom>
      <diagonal/>
    </border>
    <border>
      <left style="thick">
        <color indexed="64"/>
      </left>
      <right/>
      <top style="thick">
        <color indexed="64"/>
      </top>
      <bottom style="thick">
        <color indexed="64"/>
      </bottom>
      <diagonal/>
    </border>
    <border>
      <left style="thick">
        <color indexed="64"/>
      </left>
      <right style="thick">
        <color indexed="64"/>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style="thick">
        <color indexed="64"/>
      </right>
      <top/>
      <bottom style="thick">
        <color indexed="8"/>
      </bottom>
      <diagonal/>
    </border>
    <border>
      <left/>
      <right style="thick">
        <color indexed="64"/>
      </right>
      <top/>
      <bottom style="thick">
        <color indexed="8"/>
      </bottom>
      <diagonal/>
    </border>
    <border>
      <left style="thick">
        <color indexed="64"/>
      </left>
      <right/>
      <top/>
      <bottom style="thick">
        <color indexed="8"/>
      </bottom>
      <diagonal/>
    </border>
    <border>
      <left style="thick">
        <color indexed="64"/>
      </left>
      <right style="thick">
        <color indexed="64"/>
      </right>
      <top style="thick">
        <color indexed="64"/>
      </top>
      <bottom style="thick">
        <color indexed="8"/>
      </bottom>
      <diagonal/>
    </border>
    <border>
      <left style="thick">
        <color indexed="8"/>
      </left>
      <right style="thick">
        <color indexed="64"/>
      </right>
      <top/>
      <bottom style="thin">
        <color indexed="64"/>
      </bottom>
      <diagonal/>
    </border>
    <border>
      <left/>
      <right style="thick">
        <color indexed="8"/>
      </right>
      <top style="thick">
        <color indexed="64"/>
      </top>
      <bottom/>
      <diagonal/>
    </border>
    <border>
      <left style="thick">
        <color indexed="64"/>
      </left>
      <right style="thick">
        <color indexed="8"/>
      </right>
      <top/>
      <bottom style="thick">
        <color indexed="8"/>
      </bottom>
      <diagonal/>
    </border>
    <border>
      <left style="thick">
        <color indexed="64"/>
      </left>
      <right style="thick">
        <color indexed="8"/>
      </right>
      <top style="thick">
        <color indexed="8"/>
      </top>
      <bottom/>
      <diagonal/>
    </border>
    <border>
      <left style="thick">
        <color indexed="64"/>
      </left>
      <right style="medium">
        <color indexed="64"/>
      </right>
      <top/>
      <bottom/>
      <diagonal/>
    </border>
    <border>
      <left style="thick">
        <color indexed="64"/>
      </left>
      <right style="thick">
        <color indexed="64"/>
      </right>
      <top/>
      <bottom style="thin">
        <color indexed="64"/>
      </bottom>
      <diagonal/>
    </border>
    <border>
      <left style="thick">
        <color indexed="64"/>
      </left>
      <right style="thick">
        <color indexed="8"/>
      </right>
      <top style="thick">
        <color indexed="64"/>
      </top>
      <bottom/>
      <diagonal/>
    </border>
    <border>
      <left style="thick">
        <color indexed="8"/>
      </left>
      <right style="thick">
        <color indexed="8"/>
      </right>
      <top style="thick">
        <color indexed="64"/>
      </top>
      <bottom/>
      <diagonal/>
    </border>
    <border>
      <left style="thick">
        <color indexed="64"/>
      </left>
      <right style="thick">
        <color indexed="64"/>
      </right>
      <top/>
      <bottom style="medium">
        <color indexed="64"/>
      </bottom>
      <diagonal/>
    </border>
    <border>
      <left style="thick">
        <color indexed="64"/>
      </left>
      <right/>
      <top/>
      <bottom style="medium">
        <color indexed="64"/>
      </bottom>
      <diagonal/>
    </border>
    <border>
      <left/>
      <right/>
      <top style="medium">
        <color indexed="64"/>
      </top>
      <bottom/>
      <diagonal/>
    </border>
    <border>
      <left style="thick">
        <color indexed="64"/>
      </left>
      <right/>
      <top style="medium">
        <color indexed="64"/>
      </top>
      <bottom style="thick">
        <color indexed="64"/>
      </bottom>
      <diagonal/>
    </border>
    <border>
      <left/>
      <right/>
      <top style="medium">
        <color indexed="64"/>
      </top>
      <bottom style="thick">
        <color indexed="64"/>
      </bottom>
      <diagonal/>
    </border>
    <border>
      <left style="thick">
        <color indexed="64"/>
      </left>
      <right/>
      <top style="thick">
        <color indexed="8"/>
      </top>
      <bottom/>
      <diagonal/>
    </border>
    <border>
      <left style="thick">
        <color rgb="FF000000"/>
      </left>
      <right style="thick">
        <color rgb="FF000000"/>
      </right>
      <top style="thick">
        <color rgb="FF000000"/>
      </top>
      <bottom/>
      <diagonal/>
    </border>
    <border>
      <left style="thick">
        <color rgb="FF000000"/>
      </left>
      <right style="thick">
        <color rgb="FF000000"/>
      </right>
      <top/>
      <bottom/>
      <diagonal/>
    </border>
    <border>
      <left style="thick">
        <color rgb="FF000000"/>
      </left>
      <right style="thick">
        <color rgb="FF000000"/>
      </right>
      <top/>
      <bottom style="thick">
        <color rgb="FF000000"/>
      </bottom>
      <diagonal/>
    </border>
    <border>
      <left/>
      <right style="thick">
        <color rgb="FF000000"/>
      </right>
      <top style="thick">
        <color rgb="FF000000"/>
      </top>
      <bottom/>
      <diagonal/>
    </border>
    <border>
      <left/>
      <right style="thick">
        <color rgb="FF000000"/>
      </right>
      <top/>
      <bottom/>
      <diagonal/>
    </border>
    <border>
      <left/>
      <right style="thick">
        <color rgb="FF000000"/>
      </right>
      <top/>
      <bottom style="thick">
        <color rgb="FF000000"/>
      </bottom>
      <diagonal/>
    </border>
    <border>
      <left/>
      <right/>
      <top/>
      <bottom style="thick">
        <color rgb="FF000000"/>
      </bottom>
      <diagonal/>
    </border>
    <border>
      <left style="thick">
        <color rgb="FF000000"/>
      </left>
      <right/>
      <top/>
      <bottom/>
      <diagonal/>
    </border>
    <border>
      <left style="thick">
        <color rgb="FF000000"/>
      </left>
      <right style="thick">
        <color rgb="FF000000"/>
      </right>
      <top/>
      <bottom style="medium">
        <color rgb="FF000000"/>
      </bottom>
      <diagonal/>
    </border>
    <border>
      <left style="thick">
        <color rgb="FF000000"/>
      </left>
      <right style="thick">
        <color rgb="FF000000"/>
      </right>
      <top style="thick">
        <color rgb="FF000000"/>
      </top>
      <bottom style="thick">
        <color rgb="FF000000"/>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right/>
      <top style="thick">
        <color rgb="FF000000"/>
      </top>
      <bottom/>
      <diagonal/>
    </border>
    <border>
      <left style="medium">
        <color rgb="FF000000"/>
      </left>
      <right style="medium">
        <color rgb="FF000000"/>
      </right>
      <top/>
      <bottom/>
      <diagonal/>
    </border>
    <border>
      <left style="thick">
        <color auto="1"/>
      </left>
      <right style="thick">
        <color auto="1"/>
      </right>
      <top/>
      <bottom style="thick">
        <color auto="1"/>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thin">
        <color rgb="FF000000"/>
      </bottom>
      <diagonal/>
    </border>
    <border>
      <left/>
      <right/>
      <top style="thin">
        <color rgb="FF000000"/>
      </top>
      <bottom/>
      <diagonal/>
    </border>
    <border>
      <left style="medium">
        <color rgb="FF000000"/>
      </left>
      <right/>
      <top style="medium">
        <color rgb="FF000000"/>
      </top>
      <bottom/>
      <diagonal/>
    </border>
    <border>
      <left style="thick">
        <color auto="1"/>
      </left>
      <right/>
      <top/>
      <bottom/>
      <diagonal/>
    </border>
    <border>
      <left/>
      <right/>
      <top/>
      <bottom style="thick">
        <color auto="1"/>
      </bottom>
      <diagonal/>
    </border>
    <border>
      <left/>
      <right style="thick">
        <color indexed="64"/>
      </right>
      <top/>
      <bottom style="thick">
        <color indexed="64"/>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medium">
        <color auto="1"/>
      </right>
      <top/>
      <bottom/>
      <diagonal/>
    </border>
    <border>
      <left style="thick">
        <color auto="1"/>
      </left>
      <right style="thick">
        <color indexed="64"/>
      </right>
      <top/>
      <bottom/>
      <diagonal/>
    </border>
    <border>
      <left style="thick">
        <color indexed="8"/>
      </left>
      <right style="thick">
        <color indexed="8"/>
      </right>
      <top/>
      <bottom style="thick">
        <color indexed="8"/>
      </bottom>
      <diagonal/>
    </border>
    <border>
      <left style="thick">
        <color indexed="8"/>
      </left>
      <right/>
      <top/>
      <bottom style="thick">
        <color indexed="8"/>
      </bottom>
      <diagonal/>
    </border>
    <border>
      <left style="thick">
        <color auto="1"/>
      </left>
      <right style="thick">
        <color auto="1"/>
      </right>
      <top/>
      <bottom style="thick">
        <color auto="1"/>
      </bottom>
      <diagonal/>
    </border>
    <border>
      <left style="thick">
        <color auto="1"/>
      </left>
      <right style="thick">
        <color auto="1"/>
      </right>
      <top style="thick">
        <color auto="1"/>
      </top>
      <bottom style="medium">
        <color indexed="64"/>
      </bottom>
      <diagonal/>
    </border>
    <border>
      <left/>
      <right/>
      <top style="thick">
        <color indexed="64"/>
      </top>
      <bottom/>
      <diagonal/>
    </border>
    <border>
      <left style="thick">
        <color indexed="64"/>
      </left>
      <right/>
      <top style="thick">
        <color indexed="64"/>
      </top>
      <bottom/>
      <diagonal/>
    </border>
    <border>
      <left/>
      <right style="thick">
        <color indexed="64"/>
      </right>
      <top style="thick">
        <color indexed="64"/>
      </top>
      <bottom/>
      <diagonal/>
    </border>
    <border>
      <left style="thick">
        <color rgb="FF000000"/>
      </left>
      <right style="thick">
        <color auto="1"/>
      </right>
      <top/>
      <bottom/>
      <diagonal/>
    </border>
    <border>
      <left style="medium">
        <color indexed="64"/>
      </left>
      <right/>
      <top/>
      <bottom style="medium">
        <color indexed="64"/>
      </bottom>
      <diagonal/>
    </border>
    <border>
      <left style="thick">
        <color indexed="8"/>
      </left>
      <right/>
      <top style="thick">
        <color indexed="8"/>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ck">
        <color rgb="FF000000"/>
      </left>
      <right style="thick">
        <color rgb="FF000000"/>
      </right>
      <top/>
      <bottom style="thick">
        <color auto="1"/>
      </bottom>
      <diagonal/>
    </border>
    <border>
      <left/>
      <right/>
      <top style="thick">
        <color auto="1"/>
      </top>
      <bottom/>
      <diagonal/>
    </border>
    <border>
      <left style="thick">
        <color indexed="64"/>
      </left>
      <right/>
      <top/>
      <bottom style="thick">
        <color indexed="64"/>
      </bottom>
      <diagonal/>
    </border>
    <border>
      <left style="thick">
        <color indexed="64"/>
      </left>
      <right style="thick">
        <color rgb="FF000000"/>
      </right>
      <top style="thick">
        <color rgb="FF000000"/>
      </top>
      <bottom/>
      <diagonal/>
    </border>
    <border>
      <left style="thick">
        <color indexed="64"/>
      </left>
      <right style="thick">
        <color rgb="FF000000"/>
      </right>
      <top/>
      <bottom/>
      <diagonal/>
    </border>
    <border>
      <left style="thick">
        <color indexed="64"/>
      </left>
      <right style="thick">
        <color rgb="FF000000"/>
      </right>
      <top/>
      <bottom style="thick">
        <color rgb="FF000000"/>
      </bottom>
      <diagonal/>
    </border>
    <border>
      <left style="medium">
        <color auto="1"/>
      </left>
      <right style="medium">
        <color auto="1"/>
      </right>
      <top style="medium">
        <color auto="1"/>
      </top>
      <bottom style="medium">
        <color auto="1"/>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ck">
        <color indexed="64"/>
      </left>
      <right style="thick">
        <color indexed="64"/>
      </right>
      <top style="medium">
        <color indexed="64"/>
      </top>
      <bottom/>
      <diagonal/>
    </border>
    <border>
      <left/>
      <right/>
      <top style="thick">
        <color indexed="64"/>
      </top>
      <bottom style="thick">
        <color indexed="64"/>
      </bottom>
      <diagonal/>
    </border>
    <border>
      <left/>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ck">
        <color indexed="64"/>
      </left>
      <right style="thick">
        <color indexed="64"/>
      </right>
      <top style="thick">
        <color indexed="64"/>
      </top>
      <bottom/>
      <diagonal/>
    </border>
    <border>
      <left style="medium">
        <color indexed="64"/>
      </left>
      <right style="thick">
        <color indexed="64"/>
      </right>
      <top/>
      <bottom/>
      <diagonal/>
    </border>
    <border>
      <left style="medium">
        <color indexed="64"/>
      </left>
      <right style="thick">
        <color indexed="64"/>
      </right>
      <top/>
      <bottom style="thick">
        <color indexed="64"/>
      </bottom>
      <diagonal/>
    </border>
    <border>
      <left style="thick">
        <color indexed="64"/>
      </left>
      <right style="thick">
        <color rgb="FF000000"/>
      </right>
      <top style="thick">
        <color rgb="FF000000"/>
      </top>
      <bottom style="thick">
        <color rgb="FF000000"/>
      </bottom>
      <diagonal/>
    </border>
    <border>
      <left style="thick">
        <color auto="1"/>
      </left>
      <right style="thick">
        <color auto="1"/>
      </right>
      <top/>
      <bottom style="thick">
        <color auto="1"/>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style="thin">
        <color indexed="62"/>
      </top>
      <bottom style="double">
        <color indexed="62"/>
      </bottom>
      <diagonal/>
    </border>
    <border>
      <left/>
      <right/>
      <top/>
      <bottom style="medium">
        <color indexed="30"/>
      </bottom>
      <diagonal/>
    </border>
    <border>
      <left style="thick">
        <color indexed="64"/>
      </left>
      <right style="thick">
        <color indexed="64"/>
      </right>
      <top/>
      <bottom/>
      <diagonal/>
    </border>
    <border>
      <left style="thick">
        <color indexed="64"/>
      </left>
      <right/>
      <top/>
      <bottom/>
      <diagonal/>
    </border>
    <border>
      <left/>
      <right/>
      <top/>
      <bottom style="thick">
        <color indexed="62"/>
      </bottom>
      <diagonal/>
    </border>
    <border>
      <left/>
      <right/>
      <top/>
      <bottom style="thick">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ck">
        <color rgb="FF000000"/>
      </left>
      <right style="thick">
        <color rgb="FF000000"/>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ck">
        <color auto="1"/>
      </right>
      <top/>
      <bottom style="thick">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ck">
        <color auto="1"/>
      </left>
      <right style="thick">
        <color auto="1"/>
      </right>
      <top/>
      <bottom style="thick">
        <color auto="1"/>
      </bottom>
      <diagonal/>
    </border>
    <border>
      <left/>
      <right style="thick">
        <color auto="1"/>
      </right>
      <top/>
      <bottom style="thick">
        <color auto="1"/>
      </bottom>
      <diagonal/>
    </border>
    <border>
      <left style="thick">
        <color auto="1"/>
      </left>
      <right style="thick">
        <color indexed="64"/>
      </right>
      <top/>
      <bottom/>
      <diagonal/>
    </border>
    <border>
      <left style="thick">
        <color rgb="FF000000"/>
      </left>
      <right style="thick">
        <color rgb="FF000000"/>
      </right>
      <top style="medium">
        <color indexed="64"/>
      </top>
      <bottom style="thick">
        <color indexed="64"/>
      </bottom>
      <diagonal/>
    </border>
    <border>
      <left style="thick">
        <color rgb="FF000000"/>
      </left>
      <right/>
      <top style="medium">
        <color indexed="64"/>
      </top>
      <bottom style="thick">
        <color indexed="64"/>
      </bottom>
      <diagonal/>
    </border>
    <border>
      <left style="thick">
        <color indexed="64"/>
      </left>
      <right/>
      <top/>
      <bottom/>
      <diagonal/>
    </border>
    <border>
      <left style="thick">
        <color indexed="64"/>
      </left>
      <right style="thick">
        <color rgb="FF000000"/>
      </right>
      <top style="medium">
        <color indexed="64"/>
      </top>
      <bottom style="medium">
        <color indexed="64"/>
      </bottom>
      <diagonal/>
    </border>
    <border>
      <left/>
      <right style="thick">
        <color indexed="8"/>
      </right>
      <top style="thick">
        <color indexed="8"/>
      </top>
      <bottom/>
      <diagonal/>
    </border>
    <border>
      <left style="thick">
        <color indexed="8"/>
      </left>
      <right style="thick">
        <color indexed="64"/>
      </right>
      <top/>
      <bottom/>
      <diagonal/>
    </border>
    <border>
      <left style="thick">
        <color indexed="64"/>
      </left>
      <right style="thick">
        <color indexed="64"/>
      </right>
      <top/>
      <bottom/>
      <diagonal/>
    </border>
    <border>
      <left style="thick">
        <color auto="1"/>
      </left>
      <right style="thick">
        <color indexed="64"/>
      </right>
      <top/>
      <bottom style="thick">
        <color indexed="8"/>
      </bottom>
      <diagonal/>
    </border>
    <border>
      <left style="thick">
        <color indexed="64"/>
      </left>
      <right/>
      <top/>
      <bottom/>
      <diagonal/>
    </border>
    <border>
      <left style="thick">
        <color indexed="8"/>
      </left>
      <right/>
      <top style="thick">
        <color indexed="8"/>
      </top>
      <bottom/>
      <diagonal/>
    </border>
    <border>
      <left style="thick">
        <color indexed="8"/>
      </left>
      <right style="thick">
        <color indexed="64"/>
      </right>
      <top style="thick">
        <color indexed="8"/>
      </top>
      <bottom/>
      <diagonal/>
    </border>
    <border>
      <left style="thick">
        <color auto="1"/>
      </left>
      <right style="thick">
        <color auto="1"/>
      </right>
      <top style="thick">
        <color indexed="8"/>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thick">
        <color indexed="8"/>
      </left>
      <right style="medium">
        <color indexed="64"/>
      </right>
      <top/>
      <bottom/>
      <diagonal/>
    </border>
    <border>
      <left style="thick">
        <color indexed="8"/>
      </left>
      <right style="thick">
        <color indexed="8"/>
      </right>
      <top/>
      <bottom/>
      <diagonal/>
    </border>
    <border>
      <left style="thick">
        <color indexed="8"/>
      </left>
      <right style="thick">
        <color indexed="8"/>
      </right>
      <top/>
      <bottom style="thick">
        <color indexed="8"/>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ck">
        <color rgb="FF000000"/>
      </left>
      <right style="thick">
        <color rgb="FF000000"/>
      </right>
      <top/>
      <bottom style="thin">
        <color theme="1"/>
      </bottom>
      <diagonal/>
    </border>
    <border>
      <left style="thick">
        <color rgb="FF000000"/>
      </left>
      <right/>
      <top style="thick">
        <color rgb="FF000000"/>
      </top>
      <bottom/>
      <diagonal/>
    </border>
    <border>
      <left style="medium">
        <color indexed="64"/>
      </left>
      <right style="medium">
        <color indexed="64"/>
      </right>
      <top/>
      <bottom style="thick">
        <color auto="1"/>
      </bottom>
      <diagonal/>
    </border>
    <border>
      <left style="medium">
        <color indexed="64"/>
      </left>
      <right/>
      <top/>
      <bottom style="thick">
        <color indexed="64"/>
      </bottom>
      <diagonal/>
    </border>
    <border>
      <left/>
      <right style="medium">
        <color indexed="64"/>
      </right>
      <top style="medium">
        <color indexed="64"/>
      </top>
      <bottom/>
      <diagonal/>
    </border>
    <border>
      <left/>
      <right style="medium">
        <color indexed="64"/>
      </right>
      <top/>
      <bottom style="thick">
        <color auto="1"/>
      </bottom>
      <diagonal/>
    </border>
    <border>
      <left style="medium">
        <color indexed="64"/>
      </left>
      <right style="medium">
        <color auto="1"/>
      </right>
      <top style="thin">
        <color indexed="64"/>
      </top>
      <bottom style="thin">
        <color indexed="64"/>
      </bottom>
      <diagonal/>
    </border>
    <border>
      <left style="medium">
        <color indexed="64"/>
      </left>
      <right/>
      <top style="thin">
        <color indexed="64"/>
      </top>
      <bottom style="thin">
        <color indexed="64"/>
      </bottom>
      <diagonal/>
    </border>
    <border>
      <left/>
      <right style="medium">
        <color auto="1"/>
      </right>
      <top style="thin">
        <color indexed="64"/>
      </top>
      <bottom style="thin">
        <color indexed="64"/>
      </bottom>
      <diagonal/>
    </border>
    <border>
      <left/>
      <right style="thick">
        <color auto="1"/>
      </right>
      <top style="thick">
        <color auto="1"/>
      </top>
      <bottom style="medium">
        <color indexed="64"/>
      </bottom>
      <diagonal/>
    </border>
    <border>
      <left style="thick">
        <color auto="1"/>
      </left>
      <right style="medium">
        <color indexed="64"/>
      </right>
      <top style="medium">
        <color indexed="64"/>
      </top>
      <bottom style="medium">
        <color indexed="64"/>
      </bottom>
      <diagonal/>
    </border>
    <border>
      <left style="medium">
        <color indexed="64"/>
      </left>
      <right style="medium">
        <color indexed="64"/>
      </right>
      <top/>
      <bottom style="thick">
        <color auto="1"/>
      </bottom>
      <diagonal/>
    </border>
    <border>
      <left/>
      <right style="thick">
        <color auto="1"/>
      </right>
      <top style="medium">
        <color indexed="64"/>
      </top>
      <bottom style="medium">
        <color indexed="64"/>
      </bottom>
      <diagonal/>
    </border>
    <border>
      <left style="medium">
        <color indexed="64"/>
      </left>
      <right style="medium">
        <color indexed="64"/>
      </right>
      <top style="medium">
        <color indexed="64"/>
      </top>
      <bottom style="thick">
        <color auto="1"/>
      </bottom>
      <diagonal/>
    </border>
    <border>
      <left style="thick">
        <color rgb="FF000000"/>
      </left>
      <right/>
      <top style="medium">
        <color rgb="FF000000"/>
      </top>
      <bottom style="thick">
        <color rgb="FF000000"/>
      </bottom>
      <diagonal/>
    </border>
    <border>
      <left style="thick">
        <color rgb="FF000000"/>
      </left>
      <right/>
      <top/>
      <bottom style="medium">
        <color rgb="FF000000"/>
      </bottom>
      <diagonal/>
    </border>
    <border>
      <left style="thick">
        <color rgb="FF000000"/>
      </left>
      <right/>
      <top style="medium">
        <color rgb="FF000000"/>
      </top>
      <bottom style="medium">
        <color rgb="FF000000"/>
      </bottom>
      <diagonal/>
    </border>
    <border>
      <left style="thick">
        <color rgb="FF000000"/>
      </left>
      <right/>
      <top style="medium">
        <color rgb="FF000000"/>
      </top>
      <bottom/>
      <diagonal/>
    </border>
    <border>
      <left/>
      <right style="thick">
        <color rgb="FF000000"/>
      </right>
      <top/>
      <bottom style="medium">
        <color rgb="FF000000"/>
      </bottom>
      <diagonal/>
    </border>
    <border>
      <left style="medium">
        <color indexed="64"/>
      </left>
      <right style="medium">
        <color indexed="64"/>
      </right>
      <top style="medium">
        <color indexed="64"/>
      </top>
      <bottom style="thick">
        <color rgb="FF000000"/>
      </bottom>
      <diagonal/>
    </border>
    <border>
      <left style="medium">
        <color indexed="64"/>
      </left>
      <right style="medium">
        <color indexed="64"/>
      </right>
      <top style="thick">
        <color rgb="FF000000"/>
      </top>
      <bottom/>
      <diagonal/>
    </border>
    <border>
      <left style="medium">
        <color indexed="64"/>
      </left>
      <right style="medium">
        <color indexed="64"/>
      </right>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style="medium">
        <color indexed="64"/>
      </right>
      <top style="medium">
        <color rgb="FF000000"/>
      </top>
      <bottom/>
      <diagonal/>
    </border>
    <border>
      <left style="medium">
        <color indexed="64"/>
      </left>
      <right style="medium">
        <color indexed="64"/>
      </right>
      <top style="thick">
        <color rgb="FF000000"/>
      </top>
      <bottom style="thick">
        <color rgb="FF000000"/>
      </bottom>
      <diagonal/>
    </border>
    <border>
      <left style="thick">
        <color rgb="FF000000"/>
      </left>
      <right/>
      <top/>
      <bottom style="medium">
        <color indexed="64"/>
      </bottom>
      <diagonal/>
    </border>
    <border>
      <left style="thick">
        <color rgb="FF000000"/>
      </left>
      <right/>
      <top/>
      <bottom style="thick">
        <color rgb="FF000000"/>
      </bottom>
      <diagonal/>
    </border>
    <border>
      <left style="medium">
        <color indexed="64"/>
      </left>
      <right style="medium">
        <color indexed="64"/>
      </right>
      <top/>
      <bottom style="thick">
        <color rgb="FF000000"/>
      </bottom>
      <diagonal/>
    </border>
    <border>
      <left style="medium">
        <color indexed="64"/>
      </left>
      <right/>
      <top/>
      <bottom style="thick">
        <color rgb="FF000000"/>
      </bottom>
      <diagonal/>
    </border>
    <border>
      <left style="medium">
        <color indexed="64"/>
      </left>
      <right/>
      <top style="thick">
        <color rgb="FF000000"/>
      </top>
      <bottom/>
      <diagonal/>
    </border>
    <border>
      <left style="medium">
        <color indexed="64"/>
      </left>
      <right/>
      <top style="medium">
        <color indexed="64"/>
      </top>
      <bottom style="thick">
        <color rgb="FF000000"/>
      </bottom>
      <diagonal/>
    </border>
    <border>
      <left style="medium">
        <color indexed="64"/>
      </left>
      <right style="medium">
        <color indexed="64"/>
      </right>
      <top style="thick">
        <color indexed="8"/>
      </top>
      <bottom/>
      <diagonal/>
    </border>
    <border>
      <left style="thick">
        <color indexed="8"/>
      </left>
      <right/>
      <top/>
      <bottom style="thick">
        <color indexed="8"/>
      </bottom>
      <diagonal/>
    </border>
    <border>
      <left/>
      <right/>
      <top/>
      <bottom style="thick">
        <color indexed="8"/>
      </bottom>
      <diagonal/>
    </border>
    <border>
      <left style="medium">
        <color indexed="64"/>
      </left>
      <right style="medium">
        <color indexed="64"/>
      </right>
      <top/>
      <bottom style="thick">
        <color indexed="8"/>
      </bottom>
      <diagonal/>
    </border>
    <border>
      <left/>
      <right style="medium">
        <color indexed="64"/>
      </right>
      <top/>
      <bottom style="medium">
        <color rgb="FF000000"/>
      </bottom>
      <diagonal/>
    </border>
    <border>
      <left style="medium">
        <color indexed="64"/>
      </left>
      <right style="medium">
        <color indexed="64"/>
      </right>
      <top style="thin">
        <color indexed="64"/>
      </top>
      <bottom/>
      <diagonal/>
    </border>
    <border>
      <left/>
      <right style="thick">
        <color indexed="8"/>
      </right>
      <top style="thin">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hair">
        <color indexed="64"/>
      </left>
      <right style="hair">
        <color indexed="64"/>
      </right>
      <top style="hair">
        <color indexed="64"/>
      </top>
      <bottom style="hair">
        <color indexed="64"/>
      </bottom>
      <diagonal/>
    </border>
    <border>
      <left/>
      <right/>
      <top/>
      <bottom style="thick">
        <color indexed="62"/>
      </bottom>
      <diagonal/>
    </border>
    <border>
      <left/>
      <right/>
      <top/>
      <bottom style="thick">
        <color indexed="2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2"/>
      </left>
      <right style="thin">
        <color indexed="62"/>
      </right>
      <top style="thin">
        <color indexed="62"/>
      </top>
      <bottom style="thin">
        <color indexed="62"/>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top/>
      <bottom style="medium">
        <color indexed="31"/>
      </bottom>
      <diagonal/>
    </border>
    <border>
      <left style="thin">
        <color indexed="31"/>
      </left>
      <right style="thin">
        <color indexed="62"/>
      </right>
      <top style="thin">
        <color indexed="31"/>
      </top>
      <bottom style="thin">
        <color indexed="62"/>
      </bottom>
      <diagonal/>
    </border>
    <border>
      <left style="double">
        <color indexed="11"/>
      </left>
      <right style="double">
        <color indexed="11"/>
      </right>
      <top style="double">
        <color indexed="11"/>
      </top>
      <bottom style="double">
        <color indexed="11"/>
      </bottom>
      <diagonal/>
    </border>
    <border>
      <left style="thin">
        <color indexed="30"/>
      </left>
      <right style="thin">
        <color indexed="30"/>
      </right>
      <top style="thin">
        <color indexed="30"/>
      </top>
      <bottom style="thin">
        <color indexed="30"/>
      </bottom>
      <diagonal/>
    </border>
    <border>
      <left/>
      <right/>
      <top/>
      <bottom style="thick">
        <color indexed="4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ck">
        <color auto="1"/>
      </left>
      <right/>
      <top/>
      <bottom/>
      <diagonal/>
    </border>
    <border>
      <left style="medium">
        <color indexed="64"/>
      </left>
      <right style="thick">
        <color indexed="64"/>
      </right>
      <top style="medium">
        <color indexed="64"/>
      </top>
      <bottom style="medium">
        <color indexed="64"/>
      </bottom>
      <diagonal/>
    </border>
    <border>
      <left style="thick">
        <color indexed="64"/>
      </left>
      <right style="thick">
        <color indexed="64"/>
      </right>
      <top style="medium">
        <color indexed="64"/>
      </top>
      <bottom style="medium">
        <color indexed="64"/>
      </bottom>
      <diagonal/>
    </border>
  </borders>
  <cellStyleXfs count="28986">
    <xf numFmtId="176" fontId="0" fillId="0" borderId="0"/>
    <xf numFmtId="167" fontId="39" fillId="0" borderId="0" applyFont="0" applyFill="0" applyBorder="0" applyAlignment="0" applyProtection="0"/>
    <xf numFmtId="167" fontId="39" fillId="0" borderId="0" applyFont="0" applyFill="0" applyBorder="0" applyAlignment="0" applyProtection="0"/>
    <xf numFmtId="176" fontId="39" fillId="0" borderId="0"/>
    <xf numFmtId="170" fontId="31" fillId="0" borderId="0">
      <alignment horizontal="center" wrapText="1"/>
    </xf>
    <xf numFmtId="170" fontId="37" fillId="0" borderId="0"/>
    <xf numFmtId="176" fontId="37" fillId="0" borderId="0"/>
    <xf numFmtId="176" fontId="31" fillId="0" borderId="0"/>
    <xf numFmtId="170" fontId="31" fillId="0" borderId="0"/>
    <xf numFmtId="10" fontId="42" fillId="0" borderId="0"/>
    <xf numFmtId="1" fontId="37" fillId="0" borderId="0"/>
    <xf numFmtId="176" fontId="31" fillId="0" borderId="0"/>
    <xf numFmtId="176" fontId="37" fillId="0" borderId="0"/>
    <xf numFmtId="176" fontId="37" fillId="0" borderId="0"/>
    <xf numFmtId="9" fontId="39" fillId="0" borderId="0" applyFont="0" applyFill="0" applyBorder="0" applyAlignment="0" applyProtection="0"/>
    <xf numFmtId="9" fontId="39" fillId="0" borderId="0" applyFont="0" applyFill="0" applyBorder="0" applyAlignment="0" applyProtection="0"/>
    <xf numFmtId="0" fontId="25" fillId="0" borderId="0"/>
    <xf numFmtId="0" fontId="92" fillId="0" borderId="105" applyNumberFormat="0" applyFill="0" applyAlignment="0" applyProtection="0"/>
    <xf numFmtId="0" fontId="93" fillId="0" borderId="106" applyNumberFormat="0" applyFill="0" applyAlignment="0" applyProtection="0"/>
    <xf numFmtId="0" fontId="94" fillId="0" borderId="107" applyNumberFormat="0" applyFill="0" applyAlignment="0" applyProtection="0"/>
    <xf numFmtId="0" fontId="94" fillId="0" borderId="0" applyNumberFormat="0" applyFill="0" applyBorder="0" applyAlignment="0" applyProtection="0"/>
    <xf numFmtId="0" fontId="95" fillId="7" borderId="0" applyNumberFormat="0" applyBorder="0" applyAlignment="0" applyProtection="0"/>
    <xf numFmtId="0" fontId="96" fillId="8" borderId="0" applyNumberFormat="0" applyBorder="0" applyAlignment="0" applyProtection="0"/>
    <xf numFmtId="0" fontId="97" fillId="9" borderId="0" applyNumberFormat="0" applyBorder="0" applyAlignment="0" applyProtection="0"/>
    <xf numFmtId="0" fontId="98" fillId="10" borderId="108" applyNumberFormat="0" applyAlignment="0" applyProtection="0"/>
    <xf numFmtId="0" fontId="99" fillId="11" borderId="109" applyNumberFormat="0" applyAlignment="0" applyProtection="0"/>
    <xf numFmtId="0" fontId="100" fillId="11" borderId="108" applyNumberFormat="0" applyAlignment="0" applyProtection="0"/>
    <xf numFmtId="0" fontId="101" fillId="0" borderId="110" applyNumberFormat="0" applyFill="0" applyAlignment="0" applyProtection="0"/>
    <xf numFmtId="0" fontId="102" fillId="12" borderId="111" applyNumberFormat="0" applyAlignment="0" applyProtection="0"/>
    <xf numFmtId="0" fontId="103" fillId="0" borderId="0" applyNumberFormat="0" applyFill="0" applyBorder="0" applyAlignment="0" applyProtection="0"/>
    <xf numFmtId="0" fontId="104" fillId="0" borderId="0" applyNumberFormat="0" applyFill="0" applyBorder="0" applyAlignment="0" applyProtection="0"/>
    <xf numFmtId="0" fontId="105" fillId="0" borderId="113" applyNumberFormat="0" applyFill="0" applyAlignment="0" applyProtection="0"/>
    <xf numFmtId="0" fontId="106" fillId="14" borderId="0" applyNumberFormat="0" applyBorder="0" applyAlignment="0" applyProtection="0"/>
    <xf numFmtId="0" fontId="24" fillId="15" borderId="0" applyNumberFormat="0" applyBorder="0" applyAlignment="0" applyProtection="0"/>
    <xf numFmtId="0" fontId="24" fillId="16" borderId="0" applyNumberFormat="0" applyBorder="0" applyAlignment="0" applyProtection="0"/>
    <xf numFmtId="0" fontId="106" fillId="17" borderId="0" applyNumberFormat="0" applyBorder="0" applyAlignment="0" applyProtection="0"/>
    <xf numFmtId="0" fontId="106" fillId="18" borderId="0" applyNumberFormat="0" applyBorder="0" applyAlignment="0" applyProtection="0"/>
    <xf numFmtId="0" fontId="24" fillId="19" borderId="0" applyNumberFormat="0" applyBorder="0" applyAlignment="0" applyProtection="0"/>
    <xf numFmtId="0" fontId="24" fillId="20" borderId="0" applyNumberFormat="0" applyBorder="0" applyAlignment="0" applyProtection="0"/>
    <xf numFmtId="0" fontId="106" fillId="21" borderId="0" applyNumberFormat="0" applyBorder="0" applyAlignment="0" applyProtection="0"/>
    <xf numFmtId="0" fontId="106" fillId="22" borderId="0" applyNumberFormat="0" applyBorder="0" applyAlignment="0" applyProtection="0"/>
    <xf numFmtId="0" fontId="24" fillId="23" borderId="0" applyNumberFormat="0" applyBorder="0" applyAlignment="0" applyProtection="0"/>
    <xf numFmtId="0" fontId="24" fillId="24" borderId="0" applyNumberFormat="0" applyBorder="0" applyAlignment="0" applyProtection="0"/>
    <xf numFmtId="0" fontId="106" fillId="25" borderId="0" applyNumberFormat="0" applyBorder="0" applyAlignment="0" applyProtection="0"/>
    <xf numFmtId="0" fontId="106" fillId="26" borderId="0" applyNumberFormat="0" applyBorder="0" applyAlignment="0" applyProtection="0"/>
    <xf numFmtId="0" fontId="24" fillId="27" borderId="0" applyNumberFormat="0" applyBorder="0" applyAlignment="0" applyProtection="0"/>
    <xf numFmtId="0" fontId="24" fillId="28" borderId="0" applyNumberFormat="0" applyBorder="0" applyAlignment="0" applyProtection="0"/>
    <xf numFmtId="0" fontId="106" fillId="29" borderId="0" applyNumberFormat="0" applyBorder="0" applyAlignment="0" applyProtection="0"/>
    <xf numFmtId="0" fontId="106" fillId="30" borderId="0" applyNumberFormat="0" applyBorder="0" applyAlignment="0" applyProtection="0"/>
    <xf numFmtId="0" fontId="24" fillId="31" borderId="0" applyNumberFormat="0" applyBorder="0" applyAlignment="0" applyProtection="0"/>
    <xf numFmtId="0" fontId="24" fillId="32" borderId="0" applyNumberFormat="0" applyBorder="0" applyAlignment="0" applyProtection="0"/>
    <xf numFmtId="0" fontId="106" fillId="33" borderId="0" applyNumberFormat="0" applyBorder="0" applyAlignment="0" applyProtection="0"/>
    <xf numFmtId="0" fontId="106" fillId="34" borderId="0" applyNumberFormat="0" applyBorder="0" applyAlignment="0" applyProtection="0"/>
    <xf numFmtId="0" fontId="24" fillId="35" borderId="0" applyNumberFormat="0" applyBorder="0" applyAlignment="0" applyProtection="0"/>
    <xf numFmtId="0" fontId="24" fillId="36" borderId="0" applyNumberFormat="0" applyBorder="0" applyAlignment="0" applyProtection="0"/>
    <xf numFmtId="0" fontId="106" fillId="37" borderId="0" applyNumberFormat="0" applyBorder="0" applyAlignment="0" applyProtection="0"/>
    <xf numFmtId="0" fontId="24" fillId="0" borderId="0"/>
    <xf numFmtId="0" fontId="24" fillId="15" borderId="0" applyNumberFormat="0" applyBorder="0" applyAlignment="0" applyProtection="0"/>
    <xf numFmtId="0" fontId="24" fillId="15"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167" fontId="24" fillId="0" borderId="0" applyFont="0" applyFill="0" applyBorder="0" applyAlignment="0" applyProtection="0"/>
    <xf numFmtId="43"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43" fontId="39"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67" fontId="107" fillId="0" borderId="0" applyFont="0" applyFill="0" applyBorder="0" applyAlignment="0" applyProtection="0"/>
    <xf numFmtId="43" fontId="39" fillId="0" borderId="0" applyFont="0" applyFill="0" applyBorder="0" applyAlignment="0" applyProtection="0"/>
    <xf numFmtId="180"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68"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09" fillId="0" borderId="0" applyNumberFormat="0" applyFill="0" applyBorder="0" applyAlignment="0" applyProtection="0"/>
    <xf numFmtId="0" fontId="110" fillId="0" borderId="0" applyNumberFormat="0" applyFill="0" applyBorder="0" applyAlignment="0" applyProtection="0"/>
    <xf numFmtId="0" fontId="39" fillId="0" borderId="0"/>
    <xf numFmtId="0" fontId="39"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08" fillId="0" borderId="0"/>
    <xf numFmtId="0" fontId="108" fillId="0" borderId="0"/>
    <xf numFmtId="0" fontId="108" fillId="0" borderId="0"/>
    <xf numFmtId="0" fontId="108" fillId="0" borderId="0"/>
    <xf numFmtId="0" fontId="108"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08" fillId="0" borderId="0"/>
    <xf numFmtId="0" fontId="108" fillId="0" borderId="0"/>
    <xf numFmtId="0" fontId="39" fillId="0" borderId="0"/>
    <xf numFmtId="0" fontId="108" fillId="0" borderId="0"/>
    <xf numFmtId="0" fontId="108" fillId="0" borderId="0"/>
    <xf numFmtId="0" fontId="108" fillId="0" borderId="0"/>
    <xf numFmtId="0" fontId="108" fillId="0" borderId="0"/>
    <xf numFmtId="0" fontId="24" fillId="0" borderId="0"/>
    <xf numFmtId="0" fontId="108" fillId="0" borderId="0"/>
    <xf numFmtId="0" fontId="39" fillId="0" borderId="0"/>
    <xf numFmtId="0" fontId="24" fillId="0" borderId="0"/>
    <xf numFmtId="0" fontId="108" fillId="0" borderId="0"/>
    <xf numFmtId="0" fontId="39" fillId="0" borderId="0"/>
    <xf numFmtId="0" fontId="39" fillId="0" borderId="0"/>
    <xf numFmtId="0" fontId="39" fillId="0" borderId="0"/>
    <xf numFmtId="0" fontId="39" fillId="0" borderId="0"/>
    <xf numFmtId="0" fontId="39" fillId="0" borderId="0"/>
    <xf numFmtId="0" fontId="39" fillId="0" borderId="0"/>
    <xf numFmtId="0" fontId="24" fillId="0" borderId="0"/>
    <xf numFmtId="0" fontId="24" fillId="0" borderId="0"/>
    <xf numFmtId="0" fontId="24" fillId="0" borderId="0"/>
    <xf numFmtId="0" fontId="24" fillId="0" borderId="0"/>
    <xf numFmtId="0" fontId="39" fillId="0" borderId="0"/>
    <xf numFmtId="0" fontId="39" fillId="0" borderId="0"/>
    <xf numFmtId="0" fontId="24" fillId="0" borderId="0"/>
    <xf numFmtId="0" fontId="39" fillId="0" borderId="0"/>
    <xf numFmtId="0" fontId="39" fillId="0" borderId="0"/>
    <xf numFmtId="0" fontId="24" fillId="13" borderId="112" applyNumberFormat="0" applyFont="0" applyAlignment="0" applyProtection="0"/>
    <xf numFmtId="0" fontId="24" fillId="13" borderId="112" applyNumberFormat="0" applyFont="0" applyAlignment="0" applyProtection="0"/>
    <xf numFmtId="0" fontId="24" fillId="13" borderId="112" applyNumberFormat="0" applyFont="0" applyAlignment="0" applyProtection="0"/>
    <xf numFmtId="0" fontId="24" fillId="13" borderId="112" applyNumberFormat="0" applyFont="0" applyAlignment="0" applyProtection="0"/>
    <xf numFmtId="0" fontId="24" fillId="13" borderId="112" applyNumberFormat="0" applyFont="0" applyAlignment="0" applyProtection="0"/>
    <xf numFmtId="0" fontId="24" fillId="13" borderId="112" applyNumberFormat="0" applyFont="0" applyAlignment="0" applyProtection="0"/>
    <xf numFmtId="0" fontId="111" fillId="0" borderId="0" applyNumberFormat="0" applyFill="0" applyBorder="0" applyAlignment="0" applyProtection="0"/>
    <xf numFmtId="0" fontId="23" fillId="0" borderId="0"/>
    <xf numFmtId="0" fontId="23" fillId="15" borderId="0" applyNumberFormat="0" applyBorder="0" applyAlignment="0" applyProtection="0"/>
    <xf numFmtId="0" fontId="23" fillId="16"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23" fillId="23" borderId="0" applyNumberFormat="0" applyBorder="0" applyAlignment="0" applyProtection="0"/>
    <xf numFmtId="0" fontId="23" fillId="24" borderId="0" applyNumberFormat="0" applyBorder="0" applyAlignment="0" applyProtection="0"/>
    <xf numFmtId="0" fontId="23" fillId="27" borderId="0" applyNumberFormat="0" applyBorder="0" applyAlignment="0" applyProtection="0"/>
    <xf numFmtId="0" fontId="23" fillId="28" borderId="0" applyNumberFormat="0" applyBorder="0" applyAlignment="0" applyProtection="0"/>
    <xf numFmtId="0" fontId="23" fillId="31" borderId="0" applyNumberFormat="0" applyBorder="0" applyAlignment="0" applyProtection="0"/>
    <xf numFmtId="0" fontId="23" fillId="32" borderId="0" applyNumberFormat="0" applyBorder="0" applyAlignment="0" applyProtection="0"/>
    <xf numFmtId="0" fontId="23" fillId="35" borderId="0" applyNumberFormat="0" applyBorder="0" applyAlignment="0" applyProtection="0"/>
    <xf numFmtId="0" fontId="23" fillId="36" borderId="0" applyNumberFormat="0" applyBorder="0" applyAlignment="0" applyProtection="0"/>
    <xf numFmtId="0" fontId="23" fillId="0" borderId="0"/>
    <xf numFmtId="0" fontId="23" fillId="15" borderId="0" applyNumberFormat="0" applyBorder="0" applyAlignment="0" applyProtection="0"/>
    <xf numFmtId="0" fontId="23" fillId="15"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167"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13" borderId="112" applyNumberFormat="0" applyFont="0" applyAlignment="0" applyProtection="0"/>
    <xf numFmtId="0" fontId="23" fillId="13" borderId="112" applyNumberFormat="0" applyFont="0" applyAlignment="0" applyProtection="0"/>
    <xf numFmtId="0" fontId="23" fillId="13" borderId="112" applyNumberFormat="0" applyFont="0" applyAlignment="0" applyProtection="0"/>
    <xf numFmtId="0" fontId="23" fillId="13" borderId="112" applyNumberFormat="0" applyFont="0" applyAlignment="0" applyProtection="0"/>
    <xf numFmtId="0" fontId="23" fillId="13" borderId="112" applyNumberFormat="0" applyFont="0" applyAlignment="0" applyProtection="0"/>
    <xf numFmtId="0" fontId="23" fillId="13" borderId="112" applyNumberFormat="0" applyFont="0" applyAlignment="0" applyProtection="0"/>
    <xf numFmtId="0" fontId="22" fillId="0" borderId="0"/>
    <xf numFmtId="167" fontId="22" fillId="0" borderId="0" applyFont="0" applyFill="0" applyBorder="0" applyAlignment="0" applyProtection="0"/>
    <xf numFmtId="0" fontId="22" fillId="15" borderId="0" applyNumberFormat="0" applyBorder="0" applyAlignment="0" applyProtection="0"/>
    <xf numFmtId="0" fontId="22" fillId="16"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22" fillId="27" borderId="0" applyNumberFormat="0" applyBorder="0" applyAlignment="0" applyProtection="0"/>
    <xf numFmtId="0" fontId="22" fillId="28" borderId="0" applyNumberFormat="0" applyBorder="0" applyAlignment="0" applyProtection="0"/>
    <xf numFmtId="0" fontId="22" fillId="31" borderId="0" applyNumberFormat="0" applyBorder="0" applyAlignment="0" applyProtection="0"/>
    <xf numFmtId="0" fontId="22" fillId="32" borderId="0" applyNumberFormat="0" applyBorder="0" applyAlignment="0" applyProtection="0"/>
    <xf numFmtId="0" fontId="22" fillId="35" borderId="0" applyNumberFormat="0" applyBorder="0" applyAlignment="0" applyProtection="0"/>
    <xf numFmtId="0" fontId="22" fillId="36" borderId="0" applyNumberFormat="0" applyBorder="0" applyAlignment="0" applyProtection="0"/>
    <xf numFmtId="0" fontId="31" fillId="0" borderId="0"/>
    <xf numFmtId="167" fontId="39" fillId="0" borderId="0" applyFont="0" applyFill="0" applyBorder="0" applyAlignment="0" applyProtection="0"/>
    <xf numFmtId="9" fontId="31" fillId="0" borderId="0" applyFont="0" applyFill="0" applyBorder="0" applyAlignment="0" applyProtection="0"/>
    <xf numFmtId="176" fontId="32" fillId="0" borderId="0"/>
    <xf numFmtId="0" fontId="22" fillId="0" borderId="0"/>
    <xf numFmtId="0" fontId="22" fillId="13" borderId="112" applyNumberFormat="0" applyFont="0" applyAlignment="0" applyProtection="0"/>
    <xf numFmtId="0" fontId="22" fillId="15" borderId="0" applyNumberFormat="0" applyBorder="0" applyAlignment="0" applyProtection="0"/>
    <xf numFmtId="0" fontId="22" fillId="16"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22" fillId="27" borderId="0" applyNumberFormat="0" applyBorder="0" applyAlignment="0" applyProtection="0"/>
    <xf numFmtId="0" fontId="22" fillId="28" borderId="0" applyNumberFormat="0" applyBorder="0" applyAlignment="0" applyProtection="0"/>
    <xf numFmtId="0" fontId="22" fillId="31" borderId="0" applyNumberFormat="0" applyBorder="0" applyAlignment="0" applyProtection="0"/>
    <xf numFmtId="0" fontId="22" fillId="32" borderId="0" applyNumberFormat="0" applyBorder="0" applyAlignment="0" applyProtection="0"/>
    <xf numFmtId="0" fontId="22" fillId="35" borderId="0" applyNumberFormat="0" applyBorder="0" applyAlignment="0" applyProtection="0"/>
    <xf numFmtId="0" fontId="22" fillId="36" borderId="0" applyNumberFormat="0" applyBorder="0" applyAlignment="0" applyProtection="0"/>
    <xf numFmtId="0" fontId="31" fillId="0" borderId="0"/>
    <xf numFmtId="0" fontId="22" fillId="0" borderId="0"/>
    <xf numFmtId="0" fontId="22" fillId="13" borderId="112" applyNumberFormat="0" applyFont="0" applyAlignment="0" applyProtection="0"/>
    <xf numFmtId="167" fontId="39" fillId="0" borderId="0" applyFont="0" applyFill="0" applyBorder="0" applyAlignment="0" applyProtection="0"/>
    <xf numFmtId="0" fontId="37" fillId="0" borderId="0"/>
    <xf numFmtId="167" fontId="22" fillId="0" borderId="0" applyFont="0" applyFill="0" applyBorder="0" applyAlignment="0" applyProtection="0"/>
    <xf numFmtId="0" fontId="37" fillId="0" borderId="0"/>
    <xf numFmtId="0" fontId="37" fillId="0" borderId="0"/>
    <xf numFmtId="9" fontId="39" fillId="0" borderId="0" applyFont="0" applyFill="0" applyBorder="0" applyAlignment="0" applyProtection="0"/>
    <xf numFmtId="0" fontId="22" fillId="0" borderId="0"/>
    <xf numFmtId="0" fontId="22" fillId="15" borderId="0" applyNumberFormat="0" applyBorder="0" applyAlignment="0" applyProtection="0"/>
    <xf numFmtId="176" fontId="39" fillId="0" borderId="0"/>
    <xf numFmtId="0" fontId="22" fillId="19" borderId="0" applyNumberFormat="0" applyBorder="0" applyAlignment="0" applyProtection="0"/>
    <xf numFmtId="0" fontId="22" fillId="23" borderId="0" applyNumberFormat="0" applyBorder="0" applyAlignment="0" applyProtection="0"/>
    <xf numFmtId="0" fontId="22" fillId="0" borderId="0"/>
    <xf numFmtId="9" fontId="39" fillId="0" borderId="0" applyFont="0" applyFill="0" applyBorder="0" applyAlignment="0" applyProtection="0"/>
    <xf numFmtId="0" fontId="22" fillId="27" borderId="0" applyNumberFormat="0" applyBorder="0" applyAlignment="0" applyProtection="0"/>
    <xf numFmtId="0" fontId="22" fillId="31" borderId="0" applyNumberFormat="0" applyBorder="0" applyAlignment="0" applyProtection="0"/>
    <xf numFmtId="0" fontId="22" fillId="35" borderId="0" applyNumberFormat="0" applyBorder="0" applyAlignment="0" applyProtection="0"/>
    <xf numFmtId="0" fontId="22" fillId="16" borderId="0" applyNumberFormat="0" applyBorder="0" applyAlignment="0" applyProtection="0"/>
    <xf numFmtId="0" fontId="22" fillId="20"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32" borderId="0" applyNumberFormat="0" applyBorder="0" applyAlignment="0" applyProtection="0"/>
    <xf numFmtId="0" fontId="22" fillId="36" borderId="0" applyNumberFormat="0" applyBorder="0" applyAlignment="0" applyProtection="0"/>
    <xf numFmtId="167" fontId="22" fillId="0" borderId="0" applyFont="0" applyFill="0" applyBorder="0" applyAlignment="0" applyProtection="0"/>
    <xf numFmtId="168" fontId="39" fillId="0" borderId="0" applyFont="0" applyFill="0" applyBorder="0" applyAlignment="0" applyProtection="0"/>
    <xf numFmtId="43" fontId="39"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39" fillId="0" borderId="0"/>
    <xf numFmtId="0" fontId="39" fillId="0" borderId="0"/>
    <xf numFmtId="0" fontId="22" fillId="0" borderId="0"/>
    <xf numFmtId="0" fontId="22" fillId="0" borderId="0"/>
    <xf numFmtId="0" fontId="108" fillId="0" borderId="0"/>
    <xf numFmtId="0" fontId="22" fillId="0" borderId="0"/>
    <xf numFmtId="0" fontId="22" fillId="0" borderId="0"/>
    <xf numFmtId="0" fontId="22" fillId="0" borderId="0"/>
    <xf numFmtId="0" fontId="22" fillId="0" borderId="0"/>
    <xf numFmtId="0" fontId="39" fillId="0" borderId="0"/>
    <xf numFmtId="0" fontId="22" fillId="0" borderId="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0" borderId="0"/>
    <xf numFmtId="0" fontId="22" fillId="15" borderId="0" applyNumberFormat="0" applyBorder="0" applyAlignment="0" applyProtection="0"/>
    <xf numFmtId="0" fontId="22" fillId="16"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22" fillId="27" borderId="0" applyNumberFormat="0" applyBorder="0" applyAlignment="0" applyProtection="0"/>
    <xf numFmtId="0" fontId="22" fillId="28" borderId="0" applyNumberFormat="0" applyBorder="0" applyAlignment="0" applyProtection="0"/>
    <xf numFmtId="0" fontId="22" fillId="31" borderId="0" applyNumberFormat="0" applyBorder="0" applyAlignment="0" applyProtection="0"/>
    <xf numFmtId="0" fontId="22" fillId="32" borderId="0" applyNumberFormat="0" applyBorder="0" applyAlignment="0" applyProtection="0"/>
    <xf numFmtId="0" fontId="22" fillId="35" borderId="0" applyNumberFormat="0" applyBorder="0" applyAlignment="0" applyProtection="0"/>
    <xf numFmtId="0" fontId="22" fillId="36" borderId="0" applyNumberFormat="0" applyBorder="0" applyAlignment="0" applyProtection="0"/>
    <xf numFmtId="0" fontId="22" fillId="0" borderId="0"/>
    <xf numFmtId="0" fontId="22" fillId="15" borderId="0" applyNumberFormat="0" applyBorder="0" applyAlignment="0" applyProtection="0"/>
    <xf numFmtId="0" fontId="22" fillId="15"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167"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1" fillId="0" borderId="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5" borderId="0" applyNumberFormat="0" applyBorder="0" applyAlignment="0" applyProtection="0"/>
    <xf numFmtId="0" fontId="21" fillId="15"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32" borderId="0" applyNumberFormat="0" applyBorder="0" applyAlignment="0" applyProtection="0"/>
    <xf numFmtId="0" fontId="21" fillId="32"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167"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0" borderId="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5" borderId="0" applyNumberFormat="0" applyBorder="0" applyAlignment="0" applyProtection="0"/>
    <xf numFmtId="0" fontId="21" fillId="15"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32" borderId="0" applyNumberFormat="0" applyBorder="0" applyAlignment="0" applyProtection="0"/>
    <xf numFmtId="0" fontId="21" fillId="32"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167"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0" borderId="0"/>
    <xf numFmtId="167" fontId="21" fillId="0" borderId="0" applyFont="0" applyFill="0" applyBorder="0" applyAlignment="0" applyProtection="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3" borderId="112" applyNumberFormat="0" applyFont="0" applyAlignment="0" applyProtection="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3" borderId="112" applyNumberFormat="0" applyFont="0" applyAlignment="0" applyProtection="0"/>
    <xf numFmtId="167" fontId="21" fillId="0" borderId="0" applyFont="0" applyFill="0" applyBorder="0" applyAlignment="0" applyProtection="0"/>
    <xf numFmtId="0" fontId="21" fillId="0" borderId="0"/>
    <xf numFmtId="0" fontId="21" fillId="15" borderId="0" applyNumberFormat="0" applyBorder="0" applyAlignment="0" applyProtection="0"/>
    <xf numFmtId="0" fontId="21" fillId="19" borderId="0" applyNumberFormat="0" applyBorder="0" applyAlignment="0" applyProtection="0"/>
    <xf numFmtId="0" fontId="21" fillId="23" borderId="0" applyNumberFormat="0" applyBorder="0" applyAlignment="0" applyProtection="0"/>
    <xf numFmtId="0" fontId="21" fillId="0" borderId="0"/>
    <xf numFmtId="0" fontId="21" fillId="27" borderId="0" applyNumberFormat="0" applyBorder="0" applyAlignment="0" applyProtection="0"/>
    <xf numFmtId="0" fontId="21" fillId="31" borderId="0" applyNumberFormat="0" applyBorder="0" applyAlignment="0" applyProtection="0"/>
    <xf numFmtId="0" fontId="21" fillId="35" borderId="0" applyNumberFormat="0" applyBorder="0" applyAlignment="0" applyProtection="0"/>
    <xf numFmtId="0" fontId="21" fillId="16" borderId="0" applyNumberFormat="0" applyBorder="0" applyAlignment="0" applyProtection="0"/>
    <xf numFmtId="0" fontId="21" fillId="20" borderId="0" applyNumberFormat="0" applyBorder="0" applyAlignment="0" applyProtection="0"/>
    <xf numFmtId="0" fontId="21" fillId="24" borderId="0" applyNumberFormat="0" applyBorder="0" applyAlignment="0" applyProtection="0"/>
    <xf numFmtId="0" fontId="21" fillId="28" borderId="0" applyNumberFormat="0" applyBorder="0" applyAlignment="0" applyProtection="0"/>
    <xf numFmtId="0" fontId="21" fillId="32" borderId="0" applyNumberFormat="0" applyBorder="0" applyAlignment="0" applyProtection="0"/>
    <xf numFmtId="0" fontId="21" fillId="36" borderId="0" applyNumberFormat="0" applyBorder="0" applyAlignment="0" applyProtection="0"/>
    <xf numFmtId="167"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0" borderId="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5" borderId="0" applyNumberFormat="0" applyBorder="0" applyAlignment="0" applyProtection="0"/>
    <xf numFmtId="0" fontId="21" fillId="15"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32" borderId="0" applyNumberFormat="0" applyBorder="0" applyAlignment="0" applyProtection="0"/>
    <xf numFmtId="0" fontId="21" fillId="32"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167"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0" fillId="0" borderId="0"/>
    <xf numFmtId="167" fontId="20" fillId="0" borderId="0" applyFont="0" applyFill="0" applyBorder="0" applyAlignment="0" applyProtection="0"/>
    <xf numFmtId="9" fontId="20" fillId="0" borderId="0" applyFont="0" applyFill="0" applyBorder="0" applyAlignment="0" applyProtection="0"/>
    <xf numFmtId="176" fontId="32" fillId="0" borderId="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176" fontId="32" fillId="0" borderId="0"/>
    <xf numFmtId="167" fontId="39" fillId="0" borderId="0" applyFont="0" applyFill="0" applyBorder="0" applyAlignment="0" applyProtection="0"/>
    <xf numFmtId="9" fontId="39" fillId="0" borderId="0" applyFont="0" applyFill="0" applyBorder="0" applyAlignment="0" applyProtection="0"/>
    <xf numFmtId="0" fontId="19" fillId="0" borderId="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167" fontId="19" fillId="0" borderId="0" applyFont="0" applyFill="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3" borderId="112" applyNumberFormat="0" applyFont="0" applyAlignment="0" applyProtection="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3" borderId="112" applyNumberFormat="0" applyFont="0" applyAlignment="0" applyProtection="0"/>
    <xf numFmtId="167" fontId="19" fillId="0" borderId="0" applyFont="0" applyFill="0" applyBorder="0" applyAlignment="0" applyProtection="0"/>
    <xf numFmtId="0" fontId="19" fillId="0" borderId="0"/>
    <xf numFmtId="0" fontId="19" fillId="15"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0" borderId="0"/>
    <xf numFmtId="0" fontId="19" fillId="27"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167" fontId="19" fillId="0" borderId="0" applyFont="0" applyFill="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3" borderId="112" applyNumberFormat="0" applyFont="0" applyAlignment="0" applyProtection="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3" borderId="112" applyNumberFormat="0" applyFont="0" applyAlignment="0" applyProtection="0"/>
    <xf numFmtId="167" fontId="19" fillId="0" borderId="0" applyFont="0" applyFill="0" applyBorder="0" applyAlignment="0" applyProtection="0"/>
    <xf numFmtId="0" fontId="19" fillId="0" borderId="0"/>
    <xf numFmtId="0" fontId="19" fillId="15"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0" borderId="0"/>
    <xf numFmtId="0" fontId="19" fillId="27"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8" fillId="0" borderId="0"/>
    <xf numFmtId="167" fontId="18" fillId="0" borderId="0" applyFont="0" applyFill="0" applyBorder="0" applyAlignment="0" applyProtection="0"/>
    <xf numFmtId="0" fontId="46" fillId="0" borderId="0"/>
    <xf numFmtId="0" fontId="134" fillId="0" borderId="0" applyNumberFormat="0" applyFill="0" applyBorder="0" applyAlignment="0" applyProtection="0">
      <alignment vertical="top"/>
      <protection locked="0"/>
    </xf>
    <xf numFmtId="0" fontId="18" fillId="0" borderId="0"/>
    <xf numFmtId="167" fontId="18" fillId="0" borderId="0" applyFont="0" applyFill="0" applyBorder="0" applyAlignment="0" applyProtection="0"/>
    <xf numFmtId="0" fontId="17" fillId="0" borderId="0"/>
    <xf numFmtId="43" fontId="17" fillId="0" borderId="0" applyFont="0" applyFill="0" applyBorder="0" applyAlignment="0" applyProtection="0"/>
    <xf numFmtId="0" fontId="16" fillId="0" borderId="0"/>
    <xf numFmtId="43" fontId="16" fillId="0" borderId="0" applyFont="0" applyFill="0" applyBorder="0" applyAlignment="0" applyProtection="0"/>
    <xf numFmtId="9"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7" borderId="0" applyNumberFormat="0" applyBorder="0" applyAlignment="0" applyProtection="0"/>
    <xf numFmtId="0" fontId="16" fillId="28" borderId="0" applyNumberFormat="0" applyBorder="0" applyAlignment="0" applyProtection="0"/>
    <xf numFmtId="0" fontId="16" fillId="31" borderId="0" applyNumberFormat="0" applyBorder="0" applyAlignment="0" applyProtection="0"/>
    <xf numFmtId="0" fontId="16" fillId="32" borderId="0" applyNumberFormat="0" applyBorder="0" applyAlignment="0" applyProtection="0"/>
    <xf numFmtId="0" fontId="16" fillId="35" borderId="0" applyNumberFormat="0" applyBorder="0" applyAlignment="0" applyProtection="0"/>
    <xf numFmtId="0" fontId="16" fillId="36" borderId="0" applyNumberFormat="0" applyBorder="0" applyAlignment="0" applyProtection="0"/>
    <xf numFmtId="0" fontId="16" fillId="0" borderId="0"/>
    <xf numFmtId="0" fontId="16" fillId="13" borderId="112" applyNumberFormat="0" applyFont="0" applyAlignment="0" applyProtection="0"/>
    <xf numFmtId="0" fontId="16" fillId="15" borderId="0" applyNumberFormat="0" applyBorder="0" applyAlignment="0" applyProtection="0"/>
    <xf numFmtId="0" fontId="16" fillId="16"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7" borderId="0" applyNumberFormat="0" applyBorder="0" applyAlignment="0" applyProtection="0"/>
    <xf numFmtId="0" fontId="16" fillId="28" borderId="0" applyNumberFormat="0" applyBorder="0" applyAlignment="0" applyProtection="0"/>
    <xf numFmtId="0" fontId="16" fillId="31" borderId="0" applyNumberFormat="0" applyBorder="0" applyAlignment="0" applyProtection="0"/>
    <xf numFmtId="0" fontId="16" fillId="32" borderId="0" applyNumberFormat="0" applyBorder="0" applyAlignment="0" applyProtection="0"/>
    <xf numFmtId="0" fontId="16" fillId="35" borderId="0" applyNumberFormat="0" applyBorder="0" applyAlignment="0" applyProtection="0"/>
    <xf numFmtId="0" fontId="16" fillId="36" borderId="0" applyNumberFormat="0" applyBorder="0" applyAlignment="0" applyProtection="0"/>
    <xf numFmtId="0" fontId="16" fillId="0" borderId="0"/>
    <xf numFmtId="0" fontId="16" fillId="13" borderId="112" applyNumberFormat="0" applyFont="0" applyAlignment="0" applyProtection="0"/>
    <xf numFmtId="43" fontId="39" fillId="0" borderId="0" applyFont="0" applyFill="0" applyBorder="0" applyAlignment="0" applyProtection="0"/>
    <xf numFmtId="43" fontId="16" fillId="0" borderId="0" applyFont="0" applyFill="0" applyBorder="0" applyAlignment="0" applyProtection="0"/>
    <xf numFmtId="0" fontId="16" fillId="0" borderId="0"/>
    <xf numFmtId="43" fontId="141" fillId="0" borderId="0" applyFont="0" applyFill="0" applyBorder="0" applyAlignment="0" applyProtection="0"/>
    <xf numFmtId="37" fontId="140" fillId="0" borderId="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39" fillId="0" borderId="0"/>
    <xf numFmtId="0" fontId="39" fillId="0" borderId="0"/>
    <xf numFmtId="0" fontId="39" fillId="0" borderId="0"/>
    <xf numFmtId="0" fontId="16" fillId="0" borderId="0"/>
    <xf numFmtId="0" fontId="142" fillId="0" borderId="0"/>
    <xf numFmtId="9" fontId="39" fillId="0" borderId="0" applyFont="0" applyFill="0" applyBorder="0" applyAlignment="0" applyProtection="0"/>
    <xf numFmtId="37" fontId="140" fillId="0" borderId="0"/>
    <xf numFmtId="43"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43" fontId="39"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43" fontId="39"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186"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86" fontId="39" fillId="0" borderId="0"/>
    <xf numFmtId="186" fontId="39" fillId="0" borderId="0"/>
    <xf numFmtId="186"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37" fontId="140"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0" fontId="143" fillId="0" borderId="0"/>
    <xf numFmtId="186" fontId="39" fillId="0" borderId="0"/>
    <xf numFmtId="0" fontId="16" fillId="0" borderId="0"/>
    <xf numFmtId="0" fontId="16" fillId="0" borderId="0"/>
    <xf numFmtId="0" fontId="16" fillId="0" borderId="0"/>
    <xf numFmtId="0" fontId="16" fillId="0" borderId="0"/>
    <xf numFmtId="0" fontId="16" fillId="0" borderId="0"/>
    <xf numFmtId="0" fontId="16" fillId="0" borderId="0"/>
    <xf numFmtId="186" fontId="39" fillId="0" borderId="0"/>
    <xf numFmtId="186" fontId="39" fillId="0" borderId="0"/>
    <xf numFmtId="0" fontId="16" fillId="0" borderId="0"/>
    <xf numFmtId="0" fontId="16" fillId="0" borderId="0"/>
    <xf numFmtId="0" fontId="16" fillId="0" borderId="0"/>
    <xf numFmtId="0" fontId="16" fillId="0" borderId="0"/>
    <xf numFmtId="186" fontId="39" fillId="0" borderId="0"/>
    <xf numFmtId="186" fontId="39" fillId="0" borderId="0"/>
    <xf numFmtId="186" fontId="39" fillId="0" borderId="0"/>
    <xf numFmtId="186" fontId="39"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39" fillId="0" borderId="0"/>
    <xf numFmtId="186" fontId="39" fillId="0" borderId="0"/>
    <xf numFmtId="186" fontId="39" fillId="0" borderId="0"/>
    <xf numFmtId="186" fontId="39" fillId="0" borderId="0"/>
    <xf numFmtId="9" fontId="39" fillId="0" borderId="0" applyFont="0" applyFill="0" applyBorder="0" applyAlignment="0" applyProtection="0"/>
    <xf numFmtId="9" fontId="39" fillId="0" borderId="0" applyFont="0" applyFill="0" applyBorder="0" applyAlignment="0" applyProtection="0"/>
    <xf numFmtId="0" fontId="39" fillId="0" borderId="0"/>
    <xf numFmtId="0" fontId="37" fillId="0" borderId="0"/>
    <xf numFmtId="43" fontId="144"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44" fillId="0" borderId="0"/>
    <xf numFmtId="0" fontId="37" fillId="0" borderId="0"/>
    <xf numFmtId="0" fontId="16" fillId="0" borderId="0"/>
    <xf numFmtId="0" fontId="144" fillId="0" borderId="0"/>
    <xf numFmtId="0" fontId="16" fillId="15"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38" borderId="0" applyNumberFormat="0" applyBorder="0" applyAlignment="0" applyProtection="0"/>
    <xf numFmtId="0" fontId="16" fillId="15"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39" borderId="0" applyNumberFormat="0" applyBorder="0" applyAlignment="0" applyProtection="0"/>
    <xf numFmtId="0" fontId="16" fillId="1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23"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40" borderId="0" applyNumberFormat="0" applyBorder="0" applyAlignment="0" applyProtection="0"/>
    <xf numFmtId="0" fontId="16" fillId="23"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7"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41" borderId="0" applyNumberFormat="0" applyBorder="0" applyAlignment="0" applyProtection="0"/>
    <xf numFmtId="0" fontId="16" fillId="27"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5"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42" borderId="0" applyNumberFormat="0" applyBorder="0" applyAlignment="0" applyProtection="0"/>
    <xf numFmtId="0" fontId="16" fillId="35"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16"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43" borderId="0" applyNumberFormat="0" applyBorder="0" applyAlignment="0" applyProtection="0"/>
    <xf numFmtId="0" fontId="16" fillId="16"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44" borderId="0" applyNumberFormat="0" applyBorder="0" applyAlignment="0" applyProtection="0"/>
    <xf numFmtId="0" fontId="16" fillId="2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41" borderId="0" applyNumberFormat="0" applyBorder="0" applyAlignment="0" applyProtection="0"/>
    <xf numFmtId="0" fontId="16" fillId="28"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43" borderId="0" applyNumberFormat="0" applyBorder="0" applyAlignment="0" applyProtection="0"/>
    <xf numFmtId="0" fontId="16" fillId="32"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6"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45" borderId="0" applyNumberFormat="0" applyBorder="0" applyAlignment="0" applyProtection="0"/>
    <xf numFmtId="0" fontId="16" fillId="36"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06" fillId="46" borderId="0" applyNumberFormat="0" applyBorder="0" applyAlignment="0" applyProtection="0"/>
    <xf numFmtId="0" fontId="106" fillId="46" borderId="0" applyNumberFormat="0" applyBorder="0" applyAlignment="0" applyProtection="0"/>
    <xf numFmtId="0" fontId="106" fillId="17" borderId="0" applyNumberFormat="0" applyBorder="0" applyAlignment="0" applyProtection="0"/>
    <xf numFmtId="0" fontId="106" fillId="47" borderId="0" applyNumberFormat="0" applyBorder="0" applyAlignment="0" applyProtection="0"/>
    <xf numFmtId="0" fontId="106" fillId="47" borderId="0" applyNumberFormat="0" applyBorder="0" applyAlignment="0" applyProtection="0"/>
    <xf numFmtId="0" fontId="106" fillId="21" borderId="0" applyNumberFormat="0" applyBorder="0" applyAlignment="0" applyProtection="0"/>
    <xf numFmtId="0" fontId="106" fillId="44" borderId="0" applyNumberFormat="0" applyBorder="0" applyAlignment="0" applyProtection="0"/>
    <xf numFmtId="0" fontId="106" fillId="44" borderId="0" applyNumberFormat="0" applyBorder="0" applyAlignment="0" applyProtection="0"/>
    <xf numFmtId="0" fontId="106" fillId="25" borderId="0" applyNumberFormat="0" applyBorder="0" applyAlignment="0" applyProtection="0"/>
    <xf numFmtId="0" fontId="106" fillId="48" borderId="0" applyNumberFormat="0" applyBorder="0" applyAlignment="0" applyProtection="0"/>
    <xf numFmtId="0" fontId="106" fillId="48" borderId="0" applyNumberFormat="0" applyBorder="0" applyAlignment="0" applyProtection="0"/>
    <xf numFmtId="0" fontId="106" fillId="29" borderId="0" applyNumberFormat="0" applyBorder="0" applyAlignment="0" applyProtection="0"/>
    <xf numFmtId="0" fontId="106" fillId="49" borderId="0" applyNumberFormat="0" applyBorder="0" applyAlignment="0" applyProtection="0"/>
    <xf numFmtId="0" fontId="106" fillId="49" borderId="0" applyNumberFormat="0" applyBorder="0" applyAlignment="0" applyProtection="0"/>
    <xf numFmtId="0" fontId="106" fillId="33" borderId="0" applyNumberFormat="0" applyBorder="0" applyAlignment="0" applyProtection="0"/>
    <xf numFmtId="0" fontId="106" fillId="50" borderId="0" applyNumberFormat="0" applyBorder="0" applyAlignment="0" applyProtection="0"/>
    <xf numFmtId="0" fontId="106" fillId="50" borderId="0" applyNumberFormat="0" applyBorder="0" applyAlignment="0" applyProtection="0"/>
    <xf numFmtId="0" fontId="106" fillId="37" borderId="0" applyNumberFormat="0" applyBorder="0" applyAlignment="0" applyProtection="0"/>
    <xf numFmtId="0" fontId="106" fillId="51" borderId="0" applyNumberFormat="0" applyBorder="0" applyAlignment="0" applyProtection="0"/>
    <xf numFmtId="0" fontId="106" fillId="51" borderId="0" applyNumberFormat="0" applyBorder="0" applyAlignment="0" applyProtection="0"/>
    <xf numFmtId="0" fontId="106" fillId="14" borderId="0" applyNumberFormat="0" applyBorder="0" applyAlignment="0" applyProtection="0"/>
    <xf numFmtId="0" fontId="106" fillId="52" borderId="0" applyNumberFormat="0" applyBorder="0" applyAlignment="0" applyProtection="0"/>
    <xf numFmtId="0" fontId="106" fillId="52" borderId="0" applyNumberFormat="0" applyBorder="0" applyAlignment="0" applyProtection="0"/>
    <xf numFmtId="0" fontId="106" fillId="18" borderId="0" applyNumberFormat="0" applyBorder="0" applyAlignment="0" applyProtection="0"/>
    <xf numFmtId="0" fontId="106" fillId="53" borderId="0" applyNumberFormat="0" applyBorder="0" applyAlignment="0" applyProtection="0"/>
    <xf numFmtId="0" fontId="106" fillId="53" borderId="0" applyNumberFormat="0" applyBorder="0" applyAlignment="0" applyProtection="0"/>
    <xf numFmtId="0" fontId="106" fillId="22" borderId="0" applyNumberFormat="0" applyBorder="0" applyAlignment="0" applyProtection="0"/>
    <xf numFmtId="0" fontId="106" fillId="48" borderId="0" applyNumberFormat="0" applyBorder="0" applyAlignment="0" applyProtection="0"/>
    <xf numFmtId="0" fontId="106" fillId="48" borderId="0" applyNumberFormat="0" applyBorder="0" applyAlignment="0" applyProtection="0"/>
    <xf numFmtId="0" fontId="106" fillId="26" borderId="0" applyNumberFormat="0" applyBorder="0" applyAlignment="0" applyProtection="0"/>
    <xf numFmtId="0" fontId="106" fillId="30" borderId="0" applyNumberFormat="0" applyBorder="0" applyAlignment="0" applyProtection="0"/>
    <xf numFmtId="0" fontId="106" fillId="54" borderId="0" applyNumberFormat="0" applyBorder="0" applyAlignment="0" applyProtection="0"/>
    <xf numFmtId="0" fontId="106" fillId="54" borderId="0" applyNumberFormat="0" applyBorder="0" applyAlignment="0" applyProtection="0"/>
    <xf numFmtId="0" fontId="106" fillId="34"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8" borderId="0" applyNumberFormat="0" applyBorder="0" applyAlignment="0" applyProtection="0"/>
    <xf numFmtId="0" fontId="145" fillId="42" borderId="108" applyNumberFormat="0" applyAlignment="0" applyProtection="0"/>
    <xf numFmtId="0" fontId="145" fillId="42" borderId="108" applyNumberFormat="0" applyAlignment="0" applyProtection="0"/>
    <xf numFmtId="0" fontId="100" fillId="11" borderId="108" applyNumberFormat="0" applyAlignment="0" applyProtection="0"/>
    <xf numFmtId="0" fontId="102" fillId="12" borderId="111" applyNumberFormat="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41"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44"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39"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6" fontId="39"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0" fontId="104" fillId="0" borderId="0" applyNumberFormat="0" applyFill="0" applyBorder="0" applyAlignment="0" applyProtection="0"/>
    <xf numFmtId="0" fontId="95" fillId="40" borderId="0" applyNumberFormat="0" applyBorder="0" applyAlignment="0" applyProtection="0"/>
    <xf numFmtId="0" fontId="95" fillId="40" borderId="0" applyNumberFormat="0" applyBorder="0" applyAlignment="0" applyProtection="0"/>
    <xf numFmtId="0" fontId="95" fillId="7" borderId="0" applyNumberFormat="0" applyBorder="0" applyAlignment="0" applyProtection="0"/>
    <xf numFmtId="0" fontId="147" fillId="0" borderId="133" applyNumberFormat="0" applyFill="0" applyAlignment="0" applyProtection="0"/>
    <xf numFmtId="0" fontId="147" fillId="0" borderId="133" applyNumberFormat="0" applyFill="0" applyAlignment="0" applyProtection="0"/>
    <xf numFmtId="0" fontId="92" fillId="0" borderId="105" applyNumberFormat="0" applyFill="0" applyAlignment="0" applyProtection="0"/>
    <xf numFmtId="0" fontId="148" fillId="0" borderId="134" applyNumberFormat="0" applyFill="0" applyAlignment="0" applyProtection="0"/>
    <xf numFmtId="0" fontId="148" fillId="0" borderId="134" applyNumberFormat="0" applyFill="0" applyAlignment="0" applyProtection="0"/>
    <xf numFmtId="0" fontId="93" fillId="0" borderId="106" applyNumberFormat="0" applyFill="0" applyAlignment="0" applyProtection="0"/>
    <xf numFmtId="0" fontId="149" fillId="0" borderId="135" applyNumberFormat="0" applyFill="0" applyAlignment="0" applyProtection="0"/>
    <xf numFmtId="0" fontId="149" fillId="0" borderId="135" applyNumberFormat="0" applyFill="0" applyAlignment="0" applyProtection="0"/>
    <xf numFmtId="0" fontId="94" fillId="0" borderId="107" applyNumberFormat="0" applyFill="0" applyAlignment="0" applyProtection="0"/>
    <xf numFmtId="0" fontId="149" fillId="0" borderId="0" applyNumberFormat="0" applyFill="0" applyBorder="0" applyAlignment="0" applyProtection="0"/>
    <xf numFmtId="0" fontId="149" fillId="0" borderId="0" applyNumberFormat="0" applyFill="0" applyBorder="0" applyAlignment="0" applyProtection="0"/>
    <xf numFmtId="0" fontId="94" fillId="0" borderId="0" applyNumberFormat="0" applyFill="0" applyBorder="0" applyAlignment="0" applyProtection="0"/>
    <xf numFmtId="0" fontId="98" fillId="42" borderId="108" applyNumberFormat="0" applyAlignment="0" applyProtection="0"/>
    <xf numFmtId="0" fontId="98" fillId="42" borderId="108" applyNumberFormat="0" applyAlignment="0" applyProtection="0"/>
    <xf numFmtId="0" fontId="98" fillId="10" borderId="108" applyNumberFormat="0" applyAlignment="0" applyProtection="0"/>
    <xf numFmtId="0" fontId="150" fillId="0" borderId="136" applyNumberFormat="0" applyFill="0" applyAlignment="0" applyProtection="0"/>
    <xf numFmtId="0" fontId="150" fillId="0" borderId="136" applyNumberFormat="0" applyFill="0" applyAlignment="0" applyProtection="0"/>
    <xf numFmtId="0" fontId="101" fillId="0" borderId="110" applyNumberFormat="0" applyFill="0" applyAlignment="0" applyProtection="0"/>
    <xf numFmtId="0" fontId="151" fillId="9" borderId="0" applyNumberFormat="0" applyBorder="0" applyAlignment="0" applyProtection="0"/>
    <xf numFmtId="0" fontId="151" fillId="9" borderId="0" applyNumberFormat="0" applyBorder="0" applyAlignment="0" applyProtection="0"/>
    <xf numFmtId="0" fontId="97" fillId="9" borderId="0" applyNumberFormat="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87" fontId="39" fillId="0" borderId="0"/>
    <xf numFmtId="0" fontId="16" fillId="0" borderId="0"/>
    <xf numFmtId="187"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39"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39" fillId="0" borderId="0"/>
    <xf numFmtId="0" fontId="16" fillId="0" borderId="0"/>
    <xf numFmtId="0" fontId="39"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39" fillId="0" borderId="0"/>
    <xf numFmtId="0" fontId="16" fillId="0" borderId="0"/>
    <xf numFmtId="0" fontId="39" fillId="0" borderId="0"/>
    <xf numFmtId="0" fontId="16" fillId="0" borderId="0"/>
    <xf numFmtId="0" fontId="16"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39" fillId="0" borderId="0"/>
    <xf numFmtId="0" fontId="39" fillId="0" borderId="0"/>
    <xf numFmtId="0" fontId="16" fillId="0" borderId="0"/>
    <xf numFmtId="0" fontId="39" fillId="0" borderId="0"/>
    <xf numFmtId="0" fontId="16" fillId="0" borderId="0"/>
    <xf numFmtId="0" fontId="39" fillId="0" borderId="0"/>
    <xf numFmtId="0" fontId="39" fillId="0" borderId="0"/>
    <xf numFmtId="0" fontId="16" fillId="0" borderId="0"/>
    <xf numFmtId="0" fontId="39" fillId="0" borderId="0"/>
    <xf numFmtId="0" fontId="39"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39"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applyBorder="0"/>
    <xf numFmtId="0" fontId="39" fillId="0" borderId="0" applyBorder="0"/>
    <xf numFmtId="0" fontId="16" fillId="0" borderId="0"/>
    <xf numFmtId="0" fontId="16" fillId="0" borderId="0"/>
    <xf numFmtId="0" fontId="16" fillId="0" borderId="0"/>
    <xf numFmtId="0" fontId="16" fillId="0" borderId="0"/>
    <xf numFmtId="0" fontId="16" fillId="0" borderId="0"/>
    <xf numFmtId="0" fontId="16" fillId="0" borderId="0"/>
    <xf numFmtId="187" fontId="39"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applyBorder="0"/>
    <xf numFmtId="0" fontId="16" fillId="0" borderId="0"/>
    <xf numFmtId="0" fontId="39" fillId="0" borderId="0" applyBorder="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39" fillId="0" borderId="0"/>
    <xf numFmtId="0" fontId="39" fillId="0" borderId="0" applyBorder="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applyBorder="0"/>
    <xf numFmtId="0" fontId="141"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44" fillId="0" borderId="0"/>
    <xf numFmtId="0" fontId="16" fillId="0" borderId="0"/>
    <xf numFmtId="0" fontId="16" fillId="0" borderId="0"/>
    <xf numFmtId="0" fontId="16" fillId="0" borderId="0"/>
    <xf numFmtId="0" fontId="144" fillId="0" borderId="0"/>
    <xf numFmtId="0" fontId="144" fillId="0" borderId="0"/>
    <xf numFmtId="0" fontId="16" fillId="0" borderId="0"/>
    <xf numFmtId="0" fontId="16" fillId="0" borderId="0"/>
    <xf numFmtId="0" fontId="39" fillId="0" borderId="0"/>
    <xf numFmtId="0" fontId="39" fillId="0" borderId="0"/>
    <xf numFmtId="0" fontId="16" fillId="0" borderId="0"/>
    <xf numFmtId="0" fontId="39" fillId="0" borderId="0"/>
    <xf numFmtId="0" fontId="16" fillId="0" borderId="0"/>
    <xf numFmtId="0" fontId="16" fillId="0" borderId="0"/>
    <xf numFmtId="0" fontId="144"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87"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87"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7" fillId="0" borderId="0">
      <alignment vertical="top"/>
    </xf>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41"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07"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07"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99" fillId="42" borderId="109" applyNumberFormat="0" applyAlignment="0" applyProtection="0"/>
    <xf numFmtId="0" fontId="99" fillId="42" borderId="109" applyNumberFormat="0" applyAlignment="0" applyProtection="0"/>
    <xf numFmtId="0" fontId="99" fillId="11" borderId="109" applyNumberFormat="0" applyAlignment="0" applyProtection="0"/>
    <xf numFmtId="9" fontId="107" fillId="0" borderId="0" applyFont="0" applyFill="0" applyBorder="0" applyAlignment="0" applyProtection="0"/>
    <xf numFmtId="9" fontId="107"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16" fillId="0" borderId="0" applyFont="0" applyFill="0" applyBorder="0" applyAlignment="0" applyProtection="0"/>
    <xf numFmtId="0" fontId="152" fillId="0" borderId="0" applyNumberFormat="0" applyFill="0" applyBorder="0" applyAlignment="0" applyProtection="0"/>
    <xf numFmtId="0" fontId="152" fillId="0" borderId="0" applyNumberFormat="0" applyFill="0" applyBorder="0" applyAlignment="0" applyProtection="0"/>
    <xf numFmtId="0" fontId="105" fillId="0" borderId="137" applyNumberFormat="0" applyFill="0" applyAlignment="0" applyProtection="0"/>
    <xf numFmtId="0" fontId="105" fillId="0" borderId="137" applyNumberFormat="0" applyFill="0" applyAlignment="0" applyProtection="0"/>
    <xf numFmtId="0" fontId="105" fillId="0" borderId="137" applyNumberFormat="0" applyFill="0" applyAlignment="0" applyProtection="0"/>
    <xf numFmtId="0" fontId="105" fillId="0" borderId="137" applyNumberFormat="0" applyFill="0" applyAlignment="0" applyProtection="0"/>
    <xf numFmtId="0" fontId="105" fillId="0" borderId="137" applyNumberFormat="0" applyFill="0" applyAlignment="0" applyProtection="0"/>
    <xf numFmtId="0" fontId="105" fillId="0" borderId="137" applyNumberFormat="0" applyFill="0" applyAlignment="0" applyProtection="0"/>
    <xf numFmtId="0" fontId="105" fillId="0" borderId="137" applyNumberFormat="0" applyFill="0" applyAlignment="0" applyProtection="0"/>
    <xf numFmtId="0" fontId="105" fillId="0" borderId="137" applyNumberFormat="0" applyFill="0" applyAlignment="0" applyProtection="0"/>
    <xf numFmtId="0" fontId="105" fillId="0" borderId="113" applyNumberFormat="0" applyFill="0" applyAlignment="0" applyProtection="0"/>
    <xf numFmtId="0" fontId="103" fillId="0" borderId="0" applyNumberForma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39" fillId="0" borderId="0" applyBorder="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43" fontId="16" fillId="0" borderId="0" applyFont="0" applyFill="0" applyBorder="0" applyAlignment="0" applyProtection="0"/>
    <xf numFmtId="0" fontId="37" fillId="0" borderId="0"/>
    <xf numFmtId="0" fontId="37" fillId="0" borderId="0"/>
    <xf numFmtId="0" fontId="16"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0" fontId="39" fillId="0" borderId="0" applyFont="0" applyFill="0" applyBorder="0" applyAlignment="0" applyProtection="0"/>
    <xf numFmtId="166" fontId="39" fillId="0" borderId="0" applyFont="0" applyFill="0" applyBorder="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6" fillId="0" borderId="0"/>
    <xf numFmtId="0" fontId="16" fillId="0" borderId="0"/>
    <xf numFmtId="0" fontId="16" fillId="0" borderId="0"/>
    <xf numFmtId="0" fontId="39" fillId="0" borderId="0"/>
    <xf numFmtId="0" fontId="39" fillId="0" borderId="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0" fontId="39" fillId="0" borderId="0"/>
    <xf numFmtId="0" fontId="15" fillId="0" borderId="0"/>
    <xf numFmtId="167" fontId="15"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3" fillId="0" borderId="0"/>
    <xf numFmtId="0" fontId="13" fillId="15" borderId="0" applyNumberFormat="0" applyBorder="0" applyAlignment="0" applyProtection="0"/>
    <xf numFmtId="0" fontId="13" fillId="16"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5" borderId="0" applyNumberFormat="0" applyBorder="0" applyAlignment="0" applyProtection="0"/>
    <xf numFmtId="0" fontId="13" fillId="36" borderId="0" applyNumberFormat="0" applyBorder="0" applyAlignment="0" applyProtection="0"/>
    <xf numFmtId="0" fontId="31" fillId="0" borderId="0"/>
    <xf numFmtId="167" fontId="39" fillId="0" borderId="0" applyFont="0" applyFill="0" applyBorder="0" applyAlignment="0" applyProtection="0"/>
    <xf numFmtId="9" fontId="31" fillId="0" borderId="0" applyFont="0" applyFill="0" applyBorder="0" applyAlignment="0" applyProtection="0"/>
    <xf numFmtId="0" fontId="111" fillId="0" borderId="0" applyNumberFormat="0" applyFill="0" applyBorder="0" applyAlignment="0" applyProtection="0"/>
    <xf numFmtId="0" fontId="13" fillId="0" borderId="0"/>
    <xf numFmtId="0" fontId="13" fillId="13" borderId="112" applyNumberFormat="0" applyFont="0" applyAlignment="0" applyProtection="0"/>
    <xf numFmtId="0" fontId="13" fillId="15" borderId="0" applyNumberFormat="0" applyBorder="0" applyAlignment="0" applyProtection="0"/>
    <xf numFmtId="0" fontId="13" fillId="16"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5" borderId="0" applyNumberFormat="0" applyBorder="0" applyAlignment="0" applyProtection="0"/>
    <xf numFmtId="0" fontId="13" fillId="36" borderId="0" applyNumberFormat="0" applyBorder="0" applyAlignment="0" applyProtection="0"/>
    <xf numFmtId="0" fontId="13" fillId="0" borderId="0"/>
    <xf numFmtId="0" fontId="13" fillId="13" borderId="112" applyNumberFormat="0" applyFont="0" applyAlignment="0" applyProtection="0"/>
    <xf numFmtId="167" fontId="13" fillId="0" borderId="0" applyFont="0" applyFill="0" applyBorder="0" applyAlignment="0" applyProtection="0"/>
    <xf numFmtId="0" fontId="13" fillId="0" borderId="0"/>
    <xf numFmtId="167" fontId="141" fillId="0" borderId="0" applyFont="0" applyFill="0" applyBorder="0" applyAlignment="0" applyProtection="0"/>
    <xf numFmtId="167" fontId="39"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0" fontId="13" fillId="0" borderId="0"/>
    <xf numFmtId="43"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67" fontId="39"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67" fontId="39"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67" fontId="39"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67" fontId="144"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0" fontId="13" fillId="0" borderId="0"/>
    <xf numFmtId="0" fontId="13" fillId="15"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38" borderId="0" applyNumberFormat="0" applyBorder="0" applyAlignment="0" applyProtection="0"/>
    <xf numFmtId="0" fontId="13" fillId="15"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39" borderId="0" applyNumberFormat="0" applyBorder="0" applyAlignment="0" applyProtection="0"/>
    <xf numFmtId="0" fontId="13" fillId="1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40" borderId="0" applyNumberFormat="0" applyBorder="0" applyAlignment="0" applyProtection="0"/>
    <xf numFmtId="0" fontId="13" fillId="23"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41" borderId="0" applyNumberFormat="0" applyBorder="0" applyAlignment="0" applyProtection="0"/>
    <xf numFmtId="0" fontId="13" fillId="27"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5"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42" borderId="0" applyNumberFormat="0" applyBorder="0" applyAlignment="0" applyProtection="0"/>
    <xf numFmtId="0" fontId="13" fillId="35"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16"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43" borderId="0" applyNumberFormat="0" applyBorder="0" applyAlignment="0" applyProtection="0"/>
    <xf numFmtId="0" fontId="13" fillId="16"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44" borderId="0" applyNumberFormat="0" applyBorder="0" applyAlignment="0" applyProtection="0"/>
    <xf numFmtId="0" fontId="13" fillId="2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8"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41" borderId="0" applyNumberFormat="0" applyBorder="0" applyAlignment="0" applyProtection="0"/>
    <xf numFmtId="0" fontId="13" fillId="28"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43" borderId="0" applyNumberFormat="0" applyBorder="0" applyAlignment="0" applyProtection="0"/>
    <xf numFmtId="0" fontId="13" fillId="32"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6"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45" borderId="0" applyNumberFormat="0" applyBorder="0" applyAlignment="0" applyProtection="0"/>
    <xf numFmtId="0" fontId="13" fillId="36"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41"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07"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07" fillId="0" borderId="0" applyFont="0" applyFill="0" applyBorder="0" applyAlignment="0" applyProtection="0"/>
    <xf numFmtId="167" fontId="146"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44"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44"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07"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07"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0" fontId="149" fillId="0" borderId="138" applyNumberFormat="0" applyFill="0" applyAlignment="0" applyProtection="0"/>
    <xf numFmtId="0" fontId="149" fillId="0" borderId="138" applyNumberFormat="0" applyFill="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9" fontId="13" fillId="0" borderId="0" applyFont="0" applyFill="0" applyBorder="0" applyAlignment="0" applyProtection="0"/>
    <xf numFmtId="0" fontId="13" fillId="0" borderId="0"/>
    <xf numFmtId="167" fontId="13" fillId="0" borderId="0" applyFont="0" applyFill="0" applyBorder="0" applyAlignment="0" applyProtection="0"/>
    <xf numFmtId="0" fontId="13" fillId="0" borderId="0"/>
    <xf numFmtId="167" fontId="13" fillId="0" borderId="0" applyFont="0" applyFill="0" applyBorder="0" applyAlignment="0" applyProtection="0"/>
    <xf numFmtId="0" fontId="13" fillId="0" borderId="0"/>
    <xf numFmtId="167" fontId="13" fillId="0" borderId="0" applyFont="0" applyFill="0" applyBorder="0" applyAlignment="0" applyProtection="0"/>
    <xf numFmtId="167" fontId="13" fillId="0" borderId="0" applyFont="0" applyFill="0" applyBorder="0" applyAlignment="0" applyProtection="0"/>
    <xf numFmtId="0" fontId="13" fillId="0" borderId="0"/>
    <xf numFmtId="167" fontId="13" fillId="0" borderId="0" applyFont="0" applyFill="0" applyBorder="0" applyAlignment="0" applyProtection="0"/>
    <xf numFmtId="0" fontId="13" fillId="0" borderId="0"/>
    <xf numFmtId="167" fontId="13" fillId="0" borderId="0" applyFont="0" applyFill="0" applyBorder="0" applyAlignment="0" applyProtection="0"/>
    <xf numFmtId="167" fontId="13" fillId="0" borderId="0" applyFont="0" applyFill="0" applyBorder="0" applyAlignment="0" applyProtection="0"/>
    <xf numFmtId="0" fontId="13" fillId="0" borderId="0"/>
    <xf numFmtId="167" fontId="107"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07" fillId="0" borderId="0" applyFont="0" applyFill="0" applyBorder="0" applyAlignment="0" applyProtection="0"/>
    <xf numFmtId="167" fontId="13" fillId="0" borderId="0" applyFont="0" applyFill="0" applyBorder="0" applyAlignment="0" applyProtection="0"/>
    <xf numFmtId="167" fontId="107" fillId="0" borderId="0" applyFont="0" applyFill="0" applyBorder="0" applyAlignment="0" applyProtection="0"/>
    <xf numFmtId="167" fontId="13" fillId="0" borderId="0" applyFont="0" applyFill="0" applyBorder="0" applyAlignment="0" applyProtection="0"/>
    <xf numFmtId="0" fontId="13" fillId="0" borderId="0"/>
    <xf numFmtId="0" fontId="13" fillId="0" borderId="0"/>
    <xf numFmtId="0" fontId="13" fillId="0" borderId="0"/>
    <xf numFmtId="0" fontId="161" fillId="0" borderId="0"/>
    <xf numFmtId="0" fontId="12" fillId="28" borderId="0" applyNumberFormat="0" applyBorder="0" applyAlignment="0" applyProtection="0"/>
    <xf numFmtId="0" fontId="12" fillId="36" borderId="0" applyNumberFormat="0" applyBorder="0" applyAlignment="0" applyProtection="0"/>
    <xf numFmtId="0" fontId="12" fillId="0" borderId="0"/>
    <xf numFmtId="0" fontId="12" fillId="27" borderId="0" applyNumberFormat="0" applyBorder="0" applyAlignment="0" applyProtection="0"/>
    <xf numFmtId="0" fontId="12" fillId="20" borderId="0" applyNumberFormat="0" applyBorder="0" applyAlignment="0" applyProtection="0"/>
    <xf numFmtId="0" fontId="12" fillId="15" borderId="0" applyNumberFormat="0" applyBorder="0" applyAlignment="0" applyProtection="0"/>
    <xf numFmtId="43" fontId="12" fillId="0" borderId="0" applyFont="0" applyFill="0" applyBorder="0" applyAlignment="0" applyProtection="0"/>
    <xf numFmtId="0" fontId="12" fillId="13" borderId="112" applyNumberFormat="0" applyFont="0" applyAlignment="0" applyProtection="0"/>
    <xf numFmtId="0" fontId="12" fillId="0" borderId="0"/>
    <xf numFmtId="0" fontId="12" fillId="16" borderId="0" applyNumberFormat="0" applyBorder="0" applyAlignment="0" applyProtection="0"/>
    <xf numFmtId="0" fontId="12" fillId="0" borderId="0"/>
    <xf numFmtId="0" fontId="12" fillId="0" borderId="0"/>
    <xf numFmtId="0" fontId="12" fillId="42" borderId="0" applyNumberFormat="0" applyBorder="0" applyAlignment="0" applyProtection="0"/>
    <xf numFmtId="0" fontId="12" fillId="16" borderId="0" applyNumberFormat="0" applyBorder="0" applyAlignment="0" applyProtection="0"/>
    <xf numFmtId="0" fontId="12" fillId="0" borderId="0"/>
    <xf numFmtId="0" fontId="12" fillId="36" borderId="0" applyNumberFormat="0" applyBorder="0" applyAlignment="0" applyProtection="0"/>
    <xf numFmtId="43" fontId="12" fillId="0" borderId="0" applyFont="0" applyFill="0" applyBorder="0" applyAlignment="0" applyProtection="0"/>
    <xf numFmtId="0" fontId="12" fillId="15" borderId="0" applyNumberFormat="0" applyBorder="0" applyAlignment="0" applyProtection="0"/>
    <xf numFmtId="0" fontId="12" fillId="16" borderId="0" applyNumberFormat="0" applyBorder="0" applyAlignment="0" applyProtection="0"/>
    <xf numFmtId="43" fontId="12" fillId="0" borderId="0" applyFont="0" applyFill="0" applyBorder="0" applyAlignment="0" applyProtection="0"/>
    <xf numFmtId="43" fontId="39" fillId="0" borderId="0" applyFont="0" applyFill="0" applyBorder="0" applyAlignment="0" applyProtection="0"/>
    <xf numFmtId="0" fontId="12" fillId="19" borderId="0" applyNumberFormat="0" applyBorder="0" applyAlignment="0" applyProtection="0"/>
    <xf numFmtId="0" fontId="12" fillId="20" borderId="0" applyNumberFormat="0" applyBorder="0" applyAlignment="0" applyProtection="0"/>
    <xf numFmtId="43" fontId="12" fillId="0" borderId="0" applyFont="0" applyFill="0" applyBorder="0" applyAlignment="0" applyProtection="0"/>
    <xf numFmtId="43" fontId="39" fillId="0" borderId="0" applyFont="0" applyFill="0" applyBorder="0" applyAlignment="0" applyProtection="0"/>
    <xf numFmtId="0" fontId="12" fillId="23" borderId="0" applyNumberFormat="0" applyBorder="0" applyAlignment="0" applyProtection="0"/>
    <xf numFmtId="0" fontId="12" fillId="24" borderId="0" applyNumberFormat="0" applyBorder="0" applyAlignment="0" applyProtection="0"/>
    <xf numFmtId="43" fontId="12" fillId="0" borderId="0" applyFont="0" applyFill="0" applyBorder="0" applyAlignment="0" applyProtection="0"/>
    <xf numFmtId="43" fontId="39" fillId="0" borderId="0" applyFont="0" applyFill="0" applyBorder="0" applyAlignment="0" applyProtection="0"/>
    <xf numFmtId="0" fontId="12" fillId="27" borderId="0" applyNumberFormat="0" applyBorder="0" applyAlignment="0" applyProtection="0"/>
    <xf numFmtId="0" fontId="12" fillId="28"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1" borderId="0" applyNumberFormat="0" applyBorder="0" applyAlignment="0" applyProtection="0"/>
    <xf numFmtId="0" fontId="12" fillId="3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5" borderId="0" applyNumberFormat="0" applyBorder="0" applyAlignment="0" applyProtection="0"/>
    <xf numFmtId="0" fontId="12" fillId="36" borderId="0" applyNumberFormat="0" applyBorder="0" applyAlignment="0" applyProtection="0"/>
    <xf numFmtId="43" fontId="12" fillId="0" borderId="0" applyFont="0" applyFill="0" applyBorder="0" applyAlignment="0" applyProtection="0"/>
    <xf numFmtId="0" fontId="12" fillId="0" borderId="0"/>
    <xf numFmtId="0" fontId="12" fillId="13" borderId="112" applyNumberFormat="0" applyFont="0" applyAlignment="0" applyProtection="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23" borderId="0" applyNumberFormat="0" applyBorder="0" applyAlignment="0" applyProtection="0"/>
    <xf numFmtId="0" fontId="12" fillId="0" borderId="0"/>
    <xf numFmtId="0" fontId="12" fillId="13" borderId="112" applyNumberFormat="0" applyFont="0" applyAlignment="0" applyProtection="0"/>
    <xf numFmtId="0" fontId="12" fillId="0" borderId="0"/>
    <xf numFmtId="0" fontId="12" fillId="13" borderId="112" applyNumberFormat="0" applyFont="0" applyAlignment="0" applyProtection="0"/>
    <xf numFmtId="43" fontId="39" fillId="0" borderId="0" applyFont="0" applyFill="0" applyBorder="0" applyAlignment="0" applyProtection="0"/>
    <xf numFmtId="186" fontId="12" fillId="0" borderId="0"/>
    <xf numFmtId="43" fontId="12" fillId="0" borderId="0" applyFont="0" applyFill="0" applyBorder="0" applyAlignment="0" applyProtection="0"/>
    <xf numFmtId="0" fontId="12" fillId="31" borderId="0" applyNumberFormat="0" applyBorder="0" applyAlignment="0" applyProtection="0"/>
    <xf numFmtId="0" fontId="12" fillId="0" borderId="0"/>
    <xf numFmtId="0" fontId="12" fillId="44"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0" borderId="0"/>
    <xf numFmtId="0" fontId="12" fillId="36" borderId="0" applyNumberFormat="0" applyBorder="0" applyAlignment="0" applyProtection="0"/>
    <xf numFmtId="0" fontId="12" fillId="0" borderId="0"/>
    <xf numFmtId="0" fontId="12" fillId="0" borderId="0"/>
    <xf numFmtId="43" fontId="39" fillId="0" borderId="0" applyFont="0" applyFill="0" applyBorder="0" applyAlignment="0" applyProtection="0"/>
    <xf numFmtId="0" fontId="12" fillId="20" borderId="0" applyNumberFormat="0" applyBorder="0" applyAlignment="0" applyProtection="0"/>
    <xf numFmtId="0" fontId="12" fillId="24" borderId="0" applyNumberFormat="0" applyBorder="0" applyAlignment="0" applyProtection="0"/>
    <xf numFmtId="43"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19"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6"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0" applyNumberFormat="0" applyBorder="0" applyAlignment="0" applyProtection="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43" fontId="39"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38" borderId="0" applyNumberFormat="0" applyBorder="0" applyAlignment="0" applyProtection="0"/>
    <xf numFmtId="0" fontId="12" fillId="0" borderId="0"/>
    <xf numFmtId="0" fontId="12" fillId="0" borderId="0"/>
    <xf numFmtId="0" fontId="12" fillId="0" borderId="0"/>
    <xf numFmtId="0"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41" borderId="0" applyNumberFormat="0" applyBorder="0" applyAlignment="0" applyProtection="0"/>
    <xf numFmtId="43" fontId="12" fillId="0" borderId="0" applyFont="0" applyFill="0" applyBorder="0" applyAlignment="0" applyProtection="0"/>
    <xf numFmtId="0" fontId="12" fillId="27"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8" borderId="0" applyNumberFormat="0" applyBorder="0" applyAlignment="0" applyProtection="0"/>
    <xf numFmtId="43" fontId="39" fillId="0" borderId="0" applyFont="0" applyFill="0" applyBorder="0" applyAlignment="0" applyProtection="0"/>
    <xf numFmtId="0" fontId="12" fillId="0" borderId="0"/>
    <xf numFmtId="0" fontId="12" fillId="31"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6" borderId="0" applyNumberFormat="0" applyBorder="0" applyAlignment="0" applyProtection="0"/>
    <xf numFmtId="0" fontId="12" fillId="36"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13" borderId="112" applyNumberFormat="0" applyFon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7"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7" borderId="0" applyNumberFormat="0" applyBorder="0" applyAlignment="0" applyProtection="0"/>
    <xf numFmtId="43" fontId="12" fillId="0" borderId="0" applyFont="0" applyFill="0" applyBorder="0" applyAlignment="0" applyProtection="0"/>
    <xf numFmtId="0" fontId="12" fillId="27" borderId="0" applyNumberFormat="0" applyBorder="0" applyAlignment="0" applyProtection="0"/>
    <xf numFmtId="43" fontId="12" fillId="0" borderId="0" applyFont="0" applyFill="0" applyBorder="0" applyAlignment="0" applyProtection="0"/>
    <xf numFmtId="0" fontId="12" fillId="13" borderId="112" applyNumberFormat="0" applyFont="0" applyAlignment="0" applyProtection="0"/>
    <xf numFmtId="0" fontId="12" fillId="16" borderId="0" applyNumberFormat="0" applyBorder="0" applyAlignment="0" applyProtection="0"/>
    <xf numFmtId="43" fontId="12" fillId="0" borderId="0" applyFont="0" applyFill="0" applyBorder="0" applyAlignment="0" applyProtection="0"/>
    <xf numFmtId="0" fontId="12" fillId="16" borderId="0" applyNumberFormat="0" applyBorder="0" applyAlignment="0" applyProtection="0"/>
    <xf numFmtId="43" fontId="12" fillId="0" borderId="0" applyFont="0" applyFill="0" applyBorder="0" applyAlignment="0" applyProtection="0"/>
    <xf numFmtId="0" fontId="12" fillId="0" borderId="0"/>
    <xf numFmtId="0" fontId="12" fillId="15" borderId="0" applyNumberFormat="0" applyBorder="0" applyAlignment="0" applyProtection="0"/>
    <xf numFmtId="0" fontId="12" fillId="31" borderId="0" applyNumberFormat="0" applyBorder="0" applyAlignment="0" applyProtection="0"/>
    <xf numFmtId="0" fontId="12" fillId="0" borderId="0"/>
    <xf numFmtId="43" fontId="12" fillId="0" borderId="0" applyFont="0" applyFill="0" applyBorder="0" applyAlignment="0" applyProtection="0"/>
    <xf numFmtId="0" fontId="12" fillId="20"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3" borderId="0" applyNumberFormat="0" applyBorder="0" applyAlignment="0" applyProtection="0"/>
    <xf numFmtId="0" fontId="12" fillId="27" borderId="0" applyNumberFormat="0" applyBorder="0" applyAlignment="0" applyProtection="0"/>
    <xf numFmtId="43" fontId="12" fillId="0" borderId="0" applyFont="0" applyFill="0" applyBorder="0" applyAlignment="0" applyProtection="0"/>
    <xf numFmtId="0" fontId="12" fillId="0" borderId="0"/>
    <xf numFmtId="0" fontId="12" fillId="13" borderId="112" applyNumberFormat="0" applyFont="0" applyAlignment="0" applyProtection="0"/>
    <xf numFmtId="43" fontId="12" fillId="0" borderId="0" applyFont="0" applyFill="0" applyBorder="0" applyAlignment="0" applyProtection="0"/>
    <xf numFmtId="0" fontId="12" fillId="13" borderId="112" applyNumberFormat="0" applyFon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19" borderId="0" applyNumberFormat="0" applyBorder="0" applyAlignment="0" applyProtection="0"/>
    <xf numFmtId="0" fontId="12" fillId="23" borderId="0" applyNumberFormat="0" applyBorder="0" applyAlignment="0" applyProtection="0"/>
    <xf numFmtId="43" fontId="12" fillId="0" borderId="0" applyFont="0" applyFill="0" applyBorder="0" applyAlignment="0" applyProtection="0"/>
    <xf numFmtId="0" fontId="12" fillId="35" borderId="0" applyNumberFormat="0" applyBorder="0" applyAlignment="0" applyProtection="0"/>
    <xf numFmtId="0" fontId="12" fillId="16"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0" borderId="0" applyNumberFormat="0" applyBorder="0" applyAlignment="0" applyProtection="0"/>
    <xf numFmtId="0" fontId="12" fillId="27"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8"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0"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7"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6"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13" borderId="112" applyNumberFormat="0" applyFon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0"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0" fontId="12" fillId="0" borderId="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0" fontId="12" fillId="31"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36" borderId="0" applyNumberFormat="0" applyBorder="0" applyAlignment="0" applyProtection="0"/>
    <xf numFmtId="0" fontId="12" fillId="0" borderId="0"/>
    <xf numFmtId="0" fontId="12" fillId="13" borderId="112" applyNumberFormat="0" applyFont="0" applyAlignment="0" applyProtection="0"/>
    <xf numFmtId="0" fontId="12" fillId="20"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31"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2"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35"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28"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35" borderId="0" applyNumberFormat="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8"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86" fontId="12" fillId="0" borderId="0"/>
    <xf numFmtId="0" fontId="12" fillId="0" borderId="0"/>
    <xf numFmtId="0" fontId="12" fillId="0" borderId="0"/>
    <xf numFmtId="186" fontId="12" fillId="0" borderId="0"/>
    <xf numFmtId="0" fontId="12" fillId="41"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9" borderId="0" applyNumberFormat="0" applyBorder="0" applyAlignment="0" applyProtection="0"/>
    <xf numFmtId="0" fontId="12" fillId="0" borderId="0"/>
    <xf numFmtId="0" fontId="12" fillId="19" borderId="0" applyNumberFormat="0" applyBorder="0" applyAlignment="0" applyProtection="0"/>
    <xf numFmtId="0" fontId="12" fillId="0" borderId="0"/>
    <xf numFmtId="0" fontId="12" fillId="40"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31" borderId="0" applyNumberFormat="0" applyBorder="0" applyAlignment="0" applyProtection="0"/>
    <xf numFmtId="0" fontId="12" fillId="0" borderId="0"/>
    <xf numFmtId="0" fontId="12" fillId="35" borderId="0" applyNumberFormat="0" applyBorder="0" applyAlignment="0" applyProtection="0"/>
    <xf numFmtId="0" fontId="12" fillId="42" borderId="0" applyNumberFormat="0" applyBorder="0" applyAlignment="0" applyProtection="0"/>
    <xf numFmtId="0" fontId="12" fillId="0" borderId="0"/>
    <xf numFmtId="0" fontId="12" fillId="35" borderId="0" applyNumberFormat="0" applyBorder="0" applyAlignment="0" applyProtection="0"/>
    <xf numFmtId="0" fontId="12" fillId="43"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3" borderId="0" applyNumberFormat="0" applyBorder="0" applyAlignment="0" applyProtection="0"/>
    <xf numFmtId="0" fontId="12" fillId="0" borderId="0"/>
    <xf numFmtId="0" fontId="12" fillId="16" borderId="0" applyNumberFormat="0" applyBorder="0" applyAlignment="0" applyProtection="0"/>
    <xf numFmtId="0" fontId="12" fillId="0" borderId="0"/>
    <xf numFmtId="0" fontId="12" fillId="16"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28"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5" borderId="0" applyNumberFormat="0" applyBorder="0" applyAlignment="0" applyProtection="0"/>
    <xf numFmtId="186"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0" applyNumberFormat="0" applyBorder="0" applyAlignment="0" applyProtection="0"/>
    <xf numFmtId="0" fontId="12" fillId="0" borderId="0"/>
    <xf numFmtId="0" fontId="12" fillId="0" borderId="0"/>
    <xf numFmtId="0" fontId="12" fillId="0" borderId="0"/>
    <xf numFmtId="0" fontId="12" fillId="20"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3"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5"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44"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43" borderId="0" applyNumberFormat="0" applyBorder="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43" fontId="12" fillId="0" borderId="0" applyFont="0" applyFill="0" applyBorder="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44" borderId="0" applyNumberFormat="0" applyBorder="0" applyAlignment="0" applyProtection="0"/>
    <xf numFmtId="0" fontId="12" fillId="36" borderId="0" applyNumberFormat="0" applyBorder="0" applyAlignment="0" applyProtection="0"/>
    <xf numFmtId="43" fontId="12" fillId="0" borderId="0" applyFont="0" applyFill="0" applyBorder="0" applyAlignment="0" applyProtection="0"/>
    <xf numFmtId="0" fontId="12" fillId="24" borderId="0" applyNumberFormat="0" applyBorder="0" applyAlignment="0" applyProtection="0"/>
    <xf numFmtId="0" fontId="12" fillId="20" borderId="0" applyNumberFormat="0" applyBorder="0" applyAlignment="0" applyProtection="0"/>
    <xf numFmtId="43" fontId="12" fillId="0" borderId="0" applyFont="0" applyFill="0" applyBorder="0" applyAlignment="0" applyProtection="0"/>
    <xf numFmtId="0" fontId="12" fillId="44" borderId="0" applyNumberFormat="0" applyBorder="0" applyAlignment="0" applyProtection="0"/>
    <xf numFmtId="0" fontId="12" fillId="0" borderId="0"/>
    <xf numFmtId="0" fontId="12" fillId="43" borderId="0" applyNumberFormat="0" applyBorder="0" applyAlignment="0" applyProtection="0"/>
    <xf numFmtId="9" fontId="12" fillId="0" borderId="0" applyFont="0" applyFill="0" applyBorder="0" applyAlignment="0" applyProtection="0"/>
    <xf numFmtId="0" fontId="12" fillId="43"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0" borderId="0"/>
    <xf numFmtId="0" fontId="12" fillId="0" borderId="0"/>
    <xf numFmtId="0" fontId="12" fillId="0" borderId="0"/>
    <xf numFmtId="0" fontId="12" fillId="16" borderId="0" applyNumberFormat="0" applyBorder="0" applyAlignment="0" applyProtection="0"/>
    <xf numFmtId="0" fontId="12" fillId="32" borderId="0" applyNumberFormat="0" applyBorder="0" applyAlignment="0" applyProtection="0"/>
    <xf numFmtId="0" fontId="12" fillId="13" borderId="112" applyNumberFormat="0" applyFont="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16" borderId="0" applyNumberFormat="0" applyBorder="0" applyAlignment="0" applyProtection="0"/>
    <xf numFmtId="0" fontId="12" fillId="0" borderId="0"/>
    <xf numFmtId="0" fontId="12" fillId="0" borderId="0"/>
    <xf numFmtId="0" fontId="12" fillId="23"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43" fontId="12" fillId="0" borderId="0" applyFont="0" applyFill="0" applyBorder="0" applyAlignment="0" applyProtection="0"/>
    <xf numFmtId="0" fontId="12" fillId="31" borderId="0" applyNumberFormat="0" applyBorder="0" applyAlignment="0" applyProtection="0"/>
    <xf numFmtId="43" fontId="12" fillId="0" borderId="0" applyFont="0" applyFill="0" applyBorder="0" applyAlignment="0" applyProtection="0"/>
    <xf numFmtId="0" fontId="12" fillId="15" borderId="0" applyNumberFormat="0" applyBorder="0" applyAlignment="0" applyProtection="0"/>
    <xf numFmtId="43" fontId="12" fillId="0" borderId="0" applyFont="0" applyFill="0" applyBorder="0" applyAlignment="0" applyProtection="0"/>
    <xf numFmtId="0" fontId="12" fillId="0" borderId="0"/>
    <xf numFmtId="0" fontId="12" fillId="0" borderId="0"/>
    <xf numFmtId="0" fontId="12" fillId="23"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13" borderId="112" applyNumberFormat="0" applyFont="0" applyAlignment="0" applyProtection="0"/>
    <xf numFmtId="43" fontId="12" fillId="0" borderId="0" applyFont="0" applyFill="0" applyBorder="0" applyAlignment="0" applyProtection="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27"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0" borderId="0" applyNumberFormat="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4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28" borderId="0" applyNumberFormat="0" applyBorder="0" applyAlignment="0" applyProtection="0"/>
    <xf numFmtId="0" fontId="12" fillId="43"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38" borderId="0" applyNumberFormat="0" applyBorder="0" applyAlignment="0" applyProtection="0"/>
    <xf numFmtId="0" fontId="12" fillId="3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44" fillId="0" borderId="0" applyFont="0" applyFill="0" applyBorder="0" applyAlignment="0" applyProtection="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0" fontId="12" fillId="15" borderId="0" applyNumberFormat="0" applyBorder="0" applyAlignment="0" applyProtection="0"/>
    <xf numFmtId="43" fontId="12" fillId="0" borderId="0" applyFont="0" applyFill="0" applyBorder="0" applyAlignment="0" applyProtection="0"/>
    <xf numFmtId="43" fontId="39" fillId="0" borderId="0" applyFont="0" applyFill="0" applyBorder="0" applyAlignment="0" applyProtection="0"/>
    <xf numFmtId="0" fontId="12" fillId="13" borderId="112" applyNumberFormat="0" applyFont="0" applyAlignment="0" applyProtection="0"/>
    <xf numFmtId="0" fontId="12" fillId="0" borderId="0"/>
    <xf numFmtId="0" fontId="12" fillId="36" borderId="0" applyNumberFormat="0" applyBorder="0" applyAlignment="0" applyProtection="0"/>
    <xf numFmtId="0" fontId="12" fillId="35"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3" borderId="112" applyNumberFormat="0" applyFont="0" applyAlignment="0" applyProtection="0"/>
    <xf numFmtId="43" fontId="12" fillId="0" borderId="0" applyFont="0" applyFill="0" applyBorder="0" applyAlignment="0" applyProtection="0"/>
    <xf numFmtId="0" fontId="12" fillId="27"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15" borderId="0" applyNumberFormat="0" applyBorder="0" applyAlignment="0" applyProtection="0"/>
    <xf numFmtId="43" fontId="12" fillId="0" borderId="0" applyFont="0" applyFill="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36" borderId="0" applyNumberFormat="0" applyBorder="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36" borderId="0" applyNumberFormat="0" applyBorder="0" applyAlignment="0" applyProtection="0"/>
    <xf numFmtId="0" fontId="12" fillId="27" borderId="0" applyNumberFormat="0" applyBorder="0" applyAlignment="0" applyProtection="0"/>
    <xf numFmtId="0" fontId="12" fillId="16"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32" borderId="0" applyNumberFormat="0" applyBorder="0" applyAlignment="0" applyProtection="0"/>
    <xf numFmtId="0" fontId="12" fillId="31"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43" fontId="12" fillId="0" borderId="0" applyFont="0" applyFill="0" applyBorder="0" applyAlignment="0" applyProtection="0"/>
    <xf numFmtId="0" fontId="12" fillId="13" borderId="112" applyNumberFormat="0" applyFont="0" applyAlignment="0" applyProtection="0"/>
    <xf numFmtId="0" fontId="12" fillId="0" borderId="0"/>
    <xf numFmtId="0" fontId="12" fillId="35"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36" borderId="0" applyNumberFormat="0" applyBorder="0" applyAlignment="0" applyProtection="0"/>
    <xf numFmtId="0" fontId="12" fillId="35"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20" borderId="0" applyNumberFormat="0" applyBorder="0" applyAlignment="0" applyProtection="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0" borderId="0"/>
    <xf numFmtId="0" fontId="12" fillId="36"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0" borderId="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6" borderId="0" applyNumberFormat="0" applyBorder="0" applyAlignment="0" applyProtection="0"/>
    <xf numFmtId="0" fontId="12" fillId="35"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9" borderId="0" applyNumberFormat="0" applyBorder="0" applyAlignment="0" applyProtection="0"/>
    <xf numFmtId="0" fontId="12" fillId="20"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24" borderId="0" applyNumberFormat="0" applyBorder="0" applyAlignment="0" applyProtection="0"/>
    <xf numFmtId="0" fontId="12" fillId="31"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35" borderId="0" applyNumberFormat="0" applyBorder="0" applyAlignment="0" applyProtection="0"/>
    <xf numFmtId="0" fontId="12" fillId="23"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23" borderId="0" applyNumberFormat="0" applyBorder="0" applyAlignment="0" applyProtection="0"/>
    <xf numFmtId="0" fontId="12" fillId="0" borderId="0"/>
    <xf numFmtId="0" fontId="12" fillId="0" borderId="0"/>
    <xf numFmtId="0" fontId="12" fillId="0" borderId="0"/>
    <xf numFmtId="0" fontId="12" fillId="0" borderId="0"/>
    <xf numFmtId="0" fontId="12" fillId="24"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28" borderId="0" applyNumberFormat="0" applyBorder="0" applyAlignment="0" applyProtection="0"/>
    <xf numFmtId="0" fontId="12" fillId="35" borderId="0" applyNumberFormat="0" applyBorder="0" applyAlignment="0" applyProtection="0"/>
    <xf numFmtId="0" fontId="12" fillId="16"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0" borderId="0"/>
    <xf numFmtId="43" fontId="12" fillId="0" borderId="0" applyFont="0" applyFill="0" applyBorder="0" applyAlignment="0" applyProtection="0"/>
    <xf numFmtId="0" fontId="12" fillId="0" borderId="0"/>
    <xf numFmtId="0" fontId="12" fillId="35"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19"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0" borderId="0"/>
    <xf numFmtId="0" fontId="12" fillId="36"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16" borderId="0" applyNumberFormat="0" applyBorder="0" applyAlignment="0" applyProtection="0"/>
    <xf numFmtId="0" fontId="12" fillId="0" borderId="0"/>
    <xf numFmtId="0" fontId="12" fillId="0" borderId="0"/>
    <xf numFmtId="0" fontId="12" fillId="0" borderId="0"/>
    <xf numFmtId="0" fontId="12" fillId="0" borderId="0"/>
    <xf numFmtId="0" fontId="12" fillId="28"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28"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6" borderId="0" applyNumberFormat="0" applyBorder="0" applyAlignment="0" applyProtection="0"/>
    <xf numFmtId="0" fontId="12" fillId="35"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12" fillId="19"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36" borderId="0" applyNumberFormat="0" applyBorder="0" applyAlignment="0" applyProtection="0"/>
    <xf numFmtId="0" fontId="12" fillId="0" borderId="0"/>
    <xf numFmtId="0" fontId="12" fillId="0" borderId="0"/>
    <xf numFmtId="0" fontId="12" fillId="0" borderId="0"/>
    <xf numFmtId="0" fontId="12" fillId="0" borderId="0"/>
    <xf numFmtId="0" fontId="12" fillId="28" borderId="0" applyNumberFormat="0" applyBorder="0" applyAlignment="0" applyProtection="0"/>
    <xf numFmtId="0" fontId="12" fillId="24" borderId="0" applyNumberFormat="0" applyBorder="0" applyAlignment="0" applyProtection="0"/>
    <xf numFmtId="0" fontId="12" fillId="15" borderId="0" applyNumberFormat="0" applyBorder="0" applyAlignment="0" applyProtection="0"/>
    <xf numFmtId="0" fontId="12" fillId="0" borderId="0"/>
    <xf numFmtId="43" fontId="39" fillId="0" borderId="0" applyFont="0" applyFill="0" applyBorder="0" applyAlignment="0" applyProtection="0"/>
    <xf numFmtId="9" fontId="12" fillId="0" borderId="0" applyFont="0" applyFill="0" applyBorder="0" applyAlignment="0" applyProtection="0"/>
    <xf numFmtId="0" fontId="12" fillId="13" borderId="112" applyNumberFormat="0" applyFont="0" applyAlignment="0" applyProtection="0"/>
    <xf numFmtId="0" fontId="12" fillId="0" borderId="0"/>
    <xf numFmtId="0" fontId="12" fillId="0" borderId="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0" borderId="0"/>
    <xf numFmtId="0" fontId="12" fillId="36"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35"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7" borderId="0" applyNumberFormat="0" applyBorder="0" applyAlignment="0" applyProtection="0"/>
    <xf numFmtId="0" fontId="12" fillId="0" borderId="0"/>
    <xf numFmtId="0" fontId="12" fillId="23" borderId="0" applyNumberFormat="0" applyBorder="0" applyAlignment="0" applyProtection="0"/>
    <xf numFmtId="0" fontId="12" fillId="0" borderId="0"/>
    <xf numFmtId="43" fontId="12" fillId="0" borderId="0" applyFont="0" applyFill="0" applyBorder="0" applyAlignment="0" applyProtection="0"/>
    <xf numFmtId="0" fontId="12" fillId="0" borderId="0"/>
    <xf numFmtId="0" fontId="12" fillId="31" borderId="0" applyNumberFormat="0" applyBorder="0" applyAlignment="0" applyProtection="0"/>
    <xf numFmtId="0" fontId="12" fillId="20" borderId="0" applyNumberFormat="0" applyBorder="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31" borderId="0" applyNumberFormat="0" applyBorder="0" applyAlignment="0" applyProtection="0"/>
    <xf numFmtId="0" fontId="12" fillId="20" borderId="0" applyNumberFormat="0" applyBorder="0" applyAlignment="0" applyProtection="0"/>
    <xf numFmtId="0" fontId="12" fillId="13" borderId="112" applyNumberFormat="0" applyFont="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20" borderId="0" applyNumberFormat="0" applyBorder="0" applyAlignment="0" applyProtection="0"/>
    <xf numFmtId="0" fontId="12" fillId="32" borderId="0" applyNumberFormat="0" applyBorder="0" applyAlignment="0" applyProtection="0"/>
    <xf numFmtId="0" fontId="12" fillId="0" borderId="0"/>
    <xf numFmtId="0" fontId="12" fillId="0" borderId="0"/>
    <xf numFmtId="0" fontId="12" fillId="36"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31" borderId="0" applyNumberFormat="0" applyBorder="0" applyAlignment="0" applyProtection="0"/>
    <xf numFmtId="0" fontId="12" fillId="20"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13" borderId="112" applyNumberFormat="0" applyFont="0" applyAlignment="0" applyProtection="0"/>
    <xf numFmtId="0" fontId="12" fillId="19" borderId="0" applyNumberFormat="0" applyBorder="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39" fillId="0" borderId="0" applyFont="0" applyFill="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27" borderId="0" applyNumberFormat="0" applyBorder="0" applyAlignment="0" applyProtection="0"/>
    <xf numFmtId="0" fontId="12" fillId="0" borderId="0"/>
    <xf numFmtId="0" fontId="12" fillId="23"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0" borderId="0"/>
    <xf numFmtId="43" fontId="12" fillId="0" borderId="0" applyFont="0" applyFill="0" applyBorder="0" applyAlignment="0" applyProtection="0"/>
    <xf numFmtId="43" fontId="39" fillId="0" borderId="0" applyFont="0" applyFill="0" applyBorder="0" applyAlignment="0" applyProtection="0"/>
    <xf numFmtId="0" fontId="12" fillId="0" borderId="0"/>
    <xf numFmtId="0" fontId="12" fillId="0" borderId="0"/>
    <xf numFmtId="43" fontId="39" fillId="0" borderId="0" applyFont="0" applyFill="0" applyBorder="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0" borderId="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41" fillId="0" borderId="0" applyFont="0" applyFill="0" applyBorder="0" applyAlignment="0" applyProtection="0"/>
    <xf numFmtId="0" fontId="12" fillId="0" borderId="0"/>
    <xf numFmtId="0" fontId="12" fillId="43" borderId="0" applyNumberFormat="0" applyBorder="0" applyAlignment="0" applyProtection="0"/>
    <xf numFmtId="0" fontId="12" fillId="40" borderId="0" applyNumberFormat="0" applyBorder="0" applyAlignment="0" applyProtection="0"/>
    <xf numFmtId="0" fontId="12" fillId="3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32" borderId="0" applyNumberFormat="0" applyBorder="0" applyAlignment="0" applyProtection="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19"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19"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47" fillId="0" borderId="141" applyNumberFormat="0" applyFill="0" applyAlignment="0" applyProtection="0"/>
    <xf numFmtId="0" fontId="147" fillId="0" borderId="141" applyNumberFormat="0" applyFill="0" applyAlignment="0" applyProtection="0"/>
    <xf numFmtId="0" fontId="148" fillId="0" borderId="142" applyNumberFormat="0" applyFill="0" applyAlignment="0" applyProtection="0"/>
    <xf numFmtId="0" fontId="148" fillId="0" borderId="142" applyNumberFormat="0" applyFill="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43" fontId="39" fillId="0" borderId="0" applyFont="0" applyFill="0" applyBorder="0" applyAlignment="0" applyProtection="0"/>
    <xf numFmtId="0" fontId="12" fillId="0" borderId="0"/>
    <xf numFmtId="0" fontId="12" fillId="13" borderId="112" applyNumberFormat="0" applyFont="0" applyAlignment="0" applyProtection="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0" borderId="0"/>
    <xf numFmtId="0" fontId="12" fillId="13" borderId="112" applyNumberFormat="0" applyFont="0" applyAlignment="0" applyProtection="0"/>
    <xf numFmtId="43" fontId="12" fillId="0" borderId="0" applyFont="0" applyFill="0" applyBorder="0" applyAlignment="0" applyProtection="0"/>
    <xf numFmtId="0" fontId="12" fillId="0" borderId="0"/>
    <xf numFmtId="43" fontId="141"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12" fillId="0" borderId="0"/>
    <xf numFmtId="43"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43" fontId="39"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43" fontId="39"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43" fontId="14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4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4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47" fillId="0" borderId="143" applyNumberFormat="0" applyFill="0" applyAlignment="0" applyProtection="0"/>
    <xf numFmtId="0" fontId="147" fillId="0" borderId="143" applyNumberFormat="0" applyFill="0" applyAlignment="0" applyProtection="0"/>
    <xf numFmtId="0" fontId="148" fillId="0" borderId="144" applyNumberFormat="0" applyFill="0" applyAlignment="0" applyProtection="0"/>
    <xf numFmtId="0" fontId="148" fillId="0" borderId="144" applyNumberFormat="0" applyFill="0" applyAlignment="0" applyProtection="0"/>
    <xf numFmtId="0" fontId="149" fillId="0" borderId="145" applyNumberFormat="0" applyFill="0" applyAlignment="0" applyProtection="0"/>
    <xf numFmtId="0" fontId="149" fillId="0" borderId="145" applyNumberFormat="0" applyFill="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43" fontId="11" fillId="0" borderId="0" applyFont="0" applyFill="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43" fontId="11" fillId="0" borderId="0" applyFont="0" applyFill="0" applyBorder="0" applyAlignment="0" applyProtection="0"/>
    <xf numFmtId="0" fontId="11" fillId="0" borderId="0"/>
    <xf numFmtId="0" fontId="11" fillId="15"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0" borderId="0"/>
    <xf numFmtId="0" fontId="11" fillId="27"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43" fontId="39"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43" fontId="11" fillId="0" borderId="0" applyFont="0" applyFill="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43" fontId="11" fillId="0" borderId="0" applyFont="0" applyFill="0" applyBorder="0" applyAlignment="0" applyProtection="0"/>
    <xf numFmtId="0" fontId="11" fillId="0" borderId="0"/>
    <xf numFmtId="0" fontId="11" fillId="15"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0" borderId="0"/>
    <xf numFmtId="0" fontId="11" fillId="27"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39" fillId="0" borderId="0" applyFont="0" applyFill="0" applyBorder="0" applyAlignment="0" applyProtection="0"/>
    <xf numFmtId="43" fontId="10" fillId="0" borderId="0" applyFont="0" applyFill="0" applyBorder="0" applyAlignment="0" applyProtection="0"/>
    <xf numFmtId="0" fontId="10" fillId="0" borderId="0"/>
    <xf numFmtId="43" fontId="141"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10" fillId="0" borderId="0"/>
    <xf numFmtId="43"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39"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39"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43" fontId="1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47" fillId="0" borderId="147" applyNumberFormat="0" applyFill="0" applyAlignment="0" applyProtection="0"/>
    <xf numFmtId="0" fontId="147" fillId="0" borderId="147" applyNumberFormat="0" applyFill="0" applyAlignment="0" applyProtection="0"/>
    <xf numFmtId="0" fontId="148" fillId="0" borderId="148" applyNumberFormat="0" applyFill="0" applyAlignment="0" applyProtection="0"/>
    <xf numFmtId="0" fontId="148" fillId="0" borderId="148" applyNumberForma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49" fillId="0" borderId="149" applyNumberFormat="0" applyFill="0" applyAlignment="0" applyProtection="0"/>
    <xf numFmtId="0" fontId="149" fillId="0" borderId="149" applyNumberForma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31" fillId="0" borderId="0"/>
    <xf numFmtId="0" fontId="10" fillId="28" borderId="0" applyNumberFormat="0" applyBorder="0" applyAlignment="0" applyProtection="0"/>
    <xf numFmtId="0" fontId="10" fillId="36" borderId="0" applyNumberFormat="0" applyBorder="0" applyAlignment="0" applyProtection="0"/>
    <xf numFmtId="0" fontId="10" fillId="0" borderId="0"/>
    <xf numFmtId="0" fontId="10" fillId="27" borderId="0" applyNumberFormat="0" applyBorder="0" applyAlignment="0" applyProtection="0"/>
    <xf numFmtId="0" fontId="10" fillId="20"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13" borderId="112" applyNumberFormat="0" applyFont="0" applyAlignment="0" applyProtection="0"/>
    <xf numFmtId="0" fontId="10" fillId="0" borderId="0"/>
    <xf numFmtId="0" fontId="10" fillId="16" borderId="0" applyNumberFormat="0" applyBorder="0" applyAlignment="0" applyProtection="0"/>
    <xf numFmtId="0" fontId="10" fillId="0" borderId="0"/>
    <xf numFmtId="0" fontId="10" fillId="0" borderId="0"/>
    <xf numFmtId="0" fontId="10" fillId="42" borderId="0" applyNumberFormat="0" applyBorder="0" applyAlignment="0" applyProtection="0"/>
    <xf numFmtId="0" fontId="10" fillId="16" borderId="0" applyNumberFormat="0" applyBorder="0" applyAlignment="0" applyProtection="0"/>
    <xf numFmtId="0" fontId="10" fillId="0" borderId="0"/>
    <xf numFmtId="0" fontId="10" fillId="36" borderId="0" applyNumberFormat="0" applyBorder="0" applyAlignment="0" applyProtection="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19" borderId="0" applyNumberFormat="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23" borderId="0" applyNumberFormat="0" applyBorder="0" applyAlignment="0" applyProtection="0"/>
    <xf numFmtId="0" fontId="10" fillId="24"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27" borderId="0" applyNumberFormat="0" applyBorder="0" applyAlignment="0" applyProtection="0"/>
    <xf numFmtId="0" fontId="10" fillId="28"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1" borderId="0" applyNumberFormat="0" applyBorder="0" applyAlignment="0" applyProtection="0"/>
    <xf numFmtId="0" fontId="10" fillId="3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5"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23" borderId="0" applyNumberFormat="0" applyBorder="0" applyAlignment="0" applyProtection="0"/>
    <xf numFmtId="0" fontId="10" fillId="0" borderId="0"/>
    <xf numFmtId="0" fontId="10" fillId="13" borderId="112" applyNumberFormat="0" applyFont="0" applyAlignment="0" applyProtection="0"/>
    <xf numFmtId="0" fontId="10" fillId="0" borderId="0"/>
    <xf numFmtId="0" fontId="10" fillId="13" borderId="112" applyNumberFormat="0" applyFont="0" applyAlignment="0" applyProtection="0"/>
    <xf numFmtId="43" fontId="39" fillId="0" borderId="0" applyFont="0" applyFill="0" applyBorder="0" applyAlignment="0" applyProtection="0"/>
    <xf numFmtId="186" fontId="10" fillId="0" borderId="0"/>
    <xf numFmtId="43" fontId="10" fillId="0" borderId="0" applyFont="0" applyFill="0" applyBorder="0" applyAlignment="0" applyProtection="0"/>
    <xf numFmtId="0" fontId="10" fillId="31" borderId="0" applyNumberFormat="0" applyBorder="0" applyAlignment="0" applyProtection="0"/>
    <xf numFmtId="0" fontId="10" fillId="0" borderId="0"/>
    <xf numFmtId="0" fontId="10" fillId="44"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36" borderId="0" applyNumberFormat="0" applyBorder="0" applyAlignment="0" applyProtection="0"/>
    <xf numFmtId="0" fontId="10" fillId="0" borderId="0"/>
    <xf numFmtId="0" fontId="10" fillId="0" borderId="0"/>
    <xf numFmtId="43" fontId="39" fillId="0" borderId="0" applyFont="0" applyFill="0" applyBorder="0" applyAlignment="0" applyProtection="0"/>
    <xf numFmtId="0" fontId="10" fillId="20" borderId="0" applyNumberFormat="0" applyBorder="0" applyAlignment="0" applyProtection="0"/>
    <xf numFmtId="0" fontId="10" fillId="24" borderId="0" applyNumberFormat="0" applyBorder="0" applyAlignment="0" applyProtection="0"/>
    <xf numFmtId="43"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19"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6"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2" borderId="0" applyNumberFormat="0" applyBorder="0" applyAlignment="0" applyProtection="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38" borderId="0" applyNumberFormat="0" applyBorder="0" applyAlignment="0" applyProtection="0"/>
    <xf numFmtId="0" fontId="10" fillId="0" borderId="0"/>
    <xf numFmtId="0" fontId="10" fillId="0" borderId="0"/>
    <xf numFmtId="0" fontId="10" fillId="0" borderId="0"/>
    <xf numFmtId="0"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41" borderId="0" applyNumberFormat="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8" borderId="0" applyNumberFormat="0" applyBorder="0" applyAlignment="0" applyProtection="0"/>
    <xf numFmtId="43" fontId="39" fillId="0" borderId="0" applyFont="0" applyFill="0" applyBorder="0" applyAlignment="0" applyProtection="0"/>
    <xf numFmtId="0" fontId="10" fillId="0" borderId="0"/>
    <xf numFmtId="0" fontId="10" fillId="31"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0" fontId="10" fillId="13" borderId="112" applyNumberFormat="0" applyFont="0" applyAlignment="0" applyProtection="0"/>
    <xf numFmtId="0" fontId="10" fillId="16" borderId="0" applyNumberFormat="0" applyBorder="0" applyAlignment="0" applyProtection="0"/>
    <xf numFmtId="43" fontId="10" fillId="0" borderId="0" applyFont="0" applyFill="0" applyBorder="0" applyAlignment="0" applyProtection="0"/>
    <xf numFmtId="0" fontId="10" fillId="16" borderId="0" applyNumberFormat="0" applyBorder="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31" borderId="0" applyNumberFormat="0" applyBorder="0" applyAlignment="0" applyProtection="0"/>
    <xf numFmtId="0" fontId="10" fillId="0" borderId="0"/>
    <xf numFmtId="43" fontId="10" fillId="0" borderId="0" applyFont="0" applyFill="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3" borderId="0" applyNumberFormat="0" applyBorder="0" applyAlignment="0" applyProtection="0"/>
    <xf numFmtId="0" fontId="10" fillId="27" borderId="0" applyNumberFormat="0" applyBorder="0" applyAlignment="0" applyProtection="0"/>
    <xf numFmtId="43" fontId="10" fillId="0" borderId="0" applyFont="0" applyFill="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19" borderId="0" applyNumberFormat="0" applyBorder="0" applyAlignment="0" applyProtection="0"/>
    <xf numFmtId="0" fontId="10" fillId="23" borderId="0" applyNumberFormat="0" applyBorder="0" applyAlignment="0" applyProtection="0"/>
    <xf numFmtId="43" fontId="10" fillId="0" borderId="0" applyFont="0" applyFill="0" applyBorder="0" applyAlignment="0" applyProtection="0"/>
    <xf numFmtId="0" fontId="10" fillId="35" borderId="0" applyNumberFormat="0" applyBorder="0" applyAlignment="0" applyProtection="0"/>
    <xf numFmtId="0" fontId="10" fillId="1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8"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31"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20" borderId="0" applyNumberFormat="0" applyBorder="0" applyAlignment="0" applyProtection="0"/>
    <xf numFmtId="0" fontId="10" fillId="15" borderId="0" applyNumberFormat="0" applyBorder="0" applyAlignment="0" applyProtection="0"/>
    <xf numFmtId="0" fontId="10" fillId="23" borderId="0" applyNumberFormat="0" applyBorder="0" applyAlignment="0" applyProtection="0"/>
    <xf numFmtId="0" fontId="10" fillId="31"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2"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35"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35" borderId="0" applyNumberFormat="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8"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6" fontId="10" fillId="0" borderId="0"/>
    <xf numFmtId="0" fontId="10" fillId="0" borderId="0"/>
    <xf numFmtId="0" fontId="10" fillId="0" borderId="0"/>
    <xf numFmtId="186" fontId="10" fillId="0" borderId="0"/>
    <xf numFmtId="0" fontId="10" fillId="41"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9" borderId="0" applyNumberFormat="0" applyBorder="0" applyAlignment="0" applyProtection="0"/>
    <xf numFmtId="0" fontId="10" fillId="0" borderId="0"/>
    <xf numFmtId="0" fontId="10" fillId="19" borderId="0" applyNumberFormat="0" applyBorder="0" applyAlignment="0" applyProtection="0"/>
    <xf numFmtId="0" fontId="10" fillId="0" borderId="0"/>
    <xf numFmtId="0" fontId="10" fillId="40"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1" borderId="0" applyNumberFormat="0" applyBorder="0" applyAlignment="0" applyProtection="0"/>
    <xf numFmtId="0" fontId="10" fillId="31" borderId="0" applyNumberFormat="0" applyBorder="0" applyAlignment="0" applyProtection="0"/>
    <xf numFmtId="0" fontId="10" fillId="0" borderId="0"/>
    <xf numFmtId="0" fontId="10" fillId="31" borderId="0" applyNumberFormat="0" applyBorder="0" applyAlignment="0" applyProtection="0"/>
    <xf numFmtId="0" fontId="10" fillId="0" borderId="0"/>
    <xf numFmtId="0" fontId="10" fillId="35" borderId="0" applyNumberFormat="0" applyBorder="0" applyAlignment="0" applyProtection="0"/>
    <xf numFmtId="0" fontId="10" fillId="42" borderId="0" applyNumberFormat="0" applyBorder="0" applyAlignment="0" applyProtection="0"/>
    <xf numFmtId="0" fontId="10" fillId="0" borderId="0"/>
    <xf numFmtId="0" fontId="10" fillId="35" borderId="0" applyNumberFormat="0" applyBorder="0" applyAlignment="0" applyProtection="0"/>
    <xf numFmtId="0" fontId="10" fillId="43"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3" borderId="0" applyNumberFormat="0" applyBorder="0" applyAlignment="0" applyProtection="0"/>
    <xf numFmtId="0" fontId="10" fillId="0" borderId="0"/>
    <xf numFmtId="0" fontId="10" fillId="16" borderId="0" applyNumberFormat="0" applyBorder="0" applyAlignment="0" applyProtection="0"/>
    <xf numFmtId="0" fontId="10" fillId="0" borderId="0"/>
    <xf numFmtId="0" fontId="10" fillId="16"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5" borderId="0" applyNumberFormat="0" applyBorder="0" applyAlignment="0" applyProtection="0"/>
    <xf numFmtId="186"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2" borderId="0" applyNumberFormat="0" applyBorder="0" applyAlignment="0" applyProtection="0"/>
    <xf numFmtId="0" fontId="10" fillId="0" borderId="0"/>
    <xf numFmtId="0" fontId="10" fillId="0" borderId="0"/>
    <xf numFmtId="0" fontId="10" fillId="0" borderId="0"/>
    <xf numFmtId="0" fontId="10" fillId="20"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3"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5"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44"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43" borderId="0" applyNumberFormat="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43" fontId="10" fillId="0" borderId="0" applyFont="0" applyFill="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44"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24" borderId="0" applyNumberFormat="0" applyBorder="0" applyAlignment="0" applyProtection="0"/>
    <xf numFmtId="0" fontId="10" fillId="20" borderId="0" applyNumberFormat="0" applyBorder="0" applyAlignment="0" applyProtection="0"/>
    <xf numFmtId="43" fontId="10" fillId="0" borderId="0" applyFont="0" applyFill="0" applyBorder="0" applyAlignment="0" applyProtection="0"/>
    <xf numFmtId="0" fontId="10" fillId="44" borderId="0" applyNumberFormat="0" applyBorder="0" applyAlignment="0" applyProtection="0"/>
    <xf numFmtId="0" fontId="10" fillId="0" borderId="0"/>
    <xf numFmtId="0" fontId="10" fillId="43" borderId="0" applyNumberFormat="0" applyBorder="0" applyAlignment="0" applyProtection="0"/>
    <xf numFmtId="9" fontId="10" fillId="0" borderId="0" applyFont="0" applyFill="0" applyBorder="0" applyAlignment="0" applyProtection="0"/>
    <xf numFmtId="0" fontId="10" fillId="43"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0" borderId="0"/>
    <xf numFmtId="0" fontId="10" fillId="0" borderId="0"/>
    <xf numFmtId="0" fontId="10" fillId="0" borderId="0"/>
    <xf numFmtId="0" fontId="10" fillId="16" borderId="0" applyNumberFormat="0" applyBorder="0" applyAlignment="0" applyProtection="0"/>
    <xf numFmtId="0" fontId="10" fillId="32" borderId="0" applyNumberFormat="0" applyBorder="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16" borderId="0" applyNumberFormat="0" applyBorder="0" applyAlignment="0" applyProtection="0"/>
    <xf numFmtId="0" fontId="10" fillId="0" borderId="0"/>
    <xf numFmtId="0" fontId="10" fillId="0" borderId="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31" borderId="0" applyNumberFormat="0" applyBorder="0" applyAlignment="0" applyProtection="0"/>
    <xf numFmtId="43" fontId="10" fillId="0" borderId="0" applyFont="0" applyFill="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23"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13" borderId="112" applyNumberFormat="0" applyFont="0" applyAlignment="0" applyProtection="0"/>
    <xf numFmtId="43" fontId="10" fillId="0" borderId="0" applyFont="0" applyFill="0" applyBorder="0" applyAlignment="0" applyProtection="0"/>
    <xf numFmtId="0" fontId="10" fillId="0" borderId="0"/>
    <xf numFmtId="9"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27"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28" borderId="0" applyNumberFormat="0" applyBorder="0" applyAlignment="0" applyProtection="0"/>
    <xf numFmtId="0" fontId="10" fillId="43"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8"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44" fillId="0" borderId="0" applyFont="0" applyFill="0" applyBorder="0" applyAlignment="0" applyProtection="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0" fontId="10" fillId="15"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13" borderId="112" applyNumberFormat="0" applyFont="0" applyAlignment="0" applyProtection="0"/>
    <xf numFmtId="0" fontId="10" fillId="0" borderId="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3" borderId="112" applyNumberFormat="0" applyFont="0" applyAlignment="0" applyProtection="0"/>
    <xf numFmtId="43" fontId="10" fillId="0" borderId="0" applyFont="0" applyFill="0" applyBorder="0" applyAlignment="0" applyProtection="0"/>
    <xf numFmtId="0" fontId="10" fillId="27"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36" borderId="0" applyNumberFormat="0" applyBorder="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27"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13" borderId="112" applyNumberFormat="0" applyFont="0" applyAlignment="0" applyProtection="0"/>
    <xf numFmtId="0" fontId="10" fillId="0" borderId="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20" borderId="0" applyNumberFormat="0" applyBorder="0" applyAlignment="0" applyProtection="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0" borderId="0"/>
    <xf numFmtId="0" fontId="10" fillId="36"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0" borderId="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9" borderId="0" applyNumberFormat="0" applyBorder="0" applyAlignment="0" applyProtection="0"/>
    <xf numFmtId="0" fontId="10" fillId="20"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24" borderId="0" applyNumberFormat="0" applyBorder="0" applyAlignment="0" applyProtection="0"/>
    <xf numFmtId="0" fontId="10" fillId="31"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23"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23" borderId="0" applyNumberFormat="0" applyBorder="0" applyAlignment="0" applyProtection="0"/>
    <xf numFmtId="0" fontId="10" fillId="0" borderId="0"/>
    <xf numFmtId="0" fontId="10" fillId="0" borderId="0"/>
    <xf numFmtId="0" fontId="10" fillId="0" borderId="0"/>
    <xf numFmtId="0" fontId="10" fillId="0" borderId="0"/>
    <xf numFmtId="0" fontId="10" fillId="24"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28"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0" borderId="0"/>
    <xf numFmtId="43" fontId="10" fillId="0" borderId="0" applyFont="0" applyFill="0" applyBorder="0" applyAlignment="0" applyProtection="0"/>
    <xf numFmtId="0" fontId="10" fillId="0" borderId="0"/>
    <xf numFmtId="0" fontId="10" fillId="35"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0" borderId="0"/>
    <xf numFmtId="0" fontId="10" fillId="36"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16" borderId="0" applyNumberFormat="0" applyBorder="0" applyAlignment="0" applyProtection="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28"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36" borderId="0" applyNumberFormat="0" applyBorder="0" applyAlignment="0" applyProtection="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24" borderId="0" applyNumberFormat="0" applyBorder="0" applyAlignment="0" applyProtection="0"/>
    <xf numFmtId="0" fontId="10" fillId="15" borderId="0" applyNumberFormat="0" applyBorder="0" applyAlignment="0" applyProtection="0"/>
    <xf numFmtId="0" fontId="10" fillId="0" borderId="0"/>
    <xf numFmtId="43" fontId="39" fillId="0" borderId="0" applyFont="0" applyFill="0" applyBorder="0" applyAlignment="0" applyProtection="0"/>
    <xf numFmtId="9" fontId="10" fillId="0" borderId="0" applyFont="0" applyFill="0" applyBorder="0" applyAlignment="0" applyProtection="0"/>
    <xf numFmtId="0" fontId="10" fillId="13" borderId="112" applyNumberFormat="0" applyFont="0" applyAlignment="0" applyProtection="0"/>
    <xf numFmtId="0" fontId="10" fillId="0" borderId="0"/>
    <xf numFmtId="0" fontId="10" fillId="0" borderId="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0" borderId="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15"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31" borderId="0" applyNumberFormat="0" applyBorder="0" applyAlignment="0" applyProtection="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35"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7" borderId="0" applyNumberFormat="0" applyBorder="0" applyAlignment="0" applyProtection="0"/>
    <xf numFmtId="0" fontId="10" fillId="0" borderId="0"/>
    <xf numFmtId="0" fontId="10" fillId="23" borderId="0" applyNumberFormat="0" applyBorder="0" applyAlignment="0" applyProtection="0"/>
    <xf numFmtId="0" fontId="10" fillId="0" borderId="0"/>
    <xf numFmtId="43" fontId="10" fillId="0" borderId="0" applyFont="0" applyFill="0" applyBorder="0" applyAlignment="0" applyProtection="0"/>
    <xf numFmtId="0" fontId="10" fillId="0" borderId="0"/>
    <xf numFmtId="0" fontId="10" fillId="31" borderId="0" applyNumberFormat="0" applyBorder="0" applyAlignment="0" applyProtection="0"/>
    <xf numFmtId="0" fontId="10" fillId="20" borderId="0" applyNumberFormat="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31" borderId="0" applyNumberFormat="0" applyBorder="0" applyAlignment="0" applyProtection="0"/>
    <xf numFmtId="0" fontId="10" fillId="20" borderId="0" applyNumberFormat="0" applyBorder="0" applyAlignment="0" applyProtection="0"/>
    <xf numFmtId="0" fontId="10" fillId="13" borderId="112" applyNumberFormat="0" applyFont="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20" borderId="0" applyNumberFormat="0" applyBorder="0" applyAlignment="0" applyProtection="0"/>
    <xf numFmtId="0" fontId="10" fillId="32" borderId="0" applyNumberFormat="0" applyBorder="0" applyAlignment="0" applyProtection="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31" borderId="0" applyNumberFormat="0" applyBorder="0" applyAlignment="0" applyProtection="0"/>
    <xf numFmtId="0" fontId="10" fillId="20"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3" borderId="112" applyNumberFormat="0" applyFont="0" applyAlignment="0" applyProtection="0"/>
    <xf numFmtId="0" fontId="10" fillId="19" borderId="0" applyNumberFormat="0" applyBorder="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39" fillId="0" borderId="0" applyFont="0" applyFill="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27" borderId="0" applyNumberFormat="0" applyBorder="0" applyAlignment="0" applyProtection="0"/>
    <xf numFmtId="0" fontId="10" fillId="0" borderId="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0" borderId="0"/>
    <xf numFmtId="43" fontId="10"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43" fontId="39" fillId="0" borderId="0" applyFont="0" applyFill="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0" borderId="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41" fillId="0" borderId="0" applyFont="0" applyFill="0" applyBorder="0" applyAlignment="0" applyProtection="0"/>
    <xf numFmtId="0" fontId="10" fillId="0" borderId="0"/>
    <xf numFmtId="0" fontId="10" fillId="43" borderId="0" applyNumberFormat="0" applyBorder="0" applyAlignment="0" applyProtection="0"/>
    <xf numFmtId="0" fontId="10" fillId="40"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32" borderId="0" applyNumberFormat="0" applyBorder="0" applyAlignment="0" applyProtection="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19"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19"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47" fillId="0" borderId="147" applyNumberFormat="0" applyFill="0" applyAlignment="0" applyProtection="0"/>
    <xf numFmtId="0" fontId="147" fillId="0" borderId="147" applyNumberFormat="0" applyFill="0" applyAlignment="0" applyProtection="0"/>
    <xf numFmtId="0" fontId="148" fillId="0" borderId="148" applyNumberFormat="0" applyFill="0" applyAlignment="0" applyProtection="0"/>
    <xf numFmtId="0" fontId="148" fillId="0" borderId="148" applyNumberForma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43" fontId="39" fillId="0" borderId="0" applyFont="0" applyFill="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43" fontId="141"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10" fillId="0" borderId="0"/>
    <xf numFmtId="43"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39"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39"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43" fontId="1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47" fillId="0" borderId="147" applyNumberFormat="0" applyFill="0" applyAlignment="0" applyProtection="0"/>
    <xf numFmtId="0" fontId="147" fillId="0" borderId="147" applyNumberFormat="0" applyFill="0" applyAlignment="0" applyProtection="0"/>
    <xf numFmtId="0" fontId="148" fillId="0" borderId="148" applyNumberFormat="0" applyFill="0" applyAlignment="0" applyProtection="0"/>
    <xf numFmtId="0" fontId="148" fillId="0" borderId="148" applyNumberFormat="0" applyFill="0" applyAlignment="0" applyProtection="0"/>
    <xf numFmtId="0" fontId="149" fillId="0" borderId="149" applyNumberFormat="0" applyFill="0" applyAlignment="0" applyProtection="0"/>
    <xf numFmtId="0" fontId="149" fillId="0" borderId="149" applyNumberFormat="0" applyFill="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39" fillId="0" borderId="0" applyFont="0" applyFill="0" applyBorder="0" applyAlignment="0" applyProtection="0"/>
    <xf numFmtId="43" fontId="9" fillId="0" borderId="0" applyFont="0" applyFill="0" applyBorder="0" applyAlignment="0" applyProtection="0"/>
    <xf numFmtId="0" fontId="9" fillId="0" borderId="0"/>
    <xf numFmtId="43" fontId="141"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9" fillId="0" borderId="0"/>
    <xf numFmtId="4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3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3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43" fontId="1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147" fillId="0" borderId="151" applyNumberFormat="0" applyFill="0" applyAlignment="0" applyProtection="0"/>
    <xf numFmtId="0" fontId="147" fillId="0" borderId="151" applyNumberFormat="0" applyFill="0" applyAlignment="0" applyProtection="0"/>
    <xf numFmtId="0" fontId="148" fillId="0" borderId="152" applyNumberFormat="0" applyFill="0" applyAlignment="0" applyProtection="0"/>
    <xf numFmtId="0" fontId="148" fillId="0" borderId="152" applyNumberFormat="0" applyFill="0" applyAlignment="0" applyProtection="0"/>
    <xf numFmtId="0" fontId="149" fillId="0" borderId="153" applyNumberFormat="0" applyFill="0" applyAlignment="0" applyProtection="0"/>
    <xf numFmtId="0" fontId="149" fillId="0" borderId="153"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28" borderId="0" applyNumberFormat="0" applyBorder="0" applyAlignment="0" applyProtection="0"/>
    <xf numFmtId="0" fontId="9" fillId="36" borderId="0" applyNumberFormat="0" applyBorder="0" applyAlignment="0" applyProtection="0"/>
    <xf numFmtId="0" fontId="9" fillId="0" borderId="0"/>
    <xf numFmtId="0" fontId="9" fillId="27" borderId="0" applyNumberFormat="0" applyBorder="0" applyAlignment="0" applyProtection="0"/>
    <xf numFmtId="0" fontId="9" fillId="20" borderId="0" applyNumberFormat="0" applyBorder="0" applyAlignment="0" applyProtection="0"/>
    <xf numFmtId="0" fontId="9" fillId="15" borderId="0" applyNumberFormat="0" applyBorder="0" applyAlignment="0" applyProtection="0"/>
    <xf numFmtId="43" fontId="9" fillId="0" borderId="0" applyFont="0" applyFill="0" applyBorder="0" applyAlignment="0" applyProtection="0"/>
    <xf numFmtId="0" fontId="9" fillId="13" borderId="112" applyNumberFormat="0" applyFont="0" applyAlignment="0" applyProtection="0"/>
    <xf numFmtId="0" fontId="9" fillId="0" borderId="0"/>
    <xf numFmtId="0" fontId="9" fillId="16" borderId="0" applyNumberFormat="0" applyBorder="0" applyAlignment="0" applyProtection="0"/>
    <xf numFmtId="0" fontId="9" fillId="0" borderId="0"/>
    <xf numFmtId="0" fontId="9" fillId="0" borderId="0"/>
    <xf numFmtId="0" fontId="9" fillId="42" borderId="0" applyNumberFormat="0" applyBorder="0" applyAlignment="0" applyProtection="0"/>
    <xf numFmtId="0" fontId="9" fillId="16" borderId="0" applyNumberFormat="0" applyBorder="0" applyAlignment="0" applyProtection="0"/>
    <xf numFmtId="0" fontId="9" fillId="0" borderId="0"/>
    <xf numFmtId="0" fontId="9" fillId="36" borderId="0" applyNumberFormat="0" applyBorder="0" applyAlignment="0" applyProtection="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19" borderId="0" applyNumberFormat="0" applyBorder="0" applyAlignment="0" applyProtection="0"/>
    <xf numFmtId="0" fontId="9" fillId="20"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23" borderId="0" applyNumberFormat="0" applyBorder="0" applyAlignment="0" applyProtection="0"/>
    <xf numFmtId="0" fontId="9" fillId="24"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27" borderId="0" applyNumberFormat="0" applyBorder="0" applyAlignment="0" applyProtection="0"/>
    <xf numFmtId="0" fontId="9" fillId="28"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1" borderId="0" applyNumberFormat="0" applyBorder="0" applyAlignment="0" applyProtection="0"/>
    <xf numFmtId="0" fontId="9" fillId="3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5"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23" borderId="0" applyNumberFormat="0" applyBorder="0" applyAlignment="0" applyProtection="0"/>
    <xf numFmtId="0" fontId="9" fillId="0" borderId="0"/>
    <xf numFmtId="0" fontId="9" fillId="13" borderId="112" applyNumberFormat="0" applyFont="0" applyAlignment="0" applyProtection="0"/>
    <xf numFmtId="0" fontId="9" fillId="0" borderId="0"/>
    <xf numFmtId="0" fontId="9" fillId="13" borderId="112" applyNumberFormat="0" applyFont="0" applyAlignment="0" applyProtection="0"/>
    <xf numFmtId="43" fontId="39" fillId="0" borderId="0" applyFont="0" applyFill="0" applyBorder="0" applyAlignment="0" applyProtection="0"/>
    <xf numFmtId="186" fontId="9" fillId="0" borderId="0"/>
    <xf numFmtId="43" fontId="9" fillId="0" borderId="0" applyFont="0" applyFill="0" applyBorder="0" applyAlignment="0" applyProtection="0"/>
    <xf numFmtId="0" fontId="9" fillId="31" borderId="0" applyNumberFormat="0" applyBorder="0" applyAlignment="0" applyProtection="0"/>
    <xf numFmtId="0" fontId="9" fillId="0" borderId="0"/>
    <xf numFmtId="0" fontId="9" fillId="44"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36" borderId="0" applyNumberFormat="0" applyBorder="0" applyAlignment="0" applyProtection="0"/>
    <xf numFmtId="0" fontId="9" fillId="0" borderId="0"/>
    <xf numFmtId="0" fontId="9" fillId="0" borderId="0"/>
    <xf numFmtId="43" fontId="39" fillId="0" borderId="0" applyFont="0" applyFill="0" applyBorder="0" applyAlignment="0" applyProtection="0"/>
    <xf numFmtId="0" fontId="9" fillId="20" borderId="0" applyNumberFormat="0" applyBorder="0" applyAlignment="0" applyProtection="0"/>
    <xf numFmtId="0" fontId="9" fillId="24" borderId="0" applyNumberFormat="0" applyBorder="0" applyAlignment="0" applyProtection="0"/>
    <xf numFmtId="4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19"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6"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2" borderId="0" applyNumberFormat="0" applyBorder="0" applyAlignment="0" applyProtection="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38" borderId="0" applyNumberFormat="0" applyBorder="0" applyAlignment="0" applyProtection="0"/>
    <xf numFmtId="0" fontId="9" fillId="0" borderId="0"/>
    <xf numFmtId="0" fontId="9" fillId="0" borderId="0"/>
    <xf numFmtId="0" fontId="9" fillId="0" borderId="0"/>
    <xf numFmtId="0"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41" borderId="0" applyNumberFormat="0" applyBorder="0" applyAlignment="0" applyProtection="0"/>
    <xf numFmtId="43" fontId="9" fillId="0" borderId="0" applyFont="0" applyFill="0" applyBorder="0" applyAlignment="0" applyProtection="0"/>
    <xf numFmtId="0" fontId="9" fillId="27"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8" borderId="0" applyNumberFormat="0" applyBorder="0" applyAlignment="0" applyProtection="0"/>
    <xf numFmtId="43" fontId="39" fillId="0" borderId="0" applyFont="0" applyFill="0" applyBorder="0" applyAlignment="0" applyProtection="0"/>
    <xf numFmtId="0" fontId="9" fillId="0" borderId="0"/>
    <xf numFmtId="0" fontId="9" fillId="31"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13" borderId="112" applyNumberFormat="0" applyFon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7"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7" borderId="0" applyNumberFormat="0" applyBorder="0" applyAlignment="0" applyProtection="0"/>
    <xf numFmtId="43" fontId="9" fillId="0" borderId="0" applyFont="0" applyFill="0" applyBorder="0" applyAlignment="0" applyProtection="0"/>
    <xf numFmtId="0" fontId="9" fillId="27" borderId="0" applyNumberFormat="0" applyBorder="0" applyAlignment="0" applyProtection="0"/>
    <xf numFmtId="43" fontId="9" fillId="0" borderId="0" applyFont="0" applyFill="0" applyBorder="0" applyAlignment="0" applyProtection="0"/>
    <xf numFmtId="0" fontId="9" fillId="13" borderId="112" applyNumberFormat="0" applyFont="0" applyAlignment="0" applyProtection="0"/>
    <xf numFmtId="0" fontId="9" fillId="16" borderId="0" applyNumberFormat="0" applyBorder="0" applyAlignment="0" applyProtection="0"/>
    <xf numFmtId="43" fontId="9" fillId="0" borderId="0" applyFont="0" applyFill="0" applyBorder="0" applyAlignment="0" applyProtection="0"/>
    <xf numFmtId="0" fontId="9" fillId="16" borderId="0" applyNumberFormat="0" applyBorder="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31" borderId="0" applyNumberFormat="0" applyBorder="0" applyAlignment="0" applyProtection="0"/>
    <xf numFmtId="0" fontId="9" fillId="0" borderId="0"/>
    <xf numFmtId="43" fontId="9" fillId="0" borderId="0" applyFont="0" applyFill="0" applyBorder="0" applyAlignment="0" applyProtection="0"/>
    <xf numFmtId="0" fontId="9" fillId="20"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3" borderId="0" applyNumberFormat="0" applyBorder="0" applyAlignment="0" applyProtection="0"/>
    <xf numFmtId="0" fontId="9" fillId="27" borderId="0" applyNumberFormat="0" applyBorder="0" applyAlignment="0" applyProtection="0"/>
    <xf numFmtId="43" fontId="9" fillId="0" borderId="0" applyFont="0" applyFill="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13" borderId="112" applyNumberFormat="0" applyFon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19" borderId="0" applyNumberFormat="0" applyBorder="0" applyAlignment="0" applyProtection="0"/>
    <xf numFmtId="0" fontId="9" fillId="23" borderId="0" applyNumberFormat="0" applyBorder="0" applyAlignment="0" applyProtection="0"/>
    <xf numFmtId="43" fontId="9" fillId="0" borderId="0" applyFont="0" applyFill="0" applyBorder="0" applyAlignment="0" applyProtection="0"/>
    <xf numFmtId="0" fontId="9" fillId="35" borderId="0" applyNumberFormat="0" applyBorder="0" applyAlignment="0" applyProtection="0"/>
    <xf numFmtId="0" fontId="9" fillId="16"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0" borderId="0" applyNumberFormat="0" applyBorder="0" applyAlignment="0" applyProtection="0"/>
    <xf numFmtId="0" fontId="9" fillId="27"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8"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0"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7"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13" borderId="112" applyNumberFormat="0" applyFon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0"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9" fillId="0" borderId="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9" fillId="31"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20" borderId="0" applyNumberFormat="0" applyBorder="0" applyAlignment="0" applyProtection="0"/>
    <xf numFmtId="0" fontId="9" fillId="15" borderId="0" applyNumberFormat="0" applyBorder="0" applyAlignment="0" applyProtection="0"/>
    <xf numFmtId="0" fontId="9" fillId="23" borderId="0" applyNumberFormat="0" applyBorder="0" applyAlignment="0" applyProtection="0"/>
    <xf numFmtId="0" fontId="9" fillId="31"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2"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0" borderId="0"/>
    <xf numFmtId="0" fontId="9" fillId="35"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28"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35" borderId="0" applyNumberFormat="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8"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6" fontId="9" fillId="0" borderId="0"/>
    <xf numFmtId="0" fontId="9" fillId="0" borderId="0"/>
    <xf numFmtId="0" fontId="9" fillId="0" borderId="0"/>
    <xf numFmtId="186" fontId="9" fillId="0" borderId="0"/>
    <xf numFmtId="0" fontId="9" fillId="41"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9" borderId="0" applyNumberFormat="0" applyBorder="0" applyAlignment="0" applyProtection="0"/>
    <xf numFmtId="0" fontId="9" fillId="0" borderId="0"/>
    <xf numFmtId="0" fontId="9" fillId="19" borderId="0" applyNumberFormat="0" applyBorder="0" applyAlignment="0" applyProtection="0"/>
    <xf numFmtId="0" fontId="9" fillId="0" borderId="0"/>
    <xf numFmtId="0" fontId="9" fillId="40"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1" borderId="0" applyNumberFormat="0" applyBorder="0" applyAlignment="0" applyProtection="0"/>
    <xf numFmtId="0" fontId="9" fillId="31" borderId="0" applyNumberFormat="0" applyBorder="0" applyAlignment="0" applyProtection="0"/>
    <xf numFmtId="0" fontId="9" fillId="0" borderId="0"/>
    <xf numFmtId="0" fontId="9" fillId="31" borderId="0" applyNumberFormat="0" applyBorder="0" applyAlignment="0" applyProtection="0"/>
    <xf numFmtId="0" fontId="9" fillId="0" borderId="0"/>
    <xf numFmtId="0" fontId="9" fillId="35" borderId="0" applyNumberFormat="0" applyBorder="0" applyAlignment="0" applyProtection="0"/>
    <xf numFmtId="0" fontId="9" fillId="42" borderId="0" applyNumberFormat="0" applyBorder="0" applyAlignment="0" applyProtection="0"/>
    <xf numFmtId="0" fontId="9" fillId="0" borderId="0"/>
    <xf numFmtId="0" fontId="9" fillId="35" borderId="0" applyNumberFormat="0" applyBorder="0" applyAlignment="0" applyProtection="0"/>
    <xf numFmtId="0" fontId="9" fillId="43"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3" borderId="0" applyNumberFormat="0" applyBorder="0" applyAlignment="0" applyProtection="0"/>
    <xf numFmtId="0" fontId="9" fillId="0" borderId="0"/>
    <xf numFmtId="0" fontId="9" fillId="16" borderId="0" applyNumberFormat="0" applyBorder="0" applyAlignment="0" applyProtection="0"/>
    <xf numFmtId="0" fontId="9" fillId="0" borderId="0"/>
    <xf numFmtId="0" fontId="9" fillId="16"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28"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5" borderId="0" applyNumberFormat="0" applyBorder="0" applyAlignment="0" applyProtection="0"/>
    <xf numFmtId="186"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2" borderId="0" applyNumberFormat="0" applyBorder="0" applyAlignment="0" applyProtection="0"/>
    <xf numFmtId="0" fontId="9" fillId="0" borderId="0"/>
    <xf numFmtId="0" fontId="9" fillId="0" borderId="0"/>
    <xf numFmtId="0" fontId="9" fillId="0" borderId="0"/>
    <xf numFmtId="0" fontId="9" fillId="20"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3"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5"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144"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43" borderId="0" applyNumberFormat="0" applyBorder="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43" fontId="9" fillId="0" borderId="0" applyFont="0" applyFill="0" applyBorder="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44"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24" borderId="0" applyNumberFormat="0" applyBorder="0" applyAlignment="0" applyProtection="0"/>
    <xf numFmtId="0" fontId="9" fillId="20" borderId="0" applyNumberFormat="0" applyBorder="0" applyAlignment="0" applyProtection="0"/>
    <xf numFmtId="43" fontId="9" fillId="0" borderId="0" applyFont="0" applyFill="0" applyBorder="0" applyAlignment="0" applyProtection="0"/>
    <xf numFmtId="0" fontId="9" fillId="44" borderId="0" applyNumberFormat="0" applyBorder="0" applyAlignment="0" applyProtection="0"/>
    <xf numFmtId="0" fontId="9" fillId="0" borderId="0"/>
    <xf numFmtId="0" fontId="9" fillId="43" borderId="0" applyNumberFormat="0" applyBorder="0" applyAlignment="0" applyProtection="0"/>
    <xf numFmtId="9" fontId="9" fillId="0" borderId="0" applyFont="0" applyFill="0" applyBorder="0" applyAlignment="0" applyProtection="0"/>
    <xf numFmtId="0" fontId="9" fillId="43"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0" borderId="0"/>
    <xf numFmtId="0" fontId="9" fillId="0" borderId="0"/>
    <xf numFmtId="0" fontId="9" fillId="0" borderId="0"/>
    <xf numFmtId="0" fontId="9" fillId="16" borderId="0" applyNumberFormat="0" applyBorder="0" applyAlignment="0" applyProtection="0"/>
    <xf numFmtId="0" fontId="9" fillId="32" borderId="0" applyNumberFormat="0" applyBorder="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16" borderId="0" applyNumberFormat="0" applyBorder="0" applyAlignment="0" applyProtection="0"/>
    <xf numFmtId="0" fontId="9" fillId="0" borderId="0"/>
    <xf numFmtId="0" fontId="9" fillId="0" borderId="0"/>
    <xf numFmtId="0" fontId="9" fillId="23"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43" fontId="9" fillId="0" borderId="0" applyFont="0" applyFill="0" applyBorder="0" applyAlignment="0" applyProtection="0"/>
    <xf numFmtId="0" fontId="9" fillId="31" borderId="0" applyNumberFormat="0" applyBorder="0" applyAlignment="0" applyProtection="0"/>
    <xf numFmtId="43" fontId="9" fillId="0" borderId="0" applyFont="0" applyFill="0" applyBorder="0" applyAlignment="0" applyProtection="0"/>
    <xf numFmtId="0" fontId="9" fillId="15"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23"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13" borderId="112" applyNumberFormat="0" applyFont="0" applyAlignment="0" applyProtection="0"/>
    <xf numFmtId="43" fontId="9" fillId="0" borderId="0" applyFont="0" applyFill="0" applyBorder="0" applyAlignment="0" applyProtection="0"/>
    <xf numFmtId="0" fontId="9" fillId="0" borderId="0"/>
    <xf numFmtId="9"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27"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0" borderId="0" applyNumberFormat="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28" borderId="0" applyNumberFormat="0" applyBorder="0" applyAlignment="0" applyProtection="0"/>
    <xf numFmtId="0" fontId="9" fillId="4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8" borderId="0" applyNumberFormat="0" applyBorder="0" applyAlignment="0" applyProtection="0"/>
    <xf numFmtId="0" fontId="9" fillId="3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144" fillId="0" borderId="0" applyFont="0" applyFill="0" applyBorder="0" applyAlignment="0" applyProtection="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0" fontId="9" fillId="15"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13" borderId="112" applyNumberFormat="0" applyFont="0" applyAlignment="0" applyProtection="0"/>
    <xf numFmtId="0" fontId="9" fillId="0" borderId="0"/>
    <xf numFmtId="0" fontId="9" fillId="36" borderId="0" applyNumberFormat="0" applyBorder="0" applyAlignment="0" applyProtection="0"/>
    <xf numFmtId="0" fontId="9" fillId="35"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3" borderId="112" applyNumberFormat="0" applyFont="0" applyAlignment="0" applyProtection="0"/>
    <xf numFmtId="43" fontId="9" fillId="0" borderId="0" applyFont="0" applyFill="0" applyBorder="0" applyAlignment="0" applyProtection="0"/>
    <xf numFmtId="0" fontId="9" fillId="27"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15" borderId="0" applyNumberFormat="0" applyBorder="0" applyAlignment="0" applyProtection="0"/>
    <xf numFmtId="43" fontId="9" fillId="0" borderId="0" applyFont="0" applyFill="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36" borderId="0" applyNumberFormat="0" applyBorder="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36" borderId="0" applyNumberFormat="0" applyBorder="0" applyAlignment="0" applyProtection="0"/>
    <xf numFmtId="0" fontId="9" fillId="27"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32" borderId="0" applyNumberFormat="0" applyBorder="0" applyAlignment="0" applyProtection="0"/>
    <xf numFmtId="0" fontId="9" fillId="31"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43" fontId="9" fillId="0" borderId="0" applyFont="0" applyFill="0" applyBorder="0" applyAlignment="0" applyProtection="0"/>
    <xf numFmtId="0" fontId="9" fillId="13" borderId="112" applyNumberFormat="0" applyFont="0" applyAlignment="0" applyProtection="0"/>
    <xf numFmtId="0" fontId="9" fillId="0" borderId="0"/>
    <xf numFmtId="0" fontId="9" fillId="35"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36" borderId="0" applyNumberFormat="0" applyBorder="0" applyAlignment="0" applyProtection="0"/>
    <xf numFmtId="0" fontId="9" fillId="35"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20" borderId="0" applyNumberFormat="0" applyBorder="0" applyAlignment="0" applyProtection="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0" borderId="0"/>
    <xf numFmtId="0" fontId="9" fillId="36"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0" borderId="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6" borderId="0" applyNumberFormat="0" applyBorder="0" applyAlignment="0" applyProtection="0"/>
    <xf numFmtId="0" fontId="9" fillId="35"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9" borderId="0" applyNumberFormat="0" applyBorder="0" applyAlignment="0" applyProtection="0"/>
    <xf numFmtId="0" fontId="9" fillId="20"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24" borderId="0" applyNumberFormat="0" applyBorder="0" applyAlignment="0" applyProtection="0"/>
    <xf numFmtId="0" fontId="9" fillId="31"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5" borderId="0" applyNumberFormat="0" applyBorder="0" applyAlignment="0" applyProtection="0"/>
    <xf numFmtId="0" fontId="9" fillId="23"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23" borderId="0" applyNumberFormat="0" applyBorder="0" applyAlignment="0" applyProtection="0"/>
    <xf numFmtId="0" fontId="9" fillId="0" borderId="0"/>
    <xf numFmtId="0" fontId="9" fillId="0" borderId="0"/>
    <xf numFmtId="0" fontId="9" fillId="0" borderId="0"/>
    <xf numFmtId="0" fontId="9" fillId="0" borderId="0"/>
    <xf numFmtId="0" fontId="9" fillId="24"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28"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0" borderId="0"/>
    <xf numFmtId="43" fontId="9" fillId="0" borderId="0" applyFont="0" applyFill="0" applyBorder="0" applyAlignment="0" applyProtection="0"/>
    <xf numFmtId="0" fontId="9" fillId="0" borderId="0"/>
    <xf numFmtId="0" fontId="9" fillId="35"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19"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0" borderId="0"/>
    <xf numFmtId="0" fontId="9" fillId="36"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16" borderId="0" applyNumberFormat="0" applyBorder="0" applyAlignment="0" applyProtection="0"/>
    <xf numFmtId="0" fontId="9" fillId="0" borderId="0"/>
    <xf numFmtId="0" fontId="9" fillId="0" borderId="0"/>
    <xf numFmtId="0" fontId="9" fillId="0" borderId="0"/>
    <xf numFmtId="0" fontId="9" fillId="0" borderId="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28"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6" borderId="0" applyNumberFormat="0" applyBorder="0" applyAlignment="0" applyProtection="0"/>
    <xf numFmtId="0" fontId="9" fillId="35"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19"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36" borderId="0" applyNumberFormat="0" applyBorder="0" applyAlignment="0" applyProtection="0"/>
    <xf numFmtId="0" fontId="9" fillId="0" borderId="0"/>
    <xf numFmtId="0" fontId="9" fillId="0" borderId="0"/>
    <xf numFmtId="0" fontId="9" fillId="0" borderId="0"/>
    <xf numFmtId="0" fontId="9" fillId="0" borderId="0"/>
    <xf numFmtId="0" fontId="9" fillId="28" borderId="0" applyNumberFormat="0" applyBorder="0" applyAlignment="0" applyProtection="0"/>
    <xf numFmtId="0" fontId="9" fillId="24" borderId="0" applyNumberFormat="0" applyBorder="0" applyAlignment="0" applyProtection="0"/>
    <xf numFmtId="0" fontId="9" fillId="15" borderId="0" applyNumberFormat="0" applyBorder="0" applyAlignment="0" applyProtection="0"/>
    <xf numFmtId="0" fontId="9" fillId="0" borderId="0"/>
    <xf numFmtId="43" fontId="39" fillId="0" borderId="0" applyFont="0" applyFill="0" applyBorder="0" applyAlignment="0" applyProtection="0"/>
    <xf numFmtId="9" fontId="9" fillId="0" borderId="0" applyFont="0" applyFill="0" applyBorder="0" applyAlignment="0" applyProtection="0"/>
    <xf numFmtId="0" fontId="9" fillId="13" borderId="112" applyNumberFormat="0" applyFont="0" applyAlignment="0" applyProtection="0"/>
    <xf numFmtId="0" fontId="9" fillId="0" borderId="0"/>
    <xf numFmtId="0" fontId="9" fillId="0" borderId="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0" borderId="0"/>
    <xf numFmtId="0" fontId="9" fillId="3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15"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35"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7" borderId="0" applyNumberFormat="0" applyBorder="0" applyAlignment="0" applyProtection="0"/>
    <xf numFmtId="0" fontId="9" fillId="0" borderId="0"/>
    <xf numFmtId="0" fontId="9" fillId="23" borderId="0" applyNumberFormat="0" applyBorder="0" applyAlignment="0" applyProtection="0"/>
    <xf numFmtId="0" fontId="9" fillId="0" borderId="0"/>
    <xf numFmtId="43" fontId="9" fillId="0" borderId="0" applyFont="0" applyFill="0" applyBorder="0" applyAlignment="0" applyProtection="0"/>
    <xf numFmtId="0" fontId="9" fillId="0" borderId="0"/>
    <xf numFmtId="0" fontId="9" fillId="31" borderId="0" applyNumberFormat="0" applyBorder="0" applyAlignment="0" applyProtection="0"/>
    <xf numFmtId="0" fontId="9" fillId="20" borderId="0" applyNumberFormat="0" applyBorder="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31" borderId="0" applyNumberFormat="0" applyBorder="0" applyAlignment="0" applyProtection="0"/>
    <xf numFmtId="0" fontId="9" fillId="20" borderId="0" applyNumberFormat="0" applyBorder="0" applyAlignment="0" applyProtection="0"/>
    <xf numFmtId="0" fontId="9" fillId="13" borderId="112" applyNumberFormat="0" applyFont="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20" borderId="0" applyNumberFormat="0" applyBorder="0" applyAlignment="0" applyProtection="0"/>
    <xf numFmtId="0" fontId="9" fillId="32" borderId="0" applyNumberFormat="0" applyBorder="0" applyAlignment="0" applyProtection="0"/>
    <xf numFmtId="0" fontId="9" fillId="0" borderId="0"/>
    <xf numFmtId="0" fontId="9" fillId="0" borderId="0"/>
    <xf numFmtId="0" fontId="9" fillId="36"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31" borderId="0" applyNumberFormat="0" applyBorder="0" applyAlignment="0" applyProtection="0"/>
    <xf numFmtId="0" fontId="9" fillId="20"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3" borderId="112" applyNumberFormat="0" applyFont="0" applyAlignment="0" applyProtection="0"/>
    <xf numFmtId="0" fontId="9" fillId="19" borderId="0" applyNumberFormat="0" applyBorder="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2"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39" fillId="0" borderId="0" applyFont="0" applyFill="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27" borderId="0" applyNumberFormat="0" applyBorder="0" applyAlignment="0" applyProtection="0"/>
    <xf numFmtId="0" fontId="9" fillId="0" borderId="0"/>
    <xf numFmtId="0" fontId="9" fillId="23"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0" borderId="0"/>
    <xf numFmtId="43" fontId="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43" fontId="39" fillId="0" borderId="0" applyFont="0" applyFill="0" applyBorder="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0" borderId="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41" fillId="0" borderId="0" applyFont="0" applyFill="0" applyBorder="0" applyAlignment="0" applyProtection="0"/>
    <xf numFmtId="0" fontId="9" fillId="0" borderId="0"/>
    <xf numFmtId="0" fontId="9" fillId="43" borderId="0" applyNumberFormat="0" applyBorder="0" applyAlignment="0" applyProtection="0"/>
    <xf numFmtId="0" fontId="9" fillId="40" borderId="0" applyNumberFormat="0" applyBorder="0" applyAlignment="0" applyProtection="0"/>
    <xf numFmtId="0" fontId="9" fillId="3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32" borderId="0" applyNumberFormat="0" applyBorder="0" applyAlignment="0" applyProtection="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19"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19"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47" fillId="0" borderId="151" applyNumberFormat="0" applyFill="0" applyAlignment="0" applyProtection="0"/>
    <xf numFmtId="0" fontId="147" fillId="0" borderId="151" applyNumberFormat="0" applyFill="0" applyAlignment="0" applyProtection="0"/>
    <xf numFmtId="0" fontId="148" fillId="0" borderId="152" applyNumberFormat="0" applyFill="0" applyAlignment="0" applyProtection="0"/>
    <xf numFmtId="0" fontId="148" fillId="0" borderId="152"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43" fontId="39" fillId="0" borderId="0" applyFont="0" applyFill="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43" fontId="141"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9" fillId="0" borderId="0"/>
    <xf numFmtId="4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3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3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43" fontId="1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147" fillId="0" borderId="151" applyNumberFormat="0" applyFill="0" applyAlignment="0" applyProtection="0"/>
    <xf numFmtId="0" fontId="147" fillId="0" borderId="151" applyNumberFormat="0" applyFill="0" applyAlignment="0" applyProtection="0"/>
    <xf numFmtId="0" fontId="148" fillId="0" borderId="152" applyNumberFormat="0" applyFill="0" applyAlignment="0" applyProtection="0"/>
    <xf numFmtId="0" fontId="148" fillId="0" borderId="152" applyNumberFormat="0" applyFill="0" applyAlignment="0" applyProtection="0"/>
    <xf numFmtId="0" fontId="149" fillId="0" borderId="138" applyNumberFormat="0" applyFill="0" applyAlignment="0" applyProtection="0"/>
    <xf numFmtId="0" fontId="149" fillId="0" borderId="138" applyNumberFormat="0" applyFill="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149" fillId="0" borderId="153" applyNumberFormat="0" applyFill="0" applyAlignment="0" applyProtection="0"/>
    <xf numFmtId="0" fontId="149" fillId="0" borderId="153" applyNumberFormat="0" applyFill="0" applyAlignment="0" applyProtection="0"/>
    <xf numFmtId="0" fontId="8" fillId="0" borderId="0"/>
    <xf numFmtId="43" fontId="8" fillId="0" borderId="0" applyFont="0" applyFill="0" applyBorder="0" applyAlignment="0" applyProtection="0"/>
    <xf numFmtId="9" fontId="8" fillId="0" borderId="0" applyFont="0" applyFill="0" applyBorder="0" applyAlignment="0" applyProtection="0"/>
    <xf numFmtId="188" fontId="37" fillId="0" borderId="0"/>
    <xf numFmtId="167" fontId="46" fillId="0" borderId="0" applyFont="0" applyFill="0" applyBorder="0" applyAlignment="0" applyProtection="0"/>
    <xf numFmtId="0" fontId="166" fillId="0" borderId="0"/>
    <xf numFmtId="190" fontId="68" fillId="0" borderId="0" applyFont="0" applyFill="0" applyBorder="0" applyAlignment="0" applyProtection="0"/>
    <xf numFmtId="191" fontId="68" fillId="0" borderId="0" applyFont="0" applyFill="0" applyBorder="0" applyAlignment="0" applyProtection="0"/>
    <xf numFmtId="0" fontId="107" fillId="38" borderId="0" applyNumberFormat="0" applyBorder="0" applyAlignment="0" applyProtection="0"/>
    <xf numFmtId="0" fontId="107" fillId="38" borderId="0" applyNumberFormat="0" applyBorder="0" applyAlignment="0" applyProtection="0"/>
    <xf numFmtId="0" fontId="107" fillId="39" borderId="0" applyNumberFormat="0" applyBorder="0" applyAlignment="0" applyProtection="0"/>
    <xf numFmtId="0" fontId="107" fillId="39" borderId="0" applyNumberFormat="0" applyBorder="0" applyAlignment="0" applyProtection="0"/>
    <xf numFmtId="0" fontId="107" fillId="40" borderId="0" applyNumberFormat="0" applyBorder="0" applyAlignment="0" applyProtection="0"/>
    <xf numFmtId="0" fontId="107" fillId="40" borderId="0" applyNumberFormat="0" applyBorder="0" applyAlignment="0" applyProtection="0"/>
    <xf numFmtId="0" fontId="107" fillId="41" borderId="0" applyNumberFormat="0" applyBorder="0" applyAlignment="0" applyProtection="0"/>
    <xf numFmtId="0" fontId="107" fillId="41" borderId="0" applyNumberFormat="0" applyBorder="0" applyAlignment="0" applyProtection="0"/>
    <xf numFmtId="0" fontId="107" fillId="55" borderId="0" applyNumberFormat="0" applyBorder="0" applyAlignment="0" applyProtection="0"/>
    <xf numFmtId="0" fontId="107" fillId="55" borderId="0" applyNumberFormat="0" applyBorder="0" applyAlignment="0" applyProtection="0"/>
    <xf numFmtId="0" fontId="107" fillId="56" borderId="0" applyNumberFormat="0" applyBorder="0" applyAlignment="0" applyProtection="0"/>
    <xf numFmtId="0" fontId="107" fillId="56" borderId="0" applyNumberFormat="0" applyBorder="0" applyAlignment="0" applyProtection="0"/>
    <xf numFmtId="192" fontId="68" fillId="0" borderId="0" applyFont="0" applyFill="0" applyBorder="0" applyAlignment="0" applyProtection="0"/>
    <xf numFmtId="193" fontId="68" fillId="0" borderId="0" applyFont="0" applyFill="0" applyBorder="0" applyAlignment="0" applyProtection="0"/>
    <xf numFmtId="0" fontId="107" fillId="43" borderId="0" applyNumberFormat="0" applyBorder="0" applyAlignment="0" applyProtection="0"/>
    <xf numFmtId="0" fontId="107" fillId="43" borderId="0" applyNumberFormat="0" applyBorder="0" applyAlignment="0" applyProtection="0"/>
    <xf numFmtId="0" fontId="107" fillId="47" borderId="0" applyNumberFormat="0" applyBorder="0" applyAlignment="0" applyProtection="0"/>
    <xf numFmtId="0" fontId="107" fillId="47" borderId="0" applyNumberFormat="0" applyBorder="0" applyAlignment="0" applyProtection="0"/>
    <xf numFmtId="0" fontId="107" fillId="44" borderId="0" applyNumberFormat="0" applyBorder="0" applyAlignment="0" applyProtection="0"/>
    <xf numFmtId="0" fontId="107" fillId="44" borderId="0" applyNumberFormat="0" applyBorder="0" applyAlignment="0" applyProtection="0"/>
    <xf numFmtId="0" fontId="107" fillId="41" borderId="0" applyNumberFormat="0" applyBorder="0" applyAlignment="0" applyProtection="0"/>
    <xf numFmtId="0" fontId="107" fillId="41" borderId="0" applyNumberFormat="0" applyBorder="0" applyAlignment="0" applyProtection="0"/>
    <xf numFmtId="0" fontId="107" fillId="43" borderId="0" applyNumberFormat="0" applyBorder="0" applyAlignment="0" applyProtection="0"/>
    <xf numFmtId="0" fontId="107" fillId="43" borderId="0" applyNumberFormat="0" applyBorder="0" applyAlignment="0" applyProtection="0"/>
    <xf numFmtId="0" fontId="107" fillId="45" borderId="0" applyNumberFormat="0" applyBorder="0" applyAlignment="0" applyProtection="0"/>
    <xf numFmtId="0" fontId="107" fillId="45" borderId="0" applyNumberFormat="0" applyBorder="0" applyAlignment="0" applyProtection="0"/>
    <xf numFmtId="194" fontId="68" fillId="0" borderId="0" applyFont="0" applyFill="0" applyBorder="0" applyAlignment="0" applyProtection="0"/>
    <xf numFmtId="0" fontId="176" fillId="46" borderId="0" applyNumberFormat="0" applyBorder="0" applyAlignment="0" applyProtection="0"/>
    <xf numFmtId="0" fontId="176" fillId="47" borderId="0" applyNumberFormat="0" applyBorder="0" applyAlignment="0" applyProtection="0"/>
    <xf numFmtId="0" fontId="176" fillId="44" borderId="0" applyNumberFormat="0" applyBorder="0" applyAlignment="0" applyProtection="0"/>
    <xf numFmtId="0" fontId="176" fillId="48" borderId="0" applyNumberFormat="0" applyBorder="0" applyAlignment="0" applyProtection="0"/>
    <xf numFmtId="0" fontId="176" fillId="49" borderId="0" applyNumberFormat="0" applyBorder="0" applyAlignment="0" applyProtection="0"/>
    <xf numFmtId="0" fontId="176" fillId="50" borderId="0" applyNumberFormat="0" applyBorder="0" applyAlignment="0" applyProtection="0"/>
    <xf numFmtId="0" fontId="176" fillId="51" borderId="0" applyNumberFormat="0" applyBorder="0" applyAlignment="0" applyProtection="0"/>
    <xf numFmtId="0" fontId="176" fillId="52" borderId="0" applyNumberFormat="0" applyBorder="0" applyAlignment="0" applyProtection="0"/>
    <xf numFmtId="0" fontId="176" fillId="53" borderId="0" applyNumberFormat="0" applyBorder="0" applyAlignment="0" applyProtection="0"/>
    <xf numFmtId="0" fontId="176" fillId="48" borderId="0" applyNumberFormat="0" applyBorder="0" applyAlignment="0" applyProtection="0"/>
    <xf numFmtId="0" fontId="176" fillId="49" borderId="0" applyNumberFormat="0" applyBorder="0" applyAlignment="0" applyProtection="0"/>
    <xf numFmtId="0" fontId="176" fillId="54" borderId="0" applyNumberFormat="0" applyBorder="0" applyAlignment="0" applyProtection="0"/>
    <xf numFmtId="0" fontId="177" fillId="39" borderId="0" applyNumberFormat="0" applyBorder="0" applyAlignment="0" applyProtection="0"/>
    <xf numFmtId="0" fontId="178" fillId="42" borderId="217" applyNumberFormat="0" applyAlignment="0" applyProtection="0"/>
    <xf numFmtId="0" fontId="179" fillId="57" borderId="218" applyNumberFormat="0" applyAlignment="0" applyProtection="0"/>
    <xf numFmtId="1" fontId="167" fillId="58" borderId="177">
      <alignment horizontal="right" vertical="center"/>
    </xf>
    <xf numFmtId="0" fontId="168" fillId="58" borderId="177">
      <alignment horizontal="right" vertical="center"/>
    </xf>
    <xf numFmtId="0" fontId="39" fillId="58" borderId="219"/>
    <xf numFmtId="0" fontId="167" fillId="59" borderId="177">
      <alignment horizontal="center" vertical="center"/>
    </xf>
    <xf numFmtId="1" fontId="167" fillId="58" borderId="177">
      <alignment horizontal="right" vertical="center"/>
    </xf>
    <xf numFmtId="0" fontId="39" fillId="58" borderId="0"/>
    <xf numFmtId="0" fontId="169" fillId="58" borderId="177">
      <alignment horizontal="left" vertical="center"/>
    </xf>
    <xf numFmtId="0" fontId="169" fillId="58" borderId="177"/>
    <xf numFmtId="0" fontId="168" fillId="58" borderId="177">
      <alignment horizontal="right" vertical="center"/>
    </xf>
    <xf numFmtId="0" fontId="170" fillId="60" borderId="177">
      <alignment horizontal="left" vertical="center"/>
    </xf>
    <xf numFmtId="0" fontId="170" fillId="60" borderId="177">
      <alignment horizontal="left" vertical="center"/>
    </xf>
    <xf numFmtId="0" fontId="171" fillId="58" borderId="177">
      <alignment horizontal="left" vertical="center"/>
    </xf>
    <xf numFmtId="0" fontId="172" fillId="58" borderId="219"/>
    <xf numFmtId="0" fontId="167" fillId="61" borderId="177">
      <alignment horizontal="left" vertical="center"/>
    </xf>
    <xf numFmtId="0" fontId="173" fillId="0" borderId="0" applyProtection="0"/>
    <xf numFmtId="189" fontId="39" fillId="0" borderId="0" applyFont="0" applyFill="0" applyBorder="0" applyAlignment="0" applyProtection="0"/>
    <xf numFmtId="0" fontId="180" fillId="0" borderId="0" applyNumberFormat="0" applyFill="0" applyBorder="0" applyAlignment="0" applyProtection="0"/>
    <xf numFmtId="2" fontId="173" fillId="0" borderId="0" applyProtection="0"/>
    <xf numFmtId="0" fontId="181" fillId="40" borderId="0" applyNumberFormat="0" applyBorder="0" applyAlignment="0" applyProtection="0"/>
    <xf numFmtId="0" fontId="147" fillId="0" borderId="220" applyNumberFormat="0" applyFill="0" applyAlignment="0" applyProtection="0"/>
    <xf numFmtId="0" fontId="148" fillId="0" borderId="221" applyNumberFormat="0" applyFill="0" applyAlignment="0" applyProtection="0"/>
    <xf numFmtId="0" fontId="173" fillId="0" borderId="0" applyNumberFormat="0" applyFont="0" applyFill="0" applyBorder="0" applyAlignment="0" applyProtection="0"/>
    <xf numFmtId="0" fontId="174" fillId="0" borderId="0" applyProtection="0"/>
    <xf numFmtId="0" fontId="182" fillId="0" borderId="0" applyNumberFormat="0" applyFill="0" applyBorder="0" applyAlignment="0" applyProtection="0">
      <alignment vertical="top"/>
      <protection locked="0"/>
    </xf>
    <xf numFmtId="0" fontId="183" fillId="0" borderId="0" applyNumberFormat="0" applyFill="0" applyBorder="0" applyAlignment="0" applyProtection="0">
      <alignment vertical="top"/>
      <protection locked="0"/>
    </xf>
    <xf numFmtId="174" fontId="68" fillId="0" borderId="0" applyFont="0" applyFill="0" applyBorder="0" applyAlignment="0" applyProtection="0"/>
    <xf numFmtId="3" fontId="68" fillId="0" borderId="0" applyFont="0" applyFill="0" applyBorder="0" applyAlignment="0" applyProtection="0"/>
    <xf numFmtId="0" fontId="184" fillId="56" borderId="217" applyNumberFormat="0" applyAlignment="0" applyProtection="0"/>
    <xf numFmtId="0" fontId="185" fillId="62" borderId="0" applyNumberFormat="0" applyBorder="0" applyAlignment="0" applyProtection="0"/>
    <xf numFmtId="0" fontId="175" fillId="0" borderId="0"/>
    <xf numFmtId="0" fontId="46" fillId="0" borderId="0"/>
    <xf numFmtId="0" fontId="5" fillId="0" borderId="0"/>
    <xf numFmtId="0" fontId="46" fillId="0" borderId="0"/>
    <xf numFmtId="0" fontId="46" fillId="63" borderId="222" applyNumberFormat="0" applyFont="0" applyAlignment="0" applyProtection="0"/>
    <xf numFmtId="0" fontId="186" fillId="42" borderId="223" applyNumberFormat="0" applyAlignment="0" applyProtection="0"/>
    <xf numFmtId="195" fontId="68" fillId="0" borderId="0" applyFont="0" applyFill="0" applyBorder="0" applyAlignment="0" applyProtection="0"/>
    <xf numFmtId="196" fontId="68" fillId="0" borderId="0" applyFont="0" applyFill="0" applyBorder="0" applyAlignment="0" applyProtection="0"/>
    <xf numFmtId="0" fontId="173" fillId="0" borderId="125" applyProtection="0"/>
    <xf numFmtId="0" fontId="187" fillId="0" borderId="0" applyNumberFormat="0" applyFill="0" applyBorder="0" applyAlignment="0" applyProtection="0"/>
    <xf numFmtId="0" fontId="46" fillId="0" borderId="0"/>
    <xf numFmtId="0" fontId="193" fillId="0" borderId="0">
      <protection locked="0"/>
    </xf>
    <xf numFmtId="0" fontId="193" fillId="0" borderId="0">
      <protection locked="0"/>
    </xf>
    <xf numFmtId="198" fontId="192" fillId="0" borderId="0">
      <protection locked="0"/>
    </xf>
    <xf numFmtId="0" fontId="192" fillId="0" borderId="0">
      <protection locked="0"/>
    </xf>
    <xf numFmtId="0" fontId="193" fillId="0" borderId="0">
      <protection locked="0"/>
    </xf>
    <xf numFmtId="0" fontId="193" fillId="0" borderId="0">
      <protection locked="0"/>
    </xf>
    <xf numFmtId="183" fontId="194" fillId="0" borderId="0"/>
    <xf numFmtId="0" fontId="5"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173" fillId="0" borderId="0" applyProtection="0"/>
    <xf numFmtId="189" fontId="189" fillId="0" borderId="0" applyFont="0" applyFill="0" applyBorder="0" applyAlignment="0" applyProtection="0"/>
    <xf numFmtId="2" fontId="173" fillId="0" borderId="0" applyProtection="0"/>
    <xf numFmtId="0" fontId="173" fillId="0" borderId="0" applyNumberFormat="0" applyFont="0" applyFill="0" applyBorder="0" applyAlignment="0" applyProtection="0"/>
    <xf numFmtId="0" fontId="174" fillId="0" borderId="0" applyProtection="0"/>
    <xf numFmtId="0" fontId="175" fillId="0" borderId="0"/>
    <xf numFmtId="9" fontId="46" fillId="0" borderId="0" applyFont="0" applyFill="0" applyBorder="0" applyAlignment="0" applyProtection="0"/>
    <xf numFmtId="0" fontId="173" fillId="0" borderId="125" applyProtection="0"/>
    <xf numFmtId="0" fontId="107" fillId="38" borderId="0" applyNumberFormat="0" applyBorder="0" applyAlignment="0" applyProtection="0"/>
    <xf numFmtId="0" fontId="107" fillId="39" borderId="0" applyNumberFormat="0" applyBorder="0" applyAlignment="0" applyProtection="0"/>
    <xf numFmtId="0" fontId="107" fillId="40" borderId="0" applyNumberFormat="0" applyBorder="0" applyAlignment="0" applyProtection="0"/>
    <xf numFmtId="0" fontId="107" fillId="41" borderId="0" applyNumberFormat="0" applyBorder="0" applyAlignment="0" applyProtection="0"/>
    <xf numFmtId="0" fontId="107" fillId="55" borderId="0" applyNumberFormat="0" applyBorder="0" applyAlignment="0" applyProtection="0"/>
    <xf numFmtId="0" fontId="107" fillId="56" borderId="0" applyNumberFormat="0" applyBorder="0" applyAlignment="0" applyProtection="0"/>
    <xf numFmtId="0" fontId="107" fillId="43" borderId="0" applyNumberFormat="0" applyBorder="0" applyAlignment="0" applyProtection="0"/>
    <xf numFmtId="0" fontId="107" fillId="47" borderId="0" applyNumberFormat="0" applyBorder="0" applyAlignment="0" applyProtection="0"/>
    <xf numFmtId="0" fontId="107" fillId="44" borderId="0" applyNumberFormat="0" applyBorder="0" applyAlignment="0" applyProtection="0"/>
    <xf numFmtId="0" fontId="107" fillId="41" borderId="0" applyNumberFormat="0" applyBorder="0" applyAlignment="0" applyProtection="0"/>
    <xf numFmtId="0" fontId="107" fillId="43" borderId="0" applyNumberFormat="0" applyBorder="0" applyAlignment="0" applyProtection="0"/>
    <xf numFmtId="0" fontId="107" fillId="45" borderId="0" applyNumberFormat="0" applyBorder="0" applyAlignment="0" applyProtection="0"/>
    <xf numFmtId="0" fontId="176" fillId="46" borderId="0" applyNumberFormat="0" applyBorder="0" applyAlignment="0" applyProtection="0"/>
    <xf numFmtId="0" fontId="176" fillId="47" borderId="0" applyNumberFormat="0" applyBorder="0" applyAlignment="0" applyProtection="0"/>
    <xf numFmtId="0" fontId="176" fillId="44" borderId="0" applyNumberFormat="0" applyBorder="0" applyAlignment="0" applyProtection="0"/>
    <xf numFmtId="0" fontId="176" fillId="48" borderId="0" applyNumberFormat="0" applyBorder="0" applyAlignment="0" applyProtection="0"/>
    <xf numFmtId="0" fontId="176" fillId="49" borderId="0" applyNumberFormat="0" applyBorder="0" applyAlignment="0" applyProtection="0"/>
    <xf numFmtId="0" fontId="176" fillId="50" borderId="0" applyNumberFormat="0" applyBorder="0" applyAlignment="0" applyProtection="0"/>
    <xf numFmtId="0" fontId="176" fillId="46" borderId="0" applyNumberFormat="0" applyBorder="0" applyAlignment="0" applyProtection="0"/>
    <xf numFmtId="0" fontId="176" fillId="47" borderId="0" applyNumberFormat="0" applyBorder="0" applyAlignment="0" applyProtection="0"/>
    <xf numFmtId="0" fontId="176" fillId="44" borderId="0" applyNumberFormat="0" applyBorder="0" applyAlignment="0" applyProtection="0"/>
    <xf numFmtId="0" fontId="176" fillId="48" borderId="0" applyNumberFormat="0" applyBorder="0" applyAlignment="0" applyProtection="0"/>
    <xf numFmtId="0" fontId="176" fillId="49" borderId="0" applyNumberFormat="0" applyBorder="0" applyAlignment="0" applyProtection="0"/>
    <xf numFmtId="0" fontId="176" fillId="50" borderId="0" applyNumberFormat="0" applyBorder="0" applyAlignment="0" applyProtection="0"/>
    <xf numFmtId="0" fontId="176" fillId="51" borderId="0" applyNumberFormat="0" applyBorder="0" applyAlignment="0" applyProtection="0"/>
    <xf numFmtId="0" fontId="176" fillId="52" borderId="0" applyNumberFormat="0" applyBorder="0" applyAlignment="0" applyProtection="0"/>
    <xf numFmtId="0" fontId="176" fillId="53" borderId="0" applyNumberFormat="0" applyBorder="0" applyAlignment="0" applyProtection="0"/>
    <xf numFmtId="0" fontId="176" fillId="48" borderId="0" applyNumberFormat="0" applyBorder="0" applyAlignment="0" applyProtection="0"/>
    <xf numFmtId="0" fontId="176" fillId="49" borderId="0" applyNumberFormat="0" applyBorder="0" applyAlignment="0" applyProtection="0"/>
    <xf numFmtId="0" fontId="176" fillId="54" borderId="0" applyNumberFormat="0" applyBorder="0" applyAlignment="0" applyProtection="0"/>
    <xf numFmtId="0" fontId="177" fillId="39" borderId="0" applyNumberFormat="0" applyBorder="0" applyAlignment="0" applyProtection="0"/>
    <xf numFmtId="0" fontId="181" fillId="40" borderId="0" applyNumberFormat="0" applyBorder="0" applyAlignment="0" applyProtection="0"/>
    <xf numFmtId="0" fontId="178" fillId="42" borderId="217" applyNumberFormat="0" applyAlignment="0" applyProtection="0"/>
    <xf numFmtId="0" fontId="178" fillId="42" borderId="217" applyNumberFormat="0" applyAlignment="0" applyProtection="0"/>
    <xf numFmtId="0" fontId="179" fillId="57" borderId="218" applyNumberFormat="0" applyAlignment="0" applyProtection="0"/>
    <xf numFmtId="0" fontId="150" fillId="0" borderId="136" applyNumberFormat="0" applyFill="0" applyAlignment="0" applyProtection="0"/>
    <xf numFmtId="0" fontId="179" fillId="57" borderId="218" applyNumberFormat="0" applyAlignment="0" applyProtection="0"/>
    <xf numFmtId="0" fontId="149" fillId="0" borderId="0" applyNumberFormat="0" applyFill="0" applyBorder="0" applyAlignment="0" applyProtection="0"/>
    <xf numFmtId="0" fontId="176" fillId="51" borderId="0" applyNumberFormat="0" applyBorder="0" applyAlignment="0" applyProtection="0"/>
    <xf numFmtId="0" fontId="176" fillId="52" borderId="0" applyNumberFormat="0" applyBorder="0" applyAlignment="0" applyProtection="0"/>
    <xf numFmtId="0" fontId="176" fillId="53" borderId="0" applyNumberFormat="0" applyBorder="0" applyAlignment="0" applyProtection="0"/>
    <xf numFmtId="0" fontId="176" fillId="48" borderId="0" applyNumberFormat="0" applyBorder="0" applyAlignment="0" applyProtection="0"/>
    <xf numFmtId="0" fontId="176" fillId="49" borderId="0" applyNumberFormat="0" applyBorder="0" applyAlignment="0" applyProtection="0"/>
    <xf numFmtId="0" fontId="176" fillId="54" borderId="0" applyNumberFormat="0" applyBorder="0" applyAlignment="0" applyProtection="0"/>
    <xf numFmtId="0" fontId="184" fillId="56" borderId="217" applyNumberFormat="0" applyAlignment="0" applyProtection="0"/>
    <xf numFmtId="0" fontId="180" fillId="0" borderId="0" applyNumberFormat="0" applyFill="0" applyBorder="0" applyAlignment="0" applyProtection="0"/>
    <xf numFmtId="0" fontId="181" fillId="40" borderId="0" applyNumberFormat="0" applyBorder="0" applyAlignment="0" applyProtection="0"/>
    <xf numFmtId="0" fontId="147" fillId="0" borderId="220" applyNumberFormat="0" applyFill="0" applyAlignment="0" applyProtection="0"/>
    <xf numFmtId="0" fontId="148" fillId="0" borderId="221" applyNumberFormat="0" applyFill="0" applyAlignment="0" applyProtection="0"/>
    <xf numFmtId="0" fontId="177" fillId="39" borderId="0" applyNumberFormat="0" applyBorder="0" applyAlignment="0" applyProtection="0"/>
    <xf numFmtId="0" fontId="184" fillId="56" borderId="217" applyNumberFormat="0" applyAlignment="0" applyProtection="0"/>
    <xf numFmtId="199" fontId="46" fillId="0" borderId="0" applyFont="0" applyFill="0" applyBorder="0" applyAlignment="0" applyProtection="0"/>
    <xf numFmtId="0" fontId="185" fillId="62" borderId="0" applyNumberFormat="0" applyBorder="0" applyAlignment="0" applyProtection="0"/>
    <xf numFmtId="0" fontId="5" fillId="0" borderId="0"/>
    <xf numFmtId="0" fontId="39" fillId="0" borderId="0"/>
    <xf numFmtId="0" fontId="46" fillId="63" borderId="222" applyNumberFormat="0" applyFont="0" applyAlignment="0" applyProtection="0"/>
    <xf numFmtId="0" fontId="46" fillId="63" borderId="222" applyNumberFormat="0" applyFont="0" applyAlignment="0" applyProtection="0"/>
    <xf numFmtId="0" fontId="186" fillId="42" borderId="223" applyNumberFormat="0" applyAlignment="0" applyProtection="0"/>
    <xf numFmtId="0" fontId="186" fillId="42" borderId="223" applyNumberFormat="0" applyAlignment="0" applyProtection="0"/>
    <xf numFmtId="0" fontId="187" fillId="0" borderId="0" applyNumberFormat="0" applyFill="0" applyBorder="0" applyAlignment="0" applyProtection="0"/>
    <xf numFmtId="0" fontId="180" fillId="0" borderId="0" applyNumberFormat="0" applyFill="0" applyBorder="0" applyAlignment="0" applyProtection="0"/>
    <xf numFmtId="0" fontId="152" fillId="0" borderId="0" applyNumberFormat="0" applyFill="0" applyBorder="0" applyAlignment="0" applyProtection="0"/>
    <xf numFmtId="0" fontId="147" fillId="0" borderId="220" applyNumberFormat="0" applyFill="0" applyAlignment="0" applyProtection="0"/>
    <xf numFmtId="0" fontId="148" fillId="0" borderId="221" applyNumberFormat="0" applyFill="0" applyAlignment="0" applyProtection="0"/>
    <xf numFmtId="0" fontId="149" fillId="0" borderId="153" applyNumberFormat="0" applyFill="0" applyAlignment="0" applyProtection="0"/>
    <xf numFmtId="0" fontId="187" fillId="0" borderId="0" applyNumberFormat="0" applyFill="0" applyBorder="0" applyAlignment="0" applyProtection="0"/>
    <xf numFmtId="0" fontId="46" fillId="0" borderId="0"/>
    <xf numFmtId="198" fontId="192" fillId="0" borderId="0">
      <protection locked="0"/>
    </xf>
    <xf numFmtId="0" fontId="192" fillId="0" borderId="0">
      <protection locked="0"/>
    </xf>
    <xf numFmtId="0" fontId="193" fillId="0" borderId="0">
      <protection locked="0"/>
    </xf>
    <xf numFmtId="0" fontId="193" fillId="0" borderId="0">
      <protection locked="0"/>
    </xf>
    <xf numFmtId="0" fontId="46" fillId="0" borderId="0"/>
    <xf numFmtId="0" fontId="5" fillId="0" borderId="0"/>
    <xf numFmtId="183" fontId="194" fillId="0" borderId="0"/>
    <xf numFmtId="0" fontId="5" fillId="0" borderId="0"/>
    <xf numFmtId="0" fontId="46" fillId="0" borderId="0"/>
    <xf numFmtId="0" fontId="46" fillId="0" borderId="0"/>
    <xf numFmtId="0" fontId="46" fillId="0" borderId="0"/>
    <xf numFmtId="0" fontId="46" fillId="0" borderId="0"/>
    <xf numFmtId="0" fontId="193" fillId="0" borderId="0">
      <protection locked="0"/>
    </xf>
    <xf numFmtId="0" fontId="193" fillId="0" borderId="0">
      <protection locked="0"/>
    </xf>
    <xf numFmtId="0" fontId="46" fillId="0" borderId="0"/>
    <xf numFmtId="0" fontId="193" fillId="0" borderId="0">
      <protection locked="0"/>
    </xf>
    <xf numFmtId="0" fontId="193" fillId="0" borderId="0">
      <protection locked="0"/>
    </xf>
    <xf numFmtId="0" fontId="5" fillId="0" borderId="0"/>
    <xf numFmtId="0" fontId="5" fillId="0" borderId="0"/>
    <xf numFmtId="0" fontId="46" fillId="0" borderId="0"/>
    <xf numFmtId="0" fontId="5" fillId="0" borderId="0"/>
    <xf numFmtId="0" fontId="175" fillId="0" borderId="0"/>
    <xf numFmtId="0" fontId="174" fillId="0" borderId="0" applyProtection="0"/>
    <xf numFmtId="0" fontId="5" fillId="0" borderId="0"/>
    <xf numFmtId="2" fontId="173" fillId="0" borderId="0" applyProtection="0"/>
    <xf numFmtId="0" fontId="5" fillId="0" borderId="0"/>
    <xf numFmtId="0" fontId="5" fillId="0" borderId="0"/>
    <xf numFmtId="0" fontId="173" fillId="0" borderId="0" applyProtection="0"/>
    <xf numFmtId="0" fontId="173" fillId="0" borderId="0" applyNumberFormat="0" applyFont="0" applyFill="0" applyBorder="0" applyAlignment="0" applyProtection="0"/>
    <xf numFmtId="0" fontId="5" fillId="0" borderId="0"/>
    <xf numFmtId="0" fontId="190" fillId="64" borderId="0" applyNumberFormat="0" applyBorder="0" applyAlignment="0" applyProtection="0"/>
    <xf numFmtId="2" fontId="192" fillId="0" borderId="0">
      <protection locked="0"/>
    </xf>
    <xf numFmtId="2" fontId="196" fillId="0" borderId="0">
      <protection locked="0"/>
    </xf>
    <xf numFmtId="0" fontId="192" fillId="0" borderId="0">
      <protection locked="0"/>
    </xf>
    <xf numFmtId="0" fontId="192" fillId="0" borderId="0">
      <protection locked="0"/>
    </xf>
    <xf numFmtId="0" fontId="197" fillId="43" borderId="224" applyNumberFormat="0" applyAlignment="0" applyProtection="0"/>
    <xf numFmtId="0" fontId="198" fillId="0" borderId="0" applyNumberFormat="0" applyFill="0" applyBorder="0" applyAlignment="0" applyProtection="0"/>
    <xf numFmtId="215" fontId="39" fillId="0" borderId="0"/>
    <xf numFmtId="0" fontId="169" fillId="58" borderId="225">
      <alignment vertical="center"/>
    </xf>
    <xf numFmtId="0" fontId="199" fillId="58" borderId="226">
      <alignment vertical="center"/>
    </xf>
    <xf numFmtId="3" fontId="39" fillId="0" borderId="0" applyFont="0" applyFill="0" applyBorder="0" applyAlignment="0" applyProtection="0"/>
    <xf numFmtId="164" fontId="39" fillId="0" borderId="0" applyFont="0" applyFill="0" applyBorder="0" applyAlignment="0" applyProtection="0"/>
    <xf numFmtId="2" fontId="192" fillId="0" borderId="0">
      <protection locked="0"/>
    </xf>
    <xf numFmtId="170" fontId="200" fillId="0" borderId="0"/>
    <xf numFmtId="0" fontId="191" fillId="65" borderId="0" applyNumberFormat="0" applyBorder="0" applyAlignment="0" applyProtection="0"/>
    <xf numFmtId="0" fontId="191" fillId="66" borderId="0" applyNumberFormat="0" applyBorder="0" applyAlignment="0" applyProtection="0"/>
    <xf numFmtId="0" fontId="191" fillId="66" borderId="0" applyNumberFormat="0" applyBorder="0" applyAlignment="0" applyProtection="0"/>
    <xf numFmtId="200" fontId="140" fillId="0" borderId="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0" fontId="201" fillId="0" borderId="0"/>
    <xf numFmtId="0" fontId="192" fillId="0" borderId="0">
      <protection locked="0"/>
    </xf>
    <xf numFmtId="206" fontId="192" fillId="0" borderId="0">
      <protection locked="0"/>
    </xf>
    <xf numFmtId="206" fontId="192" fillId="0" borderId="0">
      <protection locked="0"/>
    </xf>
    <xf numFmtId="0" fontId="202" fillId="67" borderId="0" applyNumberFormat="0" applyBorder="0" applyAlignment="0" applyProtection="0"/>
    <xf numFmtId="37" fontId="46" fillId="0" borderId="0" applyNumberFormat="0" applyFont="0" applyFill="0"/>
    <xf numFmtId="38" fontId="189" fillId="59" borderId="0" applyNumberFormat="0" applyBorder="0" applyAlignment="0" applyProtection="0"/>
    <xf numFmtId="0" fontId="164" fillId="0" borderId="0" applyNumberFormat="0" applyFill="0" applyBorder="0" applyAlignment="0" applyProtection="0"/>
    <xf numFmtId="0" fontId="132" fillId="0" borderId="0" applyNumberFormat="0" applyFill="0" applyBorder="0" applyAlignment="0" applyProtection="0"/>
    <xf numFmtId="0" fontId="65" fillId="0" borderId="227" applyNumberFormat="0" applyFill="0" applyAlignment="0" applyProtection="0"/>
    <xf numFmtId="0" fontId="65" fillId="0" borderId="0" applyNumberFormat="0" applyFill="0" applyBorder="0" applyAlignment="0" applyProtection="0"/>
    <xf numFmtId="0" fontId="203" fillId="0" borderId="0" applyNumberFormat="0" applyFill="0" applyBorder="0" applyAlignment="0" applyProtection="0">
      <alignment vertical="top"/>
      <protection locked="0"/>
    </xf>
    <xf numFmtId="0" fontId="204" fillId="0" borderId="0" applyNumberFormat="0" applyFill="0" applyBorder="0" applyAlignment="0" applyProtection="0">
      <alignment vertical="top"/>
      <protection locked="0"/>
    </xf>
    <xf numFmtId="0" fontId="205" fillId="55" borderId="228" applyNumberFormat="0" applyAlignment="0" applyProtection="0"/>
    <xf numFmtId="10" fontId="189" fillId="58" borderId="177" applyNumberFormat="0" applyBorder="0" applyAlignment="0" applyProtection="0"/>
    <xf numFmtId="15" fontId="39" fillId="0" borderId="0"/>
    <xf numFmtId="0" fontId="46" fillId="68" borderId="229" applyNumberFormat="0" applyFont="0" applyAlignment="0" applyProtection="0"/>
    <xf numFmtId="1" fontId="46" fillId="0" borderId="0" applyNumberFormat="0" applyAlignment="0">
      <alignment horizontal="center"/>
    </xf>
    <xf numFmtId="184" fontId="206" fillId="0" borderId="0" applyNumberFormat="0">
      <alignment horizontal="centerContinuous"/>
    </xf>
    <xf numFmtId="41" fontId="46" fillId="0" borderId="0" applyFont="0" applyFill="0" applyBorder="0" applyAlignment="0" applyProtection="0"/>
    <xf numFmtId="43" fontId="46" fillId="0" borderId="0" applyFont="0" applyFill="0" applyBorder="0" applyAlignment="0" applyProtection="0"/>
    <xf numFmtId="41" fontId="46" fillId="0" borderId="0" applyFont="0" applyFill="0" applyBorder="0" applyAlignment="0" applyProtection="0"/>
    <xf numFmtId="43" fontId="46" fillId="0" borderId="0" applyFont="0" applyFill="0" applyBorder="0" applyAlignment="0" applyProtection="0"/>
    <xf numFmtId="209" fontId="201" fillId="0" borderId="0" applyFont="0" applyFill="0" applyBorder="0" applyAlignment="0" applyProtection="0"/>
    <xf numFmtId="210" fontId="201" fillId="0" borderId="0" applyFont="0" applyFill="0" applyBorder="0" applyAlignment="0" applyProtection="0"/>
    <xf numFmtId="208" fontId="192" fillId="0" borderId="0">
      <protection locked="0"/>
    </xf>
    <xf numFmtId="165" fontId="46" fillId="0" borderId="0" applyFont="0" applyFill="0" applyBorder="0" applyAlignment="0" applyProtection="0"/>
    <xf numFmtId="166" fontId="46" fillId="0" borderId="0" applyFont="0" applyFill="0" applyBorder="0" applyAlignment="0" applyProtection="0"/>
    <xf numFmtId="165" fontId="46" fillId="0" borderId="0" applyFont="0" applyFill="0" applyBorder="0" applyAlignment="0" applyProtection="0"/>
    <xf numFmtId="166" fontId="46" fillId="0" borderId="0" applyFont="0" applyFill="0" applyBorder="0" applyAlignment="0" applyProtection="0"/>
    <xf numFmtId="212" fontId="192" fillId="0" borderId="0">
      <protection locked="0"/>
    </xf>
    <xf numFmtId="213" fontId="192" fillId="0" borderId="0">
      <protection locked="0"/>
    </xf>
    <xf numFmtId="0" fontId="207" fillId="69" borderId="0" applyNumberFormat="0" applyBorder="0" applyAlignment="0" applyProtection="0"/>
    <xf numFmtId="0" fontId="37" fillId="0" borderId="0"/>
    <xf numFmtId="0" fontId="208" fillId="0" borderId="0"/>
    <xf numFmtId="0" fontId="140" fillId="0" borderId="0"/>
    <xf numFmtId="0" fontId="140" fillId="0" borderId="0"/>
    <xf numFmtId="0" fontId="5" fillId="0" borderId="0"/>
    <xf numFmtId="0" fontId="5" fillId="0" borderId="0"/>
    <xf numFmtId="203" fontId="46" fillId="0" borderId="0" applyFill="0" applyBorder="0" applyAlignment="0" applyProtection="0">
      <alignment horizontal="right"/>
    </xf>
    <xf numFmtId="0" fontId="46" fillId="69" borderId="222" applyNumberFormat="0" applyFont="0" applyAlignment="0" applyProtection="0"/>
    <xf numFmtId="0" fontId="209" fillId="70" borderId="230" applyNumberFormat="0" applyAlignment="0" applyProtection="0"/>
    <xf numFmtId="10" fontId="39" fillId="0" borderId="0" applyFont="0" applyFill="0" applyBorder="0" applyAlignment="0" applyProtection="0"/>
    <xf numFmtId="202" fontId="175" fillId="0" borderId="0" applyFont="0" applyFill="0" applyBorder="0" applyAlignment="0" applyProtection="0"/>
    <xf numFmtId="205" fontId="192" fillId="0" borderId="0">
      <protection locked="0"/>
    </xf>
    <xf numFmtId="204" fontId="192" fillId="0" borderId="0">
      <protection locked="0"/>
    </xf>
    <xf numFmtId="197" fontId="39" fillId="0" borderId="0" applyFont="0" applyFill="0" applyBorder="0" applyAlignment="0" applyProtection="0"/>
    <xf numFmtId="205" fontId="192" fillId="0" borderId="0">
      <protection locked="0"/>
    </xf>
    <xf numFmtId="214" fontId="46" fillId="0" borderId="0" applyFill="0" applyBorder="0" applyAlignment="0">
      <alignment horizontal="centerContinuous"/>
    </xf>
    <xf numFmtId="0" fontId="68" fillId="0" borderId="0"/>
    <xf numFmtId="204" fontId="192" fillId="0" borderId="0">
      <protection locked="0"/>
    </xf>
    <xf numFmtId="207" fontId="192" fillId="0" borderId="0">
      <protection locked="0"/>
    </xf>
    <xf numFmtId="4" fontId="210" fillId="71" borderId="231" applyNumberFormat="0" applyProtection="0">
      <alignment vertical="center"/>
    </xf>
    <xf numFmtId="4" fontId="211" fillId="71" borderId="231" applyNumberFormat="0" applyProtection="0">
      <alignment vertical="center"/>
    </xf>
    <xf numFmtId="4" fontId="212" fillId="0" borderId="0" applyNumberFormat="0" applyProtection="0">
      <alignment horizontal="left" vertical="center" indent="1"/>
    </xf>
    <xf numFmtId="4" fontId="213" fillId="72" borderId="231" applyNumberFormat="0" applyProtection="0">
      <alignment horizontal="left" vertical="center" indent="1"/>
    </xf>
    <xf numFmtId="4" fontId="214" fillId="2" borderId="231" applyNumberFormat="0" applyProtection="0">
      <alignment vertical="center"/>
    </xf>
    <xf numFmtId="4" fontId="188" fillId="73" borderId="231" applyNumberFormat="0" applyProtection="0">
      <alignment vertical="center"/>
    </xf>
    <xf numFmtId="4" fontId="214" fillId="74" borderId="231" applyNumberFormat="0" applyProtection="0">
      <alignment vertical="center"/>
    </xf>
    <xf numFmtId="4" fontId="215" fillId="2" borderId="231" applyNumberFormat="0" applyProtection="0">
      <alignment vertical="center"/>
    </xf>
    <xf numFmtId="4" fontId="216" fillId="75" borderId="231" applyNumberFormat="0" applyProtection="0">
      <alignment horizontal="left" vertical="center" indent="1"/>
    </xf>
    <xf numFmtId="4" fontId="216" fillId="76" borderId="231" applyNumberFormat="0" applyProtection="0">
      <alignment horizontal="left" vertical="center" indent="1"/>
    </xf>
    <xf numFmtId="4" fontId="217" fillId="72" borderId="231" applyNumberFormat="0" applyProtection="0">
      <alignment horizontal="left" vertical="center" indent="1"/>
    </xf>
    <xf numFmtId="4" fontId="218" fillId="77" borderId="231" applyNumberFormat="0" applyProtection="0">
      <alignment vertical="center"/>
    </xf>
    <xf numFmtId="4" fontId="219" fillId="58" borderId="231" applyNumberFormat="0" applyProtection="0">
      <alignment horizontal="left" vertical="center" indent="1"/>
    </xf>
    <xf numFmtId="4" fontId="220" fillId="76" borderId="231" applyNumberFormat="0" applyProtection="0">
      <alignment horizontal="left" vertical="center" indent="1"/>
    </xf>
    <xf numFmtId="4" fontId="221" fillId="72" borderId="231" applyNumberFormat="0" applyProtection="0">
      <alignment horizontal="left" vertical="center" indent="1"/>
    </xf>
    <xf numFmtId="4" fontId="222" fillId="58" borderId="231" applyNumberFormat="0" applyProtection="0">
      <alignment vertical="center"/>
    </xf>
    <xf numFmtId="4" fontId="223" fillId="58" borderId="231" applyNumberFormat="0" applyProtection="0">
      <alignment vertical="center"/>
    </xf>
    <xf numFmtId="4" fontId="216" fillId="76" borderId="231" applyNumberFormat="0" applyProtection="0">
      <alignment horizontal="left" vertical="center" indent="1"/>
    </xf>
    <xf numFmtId="4" fontId="224" fillId="58" borderId="231" applyNumberFormat="0" applyProtection="0">
      <alignment vertical="center"/>
    </xf>
    <xf numFmtId="4" fontId="225" fillId="58" borderId="231" applyNumberFormat="0" applyProtection="0">
      <alignment vertical="center"/>
    </xf>
    <xf numFmtId="4" fontId="189" fillId="0" borderId="0" applyNumberFormat="0" applyProtection="0">
      <alignment horizontal="left" vertical="center" indent="1"/>
    </xf>
    <xf numFmtId="4" fontId="226" fillId="58" borderId="231" applyNumberFormat="0" applyProtection="0">
      <alignment vertical="center"/>
    </xf>
    <xf numFmtId="4" fontId="227" fillId="58" borderId="231" applyNumberFormat="0" applyProtection="0">
      <alignment vertical="center"/>
    </xf>
    <xf numFmtId="4" fontId="216" fillId="61" borderId="231" applyNumberFormat="0" applyProtection="0">
      <alignment horizontal="left" vertical="center" indent="1"/>
    </xf>
    <xf numFmtId="4" fontId="228" fillId="77" borderId="231" applyNumberFormat="0" applyProtection="0">
      <alignment horizontal="left" indent="1"/>
    </xf>
    <xf numFmtId="4" fontId="229" fillId="58" borderId="231" applyNumberFormat="0" applyProtection="0">
      <alignment vertical="center"/>
    </xf>
    <xf numFmtId="38" fontId="201" fillId="0" borderId="93"/>
    <xf numFmtId="201" fontId="39" fillId="0" borderId="0">
      <protection locked="0"/>
    </xf>
    <xf numFmtId="38" fontId="201" fillId="0" borderId="0" applyFont="0" applyFill="0" applyBorder="0" applyAlignment="0" applyProtection="0"/>
    <xf numFmtId="40" fontId="201" fillId="0" borderId="0" applyFont="0" applyFill="0" applyBorder="0" applyAlignment="0" applyProtection="0"/>
    <xf numFmtId="0" fontId="230" fillId="0" borderId="0" applyNumberFormat="0" applyFill="0" applyBorder="0" applyAlignment="0" applyProtection="0"/>
    <xf numFmtId="0" fontId="39" fillId="0" borderId="0" applyNumberFormat="0"/>
    <xf numFmtId="2" fontId="193" fillId="0" borderId="0">
      <protection locked="0"/>
    </xf>
    <xf numFmtId="2" fontId="193" fillId="0" borderId="0">
      <protection locked="0"/>
    </xf>
    <xf numFmtId="204" fontId="192" fillId="0" borderId="0">
      <protection locked="0"/>
    </xf>
    <xf numFmtId="207" fontId="192" fillId="0" borderId="0">
      <protection locked="0"/>
    </xf>
    <xf numFmtId="0" fontId="201" fillId="0" borderId="0"/>
    <xf numFmtId="4" fontId="39" fillId="0" borderId="0" applyFont="0" applyFill="0" applyBorder="0" applyAlignment="0" applyProtection="0"/>
    <xf numFmtId="0" fontId="190" fillId="0" borderId="0" applyNumberFormat="0" applyFill="0" applyBorder="0" applyAlignment="0" applyProtection="0"/>
    <xf numFmtId="0" fontId="47" fillId="0" borderId="0" applyNumberFormat="0" applyFont="0" applyFill="0" applyBorder="0" applyAlignment="0" applyProtection="0">
      <alignment vertical="top"/>
    </xf>
    <xf numFmtId="0" fontId="195" fillId="0" borderId="0" applyNumberFormat="0" applyFont="0" applyFill="0" applyBorder="0" applyAlignment="0" applyProtection="0">
      <alignment vertical="top"/>
    </xf>
    <xf numFmtId="0" fontId="195" fillId="0" borderId="0" applyNumberFormat="0" applyFont="0" applyFill="0" applyBorder="0" applyAlignment="0" applyProtection="0">
      <alignment vertical="top"/>
    </xf>
    <xf numFmtId="0" fontId="47" fillId="0" borderId="0" applyNumberFormat="0" applyFont="0" applyFill="0" applyBorder="0" applyAlignment="0" applyProtection="0"/>
    <xf numFmtId="0" fontId="47" fillId="0" borderId="0" applyNumberFormat="0" applyFont="0" applyFill="0" applyBorder="0" applyAlignment="0" applyProtection="0">
      <alignment horizontal="left" vertical="top"/>
    </xf>
    <xf numFmtId="0" fontId="47" fillId="0" borderId="0" applyNumberFormat="0" applyFont="0" applyFill="0" applyBorder="0" applyAlignment="0" applyProtection="0">
      <alignment horizontal="left" vertical="top"/>
    </xf>
    <xf numFmtId="0" fontId="47" fillId="0" borderId="0" applyNumberFormat="0" applyFont="0" applyFill="0" applyBorder="0" applyAlignment="0" applyProtection="0">
      <alignment horizontal="left" vertical="top"/>
    </xf>
    <xf numFmtId="0" fontId="46" fillId="0" borderId="0"/>
    <xf numFmtId="0" fontId="231" fillId="0" borderId="0">
      <alignment horizontal="left" wrapText="1"/>
    </xf>
    <xf numFmtId="0" fontId="232" fillId="0" borderId="176" applyNumberFormat="0" applyFont="0" applyFill="0" applyBorder="0" applyAlignment="0" applyProtection="0">
      <alignment horizontal="center" wrapText="1"/>
    </xf>
    <xf numFmtId="216" fontId="68" fillId="0" borderId="0" applyNumberFormat="0" applyFont="0" applyFill="0" applyBorder="0" applyAlignment="0" applyProtection="0">
      <alignment horizontal="right"/>
    </xf>
    <xf numFmtId="0" fontId="232" fillId="0" borderId="0" applyNumberFormat="0" applyFont="0" applyFill="0" applyBorder="0" applyAlignment="0" applyProtection="0">
      <alignment horizontal="left" indent="1"/>
    </xf>
    <xf numFmtId="217" fontId="232" fillId="0" borderId="0" applyNumberFormat="0" applyFont="0" applyFill="0" applyBorder="0" applyAlignment="0" applyProtection="0"/>
    <xf numFmtId="0" fontId="46" fillId="0" borderId="176" applyNumberFormat="0" applyFont="0" applyFill="0" applyAlignment="0" applyProtection="0">
      <alignment horizontal="center"/>
    </xf>
    <xf numFmtId="0" fontId="46" fillId="0" borderId="0" applyNumberFormat="0" applyFont="0" applyFill="0" applyBorder="0" applyAlignment="0" applyProtection="0">
      <alignment horizontal="left" wrapText="1" indent="1"/>
    </xf>
    <xf numFmtId="0" fontId="232" fillId="0" borderId="0" applyNumberFormat="0" applyFont="0" applyFill="0" applyBorder="0" applyAlignment="0" applyProtection="0">
      <alignment horizontal="left" indent="1"/>
    </xf>
    <xf numFmtId="0" fontId="46" fillId="0" borderId="0" applyNumberFormat="0" applyFont="0" applyFill="0" applyBorder="0" applyAlignment="0" applyProtection="0">
      <alignment horizontal="left" wrapText="1" indent="2"/>
    </xf>
    <xf numFmtId="218" fontId="46" fillId="0" borderId="0">
      <alignment horizontal="right"/>
    </xf>
    <xf numFmtId="0" fontId="233" fillId="0" borderId="0" applyProtection="0"/>
    <xf numFmtId="211" fontId="233" fillId="0" borderId="0" applyProtection="0"/>
    <xf numFmtId="0" fontId="234" fillId="0" borderId="0" applyProtection="0"/>
    <xf numFmtId="0" fontId="235" fillId="0" borderId="0" applyProtection="0"/>
    <xf numFmtId="0" fontId="233" fillId="0" borderId="125" applyProtection="0"/>
    <xf numFmtId="10" fontId="233" fillId="0" borderId="0" applyProtection="0"/>
    <xf numFmtId="0" fontId="233" fillId="0" borderId="0"/>
    <xf numFmtId="2" fontId="233" fillId="0" borderId="0" applyProtection="0"/>
    <xf numFmtId="4" fontId="233" fillId="0" borderId="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6" fillId="0" borderId="0"/>
    <xf numFmtId="0" fontId="184" fillId="56" borderId="217" applyNumberFormat="0" applyAlignment="0" applyProtection="0"/>
    <xf numFmtId="0" fontId="184" fillId="56" borderId="217" applyNumberFormat="0" applyAlignment="0" applyProtection="0"/>
    <xf numFmtId="0" fontId="184" fillId="56" borderId="217" applyNumberFormat="0" applyAlignment="0" applyProtection="0"/>
    <xf numFmtId="0" fontId="46" fillId="0" borderId="0"/>
    <xf numFmtId="0" fontId="4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46"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9" fontId="46" fillId="0" borderId="0" applyFont="0" applyFill="0" applyBorder="0" applyAlignment="0" applyProtection="0"/>
    <xf numFmtId="0" fontId="46" fillId="0" borderId="0"/>
    <xf numFmtId="0" fontId="46" fillId="0" borderId="0"/>
    <xf numFmtId="0" fontId="184" fillId="56" borderId="217" applyNumberFormat="0" applyAlignment="0" applyProtection="0"/>
    <xf numFmtId="0" fontId="184" fillId="56" borderId="217" applyNumberFormat="0" applyAlignment="0" applyProtection="0"/>
    <xf numFmtId="167" fontId="46" fillId="0" borderId="0" applyFont="0" applyFill="0" applyBorder="0" applyAlignment="0" applyProtection="0"/>
    <xf numFmtId="9" fontId="46" fillId="0" borderId="0" applyFont="0" applyFill="0" applyBorder="0" applyAlignment="0" applyProtection="0"/>
    <xf numFmtId="0" fontId="46" fillId="0" borderId="0"/>
    <xf numFmtId="0" fontId="184" fillId="56" borderId="217" applyNumberFormat="0" applyAlignment="0" applyProtection="0"/>
    <xf numFmtId="0" fontId="46" fillId="0" borderId="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9" fontId="4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applyFont="0" applyFill="0" applyBorder="0" applyAlignment="0" applyProtection="0"/>
    <xf numFmtId="0" fontId="5" fillId="0" borderId="0"/>
    <xf numFmtId="0" fontId="5" fillId="0" borderId="0"/>
    <xf numFmtId="0" fontId="5" fillId="0" borderId="0"/>
    <xf numFmtId="0" fontId="5" fillId="0" borderId="0"/>
    <xf numFmtId="9" fontId="46" fillId="0" borderId="0" applyFont="0" applyFill="0" applyBorder="0" applyAlignment="0" applyProtection="0"/>
    <xf numFmtId="0" fontId="46" fillId="0" borderId="0"/>
    <xf numFmtId="0" fontId="5" fillId="0" borderId="0"/>
    <xf numFmtId="43" fontId="5" fillId="0" borderId="0" applyFont="0" applyFill="0" applyBorder="0" applyAlignment="0" applyProtection="0"/>
    <xf numFmtId="43" fontId="39" fillId="0" borderId="0" applyFont="0" applyFill="0" applyBorder="0" applyAlignment="0" applyProtection="0"/>
    <xf numFmtId="43" fontId="5"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185" fontId="5" fillId="0" borderId="0" applyFont="0" applyFill="0" applyBorder="0" applyAlignment="0" applyProtection="0"/>
    <xf numFmtId="0" fontId="5" fillId="0" borderId="0"/>
    <xf numFmtId="0" fontId="176" fillId="47" borderId="0" applyNumberFormat="0" applyBorder="0" applyAlignment="0" applyProtection="0"/>
    <xf numFmtId="9" fontId="46" fillId="0" borderId="0" applyFont="0" applyFill="0" applyBorder="0" applyAlignment="0" applyProtection="0"/>
    <xf numFmtId="0" fontId="107" fillId="55" borderId="0" applyNumberFormat="0" applyBorder="0" applyAlignment="0" applyProtection="0"/>
    <xf numFmtId="0" fontId="176" fillId="51" borderId="0" applyNumberFormat="0" applyBorder="0" applyAlignment="0" applyProtection="0"/>
    <xf numFmtId="0" fontId="176" fillId="52" borderId="0" applyNumberFormat="0" applyBorder="0" applyAlignment="0" applyProtection="0"/>
    <xf numFmtId="0" fontId="176" fillId="54" borderId="0" applyNumberFormat="0" applyBorder="0" applyAlignment="0" applyProtection="0"/>
    <xf numFmtId="0" fontId="177" fillId="39" borderId="0" applyNumberFormat="0" applyBorder="0" applyAlignment="0" applyProtection="0"/>
    <xf numFmtId="0" fontId="178" fillId="42" borderId="217" applyNumberFormat="0" applyAlignment="0" applyProtection="0"/>
    <xf numFmtId="0" fontId="46" fillId="0" borderId="0"/>
    <xf numFmtId="0" fontId="107" fillId="43" borderId="0" applyNumberFormat="0" applyBorder="0" applyAlignment="0" applyProtection="0"/>
    <xf numFmtId="0" fontId="181" fillId="40" borderId="0" applyNumberFormat="0" applyBorder="0" applyAlignment="0" applyProtection="0"/>
    <xf numFmtId="0" fontId="107" fillId="39" borderId="0" applyNumberFormat="0" applyBorder="0" applyAlignment="0" applyProtection="0"/>
    <xf numFmtId="0" fontId="185" fillId="62" borderId="0" applyNumberFormat="0" applyBorder="0" applyAlignment="0" applyProtection="0"/>
    <xf numFmtId="0" fontId="107" fillId="38" borderId="0" applyNumberFormat="0" applyBorder="0" applyAlignment="0" applyProtection="0"/>
    <xf numFmtId="0" fontId="5" fillId="0" borderId="0"/>
    <xf numFmtId="0" fontId="149" fillId="0" borderId="0" applyNumberFormat="0" applyFill="0" applyBorder="0" applyAlignment="0" applyProtection="0"/>
    <xf numFmtId="0" fontId="4" fillId="0" borderId="0"/>
    <xf numFmtId="0" fontId="4" fillId="0" borderId="0"/>
    <xf numFmtId="0" fontId="107" fillId="40" borderId="0" applyNumberFormat="0" applyBorder="0" applyAlignment="0" applyProtection="0"/>
    <xf numFmtId="0" fontId="5" fillId="0" borderId="0"/>
    <xf numFmtId="9" fontId="46" fillId="0" borderId="0" applyFont="0" applyFill="0" applyBorder="0" applyAlignment="0" applyProtection="0"/>
    <xf numFmtId="0" fontId="176" fillId="48" borderId="0" applyNumberFormat="0" applyBorder="0" applyAlignment="0" applyProtection="0"/>
    <xf numFmtId="0" fontId="150" fillId="0" borderId="136" applyNumberFormat="0" applyFill="0" applyAlignment="0" applyProtection="0"/>
    <xf numFmtId="0" fontId="147" fillId="0" borderId="220" applyNumberFormat="0" applyFill="0" applyAlignment="0" applyProtection="0"/>
    <xf numFmtId="0" fontId="107" fillId="47" borderId="0" applyNumberFormat="0" applyBorder="0" applyAlignment="0" applyProtection="0"/>
    <xf numFmtId="0" fontId="148" fillId="0" borderId="221" applyNumberFormat="0" applyFill="0" applyAlignment="0" applyProtection="0"/>
    <xf numFmtId="0" fontId="173" fillId="0" borderId="125" applyProtection="0"/>
    <xf numFmtId="0" fontId="107" fillId="45" borderId="0" applyNumberFormat="0" applyBorder="0" applyAlignment="0" applyProtection="0"/>
    <xf numFmtId="0" fontId="107" fillId="43" borderId="0" applyNumberFormat="0" applyBorder="0" applyAlignment="0" applyProtection="0"/>
    <xf numFmtId="0" fontId="107" fillId="56" borderId="0" applyNumberFormat="0" applyBorder="0" applyAlignment="0" applyProtection="0"/>
    <xf numFmtId="0" fontId="5" fillId="0" borderId="0"/>
    <xf numFmtId="0" fontId="4" fillId="0" borderId="0"/>
    <xf numFmtId="0" fontId="186" fillId="42" borderId="223" applyNumberFormat="0" applyAlignment="0" applyProtection="0"/>
    <xf numFmtId="0" fontId="176" fillId="48" borderId="0" applyNumberFormat="0" applyBorder="0" applyAlignment="0" applyProtection="0"/>
    <xf numFmtId="0" fontId="5" fillId="0" borderId="0"/>
    <xf numFmtId="0" fontId="5" fillId="0" borderId="0"/>
    <xf numFmtId="0" fontId="5" fillId="0" borderId="0"/>
    <xf numFmtId="9" fontId="46" fillId="0" borderId="0" applyFont="0" applyFill="0" applyBorder="0" applyAlignment="0" applyProtection="0"/>
    <xf numFmtId="0" fontId="46" fillId="0" borderId="0"/>
    <xf numFmtId="0" fontId="5" fillId="0" borderId="0"/>
    <xf numFmtId="9" fontId="46" fillId="0" borderId="0" applyFont="0" applyFill="0" applyBorder="0" applyAlignment="0" applyProtection="0"/>
    <xf numFmtId="0" fontId="176" fillId="46" borderId="0" applyNumberFormat="0" applyBorder="0" applyAlignment="0" applyProtection="0"/>
    <xf numFmtId="0" fontId="176" fillId="44" borderId="0" applyNumberFormat="0" applyBorder="0" applyAlignment="0" applyProtection="0"/>
    <xf numFmtId="0" fontId="5" fillId="0" borderId="0"/>
    <xf numFmtId="0" fontId="5" fillId="0" borderId="0"/>
    <xf numFmtId="0" fontId="176" fillId="53" borderId="0" applyNumberFormat="0" applyBorder="0" applyAlignment="0" applyProtection="0"/>
    <xf numFmtId="167" fontId="46" fillId="0" borderId="0" applyFont="0" applyFill="0" applyBorder="0" applyAlignment="0" applyProtection="0"/>
    <xf numFmtId="0" fontId="107" fillId="41" borderId="0" applyNumberFormat="0" applyBorder="0" applyAlignment="0" applyProtection="0"/>
    <xf numFmtId="0" fontId="107" fillId="44" borderId="0" applyNumberFormat="0" applyBorder="0" applyAlignment="0" applyProtection="0"/>
    <xf numFmtId="0" fontId="149" fillId="0" borderId="153"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7" fillId="41" borderId="0" applyNumberFormat="0" applyBorder="0" applyAlignment="0" applyProtection="0"/>
    <xf numFmtId="0" fontId="5" fillId="0" borderId="0"/>
    <xf numFmtId="0" fontId="176" fillId="49"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applyFont="0" applyFill="0" applyBorder="0" applyAlignment="0" applyProtection="0"/>
    <xf numFmtId="167"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7" fontId="5" fillId="0" borderId="0" applyFont="0" applyFill="0" applyBorder="0" applyAlignment="0" applyProtection="0"/>
    <xf numFmtId="0" fontId="5" fillId="0" borderId="0"/>
    <xf numFmtId="167" fontId="5" fillId="0" borderId="0" applyFont="0" applyFill="0" applyBorder="0" applyAlignment="0" applyProtection="0"/>
    <xf numFmtId="9" fontId="46" fillId="0" borderId="0" applyFont="0" applyFill="0" applyBorder="0" applyAlignment="0" applyProtection="0"/>
    <xf numFmtId="167" fontId="4" fillId="0" borderId="0" applyFont="0" applyFill="0" applyBorder="0" applyAlignment="0" applyProtection="0"/>
    <xf numFmtId="0" fontId="4" fillId="0" borderId="0"/>
    <xf numFmtId="0" fontId="176" fillId="50" borderId="0" applyNumberFormat="0" applyBorder="0" applyAlignment="0" applyProtection="0"/>
    <xf numFmtId="9" fontId="46"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185" fontId="5" fillId="0" borderId="0" applyFont="0" applyFill="0" applyBorder="0" applyAlignment="0" applyProtection="0"/>
    <xf numFmtId="0" fontId="5" fillId="0" borderId="0"/>
    <xf numFmtId="0" fontId="4" fillId="0" borderId="0"/>
    <xf numFmtId="167" fontId="46" fillId="0" borderId="0" applyFont="0" applyFill="0" applyBorder="0" applyAlignment="0" applyProtection="0"/>
    <xf numFmtId="9" fontId="46" fillId="0" borderId="0" applyFont="0" applyFill="0" applyBorder="0" applyAlignment="0" applyProtection="0"/>
    <xf numFmtId="0" fontId="5" fillId="0" borderId="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6" borderId="0" applyNumberFormat="0" applyBorder="0" applyAlignment="0" applyProtection="0"/>
    <xf numFmtId="0" fontId="5" fillId="20" borderId="0" applyNumberFormat="0" applyBorder="0" applyAlignment="0" applyProtection="0"/>
    <xf numFmtId="0" fontId="5" fillId="24" borderId="0" applyNumberFormat="0" applyBorder="0" applyAlignment="0" applyProtection="0"/>
    <xf numFmtId="0" fontId="5" fillId="28" borderId="0" applyNumberFormat="0" applyBorder="0" applyAlignment="0" applyProtection="0"/>
    <xf numFmtId="0" fontId="5" fillId="32" borderId="0" applyNumberFormat="0" applyBorder="0" applyAlignment="0" applyProtection="0"/>
    <xf numFmtId="0" fontId="5" fillId="36" borderId="0" applyNumberFormat="0" applyBorder="0" applyAlignment="0" applyProtection="0"/>
    <xf numFmtId="0" fontId="106" fillId="30" borderId="0" applyNumberFormat="0" applyBorder="0" applyAlignment="0" applyProtection="0"/>
    <xf numFmtId="0" fontId="96" fillId="8" borderId="0" applyNumberFormat="0" applyBorder="0" applyAlignment="0" applyProtection="0"/>
    <xf numFmtId="0" fontId="100" fillId="11" borderId="108" applyNumberFormat="0" applyAlignment="0" applyProtection="0"/>
    <xf numFmtId="0" fontId="102" fillId="12" borderId="111" applyNumberFormat="0" applyAlignment="0" applyProtection="0"/>
    <xf numFmtId="0" fontId="104" fillId="0" borderId="0" applyNumberFormat="0" applyFill="0" applyBorder="0" applyAlignment="0" applyProtection="0"/>
    <xf numFmtId="0" fontId="95" fillId="7" borderId="0" applyNumberFormat="0" applyBorder="0" applyAlignment="0" applyProtection="0"/>
    <xf numFmtId="0" fontId="92" fillId="0" borderId="105" applyNumberFormat="0" applyFill="0" applyAlignment="0" applyProtection="0"/>
    <xf numFmtId="0" fontId="93" fillId="0" borderId="106" applyNumberFormat="0" applyFill="0" applyAlignment="0" applyProtection="0"/>
    <xf numFmtId="0" fontId="94" fillId="0" borderId="107" applyNumberFormat="0" applyFill="0" applyAlignment="0" applyProtection="0"/>
    <xf numFmtId="0" fontId="94" fillId="0" borderId="0" applyNumberFormat="0" applyFill="0" applyBorder="0" applyAlignment="0" applyProtection="0"/>
    <xf numFmtId="0" fontId="98" fillId="10" borderId="108" applyNumberFormat="0" applyAlignment="0" applyProtection="0"/>
    <xf numFmtId="0" fontId="101" fillId="0" borderId="110" applyNumberFormat="0" applyFill="0" applyAlignment="0" applyProtection="0"/>
    <xf numFmtId="0" fontId="97" fillId="9"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3" borderId="112" applyNumberFormat="0" applyFont="0" applyAlignment="0" applyProtection="0"/>
    <xf numFmtId="0" fontId="99" fillId="11" borderId="109" applyNumberFormat="0" applyAlignment="0" applyProtection="0"/>
    <xf numFmtId="0" fontId="103" fillId="0" borderId="0" applyNumberFormat="0" applyFill="0" applyBorder="0" applyAlignment="0" applyProtection="0"/>
    <xf numFmtId="0" fontId="98" fillId="10" borderId="108" applyNumberFormat="0" applyAlignment="0" applyProtection="0"/>
    <xf numFmtId="9" fontId="46" fillId="0" borderId="0" applyFont="0" applyFill="0" applyBorder="0" applyAlignment="0" applyProtection="0"/>
    <xf numFmtId="0" fontId="3" fillId="0" borderId="0"/>
    <xf numFmtId="167" fontId="3" fillId="0" borderId="0" applyFont="0" applyFill="0" applyBorder="0" applyAlignment="0" applyProtection="0"/>
    <xf numFmtId="43" fontId="3" fillId="0" borderId="0" applyFont="0" applyFill="0" applyBorder="0" applyAlignment="0" applyProtection="0"/>
    <xf numFmtId="0" fontId="46" fillId="0" borderId="0"/>
    <xf numFmtId="9" fontId="46" fillId="0" borderId="0" applyFont="0" applyFill="0" applyBorder="0" applyAlignment="0" applyProtection="0"/>
    <xf numFmtId="9" fontId="46" fillId="0" borderId="0" applyFont="0" applyFill="0" applyBorder="0" applyAlignment="0" applyProtection="0"/>
    <xf numFmtId="0" fontId="46" fillId="0" borderId="0"/>
    <xf numFmtId="0" fontId="2" fillId="0" borderId="0"/>
    <xf numFmtId="43" fontId="2" fillId="0" borderId="0" applyFont="0" applyFill="0" applyBorder="0" applyAlignment="0" applyProtection="0"/>
    <xf numFmtId="0" fontId="2" fillId="0" borderId="0"/>
    <xf numFmtId="9" fontId="46" fillId="0" borderId="0" applyFont="0" applyFill="0" applyBorder="0" applyAlignment="0" applyProtection="0"/>
    <xf numFmtId="43" fontId="2" fillId="0" borderId="0" applyFont="0" applyFill="0" applyBorder="0" applyAlignment="0" applyProtection="0"/>
    <xf numFmtId="0" fontId="46"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0" fontId="46" fillId="0" borderId="0"/>
    <xf numFmtId="0" fontId="46" fillId="0" borderId="0"/>
    <xf numFmtId="0" fontId="1" fillId="0" borderId="0"/>
    <xf numFmtId="167" fontId="1" fillId="0" borderId="0" applyFont="0" applyFill="0" applyBorder="0" applyAlignment="0" applyProtection="0"/>
    <xf numFmtId="43" fontId="1" fillId="0" borderId="0" applyFont="0" applyFill="0" applyBorder="0" applyAlignment="0" applyProtection="0"/>
  </cellStyleXfs>
  <cellXfs count="1982">
    <xf numFmtId="176" fontId="38" fillId="0" borderId="0" xfId="0" applyFont="1" applyProtection="1">
      <protection locked="0"/>
    </xf>
    <xf numFmtId="176" fontId="0" fillId="0" borderId="0" xfId="0"/>
    <xf numFmtId="176" fontId="28" fillId="0" borderId="0" xfId="0" applyFont="1"/>
    <xf numFmtId="176" fontId="29" fillId="0" borderId="1" xfId="0" applyFont="1" applyBorder="1"/>
    <xf numFmtId="176" fontId="29" fillId="0" borderId="0" xfId="0" applyFont="1"/>
    <xf numFmtId="176" fontId="29" fillId="0" borderId="2" xfId="0" applyFont="1" applyBorder="1"/>
    <xf numFmtId="176" fontId="29" fillId="0" borderId="3" xfId="0" applyFont="1" applyBorder="1"/>
    <xf numFmtId="176" fontId="31" fillId="0" borderId="0" xfId="0" applyFont="1"/>
    <xf numFmtId="176" fontId="31" fillId="0" borderId="1" xfId="0" applyFont="1" applyBorder="1"/>
    <xf numFmtId="176" fontId="31" fillId="0" borderId="2" xfId="0" applyFont="1" applyBorder="1"/>
    <xf numFmtId="176" fontId="31" fillId="0" borderId="3" xfId="0" applyFont="1" applyBorder="1"/>
    <xf numFmtId="176" fontId="32" fillId="0" borderId="0" xfId="0" applyFont="1"/>
    <xf numFmtId="176" fontId="32" fillId="0" borderId="0" xfId="0" applyFont="1" applyProtection="1">
      <protection locked="0"/>
    </xf>
    <xf numFmtId="176" fontId="29" fillId="0" borderId="2" xfId="0" applyFont="1" applyBorder="1" applyAlignment="1">
      <alignment horizontal="center"/>
    </xf>
    <xf numFmtId="176" fontId="29" fillId="0" borderId="0" xfId="0" applyFont="1" applyAlignment="1">
      <alignment horizontal="center"/>
    </xf>
    <xf numFmtId="176" fontId="31" fillId="0" borderId="0" xfId="0" applyFont="1" applyAlignment="1">
      <alignment horizontal="center"/>
    </xf>
    <xf numFmtId="176" fontId="31" fillId="0" borderId="2" xfId="0" applyFont="1" applyBorder="1" applyAlignment="1">
      <alignment horizontal="center"/>
    </xf>
    <xf numFmtId="176" fontId="27" fillId="0" borderId="2" xfId="0" applyFont="1" applyBorder="1"/>
    <xf numFmtId="2" fontId="42" fillId="0" borderId="0" xfId="9" applyNumberFormat="1"/>
    <xf numFmtId="10" fontId="42" fillId="0" borderId="0" xfId="9"/>
    <xf numFmtId="2" fontId="42" fillId="0" borderId="2" xfId="9" applyNumberFormat="1" applyBorder="1"/>
    <xf numFmtId="2" fontId="40" fillId="0" borderId="1" xfId="9" applyNumberFormat="1" applyFont="1" applyBorder="1" applyAlignment="1">
      <alignment horizontal="center"/>
    </xf>
    <xf numFmtId="1" fontId="42" fillId="0" borderId="0" xfId="9" applyNumberFormat="1"/>
    <xf numFmtId="176" fontId="46" fillId="0" borderId="0" xfId="12" applyFont="1"/>
    <xf numFmtId="176" fontId="31" fillId="0" borderId="0" xfId="12" applyFont="1"/>
    <xf numFmtId="176" fontId="46" fillId="0" borderId="2" xfId="12" applyFont="1" applyBorder="1"/>
    <xf numFmtId="176" fontId="48" fillId="0" borderId="2" xfId="12" applyFont="1" applyBorder="1"/>
    <xf numFmtId="176" fontId="48" fillId="0" borderId="0" xfId="12" applyFont="1"/>
    <xf numFmtId="176" fontId="37" fillId="0" borderId="0" xfId="12"/>
    <xf numFmtId="176" fontId="0" fillId="0" borderId="2" xfId="0" applyBorder="1"/>
    <xf numFmtId="176" fontId="49" fillId="0" borderId="2" xfId="0" applyFont="1" applyBorder="1"/>
    <xf numFmtId="171" fontId="31" fillId="0" borderId="0" xfId="0" applyNumberFormat="1" applyFont="1" applyAlignment="1">
      <alignment horizontal="center"/>
    </xf>
    <xf numFmtId="171" fontId="31" fillId="0" borderId="2" xfId="0" applyNumberFormat="1" applyFont="1" applyBorder="1" applyAlignment="1">
      <alignment horizontal="center"/>
    </xf>
    <xf numFmtId="171" fontId="29" fillId="0" borderId="2" xfId="0" applyNumberFormat="1" applyFont="1" applyBorder="1" applyAlignment="1">
      <alignment horizontal="center"/>
    </xf>
    <xf numFmtId="171" fontId="29" fillId="0" borderId="0" xfId="0" applyNumberFormat="1" applyFont="1" applyAlignment="1">
      <alignment horizontal="center"/>
    </xf>
    <xf numFmtId="1" fontId="45" fillId="0" borderId="4" xfId="0" quotePrefix="1" applyNumberFormat="1" applyFont="1" applyBorder="1"/>
    <xf numFmtId="171" fontId="31" fillId="0" borderId="1" xfId="0" applyNumberFormat="1" applyFont="1" applyBorder="1"/>
    <xf numFmtId="175" fontId="31" fillId="0" borderId="0" xfId="0" applyNumberFormat="1" applyFont="1"/>
    <xf numFmtId="171" fontId="31" fillId="0" borderId="0" xfId="0" applyNumberFormat="1" applyFont="1"/>
    <xf numFmtId="2" fontId="40" fillId="0" borderId="0" xfId="9" applyNumberFormat="1" applyFont="1"/>
    <xf numFmtId="2" fontId="40" fillId="0" borderId="0" xfId="9" applyNumberFormat="1" applyFont="1" applyAlignment="1">
      <alignment horizontal="center"/>
    </xf>
    <xf numFmtId="2" fontId="43" fillId="0" borderId="29" xfId="9" applyNumberFormat="1" applyFont="1" applyBorder="1"/>
    <xf numFmtId="2" fontId="43" fillId="0" borderId="30" xfId="9" applyNumberFormat="1" applyFont="1" applyBorder="1"/>
    <xf numFmtId="2" fontId="43" fillId="0" borderId="31" xfId="9" applyNumberFormat="1" applyFont="1" applyBorder="1"/>
    <xf numFmtId="2" fontId="40" fillId="0" borderId="28" xfId="9" applyNumberFormat="1" applyFont="1" applyBorder="1" applyAlignment="1">
      <alignment horizontal="center"/>
    </xf>
    <xf numFmtId="2" fontId="40" fillId="0" borderId="28" xfId="9" applyNumberFormat="1" applyFont="1" applyBorder="1"/>
    <xf numFmtId="2" fontId="43" fillId="0" borderId="16" xfId="9" applyNumberFormat="1" applyFont="1" applyBorder="1"/>
    <xf numFmtId="2" fontId="43" fillId="0" borderId="32" xfId="9" applyNumberFormat="1" applyFont="1" applyBorder="1"/>
    <xf numFmtId="176" fontId="38" fillId="2" borderId="0" xfId="0" applyFont="1" applyFill="1" applyProtection="1">
      <protection locked="0"/>
    </xf>
    <xf numFmtId="176" fontId="32" fillId="2" borderId="0" xfId="0" applyFont="1" applyFill="1" applyProtection="1">
      <protection locked="0"/>
    </xf>
    <xf numFmtId="176" fontId="0" fillId="2" borderId="0" xfId="0" applyFill="1"/>
    <xf numFmtId="176" fontId="28" fillId="2" borderId="0" xfId="0" applyFont="1" applyFill="1"/>
    <xf numFmtId="176" fontId="29" fillId="2" borderId="0" xfId="0" applyFont="1" applyFill="1"/>
    <xf numFmtId="176" fontId="29" fillId="2" borderId="3" xfId="0" applyFont="1" applyFill="1" applyBorder="1"/>
    <xf numFmtId="176" fontId="29" fillId="2" borderId="1" xfId="0" applyFont="1" applyFill="1" applyBorder="1"/>
    <xf numFmtId="176" fontId="29" fillId="2" borderId="2" xfId="0" applyFont="1" applyFill="1" applyBorder="1" applyAlignment="1">
      <alignment horizontal="center"/>
    </xf>
    <xf numFmtId="176" fontId="29" fillId="2" borderId="0" xfId="0" applyFont="1" applyFill="1" applyAlignment="1">
      <alignment horizontal="center"/>
    </xf>
    <xf numFmtId="176" fontId="29" fillId="2" borderId="2" xfId="0" applyFont="1" applyFill="1" applyBorder="1"/>
    <xf numFmtId="176" fontId="29" fillId="2" borderId="21" xfId="0" applyFont="1" applyFill="1" applyBorder="1"/>
    <xf numFmtId="176" fontId="31" fillId="2" borderId="3" xfId="0" applyFont="1" applyFill="1" applyBorder="1"/>
    <xf numFmtId="176" fontId="31" fillId="2" borderId="1" xfId="0" applyFont="1" applyFill="1" applyBorder="1"/>
    <xf numFmtId="176" fontId="31" fillId="2" borderId="2" xfId="0" applyFont="1" applyFill="1" applyBorder="1"/>
    <xf numFmtId="176" fontId="31" fillId="2" borderId="0" xfId="0" applyFont="1" applyFill="1"/>
    <xf numFmtId="176" fontId="31" fillId="2" borderId="2" xfId="0" applyFont="1" applyFill="1" applyBorder="1" applyAlignment="1">
      <alignment horizontal="center"/>
    </xf>
    <xf numFmtId="176" fontId="31" fillId="2" borderId="0" xfId="0" applyFont="1" applyFill="1" applyAlignment="1">
      <alignment horizontal="center"/>
    </xf>
    <xf numFmtId="176" fontId="32" fillId="2" borderId="0" xfId="0" applyFont="1" applyFill="1"/>
    <xf numFmtId="170" fontId="31" fillId="2" borderId="2" xfId="0" applyNumberFormat="1" applyFont="1" applyFill="1" applyBorder="1" applyAlignment="1">
      <alignment horizontal="center"/>
    </xf>
    <xf numFmtId="170" fontId="31" fillId="2" borderId="4" xfId="0" applyNumberFormat="1" applyFont="1" applyFill="1" applyBorder="1" applyAlignment="1">
      <alignment horizontal="center"/>
    </xf>
    <xf numFmtId="170" fontId="31" fillId="2" borderId="0" xfId="0" applyNumberFormat="1" applyFont="1" applyFill="1" applyAlignment="1">
      <alignment horizontal="center"/>
    </xf>
    <xf numFmtId="176" fontId="26" fillId="2" borderId="0" xfId="0" applyFont="1" applyFill="1"/>
    <xf numFmtId="176" fontId="27" fillId="2" borderId="0" xfId="0" applyFont="1" applyFill="1"/>
    <xf numFmtId="167" fontId="27" fillId="2" borderId="0" xfId="1" applyFont="1" applyFill="1" applyAlignment="1"/>
    <xf numFmtId="176" fontId="29" fillId="2" borderId="5" xfId="0" applyFont="1" applyFill="1" applyBorder="1"/>
    <xf numFmtId="176" fontId="33" fillId="2" borderId="2" xfId="0" applyFont="1" applyFill="1" applyBorder="1" applyAlignment="1">
      <alignment horizontal="center"/>
    </xf>
    <xf numFmtId="176" fontId="29" fillId="2" borderId="4" xfId="0" applyFont="1" applyFill="1" applyBorder="1"/>
    <xf numFmtId="176" fontId="33" fillId="2" borderId="4" xfId="0" applyFont="1" applyFill="1" applyBorder="1" applyAlignment="1">
      <alignment horizontal="center"/>
    </xf>
    <xf numFmtId="172" fontId="0" fillId="2" borderId="0" xfId="0" applyNumberFormat="1" applyFill="1" applyProtection="1">
      <protection hidden="1"/>
    </xf>
    <xf numFmtId="176" fontId="31" fillId="2" borderId="5" xfId="0" applyFont="1" applyFill="1" applyBorder="1"/>
    <xf numFmtId="170" fontId="34" fillId="2" borderId="2" xfId="0" applyNumberFormat="1" applyFont="1" applyFill="1" applyBorder="1" applyAlignment="1">
      <alignment horizontal="center"/>
    </xf>
    <xf numFmtId="170" fontId="34" fillId="2" borderId="4" xfId="0" applyNumberFormat="1" applyFont="1" applyFill="1" applyBorder="1" applyAlignment="1">
      <alignment horizontal="center"/>
    </xf>
    <xf numFmtId="176" fontId="35" fillId="2" borderId="0" xfId="0" applyFont="1" applyFill="1"/>
    <xf numFmtId="170" fontId="33" fillId="2" borderId="2" xfId="0" applyNumberFormat="1" applyFont="1" applyFill="1" applyBorder="1" applyAlignment="1">
      <alignment horizontal="center"/>
    </xf>
    <xf numFmtId="170" fontId="33" fillId="2" borderId="4" xfId="0" applyNumberFormat="1" applyFont="1" applyFill="1" applyBorder="1" applyAlignment="1">
      <alignment horizontal="center"/>
    </xf>
    <xf numFmtId="176" fontId="34" fillId="2" borderId="2" xfId="0" applyFont="1" applyFill="1" applyBorder="1" applyAlignment="1">
      <alignment horizontal="center"/>
    </xf>
    <xf numFmtId="176" fontId="38" fillId="2" borderId="4" xfId="0" applyFont="1" applyFill="1" applyBorder="1" applyProtection="1">
      <protection locked="0"/>
    </xf>
    <xf numFmtId="170" fontId="29" fillId="2" borderId="2" xfId="0" applyNumberFormat="1" applyFont="1" applyFill="1" applyBorder="1" applyAlignment="1">
      <alignment horizontal="center"/>
    </xf>
    <xf numFmtId="170" fontId="29" fillId="2" borderId="4" xfId="0" applyNumberFormat="1" applyFont="1" applyFill="1" applyBorder="1" applyAlignment="1">
      <alignment horizontal="center"/>
    </xf>
    <xf numFmtId="170" fontId="38" fillId="2" borderId="0" xfId="0" applyNumberFormat="1" applyFont="1" applyFill="1" applyProtection="1">
      <protection locked="0"/>
    </xf>
    <xf numFmtId="176" fontId="38" fillId="2" borderId="29" xfId="0" applyFont="1" applyFill="1" applyBorder="1" applyProtection="1">
      <protection locked="0"/>
    </xf>
    <xf numFmtId="170" fontId="29" fillId="2" borderId="0" xfId="0" applyNumberFormat="1" applyFont="1" applyFill="1" applyAlignment="1">
      <alignment horizontal="center"/>
    </xf>
    <xf numFmtId="170" fontId="34" fillId="2" borderId="0" xfId="0" applyNumberFormat="1" applyFont="1" applyFill="1" applyAlignment="1">
      <alignment horizontal="center"/>
    </xf>
    <xf numFmtId="176" fontId="29" fillId="2" borderId="29" xfId="0" applyFont="1" applyFill="1" applyBorder="1"/>
    <xf numFmtId="176" fontId="29" fillId="2" borderId="25" xfId="0" applyFont="1" applyFill="1" applyBorder="1"/>
    <xf numFmtId="170" fontId="29" fillId="2" borderId="17" xfId="0" applyNumberFormat="1" applyFont="1" applyFill="1" applyBorder="1" applyAlignment="1">
      <alignment horizontal="center"/>
    </xf>
    <xf numFmtId="170" fontId="34" fillId="2" borderId="17" xfId="0" applyNumberFormat="1" applyFont="1" applyFill="1" applyBorder="1" applyAlignment="1">
      <alignment horizontal="center"/>
    </xf>
    <xf numFmtId="170" fontId="32" fillId="2" borderId="0" xfId="0" applyNumberFormat="1" applyFont="1" applyFill="1" applyProtection="1">
      <protection locked="0"/>
    </xf>
    <xf numFmtId="176" fontId="29" fillId="2" borderId="13" xfId="0" applyFont="1" applyFill="1" applyBorder="1"/>
    <xf numFmtId="170" fontId="29" fillId="2" borderId="13" xfId="0" applyNumberFormat="1" applyFont="1" applyFill="1" applyBorder="1" applyAlignment="1">
      <alignment horizontal="center"/>
    </xf>
    <xf numFmtId="170" fontId="29" fillId="2" borderId="18" xfId="0" applyNumberFormat="1" applyFont="1" applyFill="1" applyBorder="1" applyAlignment="1">
      <alignment horizontal="center"/>
    </xf>
    <xf numFmtId="170" fontId="29" fillId="2" borderId="29" xfId="0" applyNumberFormat="1" applyFont="1" applyFill="1" applyBorder="1" applyAlignment="1">
      <alignment horizontal="center"/>
    </xf>
    <xf numFmtId="170" fontId="50" fillId="2" borderId="25" xfId="0" applyNumberFormat="1" applyFont="1" applyFill="1" applyBorder="1" applyAlignment="1">
      <alignment horizontal="center"/>
    </xf>
    <xf numFmtId="170" fontId="50" fillId="2" borderId="13" xfId="0" applyNumberFormat="1" applyFont="1" applyFill="1" applyBorder="1" applyAlignment="1">
      <alignment horizontal="center"/>
    </xf>
    <xf numFmtId="170" fontId="34" fillId="2" borderId="13" xfId="0" applyNumberFormat="1" applyFont="1" applyFill="1" applyBorder="1" applyAlignment="1">
      <alignment horizontal="center"/>
    </xf>
    <xf numFmtId="170" fontId="29" fillId="2" borderId="25" xfId="0" applyNumberFormat="1" applyFont="1" applyFill="1" applyBorder="1" applyAlignment="1">
      <alignment horizontal="center"/>
    </xf>
    <xf numFmtId="176" fontId="27" fillId="2" borderId="25" xfId="0" applyFont="1" applyFill="1" applyBorder="1"/>
    <xf numFmtId="176" fontId="27" fillId="2" borderId="13" xfId="0" applyFont="1" applyFill="1" applyBorder="1"/>
    <xf numFmtId="176" fontId="29" fillId="2" borderId="15" xfId="0" applyFont="1" applyFill="1" applyBorder="1"/>
    <xf numFmtId="170" fontId="29" fillId="2" borderId="34" xfId="0" applyNumberFormat="1" applyFont="1" applyFill="1" applyBorder="1" applyAlignment="1">
      <alignment horizontal="center"/>
    </xf>
    <xf numFmtId="170" fontId="29" fillId="2" borderId="19" xfId="0" applyNumberFormat="1" applyFont="1" applyFill="1" applyBorder="1" applyAlignment="1">
      <alignment horizontal="center"/>
    </xf>
    <xf numFmtId="170" fontId="29" fillId="2" borderId="22" xfId="0" applyNumberFormat="1" applyFont="1" applyFill="1" applyBorder="1" applyAlignment="1">
      <alignment horizontal="center"/>
    </xf>
    <xf numFmtId="170" fontId="29" fillId="2" borderId="20" xfId="0" applyNumberFormat="1" applyFont="1" applyFill="1" applyBorder="1" applyAlignment="1">
      <alignment horizontal="center"/>
    </xf>
    <xf numFmtId="176" fontId="34" fillId="2" borderId="0" xfId="0" applyFont="1" applyFill="1" applyAlignment="1">
      <alignment horizontal="center"/>
    </xf>
    <xf numFmtId="167" fontId="38" fillId="2" borderId="0" xfId="1" applyFont="1" applyFill="1" applyAlignment="1" applyProtection="1">
      <protection locked="0"/>
    </xf>
    <xf numFmtId="4" fontId="38" fillId="2" borderId="0" xfId="0" applyNumberFormat="1" applyFont="1" applyFill="1" applyProtection="1">
      <protection locked="0"/>
    </xf>
    <xf numFmtId="170" fontId="31" fillId="2" borderId="0" xfId="0" applyNumberFormat="1" applyFont="1" applyFill="1"/>
    <xf numFmtId="176" fontId="37" fillId="2" borderId="0" xfId="0" applyFont="1" applyFill="1"/>
    <xf numFmtId="176" fontId="51" fillId="2" borderId="0" xfId="0" applyFont="1" applyFill="1" applyAlignment="1">
      <alignment horizontal="left"/>
    </xf>
    <xf numFmtId="170" fontId="36" fillId="2" borderId="0" xfId="0" applyNumberFormat="1" applyFont="1" applyFill="1"/>
    <xf numFmtId="2" fontId="36" fillId="2" borderId="0" xfId="0" applyNumberFormat="1" applyFont="1" applyFill="1"/>
    <xf numFmtId="176" fontId="36" fillId="2" borderId="0" xfId="0" applyFont="1" applyFill="1"/>
    <xf numFmtId="171" fontId="0" fillId="2" borderId="0" xfId="0" applyNumberFormat="1" applyFill="1"/>
    <xf numFmtId="176" fontId="0" fillId="2" borderId="2" xfId="0" applyFill="1" applyBorder="1"/>
    <xf numFmtId="176" fontId="29" fillId="2" borderId="4" xfId="0" applyFont="1" applyFill="1" applyBorder="1" applyAlignment="1">
      <alignment horizontal="center"/>
    </xf>
    <xf numFmtId="176" fontId="32" fillId="2" borderId="2" xfId="0" applyFont="1" applyFill="1" applyBorder="1"/>
    <xf numFmtId="176" fontId="29" fillId="2" borderId="9" xfId="0" applyFont="1" applyFill="1" applyBorder="1"/>
    <xf numFmtId="176" fontId="32" fillId="2" borderId="4" xfId="0" applyFont="1" applyFill="1" applyBorder="1" applyProtection="1">
      <protection locked="0"/>
    </xf>
    <xf numFmtId="176" fontId="29" fillId="2" borderId="2" xfId="0" applyFont="1" applyFill="1" applyBorder="1" applyAlignment="1">
      <alignment horizontal="left"/>
    </xf>
    <xf numFmtId="176" fontId="32" fillId="2" borderId="9" xfId="0" applyFont="1" applyFill="1" applyBorder="1" applyProtection="1">
      <protection locked="0"/>
    </xf>
    <xf numFmtId="170" fontId="31" fillId="2" borderId="1" xfId="0" applyNumberFormat="1" applyFont="1" applyFill="1" applyBorder="1" applyAlignment="1">
      <alignment horizontal="center"/>
    </xf>
    <xf numFmtId="176" fontId="31" fillId="2" borderId="1" xfId="0" applyFont="1" applyFill="1" applyBorder="1" applyAlignment="1">
      <alignment horizontal="center"/>
    </xf>
    <xf numFmtId="176" fontId="27" fillId="2" borderId="0" xfId="0" applyFont="1" applyFill="1" applyAlignment="1">
      <alignment horizontal="left"/>
    </xf>
    <xf numFmtId="170" fontId="31" fillId="2" borderId="0" xfId="0" applyNumberFormat="1" applyFont="1" applyFill="1" applyAlignment="1">
      <alignment horizontal="centerContinuous"/>
    </xf>
    <xf numFmtId="167" fontId="31" fillId="2" borderId="0" xfId="1" applyFont="1" applyFill="1" applyAlignment="1"/>
    <xf numFmtId="176" fontId="27" fillId="2" borderId="0" xfId="0" applyFont="1" applyFill="1" applyAlignment="1">
      <alignment horizontal="centerContinuous"/>
    </xf>
    <xf numFmtId="174" fontId="31" fillId="2" borderId="0" xfId="0" applyNumberFormat="1" applyFont="1" applyFill="1"/>
    <xf numFmtId="170" fontId="32" fillId="2" borderId="0" xfId="0" applyNumberFormat="1" applyFont="1" applyFill="1"/>
    <xf numFmtId="2" fontId="32" fillId="2" borderId="0" xfId="0" applyNumberFormat="1" applyFont="1" applyFill="1"/>
    <xf numFmtId="176" fontId="30" fillId="2" borderId="0" xfId="0" applyFont="1" applyFill="1"/>
    <xf numFmtId="176" fontId="30" fillId="2" borderId="2" xfId="0" applyFont="1" applyFill="1" applyBorder="1"/>
    <xf numFmtId="176" fontId="29" fillId="2" borderId="3" xfId="0" applyFont="1" applyFill="1" applyBorder="1" applyAlignment="1">
      <alignment horizontal="center"/>
    </xf>
    <xf numFmtId="176" fontId="29" fillId="2" borderId="1" xfId="0" applyFont="1" applyFill="1" applyBorder="1" applyAlignment="1">
      <alignment horizontal="center"/>
    </xf>
    <xf numFmtId="3" fontId="31" fillId="2" borderId="0" xfId="0" applyNumberFormat="1" applyFont="1" applyFill="1" applyAlignment="1">
      <alignment horizontal="center"/>
    </xf>
    <xf numFmtId="3" fontId="50" fillId="2" borderId="0" xfId="0" applyNumberFormat="1" applyFont="1" applyFill="1" applyProtection="1">
      <protection locked="0"/>
    </xf>
    <xf numFmtId="176" fontId="32" fillId="3" borderId="0" xfId="0" applyFont="1" applyFill="1" applyProtection="1">
      <protection locked="0"/>
    </xf>
    <xf numFmtId="176" fontId="31" fillId="3" borderId="0" xfId="13" applyFont="1" applyFill="1" applyAlignment="1">
      <alignment horizontal="center"/>
    </xf>
    <xf numFmtId="176" fontId="31" fillId="3" borderId="0" xfId="13" applyFont="1" applyFill="1"/>
    <xf numFmtId="176" fontId="31" fillId="3" borderId="0" xfId="13" applyFont="1" applyFill="1" applyAlignment="1">
      <alignment horizontal="left"/>
    </xf>
    <xf numFmtId="176" fontId="31" fillId="3" borderId="22" xfId="13" applyFont="1" applyFill="1" applyBorder="1" applyAlignment="1">
      <alignment horizontal="left"/>
    </xf>
    <xf numFmtId="176" fontId="31" fillId="3" borderId="22" xfId="13" applyFont="1" applyFill="1" applyBorder="1" applyAlignment="1">
      <alignment horizontal="center"/>
    </xf>
    <xf numFmtId="176" fontId="31" fillId="3" borderId="22" xfId="13" applyFont="1" applyFill="1" applyBorder="1"/>
    <xf numFmtId="176" fontId="32" fillId="3" borderId="29" xfId="0" applyFont="1" applyFill="1" applyBorder="1" applyProtection="1">
      <protection locked="0"/>
    </xf>
    <xf numFmtId="170" fontId="27" fillId="3" borderId="13" xfId="6" applyNumberFormat="1" applyFont="1" applyFill="1" applyBorder="1" applyAlignment="1">
      <alignment horizontal="center"/>
    </xf>
    <xf numFmtId="9" fontId="27" fillId="3" borderId="13" xfId="14" applyFont="1" applyFill="1" applyBorder="1" applyAlignment="1">
      <alignment horizontal="center"/>
    </xf>
    <xf numFmtId="170" fontId="46" fillId="3" borderId="13" xfId="11" applyNumberFormat="1" applyFont="1" applyFill="1" applyBorder="1" applyAlignment="1">
      <alignment horizontal="center"/>
    </xf>
    <xf numFmtId="170" fontId="59" fillId="3" borderId="13" xfId="11" applyNumberFormat="1" applyFont="1" applyFill="1" applyBorder="1" applyAlignment="1">
      <alignment horizontal="center"/>
    </xf>
    <xf numFmtId="10" fontId="42" fillId="3" borderId="0" xfId="9" applyFill="1"/>
    <xf numFmtId="1" fontId="42" fillId="3" borderId="0" xfId="9" applyNumberFormat="1" applyFill="1"/>
    <xf numFmtId="176" fontId="41" fillId="3" borderId="22" xfId="13" applyFont="1" applyFill="1" applyBorder="1" applyAlignment="1">
      <alignment horizontal="center"/>
    </xf>
    <xf numFmtId="176" fontId="46" fillId="0" borderId="0" xfId="0" applyFont="1"/>
    <xf numFmtId="176" fontId="29" fillId="3" borderId="2" xfId="0" applyFont="1" applyFill="1" applyBorder="1"/>
    <xf numFmtId="176" fontId="31" fillId="3" borderId="0" xfId="0" applyFont="1" applyFill="1"/>
    <xf numFmtId="176" fontId="29" fillId="3" borderId="2" xfId="0" applyFont="1" applyFill="1" applyBorder="1" applyAlignment="1">
      <alignment horizontal="center"/>
    </xf>
    <xf numFmtId="176" fontId="27" fillId="3" borderId="0" xfId="0" applyFont="1" applyFill="1"/>
    <xf numFmtId="10" fontId="42" fillId="3" borderId="0" xfId="9" applyFill="1" applyAlignment="1">
      <alignment horizontal="center"/>
    </xf>
    <xf numFmtId="2" fontId="40" fillId="4" borderId="0" xfId="9" applyNumberFormat="1" applyFont="1" applyFill="1"/>
    <xf numFmtId="2" fontId="42" fillId="4" borderId="0" xfId="9" applyNumberFormat="1" applyFill="1"/>
    <xf numFmtId="10" fontId="42" fillId="4" borderId="0" xfId="9" applyFill="1"/>
    <xf numFmtId="1" fontId="40" fillId="4" borderId="0" xfId="9" applyNumberFormat="1" applyFont="1" applyFill="1" applyAlignment="1">
      <alignment horizontal="centerContinuous"/>
    </xf>
    <xf numFmtId="2" fontId="40" fillId="4" borderId="0" xfId="9" applyNumberFormat="1" applyFont="1" applyFill="1" applyAlignment="1">
      <alignment horizontal="centerContinuous"/>
    </xf>
    <xf numFmtId="2" fontId="43" fillId="4" borderId="0" xfId="9" applyNumberFormat="1" applyFont="1" applyFill="1"/>
    <xf numFmtId="1" fontId="44" fillId="4" borderId="0" xfId="9" applyNumberFormat="1" applyFont="1" applyFill="1"/>
    <xf numFmtId="2" fontId="44" fillId="4" borderId="0" xfId="9" applyNumberFormat="1" applyFont="1" applyFill="1"/>
    <xf numFmtId="1" fontId="40" fillId="4" borderId="3" xfId="9" applyNumberFormat="1" applyFont="1" applyFill="1" applyBorder="1"/>
    <xf numFmtId="2" fontId="40" fillId="4" borderId="3" xfId="9" applyNumberFormat="1" applyFont="1" applyFill="1" applyBorder="1"/>
    <xf numFmtId="2" fontId="40" fillId="4" borderId="27" xfId="9" applyNumberFormat="1" applyFont="1" applyFill="1" applyBorder="1"/>
    <xf numFmtId="2" fontId="40" fillId="4" borderId="1" xfId="9" applyNumberFormat="1" applyFont="1" applyFill="1" applyBorder="1"/>
    <xf numFmtId="1" fontId="40" fillId="4" borderId="2" xfId="9" applyNumberFormat="1" applyFont="1" applyFill="1" applyBorder="1"/>
    <xf numFmtId="2" fontId="40" fillId="4" borderId="2" xfId="9" applyNumberFormat="1" applyFont="1" applyFill="1" applyBorder="1"/>
    <xf numFmtId="2" fontId="40" fillId="4" borderId="18" xfId="9" applyNumberFormat="1" applyFont="1" applyFill="1" applyBorder="1"/>
    <xf numFmtId="2" fontId="40" fillId="4" borderId="0" xfId="9" applyNumberFormat="1" applyFont="1" applyFill="1" applyAlignment="1">
      <alignment horizontal="center"/>
    </xf>
    <xf numFmtId="1" fontId="40" fillId="4" borderId="5" xfId="9" applyNumberFormat="1" applyFont="1" applyFill="1" applyBorder="1"/>
    <xf numFmtId="2" fontId="43" fillId="4" borderId="3" xfId="9" applyNumberFormat="1" applyFont="1" applyFill="1" applyBorder="1" applyAlignment="1">
      <alignment horizontal="center"/>
    </xf>
    <xf numFmtId="2" fontId="43" fillId="4" borderId="5" xfId="9" applyNumberFormat="1" applyFont="1" applyFill="1" applyBorder="1" applyAlignment="1">
      <alignment horizontal="center"/>
    </xf>
    <xf numFmtId="2" fontId="43" fillId="4" borderId="1" xfId="9" applyNumberFormat="1" applyFont="1" applyFill="1" applyBorder="1" applyAlignment="1">
      <alignment horizontal="center"/>
    </xf>
    <xf numFmtId="2" fontId="43" fillId="4" borderId="27" xfId="9" applyNumberFormat="1" applyFont="1" applyFill="1" applyBorder="1" applyAlignment="1">
      <alignment horizontal="center"/>
    </xf>
    <xf numFmtId="1" fontId="40" fillId="4" borderId="4" xfId="9" applyNumberFormat="1" applyFont="1" applyFill="1" applyBorder="1"/>
    <xf numFmtId="2" fontId="40" fillId="4" borderId="4" xfId="9" applyNumberFormat="1" applyFont="1" applyFill="1" applyBorder="1" applyAlignment="1">
      <alignment horizontal="center"/>
    </xf>
    <xf numFmtId="1" fontId="40" fillId="4" borderId="4" xfId="9" applyNumberFormat="1" applyFont="1" applyFill="1" applyBorder="1" applyAlignment="1">
      <alignment horizontal="center"/>
    </xf>
    <xf numFmtId="2" fontId="40" fillId="4" borderId="2" xfId="9" applyNumberFormat="1" applyFont="1" applyFill="1" applyBorder="1" applyAlignment="1">
      <alignment horizontal="center"/>
    </xf>
    <xf numFmtId="2" fontId="40" fillId="4" borderId="5" xfId="9" applyNumberFormat="1" applyFont="1" applyFill="1" applyBorder="1"/>
    <xf numFmtId="1" fontId="40" fillId="4" borderId="9" xfId="9" applyNumberFormat="1" applyFont="1" applyFill="1" applyBorder="1"/>
    <xf numFmtId="2" fontId="40" fillId="4" borderId="21" xfId="9" applyNumberFormat="1" applyFont="1" applyFill="1" applyBorder="1"/>
    <xf numFmtId="2" fontId="40" fillId="4" borderId="9" xfId="9" applyNumberFormat="1" applyFont="1" applyFill="1" applyBorder="1" applyAlignment="1">
      <alignment horizontal="center"/>
    </xf>
    <xf numFmtId="2" fontId="40" fillId="4" borderId="16" xfId="9" applyNumberFormat="1" applyFont="1" applyFill="1" applyBorder="1" applyAlignment="1">
      <alignment horizontal="center"/>
    </xf>
    <xf numFmtId="2" fontId="40" fillId="4" borderId="21" xfId="9" applyNumberFormat="1" applyFont="1" applyFill="1" applyBorder="1" applyAlignment="1">
      <alignment horizontal="center"/>
    </xf>
    <xf numFmtId="1" fontId="40" fillId="4" borderId="5" xfId="9" applyNumberFormat="1" applyFont="1" applyFill="1" applyBorder="1" applyAlignment="1">
      <alignment horizontal="center"/>
    </xf>
    <xf numFmtId="1" fontId="43" fillId="4" borderId="4" xfId="9" applyNumberFormat="1" applyFont="1" applyFill="1" applyBorder="1"/>
    <xf numFmtId="1" fontId="40" fillId="4" borderId="4" xfId="9" applyNumberFormat="1" applyFont="1" applyFill="1" applyBorder="1" applyAlignment="1">
      <alignment horizontal="left"/>
    </xf>
    <xf numFmtId="2" fontId="42" fillId="4" borderId="4" xfId="9" applyNumberFormat="1" applyFill="1" applyBorder="1"/>
    <xf numFmtId="2" fontId="40" fillId="4" borderId="4" xfId="9" quotePrefix="1" applyNumberFormat="1" applyFont="1" applyFill="1" applyBorder="1" applyAlignment="1">
      <alignment horizontal="center"/>
    </xf>
    <xf numFmtId="2" fontId="40" fillId="4" borderId="18" xfId="9" quotePrefix="1" applyNumberFormat="1" applyFont="1" applyFill="1" applyBorder="1" applyAlignment="1">
      <alignment horizontal="center"/>
    </xf>
    <xf numFmtId="2" fontId="40" fillId="4" borderId="0" xfId="9" quotePrefix="1" applyNumberFormat="1" applyFont="1" applyFill="1" applyAlignment="1">
      <alignment horizontal="center"/>
    </xf>
    <xf numFmtId="2" fontId="40" fillId="4" borderId="2" xfId="9" quotePrefix="1" applyNumberFormat="1" applyFont="1" applyFill="1" applyBorder="1" applyAlignment="1">
      <alignment horizontal="center"/>
    </xf>
    <xf numFmtId="1" fontId="40" fillId="4" borderId="2" xfId="9" quotePrefix="1" applyNumberFormat="1" applyFont="1" applyFill="1" applyBorder="1"/>
    <xf numFmtId="2" fontId="40" fillId="4" borderId="18" xfId="9" applyNumberFormat="1" applyFont="1" applyFill="1" applyBorder="1" applyAlignment="1">
      <alignment horizontal="center"/>
    </xf>
    <xf numFmtId="1" fontId="40" fillId="4" borderId="2" xfId="9" applyNumberFormat="1" applyFont="1" applyFill="1" applyBorder="1" applyAlignment="1">
      <alignment horizontal="center"/>
    </xf>
    <xf numFmtId="1" fontId="40" fillId="4" borderId="9" xfId="9" applyNumberFormat="1" applyFont="1" applyFill="1" applyBorder="1" applyAlignment="1">
      <alignment horizontal="centerContinuous"/>
    </xf>
    <xf numFmtId="1" fontId="43" fillId="4" borderId="1" xfId="9" applyNumberFormat="1" applyFont="1" applyFill="1" applyBorder="1"/>
    <xf numFmtId="2" fontId="43" fillId="4" borderId="1" xfId="9" applyNumberFormat="1" applyFont="1" applyFill="1" applyBorder="1"/>
    <xf numFmtId="1" fontId="43" fillId="4" borderId="0" xfId="9" applyNumberFormat="1" applyFont="1" applyFill="1"/>
    <xf numFmtId="1" fontId="42" fillId="4" borderId="0" xfId="9" applyNumberFormat="1" applyFill="1"/>
    <xf numFmtId="10" fontId="44" fillId="4" borderId="0" xfId="9" applyFont="1" applyFill="1"/>
    <xf numFmtId="10" fontId="42" fillId="4" borderId="1" xfId="9" applyFill="1" applyBorder="1"/>
    <xf numFmtId="176" fontId="47" fillId="4" borderId="0" xfId="12" applyFont="1" applyFill="1" applyAlignment="1">
      <alignment horizontal="centerContinuous"/>
    </xf>
    <xf numFmtId="176" fontId="46" fillId="4" borderId="0" xfId="12" applyFont="1" applyFill="1" applyAlignment="1">
      <alignment horizontal="centerContinuous"/>
    </xf>
    <xf numFmtId="176" fontId="31" fillId="4" borderId="0" xfId="12" applyFont="1" applyFill="1"/>
    <xf numFmtId="176" fontId="38" fillId="4" borderId="0" xfId="0" applyFont="1" applyFill="1" applyProtection="1">
      <protection locked="0"/>
    </xf>
    <xf numFmtId="176" fontId="46" fillId="4" borderId="0" xfId="12" applyFont="1" applyFill="1"/>
    <xf numFmtId="176" fontId="46" fillId="4" borderId="3" xfId="12" applyFont="1" applyFill="1" applyBorder="1"/>
    <xf numFmtId="176" fontId="46" fillId="4" borderId="1" xfId="12" applyFont="1" applyFill="1" applyBorder="1"/>
    <xf numFmtId="176" fontId="31" fillId="4" borderId="2" xfId="12" applyFont="1" applyFill="1" applyBorder="1"/>
    <xf numFmtId="176" fontId="46" fillId="4" borderId="2" xfId="12" applyFont="1" applyFill="1" applyBorder="1"/>
    <xf numFmtId="176" fontId="47" fillId="4" borderId="2" xfId="12" applyFont="1" applyFill="1" applyBorder="1"/>
    <xf numFmtId="176" fontId="47" fillId="4" borderId="18" xfId="12" applyFont="1" applyFill="1" applyBorder="1"/>
    <xf numFmtId="176" fontId="47" fillId="4" borderId="2" xfId="12" applyFont="1" applyFill="1" applyBorder="1" applyAlignment="1">
      <alignment horizontal="center"/>
    </xf>
    <xf numFmtId="1" fontId="47" fillId="4" borderId="3" xfId="12" applyNumberFormat="1" applyFont="1" applyFill="1" applyBorder="1" applyAlignment="1">
      <alignment horizontal="center"/>
    </xf>
    <xf numFmtId="1" fontId="47" fillId="4" borderId="2" xfId="12" applyNumberFormat="1" applyFont="1" applyFill="1" applyBorder="1" applyAlignment="1">
      <alignment horizontal="center"/>
    </xf>
    <xf numFmtId="2" fontId="47" fillId="4" borderId="2" xfId="12" applyNumberFormat="1" applyFont="1" applyFill="1" applyBorder="1" applyAlignment="1">
      <alignment horizontal="center"/>
    </xf>
    <xf numFmtId="2" fontId="47" fillId="4" borderId="2" xfId="12" quotePrefix="1" applyNumberFormat="1" applyFont="1" applyFill="1" applyBorder="1" applyAlignment="1">
      <alignment horizontal="center"/>
    </xf>
    <xf numFmtId="2" fontId="47" fillId="4" borderId="13" xfId="12" quotePrefix="1" applyNumberFormat="1" applyFont="1" applyFill="1" applyBorder="1" applyAlignment="1">
      <alignment horizontal="center"/>
    </xf>
    <xf numFmtId="2" fontId="47" fillId="4" borderId="18" xfId="12" quotePrefix="1" applyNumberFormat="1" applyFont="1" applyFill="1" applyBorder="1" applyAlignment="1">
      <alignment horizontal="center"/>
    </xf>
    <xf numFmtId="176" fontId="47" fillId="4" borderId="2" xfId="12" quotePrefix="1" applyFont="1" applyFill="1" applyBorder="1" applyAlignment="1">
      <alignment horizontal="center"/>
    </xf>
    <xf numFmtId="176" fontId="47" fillId="4" borderId="2" xfId="12" quotePrefix="1" applyFont="1" applyFill="1" applyBorder="1"/>
    <xf numFmtId="176" fontId="47" fillId="4" borderId="2" xfId="12" applyFont="1" applyFill="1" applyBorder="1" applyAlignment="1">
      <alignment horizontal="left"/>
    </xf>
    <xf numFmtId="2" fontId="47" fillId="4" borderId="13" xfId="12" applyNumberFormat="1" applyFont="1" applyFill="1" applyBorder="1" applyAlignment="1">
      <alignment horizontal="center"/>
    </xf>
    <xf numFmtId="2" fontId="47" fillId="4" borderId="0" xfId="12" quotePrefix="1" applyNumberFormat="1" applyFont="1" applyFill="1" applyAlignment="1">
      <alignment horizontal="center"/>
    </xf>
    <xf numFmtId="176" fontId="31" fillId="4" borderId="9" xfId="12" applyFont="1" applyFill="1" applyBorder="1"/>
    <xf numFmtId="170" fontId="29" fillId="0" borderId="0" xfId="4" applyFont="1" applyAlignment="1"/>
    <xf numFmtId="176" fontId="31" fillId="0" borderId="0" xfId="0" applyFont="1" applyProtection="1">
      <protection locked="0"/>
    </xf>
    <xf numFmtId="176" fontId="31" fillId="0" borderId="0" xfId="3" applyFont="1"/>
    <xf numFmtId="176" fontId="31" fillId="0" borderId="0" xfId="3" applyFont="1" applyAlignment="1">
      <alignment horizontal="center"/>
    </xf>
    <xf numFmtId="1" fontId="31" fillId="0" borderId="0" xfId="3" applyNumberFormat="1" applyFont="1" applyAlignment="1">
      <alignment horizontal="center"/>
    </xf>
    <xf numFmtId="176" fontId="28" fillId="3" borderId="0" xfId="0" applyFont="1" applyFill="1"/>
    <xf numFmtId="176" fontId="29" fillId="3" borderId="0" xfId="0" applyFont="1" applyFill="1"/>
    <xf numFmtId="176" fontId="29" fillId="3" borderId="3" xfId="0" applyFont="1" applyFill="1" applyBorder="1"/>
    <xf numFmtId="176" fontId="29" fillId="3" borderId="21" xfId="0" applyFont="1" applyFill="1" applyBorder="1"/>
    <xf numFmtId="176" fontId="32" fillId="4" borderId="0" xfId="0" applyFont="1" applyFill="1" applyProtection="1">
      <protection locked="0"/>
    </xf>
    <xf numFmtId="170" fontId="29" fillId="4" borderId="0" xfId="8" applyFont="1" applyFill="1"/>
    <xf numFmtId="170" fontId="31" fillId="4" borderId="0" xfId="8" applyFill="1"/>
    <xf numFmtId="170" fontId="31" fillId="4" borderId="12" xfId="8" applyFill="1" applyBorder="1"/>
    <xf numFmtId="170" fontId="31" fillId="4" borderId="24" xfId="8" applyFill="1" applyBorder="1"/>
    <xf numFmtId="170" fontId="31" fillId="4" borderId="36" xfId="8" applyFill="1" applyBorder="1"/>
    <xf numFmtId="170" fontId="31" fillId="4" borderId="13" xfId="8" applyFill="1" applyBorder="1"/>
    <xf numFmtId="170" fontId="31" fillId="4" borderId="26" xfId="8" applyFill="1" applyBorder="1"/>
    <xf numFmtId="170" fontId="31" fillId="4" borderId="29" xfId="8" applyFill="1" applyBorder="1"/>
    <xf numFmtId="170" fontId="31" fillId="4" borderId="13" xfId="8" applyFill="1" applyBorder="1" applyAlignment="1">
      <alignment horizontal="center"/>
    </xf>
    <xf numFmtId="170" fontId="31" fillId="4" borderId="15" xfId="8" applyFill="1" applyBorder="1"/>
    <xf numFmtId="170" fontId="31" fillId="4" borderId="15" xfId="8" applyFill="1" applyBorder="1" applyAlignment="1">
      <alignment horizontal="center"/>
    </xf>
    <xf numFmtId="170" fontId="29" fillId="4" borderId="13" xfId="8" applyFont="1" applyFill="1" applyBorder="1" applyAlignment="1">
      <alignment horizontal="center"/>
    </xf>
    <xf numFmtId="1" fontId="31" fillId="4" borderId="13" xfId="8" applyNumberFormat="1" applyFill="1" applyBorder="1" applyAlignment="1">
      <alignment horizontal="center"/>
    </xf>
    <xf numFmtId="176" fontId="31" fillId="4" borderId="13" xfId="8" applyNumberFormat="1" applyFill="1" applyBorder="1" applyAlignment="1">
      <alignment horizontal="center"/>
    </xf>
    <xf numFmtId="1" fontId="29" fillId="4" borderId="13" xfId="8" applyNumberFormat="1" applyFont="1" applyFill="1" applyBorder="1" applyAlignment="1">
      <alignment horizontal="center"/>
    </xf>
    <xf numFmtId="1" fontId="41" fillId="4" borderId="13" xfId="8" applyNumberFormat="1" applyFont="1" applyFill="1" applyBorder="1" applyAlignment="1">
      <alignment horizontal="center"/>
    </xf>
    <xf numFmtId="176" fontId="31" fillId="4" borderId="13" xfId="14" applyNumberFormat="1" applyFont="1" applyFill="1" applyBorder="1" applyAlignment="1">
      <alignment horizontal="center"/>
    </xf>
    <xf numFmtId="170" fontId="31" fillId="4" borderId="0" xfId="8" applyFill="1" applyAlignment="1">
      <alignment horizontal="center"/>
    </xf>
    <xf numFmtId="174" fontId="31" fillId="4" borderId="13" xfId="8" applyNumberFormat="1" applyFill="1" applyBorder="1" applyAlignment="1">
      <alignment horizontal="center"/>
    </xf>
    <xf numFmtId="174" fontId="31" fillId="4" borderId="0" xfId="8" applyNumberFormat="1" applyFill="1" applyAlignment="1">
      <alignment horizontal="center"/>
    </xf>
    <xf numFmtId="170" fontId="31" fillId="4" borderId="23" xfId="8" applyFill="1" applyBorder="1"/>
    <xf numFmtId="1" fontId="31" fillId="4" borderId="23" xfId="8" applyNumberFormat="1" applyFill="1" applyBorder="1" applyAlignment="1">
      <alignment horizontal="center"/>
    </xf>
    <xf numFmtId="176" fontId="0" fillId="4" borderId="0" xfId="0" applyFill="1" applyProtection="1">
      <protection locked="0"/>
    </xf>
    <xf numFmtId="176" fontId="31" fillId="3" borderId="0" xfId="0" applyFont="1" applyFill="1" applyProtection="1">
      <protection locked="0"/>
    </xf>
    <xf numFmtId="176" fontId="74" fillId="0" borderId="60" xfId="0" applyFont="1" applyBorder="1" applyAlignment="1" applyProtection="1">
      <alignment horizontal="center" wrapText="1"/>
      <protection locked="0"/>
    </xf>
    <xf numFmtId="176" fontId="75" fillId="0" borderId="60" xfId="0" applyFont="1" applyBorder="1" applyAlignment="1" applyProtection="1">
      <alignment horizontal="center" wrapText="1"/>
      <protection locked="0"/>
    </xf>
    <xf numFmtId="176" fontId="74" fillId="0" borderId="61" xfId="0" applyFont="1" applyBorder="1" applyAlignment="1" applyProtection="1">
      <alignment horizontal="center" wrapText="1"/>
      <protection locked="0"/>
    </xf>
    <xf numFmtId="176" fontId="75" fillId="0" borderId="61" xfId="0" applyFont="1" applyBorder="1" applyAlignment="1" applyProtection="1">
      <alignment horizontal="center" wrapText="1"/>
      <protection locked="0"/>
    </xf>
    <xf numFmtId="176" fontId="74" fillId="0" borderId="62" xfId="0" applyFont="1" applyBorder="1" applyAlignment="1" applyProtection="1">
      <alignment horizontal="center" wrapText="1"/>
      <protection locked="0"/>
    </xf>
    <xf numFmtId="170" fontId="29" fillId="0" borderId="0" xfId="0" applyNumberFormat="1" applyFont="1" applyProtection="1">
      <protection locked="0"/>
    </xf>
    <xf numFmtId="176" fontId="74" fillId="0" borderId="63" xfId="0" applyFont="1" applyBorder="1" applyAlignment="1" applyProtection="1">
      <alignment horizontal="center" wrapText="1"/>
      <protection locked="0"/>
    </xf>
    <xf numFmtId="176" fontId="74" fillId="0" borderId="64" xfId="0" applyFont="1" applyBorder="1" applyAlignment="1" applyProtection="1">
      <alignment horizontal="center" wrapText="1"/>
      <protection locked="0"/>
    </xf>
    <xf numFmtId="176" fontId="74" fillId="0" borderId="65" xfId="0" applyFont="1" applyBorder="1" applyAlignment="1" applyProtection="1">
      <alignment horizontal="center" wrapText="1"/>
      <protection locked="0"/>
    </xf>
    <xf numFmtId="176" fontId="74" fillId="0" borderId="0" xfId="0" applyFont="1" applyAlignment="1" applyProtection="1">
      <alignment horizontal="center" wrapText="1"/>
      <protection locked="0"/>
    </xf>
    <xf numFmtId="176" fontId="74" fillId="0" borderId="66" xfId="0" applyFont="1" applyBorder="1" applyAlignment="1" applyProtection="1">
      <alignment horizontal="center" wrapText="1"/>
      <protection locked="0"/>
    </xf>
    <xf numFmtId="176" fontId="31" fillId="4" borderId="0" xfId="4" applyNumberFormat="1" applyFill="1" applyAlignment="1"/>
    <xf numFmtId="170" fontId="31" fillId="4" borderId="0" xfId="4" applyFill="1" applyAlignment="1"/>
    <xf numFmtId="176" fontId="26" fillId="4" borderId="0" xfId="4" applyNumberFormat="1" applyFont="1" applyFill="1" applyAlignment="1"/>
    <xf numFmtId="176" fontId="27" fillId="4" borderId="0" xfId="4" applyNumberFormat="1" applyFont="1" applyFill="1" applyAlignment="1"/>
    <xf numFmtId="176" fontId="27" fillId="4" borderId="12" xfId="4" applyNumberFormat="1" applyFont="1" applyFill="1" applyBorder="1" applyAlignment="1">
      <alignment horizontal="fill"/>
    </xf>
    <xf numFmtId="176" fontId="27" fillId="4" borderId="23" xfId="4" applyNumberFormat="1" applyFont="1" applyFill="1" applyBorder="1" applyAlignment="1">
      <alignment horizontal="fill"/>
    </xf>
    <xf numFmtId="176" fontId="31" fillId="4" borderId="0" xfId="4" applyNumberFormat="1" applyFill="1">
      <alignment horizontal="center" wrapText="1"/>
    </xf>
    <xf numFmtId="176" fontId="27" fillId="4" borderId="13" xfId="4" applyNumberFormat="1" applyFont="1" applyFill="1" applyBorder="1" applyAlignment="1"/>
    <xf numFmtId="176" fontId="27" fillId="4" borderId="13" xfId="4" applyNumberFormat="1" applyFont="1" applyFill="1" applyBorder="1" applyAlignment="1">
      <alignment horizontal="center"/>
    </xf>
    <xf numFmtId="176" fontId="27" fillId="4" borderId="0" xfId="4" applyNumberFormat="1" applyFont="1" applyFill="1" applyAlignment="1">
      <alignment horizontal="fill"/>
    </xf>
    <xf numFmtId="176" fontId="27" fillId="4" borderId="36" xfId="4" applyNumberFormat="1" applyFont="1" applyFill="1" applyBorder="1" applyAlignment="1">
      <alignment horizontal="fill"/>
    </xf>
    <xf numFmtId="176" fontId="27" fillId="4" borderId="24" xfId="4" applyNumberFormat="1" applyFont="1" applyFill="1" applyBorder="1" applyAlignment="1">
      <alignment horizontal="fill"/>
    </xf>
    <xf numFmtId="176" fontId="27" fillId="4" borderId="25" xfId="4" applyNumberFormat="1" applyFont="1" applyFill="1" applyBorder="1" applyAlignment="1">
      <alignment horizontal="center"/>
    </xf>
    <xf numFmtId="176" fontId="27" fillId="4" borderId="15" xfId="4" applyNumberFormat="1" applyFont="1" applyFill="1" applyBorder="1" applyAlignment="1"/>
    <xf numFmtId="176" fontId="27" fillId="4" borderId="15" xfId="4" applyNumberFormat="1" applyFont="1" applyFill="1" applyBorder="1" applyAlignment="1">
      <alignment horizontal="center"/>
    </xf>
    <xf numFmtId="176" fontId="26" fillId="4" borderId="13" xfId="4" applyNumberFormat="1" applyFont="1" applyFill="1" applyBorder="1" applyAlignment="1">
      <alignment horizontal="center"/>
    </xf>
    <xf numFmtId="176" fontId="27" fillId="4" borderId="12" xfId="4" applyNumberFormat="1" applyFont="1" applyFill="1" applyBorder="1" applyAlignment="1">
      <alignment horizontal="center"/>
    </xf>
    <xf numFmtId="176" fontId="27" fillId="4" borderId="12" xfId="4" applyNumberFormat="1" applyFont="1" applyFill="1" applyBorder="1" applyAlignment="1"/>
    <xf numFmtId="176" fontId="27" fillId="4" borderId="13" xfId="4" applyNumberFormat="1" applyFont="1" applyFill="1" applyBorder="1" applyAlignment="1">
      <alignment horizontal="fill"/>
    </xf>
    <xf numFmtId="170" fontId="27" fillId="4" borderId="13" xfId="4" applyFont="1" applyFill="1" applyBorder="1" applyAlignment="1">
      <alignment horizontal="center"/>
    </xf>
    <xf numFmtId="176" fontId="55" fillId="4" borderId="13" xfId="4" applyNumberFormat="1" applyFont="1" applyFill="1" applyBorder="1" applyAlignment="1">
      <alignment horizontal="center"/>
    </xf>
    <xf numFmtId="167" fontId="31" fillId="4" borderId="0" xfId="1" applyFont="1" applyFill="1" applyAlignment="1"/>
    <xf numFmtId="170" fontId="31" fillId="4" borderId="15" xfId="4" applyFill="1" applyBorder="1" applyAlignment="1"/>
    <xf numFmtId="170" fontId="27" fillId="4" borderId="15" xfId="4" applyFont="1" applyFill="1" applyBorder="1" applyAlignment="1">
      <alignment horizontal="fill"/>
    </xf>
    <xf numFmtId="170" fontId="27" fillId="4" borderId="15" xfId="4" applyFont="1" applyFill="1" applyBorder="1" applyAlignment="1">
      <alignment horizontal="center"/>
    </xf>
    <xf numFmtId="170" fontId="31" fillId="4" borderId="0" xfId="4" applyFill="1" applyAlignment="1">
      <alignment horizontal="fill"/>
    </xf>
    <xf numFmtId="176" fontId="27" fillId="4" borderId="23" xfId="4" applyNumberFormat="1" applyFont="1" applyFill="1" applyBorder="1" applyAlignment="1"/>
    <xf numFmtId="176" fontId="29" fillId="4" borderId="0" xfId="4" applyNumberFormat="1" applyFont="1" applyFill="1" applyAlignment="1" applyProtection="1">
      <protection locked="0"/>
    </xf>
    <xf numFmtId="167" fontId="27" fillId="4" borderId="0" xfId="1" applyFont="1" applyFill="1" applyAlignment="1">
      <alignment horizontal="fill"/>
    </xf>
    <xf numFmtId="176" fontId="57" fillId="4" borderId="0" xfId="0" applyFont="1" applyFill="1" applyProtection="1">
      <protection locked="0"/>
    </xf>
    <xf numFmtId="176" fontId="27" fillId="4" borderId="0" xfId="4" applyNumberFormat="1" applyFont="1" applyFill="1" applyAlignment="1">
      <alignment horizontal="center"/>
    </xf>
    <xf numFmtId="176" fontId="27" fillId="4" borderId="36" xfId="4" applyNumberFormat="1" applyFont="1" applyFill="1" applyBorder="1" applyAlignment="1">
      <alignment horizontal="center"/>
    </xf>
    <xf numFmtId="176" fontId="27" fillId="4" borderId="29" xfId="4" applyNumberFormat="1" applyFont="1" applyFill="1" applyBorder="1" applyAlignment="1"/>
    <xf numFmtId="176" fontId="27" fillId="4" borderId="42" xfId="4" applyNumberFormat="1" applyFont="1" applyFill="1" applyBorder="1" applyAlignment="1"/>
    <xf numFmtId="176" fontId="27" fillId="4" borderId="43" xfId="4" applyNumberFormat="1" applyFont="1" applyFill="1" applyBorder="1" applyAlignment="1"/>
    <xf numFmtId="176" fontId="27" fillId="4" borderId="44" xfId="4" applyNumberFormat="1" applyFont="1" applyFill="1" applyBorder="1" applyAlignment="1"/>
    <xf numFmtId="176" fontId="27" fillId="4" borderId="45" xfId="4" applyNumberFormat="1" applyFont="1" applyFill="1" applyBorder="1" applyAlignment="1"/>
    <xf numFmtId="176" fontId="27" fillId="4" borderId="42" xfId="4" applyNumberFormat="1" applyFont="1" applyFill="1" applyBorder="1" applyAlignment="1">
      <alignment horizontal="center"/>
    </xf>
    <xf numFmtId="176" fontId="27" fillId="4" borderId="5" xfId="4" applyNumberFormat="1" applyFont="1" applyFill="1" applyBorder="1" applyAlignment="1"/>
    <xf numFmtId="176" fontId="27" fillId="4" borderId="31" xfId="4" applyNumberFormat="1" applyFont="1" applyFill="1" applyBorder="1" applyAlignment="1"/>
    <xf numFmtId="176" fontId="27" fillId="4" borderId="27" xfId="4" applyNumberFormat="1" applyFont="1" applyFill="1" applyBorder="1" applyAlignment="1"/>
    <xf numFmtId="176" fontId="27" fillId="4" borderId="3" xfId="4" applyNumberFormat="1" applyFont="1" applyFill="1" applyBorder="1" applyAlignment="1"/>
    <xf numFmtId="176" fontId="27" fillId="4" borderId="14" xfId="4" applyNumberFormat="1" applyFont="1" applyFill="1" applyBorder="1" applyAlignment="1"/>
    <xf numFmtId="176" fontId="27" fillId="4" borderId="30" xfId="4" applyNumberFormat="1" applyFont="1" applyFill="1" applyBorder="1" applyAlignment="1"/>
    <xf numFmtId="176" fontId="26" fillId="4" borderId="4" xfId="4" applyNumberFormat="1" applyFont="1" applyFill="1" applyBorder="1" applyAlignment="1">
      <alignment horizontal="center"/>
    </xf>
    <xf numFmtId="176" fontId="27" fillId="4" borderId="4" xfId="4" applyNumberFormat="1" applyFont="1" applyFill="1" applyBorder="1" applyAlignment="1"/>
    <xf numFmtId="176" fontId="27" fillId="4" borderId="46" xfId="4" applyNumberFormat="1" applyFont="1" applyFill="1" applyBorder="1" applyAlignment="1"/>
    <xf numFmtId="176" fontId="27" fillId="4" borderId="18" xfId="4" applyNumberFormat="1" applyFont="1" applyFill="1" applyBorder="1" applyAlignment="1"/>
    <xf numFmtId="176" fontId="27" fillId="4" borderId="2" xfId="4" applyNumberFormat="1" applyFont="1" applyFill="1" applyBorder="1" applyAlignment="1"/>
    <xf numFmtId="176" fontId="27" fillId="4" borderId="4" xfId="4" applyNumberFormat="1" applyFont="1" applyFill="1" applyBorder="1" applyAlignment="1">
      <alignment horizontal="center"/>
    </xf>
    <xf numFmtId="176" fontId="27" fillId="4" borderId="28" xfId="4" applyNumberFormat="1" applyFont="1" applyFill="1" applyBorder="1" applyAlignment="1"/>
    <xf numFmtId="176" fontId="27" fillId="4" borderId="4" xfId="4" applyNumberFormat="1" applyFont="1" applyFill="1" applyBorder="1" applyAlignment="1">
      <alignment horizontal="fill"/>
    </xf>
    <xf numFmtId="176" fontId="27" fillId="4" borderId="28" xfId="4" applyNumberFormat="1" applyFont="1" applyFill="1" applyBorder="1" applyAlignment="1">
      <alignment horizontal="fill"/>
    </xf>
    <xf numFmtId="176" fontId="27" fillId="4" borderId="29" xfId="4" applyNumberFormat="1" applyFont="1" applyFill="1" applyBorder="1" applyAlignment="1">
      <alignment horizontal="fill"/>
    </xf>
    <xf numFmtId="176" fontId="27" fillId="4" borderId="25" xfId="4" applyNumberFormat="1" applyFont="1" applyFill="1" applyBorder="1" applyAlignment="1">
      <alignment horizontal="fill"/>
    </xf>
    <xf numFmtId="170" fontId="27" fillId="4" borderId="4" xfId="4" applyFont="1" applyFill="1" applyBorder="1" applyAlignment="1"/>
    <xf numFmtId="170" fontId="27" fillId="4" borderId="28" xfId="4" applyFont="1" applyFill="1" applyBorder="1" applyAlignment="1">
      <alignment horizontal="center"/>
    </xf>
    <xf numFmtId="170" fontId="27" fillId="4" borderId="29" xfId="4" applyFont="1" applyFill="1" applyBorder="1" applyAlignment="1">
      <alignment horizontal="center"/>
    </xf>
    <xf numFmtId="170" fontId="27" fillId="4" borderId="25" xfId="4" applyFont="1" applyFill="1" applyBorder="1" applyAlignment="1">
      <alignment horizontal="center"/>
    </xf>
    <xf numFmtId="170" fontId="27" fillId="4" borderId="18" xfId="4" applyFont="1" applyFill="1" applyBorder="1" applyAlignment="1">
      <alignment horizontal="center"/>
    </xf>
    <xf numFmtId="170" fontId="27" fillId="4" borderId="4" xfId="4" applyFont="1" applyFill="1" applyBorder="1" applyAlignment="1">
      <alignment horizontal="center"/>
    </xf>
    <xf numFmtId="1" fontId="26" fillId="4" borderId="2" xfId="4" applyNumberFormat="1" applyFont="1" applyFill="1" applyBorder="1" applyAlignment="1">
      <alignment horizontal="center"/>
    </xf>
    <xf numFmtId="170" fontId="27" fillId="4" borderId="2" xfId="4" applyFont="1" applyFill="1" applyBorder="1" applyAlignment="1">
      <alignment horizontal="center"/>
    </xf>
    <xf numFmtId="170" fontId="27" fillId="4" borderId="0" xfId="4" applyFont="1" applyFill="1" applyAlignment="1">
      <alignment horizontal="center"/>
    </xf>
    <xf numFmtId="176" fontId="55" fillId="4" borderId="4" xfId="4" applyNumberFormat="1" applyFont="1" applyFill="1" applyBorder="1" applyAlignment="1">
      <alignment horizontal="center"/>
    </xf>
    <xf numFmtId="176" fontId="27" fillId="4" borderId="17" xfId="4" applyNumberFormat="1" applyFont="1" applyFill="1" applyBorder="1" applyAlignment="1"/>
    <xf numFmtId="170" fontId="31" fillId="4" borderId="13" xfId="4" applyFill="1" applyBorder="1" applyAlignment="1">
      <alignment horizontal="center"/>
    </xf>
    <xf numFmtId="176" fontId="55" fillId="4" borderId="25" xfId="4" applyNumberFormat="1" applyFont="1" applyFill="1" applyBorder="1" applyAlignment="1">
      <alignment horizontal="center"/>
    </xf>
    <xf numFmtId="167" fontId="32" fillId="4" borderId="0" xfId="1" applyFont="1" applyFill="1" applyAlignment="1" applyProtection="1">
      <protection locked="0"/>
    </xf>
    <xf numFmtId="176" fontId="27" fillId="4" borderId="25" xfId="4" applyNumberFormat="1" applyFont="1" applyFill="1" applyBorder="1" applyAlignment="1"/>
    <xf numFmtId="176" fontId="31" fillId="4" borderId="15" xfId="4" applyNumberFormat="1" applyFill="1" applyBorder="1">
      <alignment horizontal="center" wrapText="1"/>
    </xf>
    <xf numFmtId="176" fontId="31" fillId="4" borderId="15" xfId="4" applyNumberFormat="1" applyFill="1" applyBorder="1" applyAlignment="1"/>
    <xf numFmtId="170" fontId="31" fillId="0" borderId="0" xfId="0" applyNumberFormat="1" applyFont="1" applyProtection="1">
      <protection locked="0"/>
    </xf>
    <xf numFmtId="170" fontId="29" fillId="0" borderId="0" xfId="10" applyNumberFormat="1" applyFont="1" applyProtection="1">
      <protection locked="0"/>
    </xf>
    <xf numFmtId="170" fontId="29" fillId="0" borderId="40" xfId="0" applyNumberFormat="1" applyFont="1" applyBorder="1" applyAlignment="1" applyProtection="1">
      <alignment horizontal="center"/>
      <protection locked="0"/>
    </xf>
    <xf numFmtId="170" fontId="29" fillId="0" borderId="41" xfId="0" applyNumberFormat="1" applyFont="1" applyBorder="1" applyAlignment="1" applyProtection="1">
      <alignment horizontal="center"/>
      <protection locked="0"/>
    </xf>
    <xf numFmtId="176" fontId="29" fillId="0" borderId="0" xfId="0" applyFont="1" applyProtection="1">
      <protection locked="0"/>
    </xf>
    <xf numFmtId="170" fontId="31" fillId="0" borderId="13" xfId="0" applyNumberFormat="1" applyFont="1" applyBorder="1" applyProtection="1">
      <protection locked="0"/>
    </xf>
    <xf numFmtId="176" fontId="31" fillId="0" borderId="12" xfId="0" applyFont="1" applyBorder="1" applyProtection="1">
      <protection locked="0"/>
    </xf>
    <xf numFmtId="176" fontId="31" fillId="0" borderId="13" xfId="0" applyFont="1" applyBorder="1" applyProtection="1">
      <protection locked="0"/>
    </xf>
    <xf numFmtId="174" fontId="31" fillId="0" borderId="13" xfId="0" applyNumberFormat="1" applyFont="1" applyBorder="1" applyProtection="1">
      <protection locked="0"/>
    </xf>
    <xf numFmtId="174" fontId="29" fillId="0" borderId="13" xfId="0" applyNumberFormat="1" applyFont="1" applyBorder="1" applyProtection="1">
      <protection locked="0"/>
    </xf>
    <xf numFmtId="4" fontId="31" fillId="0" borderId="0" xfId="0" applyNumberFormat="1" applyFont="1" applyProtection="1">
      <protection locked="0"/>
    </xf>
    <xf numFmtId="167" fontId="31" fillId="0" borderId="0" xfId="1" applyFont="1" applyAlignment="1" applyProtection="1">
      <protection locked="0"/>
    </xf>
    <xf numFmtId="170" fontId="29" fillId="4" borderId="0" xfId="4" applyFont="1" applyFill="1" applyAlignment="1"/>
    <xf numFmtId="176" fontId="31" fillId="4" borderId="0" xfId="4" applyNumberFormat="1" applyFill="1" applyAlignment="1" applyProtection="1">
      <protection locked="0"/>
    </xf>
    <xf numFmtId="176" fontId="31" fillId="4" borderId="12" xfId="4" applyNumberFormat="1" applyFill="1" applyBorder="1" applyAlignment="1">
      <alignment horizontal="fill"/>
    </xf>
    <xf numFmtId="176" fontId="31" fillId="4" borderId="12" xfId="4" applyNumberFormat="1" applyFill="1" applyBorder="1" applyAlignment="1" applyProtection="1">
      <alignment horizontal="fill"/>
      <protection locked="0"/>
    </xf>
    <xf numFmtId="176" fontId="31" fillId="4" borderId="23" xfId="4" applyNumberFormat="1" applyFill="1" applyBorder="1" applyAlignment="1" applyProtection="1">
      <alignment horizontal="fill"/>
      <protection locked="0"/>
    </xf>
    <xf numFmtId="176" fontId="31" fillId="4" borderId="23" xfId="4" applyNumberFormat="1" applyFill="1" applyBorder="1" applyAlignment="1">
      <alignment horizontal="fill"/>
    </xf>
    <xf numFmtId="176" fontId="31" fillId="4" borderId="24" xfId="4" applyNumberFormat="1" applyFill="1" applyBorder="1" applyAlignment="1" applyProtection="1">
      <alignment horizontal="fill"/>
      <protection locked="0"/>
    </xf>
    <xf numFmtId="176" fontId="31" fillId="4" borderId="27" xfId="4" applyNumberFormat="1" applyFill="1" applyBorder="1" applyAlignment="1">
      <alignment horizontal="fill"/>
    </xf>
    <xf numFmtId="170" fontId="31" fillId="4" borderId="0" xfId="4" applyFill="1">
      <alignment horizontal="center" wrapText="1"/>
    </xf>
    <xf numFmtId="176" fontId="31" fillId="4" borderId="13" xfId="4" applyNumberFormat="1" applyFill="1" applyBorder="1" applyAlignment="1">
      <alignment horizontal="fill"/>
    </xf>
    <xf numFmtId="176" fontId="31" fillId="4" borderId="13" xfId="4" applyNumberFormat="1" applyFill="1" applyBorder="1" applyAlignment="1" applyProtection="1">
      <alignment horizontal="fill"/>
      <protection locked="0"/>
    </xf>
    <xf numFmtId="176" fontId="31" fillId="4" borderId="0" xfId="4" applyNumberFormat="1" applyFill="1" applyAlignment="1" applyProtection="1">
      <alignment horizontal="fill"/>
      <protection locked="0"/>
    </xf>
    <xf numFmtId="176" fontId="31" fillId="4" borderId="0" xfId="4" applyNumberFormat="1" applyFill="1" applyAlignment="1" applyProtection="1">
      <alignment horizontal="left"/>
      <protection locked="0"/>
    </xf>
    <xf numFmtId="176" fontId="31" fillId="4" borderId="25" xfId="4" applyNumberFormat="1" applyFill="1" applyBorder="1" applyAlignment="1" applyProtection="1">
      <alignment horizontal="fill"/>
      <protection locked="0"/>
    </xf>
    <xf numFmtId="176" fontId="31" fillId="4" borderId="18" xfId="4" applyNumberFormat="1" applyFill="1" applyBorder="1" applyAlignment="1">
      <alignment horizontal="fill"/>
    </xf>
    <xf numFmtId="176" fontId="31" fillId="4" borderId="0" xfId="4" applyNumberFormat="1" applyFill="1" applyAlignment="1">
      <alignment horizontal="center"/>
    </xf>
    <xf numFmtId="176" fontId="31" fillId="4" borderId="47" xfId="4" applyNumberFormat="1" applyFill="1" applyBorder="1" applyAlignment="1" applyProtection="1">
      <alignment horizontal="fill"/>
      <protection locked="0"/>
    </xf>
    <xf numFmtId="176" fontId="31" fillId="4" borderId="5" xfId="4" applyNumberFormat="1" applyFill="1" applyBorder="1" applyAlignment="1">
      <alignment horizontal="fill"/>
    </xf>
    <xf numFmtId="176" fontId="31" fillId="4" borderId="13" xfId="4" applyNumberFormat="1" applyFill="1" applyBorder="1" applyAlignment="1"/>
    <xf numFmtId="176" fontId="31" fillId="4" borderId="13" xfId="4" applyNumberFormat="1" applyFill="1" applyBorder="1" applyAlignment="1" applyProtection="1">
      <alignment horizontal="center"/>
      <protection locked="0"/>
    </xf>
    <xf numFmtId="176" fontId="31" fillId="4" borderId="13" xfId="4" applyNumberFormat="1" applyFill="1" applyBorder="1" applyAlignment="1">
      <alignment horizontal="center"/>
    </xf>
    <xf numFmtId="176" fontId="31" fillId="4" borderId="18" xfId="4" applyNumberFormat="1" applyFill="1" applyBorder="1" applyAlignment="1" applyProtection="1">
      <alignment horizontal="center"/>
      <protection locked="0"/>
    </xf>
    <xf numFmtId="176" fontId="31" fillId="4" borderId="4" xfId="4" applyNumberFormat="1" applyFill="1" applyBorder="1" applyAlignment="1">
      <alignment horizontal="center"/>
    </xf>
    <xf numFmtId="170" fontId="31" fillId="4" borderId="13" xfId="4" applyFill="1" applyBorder="1" applyAlignment="1" applyProtection="1">
      <protection locked="0"/>
    </xf>
    <xf numFmtId="176" fontId="31" fillId="4" borderId="29" xfId="4" applyNumberFormat="1" applyFill="1" applyBorder="1" applyAlignment="1" applyProtection="1">
      <alignment horizontal="center"/>
      <protection locked="0"/>
    </xf>
    <xf numFmtId="176" fontId="31" fillId="4" borderId="17" xfId="4" applyNumberFormat="1" applyFill="1" applyBorder="1" applyAlignment="1">
      <alignment horizontal="center"/>
    </xf>
    <xf numFmtId="170" fontId="31" fillId="4" borderId="13" xfId="4" applyFill="1" applyBorder="1" applyAlignment="1" applyProtection="1">
      <alignment horizontal="center"/>
      <protection locked="0"/>
    </xf>
    <xf numFmtId="176" fontId="31" fillId="4" borderId="25" xfId="4" applyNumberFormat="1" applyFill="1" applyBorder="1" applyAlignment="1" applyProtection="1">
      <alignment horizontal="center"/>
      <protection locked="0"/>
    </xf>
    <xf numFmtId="176" fontId="31" fillId="4" borderId="42" xfId="4" applyNumberFormat="1" applyFill="1" applyBorder="1" applyAlignment="1">
      <alignment horizontal="fill"/>
    </xf>
    <xf numFmtId="176" fontId="31" fillId="4" borderId="42" xfId="4" applyNumberFormat="1" applyFill="1" applyBorder="1" applyAlignment="1" applyProtection="1">
      <alignment horizontal="center"/>
      <protection locked="0"/>
    </xf>
    <xf numFmtId="176" fontId="31" fillId="4" borderId="42" xfId="4" applyNumberFormat="1" applyFill="1" applyBorder="1" applyAlignment="1">
      <alignment horizontal="center"/>
    </xf>
    <xf numFmtId="176" fontId="31" fillId="4" borderId="48" xfId="4" applyNumberFormat="1" applyFill="1" applyBorder="1" applyAlignment="1">
      <alignment horizontal="center"/>
    </xf>
    <xf numFmtId="176" fontId="31" fillId="4" borderId="13" xfId="4" applyNumberFormat="1" applyFill="1" applyBorder="1" applyAlignment="1" applyProtection="1">
      <protection locked="0"/>
    </xf>
    <xf numFmtId="176" fontId="31" fillId="4" borderId="49" xfId="4" applyNumberFormat="1" applyFill="1" applyBorder="1" applyAlignment="1"/>
    <xf numFmtId="176" fontId="29" fillId="4" borderId="13" xfId="4" applyNumberFormat="1" applyFont="1" applyFill="1" applyBorder="1" applyAlignment="1">
      <alignment horizontal="center"/>
    </xf>
    <xf numFmtId="176" fontId="31" fillId="4" borderId="17" xfId="4" applyNumberFormat="1" applyFill="1" applyBorder="1" applyAlignment="1"/>
    <xf numFmtId="176" fontId="31" fillId="4" borderId="29" xfId="4" applyNumberFormat="1" applyFill="1" applyBorder="1" applyAlignment="1" applyProtection="1">
      <protection locked="0"/>
    </xf>
    <xf numFmtId="170" fontId="31" fillId="4" borderId="0" xfId="4" applyFill="1" applyAlignment="1">
      <alignment horizontal="center"/>
    </xf>
    <xf numFmtId="170" fontId="31" fillId="4" borderId="17" xfId="4" applyFill="1" applyBorder="1" applyAlignment="1">
      <alignment horizontal="center"/>
    </xf>
    <xf numFmtId="170" fontId="31" fillId="4" borderId="8" xfId="4" applyFill="1" applyBorder="1" applyAlignment="1">
      <alignment horizontal="center"/>
    </xf>
    <xf numFmtId="170" fontId="31" fillId="4" borderId="29" xfId="4" applyFill="1" applyBorder="1" applyAlignment="1" applyProtection="1">
      <alignment horizontal="center"/>
      <protection locked="0"/>
    </xf>
    <xf numFmtId="170" fontId="31" fillId="4" borderId="50" xfId="4" applyFill="1" applyBorder="1" applyAlignment="1">
      <alignment horizontal="center"/>
    </xf>
    <xf numFmtId="176" fontId="41" fillId="4" borderId="13" xfId="4" applyNumberFormat="1" applyFont="1" applyFill="1" applyBorder="1" applyAlignment="1">
      <alignment horizontal="center"/>
    </xf>
    <xf numFmtId="170" fontId="31" fillId="4" borderId="0" xfId="4" applyFill="1" applyAlignment="1" applyProtection="1">
      <protection locked="0"/>
    </xf>
    <xf numFmtId="170" fontId="31" fillId="4" borderId="51" xfId="4" applyFill="1" applyBorder="1" applyAlignment="1" applyProtection="1">
      <alignment horizontal="center"/>
      <protection locked="0"/>
    </xf>
    <xf numFmtId="176" fontId="41" fillId="4" borderId="13" xfId="4" applyNumberFormat="1" applyFont="1" applyFill="1" applyBorder="1" applyAlignment="1"/>
    <xf numFmtId="174" fontId="31" fillId="4" borderId="13" xfId="4" applyNumberFormat="1" applyFill="1" applyBorder="1" applyAlignment="1">
      <alignment horizontal="center"/>
    </xf>
    <xf numFmtId="174" fontId="31" fillId="4" borderId="13" xfId="4" applyNumberFormat="1" applyFill="1" applyBorder="1" applyAlignment="1" applyProtection="1">
      <alignment horizontal="center"/>
      <protection locked="0"/>
    </xf>
    <xf numFmtId="174" fontId="31" fillId="4" borderId="17" xfId="4" applyNumberFormat="1" applyFill="1" applyBorder="1" applyAlignment="1">
      <alignment horizontal="center"/>
    </xf>
    <xf numFmtId="170" fontId="31" fillId="4" borderId="15" xfId="4" applyFill="1" applyBorder="1" applyAlignment="1" applyProtection="1">
      <alignment horizontal="center"/>
      <protection locked="0"/>
    </xf>
    <xf numFmtId="170" fontId="31" fillId="4" borderId="15" xfId="4" applyFill="1" applyBorder="1" applyAlignment="1">
      <alignment horizontal="center"/>
    </xf>
    <xf numFmtId="170" fontId="31" fillId="4" borderId="34" xfId="4" applyFill="1" applyBorder="1" applyAlignment="1">
      <alignment horizontal="center"/>
    </xf>
    <xf numFmtId="176" fontId="31" fillId="4" borderId="0" xfId="4" applyNumberFormat="1" applyFill="1" applyAlignment="1">
      <alignment horizontal="fill"/>
    </xf>
    <xf numFmtId="170" fontId="31" fillId="4" borderId="0" xfId="4" applyFill="1" applyAlignment="1" applyProtection="1">
      <alignment horizontal="fill"/>
      <protection locked="0"/>
    </xf>
    <xf numFmtId="170" fontId="31" fillId="4" borderId="0" xfId="4" applyFill="1" applyAlignment="1" applyProtection="1">
      <alignment horizontal="center"/>
      <protection locked="0"/>
    </xf>
    <xf numFmtId="170" fontId="31" fillId="4" borderId="0" xfId="4" applyFill="1" applyAlignment="1" applyProtection="1">
      <alignment horizontal="left"/>
      <protection locked="0"/>
    </xf>
    <xf numFmtId="170" fontId="31" fillId="4" borderId="52" xfId="4" applyFill="1" applyBorder="1" applyAlignment="1" applyProtection="1">
      <alignment horizontal="center"/>
      <protection locked="0"/>
    </xf>
    <xf numFmtId="170" fontId="31" fillId="4" borderId="53" xfId="4" applyFill="1" applyBorder="1" applyAlignment="1" applyProtection="1">
      <alignment horizontal="center"/>
      <protection locked="0"/>
    </xf>
    <xf numFmtId="170" fontId="31" fillId="4" borderId="53" xfId="4" applyFill="1" applyBorder="1" applyAlignment="1">
      <alignment horizontal="center"/>
    </xf>
    <xf numFmtId="170" fontId="31" fillId="4" borderId="36" xfId="4" applyFill="1" applyBorder="1" applyAlignment="1" applyProtection="1">
      <alignment horizontal="center"/>
      <protection locked="0"/>
    </xf>
    <xf numFmtId="170" fontId="31" fillId="4" borderId="17" xfId="4" applyFill="1" applyBorder="1" applyAlignment="1" applyProtection="1">
      <alignment horizontal="center"/>
      <protection locked="0"/>
    </xf>
    <xf numFmtId="170" fontId="31" fillId="4" borderId="4" xfId="4" applyFill="1" applyBorder="1" applyAlignment="1" applyProtection="1">
      <alignment horizontal="center"/>
      <protection locked="0"/>
    </xf>
    <xf numFmtId="170" fontId="31" fillId="4" borderId="4" xfId="4" applyFill="1" applyBorder="1" applyAlignment="1">
      <alignment horizontal="center"/>
    </xf>
    <xf numFmtId="170" fontId="31" fillId="4" borderId="13" xfId="4" applyFill="1" applyBorder="1" applyAlignment="1"/>
    <xf numFmtId="174" fontId="31" fillId="4" borderId="13" xfId="4" applyNumberFormat="1" applyFill="1" applyBorder="1" applyAlignment="1"/>
    <xf numFmtId="176" fontId="31" fillId="4" borderId="25" xfId="4" applyNumberFormat="1" applyFill="1" applyBorder="1" applyAlignment="1"/>
    <xf numFmtId="176" fontId="41" fillId="4" borderId="0" xfId="4" applyNumberFormat="1" applyFont="1" applyFill="1" applyAlignment="1">
      <alignment horizontal="center"/>
    </xf>
    <xf numFmtId="176" fontId="31" fillId="4" borderId="2" xfId="4" applyNumberFormat="1" applyFill="1" applyBorder="1" applyAlignment="1"/>
    <xf numFmtId="176" fontId="31" fillId="4" borderId="21" xfId="4" applyNumberFormat="1" applyFill="1" applyBorder="1" applyAlignment="1"/>
    <xf numFmtId="176" fontId="31" fillId="4" borderId="1" xfId="4" applyNumberFormat="1" applyFill="1" applyBorder="1" applyAlignment="1"/>
    <xf numFmtId="176" fontId="31" fillId="4" borderId="28" xfId="4" applyNumberFormat="1" applyFill="1" applyBorder="1" applyAlignment="1"/>
    <xf numFmtId="170" fontId="27" fillId="4" borderId="0" xfId="4" applyFont="1" applyFill="1" applyAlignment="1" applyProtection="1">
      <alignment horizontal="fill"/>
      <protection locked="0"/>
    </xf>
    <xf numFmtId="170" fontId="27" fillId="4" borderId="0" xfId="4" applyFont="1" applyFill="1" applyAlignment="1"/>
    <xf numFmtId="170" fontId="27" fillId="4" borderId="0" xfId="4" applyFont="1" applyFill="1" applyAlignment="1">
      <alignment horizontal="fill"/>
    </xf>
    <xf numFmtId="170" fontId="27" fillId="4" borderId="0" xfId="4" applyFont="1" applyFill="1" applyAlignment="1" applyProtection="1">
      <protection locked="0"/>
    </xf>
    <xf numFmtId="176" fontId="31" fillId="4" borderId="5" xfId="4" applyNumberFormat="1" applyFill="1" applyBorder="1" applyAlignment="1"/>
    <xf numFmtId="170" fontId="31" fillId="4" borderId="1" xfId="4" applyFill="1" applyBorder="1" applyAlignment="1" applyProtection="1">
      <alignment horizontal="center"/>
      <protection locked="0"/>
    </xf>
    <xf numFmtId="170" fontId="31" fillId="4" borderId="1" xfId="4" applyFill="1" applyBorder="1" applyAlignment="1">
      <alignment horizontal="center"/>
    </xf>
    <xf numFmtId="170" fontId="31" fillId="4" borderId="3" xfId="4" applyFill="1" applyBorder="1" applyAlignment="1" applyProtection="1">
      <alignment horizontal="center"/>
      <protection locked="0"/>
    </xf>
    <xf numFmtId="170" fontId="31" fillId="4" borderId="27" xfId="4" applyFill="1" applyBorder="1" applyAlignment="1" applyProtection="1">
      <alignment horizontal="center"/>
      <protection locked="0"/>
    </xf>
    <xf numFmtId="170" fontId="31" fillId="4" borderId="5" xfId="4" applyFill="1" applyBorder="1" applyAlignment="1" applyProtection="1">
      <alignment horizontal="center"/>
      <protection locked="0"/>
    </xf>
    <xf numFmtId="170" fontId="31" fillId="4" borderId="5" xfId="4" applyFill="1" applyBorder="1" applyAlignment="1">
      <alignment horizontal="center"/>
    </xf>
    <xf numFmtId="176" fontId="31" fillId="4" borderId="4" xfId="4" applyNumberFormat="1" applyFill="1" applyBorder="1" applyAlignment="1"/>
    <xf numFmtId="170" fontId="31" fillId="4" borderId="2" xfId="4" applyFill="1" applyBorder="1" applyAlignment="1" applyProtection="1">
      <alignment horizontal="left"/>
      <protection locked="0"/>
    </xf>
    <xf numFmtId="170" fontId="31" fillId="4" borderId="18" xfId="4" applyFill="1" applyBorder="1" applyAlignment="1" applyProtection="1">
      <alignment horizontal="center"/>
      <protection locked="0"/>
    </xf>
    <xf numFmtId="170" fontId="31" fillId="4" borderId="2" xfId="4" applyFill="1" applyBorder="1" applyAlignment="1" applyProtection="1">
      <alignment horizontal="center"/>
      <protection locked="0"/>
    </xf>
    <xf numFmtId="176" fontId="31" fillId="4" borderId="3" xfId="4" applyNumberFormat="1" applyFill="1" applyBorder="1" applyAlignment="1"/>
    <xf numFmtId="176" fontId="31" fillId="4" borderId="2" xfId="4" applyNumberFormat="1" applyFill="1" applyBorder="1" applyAlignment="1">
      <alignment horizontal="center"/>
    </xf>
    <xf numFmtId="176" fontId="31" fillId="4" borderId="25" xfId="4" applyNumberFormat="1" applyFill="1" applyBorder="1" applyAlignment="1">
      <alignment horizontal="center"/>
    </xf>
    <xf numFmtId="176" fontId="31" fillId="4" borderId="26" xfId="4" applyNumberFormat="1" applyFill="1" applyBorder="1" applyAlignment="1">
      <alignment horizontal="fill"/>
    </xf>
    <xf numFmtId="170" fontId="31" fillId="4" borderId="9" xfId="4" applyFill="1" applyBorder="1" applyAlignment="1" applyProtection="1">
      <alignment horizontal="center"/>
      <protection locked="0"/>
    </xf>
    <xf numFmtId="176" fontId="31" fillId="4" borderId="24" xfId="4" applyNumberFormat="1" applyFill="1" applyBorder="1" applyAlignment="1">
      <alignment horizontal="fill"/>
    </xf>
    <xf numFmtId="170" fontId="31" fillId="4" borderId="30" xfId="4" applyFill="1" applyBorder="1" applyAlignment="1" applyProtection="1">
      <alignment horizontal="center"/>
      <protection locked="0"/>
    </xf>
    <xf numFmtId="170" fontId="31" fillId="4" borderId="49" xfId="4" applyFill="1" applyBorder="1" applyAlignment="1" applyProtection="1">
      <alignment horizontal="center"/>
      <protection locked="0"/>
    </xf>
    <xf numFmtId="176" fontId="29" fillId="4" borderId="25" xfId="4" applyNumberFormat="1" applyFont="1" applyFill="1" applyBorder="1" applyAlignment="1">
      <alignment horizontal="center"/>
    </xf>
    <xf numFmtId="176" fontId="31" fillId="4" borderId="25" xfId="4" applyNumberFormat="1" applyFill="1" applyBorder="1" applyAlignment="1">
      <alignment horizontal="fill"/>
    </xf>
    <xf numFmtId="176" fontId="41" fillId="4" borderId="25" xfId="4" applyNumberFormat="1" applyFont="1" applyFill="1" applyBorder="1" applyAlignment="1">
      <alignment horizontal="center"/>
    </xf>
    <xf numFmtId="170" fontId="31" fillId="4" borderId="25" xfId="4" applyFill="1" applyBorder="1" applyAlignment="1"/>
    <xf numFmtId="176" fontId="41" fillId="4" borderId="2" xfId="4" applyNumberFormat="1" applyFont="1" applyFill="1" applyBorder="1" applyAlignment="1">
      <alignment horizontal="center"/>
    </xf>
    <xf numFmtId="170" fontId="31" fillId="4" borderId="29" xfId="4" applyFill="1" applyBorder="1" applyAlignment="1">
      <alignment horizontal="center"/>
    </xf>
    <xf numFmtId="176" fontId="41" fillId="4" borderId="28" xfId="4" applyNumberFormat="1" applyFont="1" applyFill="1" applyBorder="1" applyAlignment="1">
      <alignment horizontal="center"/>
    </xf>
    <xf numFmtId="170" fontId="31" fillId="4" borderId="25" xfId="4" applyFill="1" applyBorder="1" applyAlignment="1">
      <alignment horizontal="center"/>
    </xf>
    <xf numFmtId="178" fontId="31" fillId="4" borderId="13" xfId="4" applyNumberFormat="1" applyFill="1" applyBorder="1" applyAlignment="1" applyProtection="1">
      <alignment horizontal="center"/>
      <protection locked="0"/>
    </xf>
    <xf numFmtId="178" fontId="31" fillId="4" borderId="13" xfId="4" applyNumberFormat="1" applyFill="1" applyBorder="1" applyAlignment="1">
      <alignment horizontal="center"/>
    </xf>
    <xf numFmtId="176" fontId="31" fillId="4" borderId="32" xfId="4" applyNumberFormat="1" applyFill="1" applyBorder="1" applyAlignment="1"/>
    <xf numFmtId="170" fontId="31" fillId="4" borderId="42" xfId="4" applyFill="1" applyBorder="1" applyAlignment="1" applyProtection="1">
      <alignment horizontal="center"/>
      <protection locked="0"/>
    </xf>
    <xf numFmtId="170" fontId="31" fillId="4" borderId="42" xfId="4" applyFill="1" applyBorder="1" applyAlignment="1">
      <alignment horizontal="center"/>
    </xf>
    <xf numFmtId="167" fontId="38" fillId="4" borderId="0" xfId="1" applyFont="1" applyFill="1" applyAlignment="1" applyProtection="1">
      <protection locked="0"/>
    </xf>
    <xf numFmtId="176" fontId="41" fillId="4" borderId="31" xfId="4" applyNumberFormat="1" applyFont="1" applyFill="1" applyBorder="1" applyAlignment="1">
      <alignment horizontal="center"/>
    </xf>
    <xf numFmtId="170" fontId="31" fillId="4" borderId="14" xfId="4" applyFill="1" applyBorder="1" applyAlignment="1" applyProtection="1">
      <alignment horizontal="center"/>
      <protection locked="0"/>
    </xf>
    <xf numFmtId="170" fontId="31" fillId="4" borderId="14" xfId="4" applyFill="1" applyBorder="1" applyAlignment="1">
      <alignment horizontal="center"/>
    </xf>
    <xf numFmtId="174" fontId="38" fillId="4" borderId="0" xfId="0" applyNumberFormat="1" applyFont="1" applyFill="1" applyProtection="1">
      <protection locked="0"/>
    </xf>
    <xf numFmtId="174" fontId="31" fillId="4" borderId="42" xfId="4" applyNumberFormat="1" applyFill="1" applyBorder="1" applyAlignment="1" applyProtection="1">
      <alignment horizontal="center"/>
      <protection locked="0"/>
    </xf>
    <xf numFmtId="174" fontId="31" fillId="4" borderId="42" xfId="4" applyNumberFormat="1" applyFill="1" applyBorder="1" applyAlignment="1">
      <alignment horizontal="center"/>
    </xf>
    <xf numFmtId="176" fontId="29" fillId="3" borderId="5" xfId="0" applyFont="1" applyFill="1" applyBorder="1"/>
    <xf numFmtId="176" fontId="29" fillId="3" borderId="4" xfId="0" applyFont="1" applyFill="1" applyBorder="1" applyAlignment="1">
      <alignment horizontal="center"/>
    </xf>
    <xf numFmtId="176" fontId="29" fillId="3" borderId="4" xfId="0" applyFont="1" applyFill="1" applyBorder="1"/>
    <xf numFmtId="176" fontId="31" fillId="3" borderId="9" xfId="0" applyFont="1" applyFill="1" applyBorder="1"/>
    <xf numFmtId="176" fontId="31" fillId="3" borderId="5" xfId="0" applyFont="1" applyFill="1" applyBorder="1"/>
    <xf numFmtId="171" fontId="29" fillId="3" borderId="4" xfId="0" applyNumberFormat="1" applyFont="1" applyFill="1" applyBorder="1" applyAlignment="1">
      <alignment horizontal="center"/>
    </xf>
    <xf numFmtId="2" fontId="29" fillId="3" borderId="4" xfId="0" applyNumberFormat="1" applyFont="1" applyFill="1" applyBorder="1" applyAlignment="1">
      <alignment horizontal="center"/>
    </xf>
    <xf numFmtId="174" fontId="60" fillId="3" borderId="13" xfId="0" applyNumberFormat="1" applyFont="1" applyFill="1" applyBorder="1" applyAlignment="1">
      <alignment horizontal="center"/>
    </xf>
    <xf numFmtId="174" fontId="47" fillId="3" borderId="13" xfId="7" applyNumberFormat="1" applyFont="1" applyFill="1" applyBorder="1" applyAlignment="1">
      <alignment horizontal="center"/>
    </xf>
    <xf numFmtId="176" fontId="61" fillId="3" borderId="13" xfId="0" applyFont="1" applyFill="1" applyBorder="1" applyAlignment="1" applyProtection="1">
      <alignment horizontal="center"/>
      <protection locked="0"/>
    </xf>
    <xf numFmtId="1" fontId="47" fillId="3" borderId="13" xfId="6" applyNumberFormat="1" applyFont="1" applyFill="1" applyBorder="1" applyAlignment="1">
      <alignment horizontal="center"/>
    </xf>
    <xf numFmtId="176" fontId="60" fillId="3" borderId="40" xfId="0" applyFont="1" applyFill="1" applyBorder="1" applyAlignment="1">
      <alignment horizontal="center" vertical="top" wrapText="1"/>
    </xf>
    <xf numFmtId="173" fontId="32" fillId="3" borderId="0" xfId="0" applyNumberFormat="1" applyFont="1" applyFill="1" applyProtection="1">
      <protection locked="0"/>
    </xf>
    <xf numFmtId="1" fontId="62" fillId="0" borderId="0" xfId="3" applyNumberFormat="1" applyFont="1" applyAlignment="1">
      <alignment horizontal="center"/>
    </xf>
    <xf numFmtId="176" fontId="31" fillId="0" borderId="25" xfId="0" applyFont="1" applyBorder="1" applyProtection="1">
      <protection locked="0"/>
    </xf>
    <xf numFmtId="170" fontId="31" fillId="0" borderId="29" xfId="0" applyNumberFormat="1" applyFont="1" applyBorder="1" applyProtection="1">
      <protection locked="0"/>
    </xf>
    <xf numFmtId="167" fontId="29" fillId="0" borderId="0" xfId="1" applyFont="1" applyBorder="1" applyAlignment="1" applyProtection="1">
      <protection locked="0"/>
    </xf>
    <xf numFmtId="167" fontId="31" fillId="0" borderId="0" xfId="1" applyFont="1" applyBorder="1" applyAlignment="1" applyProtection="1">
      <protection locked="0"/>
    </xf>
    <xf numFmtId="170" fontId="31" fillId="0" borderId="0" xfId="1" applyNumberFormat="1" applyFont="1" applyBorder="1" applyAlignment="1" applyProtection="1">
      <protection locked="0"/>
    </xf>
    <xf numFmtId="174" fontId="31" fillId="0" borderId="25" xfId="0" applyNumberFormat="1" applyFont="1" applyBorder="1" applyProtection="1">
      <protection locked="0"/>
    </xf>
    <xf numFmtId="174" fontId="29" fillId="0" borderId="25" xfId="0" applyNumberFormat="1" applyFont="1" applyBorder="1" applyProtection="1">
      <protection locked="0"/>
    </xf>
    <xf numFmtId="174" fontId="31" fillId="0" borderId="0" xfId="0" applyNumberFormat="1" applyFont="1" applyProtection="1">
      <protection locked="0"/>
    </xf>
    <xf numFmtId="177" fontId="31" fillId="0" borderId="0" xfId="1" applyNumberFormat="1" applyFont="1" applyBorder="1" applyAlignment="1" applyProtection="1">
      <protection locked="0"/>
    </xf>
    <xf numFmtId="174" fontId="29" fillId="0" borderId="0" xfId="0" applyNumberFormat="1" applyFont="1" applyProtection="1">
      <protection locked="0"/>
    </xf>
    <xf numFmtId="174" fontId="31" fillId="0" borderId="7" xfId="0" applyNumberFormat="1" applyFont="1" applyBorder="1" applyProtection="1">
      <protection locked="0"/>
    </xf>
    <xf numFmtId="176" fontId="31" fillId="0" borderId="8" xfId="0" applyFont="1" applyBorder="1" applyProtection="1">
      <protection locked="0"/>
    </xf>
    <xf numFmtId="177" fontId="31" fillId="0" borderId="8" xfId="0" applyNumberFormat="1" applyFont="1" applyBorder="1" applyProtection="1">
      <protection locked="0"/>
    </xf>
    <xf numFmtId="174" fontId="31" fillId="0" borderId="8" xfId="0" applyNumberFormat="1" applyFont="1" applyBorder="1" applyProtection="1">
      <protection locked="0"/>
    </xf>
    <xf numFmtId="174" fontId="29" fillId="0" borderId="7" xfId="0" applyNumberFormat="1" applyFont="1" applyBorder="1" applyProtection="1">
      <protection locked="0"/>
    </xf>
    <xf numFmtId="174" fontId="29" fillId="0" borderId="8" xfId="0" applyNumberFormat="1" applyFont="1" applyBorder="1" applyProtection="1">
      <protection locked="0"/>
    </xf>
    <xf numFmtId="176" fontId="31" fillId="0" borderId="7" xfId="0" applyFont="1" applyBorder="1" applyProtection="1">
      <protection locked="0"/>
    </xf>
    <xf numFmtId="170" fontId="31" fillId="0" borderId="8" xfId="0" applyNumberFormat="1" applyFont="1" applyBorder="1" applyProtection="1">
      <protection locked="0"/>
    </xf>
    <xf numFmtId="4" fontId="31" fillId="0" borderId="8" xfId="0" applyNumberFormat="1" applyFont="1" applyBorder="1" applyProtection="1">
      <protection locked="0"/>
    </xf>
    <xf numFmtId="176" fontId="29" fillId="0" borderId="8" xfId="0" applyFont="1" applyBorder="1" applyProtection="1">
      <protection locked="0"/>
    </xf>
    <xf numFmtId="170" fontId="31" fillId="0" borderId="8" xfId="1" applyNumberFormat="1" applyFont="1" applyBorder="1" applyAlignment="1" applyProtection="1">
      <protection locked="0"/>
    </xf>
    <xf numFmtId="176" fontId="31" fillId="0" borderId="10" xfId="0" applyFont="1" applyBorder="1" applyProtection="1">
      <protection locked="0"/>
    </xf>
    <xf numFmtId="176" fontId="31" fillId="0" borderId="38" xfId="0" applyFont="1" applyBorder="1" applyProtection="1">
      <protection locked="0"/>
    </xf>
    <xf numFmtId="176" fontId="31" fillId="0" borderId="11" xfId="0" applyFont="1" applyBorder="1" applyProtection="1">
      <protection locked="0"/>
    </xf>
    <xf numFmtId="15" fontId="31" fillId="0" borderId="6" xfId="0" applyNumberFormat="1" applyFont="1" applyBorder="1" applyProtection="1">
      <protection locked="0"/>
    </xf>
    <xf numFmtId="20" fontId="29" fillId="0" borderId="7" xfId="0" applyNumberFormat="1" applyFont="1" applyBorder="1" applyProtection="1">
      <protection locked="0"/>
    </xf>
    <xf numFmtId="170" fontId="31" fillId="0" borderId="7" xfId="0" applyNumberFormat="1" applyFont="1" applyBorder="1" applyProtection="1">
      <protection locked="0"/>
    </xf>
    <xf numFmtId="170" fontId="29" fillId="0" borderId="7" xfId="0" applyNumberFormat="1" applyFont="1" applyBorder="1" applyProtection="1">
      <protection locked="0"/>
    </xf>
    <xf numFmtId="170" fontId="31" fillId="0" borderId="10" xfId="0" applyNumberFormat="1" applyFont="1" applyBorder="1" applyProtection="1">
      <protection locked="0"/>
    </xf>
    <xf numFmtId="170" fontId="31" fillId="0" borderId="54" xfId="0" applyNumberFormat="1" applyFont="1" applyBorder="1" applyProtection="1">
      <protection locked="0"/>
    </xf>
    <xf numFmtId="176" fontId="31" fillId="0" borderId="54" xfId="0" applyFont="1" applyBorder="1" applyProtection="1">
      <protection locked="0"/>
    </xf>
    <xf numFmtId="176" fontId="31" fillId="0" borderId="55" xfId="0" applyFont="1" applyBorder="1" applyProtection="1">
      <protection locked="0"/>
    </xf>
    <xf numFmtId="170" fontId="29" fillId="0" borderId="39" xfId="0" applyNumberFormat="1" applyFont="1" applyBorder="1" applyAlignment="1" applyProtection="1">
      <alignment horizontal="center"/>
      <protection locked="0"/>
    </xf>
    <xf numFmtId="170" fontId="29" fillId="0" borderId="10" xfId="0" applyNumberFormat="1" applyFont="1" applyBorder="1" applyAlignment="1" applyProtection="1">
      <alignment horizontal="center"/>
      <protection locked="0"/>
    </xf>
    <xf numFmtId="170" fontId="29" fillId="0" borderId="38" xfId="0" applyNumberFormat="1" applyFont="1" applyBorder="1" applyAlignment="1" applyProtection="1">
      <alignment horizontal="center"/>
      <protection locked="0"/>
    </xf>
    <xf numFmtId="176" fontId="29" fillId="0" borderId="10" xfId="0" applyFont="1" applyBorder="1" applyAlignment="1" applyProtection="1">
      <alignment horizontal="center"/>
      <protection locked="0"/>
    </xf>
    <xf numFmtId="176" fontId="72" fillId="3" borderId="0" xfId="0" applyFont="1" applyFill="1" applyProtection="1">
      <protection locked="0"/>
    </xf>
    <xf numFmtId="176" fontId="72" fillId="3" borderId="0" xfId="0" applyFont="1" applyFill="1"/>
    <xf numFmtId="176" fontId="73" fillId="3" borderId="0" xfId="0" applyFont="1" applyFill="1"/>
    <xf numFmtId="176" fontId="71" fillId="3" borderId="2" xfId="0" applyFont="1" applyFill="1" applyBorder="1"/>
    <xf numFmtId="176" fontId="70" fillId="3" borderId="0" xfId="0" applyFont="1" applyFill="1"/>
    <xf numFmtId="170" fontId="53" fillId="3" borderId="13" xfId="11" applyNumberFormat="1" applyFont="1" applyFill="1" applyBorder="1" applyAlignment="1">
      <alignment horizontal="center"/>
    </xf>
    <xf numFmtId="174" fontId="64" fillId="3" borderId="13" xfId="7" applyNumberFormat="1" applyFont="1" applyFill="1" applyBorder="1" applyAlignment="1">
      <alignment horizontal="center"/>
    </xf>
    <xf numFmtId="176" fontId="29" fillId="0" borderId="56" xfId="0" applyFont="1" applyBorder="1" applyAlignment="1" applyProtection="1">
      <alignment horizontal="center"/>
      <protection locked="0"/>
    </xf>
    <xf numFmtId="2" fontId="31" fillId="3" borderId="0" xfId="0" applyNumberFormat="1" applyFont="1" applyFill="1" applyProtection="1">
      <protection locked="0"/>
    </xf>
    <xf numFmtId="2" fontId="29" fillId="3" borderId="4" xfId="0" applyNumberFormat="1" applyFont="1" applyFill="1" applyBorder="1" applyAlignment="1">
      <alignment horizontal="left"/>
    </xf>
    <xf numFmtId="4" fontId="76" fillId="5" borderId="61" xfId="0" applyNumberFormat="1" applyFont="1" applyFill="1" applyBorder="1" applyAlignment="1">
      <alignment horizontal="center" wrapText="1"/>
    </xf>
    <xf numFmtId="176" fontId="76" fillId="5" borderId="61" xfId="0" applyFont="1" applyFill="1" applyBorder="1" applyAlignment="1">
      <alignment horizontal="center" wrapText="1"/>
    </xf>
    <xf numFmtId="170" fontId="76" fillId="5" borderId="61" xfId="0" applyNumberFormat="1" applyFont="1" applyFill="1" applyBorder="1" applyAlignment="1">
      <alignment horizontal="center" wrapText="1"/>
    </xf>
    <xf numFmtId="4" fontId="76" fillId="5" borderId="0" xfId="0" applyNumberFormat="1" applyFont="1" applyFill="1" applyAlignment="1">
      <alignment horizontal="center" wrapText="1"/>
    </xf>
    <xf numFmtId="4" fontId="76" fillId="5" borderId="67" xfId="0" applyNumberFormat="1" applyFont="1" applyFill="1" applyBorder="1" applyAlignment="1">
      <alignment horizontal="center" wrapText="1"/>
    </xf>
    <xf numFmtId="170" fontId="76" fillId="5" borderId="13" xfId="0" applyNumberFormat="1" applyFont="1" applyFill="1" applyBorder="1" applyAlignment="1">
      <alignment horizontal="center" wrapText="1"/>
    </xf>
    <xf numFmtId="176" fontId="76" fillId="5" borderId="13" xfId="0" applyFont="1" applyFill="1" applyBorder="1" applyAlignment="1">
      <alignment horizontal="center" wrapText="1"/>
    </xf>
    <xf numFmtId="4" fontId="29" fillId="0" borderId="13" xfId="1" applyNumberFormat="1" applyFont="1" applyBorder="1" applyAlignment="1" applyProtection="1">
      <protection locked="0"/>
    </xf>
    <xf numFmtId="174" fontId="29" fillId="0" borderId="0" xfId="10" applyNumberFormat="1" applyFont="1" applyProtection="1">
      <protection locked="0"/>
    </xf>
    <xf numFmtId="167" fontId="29" fillId="0" borderId="22" xfId="1" applyFont="1" applyBorder="1" applyAlignment="1" applyProtection="1">
      <protection locked="0"/>
    </xf>
    <xf numFmtId="176" fontId="31" fillId="0" borderId="23" xfId="0" applyFont="1" applyBorder="1" applyProtection="1">
      <protection locked="0"/>
    </xf>
    <xf numFmtId="174" fontId="31" fillId="0" borderId="23" xfId="0" applyNumberFormat="1" applyFont="1" applyBorder="1" applyProtection="1">
      <protection locked="0"/>
    </xf>
    <xf numFmtId="170" fontId="29" fillId="0" borderId="22" xfId="0" applyNumberFormat="1" applyFont="1" applyBorder="1" applyAlignment="1" applyProtection="1">
      <alignment horizontal="center"/>
      <protection locked="0"/>
    </xf>
    <xf numFmtId="176" fontId="29" fillId="0" borderId="22" xfId="0" applyFont="1" applyBorder="1" applyProtection="1">
      <protection locked="0"/>
    </xf>
    <xf numFmtId="4" fontId="29" fillId="0" borderId="0" xfId="1" applyNumberFormat="1" applyFont="1" applyBorder="1" applyAlignment="1" applyProtection="1">
      <protection locked="0"/>
    </xf>
    <xf numFmtId="4" fontId="29" fillId="0" borderId="0" xfId="0" applyNumberFormat="1" applyFont="1" applyProtection="1">
      <protection locked="0"/>
    </xf>
    <xf numFmtId="4" fontId="29" fillId="0" borderId="22" xfId="1" applyNumberFormat="1" applyFont="1" applyBorder="1" applyAlignment="1" applyProtection="1">
      <protection locked="0"/>
    </xf>
    <xf numFmtId="167" fontId="29" fillId="0" borderId="29" xfId="1" applyFont="1" applyBorder="1" applyAlignment="1" applyProtection="1">
      <protection locked="0"/>
    </xf>
    <xf numFmtId="176" fontId="29" fillId="0" borderId="23" xfId="0" applyFont="1" applyBorder="1" applyAlignment="1" applyProtection="1">
      <alignment horizontal="center"/>
      <protection locked="0"/>
    </xf>
    <xf numFmtId="174" fontId="31" fillId="0" borderId="0" xfId="5" applyNumberFormat="1" applyFont="1" applyAlignment="1">
      <alignment horizontal="center"/>
    </xf>
    <xf numFmtId="176" fontId="76" fillId="5" borderId="61" xfId="0" applyFont="1" applyFill="1" applyBorder="1" applyAlignment="1" applyProtection="1">
      <alignment horizontal="center" wrapText="1"/>
      <protection locked="0"/>
    </xf>
    <xf numFmtId="170" fontId="46" fillId="3" borderId="0" xfId="11" applyNumberFormat="1" applyFont="1" applyFill="1" applyAlignment="1">
      <alignment horizontal="center"/>
    </xf>
    <xf numFmtId="170" fontId="46" fillId="3" borderId="25" xfId="11" applyNumberFormat="1" applyFont="1" applyFill="1" applyBorder="1" applyAlignment="1">
      <alignment horizontal="center"/>
    </xf>
    <xf numFmtId="170" fontId="46" fillId="3" borderId="29" xfId="11" applyNumberFormat="1" applyFont="1" applyFill="1" applyBorder="1" applyAlignment="1">
      <alignment horizontal="center"/>
    </xf>
    <xf numFmtId="4" fontId="76" fillId="5" borderId="13" xfId="0" applyNumberFormat="1" applyFont="1" applyFill="1" applyBorder="1" applyAlignment="1">
      <alignment horizontal="center" wrapText="1"/>
    </xf>
    <xf numFmtId="177" fontId="31" fillId="0" borderId="0" xfId="1" applyNumberFormat="1" applyFont="1" applyAlignment="1" applyProtection="1">
      <alignment horizontal="left" vertical="center"/>
      <protection locked="0"/>
    </xf>
    <xf numFmtId="177" fontId="29" fillId="0" borderId="0" xfId="1" applyNumberFormat="1" applyFont="1" applyBorder="1" applyAlignment="1" applyProtection="1">
      <alignment horizontal="left" vertical="center"/>
      <protection locked="0"/>
    </xf>
    <xf numFmtId="177" fontId="29" fillId="0" borderId="0" xfId="1" applyNumberFormat="1" applyFont="1" applyAlignment="1" applyProtection="1">
      <alignment horizontal="left" vertical="center"/>
      <protection locked="0"/>
    </xf>
    <xf numFmtId="177" fontId="29" fillId="0" borderId="22" xfId="1" applyNumberFormat="1" applyFont="1" applyBorder="1" applyAlignment="1" applyProtection="1">
      <alignment horizontal="left" vertical="center"/>
      <protection locked="0"/>
    </xf>
    <xf numFmtId="4" fontId="76" fillId="5" borderId="61" xfId="0" applyNumberFormat="1" applyFont="1" applyFill="1" applyBorder="1" applyAlignment="1" applyProtection="1">
      <alignment horizontal="center" wrapText="1"/>
      <protection locked="0"/>
    </xf>
    <xf numFmtId="173" fontId="46" fillId="3" borderId="0" xfId="14" applyNumberFormat="1" applyFont="1" applyFill="1" applyBorder="1" applyAlignment="1">
      <alignment horizontal="center"/>
    </xf>
    <xf numFmtId="170" fontId="29" fillId="3" borderId="0" xfId="10" applyNumberFormat="1" applyFont="1" applyFill="1" applyProtection="1">
      <protection locked="0"/>
    </xf>
    <xf numFmtId="170" fontId="29" fillId="3" borderId="22" xfId="0" applyNumberFormat="1" applyFont="1" applyFill="1" applyBorder="1" applyAlignment="1" applyProtection="1">
      <alignment horizontal="center"/>
      <protection locked="0"/>
    </xf>
    <xf numFmtId="167" fontId="29" fillId="3" borderId="0" xfId="1" applyFont="1" applyFill="1" applyBorder="1" applyAlignment="1" applyProtection="1">
      <protection locked="0"/>
    </xf>
    <xf numFmtId="176" fontId="31" fillId="3" borderId="23" xfId="0" applyFont="1" applyFill="1" applyBorder="1" applyProtection="1">
      <protection locked="0"/>
    </xf>
    <xf numFmtId="167" fontId="29" fillId="3" borderId="13" xfId="1" applyFont="1" applyFill="1" applyBorder="1" applyAlignment="1" applyProtection="1">
      <protection locked="0"/>
    </xf>
    <xf numFmtId="176" fontId="29" fillId="3" borderId="0" xfId="0" applyFont="1" applyFill="1" applyProtection="1">
      <protection locked="0"/>
    </xf>
    <xf numFmtId="167" fontId="29" fillId="3" borderId="22" xfId="1" applyFont="1" applyFill="1" applyBorder="1" applyAlignment="1" applyProtection="1">
      <protection locked="0"/>
    </xf>
    <xf numFmtId="167" fontId="29" fillId="0" borderId="0" xfId="1" applyFont="1" applyAlignment="1" applyProtection="1">
      <protection locked="0"/>
    </xf>
    <xf numFmtId="4" fontId="76" fillId="5" borderId="25" xfId="0" applyNumberFormat="1" applyFont="1" applyFill="1" applyBorder="1" applyAlignment="1" applyProtection="1">
      <alignment horizontal="center" wrapText="1"/>
      <protection locked="0"/>
    </xf>
    <xf numFmtId="4" fontId="76" fillId="5" borderId="13" xfId="0" applyNumberFormat="1" applyFont="1" applyFill="1" applyBorder="1" applyAlignment="1" applyProtection="1">
      <alignment horizontal="center" wrapText="1"/>
      <protection locked="0"/>
    </xf>
    <xf numFmtId="176" fontId="77" fillId="5" borderId="61" xfId="0" applyFont="1" applyFill="1" applyBorder="1" applyAlignment="1" applyProtection="1">
      <alignment horizontal="center" wrapText="1"/>
      <protection locked="0"/>
    </xf>
    <xf numFmtId="176" fontId="29" fillId="0" borderId="12" xfId="0" applyFont="1" applyBorder="1" applyAlignment="1" applyProtection="1">
      <alignment horizontal="center"/>
      <protection locked="0"/>
    </xf>
    <xf numFmtId="176" fontId="29" fillId="0" borderId="15" xfId="0" applyFont="1" applyBorder="1" applyAlignment="1" applyProtection="1">
      <alignment horizontal="center"/>
      <protection locked="0"/>
    </xf>
    <xf numFmtId="167" fontId="31" fillId="0" borderId="13" xfId="1" applyFont="1" applyBorder="1" applyAlignment="1" applyProtection="1">
      <protection locked="0"/>
    </xf>
    <xf numFmtId="167" fontId="29" fillId="3" borderId="13" xfId="1" applyFont="1" applyFill="1" applyBorder="1" applyAlignment="1" applyProtection="1">
      <alignment horizontal="left" vertical="center"/>
      <protection locked="0"/>
    </xf>
    <xf numFmtId="167" fontId="29" fillId="0" borderId="13" xfId="1" applyFont="1" applyBorder="1" applyAlignment="1" applyProtection="1">
      <protection locked="0"/>
    </xf>
    <xf numFmtId="167" fontId="29" fillId="0" borderId="15" xfId="1" applyFont="1" applyBorder="1" applyAlignment="1" applyProtection="1">
      <protection locked="0"/>
    </xf>
    <xf numFmtId="167" fontId="31" fillId="0" borderId="36" xfId="1" applyFont="1" applyBorder="1" applyAlignment="1" applyProtection="1">
      <protection locked="0"/>
    </xf>
    <xf numFmtId="167" fontId="29" fillId="0" borderId="37" xfId="1" applyFont="1" applyBorder="1" applyAlignment="1" applyProtection="1">
      <protection locked="0"/>
    </xf>
    <xf numFmtId="167" fontId="31" fillId="0" borderId="12" xfId="1" applyFont="1" applyBorder="1" applyAlignment="1" applyProtection="1">
      <protection locked="0"/>
    </xf>
    <xf numFmtId="167" fontId="31" fillId="0" borderId="29" xfId="1" applyFont="1" applyBorder="1" applyAlignment="1" applyProtection="1">
      <protection locked="0"/>
    </xf>
    <xf numFmtId="2" fontId="42" fillId="3" borderId="0" xfId="9" applyNumberFormat="1" applyFill="1" applyAlignment="1">
      <alignment horizontal="center"/>
    </xf>
    <xf numFmtId="4" fontId="29" fillId="3" borderId="13" xfId="1" applyNumberFormat="1" applyFont="1" applyFill="1" applyBorder="1" applyAlignment="1" applyProtection="1">
      <alignment horizontal="left" vertical="center"/>
      <protection locked="0"/>
    </xf>
    <xf numFmtId="4" fontId="29" fillId="0" borderId="29" xfId="1" applyNumberFormat="1" applyFont="1" applyBorder="1" applyAlignment="1" applyProtection="1">
      <protection locked="0"/>
    </xf>
    <xf numFmtId="4" fontId="29" fillId="3" borderId="13" xfId="1" applyNumberFormat="1" applyFont="1" applyFill="1" applyBorder="1" applyAlignment="1" applyProtection="1">
      <alignment horizontal="center" vertical="center"/>
      <protection locked="0"/>
    </xf>
    <xf numFmtId="176" fontId="79" fillId="5" borderId="61" xfId="0" applyFont="1" applyFill="1" applyBorder="1" applyAlignment="1" applyProtection="1">
      <alignment horizontal="left" wrapText="1"/>
      <protection locked="0"/>
    </xf>
    <xf numFmtId="4" fontId="29" fillId="3" borderId="25" xfId="1" applyNumberFormat="1" applyFont="1" applyFill="1" applyBorder="1" applyAlignment="1" applyProtection="1">
      <alignment horizontal="center" vertical="center"/>
      <protection locked="0"/>
    </xf>
    <xf numFmtId="176" fontId="29" fillId="0" borderId="13" xfId="0" applyFont="1" applyBorder="1" applyAlignment="1" applyProtection="1">
      <alignment horizontal="center"/>
      <protection locked="0"/>
    </xf>
    <xf numFmtId="176" fontId="29" fillId="0" borderId="13" xfId="0" applyFont="1" applyBorder="1" applyProtection="1">
      <protection locked="0"/>
    </xf>
    <xf numFmtId="167" fontId="29" fillId="3" borderId="13" xfId="1" applyFont="1" applyFill="1" applyBorder="1" applyAlignment="1" applyProtection="1">
      <alignment horizontal="center" vertical="center"/>
      <protection locked="0"/>
    </xf>
    <xf numFmtId="176" fontId="79" fillId="0" borderId="61" xfId="0" applyFont="1" applyBorder="1" applyAlignment="1" applyProtection="1">
      <alignment horizontal="center" wrapText="1"/>
      <protection locked="0"/>
    </xf>
    <xf numFmtId="176" fontId="79" fillId="0" borderId="61" xfId="0" applyFont="1" applyBorder="1" applyAlignment="1" applyProtection="1">
      <alignment horizontal="left" wrapText="1"/>
      <protection locked="0"/>
    </xf>
    <xf numFmtId="176" fontId="81" fillId="0" borderId="67" xfId="0" applyFont="1" applyBorder="1" applyAlignment="1" applyProtection="1">
      <alignment horizontal="center" wrapText="1"/>
      <protection locked="0"/>
    </xf>
    <xf numFmtId="176" fontId="80" fillId="0" borderId="0" xfId="0" applyFont="1" applyAlignment="1" applyProtection="1">
      <alignment horizontal="center" wrapText="1"/>
      <protection locked="0"/>
    </xf>
    <xf numFmtId="176" fontId="77" fillId="0" borderId="61" xfId="0" applyFont="1" applyBorder="1" applyAlignment="1" applyProtection="1">
      <alignment horizontal="left" wrapText="1"/>
      <protection locked="0"/>
    </xf>
    <xf numFmtId="176" fontId="82" fillId="0" borderId="67" xfId="0" applyFont="1" applyBorder="1" applyAlignment="1" applyProtection="1">
      <alignment horizontal="center" wrapText="1"/>
      <protection locked="0"/>
    </xf>
    <xf numFmtId="176" fontId="76" fillId="0" borderId="61" xfId="0" applyFont="1" applyBorder="1" applyAlignment="1" applyProtection="1">
      <alignment horizontal="center" wrapText="1"/>
      <protection locked="0"/>
    </xf>
    <xf numFmtId="176" fontId="83" fillId="0" borderId="67" xfId="0" applyFont="1" applyBorder="1" applyAlignment="1" applyProtection="1">
      <alignment horizontal="center" wrapText="1"/>
      <protection locked="0"/>
    </xf>
    <xf numFmtId="176" fontId="80" fillId="0" borderId="0" xfId="0" applyFont="1" applyAlignment="1" applyProtection="1">
      <alignment horizontal="left" wrapText="1"/>
      <protection locked="0"/>
    </xf>
    <xf numFmtId="176" fontId="79" fillId="0" borderId="60" xfId="0" applyFont="1" applyBorder="1" applyAlignment="1" applyProtection="1">
      <alignment horizontal="center" wrapText="1"/>
      <protection locked="0"/>
    </xf>
    <xf numFmtId="176" fontId="79" fillId="0" borderId="62" xfId="0" applyFont="1" applyBorder="1" applyAlignment="1" applyProtection="1">
      <alignment horizontal="left" wrapText="1"/>
      <protection locked="0"/>
    </xf>
    <xf numFmtId="176" fontId="79" fillId="0" borderId="62" xfId="0" applyFont="1" applyBorder="1" applyAlignment="1" applyProtection="1">
      <alignment horizontal="center" wrapText="1"/>
      <protection locked="0"/>
    </xf>
    <xf numFmtId="176" fontId="76" fillId="5" borderId="61" xfId="0" applyFont="1" applyFill="1" applyBorder="1" applyAlignment="1" applyProtection="1">
      <alignment horizontal="left" wrapText="1"/>
      <protection locked="0"/>
    </xf>
    <xf numFmtId="170" fontId="53" fillId="0" borderId="0" xfId="4" applyFont="1" applyAlignment="1"/>
    <xf numFmtId="176" fontId="64" fillId="0" borderId="0" xfId="4" applyNumberFormat="1" applyFont="1" applyAlignment="1" applyProtection="1">
      <protection locked="0"/>
    </xf>
    <xf numFmtId="176" fontId="53" fillId="0" borderId="0" xfId="4" applyNumberFormat="1" applyFont="1" applyAlignment="1">
      <alignment horizontal="fill"/>
    </xf>
    <xf numFmtId="4" fontId="77" fillId="5" borderId="61" xfId="0" applyNumberFormat="1" applyFont="1" applyFill="1" applyBorder="1" applyAlignment="1" applyProtection="1">
      <alignment horizontal="center" wrapText="1"/>
      <protection locked="0"/>
    </xf>
    <xf numFmtId="4" fontId="77" fillId="5" borderId="62" xfId="0" applyNumberFormat="1" applyFont="1" applyFill="1" applyBorder="1" applyAlignment="1" applyProtection="1">
      <alignment horizontal="center" wrapText="1"/>
      <protection locked="0"/>
    </xf>
    <xf numFmtId="170" fontId="77" fillId="5" borderId="61" xfId="0" applyNumberFormat="1" applyFont="1" applyFill="1" applyBorder="1" applyAlignment="1" applyProtection="1">
      <alignment horizontal="center" wrapText="1"/>
      <protection locked="0"/>
    </xf>
    <xf numFmtId="176" fontId="80" fillId="0" borderId="0" xfId="0" applyFont="1" applyAlignment="1" applyProtection="1">
      <alignment horizontal="left"/>
      <protection locked="0"/>
    </xf>
    <xf numFmtId="176" fontId="78" fillId="0" borderId="69" xfId="0" applyFont="1" applyBorder="1" applyAlignment="1" applyProtection="1">
      <alignment horizontal="left" wrapText="1"/>
      <protection locked="0"/>
    </xf>
    <xf numFmtId="176" fontId="78" fillId="0" borderId="72" xfId="0" applyFont="1" applyBorder="1" applyAlignment="1" applyProtection="1">
      <alignment horizontal="left" wrapText="1"/>
      <protection locked="0"/>
    </xf>
    <xf numFmtId="176" fontId="79" fillId="0" borderId="69" xfId="0" applyFont="1" applyBorder="1" applyAlignment="1" applyProtection="1">
      <alignment horizontal="center" wrapText="1"/>
      <protection locked="0"/>
    </xf>
    <xf numFmtId="176" fontId="78" fillId="0" borderId="60" xfId="0" applyFont="1" applyBorder="1" applyAlignment="1" applyProtection="1">
      <alignment horizontal="left" wrapText="1"/>
      <protection locked="0"/>
    </xf>
    <xf numFmtId="176" fontId="78" fillId="0" borderId="61" xfId="0" applyFont="1" applyBorder="1" applyAlignment="1" applyProtection="1">
      <alignment horizontal="left" wrapText="1"/>
      <protection locked="0"/>
    </xf>
    <xf numFmtId="176" fontId="79" fillId="0" borderId="61" xfId="0" applyFont="1" applyBorder="1" applyAlignment="1" applyProtection="1">
      <alignment horizontal="center" vertical="top" wrapText="1"/>
      <protection locked="0"/>
    </xf>
    <xf numFmtId="176" fontId="78" fillId="0" borderId="62" xfId="0" applyFont="1" applyBorder="1" applyAlignment="1" applyProtection="1">
      <alignment horizontal="left" wrapText="1"/>
      <protection locked="0"/>
    </xf>
    <xf numFmtId="176" fontId="78" fillId="5" borderId="73" xfId="0" applyFont="1" applyFill="1" applyBorder="1" applyAlignment="1" applyProtection="1">
      <alignment horizontal="left" wrapText="1"/>
      <protection locked="0"/>
    </xf>
    <xf numFmtId="176" fontId="79" fillId="5" borderId="73" xfId="0" applyFont="1" applyFill="1" applyBorder="1" applyAlignment="1" applyProtection="1">
      <alignment horizontal="center" wrapText="1"/>
      <protection locked="0"/>
    </xf>
    <xf numFmtId="176" fontId="79" fillId="5" borderId="73" xfId="0" applyFont="1" applyFill="1" applyBorder="1" applyAlignment="1" applyProtection="1">
      <alignment horizontal="left" wrapText="1"/>
      <protection locked="0"/>
    </xf>
    <xf numFmtId="2" fontId="79" fillId="0" borderId="61" xfId="0" applyNumberFormat="1" applyFont="1" applyBorder="1" applyAlignment="1" applyProtection="1">
      <alignment horizontal="center" wrapText="1"/>
      <protection locked="0"/>
    </xf>
    <xf numFmtId="176" fontId="76" fillId="5" borderId="13" xfId="0" applyFont="1" applyFill="1" applyBorder="1" applyAlignment="1" applyProtection="1">
      <alignment horizontal="left" wrapText="1"/>
      <protection locked="0"/>
    </xf>
    <xf numFmtId="176" fontId="76" fillId="5" borderId="13" xfId="0" applyFont="1" applyFill="1" applyBorder="1" applyAlignment="1" applyProtection="1">
      <alignment horizontal="center" wrapText="1"/>
      <protection locked="0"/>
    </xf>
    <xf numFmtId="176" fontId="31" fillId="3" borderId="75" xfId="0" applyFont="1" applyFill="1" applyBorder="1"/>
    <xf numFmtId="167" fontId="64" fillId="3" borderId="13" xfId="1" applyFont="1" applyFill="1" applyBorder="1" applyAlignment="1" applyProtection="1">
      <alignment horizontal="center" vertical="center"/>
      <protection locked="0"/>
    </xf>
    <xf numFmtId="167" fontId="64" fillId="0" borderId="13" xfId="1" applyFont="1" applyBorder="1" applyAlignment="1" applyProtection="1">
      <alignment horizontal="center"/>
      <protection locked="0"/>
    </xf>
    <xf numFmtId="176" fontId="53" fillId="0" borderId="0" xfId="0" applyFont="1" applyAlignment="1" applyProtection="1">
      <alignment horizontal="center"/>
      <protection locked="0"/>
    </xf>
    <xf numFmtId="167" fontId="53" fillId="0" borderId="0" xfId="1" applyFont="1" applyAlignment="1" applyProtection="1">
      <alignment horizontal="center"/>
      <protection locked="0"/>
    </xf>
    <xf numFmtId="167" fontId="53" fillId="0" borderId="13" xfId="1" applyFont="1" applyBorder="1" applyAlignment="1" applyProtection="1">
      <alignment horizontal="center"/>
      <protection locked="0"/>
    </xf>
    <xf numFmtId="176" fontId="64" fillId="0" borderId="0" xfId="0" applyFont="1" applyAlignment="1" applyProtection="1">
      <alignment horizontal="center"/>
      <protection locked="0"/>
    </xf>
    <xf numFmtId="2" fontId="42" fillId="0" borderId="60" xfId="9" applyNumberFormat="1" applyBorder="1"/>
    <xf numFmtId="10" fontId="42" fillId="0" borderId="60" xfId="9" applyBorder="1"/>
    <xf numFmtId="2" fontId="42" fillId="0" borderId="61" xfId="9" applyNumberFormat="1" applyBorder="1"/>
    <xf numFmtId="10" fontId="42" fillId="0" borderId="61" xfId="9" applyBorder="1"/>
    <xf numFmtId="2" fontId="42" fillId="0" borderId="62" xfId="9" applyNumberFormat="1" applyBorder="1"/>
    <xf numFmtId="10" fontId="42" fillId="0" borderId="62" xfId="9" applyBorder="1"/>
    <xf numFmtId="176" fontId="87" fillId="0" borderId="74" xfId="0" applyFont="1" applyBorder="1" applyAlignment="1" applyProtection="1">
      <alignment horizontal="center" wrapText="1"/>
      <protection locked="0"/>
    </xf>
    <xf numFmtId="4" fontId="86" fillId="0" borderId="74" xfId="0" applyNumberFormat="1" applyFont="1" applyBorder="1" applyAlignment="1" applyProtection="1">
      <alignment horizontal="center" wrapText="1"/>
      <protection locked="0"/>
    </xf>
    <xf numFmtId="176" fontId="86" fillId="0" borderId="74" xfId="0" applyFont="1" applyBorder="1" applyAlignment="1" applyProtection="1">
      <alignment horizontal="center" wrapText="1"/>
      <protection locked="0"/>
    </xf>
    <xf numFmtId="176" fontId="86" fillId="0" borderId="79" xfId="0" applyFont="1" applyBorder="1" applyAlignment="1" applyProtection="1">
      <alignment horizontal="center" wrapText="1"/>
      <protection locked="0"/>
    </xf>
    <xf numFmtId="4" fontId="87" fillId="0" borderId="74" xfId="0" applyNumberFormat="1" applyFont="1" applyBorder="1" applyAlignment="1" applyProtection="1">
      <alignment horizontal="center" wrapText="1"/>
      <protection locked="0"/>
    </xf>
    <xf numFmtId="176" fontId="78" fillId="0" borderId="80" xfId="0" applyFont="1" applyBorder="1" applyAlignment="1" applyProtection="1">
      <alignment horizontal="left" wrapText="1"/>
      <protection locked="0"/>
    </xf>
    <xf numFmtId="176" fontId="78" fillId="0" borderId="78" xfId="0" applyFont="1" applyBorder="1" applyAlignment="1" applyProtection="1">
      <alignment horizontal="left" wrapText="1"/>
      <protection locked="0"/>
    </xf>
    <xf numFmtId="176" fontId="79" fillId="0" borderId="82" xfId="0" applyFont="1" applyBorder="1" applyAlignment="1" applyProtection="1">
      <alignment horizontal="center" wrapText="1"/>
      <protection locked="0"/>
    </xf>
    <xf numFmtId="176" fontId="87" fillId="0" borderId="74" xfId="0" applyFont="1" applyBorder="1" applyAlignment="1" applyProtection="1">
      <alignment horizontal="left" wrapText="1"/>
      <protection locked="0"/>
    </xf>
    <xf numFmtId="176" fontId="87" fillId="0" borderId="81" xfId="0" applyFont="1" applyBorder="1" applyAlignment="1" applyProtection="1">
      <alignment horizontal="center" wrapText="1"/>
      <protection locked="0"/>
    </xf>
    <xf numFmtId="176" fontId="86" fillId="0" borderId="74" xfId="0" applyFont="1" applyBorder="1" applyAlignment="1" applyProtection="1">
      <alignment horizontal="left" wrapText="1"/>
      <protection locked="0"/>
    </xf>
    <xf numFmtId="176" fontId="78" fillId="0" borderId="78" xfId="0" applyFont="1" applyBorder="1" applyAlignment="1" applyProtection="1">
      <alignment horizontal="center" wrapText="1"/>
      <protection locked="0"/>
    </xf>
    <xf numFmtId="4" fontId="84" fillId="0" borderId="74" xfId="0" applyNumberFormat="1" applyFont="1" applyBorder="1" applyAlignment="1" applyProtection="1">
      <alignment horizontal="center" wrapText="1"/>
      <protection locked="0"/>
    </xf>
    <xf numFmtId="3" fontId="86" fillId="0" borderId="74" xfId="0" applyNumberFormat="1" applyFont="1" applyBorder="1" applyAlignment="1" applyProtection="1">
      <alignment horizontal="center" wrapText="1"/>
      <protection locked="0"/>
    </xf>
    <xf numFmtId="3" fontId="87" fillId="0" borderId="74" xfId="0" applyNumberFormat="1" applyFont="1" applyBorder="1" applyAlignment="1" applyProtection="1">
      <alignment horizontal="center" wrapText="1"/>
      <protection locked="0"/>
    </xf>
    <xf numFmtId="4" fontId="79" fillId="0" borderId="74" xfId="0" applyNumberFormat="1" applyFont="1" applyBorder="1" applyAlignment="1" applyProtection="1">
      <alignment horizontal="center" wrapText="1"/>
      <protection locked="0"/>
    </xf>
    <xf numFmtId="176" fontId="78" fillId="0" borderId="79" xfId="0" applyFont="1" applyBorder="1" applyAlignment="1" applyProtection="1">
      <alignment horizontal="left" wrapText="1"/>
      <protection locked="0"/>
    </xf>
    <xf numFmtId="176" fontId="86" fillId="0" borderId="85" xfId="0" applyFont="1" applyBorder="1" applyAlignment="1" applyProtection="1">
      <alignment horizontal="center" wrapText="1"/>
      <protection locked="0"/>
    </xf>
    <xf numFmtId="176" fontId="78" fillId="0" borderId="76" xfId="0" applyFont="1" applyBorder="1" applyAlignment="1" applyProtection="1">
      <alignment horizontal="left" wrapText="1"/>
      <protection locked="0"/>
    </xf>
    <xf numFmtId="176" fontId="86" fillId="0" borderId="76" xfId="0" applyFont="1" applyBorder="1" applyAlignment="1" applyProtection="1">
      <alignment horizontal="center" wrapText="1"/>
      <protection locked="0"/>
    </xf>
    <xf numFmtId="176" fontId="86" fillId="0" borderId="86" xfId="0" applyFont="1" applyBorder="1" applyAlignment="1" applyProtection="1">
      <alignment horizontal="center" wrapText="1"/>
      <protection locked="0"/>
    </xf>
    <xf numFmtId="176" fontId="79" fillId="0" borderId="83" xfId="0" applyFont="1" applyBorder="1" applyAlignment="1" applyProtection="1">
      <alignment horizontal="center" wrapText="1"/>
      <protection locked="0"/>
    </xf>
    <xf numFmtId="176" fontId="79" fillId="0" borderId="84" xfId="0" applyFont="1" applyBorder="1" applyAlignment="1" applyProtection="1">
      <alignment horizontal="center" wrapText="1"/>
      <protection locked="0"/>
    </xf>
    <xf numFmtId="167" fontId="42" fillId="0" borderId="0" xfId="1" applyFont="1"/>
    <xf numFmtId="167" fontId="42" fillId="0" borderId="0" xfId="9" applyNumberFormat="1"/>
    <xf numFmtId="167" fontId="46" fillId="0" borderId="0" xfId="1" applyFont="1" applyAlignment="1"/>
    <xf numFmtId="167" fontId="46" fillId="0" borderId="0" xfId="1" applyFont="1" applyAlignment="1">
      <alignment horizontal="center"/>
    </xf>
    <xf numFmtId="176" fontId="31" fillId="3" borderId="13" xfId="0" applyFont="1" applyFill="1" applyBorder="1"/>
    <xf numFmtId="2" fontId="76" fillId="5" borderId="67" xfId="0" applyNumberFormat="1" applyFont="1" applyFill="1" applyBorder="1" applyAlignment="1" applyProtection="1">
      <alignment horizontal="center" wrapText="1"/>
      <protection locked="0"/>
    </xf>
    <xf numFmtId="2" fontId="76" fillId="5" borderId="61" xfId="0" applyNumberFormat="1" applyFont="1" applyFill="1" applyBorder="1" applyAlignment="1" applyProtection="1">
      <alignment horizontal="center" wrapText="1"/>
      <protection locked="0"/>
    </xf>
    <xf numFmtId="2" fontId="79" fillId="0" borderId="0" xfId="0" applyNumberFormat="1" applyFont="1" applyAlignment="1" applyProtection="1">
      <alignment horizontal="center" wrapText="1"/>
      <protection locked="0"/>
    </xf>
    <xf numFmtId="176" fontId="31" fillId="6" borderId="0" xfId="11" applyFill="1"/>
    <xf numFmtId="176" fontId="64" fillId="6" borderId="0" xfId="11" applyFont="1" applyFill="1" applyAlignment="1">
      <alignment horizontal="left"/>
    </xf>
    <xf numFmtId="176" fontId="53" fillId="6" borderId="0" xfId="11" applyFont="1" applyFill="1"/>
    <xf numFmtId="176" fontId="46" fillId="6" borderId="0" xfId="11" applyFont="1" applyFill="1"/>
    <xf numFmtId="176" fontId="68" fillId="6" borderId="12" xfId="11" applyFont="1" applyFill="1" applyBorder="1"/>
    <xf numFmtId="176" fontId="68" fillId="6" borderId="24" xfId="11" applyFont="1" applyFill="1" applyBorder="1"/>
    <xf numFmtId="176" fontId="68" fillId="6" borderId="23" xfId="11" applyFont="1" applyFill="1" applyBorder="1"/>
    <xf numFmtId="176" fontId="68" fillId="6" borderId="36" xfId="11" applyFont="1" applyFill="1" applyBorder="1"/>
    <xf numFmtId="176" fontId="68" fillId="6" borderId="0" xfId="11" applyFont="1" applyFill="1"/>
    <xf numFmtId="176" fontId="68" fillId="6" borderId="13" xfId="11" applyFont="1" applyFill="1" applyBorder="1"/>
    <xf numFmtId="176" fontId="68" fillId="6" borderId="13" xfId="11" applyFont="1" applyFill="1" applyBorder="1" applyAlignment="1">
      <alignment horizontal="center"/>
    </xf>
    <xf numFmtId="176" fontId="68" fillId="6" borderId="25" xfId="11" applyFont="1" applyFill="1" applyBorder="1"/>
    <xf numFmtId="176" fontId="68" fillId="6" borderId="25" xfId="11" applyFont="1" applyFill="1" applyBorder="1" applyAlignment="1">
      <alignment horizontal="center"/>
    </xf>
    <xf numFmtId="176" fontId="68" fillId="6" borderId="0" xfId="11" applyFont="1" applyFill="1" applyAlignment="1">
      <alignment horizontal="center"/>
    </xf>
    <xf numFmtId="176" fontId="68" fillId="6" borderId="29" xfId="11" applyFont="1" applyFill="1" applyBorder="1" applyAlignment="1">
      <alignment horizontal="center"/>
    </xf>
    <xf numFmtId="176" fontId="68" fillId="6" borderId="29" xfId="11" applyFont="1" applyFill="1" applyBorder="1"/>
    <xf numFmtId="176" fontId="68" fillId="6" borderId="25" xfId="11" applyFont="1" applyFill="1" applyBorder="1" applyAlignment="1">
      <alignment horizontal="left"/>
    </xf>
    <xf numFmtId="176" fontId="68" fillId="6" borderId="22" xfId="11" applyFont="1" applyFill="1" applyBorder="1" applyAlignment="1">
      <alignment horizontal="center"/>
    </xf>
    <xf numFmtId="176" fontId="68" fillId="6" borderId="12" xfId="11" applyFont="1" applyFill="1" applyBorder="1" applyAlignment="1">
      <alignment horizontal="center"/>
    </xf>
    <xf numFmtId="170" fontId="69" fillId="6" borderId="13" xfId="11" applyNumberFormat="1" applyFont="1" applyFill="1" applyBorder="1" applyAlignment="1">
      <alignment horizontal="center"/>
    </xf>
    <xf numFmtId="170" fontId="68" fillId="6" borderId="15" xfId="11" applyNumberFormat="1" applyFont="1" applyFill="1" applyBorder="1" applyAlignment="1">
      <alignment horizontal="center"/>
    </xf>
    <xf numFmtId="1" fontId="68" fillId="6" borderId="15" xfId="11" applyNumberFormat="1" applyFont="1" applyFill="1" applyBorder="1" applyAlignment="1">
      <alignment horizontal="right"/>
    </xf>
    <xf numFmtId="170" fontId="68" fillId="6" borderId="15" xfId="11" applyNumberFormat="1" applyFont="1" applyFill="1" applyBorder="1" applyAlignment="1">
      <alignment horizontal="right"/>
    </xf>
    <xf numFmtId="176" fontId="68" fillId="6" borderId="15" xfId="11" applyFont="1" applyFill="1" applyBorder="1"/>
    <xf numFmtId="170" fontId="68" fillId="6" borderId="13" xfId="11" applyNumberFormat="1" applyFont="1" applyFill="1" applyBorder="1" applyAlignment="1">
      <alignment horizontal="left"/>
    </xf>
    <xf numFmtId="1" fontId="68" fillId="6" borderId="13" xfId="11" applyNumberFormat="1" applyFont="1" applyFill="1" applyBorder="1" applyAlignment="1">
      <alignment horizontal="right"/>
    </xf>
    <xf numFmtId="170" fontId="68" fillId="6" borderId="13" xfId="11" applyNumberFormat="1" applyFont="1" applyFill="1" applyBorder="1" applyAlignment="1">
      <alignment horizontal="right"/>
    </xf>
    <xf numFmtId="1" fontId="68" fillId="6" borderId="13" xfId="11" applyNumberFormat="1" applyFont="1" applyFill="1" applyBorder="1" applyAlignment="1">
      <alignment horizontal="center"/>
    </xf>
    <xf numFmtId="170" fontId="68" fillId="6" borderId="13" xfId="11" applyNumberFormat="1" applyFont="1" applyFill="1" applyBorder="1" applyAlignment="1">
      <alignment horizontal="center"/>
    </xf>
    <xf numFmtId="170" fontId="68" fillId="6" borderId="13" xfId="11" applyNumberFormat="1" applyFont="1" applyFill="1" applyBorder="1"/>
    <xf numFmtId="176" fontId="69" fillId="6" borderId="13" xfId="11" applyFont="1" applyFill="1" applyBorder="1" applyAlignment="1">
      <alignment horizontal="center"/>
    </xf>
    <xf numFmtId="176" fontId="31" fillId="6" borderId="0" xfId="11" applyFill="1" applyAlignment="1">
      <alignment horizontal="center"/>
    </xf>
    <xf numFmtId="1" fontId="69" fillId="6" borderId="13" xfId="11" applyNumberFormat="1" applyFont="1" applyFill="1" applyBorder="1" applyAlignment="1">
      <alignment horizontal="center"/>
    </xf>
    <xf numFmtId="170" fontId="68" fillId="6" borderId="29" xfId="11" applyNumberFormat="1" applyFont="1" applyFill="1" applyBorder="1" applyAlignment="1">
      <alignment horizontal="center"/>
    </xf>
    <xf numFmtId="170" fontId="68" fillId="6" borderId="0" xfId="11" applyNumberFormat="1" applyFont="1" applyFill="1" applyAlignment="1">
      <alignment horizontal="center"/>
    </xf>
    <xf numFmtId="174" fontId="68" fillId="6" borderId="0" xfId="11" applyNumberFormat="1" applyFont="1" applyFill="1" applyAlignment="1">
      <alignment horizontal="center"/>
    </xf>
    <xf numFmtId="174" fontId="68" fillId="6" borderId="13" xfId="11" applyNumberFormat="1" applyFont="1" applyFill="1" applyBorder="1" applyAlignment="1">
      <alignment horizontal="center"/>
    </xf>
    <xf numFmtId="174" fontId="68" fillId="6" borderId="29" xfId="11" applyNumberFormat="1" applyFont="1" applyFill="1" applyBorder="1" applyAlignment="1">
      <alignment horizontal="center"/>
    </xf>
    <xf numFmtId="174" fontId="68" fillId="6" borderId="13" xfId="1" applyNumberFormat="1" applyFont="1" applyFill="1" applyBorder="1" applyAlignment="1">
      <alignment horizontal="center"/>
    </xf>
    <xf numFmtId="174" fontId="68" fillId="6" borderId="29" xfId="1" applyNumberFormat="1" applyFont="1" applyFill="1" applyBorder="1" applyAlignment="1">
      <alignment horizontal="center"/>
    </xf>
    <xf numFmtId="177" fontId="68" fillId="6" borderId="15" xfId="11" applyNumberFormat="1" applyFont="1" applyFill="1" applyBorder="1"/>
    <xf numFmtId="176" fontId="68" fillId="6" borderId="26" xfId="11" applyFont="1" applyFill="1" applyBorder="1"/>
    <xf numFmtId="176" fontId="68" fillId="6" borderId="37" xfId="11" applyFont="1" applyFill="1" applyBorder="1"/>
    <xf numFmtId="170" fontId="68" fillId="6" borderId="0" xfId="11" applyNumberFormat="1" applyFont="1" applyFill="1"/>
    <xf numFmtId="176" fontId="29" fillId="6" borderId="0" xfId="11" applyFont="1" applyFill="1"/>
    <xf numFmtId="4" fontId="78" fillId="5" borderId="94" xfId="0" applyNumberFormat="1" applyFont="1" applyFill="1" applyBorder="1" applyAlignment="1" applyProtection="1">
      <alignment horizontal="center" wrapText="1"/>
      <protection locked="0"/>
    </xf>
    <xf numFmtId="4" fontId="78" fillId="5" borderId="88" xfId="0" applyNumberFormat="1" applyFont="1" applyFill="1" applyBorder="1" applyAlignment="1" applyProtection="1">
      <alignment horizontal="center" wrapText="1"/>
      <protection locked="0"/>
    </xf>
    <xf numFmtId="0" fontId="76" fillId="5" borderId="61" xfId="1" applyNumberFormat="1" applyFont="1" applyFill="1" applyBorder="1" applyAlignment="1" applyProtection="1">
      <alignment horizontal="center" wrapText="1"/>
      <protection locked="0"/>
    </xf>
    <xf numFmtId="176" fontId="76" fillId="0" borderId="62" xfId="0" applyFont="1" applyBorder="1" applyAlignment="1" applyProtection="1">
      <alignment horizontal="center"/>
      <protection locked="0"/>
    </xf>
    <xf numFmtId="176" fontId="76" fillId="5" borderId="61" xfId="0" applyFont="1" applyFill="1" applyBorder="1" applyAlignment="1" applyProtection="1">
      <alignment horizontal="center" vertical="center" wrapText="1"/>
      <protection locked="0"/>
    </xf>
    <xf numFmtId="0" fontId="76" fillId="5" borderId="61" xfId="0" applyNumberFormat="1" applyFont="1" applyFill="1" applyBorder="1" applyAlignment="1" applyProtection="1">
      <alignment horizontal="center" vertical="center" wrapText="1"/>
      <protection locked="0"/>
    </xf>
    <xf numFmtId="176" fontId="76" fillId="5" borderId="0" xfId="0" applyFont="1" applyFill="1" applyAlignment="1" applyProtection="1">
      <alignment wrapText="1"/>
      <protection locked="0"/>
    </xf>
    <xf numFmtId="4" fontId="78" fillId="5" borderId="29" xfId="0" applyNumberFormat="1" applyFont="1" applyFill="1" applyBorder="1" applyAlignment="1" applyProtection="1">
      <alignment horizontal="center" wrapText="1"/>
      <protection locked="0"/>
    </xf>
    <xf numFmtId="176" fontId="79" fillId="5" borderId="66" xfId="0" applyFont="1" applyFill="1" applyBorder="1" applyAlignment="1" applyProtection="1">
      <alignment horizontal="left" vertical="center" wrapText="1"/>
      <protection locked="0"/>
    </xf>
    <xf numFmtId="176" fontId="78" fillId="0" borderId="69" xfId="0" applyFont="1" applyBorder="1" applyAlignment="1" applyProtection="1">
      <alignment horizontal="left" vertical="center" wrapText="1"/>
      <protection locked="0"/>
    </xf>
    <xf numFmtId="176" fontId="78" fillId="0" borderId="60" xfId="0" applyFont="1" applyBorder="1" applyAlignment="1" applyProtection="1">
      <alignment horizontal="left" vertical="center" wrapText="1"/>
      <protection locked="0"/>
    </xf>
    <xf numFmtId="176" fontId="78" fillId="0" borderId="61" xfId="0" applyFont="1" applyBorder="1" applyAlignment="1" applyProtection="1">
      <alignment horizontal="left" vertical="center" wrapText="1"/>
      <protection locked="0"/>
    </xf>
    <xf numFmtId="176" fontId="78" fillId="0" borderId="62" xfId="0" applyFont="1" applyBorder="1" applyAlignment="1" applyProtection="1">
      <alignment horizontal="left" vertical="center" wrapText="1"/>
      <protection locked="0"/>
    </xf>
    <xf numFmtId="176" fontId="80" fillId="0" borderId="0" xfId="0" applyFont="1" applyAlignment="1" applyProtection="1">
      <alignment horizontal="left" vertical="center"/>
      <protection locked="0"/>
    </xf>
    <xf numFmtId="176" fontId="84" fillId="5" borderId="66" xfId="0" applyFont="1" applyFill="1" applyBorder="1" applyAlignment="1" applyProtection="1">
      <alignment horizontal="left" vertical="center" wrapText="1"/>
      <protection locked="0"/>
    </xf>
    <xf numFmtId="176" fontId="76" fillId="5" borderId="60" xfId="0" applyFont="1" applyFill="1" applyBorder="1" applyAlignment="1" applyProtection="1">
      <alignment horizontal="left" vertical="center" wrapText="1"/>
      <protection locked="0"/>
    </xf>
    <xf numFmtId="176" fontId="76" fillId="5" borderId="61" xfId="0" applyFont="1" applyFill="1" applyBorder="1" applyAlignment="1" applyProtection="1">
      <alignment horizontal="left" vertical="center" wrapText="1"/>
      <protection locked="0"/>
    </xf>
    <xf numFmtId="176" fontId="76" fillId="5" borderId="62" xfId="0" applyFont="1" applyFill="1" applyBorder="1" applyAlignment="1" applyProtection="1">
      <alignment horizontal="left" vertical="center" wrapText="1"/>
      <protection locked="0"/>
    </xf>
    <xf numFmtId="176" fontId="77" fillId="5" borderId="62" xfId="0" applyFont="1" applyFill="1" applyBorder="1" applyAlignment="1" applyProtection="1">
      <alignment horizontal="left" vertical="center" wrapText="1"/>
      <protection locked="0"/>
    </xf>
    <xf numFmtId="176" fontId="77" fillId="5" borderId="60" xfId="0" applyFont="1" applyFill="1" applyBorder="1" applyAlignment="1" applyProtection="1">
      <alignment horizontal="left" vertical="center" wrapText="1"/>
      <protection locked="0"/>
    </xf>
    <xf numFmtId="0" fontId="76" fillId="0" borderId="61" xfId="0" applyNumberFormat="1" applyFont="1" applyBorder="1" applyAlignment="1" applyProtection="1">
      <alignment horizontal="center" vertical="center" wrapText="1"/>
      <protection locked="0"/>
    </xf>
    <xf numFmtId="176" fontId="90" fillId="5" borderId="0" xfId="0" applyFont="1" applyFill="1" applyAlignment="1" applyProtection="1">
      <alignment horizontal="left" vertical="center" wrapText="1"/>
      <protection locked="0"/>
    </xf>
    <xf numFmtId="176" fontId="76" fillId="0" borderId="102" xfId="0" applyFont="1" applyBorder="1" applyAlignment="1" applyProtection="1">
      <alignment horizontal="center" wrapText="1"/>
      <protection locked="0"/>
    </xf>
    <xf numFmtId="176" fontId="90" fillId="0" borderId="61" xfId="0" applyFont="1" applyBorder="1" applyAlignment="1" applyProtection="1">
      <alignment horizontal="left" wrapText="1"/>
      <protection locked="0"/>
    </xf>
    <xf numFmtId="176" fontId="90" fillId="0" borderId="0" xfId="0" applyFont="1" applyAlignment="1" applyProtection="1">
      <alignment horizontal="left" wrapText="1"/>
      <protection locked="0"/>
    </xf>
    <xf numFmtId="176" fontId="90" fillId="0" borderId="64" xfId="0" applyFont="1" applyBorder="1" applyAlignment="1" applyProtection="1">
      <alignment horizontal="left" wrapText="1"/>
      <protection locked="0"/>
    </xf>
    <xf numFmtId="176" fontId="90" fillId="0" borderId="62" xfId="0" applyFont="1" applyBorder="1" applyAlignment="1" applyProtection="1">
      <alignment horizontal="left" wrapText="1"/>
      <protection locked="0"/>
    </xf>
    <xf numFmtId="176" fontId="90" fillId="0" borderId="60" xfId="0" applyFont="1" applyBorder="1" applyAlignment="1" applyProtection="1">
      <alignment horizontal="left" wrapText="1"/>
      <protection locked="0"/>
    </xf>
    <xf numFmtId="176" fontId="90" fillId="0" borderId="4" xfId="0" applyFont="1" applyBorder="1" applyAlignment="1" applyProtection="1">
      <alignment horizontal="left" wrapText="1"/>
      <protection locked="0"/>
    </xf>
    <xf numFmtId="176" fontId="46" fillId="0" borderId="0" xfId="4" applyNumberFormat="1" applyFont="1" applyAlignment="1">
      <alignment horizontal="fill"/>
    </xf>
    <xf numFmtId="170" fontId="46" fillId="0" borderId="0" xfId="4" applyFont="1" applyAlignment="1"/>
    <xf numFmtId="176" fontId="47" fillId="0" borderId="0" xfId="4" applyNumberFormat="1" applyFont="1" applyAlignment="1"/>
    <xf numFmtId="176" fontId="89" fillId="5" borderId="61" xfId="0" applyFont="1" applyFill="1" applyBorder="1" applyAlignment="1" applyProtection="1">
      <alignment horizontal="center" vertical="center" wrapText="1"/>
      <protection locked="0"/>
    </xf>
    <xf numFmtId="176" fontId="83" fillId="0" borderId="0" xfId="0" applyFont="1" applyAlignment="1" applyProtection="1">
      <alignment wrapText="1"/>
      <protection locked="0"/>
    </xf>
    <xf numFmtId="2" fontId="76" fillId="5" borderId="61" xfId="0" applyNumberFormat="1" applyFont="1" applyFill="1" applyBorder="1" applyAlignment="1" applyProtection="1">
      <alignment horizontal="center" vertical="center" wrapText="1"/>
      <protection locked="0"/>
    </xf>
    <xf numFmtId="2" fontId="76" fillId="0" borderId="61" xfId="0" applyNumberFormat="1" applyFont="1" applyBorder="1" applyAlignment="1" applyProtection="1">
      <alignment horizontal="center" vertical="center" wrapText="1"/>
      <protection locked="0"/>
    </xf>
    <xf numFmtId="176" fontId="29" fillId="6" borderId="2" xfId="0" applyFont="1" applyFill="1" applyBorder="1" applyAlignment="1">
      <alignment horizontal="center"/>
    </xf>
    <xf numFmtId="1" fontId="42" fillId="6" borderId="0" xfId="9" applyNumberFormat="1" applyFill="1"/>
    <xf numFmtId="176" fontId="38" fillId="6" borderId="0" xfId="0" applyFont="1" applyFill="1" applyProtection="1">
      <protection locked="0"/>
    </xf>
    <xf numFmtId="1" fontId="40" fillId="6" borderId="0" xfId="9" applyNumberFormat="1" applyFont="1" applyFill="1"/>
    <xf numFmtId="1" fontId="43" fillId="6" borderId="0" xfId="9" applyNumberFormat="1" applyFont="1" applyFill="1"/>
    <xf numFmtId="1" fontId="40" fillId="6" borderId="3" xfId="9" applyNumberFormat="1" applyFont="1" applyFill="1" applyBorder="1"/>
    <xf numFmtId="1" fontId="42" fillId="6" borderId="2" xfId="9" applyNumberFormat="1" applyFill="1" applyBorder="1"/>
    <xf numFmtId="1" fontId="40" fillId="6" borderId="2" xfId="9" applyNumberFormat="1" applyFont="1" applyFill="1" applyBorder="1"/>
    <xf numFmtId="1" fontId="40" fillId="6" borderId="2" xfId="9" applyNumberFormat="1" applyFont="1" applyFill="1" applyBorder="1" applyAlignment="1">
      <alignment horizontal="center"/>
    </xf>
    <xf numFmtId="1" fontId="43" fillId="6" borderId="2" xfId="9" applyNumberFormat="1" applyFont="1" applyFill="1" applyBorder="1"/>
    <xf numFmtId="1" fontId="43" fillId="6" borderId="3" xfId="9" applyNumberFormat="1" applyFont="1" applyFill="1" applyBorder="1"/>
    <xf numFmtId="170" fontId="40" fillId="6" borderId="2" xfId="9" applyNumberFormat="1" applyFont="1" applyFill="1" applyBorder="1" applyAlignment="1">
      <alignment horizontal="center"/>
    </xf>
    <xf numFmtId="170" fontId="40" fillId="6" borderId="4" xfId="9" applyNumberFormat="1" applyFont="1" applyFill="1" applyBorder="1" applyAlignment="1">
      <alignment horizontal="center"/>
    </xf>
    <xf numFmtId="170" fontId="40" fillId="6" borderId="0" xfId="9" applyNumberFormat="1" applyFont="1" applyFill="1" applyAlignment="1">
      <alignment horizontal="center"/>
    </xf>
    <xf numFmtId="1" fontId="40" fillId="6" borderId="4" xfId="9" applyNumberFormat="1" applyFont="1" applyFill="1" applyBorder="1"/>
    <xf numFmtId="178" fontId="40" fillId="6" borderId="2" xfId="1" applyNumberFormat="1" applyFont="1" applyFill="1" applyBorder="1" applyAlignment="1">
      <alignment horizontal="center"/>
    </xf>
    <xf numFmtId="178" fontId="40" fillId="6" borderId="4" xfId="1" applyNumberFormat="1" applyFont="1" applyFill="1" applyBorder="1" applyAlignment="1">
      <alignment horizontal="center"/>
    </xf>
    <xf numFmtId="178" fontId="40" fillId="6" borderId="0" xfId="1" applyNumberFormat="1" applyFont="1" applyFill="1" applyBorder="1" applyAlignment="1">
      <alignment horizontal="center"/>
    </xf>
    <xf numFmtId="3" fontId="40" fillId="6" borderId="2" xfId="1" applyNumberFormat="1" applyFont="1" applyFill="1" applyBorder="1" applyAlignment="1">
      <alignment horizontal="center"/>
    </xf>
    <xf numFmtId="3" fontId="40" fillId="6" borderId="4" xfId="1" applyNumberFormat="1" applyFont="1" applyFill="1" applyBorder="1" applyAlignment="1">
      <alignment horizontal="center"/>
    </xf>
    <xf numFmtId="3" fontId="40" fillId="6" borderId="0" xfId="1" applyNumberFormat="1" applyFont="1" applyFill="1" applyBorder="1" applyAlignment="1">
      <alignment horizontal="center"/>
    </xf>
    <xf numFmtId="174" fontId="40" fillId="6" borderId="4" xfId="1" applyNumberFormat="1" applyFont="1" applyFill="1" applyBorder="1" applyAlignment="1">
      <alignment horizontal="center"/>
    </xf>
    <xf numFmtId="174" fontId="40" fillId="6" borderId="2" xfId="1" applyNumberFormat="1" applyFont="1" applyFill="1" applyBorder="1" applyAlignment="1">
      <alignment horizontal="center"/>
    </xf>
    <xf numFmtId="176" fontId="40" fillId="6" borderId="2" xfId="1" applyNumberFormat="1" applyFont="1" applyFill="1" applyBorder="1" applyAlignment="1">
      <alignment horizontal="center"/>
    </xf>
    <xf numFmtId="176" fontId="40" fillId="6" borderId="4" xfId="1" applyNumberFormat="1" applyFont="1" applyFill="1" applyBorder="1" applyAlignment="1">
      <alignment horizontal="center"/>
    </xf>
    <xf numFmtId="174" fontId="40" fillId="6" borderId="0" xfId="1" applyNumberFormat="1" applyFont="1" applyFill="1" applyBorder="1" applyAlignment="1">
      <alignment horizontal="center"/>
    </xf>
    <xf numFmtId="176" fontId="79" fillId="6" borderId="61" xfId="0" applyFont="1" applyFill="1" applyBorder="1" applyAlignment="1" applyProtection="1">
      <alignment horizontal="center" wrapText="1"/>
      <protection locked="0"/>
    </xf>
    <xf numFmtId="176" fontId="79" fillId="6" borderId="61" xfId="0" applyFont="1" applyFill="1" applyBorder="1" applyAlignment="1" applyProtection="1">
      <alignment horizontal="left" wrapText="1"/>
      <protection locked="0"/>
    </xf>
    <xf numFmtId="4" fontId="79" fillId="6" borderId="61" xfId="0" applyNumberFormat="1" applyFont="1" applyFill="1" applyBorder="1" applyAlignment="1" applyProtection="1">
      <alignment horizontal="center" wrapText="1"/>
      <protection locked="0"/>
    </xf>
    <xf numFmtId="176" fontId="79" fillId="6" borderId="68" xfId="0" applyFont="1" applyFill="1" applyBorder="1" applyAlignment="1" applyProtection="1">
      <alignment horizontal="left" wrapText="1"/>
      <protection locked="0"/>
    </xf>
    <xf numFmtId="4" fontId="79" fillId="6" borderId="68" xfId="0" applyNumberFormat="1" applyFont="1" applyFill="1" applyBorder="1" applyAlignment="1" applyProtection="1">
      <alignment horizontal="center" wrapText="1"/>
      <protection locked="0"/>
    </xf>
    <xf numFmtId="176" fontId="79" fillId="6" borderId="68" xfId="0" applyFont="1" applyFill="1" applyBorder="1" applyAlignment="1" applyProtection="1">
      <alignment horizontal="center" wrapText="1"/>
      <protection locked="0"/>
    </xf>
    <xf numFmtId="4" fontId="79" fillId="6" borderId="0" xfId="0" applyNumberFormat="1" applyFont="1" applyFill="1" applyAlignment="1" applyProtection="1">
      <alignment horizontal="center" wrapText="1"/>
      <protection locked="0"/>
    </xf>
    <xf numFmtId="4" fontId="79" fillId="6" borderId="64" xfId="0" applyNumberFormat="1" applyFont="1" applyFill="1" applyBorder="1" applyAlignment="1" applyProtection="1">
      <alignment horizontal="center" wrapText="1"/>
      <protection locked="0"/>
    </xf>
    <xf numFmtId="4" fontId="79" fillId="6" borderId="61" xfId="0" applyNumberFormat="1" applyFont="1" applyFill="1" applyBorder="1" applyAlignment="1" applyProtection="1">
      <alignment horizontal="left" wrapText="1"/>
      <protection locked="0"/>
    </xf>
    <xf numFmtId="4" fontId="79" fillId="6" borderId="67" xfId="0" applyNumberFormat="1" applyFont="1" applyFill="1" applyBorder="1" applyAlignment="1" applyProtection="1">
      <alignment horizontal="center" wrapText="1"/>
      <protection locked="0"/>
    </xf>
    <xf numFmtId="174" fontId="79" fillId="6" borderId="61" xfId="0" applyNumberFormat="1" applyFont="1" applyFill="1" applyBorder="1" applyAlignment="1" applyProtection="1">
      <alignment horizontal="center" wrapText="1"/>
      <protection locked="0"/>
    </xf>
    <xf numFmtId="174" fontId="79" fillId="6" borderId="61" xfId="0" applyNumberFormat="1" applyFont="1" applyFill="1" applyBorder="1" applyAlignment="1" applyProtection="1">
      <alignment horizontal="left" wrapText="1"/>
      <protection locked="0"/>
    </xf>
    <xf numFmtId="176" fontId="38" fillId="6" borderId="62" xfId="0" applyFont="1" applyFill="1" applyBorder="1" applyProtection="1">
      <protection locked="0"/>
    </xf>
    <xf numFmtId="176" fontId="76" fillId="6" borderId="0" xfId="0" applyFont="1" applyFill="1" applyAlignment="1" applyProtection="1">
      <alignment horizontal="left" vertical="center" wrapText="1"/>
      <protection locked="0"/>
    </xf>
    <xf numFmtId="176" fontId="79" fillId="6" borderId="66" xfId="0" applyFont="1" applyFill="1" applyBorder="1" applyAlignment="1" applyProtection="1">
      <alignment horizontal="left" vertical="center" wrapText="1"/>
      <protection locked="0"/>
    </xf>
    <xf numFmtId="176" fontId="79" fillId="6" borderId="60" xfId="0" applyFont="1" applyFill="1" applyBorder="1" applyAlignment="1" applyProtection="1">
      <alignment horizontal="left" vertical="center" wrapText="1"/>
      <protection locked="0"/>
    </xf>
    <xf numFmtId="176" fontId="79" fillId="6" borderId="61" xfId="0" applyFont="1" applyFill="1" applyBorder="1" applyAlignment="1" applyProtection="1">
      <alignment horizontal="center" vertical="center" wrapText="1"/>
      <protection locked="0"/>
    </xf>
    <xf numFmtId="176" fontId="79" fillId="6" borderId="61" xfId="0" applyFont="1" applyFill="1" applyBorder="1" applyAlignment="1" applyProtection="1">
      <alignment horizontal="left" vertical="center" wrapText="1"/>
      <protection locked="0"/>
    </xf>
    <xf numFmtId="176" fontId="79" fillId="6" borderId="62" xfId="0" applyFont="1" applyFill="1" applyBorder="1" applyAlignment="1" applyProtection="1">
      <alignment horizontal="left" vertical="center" wrapText="1"/>
      <protection locked="0"/>
    </xf>
    <xf numFmtId="176" fontId="79" fillId="6" borderId="60" xfId="0" applyFont="1" applyFill="1" applyBorder="1" applyAlignment="1" applyProtection="1">
      <alignment horizontal="center" vertical="center" wrapText="1"/>
      <protection locked="0"/>
    </xf>
    <xf numFmtId="176" fontId="78" fillId="6" borderId="60" xfId="0" applyFont="1" applyFill="1" applyBorder="1" applyAlignment="1" applyProtection="1">
      <alignment horizontal="center" vertical="center" wrapText="1"/>
      <protection locked="0"/>
    </xf>
    <xf numFmtId="0" fontId="79" fillId="6" borderId="61" xfId="0" applyNumberFormat="1" applyFont="1" applyFill="1" applyBorder="1" applyAlignment="1" applyProtection="1">
      <alignment horizontal="center" vertical="center" wrapText="1"/>
      <protection locked="0"/>
    </xf>
    <xf numFmtId="176" fontId="78" fillId="6" borderId="61" xfId="0" applyFont="1" applyFill="1" applyBorder="1" applyAlignment="1" applyProtection="1">
      <alignment horizontal="center" vertical="center" wrapText="1"/>
      <protection locked="0"/>
    </xf>
    <xf numFmtId="0" fontId="78" fillId="6" borderId="61" xfId="0" applyNumberFormat="1" applyFont="1" applyFill="1" applyBorder="1" applyAlignment="1" applyProtection="1">
      <alignment horizontal="center" vertical="center" wrapText="1"/>
      <protection locked="0"/>
    </xf>
    <xf numFmtId="174" fontId="78" fillId="6" borderId="61" xfId="0" applyNumberFormat="1" applyFont="1" applyFill="1" applyBorder="1" applyAlignment="1" applyProtection="1">
      <alignment horizontal="center" vertical="center" wrapText="1"/>
      <protection locked="0"/>
    </xf>
    <xf numFmtId="176" fontId="78" fillId="6" borderId="61" xfId="0" applyFont="1" applyFill="1" applyBorder="1" applyAlignment="1" applyProtection="1">
      <alignment horizontal="left" vertical="center" wrapText="1"/>
      <protection locked="0"/>
    </xf>
    <xf numFmtId="176" fontId="78" fillId="6" borderId="62" xfId="0" applyFont="1" applyFill="1" applyBorder="1" applyAlignment="1" applyProtection="1">
      <alignment horizontal="left" vertical="center" wrapText="1"/>
      <protection locked="0"/>
    </xf>
    <xf numFmtId="176" fontId="78" fillId="6" borderId="62" xfId="0" applyFont="1" applyFill="1" applyBorder="1" applyAlignment="1" applyProtection="1">
      <alignment horizontal="center" vertical="center" wrapText="1"/>
      <protection locked="0"/>
    </xf>
    <xf numFmtId="176" fontId="56" fillId="6" borderId="0" xfId="0" applyFont="1" applyFill="1" applyProtection="1">
      <protection locked="0"/>
    </xf>
    <xf numFmtId="1" fontId="65" fillId="6" borderId="0" xfId="9" applyNumberFormat="1" applyFont="1" applyFill="1" applyProtection="1">
      <protection locked="0"/>
    </xf>
    <xf numFmtId="2" fontId="65" fillId="6" borderId="0" xfId="9" applyNumberFormat="1" applyFont="1" applyFill="1" applyProtection="1">
      <protection locked="0"/>
    </xf>
    <xf numFmtId="2" fontId="65" fillId="6" borderId="0" xfId="9" applyNumberFormat="1" applyFont="1" applyFill="1"/>
    <xf numFmtId="1" fontId="65" fillId="6" borderId="0" xfId="9" applyNumberFormat="1" applyFont="1" applyFill="1"/>
    <xf numFmtId="1" fontId="65" fillId="6" borderId="3" xfId="9" applyNumberFormat="1" applyFont="1" applyFill="1" applyBorder="1"/>
    <xf numFmtId="2" fontId="65" fillId="6" borderId="3" xfId="9" applyNumberFormat="1" applyFont="1" applyFill="1" applyBorder="1"/>
    <xf numFmtId="2" fontId="65" fillId="6" borderId="5" xfId="9" applyNumberFormat="1" applyFont="1" applyFill="1" applyBorder="1"/>
    <xf numFmtId="1" fontId="65" fillId="6" borderId="2" xfId="9" applyNumberFormat="1" applyFont="1" applyFill="1" applyBorder="1" applyAlignment="1">
      <alignment horizontal="center"/>
    </xf>
    <xf numFmtId="2" fontId="65" fillId="6" borderId="2" xfId="9" applyNumberFormat="1" applyFont="1" applyFill="1" applyBorder="1" applyAlignment="1">
      <alignment horizontal="center"/>
    </xf>
    <xf numFmtId="2" fontId="65" fillId="6" borderId="4" xfId="9" applyNumberFormat="1" applyFont="1" applyFill="1" applyBorder="1" applyAlignment="1">
      <alignment horizontal="center"/>
    </xf>
    <xf numFmtId="1" fontId="65" fillId="6" borderId="2" xfId="9" applyNumberFormat="1" applyFont="1" applyFill="1" applyBorder="1"/>
    <xf numFmtId="2" fontId="65" fillId="6" borderId="2" xfId="9" applyNumberFormat="1" applyFont="1" applyFill="1" applyBorder="1"/>
    <xf numFmtId="2" fontId="65" fillId="6" borderId="4" xfId="9" applyNumberFormat="1" applyFont="1" applyFill="1" applyBorder="1"/>
    <xf numFmtId="1" fontId="65" fillId="6" borderId="21" xfId="9" applyNumberFormat="1" applyFont="1" applyFill="1" applyBorder="1"/>
    <xf numFmtId="2" fontId="65" fillId="6" borderId="21" xfId="9" applyNumberFormat="1" applyFont="1" applyFill="1" applyBorder="1"/>
    <xf numFmtId="2" fontId="65" fillId="6" borderId="9" xfId="9" applyNumberFormat="1" applyFont="1" applyFill="1" applyBorder="1"/>
    <xf numFmtId="1" fontId="67" fillId="6" borderId="3" xfId="9" applyNumberFormat="1" applyFont="1" applyFill="1" applyBorder="1"/>
    <xf numFmtId="2" fontId="67" fillId="6" borderId="3" xfId="9" applyNumberFormat="1" applyFont="1" applyFill="1" applyBorder="1" applyAlignment="1">
      <alignment horizontal="center"/>
    </xf>
    <xf numFmtId="2" fontId="67" fillId="6" borderId="5" xfId="9" applyNumberFormat="1" applyFont="1" applyFill="1" applyBorder="1" applyAlignment="1">
      <alignment horizontal="center"/>
    </xf>
    <xf numFmtId="1" fontId="40" fillId="6" borderId="2" xfId="9" applyNumberFormat="1" applyFont="1" applyFill="1" applyBorder="1" applyAlignment="1" applyProtection="1">
      <alignment horizontal="center"/>
      <protection locked="0"/>
    </xf>
    <xf numFmtId="1" fontId="40" fillId="6" borderId="2" xfId="9" applyNumberFormat="1" applyFont="1" applyFill="1" applyBorder="1" applyProtection="1">
      <protection locked="0"/>
    </xf>
    <xf numFmtId="37" fontId="43" fillId="6" borderId="2" xfId="1" applyNumberFormat="1" applyFont="1" applyFill="1" applyBorder="1" applyAlignment="1">
      <alignment horizontal="center"/>
    </xf>
    <xf numFmtId="37" fontId="43" fillId="6" borderId="4" xfId="1" applyNumberFormat="1" applyFont="1" applyFill="1" applyBorder="1" applyAlignment="1">
      <alignment horizontal="center"/>
    </xf>
    <xf numFmtId="1" fontId="40" fillId="6" borderId="4" xfId="9" applyNumberFormat="1" applyFont="1" applyFill="1" applyBorder="1" applyProtection="1">
      <protection locked="0"/>
    </xf>
    <xf numFmtId="1" fontId="40" fillId="6" borderId="13" xfId="9" applyNumberFormat="1" applyFont="1" applyFill="1" applyBorder="1" applyProtection="1">
      <protection locked="0"/>
    </xf>
    <xf numFmtId="37" fontId="43" fillId="6" borderId="13" xfId="1" applyNumberFormat="1" applyFont="1" applyFill="1" applyBorder="1" applyAlignment="1">
      <alignment horizontal="center"/>
    </xf>
    <xf numFmtId="37" fontId="43" fillId="6" borderId="17" xfId="1" applyNumberFormat="1" applyFont="1" applyFill="1" applyBorder="1" applyAlignment="1">
      <alignment horizontal="center"/>
    </xf>
    <xf numFmtId="37" fontId="31" fillId="6" borderId="13" xfId="1" applyNumberFormat="1" applyFont="1" applyFill="1" applyBorder="1" applyAlignment="1" applyProtection="1">
      <alignment horizontal="center"/>
      <protection locked="0"/>
    </xf>
    <xf numFmtId="37" fontId="31" fillId="6" borderId="17" xfId="1" applyNumberFormat="1" applyFont="1" applyFill="1" applyBorder="1" applyAlignment="1" applyProtection="1">
      <alignment horizontal="center"/>
      <protection locked="0"/>
    </xf>
    <xf numFmtId="176" fontId="31" fillId="6" borderId="15" xfId="0" applyFont="1" applyFill="1" applyBorder="1" applyProtection="1">
      <protection locked="0"/>
    </xf>
    <xf numFmtId="176" fontId="78" fillId="6" borderId="61" xfId="0" applyFont="1" applyFill="1" applyBorder="1" applyAlignment="1" applyProtection="1">
      <alignment horizontal="center" wrapText="1"/>
      <protection locked="0"/>
    </xf>
    <xf numFmtId="4" fontId="78" fillId="6" borderId="61" xfId="0" applyNumberFormat="1" applyFont="1" applyFill="1" applyBorder="1" applyAlignment="1" applyProtection="1">
      <alignment horizontal="center" wrapText="1"/>
      <protection locked="0"/>
    </xf>
    <xf numFmtId="176" fontId="79" fillId="6" borderId="62" xfId="0" applyFont="1" applyFill="1" applyBorder="1" applyAlignment="1" applyProtection="1">
      <alignment horizontal="left" wrapText="1"/>
      <protection locked="0"/>
    </xf>
    <xf numFmtId="4" fontId="78" fillId="6" borderId="62" xfId="0" applyNumberFormat="1" applyFont="1" applyFill="1" applyBorder="1" applyAlignment="1" applyProtection="1">
      <alignment horizontal="center" wrapText="1"/>
      <protection locked="0"/>
    </xf>
    <xf numFmtId="176" fontId="78" fillId="6" borderId="61" xfId="0" applyFont="1" applyFill="1" applyBorder="1" applyAlignment="1" applyProtection="1">
      <alignment horizontal="left" wrapText="1"/>
      <protection locked="0"/>
    </xf>
    <xf numFmtId="3" fontId="78" fillId="6" borderId="61" xfId="0" applyNumberFormat="1" applyFont="1" applyFill="1" applyBorder="1" applyAlignment="1" applyProtection="1">
      <alignment horizontal="center" wrapText="1"/>
      <protection locked="0"/>
    </xf>
    <xf numFmtId="174" fontId="78" fillId="6" borderId="61" xfId="0" applyNumberFormat="1" applyFont="1" applyFill="1" applyBorder="1" applyAlignment="1" applyProtection="1">
      <alignment horizontal="center" wrapText="1"/>
      <protection locked="0"/>
    </xf>
    <xf numFmtId="176" fontId="78" fillId="6" borderId="62" xfId="0" applyFont="1" applyFill="1" applyBorder="1" applyAlignment="1" applyProtection="1">
      <alignment horizontal="center" wrapText="1"/>
      <protection locked="0"/>
    </xf>
    <xf numFmtId="176" fontId="56" fillId="6" borderId="62" xfId="0" applyFont="1" applyFill="1" applyBorder="1" applyProtection="1">
      <protection locked="0"/>
    </xf>
    <xf numFmtId="173" fontId="56" fillId="6" borderId="0" xfId="14" applyNumberFormat="1" applyFont="1" applyFill="1" applyAlignment="1" applyProtection="1">
      <alignment horizontal="center"/>
      <protection locked="0"/>
    </xf>
    <xf numFmtId="173" fontId="88" fillId="6" borderId="0" xfId="14" applyNumberFormat="1" applyFont="1" applyFill="1" applyAlignment="1" applyProtection="1">
      <alignment horizontal="center"/>
      <protection locked="0"/>
    </xf>
    <xf numFmtId="176" fontId="64" fillId="3" borderId="2" xfId="0" applyFont="1" applyFill="1" applyBorder="1"/>
    <xf numFmtId="176" fontId="64" fillId="3" borderId="2" xfId="0" applyFont="1" applyFill="1" applyBorder="1" applyAlignment="1">
      <alignment horizontal="center"/>
    </xf>
    <xf numFmtId="176" fontId="53" fillId="3" borderId="96" xfId="0" applyFont="1" applyFill="1" applyBorder="1"/>
    <xf numFmtId="176" fontId="53" fillId="3" borderId="95" xfId="0" applyFont="1" applyFill="1" applyBorder="1"/>
    <xf numFmtId="179" fontId="76" fillId="5" borderId="61" xfId="1" applyNumberFormat="1" applyFont="1" applyFill="1" applyBorder="1" applyAlignment="1" applyProtection="1">
      <alignment horizontal="center" wrapText="1"/>
      <protection locked="0"/>
    </xf>
    <xf numFmtId="170" fontId="53" fillId="3" borderId="2" xfId="0" applyNumberFormat="1" applyFont="1" applyFill="1" applyBorder="1" applyAlignment="1">
      <alignment horizontal="center"/>
    </xf>
    <xf numFmtId="170" fontId="53" fillId="3" borderId="4" xfId="0" applyNumberFormat="1" applyFont="1" applyFill="1" applyBorder="1" applyAlignment="1">
      <alignment horizontal="center"/>
    </xf>
    <xf numFmtId="176" fontId="53" fillId="3" borderId="2" xfId="0" applyFont="1" applyFill="1" applyBorder="1" applyAlignment="1">
      <alignment horizontal="left"/>
    </xf>
    <xf numFmtId="176" fontId="76" fillId="5" borderId="62" xfId="0" applyFont="1" applyFill="1" applyBorder="1" applyAlignment="1" applyProtection="1">
      <alignment horizontal="left" wrapText="1"/>
      <protection locked="0"/>
    </xf>
    <xf numFmtId="4" fontId="77" fillId="5" borderId="68" xfId="0" applyNumberFormat="1" applyFont="1" applyFill="1" applyBorder="1" applyAlignment="1" applyProtection="1">
      <alignment horizontal="center" wrapText="1"/>
      <protection locked="0"/>
    </xf>
    <xf numFmtId="176" fontId="77" fillId="5" borderId="68" xfId="0" applyFont="1" applyFill="1" applyBorder="1" applyAlignment="1" applyProtection="1">
      <alignment horizontal="center" wrapText="1"/>
      <protection locked="0"/>
    </xf>
    <xf numFmtId="167" fontId="77" fillId="5" borderId="61" xfId="1" applyFont="1" applyFill="1" applyBorder="1" applyAlignment="1" applyProtection="1">
      <alignment horizontal="center" wrapText="1"/>
      <protection locked="0"/>
    </xf>
    <xf numFmtId="174" fontId="77" fillId="5" borderId="94" xfId="0" applyNumberFormat="1" applyFont="1" applyFill="1" applyBorder="1" applyAlignment="1" applyProtection="1">
      <alignment horizontal="center" wrapText="1"/>
      <protection locked="0"/>
    </xf>
    <xf numFmtId="174" fontId="77" fillId="5" borderId="61" xfId="0" applyNumberFormat="1" applyFont="1" applyFill="1" applyBorder="1" applyAlignment="1" applyProtection="1">
      <alignment horizontal="center" wrapText="1"/>
      <protection locked="0"/>
    </xf>
    <xf numFmtId="176" fontId="68" fillId="3" borderId="0" xfId="0" applyFont="1" applyFill="1" applyProtection="1">
      <protection locked="0"/>
    </xf>
    <xf numFmtId="176" fontId="89" fillId="5" borderId="0" xfId="0" applyFont="1" applyFill="1" applyAlignment="1" applyProtection="1">
      <alignment horizontal="left" vertical="center" wrapText="1"/>
      <protection locked="0"/>
    </xf>
    <xf numFmtId="10" fontId="42" fillId="6" borderId="0" xfId="9" applyFill="1"/>
    <xf numFmtId="176" fontId="54" fillId="6" borderId="0" xfId="0" applyFont="1" applyFill="1" applyProtection="1">
      <protection locked="0"/>
    </xf>
    <xf numFmtId="2" fontId="43" fillId="6" borderId="0" xfId="9" applyNumberFormat="1" applyFont="1" applyFill="1"/>
    <xf numFmtId="2" fontId="40" fillId="6" borderId="0" xfId="9" applyNumberFormat="1" applyFont="1" applyFill="1"/>
    <xf numFmtId="2" fontId="43" fillId="6" borderId="0" xfId="9" applyNumberFormat="1" applyFont="1" applyFill="1" applyProtection="1">
      <protection locked="0"/>
    </xf>
    <xf numFmtId="2" fontId="40" fillId="6" borderId="3" xfId="9" applyNumberFormat="1" applyFont="1" applyFill="1" applyBorder="1"/>
    <xf numFmtId="10" fontId="42" fillId="6" borderId="2" xfId="9" applyFill="1" applyBorder="1"/>
    <xf numFmtId="2" fontId="40" fillId="6" borderId="2" xfId="9" applyNumberFormat="1" applyFont="1" applyFill="1" applyBorder="1" applyAlignment="1">
      <alignment horizontal="center"/>
    </xf>
    <xf numFmtId="2" fontId="40" fillId="6" borderId="2" xfId="9" applyNumberFormat="1" applyFont="1" applyFill="1" applyBorder="1"/>
    <xf numFmtId="1" fontId="40" fillId="6" borderId="21" xfId="9" applyNumberFormat="1" applyFont="1" applyFill="1" applyBorder="1"/>
    <xf numFmtId="2" fontId="40" fillId="6" borderId="21" xfId="9" applyNumberFormat="1" applyFont="1" applyFill="1" applyBorder="1"/>
    <xf numFmtId="2" fontId="40" fillId="6" borderId="9" xfId="9" applyNumberFormat="1" applyFont="1" applyFill="1" applyBorder="1"/>
    <xf numFmtId="2" fontId="43" fillId="6" borderId="3" xfId="9" applyNumberFormat="1" applyFont="1" applyFill="1" applyBorder="1" applyAlignment="1">
      <alignment horizontal="center"/>
    </xf>
    <xf numFmtId="1" fontId="40" fillId="6" borderId="4" xfId="9" applyNumberFormat="1" applyFont="1" applyFill="1" applyBorder="1" applyAlignment="1" applyProtection="1">
      <alignment horizontal="center"/>
      <protection locked="0"/>
    </xf>
    <xf numFmtId="174" fontId="40" fillId="6" borderId="2" xfId="9" applyNumberFormat="1" applyFont="1" applyFill="1" applyBorder="1" applyAlignment="1">
      <alignment horizontal="center"/>
    </xf>
    <xf numFmtId="174" fontId="40" fillId="6" borderId="4" xfId="9" applyNumberFormat="1" applyFont="1" applyFill="1" applyBorder="1" applyAlignment="1">
      <alignment horizontal="center"/>
    </xf>
    <xf numFmtId="3" fontId="40" fillId="6" borderId="4" xfId="9" applyNumberFormat="1" applyFont="1" applyFill="1" applyBorder="1" applyAlignment="1">
      <alignment horizontal="center"/>
    </xf>
    <xf numFmtId="3" fontId="40" fillId="6" borderId="2" xfId="9" applyNumberFormat="1" applyFont="1" applyFill="1" applyBorder="1" applyAlignment="1">
      <alignment horizontal="center"/>
    </xf>
    <xf numFmtId="1" fontId="40" fillId="6" borderId="4" xfId="9" applyNumberFormat="1" applyFont="1" applyFill="1" applyBorder="1" applyAlignment="1" applyProtection="1">
      <alignment horizontal="left"/>
      <protection locked="0"/>
    </xf>
    <xf numFmtId="4" fontId="79" fillId="6" borderId="62" xfId="0" applyNumberFormat="1" applyFont="1" applyFill="1" applyBorder="1" applyAlignment="1" applyProtection="1">
      <alignment horizontal="center" wrapText="1"/>
      <protection locked="0"/>
    </xf>
    <xf numFmtId="176" fontId="54" fillId="6" borderId="62" xfId="0" applyFont="1" applyFill="1" applyBorder="1" applyProtection="1">
      <protection locked="0"/>
    </xf>
    <xf numFmtId="176" fontId="53" fillId="3" borderId="104" xfId="0" applyFont="1" applyFill="1" applyBorder="1"/>
    <xf numFmtId="4" fontId="77" fillId="5" borderId="13" xfId="0" applyNumberFormat="1" applyFont="1" applyFill="1" applyBorder="1" applyAlignment="1" applyProtection="1">
      <alignment horizontal="center" wrapText="1"/>
      <protection locked="0"/>
    </xf>
    <xf numFmtId="174" fontId="77" fillId="5" borderId="13" xfId="0" applyNumberFormat="1" applyFont="1" applyFill="1" applyBorder="1" applyAlignment="1" applyProtection="1">
      <alignment horizontal="center" wrapText="1"/>
      <protection locked="0"/>
    </xf>
    <xf numFmtId="174" fontId="77" fillId="5" borderId="25" xfId="0" applyNumberFormat="1" applyFont="1" applyFill="1" applyBorder="1" applyAlignment="1" applyProtection="1">
      <alignment horizontal="center" wrapText="1"/>
      <protection locked="0"/>
    </xf>
    <xf numFmtId="179" fontId="76" fillId="5" borderId="13" xfId="1" applyNumberFormat="1" applyFont="1" applyFill="1" applyBorder="1" applyAlignment="1" applyProtection="1">
      <alignment horizontal="center" wrapText="1"/>
      <protection locked="0"/>
    </xf>
    <xf numFmtId="4" fontId="78" fillId="5" borderId="25" xfId="0" applyNumberFormat="1" applyFont="1" applyFill="1" applyBorder="1" applyAlignment="1" applyProtection="1">
      <alignment horizontal="center" wrapText="1"/>
      <protection locked="0"/>
    </xf>
    <xf numFmtId="176" fontId="76" fillId="5" borderId="0" xfId="0" applyFont="1" applyFill="1" applyAlignment="1" applyProtection="1">
      <alignment horizontal="left" vertical="center" wrapText="1"/>
      <protection locked="0"/>
    </xf>
    <xf numFmtId="2" fontId="76" fillId="5" borderId="0" xfId="0" applyNumberFormat="1" applyFont="1" applyFill="1" applyAlignment="1" applyProtection="1">
      <alignment horizontal="center" vertical="center" wrapText="1"/>
      <protection locked="0"/>
    </xf>
    <xf numFmtId="2" fontId="76" fillId="0" borderId="0" xfId="0" applyNumberFormat="1" applyFont="1" applyAlignment="1" applyProtection="1">
      <alignment horizontal="center" vertical="center" wrapText="1"/>
      <protection locked="0"/>
    </xf>
    <xf numFmtId="4" fontId="78" fillId="5" borderId="0" xfId="0" applyNumberFormat="1" applyFont="1" applyFill="1" applyAlignment="1" applyProtection="1">
      <alignment horizontal="center" wrapText="1"/>
      <protection locked="0"/>
    </xf>
    <xf numFmtId="2" fontId="76" fillId="5" borderId="97" xfId="0" applyNumberFormat="1" applyFont="1" applyFill="1" applyBorder="1" applyAlignment="1" applyProtection="1">
      <alignment horizontal="center" vertical="center" wrapText="1"/>
      <protection locked="0"/>
    </xf>
    <xf numFmtId="2" fontId="76" fillId="0" borderId="97" xfId="0" applyNumberFormat="1" applyFont="1" applyBorder="1" applyAlignment="1" applyProtection="1">
      <alignment horizontal="center" vertical="center" wrapText="1"/>
      <protection locked="0"/>
    </xf>
    <xf numFmtId="167" fontId="32" fillId="3" borderId="0" xfId="1" applyFont="1" applyFill="1" applyAlignment="1" applyProtection="1">
      <protection locked="0"/>
    </xf>
    <xf numFmtId="176" fontId="76" fillId="5" borderId="73" xfId="0" applyFont="1" applyFill="1" applyBorder="1" applyAlignment="1" applyProtection="1">
      <alignment horizontal="left" vertical="center" wrapText="1"/>
      <protection locked="0"/>
    </xf>
    <xf numFmtId="174" fontId="77" fillId="5" borderId="73" xfId="0" applyNumberFormat="1" applyFont="1" applyFill="1" applyBorder="1" applyAlignment="1" applyProtection="1">
      <alignment horizontal="center" vertical="center" wrapText="1"/>
      <protection locked="0"/>
    </xf>
    <xf numFmtId="176" fontId="38" fillId="0" borderId="100" xfId="0" applyFont="1" applyBorder="1" applyProtection="1">
      <protection locked="0"/>
    </xf>
    <xf numFmtId="176" fontId="38" fillId="0" borderId="88" xfId="0" applyFont="1" applyBorder="1" applyProtection="1">
      <protection locked="0"/>
    </xf>
    <xf numFmtId="176" fontId="38" fillId="0" borderId="116" xfId="0" applyFont="1" applyBorder="1" applyProtection="1">
      <protection locked="0"/>
    </xf>
    <xf numFmtId="2" fontId="63" fillId="3" borderId="0" xfId="0" applyNumberFormat="1" applyFont="1" applyFill="1" applyAlignment="1" applyProtection="1">
      <alignment horizontal="center"/>
      <protection locked="0"/>
    </xf>
    <xf numFmtId="2" fontId="90" fillId="5" borderId="0" xfId="0" applyNumberFormat="1" applyFont="1" applyFill="1" applyAlignment="1" applyProtection="1">
      <alignment horizontal="left" vertical="center" wrapText="1"/>
      <protection locked="0"/>
    </xf>
    <xf numFmtId="176" fontId="31" fillId="3" borderId="29" xfId="0" applyFont="1" applyFill="1" applyBorder="1" applyProtection="1">
      <protection locked="0"/>
    </xf>
    <xf numFmtId="176" fontId="56" fillId="0" borderId="0" xfId="12" applyFont="1"/>
    <xf numFmtId="176" fontId="56" fillId="0" borderId="0" xfId="12" applyFont="1" applyAlignment="1">
      <alignment horizontal="center"/>
    </xf>
    <xf numFmtId="2" fontId="79" fillId="0" borderId="67" xfId="0" applyNumberFormat="1" applyFont="1" applyBorder="1" applyAlignment="1" applyProtection="1">
      <alignment horizontal="center" wrapText="1"/>
      <protection locked="0"/>
    </xf>
    <xf numFmtId="0" fontId="72" fillId="3" borderId="0" xfId="0" applyNumberFormat="1" applyFont="1" applyFill="1" applyProtection="1">
      <protection locked="0"/>
    </xf>
    <xf numFmtId="0" fontId="42" fillId="3" borderId="0" xfId="9" applyNumberFormat="1" applyFill="1" applyAlignment="1">
      <alignment horizontal="center"/>
    </xf>
    <xf numFmtId="0" fontId="81" fillId="0" borderId="61" xfId="0" applyNumberFormat="1" applyFont="1" applyBorder="1" applyAlignment="1" applyProtection="1">
      <alignment horizontal="center" vertical="center" wrapText="1"/>
      <protection locked="0"/>
    </xf>
    <xf numFmtId="176" fontId="76" fillId="0" borderId="61" xfId="0" applyFont="1" applyBorder="1" applyAlignment="1" applyProtection="1">
      <alignment horizontal="left" vertical="center" wrapText="1"/>
      <protection locked="0"/>
    </xf>
    <xf numFmtId="176" fontId="114" fillId="0" borderId="60" xfId="0" applyFont="1" applyBorder="1" applyAlignment="1" applyProtection="1">
      <alignment horizontal="left" vertical="center" wrapText="1"/>
      <protection locked="0"/>
    </xf>
    <xf numFmtId="170" fontId="56" fillId="0" borderId="0" xfId="4" applyFont="1" applyAlignment="1"/>
    <xf numFmtId="2" fontId="38" fillId="0" borderId="0" xfId="0" applyNumberFormat="1" applyFont="1" applyProtection="1">
      <protection locked="0"/>
    </xf>
    <xf numFmtId="2" fontId="69" fillId="3" borderId="61" xfId="0" applyNumberFormat="1" applyFont="1" applyFill="1" applyBorder="1" applyAlignment="1" applyProtection="1">
      <alignment horizontal="center"/>
      <protection locked="0"/>
    </xf>
    <xf numFmtId="174" fontId="77" fillId="5" borderId="0" xfId="0" applyNumberFormat="1" applyFont="1" applyFill="1" applyAlignment="1" applyProtection="1">
      <alignment horizontal="center" wrapText="1"/>
      <protection locked="0"/>
    </xf>
    <xf numFmtId="176" fontId="0" fillId="3" borderId="0" xfId="0" applyFill="1" applyProtection="1">
      <protection locked="0"/>
    </xf>
    <xf numFmtId="174" fontId="115" fillId="5" borderId="0" xfId="0" applyNumberFormat="1" applyFont="1" applyFill="1" applyAlignment="1" applyProtection="1">
      <alignment horizontal="center" wrapText="1"/>
      <protection locked="0"/>
    </xf>
    <xf numFmtId="176" fontId="89" fillId="5" borderId="60" xfId="0" applyFont="1" applyFill="1" applyBorder="1" applyAlignment="1" applyProtection="1">
      <alignment horizontal="left" vertical="center" wrapText="1"/>
      <protection locked="0"/>
    </xf>
    <xf numFmtId="176" fontId="89" fillId="5" borderId="61" xfId="0" applyFont="1" applyFill="1" applyBorder="1" applyAlignment="1" applyProtection="1">
      <alignment horizontal="left" vertical="center" wrapText="1"/>
      <protection locked="0"/>
    </xf>
    <xf numFmtId="176" fontId="89" fillId="5" borderId="62" xfId="0" applyFont="1" applyFill="1" applyBorder="1" applyAlignment="1" applyProtection="1">
      <alignment horizontal="left" vertical="center" wrapText="1"/>
      <protection locked="0"/>
    </xf>
    <xf numFmtId="0" fontId="89" fillId="0" borderId="61" xfId="0" applyNumberFormat="1" applyFont="1" applyBorder="1" applyAlignment="1" applyProtection="1">
      <alignment horizontal="center" wrapText="1"/>
      <protection locked="0"/>
    </xf>
    <xf numFmtId="167" fontId="31" fillId="3" borderId="0" xfId="0" applyNumberFormat="1" applyFont="1" applyFill="1" applyAlignment="1">
      <alignment horizontal="fill"/>
    </xf>
    <xf numFmtId="167" fontId="31" fillId="3" borderId="0" xfId="0" applyNumberFormat="1" applyFont="1" applyFill="1"/>
    <xf numFmtId="176" fontId="115" fillId="0" borderId="0" xfId="0" applyFont="1" applyAlignment="1" applyProtection="1">
      <alignment horizontal="center"/>
      <protection locked="0"/>
    </xf>
    <xf numFmtId="2" fontId="42" fillId="0" borderId="66" xfId="9" applyNumberFormat="1" applyBorder="1"/>
    <xf numFmtId="2" fontId="84" fillId="5" borderId="0" xfId="0" applyNumberFormat="1" applyFont="1" applyFill="1" applyAlignment="1" applyProtection="1">
      <alignment horizontal="center" vertical="center" wrapText="1"/>
      <protection locked="0"/>
    </xf>
    <xf numFmtId="176" fontId="30" fillId="3" borderId="0" xfId="0" applyFont="1" applyFill="1"/>
    <xf numFmtId="171" fontId="76" fillId="5" borderId="61" xfId="0" applyNumberFormat="1" applyFont="1" applyFill="1" applyBorder="1" applyAlignment="1" applyProtection="1">
      <alignment horizontal="center" vertical="center" wrapText="1"/>
      <protection locked="0"/>
    </xf>
    <xf numFmtId="171" fontId="76" fillId="0" borderId="61" xfId="0" applyNumberFormat="1" applyFont="1" applyBorder="1" applyAlignment="1" applyProtection="1">
      <alignment horizontal="center" vertical="center" wrapText="1"/>
      <protection locked="0"/>
    </xf>
    <xf numFmtId="171" fontId="76" fillId="5" borderId="0" xfId="0" applyNumberFormat="1" applyFont="1" applyFill="1" applyAlignment="1" applyProtection="1">
      <alignment horizontal="center" vertical="center" wrapText="1"/>
      <protection locked="0"/>
    </xf>
    <xf numFmtId="171" fontId="76" fillId="0" borderId="13" xfId="0" applyNumberFormat="1" applyFont="1" applyBorder="1" applyAlignment="1" applyProtection="1">
      <alignment horizontal="center" vertical="center" wrapText="1"/>
      <protection locked="0"/>
    </xf>
    <xf numFmtId="171" fontId="76" fillId="5" borderId="13" xfId="0" applyNumberFormat="1" applyFont="1" applyFill="1" applyBorder="1" applyAlignment="1" applyProtection="1">
      <alignment horizontal="center" vertical="center" wrapText="1"/>
      <protection locked="0"/>
    </xf>
    <xf numFmtId="171" fontId="76" fillId="0" borderId="94" xfId="0" applyNumberFormat="1" applyFont="1" applyBorder="1" applyAlignment="1" applyProtection="1">
      <alignment horizontal="center" vertical="center" wrapText="1"/>
      <protection locked="0"/>
    </xf>
    <xf numFmtId="171" fontId="76" fillId="5" borderId="94" xfId="0" applyNumberFormat="1" applyFont="1" applyFill="1" applyBorder="1" applyAlignment="1" applyProtection="1">
      <alignment horizontal="center" vertical="center" wrapText="1"/>
      <protection locked="0"/>
    </xf>
    <xf numFmtId="171" fontId="76" fillId="5" borderId="29" xfId="0" applyNumberFormat="1" applyFont="1" applyFill="1" applyBorder="1" applyAlignment="1" applyProtection="1">
      <alignment horizontal="center" vertical="center" wrapText="1"/>
      <protection locked="0"/>
    </xf>
    <xf numFmtId="176" fontId="76" fillId="5" borderId="29" xfId="0" applyFont="1" applyFill="1" applyBorder="1" applyAlignment="1" applyProtection="1">
      <alignment horizontal="center" vertical="center" wrapText="1"/>
      <protection locked="0"/>
    </xf>
    <xf numFmtId="176" fontId="89" fillId="0" borderId="94" xfId="0" applyFont="1" applyBorder="1" applyAlignment="1" applyProtection="1">
      <alignment horizontal="center" wrapText="1"/>
      <protection locked="0"/>
    </xf>
    <xf numFmtId="2" fontId="0" fillId="0" borderId="0" xfId="0" applyNumberFormat="1"/>
    <xf numFmtId="176" fontId="85" fillId="5" borderId="61" xfId="0" applyFont="1" applyFill="1" applyBorder="1" applyAlignment="1" applyProtection="1">
      <alignment horizontal="center" vertical="center" wrapText="1"/>
      <protection locked="0"/>
    </xf>
    <xf numFmtId="174" fontId="83" fillId="5" borderId="61" xfId="0" applyNumberFormat="1" applyFont="1" applyFill="1" applyBorder="1" applyAlignment="1" applyProtection="1">
      <alignment horizontal="center" vertical="center" wrapText="1"/>
      <protection locked="0"/>
    </xf>
    <xf numFmtId="0" fontId="85" fillId="0" borderId="61" xfId="0" applyNumberFormat="1" applyFont="1" applyBorder="1" applyAlignment="1" applyProtection="1">
      <alignment horizontal="center" wrapText="1"/>
      <protection locked="0"/>
    </xf>
    <xf numFmtId="179" fontId="89" fillId="5" borderId="13" xfId="1" applyNumberFormat="1" applyFont="1" applyFill="1" applyBorder="1" applyAlignment="1" applyProtection="1">
      <alignment horizontal="center" wrapText="1"/>
      <protection locked="0"/>
    </xf>
    <xf numFmtId="174" fontId="80" fillId="5" borderId="94" xfId="0" applyNumberFormat="1" applyFont="1" applyFill="1" applyBorder="1" applyAlignment="1" applyProtection="1">
      <alignment horizontal="center" wrapText="1"/>
      <protection locked="0"/>
    </xf>
    <xf numFmtId="176" fontId="89" fillId="0" borderId="61" xfId="0" applyFont="1" applyBorder="1" applyAlignment="1" applyProtection="1">
      <alignment horizontal="center" wrapText="1"/>
      <protection locked="0"/>
    </xf>
    <xf numFmtId="2" fontId="77" fillId="0" borderId="29" xfId="0" applyNumberFormat="1" applyFont="1" applyBorder="1" applyAlignment="1" applyProtection="1">
      <alignment horizontal="center" vertical="center" wrapText="1"/>
      <protection locked="0"/>
    </xf>
    <xf numFmtId="2" fontId="77" fillId="0" borderId="94" xfId="0" applyNumberFormat="1" applyFont="1" applyBorder="1" applyAlignment="1" applyProtection="1">
      <alignment horizontal="center" vertical="center" wrapText="1"/>
      <protection locked="0"/>
    </xf>
    <xf numFmtId="2" fontId="68" fillId="3" borderId="61" xfId="0" applyNumberFormat="1" applyFont="1" applyFill="1" applyBorder="1" applyAlignment="1" applyProtection="1">
      <alignment horizontal="center"/>
      <protection locked="0"/>
    </xf>
    <xf numFmtId="176" fontId="56" fillId="0" borderId="0" xfId="4" applyNumberFormat="1" applyFont="1" applyAlignment="1">
      <alignment horizontal="fill"/>
    </xf>
    <xf numFmtId="176" fontId="79" fillId="5" borderId="0" xfId="0" applyFont="1" applyFill="1" applyAlignment="1" applyProtection="1">
      <alignment horizontal="center" wrapText="1"/>
      <protection locked="0"/>
    </xf>
    <xf numFmtId="2" fontId="72" fillId="3" borderId="0" xfId="0" applyNumberFormat="1" applyFont="1" applyFill="1" applyProtection="1">
      <protection locked="0"/>
    </xf>
    <xf numFmtId="176" fontId="76" fillId="0" borderId="0" xfId="0" applyFont="1" applyAlignment="1" applyProtection="1">
      <alignment horizontal="center" wrapText="1"/>
      <protection locked="0"/>
    </xf>
    <xf numFmtId="176" fontId="79" fillId="5" borderId="0" xfId="0" applyFont="1" applyFill="1" applyAlignment="1" applyProtection="1">
      <alignment horizontal="left" wrapText="1"/>
      <protection locked="0"/>
    </xf>
    <xf numFmtId="4" fontId="79" fillId="5" borderId="0" xfId="0" applyNumberFormat="1" applyFont="1" applyFill="1" applyAlignment="1" applyProtection="1">
      <alignment horizontal="center" wrapText="1"/>
      <protection locked="0"/>
    </xf>
    <xf numFmtId="176" fontId="119" fillId="3" borderId="0" xfId="0" applyFont="1" applyFill="1" applyProtection="1">
      <protection locked="0"/>
    </xf>
    <xf numFmtId="2" fontId="120" fillId="0" borderId="0" xfId="9" applyNumberFormat="1" applyFont="1"/>
    <xf numFmtId="176" fontId="121" fillId="5" borderId="0" xfId="0" applyFont="1" applyFill="1" applyAlignment="1" applyProtection="1">
      <alignment horizontal="left" vertical="center"/>
      <protection locked="0"/>
    </xf>
    <xf numFmtId="176" fontId="121" fillId="0" borderId="0" xfId="0" applyFont="1" applyAlignment="1" applyProtection="1">
      <alignment horizontal="center"/>
      <protection locked="0"/>
    </xf>
    <xf numFmtId="2" fontId="68" fillId="3" borderId="0" xfId="0" applyNumberFormat="1" applyFont="1" applyFill="1" applyAlignment="1" applyProtection="1">
      <alignment horizontal="center"/>
      <protection locked="0"/>
    </xf>
    <xf numFmtId="176" fontId="66" fillId="0" borderId="0" xfId="12" applyFont="1"/>
    <xf numFmtId="174" fontId="42" fillId="3" borderId="0" xfId="9" applyNumberFormat="1" applyFill="1" applyAlignment="1">
      <alignment horizontal="center"/>
    </xf>
    <xf numFmtId="176" fontId="118" fillId="0" borderId="0" xfId="12" applyFont="1"/>
    <xf numFmtId="176" fontId="118" fillId="0" borderId="1" xfId="12" applyFont="1" applyBorder="1"/>
    <xf numFmtId="176" fontId="118" fillId="0" borderId="5" xfId="12" applyFont="1" applyBorder="1"/>
    <xf numFmtId="176" fontId="118" fillId="0" borderId="27" xfId="12" applyFont="1" applyBorder="1"/>
    <xf numFmtId="176" fontId="122" fillId="0" borderId="0" xfId="12" applyFont="1"/>
    <xf numFmtId="176" fontId="122" fillId="0" borderId="18" xfId="12" applyFont="1" applyBorder="1"/>
    <xf numFmtId="176" fontId="118" fillId="0" borderId="4" xfId="12" applyFont="1" applyBorder="1"/>
    <xf numFmtId="176" fontId="118" fillId="0" borderId="18" xfId="12" applyFont="1" applyBorder="1"/>
    <xf numFmtId="176" fontId="122" fillId="0" borderId="4" xfId="12" applyFont="1" applyBorder="1" applyAlignment="1">
      <alignment horizontal="center"/>
    </xf>
    <xf numFmtId="176" fontId="122" fillId="0" borderId="0" xfId="12" applyFont="1" applyAlignment="1">
      <alignment horizontal="center"/>
    </xf>
    <xf numFmtId="176" fontId="118" fillId="0" borderId="4" xfId="12" applyFont="1" applyBorder="1" applyAlignment="1">
      <alignment horizontal="center"/>
    </xf>
    <xf numFmtId="176" fontId="118" fillId="0" borderId="0" xfId="12" applyFont="1" applyAlignment="1">
      <alignment horizontal="center"/>
    </xf>
    <xf numFmtId="2" fontId="122" fillId="0" borderId="4" xfId="12" applyNumberFormat="1" applyFont="1" applyBorder="1" applyAlignment="1">
      <alignment horizontal="center"/>
    </xf>
    <xf numFmtId="176" fontId="122" fillId="0" borderId="0" xfId="12" quotePrefix="1" applyFont="1" applyAlignment="1">
      <alignment horizontal="center"/>
    </xf>
    <xf numFmtId="2" fontId="122" fillId="0" borderId="4" xfId="12" quotePrefix="1" applyNumberFormat="1" applyFont="1" applyBorder="1" applyAlignment="1">
      <alignment horizontal="center"/>
    </xf>
    <xf numFmtId="176" fontId="123" fillId="0" borderId="0" xfId="12" applyFont="1" applyAlignment="1">
      <alignment horizontal="center"/>
    </xf>
    <xf numFmtId="2" fontId="123" fillId="0" borderId="4" xfId="12" applyNumberFormat="1" applyFont="1" applyBorder="1" applyAlignment="1">
      <alignment horizontal="center"/>
    </xf>
    <xf numFmtId="176" fontId="123" fillId="0" borderId="0" xfId="12" quotePrefix="1" applyFont="1" applyAlignment="1">
      <alignment horizontal="center"/>
    </xf>
    <xf numFmtId="2" fontId="123" fillId="0" borderId="4" xfId="12" quotePrefix="1" applyNumberFormat="1" applyFont="1" applyBorder="1" applyAlignment="1">
      <alignment horizontal="center"/>
    </xf>
    <xf numFmtId="176" fontId="122" fillId="0" borderId="16" xfId="12" quotePrefix="1" applyFont="1" applyBorder="1" applyAlignment="1">
      <alignment horizontal="center"/>
    </xf>
    <xf numFmtId="2" fontId="122" fillId="0" borderId="9" xfId="12" quotePrefix="1" applyNumberFormat="1" applyFont="1" applyBorder="1" applyAlignment="1">
      <alignment horizontal="center"/>
    </xf>
    <xf numFmtId="2" fontId="122" fillId="0" borderId="18" xfId="12" quotePrefix="1" applyNumberFormat="1" applyFont="1" applyBorder="1" applyAlignment="1">
      <alignment horizontal="center"/>
    </xf>
    <xf numFmtId="176" fontId="122" fillId="4" borderId="0" xfId="12" quotePrefix="1" applyFont="1" applyFill="1" applyAlignment="1">
      <alignment horizontal="center"/>
    </xf>
    <xf numFmtId="2" fontId="122" fillId="4" borderId="18" xfId="12" quotePrefix="1" applyNumberFormat="1" applyFont="1" applyFill="1" applyBorder="1" applyAlignment="1">
      <alignment horizontal="center"/>
    </xf>
    <xf numFmtId="176" fontId="124" fillId="0" borderId="94" xfId="0" applyFont="1" applyBorder="1" applyAlignment="1" applyProtection="1">
      <alignment horizontal="center" vertical="center" wrapText="1"/>
      <protection locked="0"/>
    </xf>
    <xf numFmtId="176" fontId="122" fillId="0" borderId="33" xfId="12" quotePrefix="1" applyFont="1" applyBorder="1" applyAlignment="1">
      <alignment horizontal="center"/>
    </xf>
    <xf numFmtId="176" fontId="124" fillId="0" borderId="115" xfId="0" applyFont="1" applyBorder="1" applyAlignment="1" applyProtection="1">
      <alignment horizontal="center" vertical="center" wrapText="1"/>
      <protection locked="0"/>
    </xf>
    <xf numFmtId="176" fontId="124" fillId="0" borderId="88" xfId="0" applyFont="1" applyBorder="1" applyAlignment="1" applyProtection="1">
      <alignment horizontal="center" vertical="center" wrapText="1"/>
      <protection locked="0"/>
    </xf>
    <xf numFmtId="176" fontId="124" fillId="0" borderId="0" xfId="0" applyFont="1" applyAlignment="1" applyProtection="1">
      <alignment horizontal="center" vertical="center" wrapText="1"/>
      <protection locked="0"/>
    </xf>
    <xf numFmtId="2" fontId="82" fillId="0" borderId="29" xfId="0" applyNumberFormat="1" applyFont="1" applyBorder="1" applyAlignment="1" applyProtection="1">
      <alignment horizontal="center" vertical="center" wrapText="1"/>
      <protection locked="0"/>
    </xf>
    <xf numFmtId="2" fontId="82" fillId="0" borderId="94" xfId="0" applyNumberFormat="1" applyFont="1" applyBorder="1" applyAlignment="1" applyProtection="1">
      <alignment horizontal="center" vertical="center" wrapText="1"/>
      <protection locked="0"/>
    </xf>
    <xf numFmtId="176" fontId="81" fillId="0" borderId="61" xfId="0" applyFont="1" applyBorder="1" applyAlignment="1" applyProtection="1">
      <alignment horizontal="center" vertical="center" wrapText="1"/>
      <protection locked="0"/>
    </xf>
    <xf numFmtId="176" fontId="81" fillId="0" borderId="94" xfId="0" applyFont="1" applyBorder="1" applyAlignment="1" applyProtection="1">
      <alignment horizontal="center" vertical="center" wrapText="1"/>
      <protection locked="0"/>
    </xf>
    <xf numFmtId="176" fontId="81" fillId="0" borderId="118" xfId="0" applyFont="1" applyBorder="1" applyAlignment="1" applyProtection="1">
      <alignment horizontal="center" vertical="center" wrapText="1"/>
      <protection locked="0"/>
    </xf>
    <xf numFmtId="176" fontId="81" fillId="0" borderId="88" xfId="0" applyFont="1" applyBorder="1" applyAlignment="1" applyProtection="1">
      <alignment horizontal="center" vertical="center" wrapText="1"/>
      <protection locked="0"/>
    </xf>
    <xf numFmtId="2" fontId="81" fillId="0" borderId="94" xfId="0" applyNumberFormat="1" applyFont="1" applyBorder="1" applyAlignment="1" applyProtection="1">
      <alignment horizontal="center" vertical="center" wrapText="1"/>
      <protection locked="0"/>
    </xf>
    <xf numFmtId="2" fontId="81" fillId="0" borderId="29" xfId="0" applyNumberFormat="1" applyFont="1" applyBorder="1" applyAlignment="1" applyProtection="1">
      <alignment horizontal="center" vertical="center" wrapText="1"/>
      <protection locked="0"/>
    </xf>
    <xf numFmtId="176" fontId="74" fillId="0" borderId="69" xfId="0" applyFont="1" applyBorder="1" applyAlignment="1" applyProtection="1">
      <alignment horizontal="center" vertical="center" wrapText="1"/>
      <protection locked="0"/>
    </xf>
    <xf numFmtId="176" fontId="74" fillId="0" borderId="60" xfId="0" applyFont="1" applyBorder="1" applyAlignment="1" applyProtection="1">
      <alignment horizontal="center" vertical="center" wrapText="1"/>
      <protection locked="0"/>
    </xf>
    <xf numFmtId="176" fontId="78" fillId="0" borderId="102" xfId="0" applyFont="1" applyBorder="1" applyAlignment="1" applyProtection="1">
      <alignment horizontal="left" vertical="center" wrapText="1"/>
      <protection locked="0"/>
    </xf>
    <xf numFmtId="2" fontId="82" fillId="0" borderId="102" xfId="0" applyNumberFormat="1" applyFont="1" applyBorder="1" applyAlignment="1" applyProtection="1">
      <alignment horizontal="center" vertical="center" wrapText="1"/>
      <protection locked="0"/>
    </xf>
    <xf numFmtId="176" fontId="126" fillId="0" borderId="60" xfId="0" applyFont="1" applyBorder="1" applyAlignment="1" applyProtection="1">
      <alignment horizontal="center" vertical="center"/>
      <protection locked="0"/>
    </xf>
    <xf numFmtId="176" fontId="126" fillId="0" borderId="64" xfId="0" applyFont="1" applyBorder="1" applyAlignment="1" applyProtection="1">
      <alignment horizontal="center" vertical="center"/>
      <protection locked="0"/>
    </xf>
    <xf numFmtId="176" fontId="126" fillId="0" borderId="61" xfId="0" applyFont="1" applyBorder="1" applyAlignment="1" applyProtection="1">
      <alignment horizontal="left" vertical="center" wrapText="1"/>
      <protection locked="0"/>
    </xf>
    <xf numFmtId="176" fontId="127" fillId="0" borderId="62" xfId="0" applyFont="1" applyBorder="1" applyAlignment="1" applyProtection="1">
      <alignment horizontal="left" vertical="center" wrapText="1"/>
      <protection locked="0"/>
    </xf>
    <xf numFmtId="2" fontId="46" fillId="0" borderId="0" xfId="0" applyNumberFormat="1" applyFont="1"/>
    <xf numFmtId="2" fontId="68" fillId="3" borderId="67" xfId="0" applyNumberFormat="1" applyFont="1" applyFill="1" applyBorder="1" applyAlignment="1" applyProtection="1">
      <alignment horizontal="center"/>
      <protection locked="0"/>
    </xf>
    <xf numFmtId="176" fontId="85" fillId="0" borderId="61" xfId="0" applyFont="1" applyBorder="1" applyAlignment="1" applyProtection="1">
      <alignment horizontal="center" vertical="center" wrapText="1"/>
      <protection locked="0"/>
    </xf>
    <xf numFmtId="174" fontId="89" fillId="0" borderId="94" xfId="0" applyNumberFormat="1" applyFont="1" applyBorder="1" applyAlignment="1" applyProtection="1">
      <alignment horizontal="center" wrapText="1"/>
      <protection locked="0"/>
    </xf>
    <xf numFmtId="176" fontId="85" fillId="5" borderId="0" xfId="0" applyFont="1" applyFill="1" applyAlignment="1" applyProtection="1">
      <alignment vertical="center" wrapText="1"/>
      <protection locked="0"/>
    </xf>
    <xf numFmtId="176" fontId="131" fillId="0" borderId="120" xfId="0" applyFont="1" applyBorder="1" applyAlignment="1">
      <alignment horizontal="center"/>
    </xf>
    <xf numFmtId="176" fontId="131" fillId="0" borderId="121" xfId="0" applyFont="1" applyBorder="1" applyAlignment="1">
      <alignment horizontal="center"/>
    </xf>
    <xf numFmtId="176" fontId="128" fillId="0" borderId="91" xfId="0" applyFont="1" applyBorder="1" applyAlignment="1">
      <alignment horizontal="center"/>
    </xf>
    <xf numFmtId="176" fontId="128" fillId="0" borderId="93" xfId="0" applyFont="1" applyBorder="1" applyAlignment="1">
      <alignment horizontal="center"/>
    </xf>
    <xf numFmtId="176" fontId="129" fillId="0" borderId="91" xfId="0" applyFont="1" applyBorder="1" applyAlignment="1">
      <alignment horizontal="center"/>
    </xf>
    <xf numFmtId="176" fontId="129" fillId="0" borderId="93" xfId="0" applyFont="1" applyBorder="1" applyAlignment="1">
      <alignment horizontal="center"/>
    </xf>
    <xf numFmtId="0" fontId="20" fillId="0" borderId="0" xfId="620"/>
    <xf numFmtId="167" fontId="0" fillId="0" borderId="0" xfId="621" applyFont="1"/>
    <xf numFmtId="181" fontId="53" fillId="0" borderId="0" xfId="4" applyNumberFormat="1" applyFont="1" applyAlignment="1"/>
    <xf numFmtId="10" fontId="53" fillId="0" borderId="0" xfId="622" applyNumberFormat="1" applyFont="1" applyAlignment="1"/>
    <xf numFmtId="167" fontId="53" fillId="0" borderId="0" xfId="621" applyFont="1" applyAlignment="1"/>
    <xf numFmtId="176" fontId="46" fillId="0" borderId="12" xfId="623" applyFont="1" applyBorder="1" applyAlignment="1">
      <alignment horizontal="fill"/>
    </xf>
    <xf numFmtId="176" fontId="46" fillId="0" borderId="100" xfId="623" applyFont="1" applyBorder="1" applyAlignment="1">
      <alignment horizontal="fill"/>
    </xf>
    <xf numFmtId="176" fontId="46" fillId="0" borderId="100" xfId="623" applyFont="1" applyBorder="1"/>
    <xf numFmtId="176" fontId="46" fillId="0" borderId="99" xfId="623" applyFont="1" applyBorder="1"/>
    <xf numFmtId="176" fontId="46" fillId="0" borderId="101" xfId="623" applyFont="1" applyBorder="1"/>
    <xf numFmtId="176" fontId="46" fillId="0" borderId="12" xfId="623" applyFont="1" applyBorder="1"/>
    <xf numFmtId="176" fontId="56" fillId="0" borderId="97" xfId="623" applyFont="1" applyBorder="1"/>
    <xf numFmtId="176" fontId="56" fillId="0" borderId="116" xfId="623" applyFont="1" applyBorder="1"/>
    <xf numFmtId="176" fontId="56" fillId="0" borderId="89" xfId="623" applyFont="1" applyBorder="1" applyAlignment="1">
      <alignment horizontal="center"/>
    </xf>
    <xf numFmtId="176" fontId="56" fillId="0" borderId="94" xfId="623" applyFont="1" applyBorder="1" applyAlignment="1">
      <alignment horizontal="center"/>
    </xf>
    <xf numFmtId="176" fontId="56" fillId="0" borderId="94" xfId="623" applyFont="1" applyBorder="1"/>
    <xf numFmtId="176" fontId="56" fillId="0" borderId="88" xfId="623" applyFont="1" applyBorder="1" applyAlignment="1">
      <alignment horizontal="center"/>
    </xf>
    <xf numFmtId="176" fontId="66" fillId="0" borderId="94" xfId="623" applyFont="1" applyBorder="1" applyAlignment="1">
      <alignment horizontal="center"/>
    </xf>
    <xf numFmtId="176" fontId="56" fillId="0" borderId="12" xfId="623" applyFont="1" applyBorder="1" applyAlignment="1">
      <alignment horizontal="center"/>
    </xf>
    <xf numFmtId="176" fontId="56" fillId="0" borderId="101" xfId="623" applyFont="1" applyBorder="1" applyAlignment="1">
      <alignment horizontal="center"/>
    </xf>
    <xf numFmtId="176" fontId="56" fillId="0" borderId="29" xfId="623" applyFont="1" applyBorder="1" applyAlignment="1">
      <alignment horizontal="center"/>
    </xf>
    <xf numFmtId="0" fontId="66" fillId="0" borderId="94" xfId="623" applyNumberFormat="1" applyFont="1" applyBorder="1" applyAlignment="1">
      <alignment horizontal="center"/>
    </xf>
    <xf numFmtId="0" fontId="56" fillId="0" borderId="94" xfId="623" applyNumberFormat="1" applyFont="1" applyBorder="1" applyAlignment="1">
      <alignment horizontal="center"/>
    </xf>
    <xf numFmtId="176" fontId="56" fillId="0" borderId="97" xfId="623" applyFont="1" applyBorder="1" applyAlignment="1">
      <alignment horizontal="center"/>
    </xf>
    <xf numFmtId="176" fontId="56" fillId="0" borderId="90" xfId="623" applyFont="1" applyBorder="1" applyAlignment="1">
      <alignment horizontal="center"/>
    </xf>
    <xf numFmtId="170" fontId="56" fillId="0" borderId="12" xfId="623" applyNumberFormat="1" applyFont="1" applyBorder="1" applyAlignment="1">
      <alignment horizontal="fill"/>
    </xf>
    <xf numFmtId="181" fontId="64" fillId="0" borderId="0" xfId="4" applyNumberFormat="1" applyFont="1" applyAlignment="1">
      <alignment horizontal="right"/>
    </xf>
    <xf numFmtId="1" fontId="66" fillId="0" borderId="94" xfId="623" applyNumberFormat="1" applyFont="1" applyBorder="1" applyAlignment="1">
      <alignment horizontal="center"/>
    </xf>
    <xf numFmtId="170" fontId="56" fillId="0" borderId="94" xfId="623" applyNumberFormat="1" applyFont="1" applyBorder="1" applyAlignment="1">
      <alignment horizontal="center"/>
    </xf>
    <xf numFmtId="167" fontId="56" fillId="0" borderId="94" xfId="621" applyFont="1" applyBorder="1" applyAlignment="1"/>
    <xf numFmtId="4" fontId="56" fillId="0" borderId="94" xfId="623" applyNumberFormat="1" applyFont="1" applyBorder="1" applyAlignment="1">
      <alignment horizontal="center"/>
    </xf>
    <xf numFmtId="174" fontId="56" fillId="0" borderId="94" xfId="623" applyNumberFormat="1" applyFont="1" applyBorder="1" applyAlignment="1">
      <alignment horizontal="center"/>
    </xf>
    <xf numFmtId="174" fontId="56" fillId="0" borderId="29" xfId="623" applyNumberFormat="1" applyFont="1" applyBorder="1" applyAlignment="1">
      <alignment horizontal="center"/>
    </xf>
    <xf numFmtId="174" fontId="66" fillId="0" borderId="94" xfId="623" applyNumberFormat="1" applyFont="1" applyBorder="1" applyAlignment="1">
      <alignment horizontal="center"/>
    </xf>
    <xf numFmtId="181" fontId="66" fillId="0" borderId="94" xfId="623" applyNumberFormat="1" applyFont="1" applyBorder="1" applyAlignment="1">
      <alignment horizontal="center"/>
    </xf>
    <xf numFmtId="10" fontId="66" fillId="0" borderId="94" xfId="622" applyNumberFormat="1" applyFont="1" applyBorder="1" applyAlignment="1">
      <alignment horizontal="center"/>
    </xf>
    <xf numFmtId="170" fontId="56" fillId="0" borderId="94" xfId="623" applyNumberFormat="1" applyFont="1" applyBorder="1"/>
    <xf numFmtId="1" fontId="56" fillId="0" borderId="94" xfId="623" applyNumberFormat="1" applyFont="1" applyBorder="1" applyAlignment="1">
      <alignment horizontal="center"/>
    </xf>
    <xf numFmtId="179" fontId="66" fillId="0" borderId="94" xfId="2" applyNumberFormat="1" applyFont="1" applyBorder="1" applyAlignment="1">
      <alignment horizontal="center"/>
    </xf>
    <xf numFmtId="176" fontId="83" fillId="0" borderId="62" xfId="623" applyFont="1" applyBorder="1" applyAlignment="1" applyProtection="1">
      <alignment horizontal="left" wrapText="1"/>
      <protection locked="0"/>
    </xf>
    <xf numFmtId="176" fontId="83" fillId="0" borderId="62" xfId="623" applyFont="1" applyBorder="1" applyAlignment="1" applyProtection="1">
      <alignment horizontal="center" wrapText="1"/>
      <protection locked="0"/>
    </xf>
    <xf numFmtId="4" fontId="83" fillId="0" borderId="62" xfId="623" applyNumberFormat="1" applyFont="1" applyBorder="1" applyAlignment="1" applyProtection="1">
      <alignment horizontal="center" wrapText="1"/>
      <protection locked="0"/>
    </xf>
    <xf numFmtId="4" fontId="85" fillId="0" borderId="62" xfId="623" applyNumberFormat="1" applyFont="1" applyBorder="1" applyAlignment="1" applyProtection="1">
      <alignment horizontal="center" wrapText="1"/>
      <protection locked="0"/>
    </xf>
    <xf numFmtId="174" fontId="53" fillId="0" borderId="0" xfId="623" applyNumberFormat="1" applyFont="1"/>
    <xf numFmtId="170" fontId="53" fillId="0" borderId="0" xfId="623" applyNumberFormat="1" applyFont="1"/>
    <xf numFmtId="1" fontId="56" fillId="0" borderId="0" xfId="4" applyNumberFormat="1" applyFont="1" applyAlignment="1"/>
    <xf numFmtId="181" fontId="56" fillId="0" borderId="0" xfId="4" applyNumberFormat="1" applyFont="1" applyAlignment="1"/>
    <xf numFmtId="10" fontId="56" fillId="0" borderId="0" xfId="622" applyNumberFormat="1" applyFont="1" applyAlignment="1"/>
    <xf numFmtId="167" fontId="56" fillId="0" borderId="0" xfId="621" applyFont="1" applyAlignment="1"/>
    <xf numFmtId="176" fontId="46" fillId="0" borderId="0" xfId="623" applyFont="1" applyProtection="1">
      <protection locked="0"/>
    </xf>
    <xf numFmtId="2" fontId="47" fillId="0" borderId="0" xfId="621" applyNumberFormat="1" applyFont="1" applyAlignment="1"/>
    <xf numFmtId="176" fontId="47" fillId="0" borderId="0" xfId="623" applyFont="1" applyProtection="1">
      <protection locked="0"/>
    </xf>
    <xf numFmtId="2" fontId="46" fillId="0" borderId="0" xfId="621" applyNumberFormat="1" applyFont="1" applyAlignment="1" applyProtection="1">
      <protection locked="0"/>
    </xf>
    <xf numFmtId="176" fontId="46" fillId="0" borderId="100" xfId="623" applyFont="1" applyBorder="1" applyAlignment="1">
      <alignment horizontal="center"/>
    </xf>
    <xf numFmtId="176" fontId="46" fillId="0" borderId="99" xfId="623" applyFont="1" applyBorder="1" applyAlignment="1">
      <alignment horizontal="center"/>
    </xf>
    <xf numFmtId="176" fontId="47" fillId="0" borderId="99" xfId="623" applyFont="1" applyBorder="1" applyAlignment="1">
      <alignment horizontal="center"/>
    </xf>
    <xf numFmtId="176" fontId="47" fillId="0" borderId="101" xfId="623" applyFont="1" applyBorder="1" applyAlignment="1">
      <alignment horizontal="center"/>
    </xf>
    <xf numFmtId="176" fontId="46" fillId="0" borderId="101" xfId="623" applyFont="1" applyBorder="1" applyAlignment="1">
      <alignment horizontal="center"/>
    </xf>
    <xf numFmtId="176" fontId="46" fillId="0" borderId="12" xfId="623" applyFont="1" applyBorder="1" applyAlignment="1">
      <alignment horizontal="center"/>
    </xf>
    <xf numFmtId="176" fontId="47" fillId="0" borderId="12" xfId="623" applyFont="1" applyBorder="1" applyAlignment="1">
      <alignment horizontal="center"/>
    </xf>
    <xf numFmtId="176" fontId="46" fillId="0" borderId="97" xfId="623" applyFont="1" applyBorder="1"/>
    <xf numFmtId="176" fontId="66" fillId="0" borderId="29" xfId="623" applyFont="1" applyBorder="1" applyAlignment="1">
      <alignment horizontal="center"/>
    </xf>
    <xf numFmtId="176" fontId="46" fillId="0" borderId="94" xfId="623" applyFont="1" applyBorder="1"/>
    <xf numFmtId="176" fontId="46" fillId="0" borderId="116" xfId="623" applyFont="1" applyBorder="1" applyAlignment="1">
      <alignment horizontal="center"/>
    </xf>
    <xf numFmtId="176" fontId="66" fillId="0" borderId="89" xfId="623" applyFont="1" applyBorder="1" applyAlignment="1">
      <alignment horizontal="center"/>
    </xf>
    <xf numFmtId="176" fontId="66" fillId="0" borderId="90" xfId="623" applyFont="1" applyBorder="1" applyAlignment="1">
      <alignment horizontal="center"/>
    </xf>
    <xf numFmtId="176" fontId="46" fillId="0" borderId="94" xfId="623" applyFont="1" applyBorder="1" applyAlignment="1">
      <alignment horizontal="center"/>
    </xf>
    <xf numFmtId="176" fontId="56" fillId="0" borderId="0" xfId="623" applyFont="1" applyAlignment="1">
      <alignment horizontal="center"/>
    </xf>
    <xf numFmtId="176" fontId="46" fillId="0" borderId="97" xfId="623" applyFont="1" applyBorder="1" applyAlignment="1">
      <alignment horizontal="center"/>
    </xf>
    <xf numFmtId="176" fontId="66" fillId="0" borderId="97" xfId="623" applyFont="1" applyBorder="1" applyAlignment="1">
      <alignment horizontal="center"/>
    </xf>
    <xf numFmtId="170" fontId="46" fillId="0" borderId="12" xfId="623" applyNumberFormat="1" applyFont="1" applyBorder="1" applyAlignment="1">
      <alignment horizontal="fill"/>
    </xf>
    <xf numFmtId="176" fontId="66" fillId="0" borderId="94" xfId="623" applyFont="1" applyBorder="1"/>
    <xf numFmtId="2" fontId="47" fillId="0" borderId="0" xfId="621" applyNumberFormat="1" applyFont="1" applyAlignment="1" applyProtection="1">
      <alignment horizontal="right"/>
      <protection locked="0"/>
    </xf>
    <xf numFmtId="1" fontId="47" fillId="0" borderId="94" xfId="623" applyNumberFormat="1" applyFont="1" applyBorder="1" applyAlignment="1">
      <alignment horizontal="center"/>
    </xf>
    <xf numFmtId="2" fontId="46" fillId="0" borderId="0" xfId="623" applyNumberFormat="1" applyFont="1" applyProtection="1">
      <protection locked="0"/>
    </xf>
    <xf numFmtId="9" fontId="46" fillId="0" borderId="0" xfId="622" applyFont="1" applyAlignment="1" applyProtection="1">
      <protection locked="0"/>
    </xf>
    <xf numFmtId="170" fontId="46" fillId="0" borderId="94" xfId="623" applyNumberFormat="1" applyFont="1" applyBorder="1"/>
    <xf numFmtId="174" fontId="46" fillId="0" borderId="94" xfId="623" applyNumberFormat="1" applyFont="1" applyBorder="1" applyAlignment="1">
      <alignment horizontal="center"/>
    </xf>
    <xf numFmtId="167" fontId="66" fillId="0" borderId="94" xfId="621" applyFont="1" applyBorder="1" applyAlignment="1"/>
    <xf numFmtId="182" fontId="46" fillId="0" borderId="0" xfId="621" applyNumberFormat="1" applyFont="1" applyAlignment="1" applyProtection="1">
      <protection locked="0"/>
    </xf>
    <xf numFmtId="174" fontId="46" fillId="0" borderId="0" xfId="623" applyNumberFormat="1" applyFont="1" applyAlignment="1">
      <alignment horizontal="center"/>
    </xf>
    <xf numFmtId="170" fontId="46" fillId="0" borderId="0" xfId="623" applyNumberFormat="1" applyFont="1"/>
    <xf numFmtId="2" fontId="46" fillId="0" borderId="0" xfId="621" applyNumberFormat="1" applyFont="1" applyBorder="1" applyAlignment="1" applyProtection="1">
      <protection locked="0"/>
    </xf>
    <xf numFmtId="2" fontId="46" fillId="0" borderId="0" xfId="621" applyNumberFormat="1" applyFont="1" applyBorder="1" applyAlignment="1">
      <alignment horizontal="center"/>
    </xf>
    <xf numFmtId="176" fontId="46" fillId="0" borderId="94" xfId="623" applyFont="1" applyBorder="1" applyProtection="1">
      <protection locked="0"/>
    </xf>
    <xf numFmtId="176" fontId="56" fillId="0" borderId="94" xfId="623" applyFont="1" applyBorder="1" applyProtection="1">
      <protection locked="0"/>
    </xf>
    <xf numFmtId="176" fontId="66" fillId="0" borderId="94" xfId="623" applyFont="1" applyBorder="1" applyProtection="1">
      <protection locked="0"/>
    </xf>
    <xf numFmtId="0" fontId="47" fillId="0" borderId="94" xfId="623" applyNumberFormat="1" applyFont="1" applyBorder="1" applyAlignment="1" applyProtection="1">
      <alignment horizontal="center"/>
      <protection locked="0"/>
    </xf>
    <xf numFmtId="170" fontId="46" fillId="0" borderId="94" xfId="623" applyNumberFormat="1" applyFont="1" applyBorder="1" applyAlignment="1">
      <alignment horizontal="center"/>
    </xf>
    <xf numFmtId="170" fontId="56" fillId="0" borderId="94" xfId="623" applyNumberFormat="1" applyFont="1" applyBorder="1" applyAlignment="1" applyProtection="1">
      <alignment horizontal="center"/>
      <protection locked="0"/>
    </xf>
    <xf numFmtId="170" fontId="66" fillId="0" borderId="94" xfId="623" applyNumberFormat="1" applyFont="1" applyBorder="1" applyAlignment="1" applyProtection="1">
      <alignment horizontal="center"/>
      <protection locked="0"/>
    </xf>
    <xf numFmtId="167" fontId="46" fillId="0" borderId="0" xfId="2" applyFont="1" applyAlignment="1" applyProtection="1">
      <protection locked="0"/>
    </xf>
    <xf numFmtId="176" fontId="56" fillId="0" borderId="94" xfId="623" applyFont="1" applyBorder="1" applyAlignment="1" applyProtection="1">
      <alignment horizontal="center"/>
      <protection locked="0"/>
    </xf>
    <xf numFmtId="176" fontId="66" fillId="0" borderId="94" xfId="623" applyFont="1" applyBorder="1" applyAlignment="1" applyProtection="1">
      <alignment horizontal="center"/>
      <protection locked="0"/>
    </xf>
    <xf numFmtId="0" fontId="47" fillId="0" borderId="94" xfId="2" applyNumberFormat="1" applyFont="1" applyBorder="1" applyAlignment="1" applyProtection="1">
      <alignment horizontal="center"/>
      <protection locked="0"/>
    </xf>
    <xf numFmtId="170" fontId="46" fillId="0" borderId="0" xfId="623" applyNumberFormat="1" applyFont="1" applyProtection="1">
      <protection locked="0"/>
    </xf>
    <xf numFmtId="177" fontId="56" fillId="0" borderId="94" xfId="2" applyNumberFormat="1" applyFont="1" applyBorder="1" applyAlignment="1" applyProtection="1">
      <alignment horizontal="center"/>
      <protection locked="0"/>
    </xf>
    <xf numFmtId="177" fontId="66" fillId="0" borderId="94" xfId="2" applyNumberFormat="1" applyFont="1" applyBorder="1" applyAlignment="1" applyProtection="1">
      <alignment horizontal="center"/>
      <protection locked="0"/>
    </xf>
    <xf numFmtId="177" fontId="56" fillId="0" borderId="94" xfId="2" applyNumberFormat="1" applyFont="1" applyFill="1" applyBorder="1" applyAlignment="1" applyProtection="1">
      <alignment horizontal="center"/>
      <protection locked="0"/>
    </xf>
    <xf numFmtId="177" fontId="66" fillId="0" borderId="94" xfId="2" applyNumberFormat="1" applyFont="1" applyFill="1" applyBorder="1" applyAlignment="1" applyProtection="1">
      <alignment horizontal="center"/>
      <protection locked="0"/>
    </xf>
    <xf numFmtId="2" fontId="46" fillId="0" borderId="0" xfId="621" applyNumberFormat="1" applyFont="1" applyFill="1" applyAlignment="1" applyProtection="1">
      <protection locked="0"/>
    </xf>
    <xf numFmtId="170" fontId="56" fillId="0" borderId="97" xfId="623" applyNumberFormat="1" applyFont="1" applyBorder="1" applyAlignment="1" applyProtection="1">
      <alignment horizontal="center"/>
      <protection locked="0"/>
    </xf>
    <xf numFmtId="170" fontId="66" fillId="0" borderId="97" xfId="623" applyNumberFormat="1" applyFont="1" applyBorder="1" applyAlignment="1" applyProtection="1">
      <alignment horizontal="center"/>
      <protection locked="0"/>
    </xf>
    <xf numFmtId="170" fontId="46" fillId="0" borderId="99" xfId="623" applyNumberFormat="1" applyFont="1" applyBorder="1" applyAlignment="1">
      <alignment horizontal="center"/>
    </xf>
    <xf numFmtId="170" fontId="46" fillId="0" borderId="99" xfId="623" applyNumberFormat="1" applyFont="1" applyBorder="1" applyAlignment="1" applyProtection="1">
      <alignment horizontal="center"/>
      <protection locked="0"/>
    </xf>
    <xf numFmtId="170" fontId="47" fillId="0" borderId="99" xfId="623" applyNumberFormat="1" applyFont="1" applyBorder="1" applyAlignment="1" applyProtection="1">
      <alignment horizontal="center"/>
      <protection locked="0"/>
    </xf>
    <xf numFmtId="170" fontId="47" fillId="0" borderId="0" xfId="623" applyNumberFormat="1" applyFont="1" applyAlignment="1" applyProtection="1">
      <alignment horizontal="center"/>
      <protection locked="0"/>
    </xf>
    <xf numFmtId="170" fontId="46" fillId="0" borderId="0" xfId="623" applyNumberFormat="1" applyFont="1" applyAlignment="1" applyProtection="1">
      <alignment horizontal="center"/>
      <protection locked="0"/>
    </xf>
    <xf numFmtId="167" fontId="47" fillId="0" borderId="0" xfId="621" applyFont="1" applyAlignment="1" applyProtection="1">
      <protection locked="0"/>
    </xf>
    <xf numFmtId="174" fontId="56" fillId="0" borderId="94" xfId="621" applyNumberFormat="1" applyFont="1" applyBorder="1" applyAlignment="1">
      <alignment horizontal="center"/>
    </xf>
    <xf numFmtId="179" fontId="56" fillId="0" borderId="94" xfId="2" applyNumberFormat="1" applyFont="1" applyBorder="1" applyAlignment="1">
      <alignment horizontal="center"/>
    </xf>
    <xf numFmtId="167" fontId="47" fillId="0" borderId="0" xfId="621" applyFont="1" applyAlignment="1"/>
    <xf numFmtId="167" fontId="46" fillId="0" borderId="0" xfId="621" applyFont="1" applyAlignment="1" applyProtection="1">
      <protection locked="0"/>
    </xf>
    <xf numFmtId="176" fontId="47" fillId="0" borderId="99" xfId="623" applyFont="1" applyBorder="1"/>
    <xf numFmtId="176" fontId="66" fillId="0" borderId="89" xfId="623" applyFont="1" applyBorder="1"/>
    <xf numFmtId="176" fontId="66" fillId="0" borderId="97" xfId="623" applyFont="1" applyBorder="1"/>
    <xf numFmtId="167" fontId="47" fillId="0" borderId="0" xfId="621" applyFont="1" applyAlignment="1" applyProtection="1">
      <alignment horizontal="right"/>
      <protection locked="0"/>
    </xf>
    <xf numFmtId="174" fontId="66" fillId="0" borderId="94" xfId="623" applyNumberFormat="1" applyFont="1" applyBorder="1"/>
    <xf numFmtId="167" fontId="46" fillId="0" borderId="0" xfId="621" applyFont="1" applyBorder="1" applyAlignment="1">
      <alignment horizontal="center"/>
    </xf>
    <xf numFmtId="170" fontId="66" fillId="0" borderId="97" xfId="623" applyNumberFormat="1" applyFont="1" applyBorder="1" applyProtection="1">
      <protection locked="0"/>
    </xf>
    <xf numFmtId="170" fontId="47" fillId="0" borderId="99" xfId="623" applyNumberFormat="1" applyFont="1" applyBorder="1" applyProtection="1">
      <protection locked="0"/>
    </xf>
    <xf numFmtId="2" fontId="66" fillId="0" borderId="94" xfId="623" applyNumberFormat="1" applyFont="1" applyBorder="1" applyAlignment="1">
      <alignment horizontal="center"/>
    </xf>
    <xf numFmtId="176" fontId="46" fillId="0" borderId="0" xfId="3" applyFont="1"/>
    <xf numFmtId="176" fontId="47" fillId="3" borderId="38" xfId="3" applyFont="1" applyFill="1" applyBorder="1"/>
    <xf numFmtId="176" fontId="47" fillId="3" borderId="0" xfId="3" applyFont="1" applyFill="1" applyAlignment="1">
      <alignment horizontal="center"/>
    </xf>
    <xf numFmtId="1" fontId="47" fillId="3" borderId="0" xfId="3" applyNumberFormat="1" applyFont="1" applyFill="1" applyAlignment="1">
      <alignment horizontal="center"/>
    </xf>
    <xf numFmtId="1" fontId="47" fillId="3" borderId="38" xfId="3" applyNumberFormat="1" applyFont="1" applyFill="1" applyBorder="1" applyAlignment="1">
      <alignment horizontal="center"/>
    </xf>
    <xf numFmtId="3" fontId="31" fillId="3" borderId="91" xfId="2" applyNumberFormat="1" applyFont="1" applyFill="1" applyBorder="1" applyAlignment="1">
      <alignment horizontal="center"/>
    </xf>
    <xf numFmtId="3" fontId="31" fillId="0" borderId="91" xfId="2" applyNumberFormat="1" applyFont="1" applyFill="1" applyBorder="1" applyAlignment="1">
      <alignment horizontal="center"/>
    </xf>
    <xf numFmtId="1" fontId="66" fillId="3" borderId="38" xfId="3" applyNumberFormat="1" applyFont="1" applyFill="1" applyBorder="1" applyAlignment="1">
      <alignment horizontal="center"/>
    </xf>
    <xf numFmtId="167" fontId="47" fillId="0" borderId="0" xfId="621" applyFont="1" applyAlignment="1" applyProtection="1"/>
    <xf numFmtId="176" fontId="119" fillId="0" borderId="0" xfId="0" applyFont="1" applyProtection="1">
      <protection locked="0"/>
    </xf>
    <xf numFmtId="174" fontId="115" fillId="0" borderId="0" xfId="0" applyNumberFormat="1" applyFont="1" applyAlignment="1" applyProtection="1">
      <alignment horizontal="center" wrapText="1"/>
      <protection locked="0"/>
    </xf>
    <xf numFmtId="167" fontId="53" fillId="0" borderId="0" xfId="621" applyFont="1" applyFill="1" applyAlignment="1"/>
    <xf numFmtId="176" fontId="56" fillId="0" borderId="128" xfId="623" applyFont="1" applyBorder="1" applyAlignment="1">
      <alignment horizontal="center"/>
    </xf>
    <xf numFmtId="1" fontId="122" fillId="0" borderId="94" xfId="623" applyNumberFormat="1" applyFont="1" applyBorder="1" applyAlignment="1">
      <alignment horizontal="center"/>
    </xf>
    <xf numFmtId="176" fontId="118" fillId="0" borderId="94" xfId="623" applyFont="1" applyBorder="1" applyAlignment="1">
      <alignment horizontal="center"/>
    </xf>
    <xf numFmtId="176" fontId="118" fillId="0" borderId="29" xfId="623" applyFont="1" applyBorder="1" applyAlignment="1">
      <alignment horizontal="center"/>
    </xf>
    <xf numFmtId="170" fontId="118" fillId="0" borderId="94" xfId="623" applyNumberFormat="1" applyFont="1" applyBorder="1" applyAlignment="1">
      <alignment horizontal="center"/>
    </xf>
    <xf numFmtId="167" fontId="118" fillId="0" borderId="94" xfId="621" applyFont="1" applyBorder="1" applyAlignment="1"/>
    <xf numFmtId="4" fontId="118" fillId="0" borderId="94" xfId="623" applyNumberFormat="1" applyFont="1" applyBorder="1" applyAlignment="1">
      <alignment horizontal="center"/>
    </xf>
    <xf numFmtId="174" fontId="118" fillId="0" borderId="94" xfId="623" applyNumberFormat="1" applyFont="1" applyBorder="1" applyAlignment="1">
      <alignment horizontal="center"/>
    </xf>
    <xf numFmtId="174" fontId="118" fillId="0" borderId="29" xfId="623" applyNumberFormat="1" applyFont="1" applyBorder="1" applyAlignment="1">
      <alignment horizontal="center"/>
    </xf>
    <xf numFmtId="174" fontId="122" fillId="0" borderId="94" xfId="623" applyNumberFormat="1" applyFont="1" applyBorder="1" applyAlignment="1">
      <alignment horizontal="center"/>
    </xf>
    <xf numFmtId="170" fontId="118" fillId="0" borderId="94" xfId="623" applyNumberFormat="1" applyFont="1" applyBorder="1"/>
    <xf numFmtId="176" fontId="118" fillId="0" borderId="94" xfId="623" applyFont="1" applyBorder="1"/>
    <xf numFmtId="176" fontId="118" fillId="0" borderId="88" xfId="623" applyFont="1" applyBorder="1" applyAlignment="1">
      <alignment horizontal="center"/>
    </xf>
    <xf numFmtId="176" fontId="122" fillId="0" borderId="94" xfId="623" applyFont="1" applyBorder="1" applyAlignment="1">
      <alignment horizontal="center"/>
    </xf>
    <xf numFmtId="0" fontId="122" fillId="0" borderId="94" xfId="623" applyNumberFormat="1" applyFont="1" applyBorder="1" applyAlignment="1">
      <alignment horizontal="center"/>
    </xf>
    <xf numFmtId="0" fontId="118" fillId="0" borderId="94" xfId="623" applyNumberFormat="1" applyFont="1" applyBorder="1" applyAlignment="1">
      <alignment horizontal="center"/>
    </xf>
    <xf numFmtId="176" fontId="118" fillId="0" borderId="97" xfId="623" applyFont="1" applyBorder="1" applyAlignment="1">
      <alignment horizontal="center"/>
    </xf>
    <xf numFmtId="10" fontId="66" fillId="0" borderId="0" xfId="622" applyNumberFormat="1" applyFont="1" applyBorder="1" applyAlignment="1">
      <alignment horizontal="center"/>
    </xf>
    <xf numFmtId="174" fontId="85" fillId="0" borderId="94" xfId="0" applyNumberFormat="1" applyFont="1" applyBorder="1" applyAlignment="1" applyProtection="1">
      <alignment horizontal="center" wrapText="1"/>
      <protection locked="0"/>
    </xf>
    <xf numFmtId="174" fontId="83" fillId="5" borderId="94" xfId="0" applyNumberFormat="1" applyFont="1" applyFill="1" applyBorder="1" applyAlignment="1" applyProtection="1">
      <alignment horizontal="center" wrapText="1"/>
      <protection locked="0"/>
    </xf>
    <xf numFmtId="174" fontId="85" fillId="5" borderId="94" xfId="0" applyNumberFormat="1" applyFont="1" applyFill="1" applyBorder="1" applyAlignment="1" applyProtection="1">
      <alignment horizontal="center" wrapText="1"/>
      <protection locked="0"/>
    </xf>
    <xf numFmtId="174" fontId="83" fillId="5" borderId="13" xfId="0" applyNumberFormat="1" applyFont="1" applyFill="1" applyBorder="1" applyAlignment="1" applyProtection="1">
      <alignment horizontal="center" wrapText="1"/>
      <protection locked="0"/>
    </xf>
    <xf numFmtId="176" fontId="85" fillId="0" borderId="61" xfId="0" applyFont="1" applyBorder="1" applyAlignment="1" applyProtection="1">
      <alignment horizontal="center" wrapText="1"/>
      <protection locked="0"/>
    </xf>
    <xf numFmtId="179" fontId="85" fillId="0" borderId="94" xfId="1" applyNumberFormat="1" applyFont="1" applyBorder="1" applyAlignment="1" applyProtection="1">
      <alignment horizontal="center" wrapText="1"/>
      <protection locked="0"/>
    </xf>
    <xf numFmtId="2" fontId="66" fillId="3" borderId="61" xfId="0" applyNumberFormat="1" applyFont="1" applyFill="1" applyBorder="1" applyAlignment="1" applyProtection="1">
      <alignment horizontal="center"/>
      <protection locked="0"/>
    </xf>
    <xf numFmtId="176" fontId="85" fillId="0" borderId="94" xfId="0" applyFont="1" applyBorder="1" applyAlignment="1" applyProtection="1">
      <alignment horizontal="center" wrapText="1"/>
      <protection locked="0"/>
    </xf>
    <xf numFmtId="2" fontId="66" fillId="0" borderId="61" xfId="0" applyNumberFormat="1" applyFont="1" applyBorder="1" applyAlignment="1" applyProtection="1">
      <alignment horizontal="center"/>
      <protection locked="0"/>
    </xf>
    <xf numFmtId="176" fontId="85" fillId="0" borderId="88" xfId="0" applyFont="1" applyBorder="1" applyAlignment="1" applyProtection="1">
      <alignment horizontal="center" wrapText="1"/>
      <protection locked="0"/>
    </xf>
    <xf numFmtId="4" fontId="85" fillId="0" borderId="62" xfId="0" applyNumberFormat="1" applyFont="1" applyBorder="1" applyAlignment="1" applyProtection="1">
      <alignment horizontal="center" vertical="center" wrapText="1"/>
      <protection locked="0"/>
    </xf>
    <xf numFmtId="0" fontId="89" fillId="0" borderId="118" xfId="0" applyNumberFormat="1" applyFont="1" applyBorder="1" applyAlignment="1" applyProtection="1">
      <alignment horizontal="center" vertical="center" wrapText="1"/>
      <protection locked="0"/>
    </xf>
    <xf numFmtId="2" fontId="89" fillId="0" borderId="29" xfId="0" applyNumberFormat="1" applyFont="1" applyBorder="1" applyAlignment="1" applyProtection="1">
      <alignment horizontal="center" vertical="center" wrapText="1"/>
      <protection locked="0"/>
    </xf>
    <xf numFmtId="2" fontId="89" fillId="0" borderId="94" xfId="0" applyNumberFormat="1" applyFont="1" applyBorder="1" applyAlignment="1" applyProtection="1">
      <alignment horizontal="center" vertical="center" wrapText="1"/>
      <protection locked="0"/>
    </xf>
    <xf numFmtId="176" fontId="89" fillId="0" borderId="118" xfId="0" applyFont="1" applyBorder="1" applyAlignment="1" applyProtection="1">
      <alignment horizontal="center" vertical="center" wrapText="1"/>
      <protection locked="0"/>
    </xf>
    <xf numFmtId="2" fontId="80" fillId="0" borderId="29" xfId="0" applyNumberFormat="1" applyFont="1" applyBorder="1" applyAlignment="1" applyProtection="1">
      <alignment horizontal="center" vertical="center" wrapText="1"/>
      <protection locked="0"/>
    </xf>
    <xf numFmtId="2" fontId="80" fillId="0" borderId="94" xfId="0" applyNumberFormat="1" applyFont="1" applyBorder="1" applyAlignment="1" applyProtection="1">
      <alignment horizontal="center" vertical="center" wrapText="1"/>
      <protection locked="0"/>
    </xf>
    <xf numFmtId="176" fontId="89" fillId="0" borderId="61" xfId="0" applyFont="1" applyBorder="1" applyAlignment="1" applyProtection="1">
      <alignment horizontal="center" vertical="center" wrapText="1"/>
      <protection locked="0"/>
    </xf>
    <xf numFmtId="2" fontId="46" fillId="3" borderId="61" xfId="0" applyNumberFormat="1" applyFont="1" applyFill="1" applyBorder="1" applyAlignment="1" applyProtection="1">
      <alignment horizontal="center"/>
      <protection locked="0"/>
    </xf>
    <xf numFmtId="176" fontId="89" fillId="0" borderId="67" xfId="0" applyFont="1" applyBorder="1" applyAlignment="1" applyProtection="1">
      <alignment horizontal="center" vertical="center" wrapText="1"/>
      <protection locked="0"/>
    </xf>
    <xf numFmtId="2" fontId="89" fillId="0" borderId="67" xfId="0" applyNumberFormat="1" applyFont="1" applyBorder="1" applyAlignment="1" applyProtection="1">
      <alignment horizontal="center" vertical="center" wrapText="1"/>
      <protection locked="0"/>
    </xf>
    <xf numFmtId="2" fontId="80" fillId="0" borderId="67" xfId="0" applyNumberFormat="1" applyFont="1" applyBorder="1" applyAlignment="1" applyProtection="1">
      <alignment horizontal="center" vertical="center" wrapText="1"/>
      <protection locked="0"/>
    </xf>
    <xf numFmtId="2" fontId="80" fillId="0" borderId="102" xfId="0" applyNumberFormat="1" applyFont="1" applyBorder="1" applyAlignment="1" applyProtection="1">
      <alignment horizontal="center" vertical="center" wrapText="1"/>
      <protection locked="0"/>
    </xf>
    <xf numFmtId="176" fontId="126" fillId="0" borderId="60" xfId="0" applyFont="1" applyBorder="1" applyAlignment="1" applyProtection="1">
      <alignment horizontal="center" vertical="center" wrapText="1"/>
      <protection locked="0"/>
    </xf>
    <xf numFmtId="176" fontId="126" fillId="0" borderId="61" xfId="0" applyFont="1" applyBorder="1" applyAlignment="1" applyProtection="1">
      <alignment horizontal="center" vertical="center" wrapText="1"/>
      <protection locked="0"/>
    </xf>
    <xf numFmtId="176" fontId="126" fillId="0" borderId="62" xfId="0" applyFont="1" applyBorder="1" applyAlignment="1" applyProtection="1">
      <alignment horizontal="center" vertical="center" wrapText="1"/>
      <protection locked="0"/>
    </xf>
    <xf numFmtId="2" fontId="46" fillId="3" borderId="132" xfId="0" applyNumberFormat="1" applyFont="1" applyFill="1" applyBorder="1" applyProtection="1">
      <protection locked="0"/>
    </xf>
    <xf numFmtId="176" fontId="46" fillId="3" borderId="132" xfId="0" applyFont="1" applyFill="1" applyBorder="1" applyProtection="1">
      <protection locked="0"/>
    </xf>
    <xf numFmtId="10" fontId="42" fillId="0" borderId="62" xfId="15" applyNumberFormat="1" applyFont="1" applyBorder="1"/>
    <xf numFmtId="2" fontId="89" fillId="0" borderId="88" xfId="0" applyNumberFormat="1" applyFont="1" applyBorder="1" applyAlignment="1" applyProtection="1">
      <alignment horizontal="center" vertical="center" wrapText="1"/>
      <protection locked="0"/>
    </xf>
    <xf numFmtId="2" fontId="68" fillId="3" borderId="88" xfId="0" applyNumberFormat="1" applyFont="1" applyFill="1" applyBorder="1" applyAlignment="1" applyProtection="1">
      <alignment horizontal="center"/>
      <protection locked="0"/>
    </xf>
    <xf numFmtId="167" fontId="0" fillId="0" borderId="0" xfId="1" applyFont="1"/>
    <xf numFmtId="0" fontId="0" fillId="0" borderId="0" xfId="0" applyNumberFormat="1"/>
    <xf numFmtId="1" fontId="136" fillId="0" borderId="94" xfId="623" applyNumberFormat="1" applyFont="1" applyBorder="1" applyAlignment="1">
      <alignment horizontal="center"/>
    </xf>
    <xf numFmtId="174" fontId="137" fillId="0" borderId="94" xfId="623" applyNumberFormat="1" applyFont="1" applyBorder="1" applyAlignment="1">
      <alignment horizontal="center"/>
    </xf>
    <xf numFmtId="1" fontId="137" fillId="0" borderId="94" xfId="623" applyNumberFormat="1" applyFont="1" applyBorder="1" applyAlignment="1">
      <alignment horizontal="center"/>
    </xf>
    <xf numFmtId="4" fontId="137" fillId="0" borderId="94" xfId="623" applyNumberFormat="1" applyFont="1" applyBorder="1" applyAlignment="1">
      <alignment horizontal="center"/>
    </xf>
    <xf numFmtId="170" fontId="137" fillId="0" borderId="94" xfId="623" applyNumberFormat="1" applyFont="1" applyBorder="1" applyAlignment="1">
      <alignment horizontal="center"/>
    </xf>
    <xf numFmtId="179" fontId="136" fillId="0" borderId="94" xfId="2" applyNumberFormat="1" applyFont="1" applyBorder="1" applyAlignment="1">
      <alignment horizontal="center"/>
    </xf>
    <xf numFmtId="2" fontId="0" fillId="0" borderId="0" xfId="1" applyNumberFormat="1" applyFont="1"/>
    <xf numFmtId="2" fontId="0" fillId="0" borderId="0" xfId="621" applyNumberFormat="1" applyFont="1"/>
    <xf numFmtId="174" fontId="137" fillId="0" borderId="0" xfId="623" applyNumberFormat="1" applyFont="1" applyAlignment="1">
      <alignment horizontal="center"/>
    </xf>
    <xf numFmtId="2" fontId="20" fillId="0" borderId="0" xfId="620" applyNumberFormat="1"/>
    <xf numFmtId="0" fontId="16" fillId="0" borderId="0" xfId="1116"/>
    <xf numFmtId="43" fontId="16" fillId="0" borderId="0" xfId="1117" applyFont="1"/>
    <xf numFmtId="17" fontId="16" fillId="0" borderId="0" xfId="1116" applyNumberFormat="1"/>
    <xf numFmtId="176" fontId="0" fillId="0" borderId="0" xfId="0" applyProtection="1">
      <protection locked="0"/>
    </xf>
    <xf numFmtId="174" fontId="83" fillId="5" borderId="0" xfId="0" applyNumberFormat="1" applyFont="1" applyFill="1" applyAlignment="1" applyProtection="1">
      <alignment horizontal="center" wrapText="1"/>
      <protection locked="0"/>
    </xf>
    <xf numFmtId="17" fontId="14" fillId="0" borderId="0" xfId="2932" applyNumberFormat="1"/>
    <xf numFmtId="43" fontId="14" fillId="0" borderId="0" xfId="2933" applyFont="1"/>
    <xf numFmtId="167" fontId="47" fillId="0" borderId="123" xfId="1" applyFont="1" applyBorder="1" applyAlignment="1">
      <alignment horizontal="center"/>
    </xf>
    <xf numFmtId="167" fontId="155" fillId="3" borderId="0" xfId="1" applyFont="1" applyFill="1" applyAlignment="1" applyProtection="1">
      <protection locked="0"/>
    </xf>
    <xf numFmtId="176" fontId="155" fillId="3" borderId="0" xfId="0" applyFont="1" applyFill="1" applyProtection="1">
      <protection locked="0"/>
    </xf>
    <xf numFmtId="176" fontId="153" fillId="0" borderId="0" xfId="0" applyFont="1" applyProtection="1">
      <protection locked="0"/>
    </xf>
    <xf numFmtId="176" fontId="135" fillId="0" borderId="0" xfId="0" applyFont="1"/>
    <xf numFmtId="176" fontId="138" fillId="0" borderId="0" xfId="0" applyFont="1" applyAlignment="1" applyProtection="1">
      <alignment horizontal="left" vertical="center"/>
      <protection locked="0"/>
    </xf>
    <xf numFmtId="2" fontId="157" fillId="0" borderId="0" xfId="9" applyNumberFormat="1" applyFont="1"/>
    <xf numFmtId="1" fontId="158" fillId="0" borderId="0" xfId="9" applyNumberFormat="1" applyFont="1"/>
    <xf numFmtId="2" fontId="158" fillId="0" borderId="0" xfId="9" applyNumberFormat="1" applyFont="1"/>
    <xf numFmtId="2" fontId="159" fillId="0" borderId="0" xfId="9" applyNumberFormat="1" applyFont="1"/>
    <xf numFmtId="1" fontId="158" fillId="0" borderId="16" xfId="9" applyNumberFormat="1" applyFont="1" applyBorder="1"/>
    <xf numFmtId="2" fontId="156" fillId="0" borderId="0" xfId="9" applyNumberFormat="1" applyFont="1"/>
    <xf numFmtId="2" fontId="157" fillId="0" borderId="0" xfId="9" applyNumberFormat="1" applyFont="1" applyAlignment="1">
      <alignment horizontal="centerContinuous"/>
    </xf>
    <xf numFmtId="2" fontId="156" fillId="0" borderId="0" xfId="9" applyNumberFormat="1" applyFont="1" applyAlignment="1">
      <alignment horizontal="centerContinuous"/>
    </xf>
    <xf numFmtId="1" fontId="156" fillId="0" borderId="3" xfId="9" applyNumberFormat="1" applyFont="1" applyBorder="1"/>
    <xf numFmtId="2" fontId="156" fillId="0" borderId="5" xfId="9" applyNumberFormat="1" applyFont="1" applyBorder="1"/>
    <xf numFmtId="2" fontId="156" fillId="0" borderId="1" xfId="9" applyNumberFormat="1" applyFont="1" applyBorder="1"/>
    <xf numFmtId="2" fontId="156" fillId="0" borderId="3" xfId="9" applyNumberFormat="1" applyFont="1" applyBorder="1"/>
    <xf numFmtId="1" fontId="156" fillId="0" borderId="2" xfId="9" applyNumberFormat="1" applyFont="1" applyBorder="1"/>
    <xf numFmtId="2" fontId="157" fillId="0" borderId="4" xfId="9" applyNumberFormat="1" applyFont="1" applyBorder="1" applyAlignment="1">
      <alignment horizontal="center"/>
    </xf>
    <xf numFmtId="2" fontId="157" fillId="0" borderId="0" xfId="9" applyNumberFormat="1" applyFont="1" applyAlignment="1">
      <alignment horizontal="center"/>
    </xf>
    <xf numFmtId="2" fontId="156" fillId="0" borderId="2" xfId="9" applyNumberFormat="1" applyFont="1" applyBorder="1"/>
    <xf numFmtId="2" fontId="156" fillId="0" borderId="27" xfId="9" applyNumberFormat="1" applyFont="1" applyBorder="1"/>
    <xf numFmtId="2" fontId="156" fillId="0" borderId="4" xfId="9" applyNumberFormat="1" applyFont="1" applyBorder="1"/>
    <xf numFmtId="2" fontId="156" fillId="0" borderId="18" xfId="9" applyNumberFormat="1" applyFont="1" applyBorder="1"/>
    <xf numFmtId="2" fontId="157" fillId="0" borderId="2" xfId="9" applyNumberFormat="1" applyFont="1" applyBorder="1" applyAlignment="1">
      <alignment horizontal="center"/>
    </xf>
    <xf numFmtId="2" fontId="157" fillId="0" borderId="18" xfId="9" applyNumberFormat="1" applyFont="1" applyBorder="1" applyAlignment="1">
      <alignment horizontal="center"/>
    </xf>
    <xf numFmtId="1" fontId="157" fillId="0" borderId="2" xfId="9" applyNumberFormat="1" applyFont="1" applyBorder="1" applyAlignment="1">
      <alignment horizontal="center"/>
    </xf>
    <xf numFmtId="2" fontId="157" fillId="0" borderId="4" xfId="9" applyNumberFormat="1" applyFont="1" applyBorder="1"/>
    <xf numFmtId="2" fontId="157" fillId="0" borderId="18" xfId="9" applyNumberFormat="1" applyFont="1" applyBorder="1"/>
    <xf numFmtId="2" fontId="157" fillId="0" borderId="2" xfId="9" applyNumberFormat="1" applyFont="1" applyBorder="1"/>
    <xf numFmtId="1" fontId="156" fillId="0" borderId="21" xfId="9" applyNumberFormat="1" applyFont="1" applyBorder="1"/>
    <xf numFmtId="2" fontId="156" fillId="0" borderId="9" xfId="9" applyNumberFormat="1" applyFont="1" applyBorder="1"/>
    <xf numFmtId="2" fontId="156" fillId="0" borderId="33" xfId="9" applyNumberFormat="1" applyFont="1" applyBorder="1"/>
    <xf numFmtId="2" fontId="157" fillId="0" borderId="21" xfId="9" applyNumberFormat="1" applyFont="1" applyBorder="1" applyAlignment="1">
      <alignment horizontal="center"/>
    </xf>
    <xf numFmtId="2" fontId="156" fillId="0" borderId="21" xfId="9" applyNumberFormat="1" applyFont="1" applyBorder="1"/>
    <xf numFmtId="1" fontId="157" fillId="0" borderId="3" xfId="9" applyNumberFormat="1" applyFont="1" applyBorder="1" applyAlignment="1">
      <alignment horizontal="center"/>
    </xf>
    <xf numFmtId="1" fontId="157" fillId="0" borderId="2" xfId="9" applyNumberFormat="1" applyFont="1" applyBorder="1"/>
    <xf numFmtId="2" fontId="157" fillId="0" borderId="13" xfId="9" applyNumberFormat="1" applyFont="1" applyBorder="1" applyAlignment="1">
      <alignment horizontal="center"/>
    </xf>
    <xf numFmtId="2" fontId="157" fillId="0" borderId="17" xfId="9" applyNumberFormat="1" applyFont="1" applyBorder="1" applyAlignment="1">
      <alignment horizontal="center"/>
    </xf>
    <xf numFmtId="2" fontId="136" fillId="0" borderId="0" xfId="9" applyNumberFormat="1" applyFont="1" applyAlignment="1">
      <alignment horizontal="center"/>
    </xf>
    <xf numFmtId="2" fontId="136" fillId="0" borderId="2" xfId="9" applyNumberFormat="1" applyFont="1" applyBorder="1" applyAlignment="1">
      <alignment horizontal="center"/>
    </xf>
    <xf numFmtId="1" fontId="158" fillId="0" borderId="1" xfId="9" applyNumberFormat="1" applyFont="1" applyBorder="1"/>
    <xf numFmtId="2" fontId="158" fillId="0" borderId="1" xfId="9" applyNumberFormat="1" applyFont="1" applyBorder="1"/>
    <xf numFmtId="2" fontId="157" fillId="0" borderId="1" xfId="9" applyNumberFormat="1" applyFont="1" applyBorder="1" applyAlignment="1">
      <alignment horizontal="center"/>
    </xf>
    <xf numFmtId="1" fontId="156" fillId="0" borderId="0" xfId="9" applyNumberFormat="1" applyFont="1"/>
    <xf numFmtId="176" fontId="139" fillId="0" borderId="69" xfId="0" applyFont="1" applyBorder="1" applyAlignment="1" applyProtection="1">
      <alignment horizontal="center" wrapText="1"/>
      <protection locked="0"/>
    </xf>
    <xf numFmtId="176" fontId="138" fillId="0" borderId="60" xfId="0" applyFont="1" applyBorder="1" applyAlignment="1" applyProtection="1">
      <alignment horizontal="center" wrapText="1"/>
      <protection locked="0"/>
    </xf>
    <xf numFmtId="176" fontId="138" fillId="0" borderId="61" xfId="0" applyFont="1" applyBorder="1" applyAlignment="1" applyProtection="1">
      <alignment horizontal="center" wrapText="1"/>
      <protection locked="0"/>
    </xf>
    <xf numFmtId="39" fontId="138" fillId="0" borderId="61" xfId="1" applyNumberFormat="1" applyFont="1" applyBorder="1" applyAlignment="1" applyProtection="1">
      <alignment horizontal="center" wrapText="1"/>
      <protection locked="0"/>
    </xf>
    <xf numFmtId="39" fontId="138" fillId="0" borderId="61" xfId="1" applyNumberFormat="1" applyFont="1" applyFill="1" applyBorder="1" applyAlignment="1" applyProtection="1">
      <alignment horizontal="center" wrapText="1"/>
      <protection locked="0"/>
    </xf>
    <xf numFmtId="39" fontId="138" fillId="0" borderId="67" xfId="1" applyNumberFormat="1" applyFont="1" applyBorder="1" applyAlignment="1" applyProtection="1">
      <alignment horizontal="center" wrapText="1"/>
      <protection locked="0"/>
    </xf>
    <xf numFmtId="176" fontId="138" fillId="0" borderId="61" xfId="0" applyFont="1" applyBorder="1" applyAlignment="1" applyProtection="1">
      <alignment horizontal="center" vertical="center" wrapText="1"/>
      <protection locked="0"/>
    </xf>
    <xf numFmtId="176" fontId="138" fillId="0" borderId="29" xfId="0" applyFont="1" applyBorder="1" applyAlignment="1" applyProtection="1">
      <alignment horizontal="center" vertical="center" wrapText="1"/>
      <protection locked="0"/>
    </xf>
    <xf numFmtId="39" fontId="138" fillId="0" borderId="0" xfId="1" applyNumberFormat="1" applyFont="1" applyBorder="1" applyAlignment="1" applyProtection="1">
      <alignment horizontal="center" wrapText="1"/>
      <protection locked="0"/>
    </xf>
    <xf numFmtId="39" fontId="138" fillId="0" borderId="114" xfId="1" applyNumberFormat="1" applyFont="1" applyBorder="1" applyAlignment="1" applyProtection="1">
      <alignment horizontal="center" wrapText="1"/>
      <protection locked="0"/>
    </xf>
    <xf numFmtId="176" fontId="138" fillId="0" borderId="0" xfId="0" applyFont="1" applyAlignment="1" applyProtection="1">
      <alignment horizontal="center" vertical="center" wrapText="1"/>
      <protection locked="0"/>
    </xf>
    <xf numFmtId="176" fontId="139" fillId="0" borderId="0" xfId="0" applyFont="1" applyAlignment="1" applyProtection="1">
      <alignment horizontal="left" wrapText="1"/>
      <protection locked="0"/>
    </xf>
    <xf numFmtId="176" fontId="138" fillId="0" borderId="0" xfId="0" applyFont="1" applyAlignment="1" applyProtection="1">
      <alignment horizontal="left" wrapText="1"/>
      <protection locked="0"/>
    </xf>
    <xf numFmtId="176" fontId="138" fillId="0" borderId="0" xfId="0" applyFont="1" applyAlignment="1" applyProtection="1">
      <alignment wrapText="1"/>
      <protection locked="0"/>
    </xf>
    <xf numFmtId="171" fontId="76" fillId="5" borderId="139" xfId="0" applyNumberFormat="1" applyFont="1" applyFill="1" applyBorder="1" applyAlignment="1" applyProtection="1">
      <alignment horizontal="center" vertical="center" wrapText="1"/>
      <protection locked="0"/>
    </xf>
    <xf numFmtId="176" fontId="85" fillId="0" borderId="140" xfId="0" applyFont="1" applyBorder="1" applyAlignment="1" applyProtection="1">
      <alignment horizontal="center" wrapText="1"/>
      <protection locked="0"/>
    </xf>
    <xf numFmtId="174" fontId="85" fillId="0" borderId="139" xfId="0" applyNumberFormat="1" applyFont="1" applyBorder="1" applyAlignment="1" applyProtection="1">
      <alignment horizontal="center" wrapText="1"/>
      <protection locked="0"/>
    </xf>
    <xf numFmtId="174" fontId="83" fillId="5" borderId="139" xfId="0" applyNumberFormat="1" applyFont="1" applyFill="1" applyBorder="1" applyAlignment="1" applyProtection="1">
      <alignment horizontal="center" wrapText="1"/>
      <protection locked="0"/>
    </xf>
    <xf numFmtId="176" fontId="139" fillId="0" borderId="63" xfId="0" applyFont="1" applyBorder="1" applyAlignment="1" applyProtection="1">
      <alignment horizontal="center" wrapText="1"/>
      <protection locked="0"/>
    </xf>
    <xf numFmtId="176" fontId="139" fillId="0" borderId="65" xfId="0" applyFont="1" applyBorder="1" applyAlignment="1" applyProtection="1">
      <alignment horizontal="center" wrapText="1"/>
      <protection locked="0"/>
    </xf>
    <xf numFmtId="176" fontId="138" fillId="0" borderId="64" xfId="0" applyFont="1" applyBorder="1" applyAlignment="1" applyProtection="1">
      <alignment horizontal="center" wrapText="1"/>
      <protection locked="0"/>
    </xf>
    <xf numFmtId="176" fontId="138" fillId="0" borderId="64" xfId="0" applyFont="1" applyBorder="1" applyAlignment="1" applyProtection="1">
      <alignment horizontal="center" vertical="center" wrapText="1"/>
      <protection locked="0"/>
    </xf>
    <xf numFmtId="176" fontId="138" fillId="0" borderId="122" xfId="0" applyFont="1" applyBorder="1" applyAlignment="1" applyProtection="1">
      <alignment horizontal="left" wrapText="1"/>
      <protection locked="0"/>
    </xf>
    <xf numFmtId="176" fontId="138" fillId="0" borderId="91" xfId="0" applyFont="1" applyBorder="1" applyAlignment="1" applyProtection="1">
      <alignment horizontal="left" wrapText="1"/>
      <protection locked="0"/>
    </xf>
    <xf numFmtId="176" fontId="139" fillId="0" borderId="91" xfId="0" applyFont="1" applyBorder="1" applyAlignment="1" applyProtection="1">
      <alignment horizontal="left" wrapText="1"/>
      <protection locked="0"/>
    </xf>
    <xf numFmtId="179" fontId="139" fillId="0" borderId="91" xfId="1" applyNumberFormat="1" applyFont="1" applyBorder="1" applyAlignment="1" applyProtection="1">
      <alignment horizontal="center" wrapText="1"/>
      <protection locked="0"/>
    </xf>
    <xf numFmtId="176" fontId="139" fillId="0" borderId="91" xfId="0" applyFont="1" applyBorder="1" applyAlignment="1" applyProtection="1">
      <alignment horizontal="center" wrapText="1"/>
      <protection locked="0"/>
    </xf>
    <xf numFmtId="176" fontId="138" fillId="0" borderId="91" xfId="0" applyFont="1" applyBorder="1" applyAlignment="1" applyProtection="1">
      <alignment horizontal="center" wrapText="1"/>
      <protection locked="0"/>
    </xf>
    <xf numFmtId="39" fontId="138" fillId="0" borderId="91" xfId="1" applyNumberFormat="1" applyFont="1" applyBorder="1" applyAlignment="1" applyProtection="1">
      <alignment horizontal="center" wrapText="1"/>
      <protection locked="0"/>
    </xf>
    <xf numFmtId="0" fontId="85" fillId="0" borderId="91" xfId="0" applyNumberFormat="1" applyFont="1" applyBorder="1" applyAlignment="1" applyProtection="1">
      <alignment horizontal="center" wrapText="1"/>
      <protection locked="0"/>
    </xf>
    <xf numFmtId="176" fontId="85" fillId="5" borderId="91" xfId="0" applyFont="1" applyFill="1" applyBorder="1" applyAlignment="1" applyProtection="1">
      <alignment horizontal="center" vertical="center" wrapText="1"/>
      <protection locked="0"/>
    </xf>
    <xf numFmtId="176" fontId="29" fillId="3" borderId="122" xfId="283" applyFont="1" applyFill="1" applyBorder="1"/>
    <xf numFmtId="1" fontId="29" fillId="3" borderId="122" xfId="283" applyNumberFormat="1" applyFont="1" applyFill="1" applyBorder="1" applyAlignment="1">
      <alignment horizontal="center"/>
    </xf>
    <xf numFmtId="1" fontId="29" fillId="3" borderId="122" xfId="283" quotePrefix="1" applyNumberFormat="1" applyFont="1" applyFill="1" applyBorder="1" applyAlignment="1">
      <alignment horizontal="center"/>
    </xf>
    <xf numFmtId="176" fontId="29" fillId="3" borderId="92" xfId="283" applyFont="1" applyFill="1" applyBorder="1"/>
    <xf numFmtId="176" fontId="31" fillId="3" borderId="92" xfId="283" applyFont="1" applyFill="1" applyBorder="1" applyAlignment="1">
      <alignment horizontal="center"/>
    </xf>
    <xf numFmtId="1" fontId="31" fillId="3" borderId="92" xfId="283" applyNumberFormat="1" applyFont="1" applyFill="1" applyBorder="1" applyAlignment="1">
      <alignment horizontal="center"/>
    </xf>
    <xf numFmtId="176" fontId="29" fillId="3" borderId="91" xfId="283" applyFont="1" applyFill="1" applyBorder="1"/>
    <xf numFmtId="3" fontId="29" fillId="3" borderId="122" xfId="283" applyNumberFormat="1" applyFont="1" applyFill="1" applyBorder="1" applyAlignment="1">
      <alignment horizontal="center"/>
    </xf>
    <xf numFmtId="3" fontId="29" fillId="3" borderId="93" xfId="283" applyNumberFormat="1" applyFont="1" applyFill="1" applyBorder="1" applyAlignment="1">
      <alignment horizontal="center"/>
    </xf>
    <xf numFmtId="3" fontId="29" fillId="3" borderId="91" xfId="283" applyNumberFormat="1" applyFont="1" applyFill="1" applyBorder="1" applyAlignment="1">
      <alignment horizontal="center"/>
    </xf>
    <xf numFmtId="1" fontId="31" fillId="3" borderId="91" xfId="283" applyNumberFormat="1" applyFont="1" applyFill="1" applyBorder="1" applyAlignment="1">
      <alignment horizontal="center"/>
    </xf>
    <xf numFmtId="3" fontId="29" fillId="0" borderId="91" xfId="1230" applyNumberFormat="1" applyFont="1" applyBorder="1" applyAlignment="1">
      <alignment horizontal="center"/>
    </xf>
    <xf numFmtId="1" fontId="29" fillId="3" borderId="91" xfId="283" applyNumberFormat="1" applyFont="1" applyFill="1" applyBorder="1" applyAlignment="1">
      <alignment horizontal="center"/>
    </xf>
    <xf numFmtId="176" fontId="31" fillId="3" borderId="91" xfId="283" applyFont="1" applyFill="1" applyBorder="1"/>
    <xf numFmtId="3" fontId="31" fillId="3" borderId="91" xfId="283" applyNumberFormat="1" applyFont="1" applyFill="1" applyBorder="1" applyAlignment="1">
      <alignment horizontal="center"/>
    </xf>
    <xf numFmtId="3" fontId="31" fillId="3" borderId="93" xfId="283" applyNumberFormat="1" applyFont="1" applyFill="1" applyBorder="1" applyAlignment="1">
      <alignment horizontal="center"/>
    </xf>
    <xf numFmtId="3" fontId="31" fillId="0" borderId="91" xfId="283" applyNumberFormat="1" applyFont="1" applyBorder="1" applyAlignment="1">
      <alignment horizontal="center"/>
    </xf>
    <xf numFmtId="3" fontId="29" fillId="0" borderId="91" xfId="283" applyNumberFormat="1" applyFont="1" applyBorder="1" applyAlignment="1">
      <alignment horizontal="center"/>
    </xf>
    <xf numFmtId="3" fontId="31" fillId="3" borderId="91" xfId="283" quotePrefix="1" applyNumberFormat="1" applyFont="1" applyFill="1" applyBorder="1" applyAlignment="1">
      <alignment horizontal="center"/>
    </xf>
    <xf numFmtId="3" fontId="58" fillId="3" borderId="93" xfId="283" applyNumberFormat="1" applyFont="1" applyFill="1" applyBorder="1" applyAlignment="1">
      <alignment horizontal="center"/>
    </xf>
    <xf numFmtId="3" fontId="58" fillId="3" borderId="91" xfId="283" applyNumberFormat="1" applyFont="1" applyFill="1" applyBorder="1" applyAlignment="1">
      <alignment horizontal="center"/>
    </xf>
    <xf numFmtId="3" fontId="31" fillId="0" borderId="91" xfId="1230" applyNumberFormat="1" applyFont="1" applyBorder="1" applyAlignment="1">
      <alignment horizontal="center"/>
    </xf>
    <xf numFmtId="176" fontId="31" fillId="0" borderId="91" xfId="283" applyFont="1" applyBorder="1"/>
    <xf numFmtId="170" fontId="29" fillId="3" borderId="92" xfId="283" applyNumberFormat="1" applyFont="1" applyFill="1" applyBorder="1" applyAlignment="1">
      <alignment horizontal="center"/>
    </xf>
    <xf numFmtId="3" fontId="29" fillId="3" borderId="103" xfId="283" applyNumberFormat="1" applyFont="1" applyFill="1" applyBorder="1" applyAlignment="1">
      <alignment horizontal="center"/>
    </xf>
    <xf numFmtId="3" fontId="29" fillId="3" borderId="92" xfId="283" applyNumberFormat="1" applyFont="1" applyFill="1" applyBorder="1" applyAlignment="1">
      <alignment horizontal="center"/>
    </xf>
    <xf numFmtId="176" fontId="62" fillId="0" borderId="0" xfId="283" applyFont="1"/>
    <xf numFmtId="176" fontId="62" fillId="0" borderId="0" xfId="283" applyFont="1" applyAlignment="1">
      <alignment horizontal="center"/>
    </xf>
    <xf numFmtId="1" fontId="62" fillId="0" borderId="0" xfId="283" applyNumberFormat="1" applyFont="1" applyAlignment="1">
      <alignment horizontal="center"/>
    </xf>
    <xf numFmtId="176" fontId="32" fillId="0" borderId="0" xfId="1230" applyNumberFormat="1" applyFont="1" applyProtection="1">
      <protection locked="0"/>
    </xf>
    <xf numFmtId="176" fontId="116" fillId="0" borderId="0" xfId="283" applyFont="1"/>
    <xf numFmtId="3" fontId="29" fillId="3" borderId="91" xfId="1230" applyNumberFormat="1" applyFont="1" applyFill="1" applyBorder="1" applyAlignment="1">
      <alignment horizontal="center"/>
    </xf>
    <xf numFmtId="170" fontId="139" fillId="5" borderId="120" xfId="0" applyNumberFormat="1" applyFont="1" applyFill="1" applyBorder="1" applyAlignment="1" applyProtection="1">
      <alignment horizontal="center" vertical="center" wrapText="1"/>
      <protection locked="0"/>
    </xf>
    <xf numFmtId="176" fontId="124" fillId="0" borderId="64" xfId="0" applyFont="1" applyBorder="1" applyAlignment="1" applyProtection="1">
      <alignment horizontal="center" wrapText="1"/>
      <protection locked="0"/>
    </xf>
    <xf numFmtId="176" fontId="124" fillId="4" borderId="64" xfId="0" applyFont="1" applyFill="1" applyBorder="1" applyAlignment="1" applyProtection="1">
      <alignment horizontal="center" wrapText="1"/>
      <protection locked="0"/>
    </xf>
    <xf numFmtId="176" fontId="124" fillId="0" borderId="64" xfId="0" applyFont="1" applyBorder="1" applyAlignment="1" applyProtection="1">
      <alignment horizontal="center" vertical="center" wrapText="1"/>
      <protection locked="0"/>
    </xf>
    <xf numFmtId="176" fontId="124" fillId="0" borderId="29" xfId="0" applyFont="1" applyBorder="1" applyAlignment="1" applyProtection="1">
      <alignment horizontal="center" vertical="center" wrapText="1"/>
      <protection locked="0"/>
    </xf>
    <xf numFmtId="176" fontId="125" fillId="0" borderId="0" xfId="0" applyFont="1" applyAlignment="1" applyProtection="1">
      <alignment horizontal="center" wrapText="1"/>
      <protection locked="0"/>
    </xf>
    <xf numFmtId="174" fontId="72" fillId="3" borderId="0" xfId="0" applyNumberFormat="1" applyFont="1" applyFill="1" applyProtection="1">
      <protection locked="0"/>
    </xf>
    <xf numFmtId="2" fontId="80" fillId="0" borderId="0" xfId="0" applyNumberFormat="1" applyFont="1" applyAlignment="1" applyProtection="1">
      <alignment horizontal="center" vertical="center" wrapText="1"/>
      <protection locked="0"/>
    </xf>
    <xf numFmtId="176" fontId="138" fillId="0" borderId="63" xfId="0" applyFont="1" applyBorder="1" applyAlignment="1" applyProtection="1">
      <alignment horizontal="center" wrapText="1"/>
      <protection locked="0"/>
    </xf>
    <xf numFmtId="39" fontId="138" fillId="0" borderId="64" xfId="1" applyNumberFormat="1" applyFont="1" applyBorder="1" applyAlignment="1" applyProtection="1">
      <alignment horizontal="center" wrapText="1"/>
      <protection locked="0"/>
    </xf>
    <xf numFmtId="39" fontId="138" fillId="0" borderId="64" xfId="1" applyNumberFormat="1" applyFont="1" applyFill="1" applyBorder="1" applyAlignment="1" applyProtection="1">
      <alignment horizontal="center" wrapText="1"/>
      <protection locked="0"/>
    </xf>
    <xf numFmtId="176" fontId="138" fillId="0" borderId="155" xfId="0" applyFont="1" applyBorder="1" applyAlignment="1" applyProtection="1">
      <alignment horizontal="center" vertical="center" wrapText="1"/>
      <protection locked="0"/>
    </xf>
    <xf numFmtId="176" fontId="139" fillId="0" borderId="122" xfId="0" applyFont="1" applyBorder="1" applyAlignment="1" applyProtection="1">
      <alignment horizontal="center" wrapText="1"/>
      <protection locked="0"/>
    </xf>
    <xf numFmtId="176" fontId="153" fillId="0" borderId="91" xfId="0" applyFont="1" applyBorder="1" applyProtection="1">
      <protection locked="0"/>
    </xf>
    <xf numFmtId="176" fontId="138" fillId="0" borderId="91" xfId="0" applyFont="1" applyBorder="1" applyAlignment="1" applyProtection="1">
      <alignment horizontal="center" vertical="center" wrapText="1"/>
      <protection locked="0"/>
    </xf>
    <xf numFmtId="176" fontId="139" fillId="0" borderId="120" xfId="0" applyFont="1" applyBorder="1" applyAlignment="1" applyProtection="1">
      <alignment horizontal="center" wrapText="1"/>
      <protection locked="0"/>
    </xf>
    <xf numFmtId="39" fontId="138" fillId="0" borderId="91" xfId="1" applyNumberFormat="1" applyFont="1" applyFill="1" applyBorder="1" applyAlignment="1" applyProtection="1">
      <alignment horizontal="center" wrapText="1"/>
      <protection locked="0"/>
    </xf>
    <xf numFmtId="2" fontId="77" fillId="0" borderId="128" xfId="0" applyNumberFormat="1" applyFont="1" applyBorder="1" applyAlignment="1" applyProtection="1">
      <alignment horizontal="center" vertical="center" wrapText="1"/>
      <protection locked="0"/>
    </xf>
    <xf numFmtId="0" fontId="76" fillId="0" borderId="57" xfId="0" applyNumberFormat="1" applyFont="1" applyBorder="1" applyAlignment="1" applyProtection="1">
      <alignment horizontal="center" vertical="center" wrapText="1"/>
      <protection locked="0"/>
    </xf>
    <xf numFmtId="2" fontId="31" fillId="3" borderId="159" xfId="0" applyNumberFormat="1" applyFont="1" applyFill="1" applyBorder="1" applyProtection="1">
      <protection locked="0"/>
    </xf>
    <xf numFmtId="176" fontId="76" fillId="0" borderId="160" xfId="0" applyFont="1" applyBorder="1" applyAlignment="1" applyProtection="1">
      <alignment horizontal="left" vertical="center" wrapText="1"/>
      <protection locked="0"/>
    </xf>
    <xf numFmtId="170" fontId="31" fillId="0" borderId="91" xfId="0" applyNumberFormat="1" applyFont="1" applyBorder="1" applyAlignment="1">
      <alignment horizontal="center"/>
    </xf>
    <xf numFmtId="170" fontId="130" fillId="0" borderId="91" xfId="1" applyNumberFormat="1" applyFont="1" applyBorder="1" applyAlignment="1">
      <alignment horizontal="center"/>
    </xf>
    <xf numFmtId="170" fontId="31" fillId="0" borderId="93" xfId="0" applyNumberFormat="1" applyFont="1" applyBorder="1" applyAlignment="1">
      <alignment horizontal="center"/>
    </xf>
    <xf numFmtId="170" fontId="131" fillId="0" borderId="120" xfId="1" applyNumberFormat="1" applyFont="1" applyBorder="1" applyAlignment="1">
      <alignment horizontal="center"/>
    </xf>
    <xf numFmtId="170" fontId="29" fillId="0" borderId="120" xfId="0" applyNumberFormat="1" applyFont="1" applyBorder="1" applyAlignment="1">
      <alignment horizontal="center"/>
    </xf>
    <xf numFmtId="170" fontId="31" fillId="0" borderId="8" xfId="0" applyNumberFormat="1" applyFont="1" applyBorder="1" applyAlignment="1">
      <alignment horizontal="center"/>
    </xf>
    <xf numFmtId="170" fontId="130" fillId="0" borderId="91" xfId="1" applyNumberFormat="1" applyFont="1" applyFill="1" applyBorder="1" applyAlignment="1">
      <alignment horizontal="center"/>
    </xf>
    <xf numFmtId="170" fontId="29" fillId="0" borderId="121" xfId="0" applyNumberFormat="1" applyFont="1" applyBorder="1" applyAlignment="1">
      <alignment horizontal="center"/>
    </xf>
    <xf numFmtId="2" fontId="0" fillId="0" borderId="0" xfId="0" applyNumberFormat="1" applyProtection="1">
      <protection locked="0"/>
    </xf>
    <xf numFmtId="174" fontId="83" fillId="5" borderId="156" xfId="0" applyNumberFormat="1" applyFont="1" applyFill="1" applyBorder="1" applyAlignment="1" applyProtection="1">
      <alignment horizontal="center" wrapText="1"/>
      <protection locked="0"/>
    </xf>
    <xf numFmtId="0" fontId="7" fillId="0" borderId="0" xfId="620" applyFont="1"/>
    <xf numFmtId="176" fontId="162" fillId="0" borderId="0" xfId="0" applyFont="1"/>
    <xf numFmtId="17" fontId="162" fillId="0" borderId="0" xfId="0" applyNumberFormat="1" applyFont="1"/>
    <xf numFmtId="167" fontId="162" fillId="0" borderId="0" xfId="1" applyFont="1"/>
    <xf numFmtId="17" fontId="7" fillId="0" borderId="0" xfId="2932" applyNumberFormat="1" applyFont="1"/>
    <xf numFmtId="2" fontId="162" fillId="0" borderId="0" xfId="0" applyNumberFormat="1" applyFont="1"/>
    <xf numFmtId="167" fontId="16" fillId="0" borderId="0" xfId="1" applyFont="1"/>
    <xf numFmtId="167" fontId="20" fillId="0" borderId="0" xfId="1" applyFont="1"/>
    <xf numFmtId="167" fontId="14" fillId="0" borderId="0" xfId="1" applyFont="1"/>
    <xf numFmtId="0" fontId="6" fillId="0" borderId="0" xfId="620" applyFont="1"/>
    <xf numFmtId="17" fontId="6" fillId="0" borderId="0" xfId="2932" applyNumberFormat="1" applyFont="1"/>
    <xf numFmtId="17" fontId="6" fillId="0" borderId="0" xfId="1116" applyNumberFormat="1" applyFont="1"/>
    <xf numFmtId="0" fontId="6" fillId="0" borderId="0" xfId="1116" applyFont="1"/>
    <xf numFmtId="0" fontId="6" fillId="0" borderId="0" xfId="2932" applyFont="1"/>
    <xf numFmtId="167" fontId="6" fillId="0" borderId="0" xfId="1" applyFont="1"/>
    <xf numFmtId="2" fontId="6" fillId="0" borderId="0" xfId="620" applyNumberFormat="1" applyFont="1"/>
    <xf numFmtId="2" fontId="46" fillId="3" borderId="156" xfId="0" applyNumberFormat="1" applyFont="1" applyFill="1" applyBorder="1" applyAlignment="1" applyProtection="1">
      <alignment horizontal="center"/>
      <protection locked="0"/>
    </xf>
    <xf numFmtId="176" fontId="82" fillId="0" borderId="159" xfId="0" applyFont="1" applyBorder="1" applyAlignment="1" applyProtection="1">
      <alignment horizontal="left" vertical="center" wrapText="1"/>
      <protection locked="0"/>
    </xf>
    <xf numFmtId="176" fontId="82" fillId="0" borderId="61" xfId="0" applyFont="1" applyBorder="1" applyAlignment="1" applyProtection="1">
      <alignment horizontal="left" vertical="center" wrapText="1"/>
      <protection locked="0"/>
    </xf>
    <xf numFmtId="176" fontId="82" fillId="0" borderId="61" xfId="0" applyFont="1" applyBorder="1" applyAlignment="1" applyProtection="1">
      <alignment horizontal="center" vertical="center" wrapText="1"/>
      <protection locked="0"/>
    </xf>
    <xf numFmtId="176" fontId="85" fillId="0" borderId="159" xfId="0" applyFont="1" applyBorder="1" applyAlignment="1" applyProtection="1">
      <alignment horizontal="center" vertical="center" wrapText="1"/>
      <protection locked="0"/>
    </xf>
    <xf numFmtId="2" fontId="85" fillId="0" borderId="61" xfId="0" applyNumberFormat="1" applyFont="1" applyBorder="1" applyAlignment="1" applyProtection="1">
      <alignment horizontal="center" vertical="center" wrapText="1"/>
      <protection locked="0"/>
    </xf>
    <xf numFmtId="0" fontId="85" fillId="0" borderId="159" xfId="0" applyNumberFormat="1" applyFont="1" applyBorder="1" applyAlignment="1" applyProtection="1">
      <alignment horizontal="center" vertical="center" wrapText="1"/>
      <protection locked="0"/>
    </xf>
    <xf numFmtId="4" fontId="85" fillId="0" borderId="61" xfId="0" applyNumberFormat="1" applyFont="1" applyBorder="1" applyAlignment="1" applyProtection="1">
      <alignment horizontal="center" vertical="center" wrapText="1"/>
      <protection locked="0"/>
    </xf>
    <xf numFmtId="176" fontId="85" fillId="0" borderId="118" xfId="0" applyFont="1" applyBorder="1" applyAlignment="1" applyProtection="1">
      <alignment horizontal="center" vertical="center" wrapText="1"/>
      <protection locked="0"/>
    </xf>
    <xf numFmtId="0" fontId="66" fillId="0" borderId="94" xfId="12" applyNumberFormat="1" applyFont="1" applyBorder="1" applyAlignment="1">
      <alignment horizontal="center"/>
    </xf>
    <xf numFmtId="176" fontId="85" fillId="0" borderId="118" xfId="0" applyFont="1" applyBorder="1" applyAlignment="1" applyProtection="1">
      <alignment horizontal="left" vertical="center" wrapText="1"/>
      <protection locked="0"/>
    </xf>
    <xf numFmtId="179" fontId="85" fillId="0" borderId="118" xfId="1" applyNumberFormat="1" applyFont="1" applyBorder="1" applyAlignment="1" applyProtection="1">
      <alignment horizontal="center" wrapText="1"/>
      <protection locked="0"/>
    </xf>
    <xf numFmtId="176" fontId="85" fillId="0" borderId="118" xfId="0" applyFont="1" applyBorder="1" applyAlignment="1" applyProtection="1">
      <alignment horizontal="center" wrapText="1"/>
      <protection locked="0"/>
    </xf>
    <xf numFmtId="2" fontId="66" fillId="3" borderId="88" xfId="0" applyNumberFormat="1" applyFont="1" applyFill="1" applyBorder="1" applyAlignment="1" applyProtection="1">
      <alignment horizontal="center"/>
      <protection locked="0"/>
    </xf>
    <xf numFmtId="2" fontId="66" fillId="3" borderId="67" xfId="0" applyNumberFormat="1" applyFont="1" applyFill="1" applyBorder="1" applyAlignment="1" applyProtection="1">
      <alignment horizontal="center"/>
      <protection locked="0"/>
    </xf>
    <xf numFmtId="176" fontId="80" fillId="0" borderId="131" xfId="0" applyFont="1" applyBorder="1" applyAlignment="1" applyProtection="1">
      <alignment horizontal="left" vertical="center" wrapText="1"/>
      <protection locked="0"/>
    </xf>
    <xf numFmtId="176" fontId="89" fillId="0" borderId="60" xfId="0" applyFont="1" applyBorder="1" applyAlignment="1" applyProtection="1">
      <alignment horizontal="center" vertical="center" wrapText="1"/>
      <protection locked="0"/>
    </xf>
    <xf numFmtId="176" fontId="80" fillId="0" borderId="117" xfId="0" applyFont="1" applyBorder="1" applyAlignment="1" applyProtection="1">
      <alignment horizontal="left" vertical="center" wrapText="1"/>
      <protection locked="0"/>
    </xf>
    <xf numFmtId="176" fontId="80" fillId="0" borderId="118" xfId="0" applyFont="1" applyBorder="1" applyAlignment="1" applyProtection="1">
      <alignment horizontal="left" vertical="center" wrapText="1"/>
      <protection locked="0"/>
    </xf>
    <xf numFmtId="176" fontId="80" fillId="0" borderId="61" xfId="0" applyFont="1" applyBorder="1" applyAlignment="1" applyProtection="1">
      <alignment horizontal="left" vertical="center" wrapText="1"/>
      <protection locked="0"/>
    </xf>
    <xf numFmtId="176" fontId="80" fillId="0" borderId="119" xfId="0" applyFont="1" applyBorder="1" applyAlignment="1" applyProtection="1">
      <alignment horizontal="left" vertical="center" wrapText="1"/>
      <protection locked="0"/>
    </xf>
    <xf numFmtId="176" fontId="80" fillId="0" borderId="62" xfId="0" applyFont="1" applyBorder="1" applyAlignment="1" applyProtection="1">
      <alignment horizontal="left" vertical="center" wrapText="1"/>
      <protection locked="0"/>
    </xf>
    <xf numFmtId="176" fontId="80" fillId="0" borderId="60" xfId="0" applyFont="1" applyBorder="1" applyAlignment="1" applyProtection="1">
      <alignment horizontal="left" vertical="center" wrapText="1"/>
      <protection locked="0"/>
    </xf>
    <xf numFmtId="176" fontId="89" fillId="0" borderId="118" xfId="0" applyFont="1" applyBorder="1" applyAlignment="1" applyProtection="1">
      <alignment horizontal="left" vertical="center" wrapText="1"/>
      <protection locked="0"/>
    </xf>
    <xf numFmtId="0" fontId="89" fillId="0" borderId="61" xfId="0" applyNumberFormat="1" applyFont="1" applyBorder="1" applyAlignment="1" applyProtection="1">
      <alignment horizontal="center" vertical="center" wrapText="1"/>
      <protection locked="0"/>
    </xf>
    <xf numFmtId="2" fontId="83" fillId="0" borderId="61" xfId="0" applyNumberFormat="1" applyFont="1" applyBorder="1" applyAlignment="1" applyProtection="1">
      <alignment horizontal="center" vertical="center" wrapText="1"/>
      <protection locked="0"/>
    </xf>
    <xf numFmtId="1" fontId="85" fillId="0" borderId="159" xfId="0" applyNumberFormat="1" applyFont="1" applyBorder="1" applyAlignment="1" applyProtection="1">
      <alignment horizontal="center" vertical="center" wrapText="1"/>
      <protection locked="0"/>
    </xf>
    <xf numFmtId="2" fontId="77" fillId="0" borderId="156" xfId="0" applyNumberFormat="1" applyFont="1" applyBorder="1" applyAlignment="1" applyProtection="1">
      <alignment horizontal="center" vertical="center" wrapText="1"/>
      <protection locked="0"/>
    </xf>
    <xf numFmtId="2" fontId="82" fillId="0" borderId="156" xfId="0" applyNumberFormat="1" applyFont="1" applyBorder="1" applyAlignment="1" applyProtection="1">
      <alignment horizontal="center" vertical="center" wrapText="1"/>
      <protection locked="0"/>
    </xf>
    <xf numFmtId="2" fontId="82" fillId="0" borderId="0" xfId="0" applyNumberFormat="1" applyFont="1" applyAlignment="1" applyProtection="1">
      <alignment horizontal="center" vertical="center" wrapText="1"/>
      <protection locked="0"/>
    </xf>
    <xf numFmtId="2" fontId="81" fillId="0" borderId="118" xfId="0" applyNumberFormat="1" applyFont="1" applyBorder="1" applyAlignment="1" applyProtection="1">
      <alignment horizontal="center" vertical="center" wrapText="1"/>
      <protection locked="0"/>
    </xf>
    <xf numFmtId="2" fontId="46" fillId="3" borderId="0" xfId="0" applyNumberFormat="1" applyFont="1" applyFill="1" applyProtection="1">
      <protection locked="0"/>
    </xf>
    <xf numFmtId="171" fontId="76" fillId="5" borderId="156" xfId="0" applyNumberFormat="1" applyFont="1" applyFill="1" applyBorder="1" applyAlignment="1" applyProtection="1">
      <alignment horizontal="center" vertical="center" wrapText="1"/>
      <protection locked="0"/>
    </xf>
    <xf numFmtId="2" fontId="80" fillId="0" borderId="159" xfId="0" applyNumberFormat="1" applyFont="1" applyBorder="1" applyAlignment="1" applyProtection="1">
      <alignment horizontal="center" vertical="center" wrapText="1"/>
      <protection locked="0"/>
    </xf>
    <xf numFmtId="2" fontId="80" fillId="0" borderId="156" xfId="0" applyNumberFormat="1" applyFont="1" applyBorder="1" applyAlignment="1" applyProtection="1">
      <alignment horizontal="center" vertical="center" wrapText="1"/>
      <protection locked="0"/>
    </xf>
    <xf numFmtId="17" fontId="0" fillId="0" borderId="0" xfId="0" applyNumberFormat="1"/>
    <xf numFmtId="2" fontId="162" fillId="0" borderId="0" xfId="1" applyNumberFormat="1" applyFont="1"/>
    <xf numFmtId="2" fontId="16" fillId="0" borderId="0" xfId="1116" applyNumberFormat="1"/>
    <xf numFmtId="2" fontId="7" fillId="0" borderId="0" xfId="1" applyNumberFormat="1" applyFont="1"/>
    <xf numFmtId="2" fontId="16" fillId="0" borderId="0" xfId="1" applyNumberFormat="1" applyFont="1"/>
    <xf numFmtId="2" fontId="20" fillId="0" borderId="0" xfId="1" applyNumberFormat="1" applyFont="1"/>
    <xf numFmtId="2" fontId="14" fillId="0" borderId="0" xfId="1" applyNumberFormat="1" applyFont="1"/>
    <xf numFmtId="2" fontId="6" fillId="0" borderId="0" xfId="1116" applyNumberFormat="1" applyFont="1"/>
    <xf numFmtId="2" fontId="6" fillId="0" borderId="0" xfId="2932" applyNumberFormat="1" applyFont="1"/>
    <xf numFmtId="2" fontId="6" fillId="0" borderId="0" xfId="1" applyNumberFormat="1" applyFont="1"/>
    <xf numFmtId="176" fontId="122" fillId="0" borderId="18" xfId="12" applyFont="1" applyBorder="1" applyAlignment="1">
      <alignment horizontal="center"/>
    </xf>
    <xf numFmtId="176" fontId="163" fillId="0" borderId="0" xfId="0" applyFont="1" applyAlignment="1" applyProtection="1">
      <alignment horizontal="center"/>
      <protection locked="0"/>
    </xf>
    <xf numFmtId="176" fontId="84" fillId="0" borderId="88" xfId="0" applyFont="1" applyBorder="1" applyAlignment="1" applyProtection="1">
      <alignment horizontal="center" vertical="center" wrapText="1"/>
      <protection locked="0"/>
    </xf>
    <xf numFmtId="176" fontId="115" fillId="5" borderId="0" xfId="0" applyFont="1" applyFill="1" applyAlignment="1" applyProtection="1">
      <alignment horizontal="left" vertical="center"/>
      <protection locked="0"/>
    </xf>
    <xf numFmtId="176" fontId="49" fillId="0" borderId="0" xfId="0" applyFont="1"/>
    <xf numFmtId="184" fontId="49" fillId="0" borderId="0" xfId="170" applyNumberFormat="1" applyFont="1"/>
    <xf numFmtId="176" fontId="49" fillId="0" borderId="0" xfId="283" applyFont="1"/>
    <xf numFmtId="176" fontId="118" fillId="0" borderId="161" xfId="12" applyFont="1" applyBorder="1"/>
    <xf numFmtId="176" fontId="118" fillId="0" borderId="18" xfId="12" applyFont="1" applyBorder="1" applyAlignment="1">
      <alignment horizontal="center"/>
    </xf>
    <xf numFmtId="2" fontId="122" fillId="0" borderId="18" xfId="12" applyNumberFormat="1" applyFont="1" applyBorder="1" applyAlignment="1">
      <alignment horizontal="center"/>
    </xf>
    <xf numFmtId="176" fontId="122" fillId="0" borderId="18" xfId="12" quotePrefix="1" applyFont="1" applyBorder="1" applyAlignment="1">
      <alignment horizontal="center"/>
    </xf>
    <xf numFmtId="176" fontId="123" fillId="0" borderId="18" xfId="12" applyFont="1" applyBorder="1" applyAlignment="1">
      <alignment horizontal="center"/>
    </xf>
    <xf numFmtId="176" fontId="123" fillId="0" borderId="18" xfId="12" quotePrefix="1" applyFont="1" applyBorder="1" applyAlignment="1">
      <alignment horizontal="center"/>
    </xf>
    <xf numFmtId="176" fontId="124" fillId="0" borderId="150" xfId="0" applyFont="1" applyBorder="1" applyAlignment="1" applyProtection="1">
      <alignment horizontal="center" vertical="center" wrapText="1"/>
      <protection locked="0"/>
    </xf>
    <xf numFmtId="176" fontId="118" fillId="0" borderId="99" xfId="12" applyFont="1" applyBorder="1"/>
    <xf numFmtId="176" fontId="118" fillId="0" borderId="101" xfId="12" applyFont="1" applyBorder="1"/>
    <xf numFmtId="176" fontId="118" fillId="0" borderId="29" xfId="12" applyFont="1" applyBorder="1"/>
    <xf numFmtId="176" fontId="122" fillId="0" borderId="162" xfId="12" applyFont="1" applyBorder="1" applyAlignment="1">
      <alignment horizontal="center"/>
    </xf>
    <xf numFmtId="176" fontId="122" fillId="0" borderId="29" xfId="12" applyFont="1" applyBorder="1" applyAlignment="1">
      <alignment horizontal="center"/>
    </xf>
    <xf numFmtId="176" fontId="122" fillId="0" borderId="163" xfId="12" applyFont="1" applyBorder="1" applyAlignment="1">
      <alignment horizontal="center"/>
    </xf>
    <xf numFmtId="176" fontId="122" fillId="4" borderId="162" xfId="12" applyFont="1" applyFill="1" applyBorder="1" applyAlignment="1">
      <alignment horizontal="center"/>
    </xf>
    <xf numFmtId="176" fontId="122" fillId="0" borderId="164" xfId="12" applyFont="1" applyBorder="1" applyAlignment="1">
      <alignment horizontal="center"/>
    </xf>
    <xf numFmtId="176" fontId="118" fillId="0" borderId="163" xfId="12" applyFont="1" applyBorder="1"/>
    <xf numFmtId="176" fontId="118" fillId="0" borderId="154" xfId="12" applyFont="1" applyBorder="1"/>
    <xf numFmtId="176" fontId="118" fillId="0" borderId="100" xfId="12" applyFont="1" applyBorder="1"/>
    <xf numFmtId="176" fontId="118" fillId="0" borderId="165" xfId="12" applyFont="1" applyBorder="1"/>
    <xf numFmtId="176" fontId="118" fillId="0" borderId="166" xfId="12" applyFont="1" applyBorder="1"/>
    <xf numFmtId="176" fontId="118" fillId="0" borderId="167" xfId="12" applyFont="1" applyBorder="1"/>
    <xf numFmtId="176" fontId="118" fillId="0" borderId="162" xfId="12" applyFont="1" applyBorder="1"/>
    <xf numFmtId="176" fontId="118" fillId="0" borderId="162" xfId="12" applyFont="1" applyBorder="1" applyAlignment="1">
      <alignment horizontal="center"/>
    </xf>
    <xf numFmtId="176" fontId="122" fillId="0" borderId="162" xfId="12" quotePrefix="1" applyFont="1" applyBorder="1" applyAlignment="1">
      <alignment horizontal="center"/>
    </xf>
    <xf numFmtId="176" fontId="118" fillId="0" borderId="168" xfId="12" applyFont="1" applyBorder="1"/>
    <xf numFmtId="176" fontId="56" fillId="0" borderId="163" xfId="623" applyFont="1" applyBorder="1" applyAlignment="1">
      <alignment horizontal="center"/>
    </xf>
    <xf numFmtId="174" fontId="137" fillId="0" borderId="163" xfId="623" applyNumberFormat="1" applyFont="1" applyBorder="1" applyAlignment="1">
      <alignment horizontal="center"/>
    </xf>
    <xf numFmtId="176" fontId="139" fillId="0" borderId="0" xfId="0" applyFont="1" applyAlignment="1" applyProtection="1">
      <alignment vertical="center"/>
      <protection locked="0"/>
    </xf>
    <xf numFmtId="174" fontId="83" fillId="5" borderId="163" xfId="0" applyNumberFormat="1" applyFont="1" applyFill="1" applyBorder="1" applyAlignment="1" applyProtection="1">
      <alignment horizontal="center" wrapText="1"/>
      <protection locked="0"/>
    </xf>
    <xf numFmtId="174" fontId="83" fillId="5" borderId="0" xfId="0" applyNumberFormat="1" applyFont="1" applyFill="1" applyAlignment="1" applyProtection="1">
      <alignment horizontal="center" vertical="center" wrapText="1"/>
      <protection locked="0"/>
    </xf>
    <xf numFmtId="176" fontId="85" fillId="0" borderId="165" xfId="0" applyFont="1" applyBorder="1" applyAlignment="1" applyProtection="1">
      <alignment horizontal="center" wrapText="1"/>
      <protection locked="0"/>
    </xf>
    <xf numFmtId="171" fontId="76" fillId="5" borderId="163" xfId="0" applyNumberFormat="1" applyFont="1" applyFill="1" applyBorder="1" applyAlignment="1" applyProtection="1">
      <alignment horizontal="center" vertical="center" wrapText="1"/>
      <protection locked="0"/>
    </xf>
    <xf numFmtId="0" fontId="31" fillId="3" borderId="0" xfId="0" applyNumberFormat="1" applyFont="1" applyFill="1" applyProtection="1">
      <protection locked="0"/>
    </xf>
    <xf numFmtId="2" fontId="130" fillId="0" borderId="35" xfId="0" applyNumberFormat="1" applyFont="1" applyBorder="1" applyAlignment="1">
      <alignment horizontal="center"/>
    </xf>
    <xf numFmtId="2" fontId="31" fillId="0" borderId="35" xfId="0" applyNumberFormat="1" applyFont="1" applyBorder="1" applyAlignment="1">
      <alignment horizontal="center"/>
    </xf>
    <xf numFmtId="2" fontId="80" fillId="0" borderId="165" xfId="0" applyNumberFormat="1" applyFont="1" applyBorder="1" applyAlignment="1" applyProtection="1">
      <alignment horizontal="center" vertical="center" wrapText="1"/>
      <protection locked="0"/>
    </xf>
    <xf numFmtId="2" fontId="80" fillId="0" borderId="163" xfId="0" applyNumberFormat="1" applyFont="1" applyBorder="1" applyAlignment="1" applyProtection="1">
      <alignment horizontal="center" vertical="center" wrapText="1"/>
      <protection locked="0"/>
    </xf>
    <xf numFmtId="2" fontId="46" fillId="3" borderId="163" xfId="0" applyNumberFormat="1" applyFont="1" applyFill="1" applyBorder="1" applyAlignment="1" applyProtection="1">
      <alignment horizontal="center"/>
      <protection locked="0"/>
    </xf>
    <xf numFmtId="2" fontId="47" fillId="3" borderId="132" xfId="0" applyNumberFormat="1" applyFont="1" applyFill="1" applyBorder="1" applyAlignment="1" applyProtection="1">
      <alignment horizontal="center" vertical="center"/>
      <protection locked="0"/>
    </xf>
    <xf numFmtId="2" fontId="46" fillId="3" borderId="132" xfId="0" applyNumberFormat="1" applyFont="1" applyFill="1" applyBorder="1" applyAlignment="1" applyProtection="1">
      <alignment horizontal="center"/>
      <protection locked="0"/>
    </xf>
    <xf numFmtId="4" fontId="85" fillId="0" borderId="0" xfId="0" applyNumberFormat="1" applyFont="1" applyAlignment="1" applyProtection="1">
      <alignment horizontal="center" vertical="center" wrapText="1"/>
      <protection locked="0"/>
    </xf>
    <xf numFmtId="174" fontId="85" fillId="0" borderId="0" xfId="0" applyNumberFormat="1" applyFont="1" applyAlignment="1" applyProtection="1">
      <alignment horizontal="center" vertical="center" wrapText="1"/>
      <protection locked="0"/>
    </xf>
    <xf numFmtId="2" fontId="76" fillId="5" borderId="163" xfId="0" applyNumberFormat="1" applyFont="1" applyFill="1" applyBorder="1" applyAlignment="1" applyProtection="1">
      <alignment horizontal="center" vertical="center" wrapText="1"/>
      <protection locked="0"/>
    </xf>
    <xf numFmtId="2" fontId="89" fillId="0" borderId="163" xfId="0" applyNumberFormat="1" applyFont="1" applyBorder="1" applyAlignment="1" applyProtection="1">
      <alignment horizontal="center" vertical="center" wrapText="1"/>
      <protection locked="0"/>
    </xf>
    <xf numFmtId="171" fontId="76" fillId="5" borderId="97" xfId="0" applyNumberFormat="1" applyFont="1" applyFill="1" applyBorder="1" applyAlignment="1" applyProtection="1">
      <alignment horizontal="center" vertical="center" wrapText="1"/>
      <protection locked="0"/>
    </xf>
    <xf numFmtId="174" fontId="89" fillId="5" borderId="163" xfId="0" applyNumberFormat="1" applyFont="1" applyFill="1" applyBorder="1" applyAlignment="1" applyProtection="1">
      <alignment horizontal="center" wrapText="1"/>
      <protection locked="0"/>
    </xf>
    <xf numFmtId="0" fontId="136" fillId="0" borderId="94" xfId="623" applyNumberFormat="1" applyFont="1" applyBorder="1" applyAlignment="1">
      <alignment horizontal="center"/>
    </xf>
    <xf numFmtId="167" fontId="137" fillId="0" borderId="0" xfId="623" applyNumberFormat="1" applyFont="1" applyAlignment="1">
      <alignment horizontal="center"/>
    </xf>
    <xf numFmtId="0" fontId="85" fillId="5" borderId="61" xfId="0" applyNumberFormat="1" applyFont="1" applyFill="1" applyBorder="1" applyAlignment="1" applyProtection="1">
      <alignment horizontal="center" vertical="center" wrapText="1"/>
      <protection locked="0"/>
    </xf>
    <xf numFmtId="0" fontId="136" fillId="0" borderId="0" xfId="623" applyNumberFormat="1" applyFont="1" applyAlignment="1">
      <alignment horizontal="center"/>
    </xf>
    <xf numFmtId="2" fontId="89" fillId="0" borderId="61" xfId="0" applyNumberFormat="1" applyFont="1" applyBorder="1" applyAlignment="1" applyProtection="1">
      <alignment horizontal="center" vertical="center" wrapText="1"/>
      <protection locked="0"/>
    </xf>
    <xf numFmtId="2" fontId="76" fillId="0" borderId="157" xfId="0" applyNumberFormat="1" applyFont="1" applyBorder="1" applyAlignment="1" applyProtection="1">
      <alignment horizontal="center" vertical="center" wrapText="1"/>
      <protection locked="0"/>
    </xf>
    <xf numFmtId="2" fontId="76" fillId="0" borderId="146" xfId="0" applyNumberFormat="1" applyFont="1" applyBorder="1" applyAlignment="1" applyProtection="1">
      <alignment horizontal="center" vertical="center" wrapText="1"/>
      <protection locked="0"/>
    </xf>
    <xf numFmtId="2" fontId="76" fillId="0" borderId="158" xfId="0" applyNumberFormat="1" applyFont="1" applyBorder="1" applyAlignment="1" applyProtection="1">
      <alignment horizontal="center" vertical="center" wrapText="1"/>
      <protection locked="0"/>
    </xf>
    <xf numFmtId="176" fontId="64" fillId="3" borderId="173" xfId="0" applyFont="1" applyFill="1" applyBorder="1"/>
    <xf numFmtId="0" fontId="137" fillId="0" borderId="94" xfId="623" applyNumberFormat="1" applyFont="1" applyBorder="1" applyAlignment="1">
      <alignment horizontal="center"/>
    </xf>
    <xf numFmtId="2" fontId="31" fillId="0" borderId="0" xfId="3" applyNumberFormat="1" applyFont="1"/>
    <xf numFmtId="176" fontId="85" fillId="0" borderId="0" xfId="0" applyFont="1" applyAlignment="1" applyProtection="1">
      <alignment horizontal="center" vertical="center"/>
      <protection locked="0"/>
    </xf>
    <xf numFmtId="176" fontId="29" fillId="3" borderId="174" xfId="0" applyFont="1" applyFill="1" applyBorder="1" applyAlignment="1">
      <alignment horizontal="center"/>
    </xf>
    <xf numFmtId="176" fontId="29" fillId="3" borderId="174" xfId="0" applyFont="1" applyFill="1" applyBorder="1"/>
    <xf numFmtId="176" fontId="31" fillId="3" borderId="175" xfId="0" applyFont="1" applyFill="1" applyBorder="1"/>
    <xf numFmtId="171" fontId="29" fillId="3" borderId="174" xfId="0" applyNumberFormat="1" applyFont="1" applyFill="1" applyBorder="1" applyAlignment="1">
      <alignment horizontal="center"/>
    </xf>
    <xf numFmtId="2" fontId="29" fillId="3" borderId="174" xfId="0" applyNumberFormat="1" applyFont="1" applyFill="1" applyBorder="1" applyAlignment="1">
      <alignment horizontal="center"/>
    </xf>
    <xf numFmtId="176" fontId="76" fillId="5" borderId="163" xfId="0" applyFont="1" applyFill="1" applyBorder="1" applyAlignment="1" applyProtection="1">
      <alignment horizontal="center" wrapText="1"/>
      <protection locked="0"/>
    </xf>
    <xf numFmtId="176" fontId="31" fillId="3" borderId="163" xfId="0" applyFont="1" applyFill="1" applyBorder="1"/>
    <xf numFmtId="176" fontId="84" fillId="5" borderId="0" xfId="0" applyFont="1" applyFill="1" applyAlignment="1" applyProtection="1">
      <alignment horizontal="left" vertical="center" wrapText="1"/>
      <protection locked="0"/>
    </xf>
    <xf numFmtId="176" fontId="76" fillId="5" borderId="0" xfId="0" applyFont="1" applyFill="1" applyAlignment="1" applyProtection="1">
      <alignment horizontal="center" vertical="center" wrapText="1"/>
      <protection locked="0"/>
    </xf>
    <xf numFmtId="167" fontId="42" fillId="3" borderId="0" xfId="1" applyFont="1" applyFill="1" applyAlignment="1">
      <alignment horizontal="center"/>
    </xf>
    <xf numFmtId="176" fontId="46" fillId="0" borderId="0" xfId="623" applyFont="1" applyAlignment="1">
      <alignment horizontal="center"/>
    </xf>
    <xf numFmtId="174" fontId="80" fillId="0" borderId="171" xfId="2" applyNumberFormat="1" applyFont="1" applyBorder="1" applyAlignment="1" applyProtection="1">
      <alignment horizontal="center" wrapText="1"/>
      <protection locked="0"/>
    </xf>
    <xf numFmtId="4" fontId="165" fillId="0" borderId="0" xfId="0" applyNumberFormat="1" applyFont="1" applyAlignment="1" applyProtection="1">
      <alignment horizontal="center" vertical="center" wrapText="1"/>
      <protection locked="0"/>
    </xf>
    <xf numFmtId="176" fontId="47" fillId="0" borderId="0" xfId="623" applyFont="1" applyAlignment="1">
      <alignment horizontal="center"/>
    </xf>
    <xf numFmtId="0" fontId="89" fillId="0" borderId="179" xfId="0" applyNumberFormat="1" applyFont="1" applyBorder="1" applyAlignment="1" applyProtection="1">
      <alignment horizontal="center" wrapText="1"/>
      <protection locked="0"/>
    </xf>
    <xf numFmtId="176" fontId="76" fillId="5" borderId="91" xfId="0" applyFont="1" applyFill="1" applyBorder="1" applyAlignment="1" applyProtection="1">
      <alignment horizontal="center" vertical="center" wrapText="1"/>
      <protection locked="0"/>
    </xf>
    <xf numFmtId="2" fontId="76" fillId="5" borderId="181" xfId="0" applyNumberFormat="1" applyFont="1" applyFill="1" applyBorder="1" applyAlignment="1" applyProtection="1">
      <alignment horizontal="center" vertical="center" wrapText="1"/>
      <protection locked="0"/>
    </xf>
    <xf numFmtId="171" fontId="76" fillId="5" borderId="91" xfId="0" applyNumberFormat="1" applyFont="1" applyFill="1" applyBorder="1" applyAlignment="1" applyProtection="1">
      <alignment horizontal="center" vertical="center" wrapText="1"/>
      <protection locked="0"/>
    </xf>
    <xf numFmtId="2" fontId="76" fillId="5" borderId="171" xfId="0" applyNumberFormat="1" applyFont="1" applyFill="1" applyBorder="1" applyAlignment="1" applyProtection="1">
      <alignment horizontal="center" vertical="center" wrapText="1"/>
      <protection locked="0"/>
    </xf>
    <xf numFmtId="0" fontId="76" fillId="5" borderId="91" xfId="0" applyNumberFormat="1" applyFont="1" applyFill="1" applyBorder="1" applyAlignment="1" applyProtection="1">
      <alignment horizontal="center" vertical="center" wrapText="1"/>
      <protection locked="0"/>
    </xf>
    <xf numFmtId="2" fontId="76" fillId="5" borderId="91" xfId="0" applyNumberFormat="1" applyFont="1" applyFill="1" applyBorder="1" applyAlignment="1" applyProtection="1">
      <alignment horizontal="center" vertical="center" wrapText="1"/>
      <protection locked="0"/>
    </xf>
    <xf numFmtId="176" fontId="76" fillId="5" borderId="7" xfId="0" applyFont="1" applyFill="1" applyBorder="1" applyAlignment="1" applyProtection="1">
      <alignment horizontal="center" vertical="center" wrapText="1"/>
      <protection locked="0"/>
    </xf>
    <xf numFmtId="2" fontId="76" fillId="5" borderId="182" xfId="0" applyNumberFormat="1" applyFont="1" applyFill="1" applyBorder="1" applyAlignment="1" applyProtection="1">
      <alignment horizontal="center" vertical="center" wrapText="1"/>
      <protection locked="0"/>
    </xf>
    <xf numFmtId="171" fontId="76" fillId="5" borderId="7" xfId="0" applyNumberFormat="1" applyFont="1" applyFill="1" applyBorder="1" applyAlignment="1" applyProtection="1">
      <alignment horizontal="center" vertical="center" wrapText="1"/>
      <protection locked="0"/>
    </xf>
    <xf numFmtId="0" fontId="76" fillId="5" borderId="7" xfId="0" applyNumberFormat="1" applyFont="1" applyFill="1" applyBorder="1" applyAlignment="1" applyProtection="1">
      <alignment horizontal="center" vertical="center" wrapText="1"/>
      <protection locked="0"/>
    </xf>
    <xf numFmtId="2" fontId="76" fillId="5" borderId="7" xfId="0" applyNumberFormat="1" applyFont="1" applyFill="1" applyBorder="1" applyAlignment="1" applyProtection="1">
      <alignment horizontal="center" vertical="center" wrapText="1"/>
      <protection locked="0"/>
    </xf>
    <xf numFmtId="2" fontId="76" fillId="5" borderId="169" xfId="0" applyNumberFormat="1" applyFont="1" applyFill="1" applyBorder="1" applyAlignment="1" applyProtection="1">
      <alignment horizontal="center" vertical="center" wrapText="1"/>
      <protection locked="0"/>
    </xf>
    <xf numFmtId="2" fontId="76" fillId="5" borderId="93" xfId="0" applyNumberFormat="1" applyFont="1" applyFill="1" applyBorder="1" applyAlignment="1" applyProtection="1">
      <alignment horizontal="center" vertical="center" wrapText="1"/>
      <protection locked="0"/>
    </xf>
    <xf numFmtId="171" fontId="76" fillId="5" borderId="181" xfId="0" applyNumberFormat="1" applyFont="1" applyFill="1" applyBorder="1" applyAlignment="1" applyProtection="1">
      <alignment horizontal="center" vertical="center" wrapText="1"/>
      <protection locked="0"/>
    </xf>
    <xf numFmtId="171" fontId="76" fillId="5" borderId="171" xfId="0" applyNumberFormat="1" applyFont="1" applyFill="1" applyBorder="1" applyAlignment="1" applyProtection="1">
      <alignment horizontal="center" vertical="center" wrapText="1"/>
      <protection locked="0"/>
    </xf>
    <xf numFmtId="2" fontId="76" fillId="0" borderId="182" xfId="0" applyNumberFormat="1" applyFont="1" applyBorder="1" applyAlignment="1" applyProtection="1">
      <alignment horizontal="center" vertical="center" wrapText="1"/>
      <protection locked="0"/>
    </xf>
    <xf numFmtId="2" fontId="76" fillId="0" borderId="7" xfId="0" applyNumberFormat="1" applyFont="1" applyBorder="1" applyAlignment="1" applyProtection="1">
      <alignment horizontal="center" vertical="center" wrapText="1"/>
      <protection locked="0"/>
    </xf>
    <xf numFmtId="2" fontId="76" fillId="0" borderId="169" xfId="0" applyNumberFormat="1" applyFont="1" applyBorder="1" applyAlignment="1" applyProtection="1">
      <alignment horizontal="center" vertical="center" wrapText="1"/>
      <protection locked="0"/>
    </xf>
    <xf numFmtId="176" fontId="76" fillId="5" borderId="93" xfId="0" applyFont="1" applyFill="1" applyBorder="1" applyAlignment="1" applyProtection="1">
      <alignment horizontal="center" vertical="center" wrapText="1"/>
      <protection locked="0"/>
    </xf>
    <xf numFmtId="2" fontId="76" fillId="5" borderId="184" xfId="0" applyNumberFormat="1" applyFont="1" applyFill="1" applyBorder="1" applyAlignment="1" applyProtection="1">
      <alignment horizontal="center" vertical="center" wrapText="1"/>
      <protection locked="0"/>
    </xf>
    <xf numFmtId="171" fontId="76" fillId="5" borderId="93" xfId="0" applyNumberFormat="1" applyFont="1" applyFill="1" applyBorder="1" applyAlignment="1" applyProtection="1">
      <alignment horizontal="center" vertical="center" wrapText="1"/>
      <protection locked="0"/>
    </xf>
    <xf numFmtId="2" fontId="76" fillId="5" borderId="170" xfId="0" applyNumberFormat="1" applyFont="1" applyFill="1" applyBorder="1" applyAlignment="1" applyProtection="1">
      <alignment horizontal="center" vertical="center" wrapText="1"/>
      <protection locked="0"/>
    </xf>
    <xf numFmtId="176" fontId="76" fillId="5" borderId="186" xfId="0" applyFont="1" applyFill="1" applyBorder="1" applyAlignment="1" applyProtection="1">
      <alignment horizontal="left" vertical="center" wrapText="1"/>
      <protection locked="0"/>
    </xf>
    <xf numFmtId="176" fontId="76" fillId="5" borderId="185" xfId="0" applyFont="1" applyFill="1" applyBorder="1" applyAlignment="1" applyProtection="1">
      <alignment horizontal="center" vertical="center" wrapText="1"/>
      <protection locked="0"/>
    </xf>
    <xf numFmtId="176" fontId="76" fillId="5" borderId="186" xfId="0" applyFont="1" applyFill="1" applyBorder="1" applyAlignment="1" applyProtection="1">
      <alignment horizontal="center" vertical="center" wrapText="1"/>
      <protection locked="0"/>
    </xf>
    <xf numFmtId="176" fontId="76" fillId="5" borderId="187" xfId="0" applyFont="1" applyFill="1" applyBorder="1" applyAlignment="1" applyProtection="1">
      <alignment horizontal="center" vertical="center" wrapText="1"/>
      <protection locked="0"/>
    </xf>
    <xf numFmtId="176" fontId="47" fillId="0" borderId="122" xfId="0" applyFont="1" applyBorder="1"/>
    <xf numFmtId="167" fontId="47" fillId="0" borderId="122" xfId="1" applyFont="1" applyBorder="1" applyAlignment="1">
      <alignment horizontal="center"/>
    </xf>
    <xf numFmtId="0" fontId="47" fillId="0" borderId="91" xfId="0" applyNumberFormat="1" applyFont="1" applyBorder="1" applyAlignment="1">
      <alignment horizontal="center"/>
    </xf>
    <xf numFmtId="176" fontId="47" fillId="0" borderId="91" xfId="0" applyFont="1" applyBorder="1"/>
    <xf numFmtId="176" fontId="46" fillId="0" borderId="91" xfId="0" applyFont="1" applyBorder="1" applyAlignment="1">
      <alignment horizontal="center"/>
    </xf>
    <xf numFmtId="176" fontId="47" fillId="0" borderId="91" xfId="0" applyFont="1" applyBorder="1" applyAlignment="1">
      <alignment horizontal="center"/>
    </xf>
    <xf numFmtId="0" fontId="89" fillId="0" borderId="91" xfId="0" applyNumberFormat="1" applyFont="1" applyBorder="1" applyAlignment="1" applyProtection="1">
      <alignment horizontal="center" wrapText="1"/>
      <protection locked="0"/>
    </xf>
    <xf numFmtId="176" fontId="89" fillId="0" borderId="91" xfId="0" applyFont="1" applyBorder="1" applyAlignment="1" applyProtection="1">
      <alignment horizontal="center" wrapText="1"/>
      <protection locked="0"/>
    </xf>
    <xf numFmtId="176" fontId="80" fillId="0" borderId="91" xfId="0" applyFont="1" applyBorder="1" applyAlignment="1" applyProtection="1">
      <alignment horizontal="center" wrapText="1"/>
      <protection locked="0"/>
    </xf>
    <xf numFmtId="176" fontId="80" fillId="0" borderId="91" xfId="0" applyFont="1" applyBorder="1" applyAlignment="1" applyProtection="1">
      <alignment horizontal="center" vertical="center" wrapText="1"/>
      <protection locked="0"/>
    </xf>
    <xf numFmtId="0" fontId="89" fillId="0" borderId="91" xfId="0" applyNumberFormat="1" applyFont="1" applyBorder="1" applyAlignment="1" applyProtection="1">
      <alignment horizontal="center" vertical="center" wrapText="1"/>
      <protection locked="0"/>
    </xf>
    <xf numFmtId="176" fontId="89" fillId="0" borderId="91" xfId="0" applyFont="1" applyBorder="1" applyAlignment="1" applyProtection="1">
      <alignment horizontal="center" vertical="center" wrapText="1"/>
      <protection locked="0"/>
    </xf>
    <xf numFmtId="0" fontId="46" fillId="0" borderId="91" xfId="1" applyNumberFormat="1" applyFont="1" applyBorder="1" applyAlignment="1">
      <alignment horizontal="center"/>
    </xf>
    <xf numFmtId="170" fontId="46" fillId="0" borderId="91" xfId="1" applyNumberFormat="1" applyFont="1" applyBorder="1" applyAlignment="1">
      <alignment horizontal="center"/>
    </xf>
    <xf numFmtId="174" fontId="80" fillId="0" borderId="91" xfId="1" applyNumberFormat="1" applyFont="1" applyFill="1" applyBorder="1" applyAlignment="1" applyProtection="1">
      <alignment horizontal="center" wrapText="1"/>
      <protection locked="0"/>
    </xf>
    <xf numFmtId="174" fontId="46" fillId="0" borderId="91" xfId="1" applyNumberFormat="1" applyFont="1" applyBorder="1" applyAlignment="1">
      <alignment horizontal="center"/>
    </xf>
    <xf numFmtId="0" fontId="47" fillId="0" borderId="93" xfId="1" applyNumberFormat="1" applyFont="1" applyBorder="1" applyAlignment="1">
      <alignment horizontal="center"/>
    </xf>
    <xf numFmtId="0" fontId="47" fillId="0" borderId="183" xfId="1" applyNumberFormat="1" applyFont="1" applyBorder="1" applyAlignment="1">
      <alignment horizontal="center"/>
    </xf>
    <xf numFmtId="0" fontId="46" fillId="0" borderId="93" xfId="1" applyNumberFormat="1" applyFont="1" applyBorder="1" applyAlignment="1">
      <alignment horizontal="center"/>
    </xf>
    <xf numFmtId="0" fontId="80" fillId="0" borderId="93" xfId="1" applyNumberFormat="1" applyFont="1" applyBorder="1" applyAlignment="1" applyProtection="1">
      <alignment horizontal="center" wrapText="1"/>
      <protection locked="0"/>
    </xf>
    <xf numFmtId="167" fontId="47" fillId="0" borderId="91" xfId="1" applyFont="1" applyBorder="1" applyAlignment="1"/>
    <xf numFmtId="167" fontId="47" fillId="0" borderId="122" xfId="1" applyFont="1" applyBorder="1" applyAlignment="1"/>
    <xf numFmtId="0" fontId="47" fillId="0" borderId="122" xfId="1" quotePrefix="1" applyNumberFormat="1" applyFont="1" applyBorder="1" applyAlignment="1">
      <alignment horizontal="center"/>
    </xf>
    <xf numFmtId="0" fontId="47" fillId="0" borderId="122" xfId="1" applyNumberFormat="1" applyFont="1" applyBorder="1" applyAlignment="1">
      <alignment horizontal="center"/>
    </xf>
    <xf numFmtId="0" fontId="47" fillId="0" borderId="91" xfId="1" applyNumberFormat="1" applyFont="1" applyBorder="1" applyAlignment="1">
      <alignment horizontal="center"/>
    </xf>
    <xf numFmtId="0" fontId="80" fillId="0" borderId="91" xfId="1" applyNumberFormat="1" applyFont="1" applyBorder="1" applyAlignment="1" applyProtection="1">
      <alignment horizontal="center" wrapText="1"/>
      <protection locked="0"/>
    </xf>
    <xf numFmtId="0" fontId="80" fillId="0" borderId="91" xfId="0" applyNumberFormat="1" applyFont="1" applyBorder="1" applyAlignment="1" applyProtection="1">
      <alignment horizontal="center" vertical="center" wrapText="1"/>
      <protection locked="0"/>
    </xf>
    <xf numFmtId="170" fontId="46" fillId="0" borderId="91" xfId="1" applyNumberFormat="1" applyFont="1" applyFill="1" applyBorder="1" applyAlignment="1">
      <alignment horizontal="center"/>
    </xf>
    <xf numFmtId="174" fontId="80" fillId="0" borderId="91" xfId="1" applyNumberFormat="1" applyFont="1" applyBorder="1" applyAlignment="1" applyProtection="1">
      <alignment horizontal="center" wrapText="1"/>
      <protection locked="0"/>
    </xf>
    <xf numFmtId="2" fontId="80" fillId="0" borderId="91" xfId="1" applyNumberFormat="1" applyFont="1" applyBorder="1" applyAlignment="1" applyProtection="1">
      <alignment horizontal="center" wrapText="1"/>
      <protection locked="0"/>
    </xf>
    <xf numFmtId="3" fontId="80" fillId="0" borderId="91" xfId="1" applyNumberFormat="1" applyFont="1" applyFill="1" applyBorder="1" applyAlignment="1" applyProtection="1">
      <alignment horizontal="center" wrapText="1"/>
      <protection locked="0"/>
    </xf>
    <xf numFmtId="3" fontId="80" fillId="0" borderId="171" xfId="1" applyNumberFormat="1" applyFont="1" applyFill="1" applyBorder="1" applyAlignment="1" applyProtection="1">
      <alignment horizontal="center" wrapText="1"/>
      <protection locked="0"/>
    </xf>
    <xf numFmtId="3" fontId="80" fillId="0" borderId="122" xfId="1" applyNumberFormat="1" applyFont="1" applyBorder="1" applyAlignment="1" applyProtection="1">
      <alignment horizontal="center" wrapText="1"/>
      <protection locked="0"/>
    </xf>
    <xf numFmtId="3" fontId="80" fillId="0" borderId="91" xfId="1" applyNumberFormat="1" applyFont="1" applyBorder="1" applyAlignment="1" applyProtection="1">
      <alignment horizontal="center" wrapText="1"/>
      <protection locked="0"/>
    </xf>
    <xf numFmtId="176" fontId="47" fillId="0" borderId="190" xfId="0" applyFont="1" applyBorder="1"/>
    <xf numFmtId="0" fontId="47" fillId="0" borderId="122" xfId="0" applyNumberFormat="1" applyFont="1" applyBorder="1" applyAlignment="1">
      <alignment horizontal="center"/>
    </xf>
    <xf numFmtId="0" fontId="89" fillId="0" borderId="171" xfId="0" applyNumberFormat="1" applyFont="1" applyBorder="1" applyAlignment="1" applyProtection="1">
      <alignment horizontal="center" vertical="center" wrapText="1"/>
      <protection locked="0"/>
    </xf>
    <xf numFmtId="167" fontId="47" fillId="0" borderId="93" xfId="1" applyFont="1" applyBorder="1" applyAlignment="1"/>
    <xf numFmtId="167" fontId="47" fillId="0" borderId="183" xfId="1" applyFont="1" applyBorder="1" applyAlignment="1"/>
    <xf numFmtId="0" fontId="47" fillId="0" borderId="183" xfId="1" quotePrefix="1" applyNumberFormat="1" applyFont="1" applyBorder="1" applyAlignment="1">
      <alignment horizontal="center"/>
    </xf>
    <xf numFmtId="167" fontId="47" fillId="0" borderId="190" xfId="1" applyFont="1" applyBorder="1" applyAlignment="1">
      <alignment horizontal="center"/>
    </xf>
    <xf numFmtId="0" fontId="80" fillId="0" borderId="171" xfId="0" applyNumberFormat="1" applyFont="1" applyBorder="1" applyAlignment="1" applyProtection="1">
      <alignment horizontal="center" vertical="center" wrapText="1"/>
      <protection locked="0"/>
    </xf>
    <xf numFmtId="0" fontId="80" fillId="0" borderId="171" xfId="1" applyNumberFormat="1" applyFont="1" applyBorder="1" applyAlignment="1" applyProtection="1">
      <alignment horizontal="center" wrapText="1"/>
      <protection locked="0"/>
    </xf>
    <xf numFmtId="170" fontId="80" fillId="0" borderId="91" xfId="1" applyNumberFormat="1" applyFont="1" applyBorder="1" applyAlignment="1" applyProtection="1">
      <alignment horizontal="center" wrapText="1"/>
      <protection locked="0"/>
    </xf>
    <xf numFmtId="170" fontId="80" fillId="0" borderId="171" xfId="1" applyNumberFormat="1" applyFont="1" applyBorder="1" applyAlignment="1" applyProtection="1">
      <alignment horizontal="center" wrapText="1"/>
      <protection locked="0"/>
    </xf>
    <xf numFmtId="0" fontId="80" fillId="0" borderId="122" xfId="0" applyNumberFormat="1" applyFont="1" applyBorder="1" applyAlignment="1" applyProtection="1">
      <alignment horizontal="center" vertical="center" wrapText="1"/>
      <protection locked="0"/>
    </xf>
    <xf numFmtId="174" fontId="46" fillId="0" borderId="171" xfId="1" applyNumberFormat="1" applyFont="1" applyBorder="1" applyAlignment="1">
      <alignment horizontal="center"/>
    </xf>
    <xf numFmtId="167" fontId="47" fillId="0" borderId="29" xfId="1" applyFont="1" applyBorder="1" applyAlignment="1">
      <alignment horizontal="center"/>
    </xf>
    <xf numFmtId="3" fontId="46" fillId="0" borderId="91" xfId="1" applyNumberFormat="1" applyFont="1" applyBorder="1" applyAlignment="1">
      <alignment horizontal="center"/>
    </xf>
    <xf numFmtId="167" fontId="47" fillId="0" borderId="192" xfId="1" applyFont="1" applyBorder="1" applyAlignment="1">
      <alignment horizontal="center"/>
    </xf>
    <xf numFmtId="167" fontId="47" fillId="0" borderId="91" xfId="1" applyFont="1" applyBorder="1" applyAlignment="1">
      <alignment horizontal="center"/>
    </xf>
    <xf numFmtId="174" fontId="80" fillId="0" borderId="91" xfId="2" applyNumberFormat="1" applyFont="1" applyBorder="1" applyAlignment="1" applyProtection="1">
      <alignment horizontal="center" wrapText="1"/>
      <protection locked="0"/>
    </xf>
    <xf numFmtId="0" fontId="84" fillId="5" borderId="7" xfId="0" applyNumberFormat="1" applyFont="1" applyFill="1" applyBorder="1" applyAlignment="1" applyProtection="1">
      <alignment horizontal="center" vertical="center" wrapText="1"/>
      <protection locked="0"/>
    </xf>
    <xf numFmtId="170" fontId="130" fillId="0" borderId="170" xfId="0" applyNumberFormat="1" applyFont="1" applyBorder="1" applyAlignment="1">
      <alignment horizontal="center"/>
    </xf>
    <xf numFmtId="170" fontId="130" fillId="0" borderId="91" xfId="0" applyNumberFormat="1" applyFont="1" applyBorder="1" applyAlignment="1">
      <alignment horizontal="center"/>
    </xf>
    <xf numFmtId="2" fontId="130" fillId="0" borderId="91" xfId="0" applyNumberFormat="1" applyFont="1" applyBorder="1" applyAlignment="1">
      <alignment horizontal="center"/>
    </xf>
    <xf numFmtId="2" fontId="31" fillId="0" borderId="91" xfId="0" applyNumberFormat="1" applyFont="1" applyBorder="1" applyAlignment="1">
      <alignment horizontal="center"/>
    </xf>
    <xf numFmtId="0" fontId="84" fillId="5" borderId="126" xfId="0" applyNumberFormat="1" applyFont="1" applyFill="1" applyBorder="1" applyAlignment="1" applyProtection="1">
      <alignment horizontal="center" vertical="center" wrapText="1"/>
      <protection locked="0"/>
    </xf>
    <xf numFmtId="0" fontId="117" fillId="5" borderId="7" xfId="0" applyNumberFormat="1" applyFont="1" applyFill="1" applyBorder="1" applyAlignment="1" applyProtection="1">
      <alignment horizontal="center" vertical="center" wrapText="1"/>
      <protection locked="0"/>
    </xf>
    <xf numFmtId="176" fontId="31" fillId="0" borderId="7" xfId="0" applyFont="1" applyBorder="1" applyAlignment="1">
      <alignment horizontal="center"/>
    </xf>
    <xf numFmtId="176" fontId="131" fillId="0" borderId="126" xfId="0" applyFont="1" applyBorder="1" applyAlignment="1">
      <alignment horizontal="center"/>
    </xf>
    <xf numFmtId="0" fontId="91" fillId="5" borderId="7" xfId="0" applyNumberFormat="1" applyFont="1" applyFill="1" applyBorder="1" applyAlignment="1" applyProtection="1">
      <alignment horizontal="center" vertical="center" wrapText="1"/>
      <protection locked="0"/>
    </xf>
    <xf numFmtId="170" fontId="130" fillId="0" borderId="93" xfId="1" applyNumberFormat="1" applyFont="1" applyBorder="1" applyAlignment="1">
      <alignment horizontal="center"/>
    </xf>
    <xf numFmtId="170" fontId="131" fillId="0" borderId="121" xfId="1" applyNumberFormat="1" applyFont="1" applyBorder="1" applyAlignment="1">
      <alignment horizontal="center"/>
    </xf>
    <xf numFmtId="170" fontId="130" fillId="0" borderId="93" xfId="0" applyNumberFormat="1" applyFont="1" applyBorder="1" applyAlignment="1">
      <alignment horizontal="center"/>
    </xf>
    <xf numFmtId="170" fontId="130" fillId="0" borderId="171" xfId="0" applyNumberFormat="1" applyFont="1" applyBorder="1" applyAlignment="1">
      <alignment horizontal="center"/>
    </xf>
    <xf numFmtId="176" fontId="139" fillId="5" borderId="193" xfId="0" applyFont="1" applyFill="1" applyBorder="1" applyAlignment="1" applyProtection="1">
      <alignment horizontal="center" vertical="center" wrapText="1"/>
      <protection locked="0"/>
    </xf>
    <xf numFmtId="176" fontId="139" fillId="5" borderId="180" xfId="0" applyFont="1" applyFill="1" applyBorder="1" applyAlignment="1" applyProtection="1">
      <alignment horizontal="center" vertical="center" wrapText="1"/>
      <protection locked="0"/>
    </xf>
    <xf numFmtId="176" fontId="139" fillId="5" borderId="67" xfId="0" applyFont="1" applyFill="1" applyBorder="1" applyAlignment="1" applyProtection="1">
      <alignment horizontal="center" vertical="center" wrapText="1"/>
      <protection locked="0"/>
    </xf>
    <xf numFmtId="0" fontId="139" fillId="5" borderId="67" xfId="0" applyNumberFormat="1" applyFont="1" applyFill="1" applyBorder="1" applyAlignment="1" applyProtection="1">
      <alignment horizontal="center" vertical="center" wrapText="1"/>
      <protection locked="0"/>
    </xf>
    <xf numFmtId="176" fontId="138" fillId="5" borderId="67" xfId="0" applyFont="1" applyFill="1" applyBorder="1" applyAlignment="1" applyProtection="1">
      <alignment horizontal="center" vertical="center" wrapText="1"/>
      <protection locked="0"/>
    </xf>
    <xf numFmtId="176" fontId="138" fillId="5" borderId="194" xfId="0" applyFont="1" applyFill="1" applyBorder="1" applyAlignment="1" applyProtection="1">
      <alignment horizontal="center" vertical="center" wrapText="1"/>
      <protection locked="0"/>
    </xf>
    <xf numFmtId="176" fontId="139" fillId="5" borderId="195" xfId="0" applyFont="1" applyFill="1" applyBorder="1" applyAlignment="1" applyProtection="1">
      <alignment horizontal="center" vertical="center" wrapText="1"/>
      <protection locked="0"/>
    </xf>
    <xf numFmtId="176" fontId="138" fillId="5" borderId="196" xfId="0" applyFont="1" applyFill="1" applyBorder="1" applyAlignment="1" applyProtection="1">
      <alignment horizontal="center" vertical="center" wrapText="1"/>
      <protection locked="0"/>
    </xf>
    <xf numFmtId="176" fontId="139" fillId="5" borderId="126" xfId="0" applyFont="1" applyFill="1" applyBorder="1" applyAlignment="1" applyProtection="1">
      <alignment horizontal="center" vertical="center" wrapText="1"/>
      <protection locked="0"/>
    </xf>
    <xf numFmtId="176" fontId="139" fillId="5" borderId="198" xfId="0" applyFont="1" applyFill="1" applyBorder="1" applyAlignment="1" applyProtection="1">
      <alignment horizontal="center" vertical="center" wrapText="1"/>
      <protection locked="0"/>
    </xf>
    <xf numFmtId="176" fontId="138" fillId="5" borderId="199" xfId="0" applyFont="1" applyFill="1" applyBorder="1" applyAlignment="1" applyProtection="1">
      <alignment horizontal="center" vertical="center" wrapText="1"/>
      <protection locked="0"/>
    </xf>
    <xf numFmtId="176" fontId="138" fillId="5" borderId="91" xfId="0" applyFont="1" applyFill="1" applyBorder="1" applyAlignment="1" applyProtection="1">
      <alignment horizontal="center" vertical="center" wrapText="1"/>
      <protection locked="0"/>
    </xf>
    <xf numFmtId="0" fontId="138" fillId="5" borderId="91" xfId="0" applyNumberFormat="1" applyFont="1" applyFill="1" applyBorder="1" applyAlignment="1" applyProtection="1">
      <alignment horizontal="center" vertical="center" wrapText="1"/>
      <protection locked="0"/>
    </xf>
    <xf numFmtId="0" fontId="138" fillId="5" borderId="200" xfId="0" applyNumberFormat="1" applyFont="1" applyFill="1" applyBorder="1" applyAlignment="1" applyProtection="1">
      <alignment horizontal="center" vertical="center" wrapText="1"/>
      <protection locked="0"/>
    </xf>
    <xf numFmtId="0" fontId="139" fillId="5" borderId="201" xfId="0" applyNumberFormat="1" applyFont="1" applyFill="1" applyBorder="1" applyAlignment="1" applyProtection="1">
      <alignment horizontal="center" vertical="center" wrapText="1"/>
      <protection locked="0"/>
    </xf>
    <xf numFmtId="0" fontId="138" fillId="5" borderId="202" xfId="0" applyNumberFormat="1" applyFont="1" applyFill="1" applyBorder="1" applyAlignment="1" applyProtection="1">
      <alignment horizontal="center" vertical="center" wrapText="1"/>
      <protection locked="0"/>
    </xf>
    <xf numFmtId="2" fontId="138" fillId="5" borderId="91" xfId="0" applyNumberFormat="1" applyFont="1" applyFill="1" applyBorder="1" applyAlignment="1" applyProtection="1">
      <alignment horizontal="center" vertical="center" wrapText="1"/>
      <protection locked="0"/>
    </xf>
    <xf numFmtId="2" fontId="139" fillId="5" borderId="201" xfId="0" applyNumberFormat="1" applyFont="1" applyFill="1" applyBorder="1" applyAlignment="1" applyProtection="1">
      <alignment horizontal="center" vertical="center" wrapText="1"/>
      <protection locked="0"/>
    </xf>
    <xf numFmtId="170" fontId="138" fillId="5" borderId="91" xfId="0" applyNumberFormat="1" applyFont="1" applyFill="1" applyBorder="1" applyAlignment="1" applyProtection="1">
      <alignment horizontal="center" vertical="center" wrapText="1"/>
      <protection locked="0"/>
    </xf>
    <xf numFmtId="170" fontId="137" fillId="0" borderId="91" xfId="0" applyNumberFormat="1" applyFont="1" applyBorder="1" applyAlignment="1" applyProtection="1">
      <alignment horizontal="center"/>
      <protection locked="0"/>
    </xf>
    <xf numFmtId="177" fontId="139" fillId="5" borderId="201" xfId="1" applyNumberFormat="1" applyFont="1" applyFill="1" applyBorder="1" applyAlignment="1" applyProtection="1">
      <alignment horizontal="center" vertical="center" wrapText="1"/>
      <protection locked="0"/>
    </xf>
    <xf numFmtId="2" fontId="139" fillId="5" borderId="91" xfId="0" applyNumberFormat="1" applyFont="1" applyFill="1" applyBorder="1" applyAlignment="1" applyProtection="1">
      <alignment horizontal="center" vertical="center" wrapText="1"/>
      <protection locked="0"/>
    </xf>
    <xf numFmtId="177" fontId="139" fillId="5" borderId="91" xfId="1" applyNumberFormat="1" applyFont="1" applyFill="1" applyBorder="1" applyAlignment="1" applyProtection="1">
      <alignment horizontal="center" vertical="center" wrapText="1"/>
      <protection locked="0"/>
    </xf>
    <xf numFmtId="177" fontId="138" fillId="5" borderId="91" xfId="1" applyNumberFormat="1" applyFont="1" applyFill="1" applyBorder="1" applyAlignment="1" applyProtection="1">
      <alignment horizontal="center" vertical="center" wrapText="1"/>
      <protection locked="0"/>
    </xf>
    <xf numFmtId="177" fontId="139" fillId="5" borderId="120" xfId="1" applyNumberFormat="1" applyFont="1" applyFill="1" applyBorder="1" applyAlignment="1" applyProtection="1">
      <alignment horizontal="center" vertical="center" wrapText="1"/>
      <protection locked="0"/>
    </xf>
    <xf numFmtId="177" fontId="138" fillId="5" borderId="171" xfId="1" applyNumberFormat="1" applyFont="1" applyFill="1" applyBorder="1" applyAlignment="1" applyProtection="1">
      <alignment horizontal="center" vertical="center" wrapText="1"/>
      <protection locked="0"/>
    </xf>
    <xf numFmtId="170" fontId="139" fillId="5" borderId="201" xfId="0" applyNumberFormat="1" applyFont="1" applyFill="1" applyBorder="1" applyAlignment="1" applyProtection="1">
      <alignment horizontal="center" vertical="center" wrapText="1"/>
      <protection locked="0"/>
    </xf>
    <xf numFmtId="170" fontId="139" fillId="5" borderId="91" xfId="0" applyNumberFormat="1" applyFont="1" applyFill="1" applyBorder="1" applyAlignment="1" applyProtection="1">
      <alignment horizontal="center" vertical="center" wrapText="1"/>
      <protection locked="0"/>
    </xf>
    <xf numFmtId="170" fontId="138" fillId="5" borderId="171" xfId="0" applyNumberFormat="1" applyFont="1" applyFill="1" applyBorder="1" applyAlignment="1" applyProtection="1">
      <alignment horizontal="center" vertical="center" wrapText="1"/>
      <protection locked="0"/>
    </xf>
    <xf numFmtId="0" fontId="139" fillId="5" borderId="198" xfId="0" applyNumberFormat="1" applyFont="1" applyFill="1" applyBorder="1" applyAlignment="1" applyProtection="1">
      <alignment horizontal="center" vertical="center" wrapText="1"/>
      <protection locked="0"/>
    </xf>
    <xf numFmtId="167" fontId="139" fillId="5" borderId="120" xfId="1" applyFont="1" applyFill="1" applyBorder="1" applyAlignment="1" applyProtection="1">
      <alignment horizontal="center" vertical="center" wrapText="1"/>
      <protection locked="0"/>
    </xf>
    <xf numFmtId="176" fontId="26" fillId="0" borderId="165" xfId="0" applyFont="1" applyBorder="1" applyAlignment="1">
      <alignment horizontal="center"/>
    </xf>
    <xf numFmtId="176" fontId="117" fillId="5" borderId="180" xfId="0" applyFont="1" applyFill="1" applyBorder="1" applyAlignment="1" applyProtection="1">
      <alignment horizontal="center" vertical="center" wrapText="1"/>
      <protection locked="0"/>
    </xf>
    <xf numFmtId="176" fontId="117" fillId="5" borderId="67" xfId="0" applyFont="1" applyFill="1" applyBorder="1" applyAlignment="1" applyProtection="1">
      <alignment horizontal="center" vertical="center" wrapText="1"/>
      <protection locked="0"/>
    </xf>
    <xf numFmtId="0" fontId="117" fillId="5" borderId="67" xfId="0" applyNumberFormat="1" applyFont="1" applyFill="1" applyBorder="1" applyAlignment="1" applyProtection="1">
      <alignment horizontal="center" vertical="center" wrapText="1"/>
      <protection locked="0"/>
    </xf>
    <xf numFmtId="176" fontId="154" fillId="5" borderId="67" xfId="0" applyFont="1" applyFill="1" applyBorder="1" applyAlignment="1" applyProtection="1">
      <alignment horizontal="center" vertical="center" wrapText="1"/>
      <protection locked="0"/>
    </xf>
    <xf numFmtId="176" fontId="117" fillId="5" borderId="70" xfId="0" applyFont="1" applyFill="1" applyBorder="1" applyAlignment="1" applyProtection="1">
      <alignment horizontal="center" vertical="center" wrapText="1"/>
      <protection locked="0"/>
    </xf>
    <xf numFmtId="176" fontId="154" fillId="5" borderId="165" xfId="0" applyFont="1" applyFill="1" applyBorder="1" applyAlignment="1" applyProtection="1">
      <alignment horizontal="center" vertical="center" wrapText="1"/>
      <protection locked="0"/>
    </xf>
    <xf numFmtId="176" fontId="117" fillId="5" borderId="198" xfId="0" applyFont="1" applyFill="1" applyBorder="1" applyAlignment="1" applyProtection="1">
      <alignment horizontal="center" vertical="center" wrapText="1"/>
      <protection locked="0"/>
    </xf>
    <xf numFmtId="176" fontId="154" fillId="5" borderId="199" xfId="0" applyFont="1" applyFill="1" applyBorder="1" applyAlignment="1" applyProtection="1">
      <alignment horizontal="center" vertical="center" wrapText="1"/>
      <protection locked="0"/>
    </xf>
    <xf numFmtId="176" fontId="154" fillId="5" borderId="91" xfId="0" applyFont="1" applyFill="1" applyBorder="1" applyAlignment="1" applyProtection="1">
      <alignment horizontal="center" vertical="center" wrapText="1"/>
      <protection locked="0"/>
    </xf>
    <xf numFmtId="0" fontId="154" fillId="5" borderId="91" xfId="0" applyNumberFormat="1" applyFont="1" applyFill="1" applyBorder="1" applyAlignment="1" applyProtection="1">
      <alignment horizontal="center" vertical="center" wrapText="1"/>
      <protection locked="0"/>
    </xf>
    <xf numFmtId="0" fontId="117" fillId="5" borderId="203" xfId="0" applyNumberFormat="1" applyFont="1" applyFill="1" applyBorder="1" applyAlignment="1" applyProtection="1">
      <alignment horizontal="center" vertical="center" wrapText="1"/>
      <protection locked="0"/>
    </xf>
    <xf numFmtId="2" fontId="154" fillId="5" borderId="91" xfId="0" applyNumberFormat="1" applyFont="1" applyFill="1" applyBorder="1" applyAlignment="1" applyProtection="1">
      <alignment horizontal="center" vertical="center" wrapText="1"/>
      <protection locked="0"/>
    </xf>
    <xf numFmtId="2" fontId="117" fillId="5" borderId="203" xfId="0" applyNumberFormat="1" applyFont="1" applyFill="1" applyBorder="1" applyAlignment="1" applyProtection="1">
      <alignment horizontal="center" vertical="center" wrapText="1"/>
      <protection locked="0"/>
    </xf>
    <xf numFmtId="177" fontId="154" fillId="5" borderId="91" xfId="1" applyNumberFormat="1" applyFont="1" applyFill="1" applyBorder="1" applyAlignment="1" applyProtection="1">
      <alignment horizontal="center" vertical="center" wrapText="1"/>
      <protection locked="0"/>
    </xf>
    <xf numFmtId="177" fontId="27" fillId="0" borderId="91" xfId="1" applyNumberFormat="1" applyFont="1" applyBorder="1" applyAlignment="1" applyProtection="1">
      <alignment horizontal="center"/>
      <protection locked="0"/>
    </xf>
    <xf numFmtId="177" fontId="117" fillId="5" borderId="203" xfId="1" applyNumberFormat="1" applyFont="1" applyFill="1" applyBorder="1" applyAlignment="1" applyProtection="1">
      <alignment horizontal="center" vertical="center" wrapText="1"/>
      <protection locked="0"/>
    </xf>
    <xf numFmtId="177" fontId="154" fillId="5" borderId="171" xfId="1" applyNumberFormat="1" applyFont="1" applyFill="1" applyBorder="1" applyAlignment="1" applyProtection="1">
      <alignment horizontal="center" vertical="center" wrapText="1"/>
      <protection locked="0"/>
    </xf>
    <xf numFmtId="176" fontId="46" fillId="3" borderId="0" xfId="623" applyFont="1" applyFill="1" applyAlignment="1">
      <alignment horizontal="center"/>
    </xf>
    <xf numFmtId="170" fontId="154" fillId="5" borderId="91" xfId="0" applyNumberFormat="1" applyFont="1" applyFill="1" applyBorder="1" applyAlignment="1" applyProtection="1">
      <alignment horizontal="center" vertical="center" wrapText="1"/>
      <protection locked="0"/>
    </xf>
    <xf numFmtId="170" fontId="117" fillId="5" borderId="203" xfId="0" applyNumberFormat="1" applyFont="1" applyFill="1" applyBorder="1" applyAlignment="1" applyProtection="1">
      <alignment horizontal="center" vertical="center" wrapText="1"/>
      <protection locked="0"/>
    </xf>
    <xf numFmtId="170" fontId="154" fillId="5" borderId="171" xfId="0" applyNumberFormat="1" applyFont="1" applyFill="1" applyBorder="1" applyAlignment="1" applyProtection="1">
      <alignment horizontal="center" vertical="center" wrapText="1"/>
      <protection locked="0"/>
    </xf>
    <xf numFmtId="170" fontId="27" fillId="0" borderId="91" xfId="0" applyNumberFormat="1" applyFont="1" applyBorder="1" applyAlignment="1" applyProtection="1">
      <alignment horizontal="center"/>
      <protection locked="0"/>
    </xf>
    <xf numFmtId="167" fontId="154" fillId="5" borderId="91" xfId="1" applyFont="1" applyFill="1" applyBorder="1" applyAlignment="1" applyProtection="1">
      <alignment horizontal="center" vertical="center" wrapText="1"/>
      <protection locked="0"/>
    </xf>
    <xf numFmtId="167" fontId="154" fillId="5" borderId="171" xfId="1" applyFont="1" applyFill="1" applyBorder="1" applyAlignment="1" applyProtection="1">
      <alignment horizontal="center" vertical="center" wrapText="1"/>
      <protection locked="0"/>
    </xf>
    <xf numFmtId="4" fontId="85" fillId="0" borderId="204" xfId="0" applyNumberFormat="1" applyFont="1" applyBorder="1" applyAlignment="1" applyProtection="1">
      <alignment horizontal="center" vertical="center" wrapText="1"/>
      <protection locked="0"/>
    </xf>
    <xf numFmtId="4" fontId="85" fillId="0" borderId="172" xfId="0" applyNumberFormat="1" applyFont="1" applyBorder="1" applyAlignment="1" applyProtection="1">
      <alignment horizontal="center" vertical="center" wrapText="1"/>
      <protection locked="0"/>
    </xf>
    <xf numFmtId="4" fontId="85" fillId="0" borderId="205" xfId="0" applyNumberFormat="1" applyFont="1" applyBorder="1" applyAlignment="1" applyProtection="1">
      <alignment horizontal="center" vertical="center" wrapText="1"/>
      <protection locked="0"/>
    </xf>
    <xf numFmtId="176" fontId="80" fillId="0" borderId="67" xfId="0" applyFont="1" applyBorder="1" applyAlignment="1" applyProtection="1">
      <alignment horizontal="left" vertical="center" wrapText="1"/>
      <protection locked="0"/>
    </xf>
    <xf numFmtId="176" fontId="80" fillId="0" borderId="205" xfId="0" applyFont="1" applyBorder="1" applyAlignment="1" applyProtection="1">
      <alignment horizontal="left" vertical="center" wrapText="1"/>
      <protection locked="0"/>
    </xf>
    <xf numFmtId="176" fontId="80" fillId="0" borderId="180" xfId="0" applyFont="1" applyBorder="1" applyAlignment="1" applyProtection="1">
      <alignment horizontal="left" vertical="center" wrapText="1"/>
      <protection locked="0"/>
    </xf>
    <xf numFmtId="176" fontId="82" fillId="0" borderId="67" xfId="0" applyFont="1" applyBorder="1" applyAlignment="1" applyProtection="1">
      <alignment horizontal="left" vertical="center" wrapText="1"/>
      <protection locked="0"/>
    </xf>
    <xf numFmtId="176" fontId="82" fillId="0" borderId="67" xfId="0" applyFont="1" applyBorder="1" applyAlignment="1" applyProtection="1">
      <alignment horizontal="center" vertical="center" wrapText="1"/>
      <protection locked="0"/>
    </xf>
    <xf numFmtId="2" fontId="85" fillId="0" borderId="67" xfId="0" applyNumberFormat="1" applyFont="1" applyBorder="1" applyAlignment="1" applyProtection="1">
      <alignment horizontal="center" vertical="center" wrapText="1"/>
      <protection locked="0"/>
    </xf>
    <xf numFmtId="2" fontId="83" fillId="0" borderId="67" xfId="0" applyNumberFormat="1" applyFont="1" applyBorder="1" applyAlignment="1" applyProtection="1">
      <alignment horizontal="center" vertical="center" wrapText="1"/>
      <protection locked="0"/>
    </xf>
    <xf numFmtId="4" fontId="85" fillId="0" borderId="67" xfId="0" applyNumberFormat="1" applyFont="1" applyBorder="1" applyAlignment="1" applyProtection="1">
      <alignment horizontal="center" vertical="center" wrapText="1"/>
      <protection locked="0"/>
    </xf>
    <xf numFmtId="2" fontId="66" fillId="3" borderId="165" xfId="0" applyNumberFormat="1" applyFont="1" applyFill="1" applyBorder="1" applyAlignment="1" applyProtection="1">
      <alignment horizontal="center"/>
      <protection locked="0"/>
    </xf>
    <xf numFmtId="2" fontId="69" fillId="3" borderId="67" xfId="0" applyNumberFormat="1" applyFont="1" applyFill="1" applyBorder="1" applyAlignment="1" applyProtection="1">
      <alignment horizontal="center"/>
      <protection locked="0"/>
    </xf>
    <xf numFmtId="2" fontId="66" fillId="0" borderId="67" xfId="0" applyNumberFormat="1" applyFont="1" applyBorder="1" applyAlignment="1" applyProtection="1">
      <alignment horizontal="center"/>
      <protection locked="0"/>
    </xf>
    <xf numFmtId="176" fontId="89" fillId="0" borderId="64" xfId="0" applyFont="1" applyBorder="1" applyAlignment="1" applyProtection="1">
      <alignment horizontal="center" vertical="center" wrapText="1"/>
      <protection locked="0"/>
    </xf>
    <xf numFmtId="176" fontId="89" fillId="0" borderId="122" xfId="0" applyFont="1" applyBorder="1" applyAlignment="1" applyProtection="1">
      <alignment horizontal="center" vertical="center" wrapText="1"/>
      <protection locked="0"/>
    </xf>
    <xf numFmtId="176" fontId="80" fillId="0" borderId="199" xfId="0" applyFont="1" applyBorder="1" applyAlignment="1" applyProtection="1">
      <alignment horizontal="left" vertical="center" wrapText="1"/>
      <protection locked="0"/>
    </xf>
    <xf numFmtId="2" fontId="89" fillId="0" borderId="91" xfId="0" applyNumberFormat="1" applyFont="1" applyBorder="1" applyAlignment="1" applyProtection="1">
      <alignment horizontal="center" vertical="center" wrapText="1"/>
      <protection locked="0"/>
    </xf>
    <xf numFmtId="176" fontId="80" fillId="0" borderId="206" xfId="0" applyFont="1" applyBorder="1" applyAlignment="1" applyProtection="1">
      <alignment horizontal="left" vertical="center" wrapText="1"/>
      <protection locked="0"/>
    </xf>
    <xf numFmtId="176" fontId="82" fillId="0" borderId="91" xfId="0" applyFont="1" applyBorder="1" applyAlignment="1" applyProtection="1">
      <alignment horizontal="left" vertical="center" wrapText="1"/>
      <protection locked="0"/>
    </xf>
    <xf numFmtId="176" fontId="82" fillId="0" borderId="91" xfId="0" applyFont="1" applyBorder="1" applyAlignment="1" applyProtection="1">
      <alignment horizontal="center" vertical="center" wrapText="1"/>
      <protection locked="0"/>
    </xf>
    <xf numFmtId="2" fontId="85" fillId="0" borderId="91" xfId="0" applyNumberFormat="1" applyFont="1" applyBorder="1" applyAlignment="1" applyProtection="1">
      <alignment horizontal="center" vertical="center" wrapText="1"/>
      <protection locked="0"/>
    </xf>
    <xf numFmtId="2" fontId="83" fillId="0" borderId="91" xfId="0" applyNumberFormat="1" applyFont="1" applyBorder="1" applyAlignment="1" applyProtection="1">
      <alignment horizontal="center" vertical="center" wrapText="1"/>
      <protection locked="0"/>
    </xf>
    <xf numFmtId="4" fontId="85" fillId="0" borderId="91" xfId="0" applyNumberFormat="1" applyFont="1" applyBorder="1" applyAlignment="1" applyProtection="1">
      <alignment horizontal="center" vertical="center" wrapText="1"/>
      <protection locked="0"/>
    </xf>
    <xf numFmtId="2" fontId="66" fillId="3" borderId="91" xfId="0" applyNumberFormat="1" applyFont="1" applyFill="1" applyBorder="1" applyAlignment="1" applyProtection="1">
      <alignment horizontal="center"/>
      <protection locked="0"/>
    </xf>
    <xf numFmtId="2" fontId="69" fillId="3" borderId="91" xfId="0" applyNumberFormat="1" applyFont="1" applyFill="1" applyBorder="1" applyAlignment="1" applyProtection="1">
      <alignment horizontal="center"/>
      <protection locked="0"/>
    </xf>
    <xf numFmtId="2" fontId="66" fillId="0" borderId="91" xfId="0" applyNumberFormat="1" applyFont="1" applyBorder="1" applyAlignment="1" applyProtection="1">
      <alignment horizontal="center"/>
      <protection locked="0"/>
    </xf>
    <xf numFmtId="4" fontId="85" fillId="0" borderId="171" xfId="0" applyNumberFormat="1" applyFont="1" applyBorder="1" applyAlignment="1" applyProtection="1">
      <alignment horizontal="center" vertical="center" wrapText="1"/>
      <protection locked="0"/>
    </xf>
    <xf numFmtId="176" fontId="89" fillId="0" borderId="180" xfId="0" applyFont="1" applyBorder="1" applyAlignment="1" applyProtection="1">
      <alignment horizontal="center" vertical="center" wrapText="1"/>
      <protection locked="0"/>
    </xf>
    <xf numFmtId="176" fontId="89" fillId="0" borderId="6" xfId="0" applyFont="1" applyBorder="1" applyAlignment="1" applyProtection="1">
      <alignment horizontal="center" vertical="center" wrapText="1"/>
      <protection locked="0"/>
    </xf>
    <xf numFmtId="176" fontId="89" fillId="0" borderId="7" xfId="0" applyFont="1" applyBorder="1" applyAlignment="1" applyProtection="1">
      <alignment horizontal="center" vertical="center" wrapText="1"/>
      <protection locked="0"/>
    </xf>
    <xf numFmtId="176" fontId="89" fillId="0" borderId="207" xfId="0" applyFont="1" applyBorder="1" applyAlignment="1" applyProtection="1">
      <alignment horizontal="center" vertical="center" wrapText="1"/>
      <protection locked="0"/>
    </xf>
    <xf numFmtId="176" fontId="80" fillId="0" borderId="208" xfId="0" applyFont="1" applyBorder="1" applyAlignment="1" applyProtection="1">
      <alignment horizontal="left" vertical="center" wrapText="1"/>
      <protection locked="0"/>
    </xf>
    <xf numFmtId="2" fontId="89" fillId="0" borderId="7" xfId="0" applyNumberFormat="1" applyFont="1" applyBorder="1" applyAlignment="1" applyProtection="1">
      <alignment horizontal="center" vertical="center" wrapText="1"/>
      <protection locked="0"/>
    </xf>
    <xf numFmtId="176" fontId="80" fillId="0" borderId="207" xfId="0" applyFont="1" applyBorder="1" applyAlignment="1" applyProtection="1">
      <alignment horizontal="left" vertical="center" wrapText="1"/>
      <protection locked="0"/>
    </xf>
    <xf numFmtId="176" fontId="82" fillId="0" borderId="7" xfId="0" applyFont="1" applyBorder="1" applyAlignment="1" applyProtection="1">
      <alignment horizontal="left" vertical="center" wrapText="1"/>
      <protection locked="0"/>
    </xf>
    <xf numFmtId="176" fontId="82" fillId="0" borderId="7" xfId="0" applyFont="1" applyBorder="1" applyAlignment="1" applyProtection="1">
      <alignment horizontal="center" vertical="center" wrapText="1"/>
      <protection locked="0"/>
    </xf>
    <xf numFmtId="2" fontId="85" fillId="0" borderId="7" xfId="0" applyNumberFormat="1" applyFont="1" applyBorder="1" applyAlignment="1" applyProtection="1">
      <alignment horizontal="center" vertical="center" wrapText="1"/>
      <protection locked="0"/>
    </xf>
    <xf numFmtId="2" fontId="83" fillId="0" borderId="7" xfId="0" applyNumberFormat="1" applyFont="1" applyBorder="1" applyAlignment="1" applyProtection="1">
      <alignment horizontal="center" vertical="center" wrapText="1"/>
      <protection locked="0"/>
    </xf>
    <xf numFmtId="4" fontId="85" fillId="0" borderId="7" xfId="0" applyNumberFormat="1" applyFont="1" applyBorder="1" applyAlignment="1" applyProtection="1">
      <alignment horizontal="center" vertical="center" wrapText="1"/>
      <protection locked="0"/>
    </xf>
    <xf numFmtId="2" fontId="66" fillId="3" borderId="7" xfId="0" applyNumberFormat="1" applyFont="1" applyFill="1" applyBorder="1" applyAlignment="1" applyProtection="1">
      <alignment horizontal="center"/>
      <protection locked="0"/>
    </xf>
    <xf numFmtId="2" fontId="69" fillId="3" borderId="7" xfId="0" applyNumberFormat="1" applyFont="1" applyFill="1" applyBorder="1" applyAlignment="1" applyProtection="1">
      <alignment horizontal="center"/>
      <protection locked="0"/>
    </xf>
    <xf numFmtId="2" fontId="66" fillId="0" borderId="7" xfId="0" applyNumberFormat="1" applyFont="1" applyBorder="1" applyAlignment="1" applyProtection="1">
      <alignment horizontal="center"/>
      <protection locked="0"/>
    </xf>
    <xf numFmtId="4" fontId="85" fillId="0" borderId="169" xfId="0" applyNumberFormat="1" applyFont="1" applyBorder="1" applyAlignment="1" applyProtection="1">
      <alignment horizontal="center" vertical="center" wrapText="1"/>
      <protection locked="0"/>
    </xf>
    <xf numFmtId="176" fontId="89" fillId="0" borderId="63" xfId="0" applyFont="1" applyBorder="1" applyAlignment="1" applyProtection="1">
      <alignment horizontal="center" vertical="center" wrapText="1"/>
      <protection locked="0"/>
    </xf>
    <xf numFmtId="176" fontId="80" fillId="0" borderId="122" xfId="0" applyFont="1" applyBorder="1" applyAlignment="1" applyProtection="1">
      <alignment horizontal="left" vertical="center" wrapText="1"/>
      <protection locked="0"/>
    </xf>
    <xf numFmtId="176" fontId="80" fillId="0" borderId="91" xfId="0" applyFont="1" applyBorder="1" applyAlignment="1" applyProtection="1">
      <alignment horizontal="left" vertical="center" wrapText="1"/>
      <protection locked="0"/>
    </xf>
    <xf numFmtId="176" fontId="89" fillId="0" borderId="0" xfId="0" applyFont="1" applyAlignment="1" applyProtection="1">
      <alignment horizontal="center" vertical="center" wrapText="1"/>
      <protection locked="0"/>
    </xf>
    <xf numFmtId="176" fontId="80" fillId="0" borderId="0" xfId="0" applyFont="1" applyAlignment="1" applyProtection="1">
      <alignment horizontal="left" vertical="center" wrapText="1"/>
      <protection locked="0"/>
    </xf>
    <xf numFmtId="176" fontId="80" fillId="0" borderId="209" xfId="0" applyFont="1" applyBorder="1" applyAlignment="1" applyProtection="1">
      <alignment horizontal="left" vertical="center" wrapText="1"/>
      <protection locked="0"/>
    </xf>
    <xf numFmtId="176" fontId="80" fillId="0" borderId="66" xfId="0" applyFont="1" applyBorder="1" applyAlignment="1" applyProtection="1">
      <alignment horizontal="left" vertical="center" wrapText="1"/>
      <protection locked="0"/>
    </xf>
    <xf numFmtId="176" fontId="80" fillId="0" borderId="73" xfId="0" applyFont="1" applyBorder="1" applyAlignment="1" applyProtection="1">
      <alignment horizontal="left" vertical="center" wrapText="1"/>
      <protection locked="0"/>
    </xf>
    <xf numFmtId="2" fontId="89" fillId="0" borderId="0" xfId="0" applyNumberFormat="1" applyFont="1" applyAlignment="1" applyProtection="1">
      <alignment horizontal="center" vertical="center" wrapText="1"/>
      <protection locked="0"/>
    </xf>
    <xf numFmtId="176" fontId="80" fillId="0" borderId="6" xfId="0" applyFont="1" applyBorder="1" applyAlignment="1" applyProtection="1">
      <alignment horizontal="left" vertical="center" wrapText="1"/>
      <protection locked="0"/>
    </xf>
    <xf numFmtId="176" fontId="118" fillId="0" borderId="155" xfId="12" applyFont="1" applyBorder="1"/>
    <xf numFmtId="176" fontId="122" fillId="4" borderId="0" xfId="12" applyFont="1" applyFill="1" applyAlignment="1">
      <alignment horizontal="center"/>
    </xf>
    <xf numFmtId="176" fontId="118" fillId="0" borderId="122" xfId="12" applyFont="1" applyBorder="1"/>
    <xf numFmtId="176" fontId="122" fillId="0" borderId="91" xfId="12" applyFont="1" applyBorder="1" applyAlignment="1">
      <alignment horizontal="center"/>
    </xf>
    <xf numFmtId="176" fontId="118" fillId="0" borderId="91" xfId="12" applyFont="1" applyBorder="1"/>
    <xf numFmtId="176" fontId="122" fillId="0" borderId="210" xfId="12" applyFont="1" applyBorder="1" applyAlignment="1">
      <alignment horizontal="center"/>
    </xf>
    <xf numFmtId="176" fontId="122" fillId="0" borderId="91" xfId="12" applyFont="1" applyBorder="1"/>
    <xf numFmtId="179" fontId="124" fillId="0" borderId="91" xfId="1" applyNumberFormat="1" applyFont="1" applyBorder="1" applyAlignment="1" applyProtection="1">
      <alignment horizontal="center" wrapText="1"/>
      <protection locked="0"/>
    </xf>
    <xf numFmtId="176" fontId="124" fillId="0" borderId="91" xfId="0" applyFont="1" applyBorder="1" applyAlignment="1" applyProtection="1">
      <alignment horizontal="left" wrapText="1"/>
      <protection locked="0"/>
    </xf>
    <xf numFmtId="176" fontId="124" fillId="0" borderId="91" xfId="0" applyFont="1" applyBorder="1" applyAlignment="1" applyProtection="1">
      <alignment horizontal="center" wrapText="1"/>
      <protection locked="0"/>
    </xf>
    <xf numFmtId="176" fontId="125" fillId="0" borderId="91" xfId="0" applyFont="1" applyBorder="1" applyAlignment="1" applyProtection="1">
      <alignment horizontal="center" wrapText="1"/>
      <protection locked="0"/>
    </xf>
    <xf numFmtId="176" fontId="124" fillId="0" borderId="91" xfId="0" applyFont="1" applyBorder="1" applyAlignment="1" applyProtection="1">
      <alignment horizontal="left" vertical="center" wrapText="1"/>
      <protection locked="0"/>
    </xf>
    <xf numFmtId="176" fontId="124" fillId="0" borderId="91" xfId="0" applyFont="1" applyBorder="1" applyAlignment="1" applyProtection="1">
      <alignment horizontal="center" vertical="center" wrapText="1"/>
      <protection locked="0"/>
    </xf>
    <xf numFmtId="176" fontId="124" fillId="0" borderId="171" xfId="0" applyFont="1" applyBorder="1" applyAlignment="1" applyProtection="1">
      <alignment horizontal="center" vertical="center" wrapText="1"/>
      <protection locked="0"/>
    </xf>
    <xf numFmtId="176" fontId="122" fillId="0" borderId="122" xfId="12" applyFont="1" applyBorder="1" applyAlignment="1">
      <alignment horizontal="center"/>
    </xf>
    <xf numFmtId="176" fontId="118" fillId="0" borderId="210" xfId="12" applyFont="1" applyBorder="1"/>
    <xf numFmtId="176" fontId="118" fillId="0" borderId="91" xfId="12" applyFont="1" applyBorder="1" applyAlignment="1">
      <alignment horizontal="center"/>
    </xf>
    <xf numFmtId="176" fontId="122" fillId="0" borderId="91" xfId="12" quotePrefix="1" applyFont="1" applyBorder="1" applyAlignment="1">
      <alignment horizontal="center"/>
    </xf>
    <xf numFmtId="17" fontId="122" fillId="0" borderId="91" xfId="12" quotePrefix="1" applyNumberFormat="1" applyFont="1" applyBorder="1" applyAlignment="1">
      <alignment horizontal="center"/>
    </xf>
    <xf numFmtId="176" fontId="124" fillId="4" borderId="91" xfId="0" applyFont="1" applyFill="1" applyBorder="1" applyAlignment="1" applyProtection="1">
      <alignment horizontal="center" wrapText="1"/>
      <protection locked="0"/>
    </xf>
    <xf numFmtId="176" fontId="122" fillId="4" borderId="91" xfId="12" applyFont="1" applyFill="1" applyBorder="1" applyAlignment="1">
      <alignment horizontal="center"/>
    </xf>
    <xf numFmtId="176" fontId="124" fillId="0" borderId="91" xfId="0" applyFont="1" applyBorder="1" applyAlignment="1" applyProtection="1">
      <alignment horizontal="right" vertical="center" wrapText="1"/>
      <protection locked="0"/>
    </xf>
    <xf numFmtId="176" fontId="118" fillId="0" borderId="30" xfId="12" applyFont="1" applyBorder="1"/>
    <xf numFmtId="176" fontId="139" fillId="0" borderId="171" xfId="0" applyFont="1" applyBorder="1" applyAlignment="1" applyProtection="1">
      <alignment horizontal="left" wrapText="1"/>
      <protection locked="0"/>
    </xf>
    <xf numFmtId="176" fontId="139" fillId="0" borderId="171" xfId="0" applyFont="1" applyBorder="1" applyAlignment="1" applyProtection="1">
      <alignment horizontal="center" wrapText="1"/>
      <protection locked="0"/>
    </xf>
    <xf numFmtId="0" fontId="85" fillId="0" borderId="171" xfId="0" applyNumberFormat="1" applyFont="1" applyBorder="1" applyAlignment="1" applyProtection="1">
      <alignment horizontal="center" wrapText="1"/>
      <protection locked="0"/>
    </xf>
    <xf numFmtId="176" fontId="138" fillId="0" borderId="171" xfId="0" applyFont="1" applyBorder="1" applyAlignment="1" applyProtection="1">
      <alignment horizontal="center" vertical="center" wrapText="1"/>
      <protection locked="0"/>
    </xf>
    <xf numFmtId="39" fontId="138" fillId="0" borderId="171" xfId="1" applyNumberFormat="1" applyFont="1" applyBorder="1" applyAlignment="1" applyProtection="1">
      <alignment horizontal="center" wrapText="1"/>
      <protection locked="0"/>
    </xf>
    <xf numFmtId="176" fontId="53" fillId="3" borderId="211" xfId="0" applyFont="1" applyFill="1" applyBorder="1"/>
    <xf numFmtId="4" fontId="77" fillId="5" borderId="67" xfId="0" applyNumberFormat="1" applyFont="1" applyFill="1" applyBorder="1" applyAlignment="1" applyProtection="1">
      <alignment horizontal="center" wrapText="1"/>
      <protection locked="0"/>
    </xf>
    <xf numFmtId="4" fontId="77" fillId="5" borderId="194" xfId="0" applyNumberFormat="1" applyFont="1" applyFill="1" applyBorder="1" applyAlignment="1" applyProtection="1">
      <alignment horizontal="center" wrapText="1"/>
      <protection locked="0"/>
    </xf>
    <xf numFmtId="176" fontId="77" fillId="5" borderId="67" xfId="0" applyFont="1" applyFill="1" applyBorder="1" applyAlignment="1" applyProtection="1">
      <alignment horizontal="center" wrapText="1"/>
      <protection locked="0"/>
    </xf>
    <xf numFmtId="174" fontId="77" fillId="5" borderId="165" xfId="0" applyNumberFormat="1" applyFont="1" applyFill="1" applyBorder="1" applyAlignment="1" applyProtection="1">
      <alignment horizontal="center" wrapText="1"/>
      <protection locked="0"/>
    </xf>
    <xf numFmtId="174" fontId="77" fillId="5" borderId="67" xfId="0" applyNumberFormat="1" applyFont="1" applyFill="1" applyBorder="1" applyAlignment="1" applyProtection="1">
      <alignment horizontal="center" wrapText="1"/>
      <protection locked="0"/>
    </xf>
    <xf numFmtId="174" fontId="80" fillId="5" borderId="165" xfId="0" applyNumberFormat="1" applyFont="1" applyFill="1" applyBorder="1" applyAlignment="1" applyProtection="1">
      <alignment horizontal="center" wrapText="1"/>
      <protection locked="0"/>
    </xf>
    <xf numFmtId="174" fontId="83" fillId="5" borderId="165" xfId="0" applyNumberFormat="1" applyFont="1" applyFill="1" applyBorder="1" applyAlignment="1" applyProtection="1">
      <alignment horizontal="center" wrapText="1"/>
      <protection locked="0"/>
    </xf>
    <xf numFmtId="176" fontId="64" fillId="3" borderId="0" xfId="0" applyFont="1" applyFill="1" applyAlignment="1">
      <alignment horizontal="center"/>
    </xf>
    <xf numFmtId="176" fontId="64" fillId="3" borderId="0" xfId="0" applyFont="1" applyFill="1"/>
    <xf numFmtId="176" fontId="53" fillId="3" borderId="212" xfId="0" applyFont="1" applyFill="1" applyBorder="1"/>
    <xf numFmtId="170" fontId="53" fillId="3" borderId="0" xfId="0" applyNumberFormat="1" applyFont="1" applyFill="1" applyAlignment="1">
      <alignment horizontal="center"/>
    </xf>
    <xf numFmtId="4" fontId="77" fillId="5" borderId="64" xfId="0" applyNumberFormat="1" applyFont="1" applyFill="1" applyBorder="1" applyAlignment="1" applyProtection="1">
      <alignment horizontal="center" wrapText="1"/>
      <protection locked="0"/>
    </xf>
    <xf numFmtId="4" fontId="77" fillId="5" borderId="197" xfId="0" applyNumberFormat="1" applyFont="1" applyFill="1" applyBorder="1" applyAlignment="1" applyProtection="1">
      <alignment horizontal="center" wrapText="1"/>
      <protection locked="0"/>
    </xf>
    <xf numFmtId="176" fontId="77" fillId="5" borderId="64" xfId="0" applyFont="1" applyFill="1" applyBorder="1" applyAlignment="1" applyProtection="1">
      <alignment horizontal="center" wrapText="1"/>
      <protection locked="0"/>
    </xf>
    <xf numFmtId="174" fontId="77" fillId="5" borderId="29" xfId="0" applyNumberFormat="1" applyFont="1" applyFill="1" applyBorder="1" applyAlignment="1" applyProtection="1">
      <alignment horizontal="center" wrapText="1"/>
      <protection locked="0"/>
    </xf>
    <xf numFmtId="174" fontId="77" fillId="5" borderId="64" xfId="0" applyNumberFormat="1" applyFont="1" applyFill="1" applyBorder="1" applyAlignment="1" applyProtection="1">
      <alignment horizontal="center" wrapText="1"/>
      <protection locked="0"/>
    </xf>
    <xf numFmtId="174" fontId="80" fillId="5" borderId="29" xfId="0" applyNumberFormat="1" applyFont="1" applyFill="1" applyBorder="1" applyAlignment="1" applyProtection="1">
      <alignment horizontal="center" wrapText="1"/>
      <protection locked="0"/>
    </xf>
    <xf numFmtId="174" fontId="83" fillId="5" borderId="29" xfId="0" applyNumberFormat="1" applyFont="1" applyFill="1" applyBorder="1" applyAlignment="1" applyProtection="1">
      <alignment horizontal="center" wrapText="1"/>
      <protection locked="0"/>
    </xf>
    <xf numFmtId="176" fontId="64" fillId="3" borderId="91" xfId="0" applyFont="1" applyFill="1" applyBorder="1" applyAlignment="1">
      <alignment horizontal="center"/>
    </xf>
    <xf numFmtId="176" fontId="53" fillId="3" borderId="213" xfId="0" applyFont="1" applyFill="1" applyBorder="1"/>
    <xf numFmtId="170" fontId="53" fillId="3" borderId="91" xfId="0" applyNumberFormat="1" applyFont="1" applyFill="1" applyBorder="1" applyAlignment="1">
      <alignment horizontal="center"/>
    </xf>
    <xf numFmtId="4" fontId="77" fillId="5" borderId="91" xfId="0" applyNumberFormat="1" applyFont="1" applyFill="1" applyBorder="1" applyAlignment="1" applyProtection="1">
      <alignment horizontal="center" wrapText="1"/>
      <protection locked="0"/>
    </xf>
    <xf numFmtId="4" fontId="77" fillId="5" borderId="200" xfId="0" applyNumberFormat="1" applyFont="1" applyFill="1" applyBorder="1" applyAlignment="1" applyProtection="1">
      <alignment horizontal="center" wrapText="1"/>
      <protection locked="0"/>
    </xf>
    <xf numFmtId="176" fontId="77" fillId="5" borderId="91" xfId="0" applyFont="1" applyFill="1" applyBorder="1" applyAlignment="1" applyProtection="1">
      <alignment horizontal="center" wrapText="1"/>
      <protection locked="0"/>
    </xf>
    <xf numFmtId="174" fontId="77" fillId="5" borderId="91" xfId="0" applyNumberFormat="1" applyFont="1" applyFill="1" applyBorder="1" applyAlignment="1" applyProtection="1">
      <alignment horizontal="center" wrapText="1"/>
      <protection locked="0"/>
    </xf>
    <xf numFmtId="174" fontId="80" fillId="5" borderId="91" xfId="0" applyNumberFormat="1" applyFont="1" applyFill="1" applyBorder="1" applyAlignment="1" applyProtection="1">
      <alignment horizontal="center" wrapText="1"/>
      <protection locked="0"/>
    </xf>
    <xf numFmtId="174" fontId="83" fillId="5" borderId="91" xfId="0" applyNumberFormat="1" applyFont="1" applyFill="1" applyBorder="1" applyAlignment="1" applyProtection="1">
      <alignment horizontal="center" wrapText="1"/>
      <protection locked="0"/>
    </xf>
    <xf numFmtId="174" fontId="83" fillId="5" borderId="171" xfId="0" applyNumberFormat="1" applyFont="1" applyFill="1" applyBorder="1" applyAlignment="1" applyProtection="1">
      <alignment horizontal="center" wrapText="1"/>
      <protection locked="0"/>
    </xf>
    <xf numFmtId="176" fontId="53" fillId="3" borderId="166" xfId="0" applyFont="1" applyFill="1" applyBorder="1"/>
    <xf numFmtId="176" fontId="53" fillId="3" borderId="1" xfId="0" applyFont="1" applyFill="1" applyBorder="1"/>
    <xf numFmtId="170" fontId="53" fillId="3" borderId="93" xfId="0" applyNumberFormat="1" applyFont="1" applyFill="1" applyBorder="1" applyAlignment="1">
      <alignment horizontal="center"/>
    </xf>
    <xf numFmtId="4" fontId="77" fillId="5" borderId="93" xfId="0" applyNumberFormat="1" applyFont="1" applyFill="1" applyBorder="1" applyAlignment="1" applyProtection="1">
      <alignment horizontal="center" wrapText="1"/>
      <protection locked="0"/>
    </xf>
    <xf numFmtId="4" fontId="77" fillId="5" borderId="214" xfId="0" applyNumberFormat="1" applyFont="1" applyFill="1" applyBorder="1" applyAlignment="1" applyProtection="1">
      <alignment horizontal="center" wrapText="1"/>
      <protection locked="0"/>
    </xf>
    <xf numFmtId="176" fontId="77" fillId="5" borderId="93" xfId="0" applyFont="1" applyFill="1" applyBorder="1" applyAlignment="1" applyProtection="1">
      <alignment horizontal="center" wrapText="1"/>
      <protection locked="0"/>
    </xf>
    <xf numFmtId="174" fontId="77" fillId="5" borderId="93" xfId="0" applyNumberFormat="1" applyFont="1" applyFill="1" applyBorder="1" applyAlignment="1" applyProtection="1">
      <alignment horizontal="center" wrapText="1"/>
      <protection locked="0"/>
    </xf>
    <xf numFmtId="174" fontId="80" fillId="5" borderId="93" xfId="0" applyNumberFormat="1" applyFont="1" applyFill="1" applyBorder="1" applyAlignment="1" applyProtection="1">
      <alignment horizontal="center" wrapText="1"/>
      <protection locked="0"/>
    </xf>
    <xf numFmtId="174" fontId="83" fillId="5" borderId="93" xfId="0" applyNumberFormat="1" applyFont="1" applyFill="1" applyBorder="1" applyAlignment="1" applyProtection="1">
      <alignment horizontal="center" wrapText="1"/>
      <protection locked="0"/>
    </xf>
    <xf numFmtId="174" fontId="83" fillId="5" borderId="170" xfId="0" applyNumberFormat="1" applyFont="1" applyFill="1" applyBorder="1" applyAlignment="1" applyProtection="1">
      <alignment horizontal="center" wrapText="1"/>
      <protection locked="0"/>
    </xf>
    <xf numFmtId="176" fontId="53" fillId="3" borderId="122" xfId="0" applyFont="1" applyFill="1" applyBorder="1"/>
    <xf numFmtId="4" fontId="77" fillId="5" borderId="0" xfId="0" applyNumberFormat="1" applyFont="1" applyFill="1" applyAlignment="1" applyProtection="1">
      <alignment horizontal="center" wrapText="1"/>
      <protection locked="0"/>
    </xf>
    <xf numFmtId="4" fontId="77" fillId="5" borderId="80" xfId="0" applyNumberFormat="1" applyFont="1" applyFill="1" applyBorder="1" applyAlignment="1" applyProtection="1">
      <alignment horizontal="center" wrapText="1"/>
      <protection locked="0"/>
    </xf>
    <xf numFmtId="176" fontId="77" fillId="5" borderId="0" xfId="0" applyFont="1" applyFill="1" applyAlignment="1" applyProtection="1">
      <alignment horizontal="center" wrapText="1"/>
      <protection locked="0"/>
    </xf>
    <xf numFmtId="2" fontId="77" fillId="5" borderId="0" xfId="0" applyNumberFormat="1" applyFont="1" applyFill="1" applyAlignment="1" applyProtection="1">
      <alignment horizontal="center" wrapText="1"/>
      <protection locked="0"/>
    </xf>
    <xf numFmtId="174" fontId="80" fillId="5" borderId="0" xfId="0" applyNumberFormat="1" applyFont="1" applyFill="1" applyAlignment="1" applyProtection="1">
      <alignment horizontal="center" wrapText="1"/>
      <protection locked="0"/>
    </xf>
    <xf numFmtId="2" fontId="77" fillId="5" borderId="91" xfId="0" applyNumberFormat="1" applyFont="1" applyFill="1" applyBorder="1" applyAlignment="1" applyProtection="1">
      <alignment horizontal="center" wrapText="1"/>
      <protection locked="0"/>
    </xf>
    <xf numFmtId="176" fontId="77" fillId="5" borderId="194" xfId="0" applyFont="1" applyFill="1" applyBorder="1" applyAlignment="1" applyProtection="1">
      <alignment horizontal="center" wrapText="1"/>
      <protection locked="0"/>
    </xf>
    <xf numFmtId="176" fontId="53" fillId="3" borderId="215" xfId="0" applyFont="1" applyFill="1" applyBorder="1"/>
    <xf numFmtId="176" fontId="53" fillId="3" borderId="216" xfId="0" applyFont="1" applyFill="1" applyBorder="1"/>
    <xf numFmtId="176" fontId="53" fillId="3" borderId="171" xfId="0" applyFont="1" applyFill="1" applyBorder="1"/>
    <xf numFmtId="167" fontId="136" fillId="0" borderId="0" xfId="623" applyNumberFormat="1" applyFont="1" applyAlignment="1">
      <alignment horizontal="center"/>
    </xf>
    <xf numFmtId="17" fontId="20" fillId="0" borderId="0" xfId="620" applyNumberFormat="1"/>
    <xf numFmtId="0" fontId="137" fillId="0" borderId="163" xfId="623" applyNumberFormat="1" applyFont="1" applyBorder="1" applyAlignment="1">
      <alignment horizontal="center"/>
    </xf>
    <xf numFmtId="0" fontId="136" fillId="0" borderId="236" xfId="623" applyNumberFormat="1" applyFont="1" applyBorder="1" applyAlignment="1">
      <alignment horizontal="center"/>
    </xf>
    <xf numFmtId="4" fontId="137" fillId="0" borderId="236" xfId="623" applyNumberFormat="1" applyFont="1" applyBorder="1" applyAlignment="1">
      <alignment horizontal="center"/>
    </xf>
    <xf numFmtId="176" fontId="118" fillId="0" borderId="163" xfId="623" applyFont="1" applyBorder="1" applyAlignment="1">
      <alignment horizontal="center"/>
    </xf>
    <xf numFmtId="174" fontId="118" fillId="0" borderId="163" xfId="623" applyNumberFormat="1" applyFont="1" applyBorder="1" applyAlignment="1">
      <alignment horizontal="center"/>
    </xf>
    <xf numFmtId="176" fontId="118" fillId="0" borderId="150" xfId="623" applyFont="1" applyBorder="1" applyAlignment="1">
      <alignment horizontal="center"/>
    </xf>
    <xf numFmtId="10" fontId="56" fillId="0" borderId="0" xfId="622" applyNumberFormat="1" applyFont="1" applyFill="1" applyAlignment="1"/>
    <xf numFmtId="167" fontId="118" fillId="0" borderId="94" xfId="621" applyFont="1" applyBorder="1" applyAlignment="1">
      <alignment horizontal="right"/>
    </xf>
    <xf numFmtId="4" fontId="118" fillId="0" borderId="94" xfId="623" applyNumberFormat="1" applyFont="1" applyBorder="1" applyAlignment="1">
      <alignment horizontal="right"/>
    </xf>
    <xf numFmtId="174" fontId="118" fillId="0" borderId="94" xfId="623" applyNumberFormat="1" applyFont="1" applyBorder="1" applyAlignment="1">
      <alignment horizontal="right"/>
    </xf>
    <xf numFmtId="174" fontId="118" fillId="0" borderId="29" xfId="623" applyNumberFormat="1" applyFont="1" applyBorder="1" applyAlignment="1">
      <alignment horizontal="right"/>
    </xf>
    <xf numFmtId="174" fontId="118" fillId="0" borderId="163" xfId="623" applyNumberFormat="1" applyFont="1" applyBorder="1" applyAlignment="1">
      <alignment horizontal="right"/>
    </xf>
    <xf numFmtId="174" fontId="122" fillId="0" borderId="94" xfId="623" applyNumberFormat="1" applyFont="1" applyBorder="1" applyAlignment="1">
      <alignment horizontal="right"/>
    </xf>
    <xf numFmtId="167" fontId="137" fillId="0" borderId="94" xfId="621" applyFont="1" applyBorder="1" applyAlignment="1">
      <alignment horizontal="right"/>
    </xf>
    <xf numFmtId="4" fontId="137" fillId="0" borderId="94" xfId="623" applyNumberFormat="1" applyFont="1" applyBorder="1" applyAlignment="1">
      <alignment horizontal="right"/>
    </xf>
    <xf numFmtId="174" fontId="137" fillId="0" borderId="94" xfId="623" applyNumberFormat="1" applyFont="1" applyBorder="1" applyAlignment="1">
      <alignment horizontal="right"/>
    </xf>
    <xf numFmtId="174" fontId="137" fillId="0" borderId="29" xfId="623" applyNumberFormat="1" applyFont="1" applyBorder="1" applyAlignment="1">
      <alignment horizontal="right"/>
    </xf>
    <xf numFmtId="174" fontId="137" fillId="0" borderId="163" xfId="623" applyNumberFormat="1" applyFont="1" applyBorder="1" applyAlignment="1">
      <alignment horizontal="right"/>
    </xf>
    <xf numFmtId="174" fontId="136" fillId="0" borderId="94" xfId="623" applyNumberFormat="1" applyFont="1" applyBorder="1" applyAlignment="1">
      <alignment horizontal="right"/>
    </xf>
    <xf numFmtId="177" fontId="137" fillId="0" borderId="94" xfId="621" applyNumberFormat="1" applyFont="1" applyBorder="1" applyAlignment="1">
      <alignment horizontal="right"/>
    </xf>
    <xf numFmtId="177" fontId="137" fillId="0" borderId="94" xfId="623" applyNumberFormat="1" applyFont="1" applyBorder="1" applyAlignment="1">
      <alignment horizontal="right"/>
    </xf>
    <xf numFmtId="177" fontId="137" fillId="0" borderId="29" xfId="623" applyNumberFormat="1" applyFont="1" applyBorder="1" applyAlignment="1">
      <alignment horizontal="right"/>
    </xf>
    <xf numFmtId="177" fontId="137" fillId="0" borderId="163" xfId="623" applyNumberFormat="1" applyFont="1" applyBorder="1" applyAlignment="1">
      <alignment horizontal="right"/>
    </xf>
    <xf numFmtId="177" fontId="136" fillId="0" borderId="94" xfId="623" applyNumberFormat="1" applyFont="1" applyBorder="1" applyAlignment="1">
      <alignment horizontal="right"/>
    </xf>
    <xf numFmtId="177" fontId="137" fillId="0" borderId="0" xfId="621" applyNumberFormat="1" applyFont="1" applyBorder="1" applyAlignment="1">
      <alignment horizontal="right"/>
    </xf>
    <xf numFmtId="0" fontId="136" fillId="0" borderId="94" xfId="623" applyNumberFormat="1" applyFont="1" applyBorder="1" applyAlignment="1">
      <alignment horizontal="right"/>
    </xf>
    <xf numFmtId="177" fontId="137" fillId="0" borderId="0" xfId="623" applyNumberFormat="1" applyFont="1" applyAlignment="1">
      <alignment horizontal="right"/>
    </xf>
    <xf numFmtId="177" fontId="136" fillId="0" borderId="0" xfId="623" applyNumberFormat="1" applyFont="1" applyAlignment="1">
      <alignment horizontal="right"/>
    </xf>
    <xf numFmtId="167" fontId="137" fillId="0" borderId="0" xfId="621" applyFont="1" applyBorder="1" applyAlignment="1">
      <alignment horizontal="right"/>
    </xf>
    <xf numFmtId="167" fontId="136" fillId="0" borderId="94" xfId="623" applyNumberFormat="1" applyFont="1" applyBorder="1" applyAlignment="1">
      <alignment horizontal="right"/>
    </xf>
    <xf numFmtId="167" fontId="137" fillId="0" borderId="0" xfId="623" applyNumberFormat="1" applyFont="1" applyAlignment="1">
      <alignment horizontal="right"/>
    </xf>
    <xf numFmtId="167" fontId="136" fillId="0" borderId="163" xfId="623" applyNumberFormat="1" applyFont="1" applyBorder="1" applyAlignment="1">
      <alignment horizontal="right"/>
    </xf>
    <xf numFmtId="177" fontId="136" fillId="0" borderId="163" xfId="623" applyNumberFormat="1" applyFont="1" applyBorder="1" applyAlignment="1">
      <alignment horizontal="right"/>
    </xf>
    <xf numFmtId="176" fontId="31" fillId="0" borderId="12" xfId="623" applyFont="1" applyBorder="1" applyAlignment="1">
      <alignment horizontal="center"/>
    </xf>
    <xf numFmtId="176" fontId="31" fillId="0" borderId="101" xfId="623" applyFont="1" applyBorder="1" applyAlignment="1">
      <alignment horizontal="center"/>
    </xf>
    <xf numFmtId="176" fontId="31" fillId="0" borderId="115" xfId="623" applyFont="1" applyBorder="1" applyAlignment="1">
      <alignment horizontal="center"/>
    </xf>
    <xf numFmtId="176" fontId="31" fillId="0" borderId="129" xfId="623" applyFont="1" applyBorder="1" applyAlignment="1">
      <alignment horizontal="center"/>
    </xf>
    <xf numFmtId="176" fontId="31" fillId="0" borderId="94" xfId="623" applyFont="1" applyBorder="1" applyAlignment="1">
      <alignment horizontal="center"/>
    </xf>
    <xf numFmtId="176" fontId="31" fillId="0" borderId="236" xfId="623" applyFont="1" applyBorder="1" applyAlignment="1">
      <alignment horizontal="center"/>
    </xf>
    <xf numFmtId="176" fontId="31" fillId="0" borderId="29" xfId="623" applyFont="1" applyBorder="1" applyAlignment="1">
      <alignment horizontal="center"/>
    </xf>
    <xf numFmtId="176" fontId="31" fillId="0" borderId="0" xfId="623" applyFont="1" applyAlignment="1">
      <alignment horizontal="center"/>
    </xf>
    <xf numFmtId="176" fontId="31" fillId="0" borderId="97" xfId="623" applyFont="1" applyBorder="1" applyAlignment="1">
      <alignment horizontal="center"/>
    </xf>
    <xf numFmtId="176" fontId="31" fillId="0" borderId="90" xfId="623" applyFont="1" applyBorder="1" applyAlignment="1">
      <alignment horizontal="center"/>
    </xf>
    <xf numFmtId="176" fontId="31" fillId="0" borderId="89" xfId="623" applyFont="1" applyBorder="1" applyAlignment="1">
      <alignment horizontal="center"/>
    </xf>
    <xf numFmtId="176" fontId="31" fillId="0" borderId="130" xfId="623" applyFont="1" applyBorder="1" applyAlignment="1">
      <alignment horizontal="center"/>
    </xf>
    <xf numFmtId="176" fontId="31" fillId="3" borderId="237" xfId="623" applyFont="1" applyFill="1" applyBorder="1" applyAlignment="1">
      <alignment horizontal="center"/>
    </xf>
    <xf numFmtId="176" fontId="31" fillId="3" borderId="238" xfId="623" applyFont="1" applyFill="1" applyBorder="1" applyAlignment="1">
      <alignment horizontal="center"/>
    </xf>
    <xf numFmtId="176" fontId="31" fillId="3" borderId="189" xfId="623" applyFont="1" applyFill="1" applyBorder="1" applyAlignment="1">
      <alignment horizontal="center"/>
    </xf>
    <xf numFmtId="174" fontId="137" fillId="0" borderId="54" xfId="623" applyNumberFormat="1" applyFont="1" applyBorder="1" applyAlignment="1">
      <alignment horizontal="center"/>
    </xf>
    <xf numFmtId="167" fontId="137" fillId="0" borderId="172" xfId="621" applyFont="1" applyBorder="1" applyAlignment="1">
      <alignment horizontal="right"/>
    </xf>
    <xf numFmtId="167" fontId="136" fillId="0" borderId="54" xfId="623" applyNumberFormat="1" applyFont="1" applyBorder="1" applyAlignment="1">
      <alignment horizontal="right"/>
    </xf>
    <xf numFmtId="167" fontId="137" fillId="0" borderId="172" xfId="623" applyNumberFormat="1" applyFont="1" applyBorder="1" applyAlignment="1">
      <alignment horizontal="right"/>
    </xf>
    <xf numFmtId="177" fontId="137" fillId="0" borderId="54" xfId="623" applyNumberFormat="1" applyFont="1" applyBorder="1" applyAlignment="1">
      <alignment horizontal="right"/>
    </xf>
    <xf numFmtId="177" fontId="136" fillId="0" borderId="54" xfId="623" applyNumberFormat="1" applyFont="1" applyBorder="1" applyAlignment="1">
      <alignment horizontal="right"/>
    </xf>
    <xf numFmtId="176" fontId="31" fillId="3" borderId="234" xfId="623" applyFont="1" applyFill="1" applyBorder="1" applyAlignment="1">
      <alignment horizontal="center"/>
    </xf>
    <xf numFmtId="176" fontId="31" fillId="3" borderId="232" xfId="623" applyFont="1" applyFill="1" applyBorder="1" applyAlignment="1">
      <alignment horizontal="center"/>
    </xf>
    <xf numFmtId="176" fontId="31" fillId="3" borderId="233" xfId="623" applyFont="1" applyFill="1" applyBorder="1" applyAlignment="1">
      <alignment horizontal="center"/>
    </xf>
    <xf numFmtId="176" fontId="31" fillId="3" borderId="235" xfId="623" applyFont="1" applyFill="1" applyBorder="1" applyAlignment="1">
      <alignment horizontal="center"/>
    </xf>
    <xf numFmtId="176" fontId="31" fillId="3" borderId="0" xfId="623" applyFont="1" applyFill="1" applyAlignment="1">
      <alignment horizontal="center"/>
    </xf>
    <xf numFmtId="176" fontId="31" fillId="3" borderId="178" xfId="623" applyFont="1" applyFill="1" applyBorder="1" applyAlignment="1">
      <alignment horizontal="center"/>
    </xf>
    <xf numFmtId="176" fontId="29" fillId="0" borderId="0" xfId="4" applyNumberFormat="1" applyFont="1" applyAlignment="1">
      <alignment horizontal="center"/>
    </xf>
    <xf numFmtId="176" fontId="29" fillId="0" borderId="0" xfId="4" applyNumberFormat="1" applyFont="1" applyAlignment="1" applyProtection="1">
      <alignment horizontal="center"/>
      <protection locked="0"/>
    </xf>
    <xf numFmtId="176" fontId="56" fillId="0" borderId="116" xfId="623" applyFont="1" applyBorder="1" applyAlignment="1">
      <alignment horizontal="center"/>
    </xf>
    <xf numFmtId="176" fontId="56" fillId="0" borderId="89" xfId="623" applyFont="1" applyBorder="1" applyAlignment="1">
      <alignment horizontal="center"/>
    </xf>
    <xf numFmtId="176" fontId="56" fillId="0" borderId="90" xfId="623" applyFont="1" applyBorder="1" applyAlignment="1">
      <alignment horizontal="center"/>
    </xf>
    <xf numFmtId="176" fontId="66" fillId="0" borderId="116" xfId="623" applyFont="1" applyBorder="1" applyAlignment="1">
      <alignment horizontal="center"/>
    </xf>
    <xf numFmtId="176" fontId="66" fillId="0" borderId="89" xfId="623" applyFont="1" applyBorder="1" applyAlignment="1">
      <alignment horizontal="center"/>
    </xf>
    <xf numFmtId="176" fontId="66" fillId="0" borderId="90" xfId="623" applyFont="1" applyBorder="1" applyAlignment="1">
      <alignment horizontal="center"/>
    </xf>
    <xf numFmtId="176" fontId="122" fillId="0" borderId="88" xfId="623" applyFont="1" applyBorder="1" applyAlignment="1">
      <alignment horizontal="center"/>
    </xf>
    <xf numFmtId="176" fontId="122" fillId="0" borderId="0" xfId="623" applyFont="1" applyAlignment="1">
      <alignment horizontal="center"/>
    </xf>
    <xf numFmtId="176" fontId="122" fillId="0" borderId="29" xfId="623" applyFont="1" applyBorder="1" applyAlignment="1">
      <alignment horizontal="center"/>
    </xf>
    <xf numFmtId="176" fontId="122" fillId="0" borderId="39" xfId="623" applyFont="1" applyBorder="1" applyAlignment="1">
      <alignment horizontal="center"/>
    </xf>
    <xf numFmtId="176" fontId="122" fillId="0" borderId="124" xfId="623" applyFont="1" applyBorder="1" applyAlignment="1">
      <alignment horizontal="center"/>
    </xf>
    <xf numFmtId="176" fontId="122" fillId="0" borderId="115" xfId="623" applyFont="1" applyBorder="1" applyAlignment="1">
      <alignment horizontal="center"/>
    </xf>
    <xf numFmtId="176" fontId="122" fillId="0" borderId="36" xfId="623" applyFont="1" applyBorder="1" applyAlignment="1">
      <alignment horizontal="center"/>
    </xf>
    <xf numFmtId="176" fontId="46" fillId="0" borderId="100" xfId="623" applyFont="1" applyBorder="1" applyAlignment="1">
      <alignment horizontal="center"/>
    </xf>
    <xf numFmtId="176" fontId="46" fillId="0" borderId="115" xfId="623" applyFont="1" applyBorder="1" applyAlignment="1">
      <alignment horizontal="center"/>
    </xf>
    <xf numFmtId="176" fontId="46" fillId="0" borderId="101" xfId="623" applyFont="1" applyBorder="1" applyAlignment="1">
      <alignment horizontal="center"/>
    </xf>
    <xf numFmtId="176" fontId="46" fillId="0" borderId="88" xfId="623" applyFont="1" applyBorder="1" applyAlignment="1">
      <alignment horizontal="center"/>
    </xf>
    <xf numFmtId="176" fontId="46" fillId="0" borderId="0" xfId="623" applyFont="1" applyAlignment="1">
      <alignment horizontal="center"/>
    </xf>
    <xf numFmtId="176" fontId="46" fillId="0" borderId="29" xfId="623" applyFont="1" applyBorder="1" applyAlignment="1">
      <alignment horizontal="center"/>
    </xf>
    <xf numFmtId="176" fontId="79" fillId="0" borderId="82" xfId="0" applyFont="1" applyBorder="1" applyAlignment="1" applyProtection="1">
      <alignment horizontal="center" wrapText="1"/>
      <protection locked="0"/>
    </xf>
    <xf numFmtId="176" fontId="79" fillId="0" borderId="83" xfId="0" applyFont="1" applyBorder="1" applyAlignment="1" applyProtection="1">
      <alignment horizontal="center" wrapText="1"/>
      <protection locked="0"/>
    </xf>
    <xf numFmtId="176" fontId="79" fillId="0" borderId="84" xfId="0" applyFont="1" applyBorder="1" applyAlignment="1" applyProtection="1">
      <alignment horizontal="center" wrapText="1"/>
      <protection locked="0"/>
    </xf>
    <xf numFmtId="176" fontId="79" fillId="0" borderId="87" xfId="0" applyFont="1" applyBorder="1" applyAlignment="1" applyProtection="1">
      <alignment horizontal="center" wrapText="1"/>
      <protection locked="0"/>
    </xf>
    <xf numFmtId="176" fontId="79" fillId="0" borderId="77" xfId="0" applyFont="1" applyBorder="1" applyAlignment="1" applyProtection="1">
      <alignment horizontal="center" wrapText="1"/>
      <protection locked="0"/>
    </xf>
    <xf numFmtId="1" fontId="29" fillId="0" borderId="57" xfId="0" applyNumberFormat="1" applyFont="1" applyBorder="1" applyAlignment="1" applyProtection="1">
      <alignment horizontal="center"/>
      <protection locked="0"/>
    </xf>
    <xf numFmtId="1" fontId="29" fillId="0" borderId="58" xfId="0" applyNumberFormat="1" applyFont="1" applyBorder="1" applyAlignment="1" applyProtection="1">
      <alignment horizontal="center"/>
      <protection locked="0"/>
    </xf>
    <xf numFmtId="176" fontId="29" fillId="0" borderId="6" xfId="0" applyFont="1" applyBorder="1" applyAlignment="1" applyProtection="1">
      <alignment horizontal="center"/>
      <protection locked="0"/>
    </xf>
    <xf numFmtId="176" fontId="29" fillId="0" borderId="56" xfId="0" applyFont="1" applyBorder="1" applyAlignment="1" applyProtection="1">
      <alignment horizontal="center"/>
      <protection locked="0"/>
    </xf>
    <xf numFmtId="176" fontId="29" fillId="6" borderId="2" xfId="0" applyFont="1" applyFill="1" applyBorder="1" applyAlignment="1">
      <alignment horizontal="center"/>
    </xf>
    <xf numFmtId="176" fontId="29" fillId="2" borderId="0" xfId="0" applyFont="1" applyFill="1" applyAlignment="1">
      <alignment horizontal="center"/>
    </xf>
    <xf numFmtId="176" fontId="29" fillId="6" borderId="18" xfId="0" applyFont="1" applyFill="1" applyBorder="1" applyAlignment="1">
      <alignment horizontal="center"/>
    </xf>
    <xf numFmtId="176" fontId="29" fillId="6" borderId="0" xfId="0" applyFont="1" applyFill="1" applyAlignment="1">
      <alignment horizontal="center"/>
    </xf>
    <xf numFmtId="176" fontId="66" fillId="0" borderId="0" xfId="4" applyNumberFormat="1" applyFont="1" applyAlignment="1">
      <alignment horizontal="center"/>
    </xf>
    <xf numFmtId="176" fontId="66" fillId="0" borderId="0" xfId="4" applyNumberFormat="1" applyFont="1" applyAlignment="1" applyProtection="1">
      <alignment horizontal="center"/>
      <protection locked="0"/>
    </xf>
    <xf numFmtId="176" fontId="66" fillId="0" borderId="39" xfId="623" applyFont="1" applyBorder="1" applyAlignment="1">
      <alignment horizontal="center"/>
    </xf>
    <xf numFmtId="176" fontId="66" fillId="0" borderId="124" xfId="623" applyFont="1" applyBorder="1" applyAlignment="1">
      <alignment horizontal="center"/>
    </xf>
    <xf numFmtId="176" fontId="66" fillId="0" borderId="41" xfId="623" applyFont="1" applyBorder="1" applyAlignment="1">
      <alignment horizontal="center"/>
    </xf>
    <xf numFmtId="176" fontId="66" fillId="0" borderId="88" xfId="623" applyFont="1" applyBorder="1" applyAlignment="1">
      <alignment horizontal="center"/>
    </xf>
    <xf numFmtId="176" fontId="66" fillId="0" borderId="0" xfId="623" applyFont="1" applyAlignment="1">
      <alignment horizontal="center"/>
    </xf>
    <xf numFmtId="176" fontId="66" fillId="0" borderId="29" xfId="623" applyFont="1" applyBorder="1" applyAlignment="1">
      <alignment horizontal="center"/>
    </xf>
    <xf numFmtId="176" fontId="88" fillId="0" borderId="0" xfId="4" applyNumberFormat="1" applyFont="1" applyAlignment="1">
      <alignment horizontal="center"/>
    </xf>
    <xf numFmtId="176" fontId="84" fillId="5" borderId="0" xfId="0" applyFont="1" applyFill="1" applyAlignment="1" applyProtection="1">
      <alignment horizontal="center" wrapText="1"/>
      <protection locked="0"/>
    </xf>
    <xf numFmtId="176" fontId="89" fillId="5" borderId="0" xfId="0" applyFont="1" applyFill="1" applyAlignment="1" applyProtection="1">
      <alignment horizontal="center" vertical="center" wrapText="1"/>
      <protection locked="0"/>
    </xf>
    <xf numFmtId="176" fontId="76" fillId="6" borderId="0" xfId="0" applyFont="1" applyFill="1" applyAlignment="1" applyProtection="1">
      <alignment horizontal="center" vertical="center" wrapText="1"/>
      <protection locked="0"/>
    </xf>
    <xf numFmtId="2" fontId="65" fillId="6" borderId="0" xfId="9" applyNumberFormat="1" applyFont="1" applyFill="1" applyAlignment="1" applyProtection="1">
      <alignment horizontal="center"/>
      <protection locked="0"/>
    </xf>
    <xf numFmtId="176" fontId="66" fillId="6" borderId="0" xfId="0" applyFont="1" applyFill="1" applyAlignment="1">
      <alignment horizontal="center"/>
    </xf>
    <xf numFmtId="2" fontId="40" fillId="6" borderId="0" xfId="9" applyNumberFormat="1" applyFont="1" applyFill="1" applyAlignment="1" applyProtection="1">
      <alignment horizontal="center"/>
      <protection locked="0"/>
    </xf>
    <xf numFmtId="2" fontId="40" fillId="6" borderId="0" xfId="9" applyNumberFormat="1" applyFont="1" applyFill="1" applyAlignment="1">
      <alignment horizontal="center"/>
    </xf>
    <xf numFmtId="176" fontId="139" fillId="0" borderId="0" xfId="0" applyFont="1" applyAlignment="1" applyProtection="1">
      <alignment horizontal="center" vertical="center"/>
      <protection locked="0"/>
    </xf>
    <xf numFmtId="176" fontId="80" fillId="0" borderId="0" xfId="0" applyFont="1" applyAlignment="1" applyProtection="1">
      <alignment horizontal="left" wrapText="1"/>
      <protection locked="0"/>
    </xf>
    <xf numFmtId="2" fontId="157" fillId="0" borderId="2" xfId="9" applyNumberFormat="1" applyFont="1" applyBorder="1" applyAlignment="1">
      <alignment horizontal="center"/>
    </xf>
    <xf numFmtId="2" fontId="157" fillId="0" borderId="18" xfId="9" applyNumberFormat="1" applyFont="1" applyBorder="1" applyAlignment="1">
      <alignment horizontal="center"/>
    </xf>
    <xf numFmtId="2" fontId="157" fillId="0" borderId="2" xfId="9" applyNumberFormat="1" applyFont="1" applyBorder="1" applyAlignment="1">
      <alignment horizontal="right"/>
    </xf>
    <xf numFmtId="2" fontId="157" fillId="0" borderId="18" xfId="9" applyNumberFormat="1" applyFont="1" applyBorder="1" applyAlignment="1">
      <alignment horizontal="right"/>
    </xf>
    <xf numFmtId="176" fontId="138" fillId="0" borderId="0" xfId="0" applyFont="1" applyAlignment="1" applyProtection="1">
      <alignment horizontal="left" wrapText="1"/>
      <protection locked="0"/>
    </xf>
    <xf numFmtId="2" fontId="157" fillId="0" borderId="0" xfId="9" applyNumberFormat="1" applyFont="1" applyAlignment="1">
      <alignment horizontal="center"/>
    </xf>
    <xf numFmtId="176" fontId="139" fillId="0" borderId="126" xfId="0" applyFont="1" applyBorder="1" applyAlignment="1" applyProtection="1">
      <alignment horizontal="center" wrapText="1"/>
      <protection locked="0"/>
    </xf>
    <xf numFmtId="176" fontId="139" fillId="0" borderId="127" xfId="0" applyFont="1" applyBorder="1" applyAlignment="1" applyProtection="1">
      <alignment horizontal="center" wrapText="1"/>
      <protection locked="0"/>
    </xf>
    <xf numFmtId="176" fontId="139" fillId="0" borderId="121" xfId="0" applyFont="1" applyBorder="1" applyAlignment="1" applyProtection="1">
      <alignment horizontal="center" wrapText="1"/>
      <protection locked="0"/>
    </xf>
    <xf numFmtId="176" fontId="139" fillId="0" borderId="71" xfId="0" applyFont="1" applyBorder="1" applyAlignment="1" applyProtection="1">
      <alignment horizontal="center" wrapText="1"/>
      <protection locked="0"/>
    </xf>
    <xf numFmtId="176" fontId="139" fillId="0" borderId="72" xfId="0" applyFont="1" applyBorder="1" applyAlignment="1" applyProtection="1">
      <alignment horizontal="center" wrapText="1"/>
      <protection locked="0"/>
    </xf>
    <xf numFmtId="176" fontId="139" fillId="0" borderId="70" xfId="0" applyFont="1" applyBorder="1" applyAlignment="1" applyProtection="1">
      <alignment horizontal="center" wrapText="1"/>
      <protection locked="0"/>
    </xf>
    <xf numFmtId="176" fontId="122" fillId="0" borderId="0" xfId="12" applyFont="1" applyAlignment="1">
      <alignment horizontal="center"/>
    </xf>
    <xf numFmtId="176" fontId="122" fillId="0" borderId="165" xfId="12" applyFont="1" applyBorder="1" applyAlignment="1">
      <alignment horizontal="center"/>
    </xf>
    <xf numFmtId="176" fontId="122" fillId="0" borderId="29" xfId="12" applyFont="1" applyBorder="1" applyAlignment="1">
      <alignment horizontal="center"/>
    </xf>
    <xf numFmtId="176" fontId="47" fillId="4" borderId="2" xfId="12" applyFont="1" applyFill="1" applyBorder="1" applyAlignment="1">
      <alignment horizontal="center"/>
    </xf>
    <xf numFmtId="176" fontId="47" fillId="4" borderId="0" xfId="12" applyFont="1" applyFill="1" applyAlignment="1">
      <alignment horizontal="center"/>
    </xf>
    <xf numFmtId="176" fontId="47" fillId="4" borderId="18" xfId="12" applyFont="1" applyFill="1" applyBorder="1" applyAlignment="1">
      <alignment horizontal="center"/>
    </xf>
    <xf numFmtId="176" fontId="89" fillId="0" borderId="122" xfId="0" applyFont="1" applyBorder="1" applyAlignment="1" applyProtection="1">
      <alignment horizontal="center" vertical="center" wrapText="1"/>
      <protection locked="0"/>
    </xf>
    <xf numFmtId="176" fontId="89" fillId="0" borderId="91" xfId="0" applyFont="1" applyBorder="1" applyAlignment="1" applyProtection="1">
      <alignment horizontal="center" vertical="center" wrapText="1"/>
      <protection locked="0"/>
    </xf>
    <xf numFmtId="176" fontId="89" fillId="0" borderId="206" xfId="0" applyFont="1" applyBorder="1" applyAlignment="1" applyProtection="1">
      <alignment horizontal="center" vertical="center" wrapText="1"/>
      <protection locked="0"/>
    </xf>
    <xf numFmtId="176" fontId="79" fillId="0" borderId="70" xfId="0" applyFont="1" applyBorder="1" applyAlignment="1" applyProtection="1">
      <alignment horizontal="center" wrapText="1"/>
      <protection locked="0"/>
    </xf>
    <xf numFmtId="176" fontId="79" fillId="0" borderId="71" xfId="0" applyFont="1" applyBorder="1" applyAlignment="1" applyProtection="1">
      <alignment horizontal="center" wrapText="1"/>
      <protection locked="0"/>
    </xf>
    <xf numFmtId="176" fontId="79" fillId="0" borderId="72" xfId="0" applyFont="1" applyBorder="1" applyAlignment="1" applyProtection="1">
      <alignment horizontal="center" wrapText="1"/>
      <protection locked="0"/>
    </xf>
    <xf numFmtId="176" fontId="89" fillId="0" borderId="70" xfId="0" applyFont="1" applyBorder="1" applyAlignment="1" applyProtection="1">
      <alignment horizontal="center" vertical="center" wrapText="1"/>
      <protection locked="0"/>
    </xf>
    <xf numFmtId="176" fontId="89" fillId="0" borderId="71" xfId="0" applyFont="1" applyBorder="1" applyAlignment="1" applyProtection="1">
      <alignment horizontal="center" vertical="center" wrapText="1"/>
      <protection locked="0"/>
    </xf>
    <xf numFmtId="176" fontId="89" fillId="0" borderId="73" xfId="0" applyFont="1" applyBorder="1" applyAlignment="1" applyProtection="1">
      <alignment horizontal="center" vertical="center" wrapText="1"/>
      <protection locked="0"/>
    </xf>
    <xf numFmtId="176" fontId="89" fillId="0" borderId="72" xfId="0" applyFont="1" applyBorder="1" applyAlignment="1" applyProtection="1">
      <alignment horizontal="center" vertical="center" wrapText="1"/>
      <protection locked="0"/>
    </xf>
    <xf numFmtId="176" fontId="85" fillId="0" borderId="0" xfId="0" applyFont="1" applyAlignment="1" applyProtection="1">
      <alignment horizontal="center" vertical="center"/>
      <protection locked="0"/>
    </xf>
    <xf numFmtId="176" fontId="89" fillId="0" borderId="0" xfId="0" applyFont="1" applyAlignment="1" applyProtection="1">
      <alignment horizontal="center" vertical="center"/>
      <protection locked="0"/>
    </xf>
    <xf numFmtId="176" fontId="126" fillId="0" borderId="60" xfId="0" applyFont="1" applyBorder="1" applyAlignment="1" applyProtection="1">
      <alignment horizontal="center" vertical="center" wrapText="1"/>
      <protection locked="0"/>
    </xf>
    <xf numFmtId="176" fontId="126" fillId="0" borderId="61" xfId="0" applyFont="1" applyBorder="1" applyAlignment="1" applyProtection="1">
      <alignment horizontal="center" vertical="center" wrapText="1"/>
      <protection locked="0"/>
    </xf>
    <xf numFmtId="176" fontId="126" fillId="0" borderId="62" xfId="0" applyFont="1" applyBorder="1" applyAlignment="1" applyProtection="1">
      <alignment horizontal="center" vertical="center" wrapText="1"/>
      <protection locked="0"/>
    </xf>
    <xf numFmtId="176" fontId="74" fillId="0" borderId="70" xfId="0" applyFont="1" applyBorder="1" applyAlignment="1" applyProtection="1">
      <alignment horizontal="center" vertical="center" wrapText="1"/>
      <protection locked="0"/>
    </xf>
    <xf numFmtId="176" fontId="74" fillId="0" borderId="71" xfId="0" applyFont="1" applyBorder="1" applyAlignment="1" applyProtection="1">
      <alignment horizontal="center" vertical="center" wrapText="1"/>
      <protection locked="0"/>
    </xf>
    <xf numFmtId="176" fontId="74" fillId="0" borderId="72" xfId="0" applyFont="1" applyBorder="1" applyAlignment="1" applyProtection="1">
      <alignment horizontal="center" vertical="center" wrapText="1"/>
      <protection locked="0"/>
    </xf>
    <xf numFmtId="176" fontId="66" fillId="3" borderId="0" xfId="3" applyFont="1" applyFill="1" applyAlignment="1">
      <alignment horizontal="center"/>
    </xf>
    <xf numFmtId="176" fontId="29" fillId="3" borderId="0" xfId="0" applyFont="1" applyFill="1" applyAlignment="1">
      <alignment horizontal="center"/>
    </xf>
    <xf numFmtId="176" fontId="80" fillId="5" borderId="0" xfId="0" applyFont="1" applyFill="1" applyAlignment="1" applyProtection="1">
      <alignment horizontal="left" vertical="center" wrapText="1"/>
      <protection locked="0"/>
    </xf>
    <xf numFmtId="176" fontId="80" fillId="5" borderId="0" xfId="0" applyFont="1" applyFill="1" applyAlignment="1" applyProtection="1">
      <alignment horizontal="left" vertical="center"/>
      <protection locked="0"/>
    </xf>
    <xf numFmtId="170" fontId="31" fillId="4" borderId="0" xfId="4" applyFill="1" applyAlignment="1" applyProtection="1">
      <alignment horizontal="center"/>
      <protection locked="0"/>
    </xf>
    <xf numFmtId="170" fontId="29" fillId="4" borderId="0" xfId="4" applyFont="1" applyFill="1" applyAlignment="1">
      <alignment horizontal="center"/>
    </xf>
    <xf numFmtId="176" fontId="29" fillId="4" borderId="0" xfId="4" applyNumberFormat="1" applyFont="1" applyFill="1" applyAlignment="1" applyProtection="1">
      <alignment horizontal="center"/>
      <protection locked="0"/>
    </xf>
    <xf numFmtId="170" fontId="31" fillId="4" borderId="2" xfId="4" applyFill="1" applyBorder="1" applyAlignment="1" applyProtection="1">
      <alignment horizontal="center"/>
      <protection locked="0"/>
    </xf>
    <xf numFmtId="170" fontId="31" fillId="4" borderId="18" xfId="4" applyFill="1" applyBorder="1" applyAlignment="1" applyProtection="1">
      <alignment horizontal="center"/>
      <protection locked="0"/>
    </xf>
    <xf numFmtId="176" fontId="27" fillId="4" borderId="25" xfId="4" applyNumberFormat="1" applyFont="1" applyFill="1" applyBorder="1" applyAlignment="1">
      <alignment horizontal="center"/>
    </xf>
    <xf numFmtId="176" fontId="27" fillId="4" borderId="0" xfId="4" applyNumberFormat="1" applyFont="1" applyFill="1" applyAlignment="1">
      <alignment horizontal="center"/>
    </xf>
    <xf numFmtId="176" fontId="27" fillId="4" borderId="29" xfId="4" applyNumberFormat="1" applyFont="1" applyFill="1" applyBorder="1" applyAlignment="1">
      <alignment horizontal="center"/>
    </xf>
    <xf numFmtId="176" fontId="26" fillId="4" borderId="0" xfId="4" applyNumberFormat="1" applyFont="1" applyFill="1" applyAlignment="1">
      <alignment horizontal="center"/>
    </xf>
    <xf numFmtId="176" fontId="27" fillId="4" borderId="59" xfId="4" applyNumberFormat="1" applyFont="1" applyFill="1" applyBorder="1" applyAlignment="1">
      <alignment horizontal="center"/>
    </xf>
    <xf numFmtId="176" fontId="27" fillId="4" borderId="1" xfId="4" applyNumberFormat="1" applyFont="1" applyFill="1" applyBorder="1" applyAlignment="1">
      <alignment horizontal="center"/>
    </xf>
    <xf numFmtId="176" fontId="27" fillId="4" borderId="30" xfId="4" applyNumberFormat="1" applyFont="1" applyFill="1" applyBorder="1" applyAlignment="1">
      <alignment horizontal="center"/>
    </xf>
    <xf numFmtId="176" fontId="47" fillId="0" borderId="0" xfId="0" applyFont="1" applyAlignment="1">
      <alignment horizontal="center"/>
    </xf>
    <xf numFmtId="167" fontId="47" fillId="0" borderId="188" xfId="1" applyFont="1" applyBorder="1" applyAlignment="1">
      <alignment horizontal="center"/>
    </xf>
    <xf numFmtId="167" fontId="47" fillId="0" borderId="98" xfId="1" applyFont="1" applyBorder="1" applyAlignment="1">
      <alignment horizontal="center"/>
    </xf>
    <xf numFmtId="167" fontId="47" fillId="0" borderId="122" xfId="1" applyFont="1" applyBorder="1" applyAlignment="1">
      <alignment horizontal="center"/>
    </xf>
    <xf numFmtId="167" fontId="47" fillId="0" borderId="190" xfId="1" applyFont="1" applyBorder="1" applyAlignment="1">
      <alignment horizontal="center"/>
    </xf>
    <xf numFmtId="167" fontId="47" fillId="0" borderId="183" xfId="1" applyFont="1" applyBorder="1" applyAlignment="1">
      <alignment horizontal="center" wrapText="1"/>
    </xf>
    <xf numFmtId="167" fontId="47" fillId="0" borderId="184" xfId="1" applyFont="1" applyBorder="1" applyAlignment="1">
      <alignment horizontal="center" wrapText="1"/>
    </xf>
    <xf numFmtId="167" fontId="47" fillId="0" borderId="191" xfId="1" applyFont="1" applyBorder="1" applyAlignment="1">
      <alignment horizontal="center"/>
    </xf>
    <xf numFmtId="167" fontId="47" fillId="0" borderId="189" xfId="1" applyFont="1" applyBorder="1" applyAlignment="1">
      <alignment horizontal="center"/>
    </xf>
    <xf numFmtId="176" fontId="29" fillId="3" borderId="0" xfId="13" applyFont="1" applyFill="1" applyAlignment="1">
      <alignment horizontal="center"/>
    </xf>
    <xf numFmtId="176" fontId="41" fillId="3" borderId="0" xfId="13" applyFont="1" applyFill="1" applyAlignment="1">
      <alignment horizontal="center"/>
    </xf>
    <xf numFmtId="176" fontId="117" fillId="5" borderId="0" xfId="0" applyFont="1" applyFill="1" applyAlignment="1" applyProtection="1">
      <alignment horizontal="center" vertical="center" wrapText="1"/>
      <protection locked="0"/>
    </xf>
    <xf numFmtId="176" fontId="117" fillId="5" borderId="66" xfId="0" applyFont="1" applyFill="1" applyBorder="1" applyAlignment="1" applyProtection="1">
      <alignment vertical="center" wrapText="1"/>
      <protection locked="0"/>
    </xf>
    <xf numFmtId="176" fontId="117" fillId="5" borderId="0" xfId="0" applyFont="1" applyFill="1" applyAlignment="1" applyProtection="1">
      <alignment vertical="center" wrapText="1"/>
      <protection locked="0"/>
    </xf>
    <xf numFmtId="170" fontId="29" fillId="4" borderId="0" xfId="8" applyFont="1" applyFill="1" applyAlignment="1">
      <alignment horizontal="center"/>
    </xf>
    <xf numFmtId="170" fontId="31" fillId="4" borderId="25" xfId="8" applyFill="1" applyBorder="1" applyAlignment="1">
      <alignment horizontal="center"/>
    </xf>
    <xf numFmtId="170" fontId="31" fillId="4" borderId="29" xfId="8" applyFill="1" applyBorder="1" applyAlignment="1">
      <alignment horizontal="center"/>
    </xf>
    <xf numFmtId="170" fontId="41" fillId="4" borderId="0" xfId="8" applyFont="1" applyFill="1" applyAlignment="1">
      <alignment horizontal="center"/>
    </xf>
    <xf numFmtId="176" fontId="68" fillId="6" borderId="25" xfId="11" applyFont="1" applyFill="1" applyBorder="1" applyAlignment="1">
      <alignment horizontal="center"/>
    </xf>
    <xf numFmtId="176" fontId="68" fillId="6" borderId="0" xfId="11" applyFont="1" applyFill="1" applyAlignment="1">
      <alignment horizontal="center"/>
    </xf>
    <xf numFmtId="176" fontId="68" fillId="6" borderId="29" xfId="11" applyFont="1" applyFill="1" applyBorder="1" applyAlignment="1">
      <alignment horizontal="center"/>
    </xf>
    <xf numFmtId="176" fontId="64" fillId="6" borderId="0" xfId="11" applyFont="1" applyFill="1" applyAlignment="1">
      <alignment horizontal="center"/>
    </xf>
    <xf numFmtId="176" fontId="139" fillId="5" borderId="0" xfId="0" applyFont="1" applyFill="1" applyAlignment="1" applyProtection="1">
      <alignment horizontal="center" vertical="center" wrapText="1"/>
      <protection locked="0"/>
    </xf>
    <xf numFmtId="176" fontId="139" fillId="5" borderId="80" xfId="0" applyFont="1" applyFill="1" applyBorder="1" applyAlignment="1" applyProtection="1">
      <alignment vertical="center" wrapText="1"/>
      <protection locked="0"/>
    </xf>
    <xf numFmtId="176" fontId="139" fillId="5" borderId="0" xfId="0" applyFont="1" applyFill="1" applyAlignment="1" applyProtection="1">
      <alignment vertical="center" wrapText="1"/>
      <protection locked="0"/>
    </xf>
    <xf numFmtId="176" fontId="85" fillId="5" borderId="0" xfId="0" applyFont="1" applyFill="1" applyAlignment="1" applyProtection="1">
      <alignment horizontal="center" vertical="center" wrapText="1"/>
      <protection locked="0"/>
    </xf>
    <xf numFmtId="176" fontId="66" fillId="0" borderId="0" xfId="0" applyFont="1" applyAlignment="1">
      <alignment horizontal="center"/>
    </xf>
  </cellXfs>
  <cellStyles count="28986">
    <cellStyle name="1 indent" xfId="28386" xr:uid="{00000000-0005-0000-0000-000000000000}"/>
    <cellStyle name="2 indents" xfId="28387" xr:uid="{00000000-0005-0000-0000-000001000000}"/>
    <cellStyle name="20% - Accent1" xfId="33" builtinId="30" customBuiltin="1"/>
    <cellStyle name="20% - Accent1 10" xfId="2937" xr:uid="{00000000-0005-0000-0000-000003000000}"/>
    <cellStyle name="20% - Accent1 10 2" xfId="7619" xr:uid="{00000000-0005-0000-0000-000004000000}"/>
    <cellStyle name="20% - Accent1 10 2 2" xfId="16943" xr:uid="{00000000-0005-0000-0000-000005000000}"/>
    <cellStyle name="20% - Accent1 10 2 3" xfId="26266" xr:uid="{00000000-0005-0000-0000-000006000000}"/>
    <cellStyle name="20% - Accent1 10 3" xfId="12342" xr:uid="{00000000-0005-0000-0000-000007000000}"/>
    <cellStyle name="20% - Accent1 10 4" xfId="21668" xr:uid="{00000000-0005-0000-0000-000008000000}"/>
    <cellStyle name="20% - Accent1 11" xfId="4572" xr:uid="{00000000-0005-0000-0000-000009000000}"/>
    <cellStyle name="20% - Accent1 11 2" xfId="13896" xr:uid="{00000000-0005-0000-0000-00000A000000}"/>
    <cellStyle name="20% - Accent1 11 3" xfId="23219" xr:uid="{00000000-0005-0000-0000-00000B000000}"/>
    <cellStyle name="20% - Accent1 12" xfId="9238" xr:uid="{00000000-0005-0000-0000-00000C000000}"/>
    <cellStyle name="20% - Accent1 12 2" xfId="18562" xr:uid="{00000000-0005-0000-0000-00000D000000}"/>
    <cellStyle name="20% - Accent1 12 3" xfId="27885" xr:uid="{00000000-0005-0000-0000-00000E000000}"/>
    <cellStyle name="20% - Accent1 13" xfId="9732" xr:uid="{00000000-0005-0000-0000-00000F000000}"/>
    <cellStyle name="20% - Accent1 14" xfId="19056" xr:uid="{00000000-0005-0000-0000-000010000000}"/>
    <cellStyle name="20% - Accent1 15" xfId="28388" xr:uid="{00000000-0005-0000-0000-000011000000}"/>
    <cellStyle name="20% - Accent1 2" xfId="57" xr:uid="{00000000-0005-0000-0000-000012000000}"/>
    <cellStyle name="20% - Accent1 2 10" xfId="4597" xr:uid="{00000000-0005-0000-0000-000013000000}"/>
    <cellStyle name="20% - Accent1 2 10 2" xfId="13921" xr:uid="{00000000-0005-0000-0000-000014000000}"/>
    <cellStyle name="20% - Accent1 2 10 3" xfId="23244" xr:uid="{00000000-0005-0000-0000-000015000000}"/>
    <cellStyle name="20% - Accent1 2 11" xfId="9251" xr:uid="{00000000-0005-0000-0000-000016000000}"/>
    <cellStyle name="20% - Accent1 2 11 2" xfId="18575" xr:uid="{00000000-0005-0000-0000-000017000000}"/>
    <cellStyle name="20% - Accent1 2 11 3" xfId="27898" xr:uid="{00000000-0005-0000-0000-000018000000}"/>
    <cellStyle name="20% - Accent1 2 12" xfId="9745" xr:uid="{00000000-0005-0000-0000-000019000000}"/>
    <cellStyle name="20% - Accent1 2 13" xfId="19069" xr:uid="{00000000-0005-0000-0000-00001A000000}"/>
    <cellStyle name="20% - Accent1 2 14" xfId="28389" xr:uid="{00000000-0005-0000-0000-00001B000000}"/>
    <cellStyle name="20% - Accent1 2 2" xfId="195" xr:uid="{00000000-0005-0000-0000-00001C000000}"/>
    <cellStyle name="20% - Accent1 2 2 10" xfId="9817" xr:uid="{00000000-0005-0000-0000-00001D000000}"/>
    <cellStyle name="20% - Accent1 2 2 11" xfId="19141" xr:uid="{00000000-0005-0000-0000-00001E000000}"/>
    <cellStyle name="20% - Accent1 2 2 2" xfId="335" xr:uid="{00000000-0005-0000-0000-00001F000000}"/>
    <cellStyle name="20% - Accent1 2 2 2 10" xfId="19264" xr:uid="{00000000-0005-0000-0000-000020000000}"/>
    <cellStyle name="20% - Accent1 2 2 2 2" xfId="575" xr:uid="{00000000-0005-0000-0000-000021000000}"/>
    <cellStyle name="20% - Accent1 2 2 2 2 2" xfId="1063" xr:uid="{00000000-0005-0000-0000-000022000000}"/>
    <cellStyle name="20% - Accent1 2 2 2 2 2 2" xfId="6749" xr:uid="{00000000-0005-0000-0000-000023000000}"/>
    <cellStyle name="20% - Accent1 2 2 2 2 2 2 2" xfId="16073" xr:uid="{00000000-0005-0000-0000-000024000000}"/>
    <cellStyle name="20% - Accent1 2 2 2 2 2 2 3" xfId="25396" xr:uid="{00000000-0005-0000-0000-000025000000}"/>
    <cellStyle name="20% - Accent1 2 2 2 2 2 3" xfId="10664" xr:uid="{00000000-0005-0000-0000-000026000000}"/>
    <cellStyle name="20% - Accent1 2 2 2 2 2 4" xfId="19988" xr:uid="{00000000-0005-0000-0000-000027000000}"/>
    <cellStyle name="20% - Accent1 2 2 2 2 3" xfId="1355" xr:uid="{00000000-0005-0000-0000-000028000000}"/>
    <cellStyle name="20% - Accent1 2 2 2 2 3 2" xfId="5813" xr:uid="{00000000-0005-0000-0000-000029000000}"/>
    <cellStyle name="20% - Accent1 2 2 2 2 3 2 2" xfId="15137" xr:uid="{00000000-0005-0000-0000-00002A000000}"/>
    <cellStyle name="20% - Accent1 2 2 2 2 3 2 3" xfId="24460" xr:uid="{00000000-0005-0000-0000-00002B000000}"/>
    <cellStyle name="20% - Accent1 2 2 2 2 3 3" xfId="10923" xr:uid="{00000000-0005-0000-0000-00002C000000}"/>
    <cellStyle name="20% - Accent1 2 2 2 2 3 4" xfId="20247" xr:uid="{00000000-0005-0000-0000-00002D000000}"/>
    <cellStyle name="20% - Accent1 2 2 2 2 4" xfId="3142" xr:uid="{00000000-0005-0000-0000-00002E000000}"/>
    <cellStyle name="20% - Accent1 2 2 2 2 4 2" xfId="7821" xr:uid="{00000000-0005-0000-0000-00002F000000}"/>
    <cellStyle name="20% - Accent1 2 2 2 2 4 2 2" xfId="17145" xr:uid="{00000000-0005-0000-0000-000030000000}"/>
    <cellStyle name="20% - Accent1 2 2 2 2 4 2 3" xfId="26468" xr:uid="{00000000-0005-0000-0000-000031000000}"/>
    <cellStyle name="20% - Accent1 2 2 2 2 4 3" xfId="12528" xr:uid="{00000000-0005-0000-0000-000032000000}"/>
    <cellStyle name="20% - Accent1 2 2 2 2 4 4" xfId="21854" xr:uid="{00000000-0005-0000-0000-000033000000}"/>
    <cellStyle name="20% - Accent1 2 2 2 2 5" xfId="4808" xr:uid="{00000000-0005-0000-0000-000034000000}"/>
    <cellStyle name="20% - Accent1 2 2 2 2 5 2" xfId="14132" xr:uid="{00000000-0005-0000-0000-000035000000}"/>
    <cellStyle name="20% - Accent1 2 2 2 2 5 3" xfId="23455" xr:uid="{00000000-0005-0000-0000-000036000000}"/>
    <cellStyle name="20% - Accent1 2 2 2 2 6" xfId="7076" xr:uid="{00000000-0005-0000-0000-000037000000}"/>
    <cellStyle name="20% - Accent1 2 2 2 2 6 2" xfId="16400" xr:uid="{00000000-0005-0000-0000-000038000000}"/>
    <cellStyle name="20% - Accent1 2 2 2 2 6 3" xfId="25723" xr:uid="{00000000-0005-0000-0000-000039000000}"/>
    <cellStyle name="20% - Accent1 2 2 2 2 7" xfId="9686" xr:uid="{00000000-0005-0000-0000-00003A000000}"/>
    <cellStyle name="20% - Accent1 2 2 2 2 7 2" xfId="19010" xr:uid="{00000000-0005-0000-0000-00003B000000}"/>
    <cellStyle name="20% - Accent1 2 2 2 2 7 3" xfId="28333" xr:uid="{00000000-0005-0000-0000-00003C000000}"/>
    <cellStyle name="20% - Accent1 2 2 2 2 8" xfId="10180" xr:uid="{00000000-0005-0000-0000-00003D000000}"/>
    <cellStyle name="20% - Accent1 2 2 2 2 9" xfId="19504" xr:uid="{00000000-0005-0000-0000-00003E000000}"/>
    <cellStyle name="20% - Accent1 2 2 2 3" xfId="823" xr:uid="{00000000-0005-0000-0000-00003F000000}"/>
    <cellStyle name="20% - Accent1 2 2 2 3 2" xfId="4560" xr:uid="{00000000-0005-0000-0000-000040000000}"/>
    <cellStyle name="20% - Accent1 2 2 2 3 2 2" xfId="13884" xr:uid="{00000000-0005-0000-0000-000041000000}"/>
    <cellStyle name="20% - Accent1 2 2 2 3 2 3" xfId="23207" xr:uid="{00000000-0005-0000-0000-000042000000}"/>
    <cellStyle name="20% - Accent1 2 2 2 3 3" xfId="10424" xr:uid="{00000000-0005-0000-0000-000043000000}"/>
    <cellStyle name="20% - Accent1 2 2 2 3 4" xfId="19748" xr:uid="{00000000-0005-0000-0000-000044000000}"/>
    <cellStyle name="20% - Accent1 2 2 2 4" xfId="1354" xr:uid="{00000000-0005-0000-0000-000045000000}"/>
    <cellStyle name="20% - Accent1 2 2 2 4 2" xfId="6655" xr:uid="{00000000-0005-0000-0000-000046000000}"/>
    <cellStyle name="20% - Accent1 2 2 2 4 2 2" xfId="15979" xr:uid="{00000000-0005-0000-0000-000047000000}"/>
    <cellStyle name="20% - Accent1 2 2 2 4 2 3" xfId="25302" xr:uid="{00000000-0005-0000-0000-000048000000}"/>
    <cellStyle name="20% - Accent1 2 2 2 4 3" xfId="10922" xr:uid="{00000000-0005-0000-0000-000049000000}"/>
    <cellStyle name="20% - Accent1 2 2 2 4 4" xfId="20246" xr:uid="{00000000-0005-0000-0000-00004A000000}"/>
    <cellStyle name="20% - Accent1 2 2 2 5" xfId="3141" xr:uid="{00000000-0005-0000-0000-00004B000000}"/>
    <cellStyle name="20% - Accent1 2 2 2 5 2" xfId="7820" xr:uid="{00000000-0005-0000-0000-00004C000000}"/>
    <cellStyle name="20% - Accent1 2 2 2 5 2 2" xfId="17144" xr:uid="{00000000-0005-0000-0000-00004D000000}"/>
    <cellStyle name="20% - Accent1 2 2 2 5 2 3" xfId="26467" xr:uid="{00000000-0005-0000-0000-00004E000000}"/>
    <cellStyle name="20% - Accent1 2 2 2 5 3" xfId="12527" xr:uid="{00000000-0005-0000-0000-00004F000000}"/>
    <cellStyle name="20% - Accent1 2 2 2 5 4" xfId="21853" xr:uid="{00000000-0005-0000-0000-000050000000}"/>
    <cellStyle name="20% - Accent1 2 2 2 6" xfId="4807" xr:uid="{00000000-0005-0000-0000-000051000000}"/>
    <cellStyle name="20% - Accent1 2 2 2 6 2" xfId="14131" xr:uid="{00000000-0005-0000-0000-000052000000}"/>
    <cellStyle name="20% - Accent1 2 2 2 6 3" xfId="23454" xr:uid="{00000000-0005-0000-0000-000053000000}"/>
    <cellStyle name="20% - Accent1 2 2 2 7" xfId="7210" xr:uid="{00000000-0005-0000-0000-000054000000}"/>
    <cellStyle name="20% - Accent1 2 2 2 7 2" xfId="16534" xr:uid="{00000000-0005-0000-0000-000055000000}"/>
    <cellStyle name="20% - Accent1 2 2 2 7 3" xfId="25857" xr:uid="{00000000-0005-0000-0000-000056000000}"/>
    <cellStyle name="20% - Accent1 2 2 2 8" xfId="9446" xr:uid="{00000000-0005-0000-0000-000057000000}"/>
    <cellStyle name="20% - Accent1 2 2 2 8 2" xfId="18770" xr:uid="{00000000-0005-0000-0000-000058000000}"/>
    <cellStyle name="20% - Accent1 2 2 2 8 3" xfId="28093" xr:uid="{00000000-0005-0000-0000-000059000000}"/>
    <cellStyle name="20% - Accent1 2 2 2 9" xfId="9940" xr:uid="{00000000-0005-0000-0000-00005A000000}"/>
    <cellStyle name="20% - Accent1 2 2 3" xfId="453" xr:uid="{00000000-0005-0000-0000-00005B000000}"/>
    <cellStyle name="20% - Accent1 2 2 3 2" xfId="941" xr:uid="{00000000-0005-0000-0000-00005C000000}"/>
    <cellStyle name="20% - Accent1 2 2 3 2 2" xfId="5475" xr:uid="{00000000-0005-0000-0000-00005D000000}"/>
    <cellStyle name="20% - Accent1 2 2 3 2 2 2" xfId="14799" xr:uid="{00000000-0005-0000-0000-00005E000000}"/>
    <cellStyle name="20% - Accent1 2 2 3 2 2 3" xfId="24122" xr:uid="{00000000-0005-0000-0000-00005F000000}"/>
    <cellStyle name="20% - Accent1 2 2 3 2 3" xfId="10542" xr:uid="{00000000-0005-0000-0000-000060000000}"/>
    <cellStyle name="20% - Accent1 2 2 3 2 4" xfId="19866" xr:uid="{00000000-0005-0000-0000-000061000000}"/>
    <cellStyle name="20% - Accent1 2 2 3 3" xfId="1356" xr:uid="{00000000-0005-0000-0000-000062000000}"/>
    <cellStyle name="20% - Accent1 2 2 3 3 2" xfId="4801" xr:uid="{00000000-0005-0000-0000-000063000000}"/>
    <cellStyle name="20% - Accent1 2 2 3 3 2 2" xfId="14125" xr:uid="{00000000-0005-0000-0000-000064000000}"/>
    <cellStyle name="20% - Accent1 2 2 3 3 2 3" xfId="23448" xr:uid="{00000000-0005-0000-0000-000065000000}"/>
    <cellStyle name="20% - Accent1 2 2 3 3 3" xfId="10924" xr:uid="{00000000-0005-0000-0000-000066000000}"/>
    <cellStyle name="20% - Accent1 2 2 3 3 4" xfId="20248" xr:uid="{00000000-0005-0000-0000-000067000000}"/>
    <cellStyle name="20% - Accent1 2 2 3 4" xfId="3143" xr:uid="{00000000-0005-0000-0000-000068000000}"/>
    <cellStyle name="20% - Accent1 2 2 3 4 2" xfId="7822" xr:uid="{00000000-0005-0000-0000-000069000000}"/>
    <cellStyle name="20% - Accent1 2 2 3 4 2 2" xfId="17146" xr:uid="{00000000-0005-0000-0000-00006A000000}"/>
    <cellStyle name="20% - Accent1 2 2 3 4 2 3" xfId="26469" xr:uid="{00000000-0005-0000-0000-00006B000000}"/>
    <cellStyle name="20% - Accent1 2 2 3 4 3" xfId="12529" xr:uid="{00000000-0005-0000-0000-00006C000000}"/>
    <cellStyle name="20% - Accent1 2 2 3 4 4" xfId="21855" xr:uid="{00000000-0005-0000-0000-00006D000000}"/>
    <cellStyle name="20% - Accent1 2 2 3 5" xfId="4809" xr:uid="{00000000-0005-0000-0000-00006E000000}"/>
    <cellStyle name="20% - Accent1 2 2 3 5 2" xfId="14133" xr:uid="{00000000-0005-0000-0000-00006F000000}"/>
    <cellStyle name="20% - Accent1 2 2 3 5 3" xfId="23456" xr:uid="{00000000-0005-0000-0000-000070000000}"/>
    <cellStyle name="20% - Accent1 2 2 3 6" xfId="7144" xr:uid="{00000000-0005-0000-0000-000071000000}"/>
    <cellStyle name="20% - Accent1 2 2 3 6 2" xfId="16468" xr:uid="{00000000-0005-0000-0000-000072000000}"/>
    <cellStyle name="20% - Accent1 2 2 3 6 3" xfId="25791" xr:uid="{00000000-0005-0000-0000-000073000000}"/>
    <cellStyle name="20% - Accent1 2 2 3 7" xfId="9564" xr:uid="{00000000-0005-0000-0000-000074000000}"/>
    <cellStyle name="20% - Accent1 2 2 3 7 2" xfId="18888" xr:uid="{00000000-0005-0000-0000-000075000000}"/>
    <cellStyle name="20% - Accent1 2 2 3 7 3" xfId="28211" xr:uid="{00000000-0005-0000-0000-000076000000}"/>
    <cellStyle name="20% - Accent1 2 2 3 8" xfId="10058" xr:uid="{00000000-0005-0000-0000-000077000000}"/>
    <cellStyle name="20% - Accent1 2 2 3 9" xfId="19382" xr:uid="{00000000-0005-0000-0000-000078000000}"/>
    <cellStyle name="20% - Accent1 2 2 4" xfId="701" xr:uid="{00000000-0005-0000-0000-000079000000}"/>
    <cellStyle name="20% - Accent1 2 2 4 2" xfId="7012" xr:uid="{00000000-0005-0000-0000-00007A000000}"/>
    <cellStyle name="20% - Accent1 2 2 4 2 2" xfId="16336" xr:uid="{00000000-0005-0000-0000-00007B000000}"/>
    <cellStyle name="20% - Accent1 2 2 4 2 3" xfId="25659" xr:uid="{00000000-0005-0000-0000-00007C000000}"/>
    <cellStyle name="20% - Accent1 2 2 4 3" xfId="10302" xr:uid="{00000000-0005-0000-0000-00007D000000}"/>
    <cellStyle name="20% - Accent1 2 2 4 4" xfId="19626" xr:uid="{00000000-0005-0000-0000-00007E000000}"/>
    <cellStyle name="20% - Accent1 2 2 5" xfId="1353" xr:uid="{00000000-0005-0000-0000-00007F000000}"/>
    <cellStyle name="20% - Accent1 2 2 5 2" xfId="6656" xr:uid="{00000000-0005-0000-0000-000080000000}"/>
    <cellStyle name="20% - Accent1 2 2 5 2 2" xfId="15980" xr:uid="{00000000-0005-0000-0000-000081000000}"/>
    <cellStyle name="20% - Accent1 2 2 5 2 3" xfId="25303" xr:uid="{00000000-0005-0000-0000-000082000000}"/>
    <cellStyle name="20% - Accent1 2 2 5 3" xfId="10921" xr:uid="{00000000-0005-0000-0000-000083000000}"/>
    <cellStyle name="20% - Accent1 2 2 5 4" xfId="20245" xr:uid="{00000000-0005-0000-0000-000084000000}"/>
    <cellStyle name="20% - Accent1 2 2 6" xfId="3140" xr:uid="{00000000-0005-0000-0000-000085000000}"/>
    <cellStyle name="20% - Accent1 2 2 6 2" xfId="7819" xr:uid="{00000000-0005-0000-0000-000086000000}"/>
    <cellStyle name="20% - Accent1 2 2 6 2 2" xfId="17143" xr:uid="{00000000-0005-0000-0000-000087000000}"/>
    <cellStyle name="20% - Accent1 2 2 6 2 3" xfId="26466" xr:uid="{00000000-0005-0000-0000-000088000000}"/>
    <cellStyle name="20% - Accent1 2 2 6 3" xfId="12526" xr:uid="{00000000-0005-0000-0000-000089000000}"/>
    <cellStyle name="20% - Accent1 2 2 6 4" xfId="21852" xr:uid="{00000000-0005-0000-0000-00008A000000}"/>
    <cellStyle name="20% - Accent1 2 2 7" xfId="4806" xr:uid="{00000000-0005-0000-0000-00008B000000}"/>
    <cellStyle name="20% - Accent1 2 2 7 2" xfId="14130" xr:uid="{00000000-0005-0000-0000-00008C000000}"/>
    <cellStyle name="20% - Accent1 2 2 7 3" xfId="23453" xr:uid="{00000000-0005-0000-0000-00008D000000}"/>
    <cellStyle name="20% - Accent1 2 2 8" xfId="7278" xr:uid="{00000000-0005-0000-0000-00008E000000}"/>
    <cellStyle name="20% - Accent1 2 2 8 2" xfId="16602" xr:uid="{00000000-0005-0000-0000-00008F000000}"/>
    <cellStyle name="20% - Accent1 2 2 8 3" xfId="25925" xr:uid="{00000000-0005-0000-0000-000090000000}"/>
    <cellStyle name="20% - Accent1 2 2 9" xfId="9323" xr:uid="{00000000-0005-0000-0000-000091000000}"/>
    <cellStyle name="20% - Accent1 2 2 9 2" xfId="18647" xr:uid="{00000000-0005-0000-0000-000092000000}"/>
    <cellStyle name="20% - Accent1 2 2 9 3" xfId="27970" xr:uid="{00000000-0005-0000-0000-000093000000}"/>
    <cellStyle name="20% - Accent1 2 3" xfId="260" xr:uid="{00000000-0005-0000-0000-000094000000}"/>
    <cellStyle name="20% - Accent1 2 3 2" xfId="514" xr:uid="{00000000-0005-0000-0000-000095000000}"/>
    <cellStyle name="20% - Accent1 2 3 2 2" xfId="1002" xr:uid="{00000000-0005-0000-0000-000096000000}"/>
    <cellStyle name="20% - Accent1 2 3 2 2 2" xfId="6796" xr:uid="{00000000-0005-0000-0000-000097000000}"/>
    <cellStyle name="20% - Accent1 2 3 2 2 2 2" xfId="16120" xr:uid="{00000000-0005-0000-0000-000098000000}"/>
    <cellStyle name="20% - Accent1 2 3 2 2 2 3" xfId="25443" xr:uid="{00000000-0005-0000-0000-000099000000}"/>
    <cellStyle name="20% - Accent1 2 3 2 2 3" xfId="10603" xr:uid="{00000000-0005-0000-0000-00009A000000}"/>
    <cellStyle name="20% - Accent1 2 3 2 2 4" xfId="19927" xr:uid="{00000000-0005-0000-0000-00009B000000}"/>
    <cellStyle name="20% - Accent1 2 3 2 3" xfId="1358" xr:uid="{00000000-0005-0000-0000-00009C000000}"/>
    <cellStyle name="20% - Accent1 2 3 2 3 2" xfId="6654" xr:uid="{00000000-0005-0000-0000-00009D000000}"/>
    <cellStyle name="20% - Accent1 2 3 2 3 2 2" xfId="15978" xr:uid="{00000000-0005-0000-0000-00009E000000}"/>
    <cellStyle name="20% - Accent1 2 3 2 3 2 3" xfId="25301" xr:uid="{00000000-0005-0000-0000-00009F000000}"/>
    <cellStyle name="20% - Accent1 2 3 2 3 3" xfId="10926" xr:uid="{00000000-0005-0000-0000-0000A0000000}"/>
    <cellStyle name="20% - Accent1 2 3 2 3 4" xfId="20250" xr:uid="{00000000-0005-0000-0000-0000A1000000}"/>
    <cellStyle name="20% - Accent1 2 3 2 4" xfId="3145" xr:uid="{00000000-0005-0000-0000-0000A2000000}"/>
    <cellStyle name="20% - Accent1 2 3 2 4 2" xfId="7824" xr:uid="{00000000-0005-0000-0000-0000A3000000}"/>
    <cellStyle name="20% - Accent1 2 3 2 4 2 2" xfId="17148" xr:uid="{00000000-0005-0000-0000-0000A4000000}"/>
    <cellStyle name="20% - Accent1 2 3 2 4 2 3" xfId="26471" xr:uid="{00000000-0005-0000-0000-0000A5000000}"/>
    <cellStyle name="20% - Accent1 2 3 2 4 3" xfId="12531" xr:uid="{00000000-0005-0000-0000-0000A6000000}"/>
    <cellStyle name="20% - Accent1 2 3 2 4 4" xfId="21857" xr:uid="{00000000-0005-0000-0000-0000A7000000}"/>
    <cellStyle name="20% - Accent1 2 3 2 5" xfId="4811" xr:uid="{00000000-0005-0000-0000-0000A8000000}"/>
    <cellStyle name="20% - Accent1 2 3 2 5 2" xfId="14135" xr:uid="{00000000-0005-0000-0000-0000A9000000}"/>
    <cellStyle name="20% - Accent1 2 3 2 5 3" xfId="23458" xr:uid="{00000000-0005-0000-0000-0000AA000000}"/>
    <cellStyle name="20% - Accent1 2 3 2 6" xfId="9625" xr:uid="{00000000-0005-0000-0000-0000AB000000}"/>
    <cellStyle name="20% - Accent1 2 3 2 6 2" xfId="18949" xr:uid="{00000000-0005-0000-0000-0000AC000000}"/>
    <cellStyle name="20% - Accent1 2 3 2 6 3" xfId="28272" xr:uid="{00000000-0005-0000-0000-0000AD000000}"/>
    <cellStyle name="20% - Accent1 2 3 2 7" xfId="10119" xr:uid="{00000000-0005-0000-0000-0000AE000000}"/>
    <cellStyle name="20% - Accent1 2 3 2 8" xfId="19443" xr:uid="{00000000-0005-0000-0000-0000AF000000}"/>
    <cellStyle name="20% - Accent1 2 3 3" xfId="762" xr:uid="{00000000-0005-0000-0000-0000B0000000}"/>
    <cellStyle name="20% - Accent1 2 3 3 2" xfId="6969" xr:uid="{00000000-0005-0000-0000-0000B1000000}"/>
    <cellStyle name="20% - Accent1 2 3 3 2 2" xfId="16293" xr:uid="{00000000-0005-0000-0000-0000B2000000}"/>
    <cellStyle name="20% - Accent1 2 3 3 2 3" xfId="25616" xr:uid="{00000000-0005-0000-0000-0000B3000000}"/>
    <cellStyle name="20% - Accent1 2 3 3 3" xfId="10363" xr:uid="{00000000-0005-0000-0000-0000B4000000}"/>
    <cellStyle name="20% - Accent1 2 3 3 4" xfId="19687" xr:uid="{00000000-0005-0000-0000-0000B5000000}"/>
    <cellStyle name="20% - Accent1 2 3 4" xfId="1357" xr:uid="{00000000-0005-0000-0000-0000B6000000}"/>
    <cellStyle name="20% - Accent1 2 3 4 2" xfId="6650" xr:uid="{00000000-0005-0000-0000-0000B7000000}"/>
    <cellStyle name="20% - Accent1 2 3 4 2 2" xfId="15974" xr:uid="{00000000-0005-0000-0000-0000B8000000}"/>
    <cellStyle name="20% - Accent1 2 3 4 2 3" xfId="25297" xr:uid="{00000000-0005-0000-0000-0000B9000000}"/>
    <cellStyle name="20% - Accent1 2 3 4 3" xfId="10925" xr:uid="{00000000-0005-0000-0000-0000BA000000}"/>
    <cellStyle name="20% - Accent1 2 3 4 4" xfId="20249" xr:uid="{00000000-0005-0000-0000-0000BB000000}"/>
    <cellStyle name="20% - Accent1 2 3 5" xfId="3144" xr:uid="{00000000-0005-0000-0000-0000BC000000}"/>
    <cellStyle name="20% - Accent1 2 3 5 2" xfId="7823" xr:uid="{00000000-0005-0000-0000-0000BD000000}"/>
    <cellStyle name="20% - Accent1 2 3 5 2 2" xfId="17147" xr:uid="{00000000-0005-0000-0000-0000BE000000}"/>
    <cellStyle name="20% - Accent1 2 3 5 2 3" xfId="26470" xr:uid="{00000000-0005-0000-0000-0000BF000000}"/>
    <cellStyle name="20% - Accent1 2 3 5 3" xfId="12530" xr:uid="{00000000-0005-0000-0000-0000C0000000}"/>
    <cellStyle name="20% - Accent1 2 3 5 4" xfId="21856" xr:uid="{00000000-0005-0000-0000-0000C1000000}"/>
    <cellStyle name="20% - Accent1 2 3 6" xfId="4810" xr:uid="{00000000-0005-0000-0000-0000C2000000}"/>
    <cellStyle name="20% - Accent1 2 3 6 2" xfId="14134" xr:uid="{00000000-0005-0000-0000-0000C3000000}"/>
    <cellStyle name="20% - Accent1 2 3 6 3" xfId="23457" xr:uid="{00000000-0005-0000-0000-0000C4000000}"/>
    <cellStyle name="20% - Accent1 2 3 7" xfId="9384" xr:uid="{00000000-0005-0000-0000-0000C5000000}"/>
    <cellStyle name="20% - Accent1 2 3 7 2" xfId="18708" xr:uid="{00000000-0005-0000-0000-0000C6000000}"/>
    <cellStyle name="20% - Accent1 2 3 7 3" xfId="28031" xr:uid="{00000000-0005-0000-0000-0000C7000000}"/>
    <cellStyle name="20% - Accent1 2 3 8" xfId="9878" xr:uid="{00000000-0005-0000-0000-0000C8000000}"/>
    <cellStyle name="20% - Accent1 2 3 9" xfId="19202" xr:uid="{00000000-0005-0000-0000-0000C9000000}"/>
    <cellStyle name="20% - Accent1 2 4" xfId="394" xr:uid="{00000000-0005-0000-0000-0000CA000000}"/>
    <cellStyle name="20% - Accent1 2 4 2" xfId="882" xr:uid="{00000000-0005-0000-0000-0000CB000000}"/>
    <cellStyle name="20% - Accent1 2 4 2 2" xfId="6882" xr:uid="{00000000-0005-0000-0000-0000CC000000}"/>
    <cellStyle name="20% - Accent1 2 4 2 2 2" xfId="16206" xr:uid="{00000000-0005-0000-0000-0000CD000000}"/>
    <cellStyle name="20% - Accent1 2 4 2 2 3" xfId="25529" xr:uid="{00000000-0005-0000-0000-0000CE000000}"/>
    <cellStyle name="20% - Accent1 2 4 2 3" xfId="10483" xr:uid="{00000000-0005-0000-0000-0000CF000000}"/>
    <cellStyle name="20% - Accent1 2 4 2 4" xfId="19807" xr:uid="{00000000-0005-0000-0000-0000D0000000}"/>
    <cellStyle name="20% - Accent1 2 4 3" xfId="1359" xr:uid="{00000000-0005-0000-0000-0000D1000000}"/>
    <cellStyle name="20% - Accent1 2 4 3 2" xfId="6653" xr:uid="{00000000-0005-0000-0000-0000D2000000}"/>
    <cellStyle name="20% - Accent1 2 4 3 2 2" xfId="15977" xr:uid="{00000000-0005-0000-0000-0000D3000000}"/>
    <cellStyle name="20% - Accent1 2 4 3 2 3" xfId="25300" xr:uid="{00000000-0005-0000-0000-0000D4000000}"/>
    <cellStyle name="20% - Accent1 2 4 3 3" xfId="10927" xr:uid="{00000000-0005-0000-0000-0000D5000000}"/>
    <cellStyle name="20% - Accent1 2 4 3 4" xfId="20251" xr:uid="{00000000-0005-0000-0000-0000D6000000}"/>
    <cellStyle name="20% - Accent1 2 4 4" xfId="3146" xr:uid="{00000000-0005-0000-0000-0000D7000000}"/>
    <cellStyle name="20% - Accent1 2 4 4 2" xfId="7825" xr:uid="{00000000-0005-0000-0000-0000D8000000}"/>
    <cellStyle name="20% - Accent1 2 4 4 2 2" xfId="17149" xr:uid="{00000000-0005-0000-0000-0000D9000000}"/>
    <cellStyle name="20% - Accent1 2 4 4 2 3" xfId="26472" xr:uid="{00000000-0005-0000-0000-0000DA000000}"/>
    <cellStyle name="20% - Accent1 2 4 4 3" xfId="12532" xr:uid="{00000000-0005-0000-0000-0000DB000000}"/>
    <cellStyle name="20% - Accent1 2 4 4 4" xfId="21858" xr:uid="{00000000-0005-0000-0000-0000DC000000}"/>
    <cellStyle name="20% - Accent1 2 4 5" xfId="4812" xr:uid="{00000000-0005-0000-0000-0000DD000000}"/>
    <cellStyle name="20% - Accent1 2 4 5 2" xfId="14136" xr:uid="{00000000-0005-0000-0000-0000DE000000}"/>
    <cellStyle name="20% - Accent1 2 4 5 3" xfId="23459" xr:uid="{00000000-0005-0000-0000-0000DF000000}"/>
    <cellStyle name="20% - Accent1 2 4 6" xfId="6307" xr:uid="{00000000-0005-0000-0000-0000E0000000}"/>
    <cellStyle name="20% - Accent1 2 4 6 2" xfId="15631" xr:uid="{00000000-0005-0000-0000-0000E1000000}"/>
    <cellStyle name="20% - Accent1 2 4 6 3" xfId="24954" xr:uid="{00000000-0005-0000-0000-0000E2000000}"/>
    <cellStyle name="20% - Accent1 2 4 7" xfId="9505" xr:uid="{00000000-0005-0000-0000-0000E3000000}"/>
    <cellStyle name="20% - Accent1 2 4 7 2" xfId="18829" xr:uid="{00000000-0005-0000-0000-0000E4000000}"/>
    <cellStyle name="20% - Accent1 2 4 7 3" xfId="28152" xr:uid="{00000000-0005-0000-0000-0000E5000000}"/>
    <cellStyle name="20% - Accent1 2 4 8" xfId="9999" xr:uid="{00000000-0005-0000-0000-0000E6000000}"/>
    <cellStyle name="20% - Accent1 2 4 9" xfId="19323" xr:uid="{00000000-0005-0000-0000-0000E7000000}"/>
    <cellStyle name="20% - Accent1 2 5" xfId="642" xr:uid="{00000000-0005-0000-0000-0000E8000000}"/>
    <cellStyle name="20% - Accent1 2 5 2" xfId="1360" xr:uid="{00000000-0005-0000-0000-0000E9000000}"/>
    <cellStyle name="20% - Accent1 2 5 2 2" xfId="6652" xr:uid="{00000000-0005-0000-0000-0000EA000000}"/>
    <cellStyle name="20% - Accent1 2 5 2 2 2" xfId="15976" xr:uid="{00000000-0005-0000-0000-0000EB000000}"/>
    <cellStyle name="20% - Accent1 2 5 2 2 3" xfId="25299" xr:uid="{00000000-0005-0000-0000-0000EC000000}"/>
    <cellStyle name="20% - Accent1 2 5 2 3" xfId="10928" xr:uid="{00000000-0005-0000-0000-0000ED000000}"/>
    <cellStyle name="20% - Accent1 2 5 2 4" xfId="20252" xr:uid="{00000000-0005-0000-0000-0000EE000000}"/>
    <cellStyle name="20% - Accent1 2 5 3" xfId="3147" xr:uid="{00000000-0005-0000-0000-0000EF000000}"/>
    <cellStyle name="20% - Accent1 2 5 3 2" xfId="7826" xr:uid="{00000000-0005-0000-0000-0000F0000000}"/>
    <cellStyle name="20% - Accent1 2 5 3 2 2" xfId="17150" xr:uid="{00000000-0005-0000-0000-0000F1000000}"/>
    <cellStyle name="20% - Accent1 2 5 3 2 3" xfId="26473" xr:uid="{00000000-0005-0000-0000-0000F2000000}"/>
    <cellStyle name="20% - Accent1 2 5 3 3" xfId="12533" xr:uid="{00000000-0005-0000-0000-0000F3000000}"/>
    <cellStyle name="20% - Accent1 2 5 3 4" xfId="21859" xr:uid="{00000000-0005-0000-0000-0000F4000000}"/>
    <cellStyle name="20% - Accent1 2 5 4" xfId="4813" xr:uid="{00000000-0005-0000-0000-0000F5000000}"/>
    <cellStyle name="20% - Accent1 2 5 4 2" xfId="14137" xr:uid="{00000000-0005-0000-0000-0000F6000000}"/>
    <cellStyle name="20% - Accent1 2 5 4 3" xfId="23460" xr:uid="{00000000-0005-0000-0000-0000F7000000}"/>
    <cellStyle name="20% - Accent1 2 5 5" xfId="10243" xr:uid="{00000000-0005-0000-0000-0000F8000000}"/>
    <cellStyle name="20% - Accent1 2 5 6" xfId="19567" xr:uid="{00000000-0005-0000-0000-0000F9000000}"/>
    <cellStyle name="20% - Accent1 2 6" xfId="1361" xr:uid="{00000000-0005-0000-0000-0000FA000000}"/>
    <cellStyle name="20% - Accent1 2 6 2" xfId="3148" xr:uid="{00000000-0005-0000-0000-0000FB000000}"/>
    <cellStyle name="20% - Accent1 2 6 2 2" xfId="7827" xr:uid="{00000000-0005-0000-0000-0000FC000000}"/>
    <cellStyle name="20% - Accent1 2 6 2 2 2" xfId="17151" xr:uid="{00000000-0005-0000-0000-0000FD000000}"/>
    <cellStyle name="20% - Accent1 2 6 2 2 3" xfId="26474" xr:uid="{00000000-0005-0000-0000-0000FE000000}"/>
    <cellStyle name="20% - Accent1 2 6 2 3" xfId="12534" xr:uid="{00000000-0005-0000-0000-0000FF000000}"/>
    <cellStyle name="20% - Accent1 2 6 2 4" xfId="21860" xr:uid="{00000000-0005-0000-0000-000000010000}"/>
    <cellStyle name="20% - Accent1 2 6 3" xfId="4814" xr:uid="{00000000-0005-0000-0000-000001010000}"/>
    <cellStyle name="20% - Accent1 2 6 3 2" xfId="14138" xr:uid="{00000000-0005-0000-0000-000002010000}"/>
    <cellStyle name="20% - Accent1 2 6 3 3" xfId="23461" xr:uid="{00000000-0005-0000-0000-000003010000}"/>
    <cellStyle name="20% - Accent1 2 6 4" xfId="10929" xr:uid="{00000000-0005-0000-0000-000004010000}"/>
    <cellStyle name="20% - Accent1 2 6 5" xfId="20253" xr:uid="{00000000-0005-0000-0000-000005010000}"/>
    <cellStyle name="20% - Accent1 2 7" xfId="1352" xr:uid="{00000000-0005-0000-0000-000006010000}"/>
    <cellStyle name="20% - Accent1 2 7 2" xfId="3139" xr:uid="{00000000-0005-0000-0000-000007010000}"/>
    <cellStyle name="20% - Accent1 2 7 2 2" xfId="7818" xr:uid="{00000000-0005-0000-0000-000008010000}"/>
    <cellStyle name="20% - Accent1 2 7 2 2 2" xfId="17142" xr:uid="{00000000-0005-0000-0000-000009010000}"/>
    <cellStyle name="20% - Accent1 2 7 2 2 3" xfId="26465" xr:uid="{00000000-0005-0000-0000-00000A010000}"/>
    <cellStyle name="20% - Accent1 2 7 2 3" xfId="12525" xr:uid="{00000000-0005-0000-0000-00000B010000}"/>
    <cellStyle name="20% - Accent1 2 7 2 4" xfId="21851" xr:uid="{00000000-0005-0000-0000-00000C010000}"/>
    <cellStyle name="20% - Accent1 2 7 3" xfId="4805" xr:uid="{00000000-0005-0000-0000-00000D010000}"/>
    <cellStyle name="20% - Accent1 2 7 3 2" xfId="14129" xr:uid="{00000000-0005-0000-0000-00000E010000}"/>
    <cellStyle name="20% - Accent1 2 7 3 3" xfId="23452" xr:uid="{00000000-0005-0000-0000-00000F010000}"/>
    <cellStyle name="20% - Accent1 2 7 4" xfId="10920" xr:uid="{00000000-0005-0000-0000-000010010000}"/>
    <cellStyle name="20% - Accent1 2 7 5" xfId="20244" xr:uid="{00000000-0005-0000-0000-000011010000}"/>
    <cellStyle name="20% - Accent1 2 8" xfId="1137" xr:uid="{00000000-0005-0000-0000-000012010000}"/>
    <cellStyle name="20% - Accent1 2 8 2" xfId="6696" xr:uid="{00000000-0005-0000-0000-000013010000}"/>
    <cellStyle name="20% - Accent1 2 8 2 2" xfId="16020" xr:uid="{00000000-0005-0000-0000-000014010000}"/>
    <cellStyle name="20% - Accent1 2 8 2 3" xfId="25343" xr:uid="{00000000-0005-0000-0000-000015010000}"/>
    <cellStyle name="20% - Accent1 2 8 3" xfId="10736" xr:uid="{00000000-0005-0000-0000-000016010000}"/>
    <cellStyle name="20% - Accent1 2 8 4" xfId="20060" xr:uid="{00000000-0005-0000-0000-000017010000}"/>
    <cellStyle name="20% - Accent1 2 9" xfId="2955" xr:uid="{00000000-0005-0000-0000-000018010000}"/>
    <cellStyle name="20% - Accent1 2 9 2" xfId="7634" xr:uid="{00000000-0005-0000-0000-000019010000}"/>
    <cellStyle name="20% - Accent1 2 9 2 2" xfId="16958" xr:uid="{00000000-0005-0000-0000-00001A010000}"/>
    <cellStyle name="20% - Accent1 2 9 2 3" xfId="26281" xr:uid="{00000000-0005-0000-0000-00001B010000}"/>
    <cellStyle name="20% - Accent1 2 9 3" xfId="12356" xr:uid="{00000000-0005-0000-0000-00001C010000}"/>
    <cellStyle name="20% - Accent1 2 9 4" xfId="21682" xr:uid="{00000000-0005-0000-0000-00001D010000}"/>
    <cellStyle name="20% - Accent1 3" xfId="58" xr:uid="{00000000-0005-0000-0000-00001E010000}"/>
    <cellStyle name="20% - Accent1 3 10" xfId="9252" xr:uid="{00000000-0005-0000-0000-00001F010000}"/>
    <cellStyle name="20% - Accent1 3 10 2" xfId="18576" xr:uid="{00000000-0005-0000-0000-000020010000}"/>
    <cellStyle name="20% - Accent1 3 10 3" xfId="27899" xr:uid="{00000000-0005-0000-0000-000021010000}"/>
    <cellStyle name="20% - Accent1 3 11" xfId="9746" xr:uid="{00000000-0005-0000-0000-000022010000}"/>
    <cellStyle name="20% - Accent1 3 12" xfId="19070" xr:uid="{00000000-0005-0000-0000-000023010000}"/>
    <cellStyle name="20% - Accent1 3 13" xfId="28838" xr:uid="{00000000-0005-0000-0000-000024010000}"/>
    <cellStyle name="20% - Accent1 3 2" xfId="196" xr:uid="{00000000-0005-0000-0000-000025010000}"/>
    <cellStyle name="20% - Accent1 3 2 10" xfId="9818" xr:uid="{00000000-0005-0000-0000-000026010000}"/>
    <cellStyle name="20% - Accent1 3 2 11" xfId="19142" xr:uid="{00000000-0005-0000-0000-000027010000}"/>
    <cellStyle name="20% - Accent1 3 2 2" xfId="336" xr:uid="{00000000-0005-0000-0000-000028010000}"/>
    <cellStyle name="20% - Accent1 3 2 2 10" xfId="19265" xr:uid="{00000000-0005-0000-0000-000029010000}"/>
    <cellStyle name="20% - Accent1 3 2 2 2" xfId="576" xr:uid="{00000000-0005-0000-0000-00002A010000}"/>
    <cellStyle name="20% - Accent1 3 2 2 2 2" xfId="1064" xr:uid="{00000000-0005-0000-0000-00002B010000}"/>
    <cellStyle name="20% - Accent1 3 2 2 2 2 2" xfId="6750" xr:uid="{00000000-0005-0000-0000-00002C010000}"/>
    <cellStyle name="20% - Accent1 3 2 2 2 2 2 2" xfId="16074" xr:uid="{00000000-0005-0000-0000-00002D010000}"/>
    <cellStyle name="20% - Accent1 3 2 2 2 2 2 3" xfId="25397" xr:uid="{00000000-0005-0000-0000-00002E010000}"/>
    <cellStyle name="20% - Accent1 3 2 2 2 2 3" xfId="10665" xr:uid="{00000000-0005-0000-0000-00002F010000}"/>
    <cellStyle name="20% - Accent1 3 2 2 2 2 4" xfId="19989" xr:uid="{00000000-0005-0000-0000-000030010000}"/>
    <cellStyle name="20% - Accent1 3 2 2 2 3" xfId="7072" xr:uid="{00000000-0005-0000-0000-000031010000}"/>
    <cellStyle name="20% - Accent1 3 2 2 2 3 2" xfId="16396" xr:uid="{00000000-0005-0000-0000-000032010000}"/>
    <cellStyle name="20% - Accent1 3 2 2 2 3 3" xfId="25719" xr:uid="{00000000-0005-0000-0000-000033010000}"/>
    <cellStyle name="20% - Accent1 3 2 2 2 4" xfId="9687" xr:uid="{00000000-0005-0000-0000-000034010000}"/>
    <cellStyle name="20% - Accent1 3 2 2 2 4 2" xfId="19011" xr:uid="{00000000-0005-0000-0000-000035010000}"/>
    <cellStyle name="20% - Accent1 3 2 2 2 4 3" xfId="28334" xr:uid="{00000000-0005-0000-0000-000036010000}"/>
    <cellStyle name="20% - Accent1 3 2 2 2 5" xfId="10181" xr:uid="{00000000-0005-0000-0000-000037010000}"/>
    <cellStyle name="20% - Accent1 3 2 2 2 6" xfId="19505" xr:uid="{00000000-0005-0000-0000-000038010000}"/>
    <cellStyle name="20% - Accent1 3 2 2 3" xfId="824" xr:uid="{00000000-0005-0000-0000-000039010000}"/>
    <cellStyle name="20% - Accent1 3 2 2 3 2" xfId="5469" xr:uid="{00000000-0005-0000-0000-00003A010000}"/>
    <cellStyle name="20% - Accent1 3 2 2 3 2 2" xfId="14793" xr:uid="{00000000-0005-0000-0000-00003B010000}"/>
    <cellStyle name="20% - Accent1 3 2 2 3 2 3" xfId="24116" xr:uid="{00000000-0005-0000-0000-00003C010000}"/>
    <cellStyle name="20% - Accent1 3 2 2 3 3" xfId="10425" xr:uid="{00000000-0005-0000-0000-00003D010000}"/>
    <cellStyle name="20% - Accent1 3 2 2 3 4" xfId="19749" xr:uid="{00000000-0005-0000-0000-00003E010000}"/>
    <cellStyle name="20% - Accent1 3 2 2 4" xfId="1364" xr:uid="{00000000-0005-0000-0000-00003F010000}"/>
    <cellStyle name="20% - Accent1 3 2 2 4 2" xfId="6642" xr:uid="{00000000-0005-0000-0000-000040010000}"/>
    <cellStyle name="20% - Accent1 3 2 2 4 2 2" xfId="15966" xr:uid="{00000000-0005-0000-0000-000041010000}"/>
    <cellStyle name="20% - Accent1 3 2 2 4 2 3" xfId="25289" xr:uid="{00000000-0005-0000-0000-000042010000}"/>
    <cellStyle name="20% - Accent1 3 2 2 4 3" xfId="10932" xr:uid="{00000000-0005-0000-0000-000043010000}"/>
    <cellStyle name="20% - Accent1 3 2 2 4 4" xfId="20256" xr:uid="{00000000-0005-0000-0000-000044010000}"/>
    <cellStyle name="20% - Accent1 3 2 2 5" xfId="3151" xr:uid="{00000000-0005-0000-0000-000045010000}"/>
    <cellStyle name="20% - Accent1 3 2 2 5 2" xfId="7830" xr:uid="{00000000-0005-0000-0000-000046010000}"/>
    <cellStyle name="20% - Accent1 3 2 2 5 2 2" xfId="17154" xr:uid="{00000000-0005-0000-0000-000047010000}"/>
    <cellStyle name="20% - Accent1 3 2 2 5 2 3" xfId="26477" xr:uid="{00000000-0005-0000-0000-000048010000}"/>
    <cellStyle name="20% - Accent1 3 2 2 5 3" xfId="12537" xr:uid="{00000000-0005-0000-0000-000049010000}"/>
    <cellStyle name="20% - Accent1 3 2 2 5 4" xfId="21863" xr:uid="{00000000-0005-0000-0000-00004A010000}"/>
    <cellStyle name="20% - Accent1 3 2 2 6" xfId="4817" xr:uid="{00000000-0005-0000-0000-00004B010000}"/>
    <cellStyle name="20% - Accent1 3 2 2 6 2" xfId="14141" xr:uid="{00000000-0005-0000-0000-00004C010000}"/>
    <cellStyle name="20% - Accent1 3 2 2 6 3" xfId="23464" xr:uid="{00000000-0005-0000-0000-00004D010000}"/>
    <cellStyle name="20% - Accent1 3 2 2 7" xfId="7209" xr:uid="{00000000-0005-0000-0000-00004E010000}"/>
    <cellStyle name="20% - Accent1 3 2 2 7 2" xfId="16533" xr:uid="{00000000-0005-0000-0000-00004F010000}"/>
    <cellStyle name="20% - Accent1 3 2 2 7 3" xfId="25856" xr:uid="{00000000-0005-0000-0000-000050010000}"/>
    <cellStyle name="20% - Accent1 3 2 2 8" xfId="9447" xr:uid="{00000000-0005-0000-0000-000051010000}"/>
    <cellStyle name="20% - Accent1 3 2 2 8 2" xfId="18771" xr:uid="{00000000-0005-0000-0000-000052010000}"/>
    <cellStyle name="20% - Accent1 3 2 2 8 3" xfId="28094" xr:uid="{00000000-0005-0000-0000-000053010000}"/>
    <cellStyle name="20% - Accent1 3 2 2 9" xfId="9941" xr:uid="{00000000-0005-0000-0000-000054010000}"/>
    <cellStyle name="20% - Accent1 3 2 3" xfId="454" xr:uid="{00000000-0005-0000-0000-000055010000}"/>
    <cellStyle name="20% - Accent1 3 2 3 2" xfId="942" xr:uid="{00000000-0005-0000-0000-000056010000}"/>
    <cellStyle name="20% - Accent1 3 2 3 2 2" xfId="6827" xr:uid="{00000000-0005-0000-0000-000057010000}"/>
    <cellStyle name="20% - Accent1 3 2 3 2 2 2" xfId="16151" xr:uid="{00000000-0005-0000-0000-000058010000}"/>
    <cellStyle name="20% - Accent1 3 2 3 2 2 3" xfId="25474" xr:uid="{00000000-0005-0000-0000-000059010000}"/>
    <cellStyle name="20% - Accent1 3 2 3 2 3" xfId="10543" xr:uid="{00000000-0005-0000-0000-00005A010000}"/>
    <cellStyle name="20% - Accent1 3 2 3 2 4" xfId="19867" xr:uid="{00000000-0005-0000-0000-00005B010000}"/>
    <cellStyle name="20% - Accent1 3 2 3 3" xfId="5953" xr:uid="{00000000-0005-0000-0000-00005C010000}"/>
    <cellStyle name="20% - Accent1 3 2 3 3 2" xfId="15277" xr:uid="{00000000-0005-0000-0000-00005D010000}"/>
    <cellStyle name="20% - Accent1 3 2 3 3 3" xfId="24600" xr:uid="{00000000-0005-0000-0000-00005E010000}"/>
    <cellStyle name="20% - Accent1 3 2 3 4" xfId="9565" xr:uid="{00000000-0005-0000-0000-00005F010000}"/>
    <cellStyle name="20% - Accent1 3 2 3 4 2" xfId="18889" xr:uid="{00000000-0005-0000-0000-000060010000}"/>
    <cellStyle name="20% - Accent1 3 2 3 4 3" xfId="28212" xr:uid="{00000000-0005-0000-0000-000061010000}"/>
    <cellStyle name="20% - Accent1 3 2 3 5" xfId="10059" xr:uid="{00000000-0005-0000-0000-000062010000}"/>
    <cellStyle name="20% - Accent1 3 2 3 6" xfId="19383" xr:uid="{00000000-0005-0000-0000-000063010000}"/>
    <cellStyle name="20% - Accent1 3 2 4" xfId="702" xr:uid="{00000000-0005-0000-0000-000064010000}"/>
    <cellStyle name="20% - Accent1 3 2 4 2" xfId="7011" xr:uid="{00000000-0005-0000-0000-000065010000}"/>
    <cellStyle name="20% - Accent1 3 2 4 2 2" xfId="16335" xr:uid="{00000000-0005-0000-0000-000066010000}"/>
    <cellStyle name="20% - Accent1 3 2 4 2 3" xfId="25658" xr:uid="{00000000-0005-0000-0000-000067010000}"/>
    <cellStyle name="20% - Accent1 3 2 4 3" xfId="10303" xr:uid="{00000000-0005-0000-0000-000068010000}"/>
    <cellStyle name="20% - Accent1 3 2 4 4" xfId="19627" xr:uid="{00000000-0005-0000-0000-000069010000}"/>
    <cellStyle name="20% - Accent1 3 2 5" xfId="1363" xr:uid="{00000000-0005-0000-0000-00006A010000}"/>
    <cellStyle name="20% - Accent1 3 2 5 2" xfId="4771" xr:uid="{00000000-0005-0000-0000-00006B010000}"/>
    <cellStyle name="20% - Accent1 3 2 5 2 2" xfId="14095" xr:uid="{00000000-0005-0000-0000-00006C010000}"/>
    <cellStyle name="20% - Accent1 3 2 5 2 3" xfId="23418" xr:uid="{00000000-0005-0000-0000-00006D010000}"/>
    <cellStyle name="20% - Accent1 3 2 5 3" xfId="10931" xr:uid="{00000000-0005-0000-0000-00006E010000}"/>
    <cellStyle name="20% - Accent1 3 2 5 4" xfId="20255" xr:uid="{00000000-0005-0000-0000-00006F010000}"/>
    <cellStyle name="20% - Accent1 3 2 6" xfId="3150" xr:uid="{00000000-0005-0000-0000-000070010000}"/>
    <cellStyle name="20% - Accent1 3 2 6 2" xfId="7829" xr:uid="{00000000-0005-0000-0000-000071010000}"/>
    <cellStyle name="20% - Accent1 3 2 6 2 2" xfId="17153" xr:uid="{00000000-0005-0000-0000-000072010000}"/>
    <cellStyle name="20% - Accent1 3 2 6 2 3" xfId="26476" xr:uid="{00000000-0005-0000-0000-000073010000}"/>
    <cellStyle name="20% - Accent1 3 2 6 3" xfId="12536" xr:uid="{00000000-0005-0000-0000-000074010000}"/>
    <cellStyle name="20% - Accent1 3 2 6 4" xfId="21862" xr:uid="{00000000-0005-0000-0000-000075010000}"/>
    <cellStyle name="20% - Accent1 3 2 7" xfId="4816" xr:uid="{00000000-0005-0000-0000-000076010000}"/>
    <cellStyle name="20% - Accent1 3 2 7 2" xfId="14140" xr:uid="{00000000-0005-0000-0000-000077010000}"/>
    <cellStyle name="20% - Accent1 3 2 7 3" xfId="23463" xr:uid="{00000000-0005-0000-0000-000078010000}"/>
    <cellStyle name="20% - Accent1 3 2 8" xfId="7277" xr:uid="{00000000-0005-0000-0000-000079010000}"/>
    <cellStyle name="20% - Accent1 3 2 8 2" xfId="16601" xr:uid="{00000000-0005-0000-0000-00007A010000}"/>
    <cellStyle name="20% - Accent1 3 2 8 3" xfId="25924" xr:uid="{00000000-0005-0000-0000-00007B010000}"/>
    <cellStyle name="20% - Accent1 3 2 9" xfId="9324" xr:uid="{00000000-0005-0000-0000-00007C010000}"/>
    <cellStyle name="20% - Accent1 3 2 9 2" xfId="18648" xr:uid="{00000000-0005-0000-0000-00007D010000}"/>
    <cellStyle name="20% - Accent1 3 2 9 3" xfId="27971" xr:uid="{00000000-0005-0000-0000-00007E010000}"/>
    <cellStyle name="20% - Accent1 3 3" xfId="282" xr:uid="{00000000-0005-0000-0000-00007F010000}"/>
    <cellStyle name="20% - Accent1 3 3 10" xfId="19218" xr:uid="{00000000-0005-0000-0000-000080010000}"/>
    <cellStyle name="20% - Accent1 3 3 2" xfId="530" xr:uid="{00000000-0005-0000-0000-000081010000}"/>
    <cellStyle name="20% - Accent1 3 3 2 2" xfId="1018" xr:uid="{00000000-0005-0000-0000-000082010000}"/>
    <cellStyle name="20% - Accent1 3 3 2 2 2" xfId="6784" xr:uid="{00000000-0005-0000-0000-000083010000}"/>
    <cellStyle name="20% - Accent1 3 3 2 2 2 2" xfId="16108" xr:uid="{00000000-0005-0000-0000-000084010000}"/>
    <cellStyle name="20% - Accent1 3 3 2 2 2 3" xfId="25431" xr:uid="{00000000-0005-0000-0000-000085010000}"/>
    <cellStyle name="20% - Accent1 3 3 2 2 3" xfId="10619" xr:uid="{00000000-0005-0000-0000-000086010000}"/>
    <cellStyle name="20% - Accent1 3 3 2 2 4" xfId="19943" xr:uid="{00000000-0005-0000-0000-000087010000}"/>
    <cellStyle name="20% - Accent1 3 3 2 3" xfId="5224" xr:uid="{00000000-0005-0000-0000-000088010000}"/>
    <cellStyle name="20% - Accent1 3 3 2 3 2" xfId="14548" xr:uid="{00000000-0005-0000-0000-000089010000}"/>
    <cellStyle name="20% - Accent1 3 3 2 3 3" xfId="23871" xr:uid="{00000000-0005-0000-0000-00008A010000}"/>
    <cellStyle name="20% - Accent1 3 3 2 4" xfId="9641" xr:uid="{00000000-0005-0000-0000-00008B010000}"/>
    <cellStyle name="20% - Accent1 3 3 2 4 2" xfId="18965" xr:uid="{00000000-0005-0000-0000-00008C010000}"/>
    <cellStyle name="20% - Accent1 3 3 2 4 3" xfId="28288" xr:uid="{00000000-0005-0000-0000-00008D010000}"/>
    <cellStyle name="20% - Accent1 3 3 2 5" xfId="10135" xr:uid="{00000000-0005-0000-0000-00008E010000}"/>
    <cellStyle name="20% - Accent1 3 3 2 6" xfId="19459" xr:uid="{00000000-0005-0000-0000-00008F010000}"/>
    <cellStyle name="20% - Accent1 3 3 3" xfId="778" xr:uid="{00000000-0005-0000-0000-000090010000}"/>
    <cellStyle name="20% - Accent1 3 3 3 2" xfId="6312" xr:uid="{00000000-0005-0000-0000-000091010000}"/>
    <cellStyle name="20% - Accent1 3 3 3 2 2" xfId="15636" xr:uid="{00000000-0005-0000-0000-000092010000}"/>
    <cellStyle name="20% - Accent1 3 3 3 2 3" xfId="24959" xr:uid="{00000000-0005-0000-0000-000093010000}"/>
    <cellStyle name="20% - Accent1 3 3 3 3" xfId="10379" xr:uid="{00000000-0005-0000-0000-000094010000}"/>
    <cellStyle name="20% - Accent1 3 3 3 4" xfId="19703" xr:uid="{00000000-0005-0000-0000-000095010000}"/>
    <cellStyle name="20% - Accent1 3 3 4" xfId="1365" xr:uid="{00000000-0005-0000-0000-000096010000}"/>
    <cellStyle name="20% - Accent1 3 3 4 2" xfId="6649" xr:uid="{00000000-0005-0000-0000-000097010000}"/>
    <cellStyle name="20% - Accent1 3 3 4 2 2" xfId="15973" xr:uid="{00000000-0005-0000-0000-000098010000}"/>
    <cellStyle name="20% - Accent1 3 3 4 2 3" xfId="25296" xr:uid="{00000000-0005-0000-0000-000099010000}"/>
    <cellStyle name="20% - Accent1 3 3 4 3" xfId="10933" xr:uid="{00000000-0005-0000-0000-00009A010000}"/>
    <cellStyle name="20% - Accent1 3 3 4 4" xfId="20257" xr:uid="{00000000-0005-0000-0000-00009B010000}"/>
    <cellStyle name="20% - Accent1 3 3 5" xfId="3152" xr:uid="{00000000-0005-0000-0000-00009C010000}"/>
    <cellStyle name="20% - Accent1 3 3 5 2" xfId="7831" xr:uid="{00000000-0005-0000-0000-00009D010000}"/>
    <cellStyle name="20% - Accent1 3 3 5 2 2" xfId="17155" xr:uid="{00000000-0005-0000-0000-00009E010000}"/>
    <cellStyle name="20% - Accent1 3 3 5 2 3" xfId="26478" xr:uid="{00000000-0005-0000-0000-00009F010000}"/>
    <cellStyle name="20% - Accent1 3 3 5 3" xfId="12538" xr:uid="{00000000-0005-0000-0000-0000A0010000}"/>
    <cellStyle name="20% - Accent1 3 3 5 4" xfId="21864" xr:uid="{00000000-0005-0000-0000-0000A1010000}"/>
    <cellStyle name="20% - Accent1 3 3 6" xfId="4818" xr:uid="{00000000-0005-0000-0000-0000A2010000}"/>
    <cellStyle name="20% - Accent1 3 3 6 2" xfId="14142" xr:uid="{00000000-0005-0000-0000-0000A3010000}"/>
    <cellStyle name="20% - Accent1 3 3 6 3" xfId="23465" xr:uid="{00000000-0005-0000-0000-0000A4010000}"/>
    <cellStyle name="20% - Accent1 3 3 7" xfId="7238" xr:uid="{00000000-0005-0000-0000-0000A5010000}"/>
    <cellStyle name="20% - Accent1 3 3 7 2" xfId="16562" xr:uid="{00000000-0005-0000-0000-0000A6010000}"/>
    <cellStyle name="20% - Accent1 3 3 7 3" xfId="25885" xr:uid="{00000000-0005-0000-0000-0000A7010000}"/>
    <cellStyle name="20% - Accent1 3 3 8" xfId="9400" xr:uid="{00000000-0005-0000-0000-0000A8010000}"/>
    <cellStyle name="20% - Accent1 3 3 8 2" xfId="18724" xr:uid="{00000000-0005-0000-0000-0000A9010000}"/>
    <cellStyle name="20% - Accent1 3 3 8 3" xfId="28047" xr:uid="{00000000-0005-0000-0000-0000AA010000}"/>
    <cellStyle name="20% - Accent1 3 3 9" xfId="9894" xr:uid="{00000000-0005-0000-0000-0000AB010000}"/>
    <cellStyle name="20% - Accent1 3 4" xfId="395" xr:uid="{00000000-0005-0000-0000-0000AC010000}"/>
    <cellStyle name="20% - Accent1 3 4 2" xfId="883" xr:uid="{00000000-0005-0000-0000-0000AD010000}"/>
    <cellStyle name="20% - Accent1 3 4 2 2" xfId="6881" xr:uid="{00000000-0005-0000-0000-0000AE010000}"/>
    <cellStyle name="20% - Accent1 3 4 2 2 2" xfId="16205" xr:uid="{00000000-0005-0000-0000-0000AF010000}"/>
    <cellStyle name="20% - Accent1 3 4 2 2 3" xfId="25528" xr:uid="{00000000-0005-0000-0000-0000B0010000}"/>
    <cellStyle name="20% - Accent1 3 4 2 3" xfId="10484" xr:uid="{00000000-0005-0000-0000-0000B1010000}"/>
    <cellStyle name="20% - Accent1 3 4 2 4" xfId="19808" xr:uid="{00000000-0005-0000-0000-0000B2010000}"/>
    <cellStyle name="20% - Accent1 3 4 3" xfId="1366" xr:uid="{00000000-0005-0000-0000-0000B3010000}"/>
    <cellStyle name="20% - Accent1 3 4 3 2" xfId="6648" xr:uid="{00000000-0005-0000-0000-0000B4010000}"/>
    <cellStyle name="20% - Accent1 3 4 3 2 2" xfId="15972" xr:uid="{00000000-0005-0000-0000-0000B5010000}"/>
    <cellStyle name="20% - Accent1 3 4 3 2 3" xfId="25295" xr:uid="{00000000-0005-0000-0000-0000B6010000}"/>
    <cellStyle name="20% - Accent1 3 4 3 3" xfId="10934" xr:uid="{00000000-0005-0000-0000-0000B7010000}"/>
    <cellStyle name="20% - Accent1 3 4 3 4" xfId="20258" xr:uid="{00000000-0005-0000-0000-0000B8010000}"/>
    <cellStyle name="20% - Accent1 3 4 4" xfId="3153" xr:uid="{00000000-0005-0000-0000-0000B9010000}"/>
    <cellStyle name="20% - Accent1 3 4 4 2" xfId="7832" xr:uid="{00000000-0005-0000-0000-0000BA010000}"/>
    <cellStyle name="20% - Accent1 3 4 4 2 2" xfId="17156" xr:uid="{00000000-0005-0000-0000-0000BB010000}"/>
    <cellStyle name="20% - Accent1 3 4 4 2 3" xfId="26479" xr:uid="{00000000-0005-0000-0000-0000BC010000}"/>
    <cellStyle name="20% - Accent1 3 4 4 3" xfId="12539" xr:uid="{00000000-0005-0000-0000-0000BD010000}"/>
    <cellStyle name="20% - Accent1 3 4 4 4" xfId="21865" xr:uid="{00000000-0005-0000-0000-0000BE010000}"/>
    <cellStyle name="20% - Accent1 3 4 5" xfId="4819" xr:uid="{00000000-0005-0000-0000-0000BF010000}"/>
    <cellStyle name="20% - Accent1 3 4 5 2" xfId="14143" xr:uid="{00000000-0005-0000-0000-0000C0010000}"/>
    <cellStyle name="20% - Accent1 3 4 5 3" xfId="23466" xr:uid="{00000000-0005-0000-0000-0000C1010000}"/>
    <cellStyle name="20% - Accent1 3 4 6" xfId="6308" xr:uid="{00000000-0005-0000-0000-0000C2010000}"/>
    <cellStyle name="20% - Accent1 3 4 6 2" xfId="15632" xr:uid="{00000000-0005-0000-0000-0000C3010000}"/>
    <cellStyle name="20% - Accent1 3 4 6 3" xfId="24955" xr:uid="{00000000-0005-0000-0000-0000C4010000}"/>
    <cellStyle name="20% - Accent1 3 4 7" xfId="9506" xr:uid="{00000000-0005-0000-0000-0000C5010000}"/>
    <cellStyle name="20% - Accent1 3 4 7 2" xfId="18830" xr:uid="{00000000-0005-0000-0000-0000C6010000}"/>
    <cellStyle name="20% - Accent1 3 4 7 3" xfId="28153" xr:uid="{00000000-0005-0000-0000-0000C7010000}"/>
    <cellStyle name="20% - Accent1 3 4 8" xfId="10000" xr:uid="{00000000-0005-0000-0000-0000C8010000}"/>
    <cellStyle name="20% - Accent1 3 4 9" xfId="19324" xr:uid="{00000000-0005-0000-0000-0000C9010000}"/>
    <cellStyle name="20% - Accent1 3 5" xfId="643" xr:uid="{00000000-0005-0000-0000-0000CA010000}"/>
    <cellStyle name="20% - Accent1 3 5 2" xfId="1367" xr:uid="{00000000-0005-0000-0000-0000CB010000}"/>
    <cellStyle name="20% - Accent1 3 5 2 2" xfId="6647" xr:uid="{00000000-0005-0000-0000-0000CC010000}"/>
    <cellStyle name="20% - Accent1 3 5 2 2 2" xfId="15971" xr:uid="{00000000-0005-0000-0000-0000CD010000}"/>
    <cellStyle name="20% - Accent1 3 5 2 2 3" xfId="25294" xr:uid="{00000000-0005-0000-0000-0000CE010000}"/>
    <cellStyle name="20% - Accent1 3 5 2 3" xfId="10935" xr:uid="{00000000-0005-0000-0000-0000CF010000}"/>
    <cellStyle name="20% - Accent1 3 5 2 4" xfId="20259" xr:uid="{00000000-0005-0000-0000-0000D0010000}"/>
    <cellStyle name="20% - Accent1 3 5 3" xfId="3154" xr:uid="{00000000-0005-0000-0000-0000D1010000}"/>
    <cellStyle name="20% - Accent1 3 5 3 2" xfId="7833" xr:uid="{00000000-0005-0000-0000-0000D2010000}"/>
    <cellStyle name="20% - Accent1 3 5 3 2 2" xfId="17157" xr:uid="{00000000-0005-0000-0000-0000D3010000}"/>
    <cellStyle name="20% - Accent1 3 5 3 2 3" xfId="26480" xr:uid="{00000000-0005-0000-0000-0000D4010000}"/>
    <cellStyle name="20% - Accent1 3 5 3 3" xfId="12540" xr:uid="{00000000-0005-0000-0000-0000D5010000}"/>
    <cellStyle name="20% - Accent1 3 5 3 4" xfId="21866" xr:uid="{00000000-0005-0000-0000-0000D6010000}"/>
    <cellStyle name="20% - Accent1 3 5 4" xfId="4820" xr:uid="{00000000-0005-0000-0000-0000D7010000}"/>
    <cellStyle name="20% - Accent1 3 5 4 2" xfId="14144" xr:uid="{00000000-0005-0000-0000-0000D8010000}"/>
    <cellStyle name="20% - Accent1 3 5 4 3" xfId="23467" xr:uid="{00000000-0005-0000-0000-0000D9010000}"/>
    <cellStyle name="20% - Accent1 3 5 5" xfId="7038" xr:uid="{00000000-0005-0000-0000-0000DA010000}"/>
    <cellStyle name="20% - Accent1 3 5 5 2" xfId="16362" xr:uid="{00000000-0005-0000-0000-0000DB010000}"/>
    <cellStyle name="20% - Accent1 3 5 5 3" xfId="25685" xr:uid="{00000000-0005-0000-0000-0000DC010000}"/>
    <cellStyle name="20% - Accent1 3 5 6" xfId="10244" xr:uid="{00000000-0005-0000-0000-0000DD010000}"/>
    <cellStyle name="20% - Accent1 3 5 7" xfId="19568" xr:uid="{00000000-0005-0000-0000-0000DE010000}"/>
    <cellStyle name="20% - Accent1 3 6" xfId="1362" xr:uid="{00000000-0005-0000-0000-0000DF010000}"/>
    <cellStyle name="20% - Accent1 3 6 2" xfId="6651" xr:uid="{00000000-0005-0000-0000-0000E0010000}"/>
    <cellStyle name="20% - Accent1 3 6 2 2" xfId="15975" xr:uid="{00000000-0005-0000-0000-0000E1010000}"/>
    <cellStyle name="20% - Accent1 3 6 2 3" xfId="25298" xr:uid="{00000000-0005-0000-0000-0000E2010000}"/>
    <cellStyle name="20% - Accent1 3 6 3" xfId="10930" xr:uid="{00000000-0005-0000-0000-0000E3010000}"/>
    <cellStyle name="20% - Accent1 3 6 4" xfId="20254" xr:uid="{00000000-0005-0000-0000-0000E4010000}"/>
    <cellStyle name="20% - Accent1 3 7" xfId="3149" xr:uid="{00000000-0005-0000-0000-0000E5010000}"/>
    <cellStyle name="20% - Accent1 3 7 2" xfId="7828" xr:uid="{00000000-0005-0000-0000-0000E6010000}"/>
    <cellStyle name="20% - Accent1 3 7 2 2" xfId="17152" xr:uid="{00000000-0005-0000-0000-0000E7010000}"/>
    <cellStyle name="20% - Accent1 3 7 2 3" xfId="26475" xr:uid="{00000000-0005-0000-0000-0000E8010000}"/>
    <cellStyle name="20% - Accent1 3 7 3" xfId="12535" xr:uid="{00000000-0005-0000-0000-0000E9010000}"/>
    <cellStyle name="20% - Accent1 3 7 4" xfId="21861" xr:uid="{00000000-0005-0000-0000-0000EA010000}"/>
    <cellStyle name="20% - Accent1 3 8" xfId="4815" xr:uid="{00000000-0005-0000-0000-0000EB010000}"/>
    <cellStyle name="20% - Accent1 3 8 2" xfId="14139" xr:uid="{00000000-0005-0000-0000-0000EC010000}"/>
    <cellStyle name="20% - Accent1 3 8 3" xfId="23462" xr:uid="{00000000-0005-0000-0000-0000ED010000}"/>
    <cellStyle name="20% - Accent1 3 9" xfId="7320" xr:uid="{00000000-0005-0000-0000-0000EE010000}"/>
    <cellStyle name="20% - Accent1 3 9 2" xfId="16644" xr:uid="{00000000-0005-0000-0000-0000EF010000}"/>
    <cellStyle name="20% - Accent1 3 9 3" xfId="25967" xr:uid="{00000000-0005-0000-0000-0000F0010000}"/>
    <cellStyle name="20% - Accent1 4" xfId="182" xr:uid="{00000000-0005-0000-0000-0000F1010000}"/>
    <cellStyle name="20% - Accent1 4 10" xfId="19128" xr:uid="{00000000-0005-0000-0000-0000F2010000}"/>
    <cellStyle name="20% - Accent1 4 11" xfId="28919" xr:uid="{00000000-0005-0000-0000-0000F3010000}"/>
    <cellStyle name="20% - Accent1 4 2" xfId="322" xr:uid="{00000000-0005-0000-0000-0000F4010000}"/>
    <cellStyle name="20% - Accent1 4 2 2" xfId="562" xr:uid="{00000000-0005-0000-0000-0000F5010000}"/>
    <cellStyle name="20% - Accent1 4 2 2 2" xfId="1050" xr:uid="{00000000-0005-0000-0000-0000F6010000}"/>
    <cellStyle name="20% - Accent1 4 2 2 2 2" xfId="6761" xr:uid="{00000000-0005-0000-0000-0000F7010000}"/>
    <cellStyle name="20% - Accent1 4 2 2 2 2 2" xfId="16085" xr:uid="{00000000-0005-0000-0000-0000F8010000}"/>
    <cellStyle name="20% - Accent1 4 2 2 2 2 3" xfId="25408" xr:uid="{00000000-0005-0000-0000-0000F9010000}"/>
    <cellStyle name="20% - Accent1 4 2 2 2 3" xfId="10651" xr:uid="{00000000-0005-0000-0000-0000FA010000}"/>
    <cellStyle name="20% - Accent1 4 2 2 2 4" xfId="19975" xr:uid="{00000000-0005-0000-0000-0000FB010000}"/>
    <cellStyle name="20% - Accent1 4 2 2 3" xfId="1370" xr:uid="{00000000-0005-0000-0000-0000FC010000}"/>
    <cellStyle name="20% - Accent1 4 2 2 3 2" xfId="7332" xr:uid="{00000000-0005-0000-0000-0000FD010000}"/>
    <cellStyle name="20% - Accent1 4 2 2 3 2 2" xfId="16656" xr:uid="{00000000-0005-0000-0000-0000FE010000}"/>
    <cellStyle name="20% - Accent1 4 2 2 3 2 3" xfId="25979" xr:uid="{00000000-0005-0000-0000-0000FF010000}"/>
    <cellStyle name="20% - Accent1 4 2 2 3 3" xfId="10938" xr:uid="{00000000-0005-0000-0000-000000020000}"/>
    <cellStyle name="20% - Accent1 4 2 2 3 4" xfId="20262" xr:uid="{00000000-0005-0000-0000-000001020000}"/>
    <cellStyle name="20% - Accent1 4 2 2 4" xfId="3157" xr:uid="{00000000-0005-0000-0000-000002020000}"/>
    <cellStyle name="20% - Accent1 4 2 2 4 2" xfId="7836" xr:uid="{00000000-0005-0000-0000-000003020000}"/>
    <cellStyle name="20% - Accent1 4 2 2 4 2 2" xfId="17160" xr:uid="{00000000-0005-0000-0000-000004020000}"/>
    <cellStyle name="20% - Accent1 4 2 2 4 2 3" xfId="26483" xr:uid="{00000000-0005-0000-0000-000005020000}"/>
    <cellStyle name="20% - Accent1 4 2 2 4 3" xfId="12543" xr:uid="{00000000-0005-0000-0000-000006020000}"/>
    <cellStyle name="20% - Accent1 4 2 2 4 4" xfId="21869" xr:uid="{00000000-0005-0000-0000-000007020000}"/>
    <cellStyle name="20% - Accent1 4 2 2 5" xfId="4823" xr:uid="{00000000-0005-0000-0000-000008020000}"/>
    <cellStyle name="20% - Accent1 4 2 2 5 2" xfId="14147" xr:uid="{00000000-0005-0000-0000-000009020000}"/>
    <cellStyle name="20% - Accent1 4 2 2 5 3" xfId="23470" xr:uid="{00000000-0005-0000-0000-00000A020000}"/>
    <cellStyle name="20% - Accent1 4 2 2 6" xfId="9673" xr:uid="{00000000-0005-0000-0000-00000B020000}"/>
    <cellStyle name="20% - Accent1 4 2 2 6 2" xfId="18997" xr:uid="{00000000-0005-0000-0000-00000C020000}"/>
    <cellStyle name="20% - Accent1 4 2 2 6 3" xfId="28320" xr:uid="{00000000-0005-0000-0000-00000D020000}"/>
    <cellStyle name="20% - Accent1 4 2 2 7" xfId="10167" xr:uid="{00000000-0005-0000-0000-00000E020000}"/>
    <cellStyle name="20% - Accent1 4 2 2 8" xfId="19491" xr:uid="{00000000-0005-0000-0000-00000F020000}"/>
    <cellStyle name="20% - Accent1 4 2 3" xfId="810" xr:uid="{00000000-0005-0000-0000-000010020000}"/>
    <cellStyle name="20% - Accent1 4 2 3 2" xfId="6935" xr:uid="{00000000-0005-0000-0000-000011020000}"/>
    <cellStyle name="20% - Accent1 4 2 3 2 2" xfId="16259" xr:uid="{00000000-0005-0000-0000-000012020000}"/>
    <cellStyle name="20% - Accent1 4 2 3 2 3" xfId="25582" xr:uid="{00000000-0005-0000-0000-000013020000}"/>
    <cellStyle name="20% - Accent1 4 2 3 3" xfId="10411" xr:uid="{00000000-0005-0000-0000-000014020000}"/>
    <cellStyle name="20% - Accent1 4 2 3 4" xfId="19735" xr:uid="{00000000-0005-0000-0000-000015020000}"/>
    <cellStyle name="20% - Accent1 4 2 4" xfId="1369" xr:uid="{00000000-0005-0000-0000-000016020000}"/>
    <cellStyle name="20% - Accent1 4 2 4 2" xfId="6645" xr:uid="{00000000-0005-0000-0000-000017020000}"/>
    <cellStyle name="20% - Accent1 4 2 4 2 2" xfId="15969" xr:uid="{00000000-0005-0000-0000-000018020000}"/>
    <cellStyle name="20% - Accent1 4 2 4 2 3" xfId="25292" xr:uid="{00000000-0005-0000-0000-000019020000}"/>
    <cellStyle name="20% - Accent1 4 2 4 3" xfId="10937" xr:uid="{00000000-0005-0000-0000-00001A020000}"/>
    <cellStyle name="20% - Accent1 4 2 4 4" xfId="20261" xr:uid="{00000000-0005-0000-0000-00001B020000}"/>
    <cellStyle name="20% - Accent1 4 2 5" xfId="3156" xr:uid="{00000000-0005-0000-0000-00001C020000}"/>
    <cellStyle name="20% - Accent1 4 2 5 2" xfId="7835" xr:uid="{00000000-0005-0000-0000-00001D020000}"/>
    <cellStyle name="20% - Accent1 4 2 5 2 2" xfId="17159" xr:uid="{00000000-0005-0000-0000-00001E020000}"/>
    <cellStyle name="20% - Accent1 4 2 5 2 3" xfId="26482" xr:uid="{00000000-0005-0000-0000-00001F020000}"/>
    <cellStyle name="20% - Accent1 4 2 5 3" xfId="12542" xr:uid="{00000000-0005-0000-0000-000020020000}"/>
    <cellStyle name="20% - Accent1 4 2 5 4" xfId="21868" xr:uid="{00000000-0005-0000-0000-000021020000}"/>
    <cellStyle name="20% - Accent1 4 2 6" xfId="4822" xr:uid="{00000000-0005-0000-0000-000022020000}"/>
    <cellStyle name="20% - Accent1 4 2 6 2" xfId="14146" xr:uid="{00000000-0005-0000-0000-000023020000}"/>
    <cellStyle name="20% - Accent1 4 2 6 3" xfId="23469" xr:uid="{00000000-0005-0000-0000-000024020000}"/>
    <cellStyle name="20% - Accent1 4 2 7" xfId="9433" xr:uid="{00000000-0005-0000-0000-000025020000}"/>
    <cellStyle name="20% - Accent1 4 2 7 2" xfId="18757" xr:uid="{00000000-0005-0000-0000-000026020000}"/>
    <cellStyle name="20% - Accent1 4 2 7 3" xfId="28080" xr:uid="{00000000-0005-0000-0000-000027020000}"/>
    <cellStyle name="20% - Accent1 4 2 8" xfId="9927" xr:uid="{00000000-0005-0000-0000-000028020000}"/>
    <cellStyle name="20% - Accent1 4 2 9" xfId="19251" xr:uid="{00000000-0005-0000-0000-000029020000}"/>
    <cellStyle name="20% - Accent1 4 3" xfId="440" xr:uid="{00000000-0005-0000-0000-00002A020000}"/>
    <cellStyle name="20% - Accent1 4 3 2" xfId="928" xr:uid="{00000000-0005-0000-0000-00002B020000}"/>
    <cellStyle name="20% - Accent1 4 3 2 2" xfId="6842" xr:uid="{00000000-0005-0000-0000-00002C020000}"/>
    <cellStyle name="20% - Accent1 4 3 2 2 2" xfId="16166" xr:uid="{00000000-0005-0000-0000-00002D020000}"/>
    <cellStyle name="20% - Accent1 4 3 2 2 3" xfId="25489" xr:uid="{00000000-0005-0000-0000-00002E020000}"/>
    <cellStyle name="20% - Accent1 4 3 2 3" xfId="10529" xr:uid="{00000000-0005-0000-0000-00002F020000}"/>
    <cellStyle name="20% - Accent1 4 3 2 4" xfId="19853" xr:uid="{00000000-0005-0000-0000-000030020000}"/>
    <cellStyle name="20% - Accent1 4 3 3" xfId="1371" xr:uid="{00000000-0005-0000-0000-000031020000}"/>
    <cellStyle name="20% - Accent1 4 3 3 2" xfId="6644" xr:uid="{00000000-0005-0000-0000-000032020000}"/>
    <cellStyle name="20% - Accent1 4 3 3 2 2" xfId="15968" xr:uid="{00000000-0005-0000-0000-000033020000}"/>
    <cellStyle name="20% - Accent1 4 3 3 2 3" xfId="25291" xr:uid="{00000000-0005-0000-0000-000034020000}"/>
    <cellStyle name="20% - Accent1 4 3 3 3" xfId="10939" xr:uid="{00000000-0005-0000-0000-000035020000}"/>
    <cellStyle name="20% - Accent1 4 3 3 4" xfId="20263" xr:uid="{00000000-0005-0000-0000-000036020000}"/>
    <cellStyle name="20% - Accent1 4 3 4" xfId="3158" xr:uid="{00000000-0005-0000-0000-000037020000}"/>
    <cellStyle name="20% - Accent1 4 3 4 2" xfId="7837" xr:uid="{00000000-0005-0000-0000-000038020000}"/>
    <cellStyle name="20% - Accent1 4 3 4 2 2" xfId="17161" xr:uid="{00000000-0005-0000-0000-000039020000}"/>
    <cellStyle name="20% - Accent1 4 3 4 2 3" xfId="26484" xr:uid="{00000000-0005-0000-0000-00003A020000}"/>
    <cellStyle name="20% - Accent1 4 3 4 3" xfId="12544" xr:uid="{00000000-0005-0000-0000-00003B020000}"/>
    <cellStyle name="20% - Accent1 4 3 4 4" xfId="21870" xr:uid="{00000000-0005-0000-0000-00003C020000}"/>
    <cellStyle name="20% - Accent1 4 3 5" xfId="4824" xr:uid="{00000000-0005-0000-0000-00003D020000}"/>
    <cellStyle name="20% - Accent1 4 3 5 2" xfId="14148" xr:uid="{00000000-0005-0000-0000-00003E020000}"/>
    <cellStyle name="20% - Accent1 4 3 5 3" xfId="23471" xr:uid="{00000000-0005-0000-0000-00003F020000}"/>
    <cellStyle name="20% - Accent1 4 3 6" xfId="9551" xr:uid="{00000000-0005-0000-0000-000040020000}"/>
    <cellStyle name="20% - Accent1 4 3 6 2" xfId="18875" xr:uid="{00000000-0005-0000-0000-000041020000}"/>
    <cellStyle name="20% - Accent1 4 3 6 3" xfId="28198" xr:uid="{00000000-0005-0000-0000-000042020000}"/>
    <cellStyle name="20% - Accent1 4 3 7" xfId="10045" xr:uid="{00000000-0005-0000-0000-000043020000}"/>
    <cellStyle name="20% - Accent1 4 3 8" xfId="19369" xr:uid="{00000000-0005-0000-0000-000044020000}"/>
    <cellStyle name="20% - Accent1 4 4" xfId="688" xr:uid="{00000000-0005-0000-0000-000045020000}"/>
    <cellStyle name="20% - Accent1 4 4 2" xfId="7022" xr:uid="{00000000-0005-0000-0000-000046020000}"/>
    <cellStyle name="20% - Accent1 4 4 2 2" xfId="16346" xr:uid="{00000000-0005-0000-0000-000047020000}"/>
    <cellStyle name="20% - Accent1 4 4 2 3" xfId="25669" xr:uid="{00000000-0005-0000-0000-000048020000}"/>
    <cellStyle name="20% - Accent1 4 4 3" xfId="10289" xr:uid="{00000000-0005-0000-0000-000049020000}"/>
    <cellStyle name="20% - Accent1 4 4 4" xfId="19613" xr:uid="{00000000-0005-0000-0000-00004A020000}"/>
    <cellStyle name="20% - Accent1 4 5" xfId="1368" xr:uid="{00000000-0005-0000-0000-00004B020000}"/>
    <cellStyle name="20% - Accent1 4 5 2" xfId="6646" xr:uid="{00000000-0005-0000-0000-00004C020000}"/>
    <cellStyle name="20% - Accent1 4 5 2 2" xfId="15970" xr:uid="{00000000-0005-0000-0000-00004D020000}"/>
    <cellStyle name="20% - Accent1 4 5 2 3" xfId="25293" xr:uid="{00000000-0005-0000-0000-00004E020000}"/>
    <cellStyle name="20% - Accent1 4 5 3" xfId="10936" xr:uid="{00000000-0005-0000-0000-00004F020000}"/>
    <cellStyle name="20% - Accent1 4 5 4" xfId="20260" xr:uid="{00000000-0005-0000-0000-000050020000}"/>
    <cellStyle name="20% - Accent1 4 6" xfId="3155" xr:uid="{00000000-0005-0000-0000-000051020000}"/>
    <cellStyle name="20% - Accent1 4 6 2" xfId="7834" xr:uid="{00000000-0005-0000-0000-000052020000}"/>
    <cellStyle name="20% - Accent1 4 6 2 2" xfId="17158" xr:uid="{00000000-0005-0000-0000-000053020000}"/>
    <cellStyle name="20% - Accent1 4 6 2 3" xfId="26481" xr:uid="{00000000-0005-0000-0000-000054020000}"/>
    <cellStyle name="20% - Accent1 4 6 3" xfId="12541" xr:uid="{00000000-0005-0000-0000-000055020000}"/>
    <cellStyle name="20% - Accent1 4 6 4" xfId="21867" xr:uid="{00000000-0005-0000-0000-000056020000}"/>
    <cellStyle name="20% - Accent1 4 7" xfId="4821" xr:uid="{00000000-0005-0000-0000-000057020000}"/>
    <cellStyle name="20% - Accent1 4 7 2" xfId="14145" xr:uid="{00000000-0005-0000-0000-000058020000}"/>
    <cellStyle name="20% - Accent1 4 7 3" xfId="23468" xr:uid="{00000000-0005-0000-0000-000059020000}"/>
    <cellStyle name="20% - Accent1 4 8" xfId="9310" xr:uid="{00000000-0005-0000-0000-00005A020000}"/>
    <cellStyle name="20% - Accent1 4 8 2" xfId="18634" xr:uid="{00000000-0005-0000-0000-00005B020000}"/>
    <cellStyle name="20% - Accent1 4 8 3" xfId="27957" xr:uid="{00000000-0005-0000-0000-00005C020000}"/>
    <cellStyle name="20% - Accent1 4 9" xfId="9804" xr:uid="{00000000-0005-0000-0000-00005D020000}"/>
    <cellStyle name="20% - Accent1 5" xfId="242" xr:uid="{00000000-0005-0000-0000-00005E020000}"/>
    <cellStyle name="20% - Accent1 5 2" xfId="500" xr:uid="{00000000-0005-0000-0000-00005F020000}"/>
    <cellStyle name="20% - Accent1 5 2 2" xfId="988" xr:uid="{00000000-0005-0000-0000-000060020000}"/>
    <cellStyle name="20% - Accent1 5 2 2 2" xfId="6808" xr:uid="{00000000-0005-0000-0000-000061020000}"/>
    <cellStyle name="20% - Accent1 5 2 2 2 2" xfId="16132" xr:uid="{00000000-0005-0000-0000-000062020000}"/>
    <cellStyle name="20% - Accent1 5 2 2 2 3" xfId="25455" xr:uid="{00000000-0005-0000-0000-000063020000}"/>
    <cellStyle name="20% - Accent1 5 2 2 3" xfId="10589" xr:uid="{00000000-0005-0000-0000-000064020000}"/>
    <cellStyle name="20% - Accent1 5 2 2 4" xfId="19913" xr:uid="{00000000-0005-0000-0000-000065020000}"/>
    <cellStyle name="20% - Accent1 5 2 3" xfId="1373" xr:uid="{00000000-0005-0000-0000-000066020000}"/>
    <cellStyle name="20% - Accent1 5 2 3 2" xfId="7334" xr:uid="{00000000-0005-0000-0000-000067020000}"/>
    <cellStyle name="20% - Accent1 5 2 3 2 2" xfId="16658" xr:uid="{00000000-0005-0000-0000-000068020000}"/>
    <cellStyle name="20% - Accent1 5 2 3 2 3" xfId="25981" xr:uid="{00000000-0005-0000-0000-000069020000}"/>
    <cellStyle name="20% - Accent1 5 2 3 3" xfId="10941" xr:uid="{00000000-0005-0000-0000-00006A020000}"/>
    <cellStyle name="20% - Accent1 5 2 3 4" xfId="20265" xr:uid="{00000000-0005-0000-0000-00006B020000}"/>
    <cellStyle name="20% - Accent1 5 2 4" xfId="3160" xr:uid="{00000000-0005-0000-0000-00006C020000}"/>
    <cellStyle name="20% - Accent1 5 2 4 2" xfId="7839" xr:uid="{00000000-0005-0000-0000-00006D020000}"/>
    <cellStyle name="20% - Accent1 5 2 4 2 2" xfId="17163" xr:uid="{00000000-0005-0000-0000-00006E020000}"/>
    <cellStyle name="20% - Accent1 5 2 4 2 3" xfId="26486" xr:uid="{00000000-0005-0000-0000-00006F020000}"/>
    <cellStyle name="20% - Accent1 5 2 4 3" xfId="12546" xr:uid="{00000000-0005-0000-0000-000070020000}"/>
    <cellStyle name="20% - Accent1 5 2 4 4" xfId="21872" xr:uid="{00000000-0005-0000-0000-000071020000}"/>
    <cellStyle name="20% - Accent1 5 2 5" xfId="4826" xr:uid="{00000000-0005-0000-0000-000072020000}"/>
    <cellStyle name="20% - Accent1 5 2 5 2" xfId="14150" xr:uid="{00000000-0005-0000-0000-000073020000}"/>
    <cellStyle name="20% - Accent1 5 2 5 3" xfId="23473" xr:uid="{00000000-0005-0000-0000-000074020000}"/>
    <cellStyle name="20% - Accent1 5 2 6" xfId="9611" xr:uid="{00000000-0005-0000-0000-000075020000}"/>
    <cellStyle name="20% - Accent1 5 2 6 2" xfId="18935" xr:uid="{00000000-0005-0000-0000-000076020000}"/>
    <cellStyle name="20% - Accent1 5 2 6 3" xfId="28258" xr:uid="{00000000-0005-0000-0000-000077020000}"/>
    <cellStyle name="20% - Accent1 5 2 7" xfId="10105" xr:uid="{00000000-0005-0000-0000-000078020000}"/>
    <cellStyle name="20% - Accent1 5 2 8" xfId="19429" xr:uid="{00000000-0005-0000-0000-000079020000}"/>
    <cellStyle name="20% - Accent1 5 3" xfId="748" xr:uid="{00000000-0005-0000-0000-00007A020000}"/>
    <cellStyle name="20% - Accent1 5 3 2" xfId="6979" xr:uid="{00000000-0005-0000-0000-00007B020000}"/>
    <cellStyle name="20% - Accent1 5 3 2 2" xfId="16303" xr:uid="{00000000-0005-0000-0000-00007C020000}"/>
    <cellStyle name="20% - Accent1 5 3 2 3" xfId="25626" xr:uid="{00000000-0005-0000-0000-00007D020000}"/>
    <cellStyle name="20% - Accent1 5 3 3" xfId="10349" xr:uid="{00000000-0005-0000-0000-00007E020000}"/>
    <cellStyle name="20% - Accent1 5 3 4" xfId="19673" xr:uid="{00000000-0005-0000-0000-00007F020000}"/>
    <cellStyle name="20% - Accent1 5 4" xfId="1372" xr:uid="{00000000-0005-0000-0000-000080020000}"/>
    <cellStyle name="20% - Accent1 5 4 2" xfId="7333" xr:uid="{00000000-0005-0000-0000-000081020000}"/>
    <cellStyle name="20% - Accent1 5 4 2 2" xfId="16657" xr:uid="{00000000-0005-0000-0000-000082020000}"/>
    <cellStyle name="20% - Accent1 5 4 2 3" xfId="25980" xr:uid="{00000000-0005-0000-0000-000083020000}"/>
    <cellStyle name="20% - Accent1 5 4 3" xfId="10940" xr:uid="{00000000-0005-0000-0000-000084020000}"/>
    <cellStyle name="20% - Accent1 5 4 4" xfId="20264" xr:uid="{00000000-0005-0000-0000-000085020000}"/>
    <cellStyle name="20% - Accent1 5 5" xfId="3159" xr:uid="{00000000-0005-0000-0000-000086020000}"/>
    <cellStyle name="20% - Accent1 5 5 2" xfId="7838" xr:uid="{00000000-0005-0000-0000-000087020000}"/>
    <cellStyle name="20% - Accent1 5 5 2 2" xfId="17162" xr:uid="{00000000-0005-0000-0000-000088020000}"/>
    <cellStyle name="20% - Accent1 5 5 2 3" xfId="26485" xr:uid="{00000000-0005-0000-0000-000089020000}"/>
    <cellStyle name="20% - Accent1 5 5 3" xfId="12545" xr:uid="{00000000-0005-0000-0000-00008A020000}"/>
    <cellStyle name="20% - Accent1 5 5 4" xfId="21871" xr:uid="{00000000-0005-0000-0000-00008B020000}"/>
    <cellStyle name="20% - Accent1 5 6" xfId="4825" xr:uid="{00000000-0005-0000-0000-00008C020000}"/>
    <cellStyle name="20% - Accent1 5 6 2" xfId="14149" xr:uid="{00000000-0005-0000-0000-00008D020000}"/>
    <cellStyle name="20% - Accent1 5 6 3" xfId="23472" xr:uid="{00000000-0005-0000-0000-00008E020000}"/>
    <cellStyle name="20% - Accent1 5 7" xfId="9370" xr:uid="{00000000-0005-0000-0000-00008F020000}"/>
    <cellStyle name="20% - Accent1 5 7 2" xfId="18694" xr:uid="{00000000-0005-0000-0000-000090020000}"/>
    <cellStyle name="20% - Accent1 5 7 3" xfId="28017" xr:uid="{00000000-0005-0000-0000-000091020000}"/>
    <cellStyle name="20% - Accent1 5 8" xfId="9864" xr:uid="{00000000-0005-0000-0000-000092020000}"/>
    <cellStyle name="20% - Accent1 5 9" xfId="19188" xr:uid="{00000000-0005-0000-0000-000093020000}"/>
    <cellStyle name="20% - Accent1 6" xfId="381" xr:uid="{00000000-0005-0000-0000-000094020000}"/>
    <cellStyle name="20% - Accent1 6 2" xfId="869" xr:uid="{00000000-0005-0000-0000-000095020000}"/>
    <cellStyle name="20% - Accent1 6 2 2" xfId="6894" xr:uid="{00000000-0005-0000-0000-000096020000}"/>
    <cellStyle name="20% - Accent1 6 2 2 2" xfId="16218" xr:uid="{00000000-0005-0000-0000-000097020000}"/>
    <cellStyle name="20% - Accent1 6 2 2 3" xfId="25541" xr:uid="{00000000-0005-0000-0000-000098020000}"/>
    <cellStyle name="20% - Accent1 6 2 3" xfId="10470" xr:uid="{00000000-0005-0000-0000-000099020000}"/>
    <cellStyle name="20% - Accent1 6 2 4" xfId="19794" xr:uid="{00000000-0005-0000-0000-00009A020000}"/>
    <cellStyle name="20% - Accent1 6 3" xfId="1374" xr:uid="{00000000-0005-0000-0000-00009B020000}"/>
    <cellStyle name="20% - Accent1 6 3 2" xfId="7336" xr:uid="{00000000-0005-0000-0000-00009C020000}"/>
    <cellStyle name="20% - Accent1 6 3 2 2" xfId="16660" xr:uid="{00000000-0005-0000-0000-00009D020000}"/>
    <cellStyle name="20% - Accent1 6 3 2 3" xfId="25983" xr:uid="{00000000-0005-0000-0000-00009E020000}"/>
    <cellStyle name="20% - Accent1 6 3 3" xfId="10942" xr:uid="{00000000-0005-0000-0000-00009F020000}"/>
    <cellStyle name="20% - Accent1 6 3 4" xfId="20266" xr:uid="{00000000-0005-0000-0000-0000A0020000}"/>
    <cellStyle name="20% - Accent1 6 4" xfId="3161" xr:uid="{00000000-0005-0000-0000-0000A1020000}"/>
    <cellStyle name="20% - Accent1 6 4 2" xfId="7840" xr:uid="{00000000-0005-0000-0000-0000A2020000}"/>
    <cellStyle name="20% - Accent1 6 4 2 2" xfId="17164" xr:uid="{00000000-0005-0000-0000-0000A3020000}"/>
    <cellStyle name="20% - Accent1 6 4 2 3" xfId="26487" xr:uid="{00000000-0005-0000-0000-0000A4020000}"/>
    <cellStyle name="20% - Accent1 6 4 3" xfId="12547" xr:uid="{00000000-0005-0000-0000-0000A5020000}"/>
    <cellStyle name="20% - Accent1 6 4 4" xfId="21873" xr:uid="{00000000-0005-0000-0000-0000A6020000}"/>
    <cellStyle name="20% - Accent1 6 5" xfId="4827" xr:uid="{00000000-0005-0000-0000-0000A7020000}"/>
    <cellStyle name="20% - Accent1 6 5 2" xfId="14151" xr:uid="{00000000-0005-0000-0000-0000A8020000}"/>
    <cellStyle name="20% - Accent1 6 5 3" xfId="23474" xr:uid="{00000000-0005-0000-0000-0000A9020000}"/>
    <cellStyle name="20% - Accent1 6 6" xfId="9492" xr:uid="{00000000-0005-0000-0000-0000AA020000}"/>
    <cellStyle name="20% - Accent1 6 6 2" xfId="18816" xr:uid="{00000000-0005-0000-0000-0000AB020000}"/>
    <cellStyle name="20% - Accent1 6 6 3" xfId="28139" xr:uid="{00000000-0005-0000-0000-0000AC020000}"/>
    <cellStyle name="20% - Accent1 6 7" xfId="9986" xr:uid="{00000000-0005-0000-0000-0000AD020000}"/>
    <cellStyle name="20% - Accent1 6 8" xfId="19310" xr:uid="{00000000-0005-0000-0000-0000AE020000}"/>
    <cellStyle name="20% - Accent1 7" xfId="625" xr:uid="{00000000-0005-0000-0000-0000AF020000}"/>
    <cellStyle name="20% - Accent1 7 2" xfId="1375" xr:uid="{00000000-0005-0000-0000-0000B0020000}"/>
    <cellStyle name="20% - Accent1 7 2 2" xfId="7335" xr:uid="{00000000-0005-0000-0000-0000B1020000}"/>
    <cellStyle name="20% - Accent1 7 2 2 2" xfId="16659" xr:uid="{00000000-0005-0000-0000-0000B2020000}"/>
    <cellStyle name="20% - Accent1 7 2 2 3" xfId="25982" xr:uid="{00000000-0005-0000-0000-0000B3020000}"/>
    <cellStyle name="20% - Accent1 7 2 3" xfId="10943" xr:uid="{00000000-0005-0000-0000-0000B4020000}"/>
    <cellStyle name="20% - Accent1 7 2 4" xfId="20267" xr:uid="{00000000-0005-0000-0000-0000B5020000}"/>
    <cellStyle name="20% - Accent1 7 3" xfId="3162" xr:uid="{00000000-0005-0000-0000-0000B6020000}"/>
    <cellStyle name="20% - Accent1 7 3 2" xfId="7841" xr:uid="{00000000-0005-0000-0000-0000B7020000}"/>
    <cellStyle name="20% - Accent1 7 3 2 2" xfId="17165" xr:uid="{00000000-0005-0000-0000-0000B8020000}"/>
    <cellStyle name="20% - Accent1 7 3 2 3" xfId="26488" xr:uid="{00000000-0005-0000-0000-0000B9020000}"/>
    <cellStyle name="20% - Accent1 7 3 3" xfId="12548" xr:uid="{00000000-0005-0000-0000-0000BA020000}"/>
    <cellStyle name="20% - Accent1 7 3 4" xfId="21874" xr:uid="{00000000-0005-0000-0000-0000BB020000}"/>
    <cellStyle name="20% - Accent1 7 4" xfId="4828" xr:uid="{00000000-0005-0000-0000-0000BC020000}"/>
    <cellStyle name="20% - Accent1 7 4 2" xfId="14152" xr:uid="{00000000-0005-0000-0000-0000BD020000}"/>
    <cellStyle name="20% - Accent1 7 4 3" xfId="23475" xr:uid="{00000000-0005-0000-0000-0000BE020000}"/>
    <cellStyle name="20% - Accent1 7 5" xfId="10229" xr:uid="{00000000-0005-0000-0000-0000BF020000}"/>
    <cellStyle name="20% - Accent1 7 6" xfId="19553" xr:uid="{00000000-0005-0000-0000-0000C0020000}"/>
    <cellStyle name="20% - Accent1 8" xfId="1376" xr:uid="{00000000-0005-0000-0000-0000C1020000}"/>
    <cellStyle name="20% - Accent1 8 2" xfId="3163" xr:uid="{00000000-0005-0000-0000-0000C2020000}"/>
    <cellStyle name="20% - Accent1 8 2 2" xfId="7842" xr:uid="{00000000-0005-0000-0000-0000C3020000}"/>
    <cellStyle name="20% - Accent1 8 2 2 2" xfId="17166" xr:uid="{00000000-0005-0000-0000-0000C4020000}"/>
    <cellStyle name="20% - Accent1 8 2 2 3" xfId="26489" xr:uid="{00000000-0005-0000-0000-0000C5020000}"/>
    <cellStyle name="20% - Accent1 8 2 3" xfId="12549" xr:uid="{00000000-0005-0000-0000-0000C6020000}"/>
    <cellStyle name="20% - Accent1 8 2 4" xfId="21875" xr:uid="{00000000-0005-0000-0000-0000C7020000}"/>
    <cellStyle name="20% - Accent1 8 3" xfId="4829" xr:uid="{00000000-0005-0000-0000-0000C8020000}"/>
    <cellStyle name="20% - Accent1 8 3 2" xfId="14153" xr:uid="{00000000-0005-0000-0000-0000C9020000}"/>
    <cellStyle name="20% - Accent1 8 3 3" xfId="23476" xr:uid="{00000000-0005-0000-0000-0000CA020000}"/>
    <cellStyle name="20% - Accent1 8 4" xfId="10944" xr:uid="{00000000-0005-0000-0000-0000CB020000}"/>
    <cellStyle name="20% - Accent1 8 5" xfId="20268" xr:uid="{00000000-0005-0000-0000-0000CC020000}"/>
    <cellStyle name="20% - Accent1 9" xfId="1123" xr:uid="{00000000-0005-0000-0000-0000CD020000}"/>
    <cellStyle name="20% - Accent1 9 2" xfId="6717" xr:uid="{00000000-0005-0000-0000-0000CE020000}"/>
    <cellStyle name="20% - Accent1 9 2 2" xfId="16041" xr:uid="{00000000-0005-0000-0000-0000CF020000}"/>
    <cellStyle name="20% - Accent1 9 2 3" xfId="25364" xr:uid="{00000000-0005-0000-0000-0000D0020000}"/>
    <cellStyle name="20% - Accent1 9 3" xfId="10722" xr:uid="{00000000-0005-0000-0000-0000D1020000}"/>
    <cellStyle name="20% - Accent1 9 4" xfId="20046" xr:uid="{00000000-0005-0000-0000-0000D2020000}"/>
    <cellStyle name="20% - Accent2" xfId="37" builtinId="34" customBuiltin="1"/>
    <cellStyle name="20% - Accent2 10" xfId="2939" xr:uid="{00000000-0005-0000-0000-0000D4020000}"/>
    <cellStyle name="20% - Accent2 10 2" xfId="7621" xr:uid="{00000000-0005-0000-0000-0000D5020000}"/>
    <cellStyle name="20% - Accent2 10 2 2" xfId="16945" xr:uid="{00000000-0005-0000-0000-0000D6020000}"/>
    <cellStyle name="20% - Accent2 10 2 3" xfId="26268" xr:uid="{00000000-0005-0000-0000-0000D7020000}"/>
    <cellStyle name="20% - Accent2 10 3" xfId="12344" xr:uid="{00000000-0005-0000-0000-0000D8020000}"/>
    <cellStyle name="20% - Accent2 10 4" xfId="21670" xr:uid="{00000000-0005-0000-0000-0000D9020000}"/>
    <cellStyle name="20% - Accent2 11" xfId="4576" xr:uid="{00000000-0005-0000-0000-0000DA020000}"/>
    <cellStyle name="20% - Accent2 11 2" xfId="13900" xr:uid="{00000000-0005-0000-0000-0000DB020000}"/>
    <cellStyle name="20% - Accent2 11 3" xfId="23223" xr:uid="{00000000-0005-0000-0000-0000DC020000}"/>
    <cellStyle name="20% - Accent2 12" xfId="9240" xr:uid="{00000000-0005-0000-0000-0000DD020000}"/>
    <cellStyle name="20% - Accent2 12 2" xfId="18564" xr:uid="{00000000-0005-0000-0000-0000DE020000}"/>
    <cellStyle name="20% - Accent2 12 3" xfId="27887" xr:uid="{00000000-0005-0000-0000-0000DF020000}"/>
    <cellStyle name="20% - Accent2 13" xfId="9734" xr:uid="{00000000-0005-0000-0000-0000E0020000}"/>
    <cellStyle name="20% - Accent2 14" xfId="19058" xr:uid="{00000000-0005-0000-0000-0000E1020000}"/>
    <cellStyle name="20% - Accent2 15" xfId="28390" xr:uid="{00000000-0005-0000-0000-0000E2020000}"/>
    <cellStyle name="20% - Accent2 2" xfId="59" xr:uid="{00000000-0005-0000-0000-0000E3020000}"/>
    <cellStyle name="20% - Accent2 2 10" xfId="4599" xr:uid="{00000000-0005-0000-0000-0000E4020000}"/>
    <cellStyle name="20% - Accent2 2 10 2" xfId="13923" xr:uid="{00000000-0005-0000-0000-0000E5020000}"/>
    <cellStyle name="20% - Accent2 2 10 3" xfId="23246" xr:uid="{00000000-0005-0000-0000-0000E6020000}"/>
    <cellStyle name="20% - Accent2 2 11" xfId="9253" xr:uid="{00000000-0005-0000-0000-0000E7020000}"/>
    <cellStyle name="20% - Accent2 2 11 2" xfId="18577" xr:uid="{00000000-0005-0000-0000-0000E8020000}"/>
    <cellStyle name="20% - Accent2 2 11 3" xfId="27900" xr:uid="{00000000-0005-0000-0000-0000E9020000}"/>
    <cellStyle name="20% - Accent2 2 12" xfId="9747" xr:uid="{00000000-0005-0000-0000-0000EA020000}"/>
    <cellStyle name="20% - Accent2 2 13" xfId="19071" xr:uid="{00000000-0005-0000-0000-0000EB020000}"/>
    <cellStyle name="20% - Accent2 2 14" xfId="28391" xr:uid="{00000000-0005-0000-0000-0000EC020000}"/>
    <cellStyle name="20% - Accent2 2 2" xfId="197" xr:uid="{00000000-0005-0000-0000-0000ED020000}"/>
    <cellStyle name="20% - Accent2 2 2 10" xfId="9819" xr:uid="{00000000-0005-0000-0000-0000EE020000}"/>
    <cellStyle name="20% - Accent2 2 2 11" xfId="19143" xr:uid="{00000000-0005-0000-0000-0000EF020000}"/>
    <cellStyle name="20% - Accent2 2 2 2" xfId="337" xr:uid="{00000000-0005-0000-0000-0000F0020000}"/>
    <cellStyle name="20% - Accent2 2 2 2 10" xfId="19266" xr:uid="{00000000-0005-0000-0000-0000F1020000}"/>
    <cellStyle name="20% - Accent2 2 2 2 2" xfId="577" xr:uid="{00000000-0005-0000-0000-0000F2020000}"/>
    <cellStyle name="20% - Accent2 2 2 2 2 2" xfId="1065" xr:uid="{00000000-0005-0000-0000-0000F3020000}"/>
    <cellStyle name="20% - Accent2 2 2 2 2 2 2" xfId="4687" xr:uid="{00000000-0005-0000-0000-0000F4020000}"/>
    <cellStyle name="20% - Accent2 2 2 2 2 2 2 2" xfId="14011" xr:uid="{00000000-0005-0000-0000-0000F5020000}"/>
    <cellStyle name="20% - Accent2 2 2 2 2 2 2 3" xfId="23334" xr:uid="{00000000-0005-0000-0000-0000F6020000}"/>
    <cellStyle name="20% - Accent2 2 2 2 2 2 3" xfId="10666" xr:uid="{00000000-0005-0000-0000-0000F7020000}"/>
    <cellStyle name="20% - Accent2 2 2 2 2 2 4" xfId="19990" xr:uid="{00000000-0005-0000-0000-0000F8020000}"/>
    <cellStyle name="20% - Accent2 2 2 2 2 3" xfId="1380" xr:uid="{00000000-0005-0000-0000-0000F9020000}"/>
    <cellStyle name="20% - Accent2 2 2 2 2 3 2" xfId="7331" xr:uid="{00000000-0005-0000-0000-0000FA020000}"/>
    <cellStyle name="20% - Accent2 2 2 2 2 3 2 2" xfId="16655" xr:uid="{00000000-0005-0000-0000-0000FB020000}"/>
    <cellStyle name="20% - Accent2 2 2 2 2 3 2 3" xfId="25978" xr:uid="{00000000-0005-0000-0000-0000FC020000}"/>
    <cellStyle name="20% - Accent2 2 2 2 2 3 3" xfId="10948" xr:uid="{00000000-0005-0000-0000-0000FD020000}"/>
    <cellStyle name="20% - Accent2 2 2 2 2 3 4" xfId="20272" xr:uid="{00000000-0005-0000-0000-0000FE020000}"/>
    <cellStyle name="20% - Accent2 2 2 2 2 4" xfId="3167" xr:uid="{00000000-0005-0000-0000-0000FF020000}"/>
    <cellStyle name="20% - Accent2 2 2 2 2 4 2" xfId="7846" xr:uid="{00000000-0005-0000-0000-000000030000}"/>
    <cellStyle name="20% - Accent2 2 2 2 2 4 2 2" xfId="17170" xr:uid="{00000000-0005-0000-0000-000001030000}"/>
    <cellStyle name="20% - Accent2 2 2 2 2 4 2 3" xfId="26493" xr:uid="{00000000-0005-0000-0000-000002030000}"/>
    <cellStyle name="20% - Accent2 2 2 2 2 4 3" xfId="12553" xr:uid="{00000000-0005-0000-0000-000003030000}"/>
    <cellStyle name="20% - Accent2 2 2 2 2 4 4" xfId="21879" xr:uid="{00000000-0005-0000-0000-000004030000}"/>
    <cellStyle name="20% - Accent2 2 2 2 2 5" xfId="4833" xr:uid="{00000000-0005-0000-0000-000005030000}"/>
    <cellStyle name="20% - Accent2 2 2 2 2 5 2" xfId="14157" xr:uid="{00000000-0005-0000-0000-000006030000}"/>
    <cellStyle name="20% - Accent2 2 2 2 2 5 3" xfId="23480" xr:uid="{00000000-0005-0000-0000-000007030000}"/>
    <cellStyle name="20% - Accent2 2 2 2 2 6" xfId="7075" xr:uid="{00000000-0005-0000-0000-000008030000}"/>
    <cellStyle name="20% - Accent2 2 2 2 2 6 2" xfId="16399" xr:uid="{00000000-0005-0000-0000-000009030000}"/>
    <cellStyle name="20% - Accent2 2 2 2 2 6 3" xfId="25722" xr:uid="{00000000-0005-0000-0000-00000A030000}"/>
    <cellStyle name="20% - Accent2 2 2 2 2 7" xfId="9688" xr:uid="{00000000-0005-0000-0000-00000B030000}"/>
    <cellStyle name="20% - Accent2 2 2 2 2 7 2" xfId="19012" xr:uid="{00000000-0005-0000-0000-00000C030000}"/>
    <cellStyle name="20% - Accent2 2 2 2 2 7 3" xfId="28335" xr:uid="{00000000-0005-0000-0000-00000D030000}"/>
    <cellStyle name="20% - Accent2 2 2 2 2 8" xfId="10182" xr:uid="{00000000-0005-0000-0000-00000E030000}"/>
    <cellStyle name="20% - Accent2 2 2 2 2 9" xfId="19506" xr:uid="{00000000-0005-0000-0000-00000F030000}"/>
    <cellStyle name="20% - Accent2 2 2 2 3" xfId="825" xr:uid="{00000000-0005-0000-0000-000010030000}"/>
    <cellStyle name="20% - Accent2 2 2 2 3 2" xfId="7348" xr:uid="{00000000-0005-0000-0000-000011030000}"/>
    <cellStyle name="20% - Accent2 2 2 2 3 2 2" xfId="16672" xr:uid="{00000000-0005-0000-0000-000012030000}"/>
    <cellStyle name="20% - Accent2 2 2 2 3 2 3" xfId="25995" xr:uid="{00000000-0005-0000-0000-000013030000}"/>
    <cellStyle name="20% - Accent2 2 2 2 3 3" xfId="10426" xr:uid="{00000000-0005-0000-0000-000014030000}"/>
    <cellStyle name="20% - Accent2 2 2 2 3 4" xfId="19750" xr:uid="{00000000-0005-0000-0000-000015030000}"/>
    <cellStyle name="20% - Accent2 2 2 2 4" xfId="1379" xr:uid="{00000000-0005-0000-0000-000016030000}"/>
    <cellStyle name="20% - Accent2 2 2 2 4 2" xfId="5835" xr:uid="{00000000-0005-0000-0000-000017030000}"/>
    <cellStyle name="20% - Accent2 2 2 2 4 2 2" xfId="15159" xr:uid="{00000000-0005-0000-0000-000018030000}"/>
    <cellStyle name="20% - Accent2 2 2 2 4 2 3" xfId="24482" xr:uid="{00000000-0005-0000-0000-000019030000}"/>
    <cellStyle name="20% - Accent2 2 2 2 4 3" xfId="10947" xr:uid="{00000000-0005-0000-0000-00001A030000}"/>
    <cellStyle name="20% - Accent2 2 2 2 4 4" xfId="20271" xr:uid="{00000000-0005-0000-0000-00001B030000}"/>
    <cellStyle name="20% - Accent2 2 2 2 5" xfId="3166" xr:uid="{00000000-0005-0000-0000-00001C030000}"/>
    <cellStyle name="20% - Accent2 2 2 2 5 2" xfId="7845" xr:uid="{00000000-0005-0000-0000-00001D030000}"/>
    <cellStyle name="20% - Accent2 2 2 2 5 2 2" xfId="17169" xr:uid="{00000000-0005-0000-0000-00001E030000}"/>
    <cellStyle name="20% - Accent2 2 2 2 5 2 3" xfId="26492" xr:uid="{00000000-0005-0000-0000-00001F030000}"/>
    <cellStyle name="20% - Accent2 2 2 2 5 3" xfId="12552" xr:uid="{00000000-0005-0000-0000-000020030000}"/>
    <cellStyle name="20% - Accent2 2 2 2 5 4" xfId="21878" xr:uid="{00000000-0005-0000-0000-000021030000}"/>
    <cellStyle name="20% - Accent2 2 2 2 6" xfId="4832" xr:uid="{00000000-0005-0000-0000-000022030000}"/>
    <cellStyle name="20% - Accent2 2 2 2 6 2" xfId="14156" xr:uid="{00000000-0005-0000-0000-000023030000}"/>
    <cellStyle name="20% - Accent2 2 2 2 6 3" xfId="23479" xr:uid="{00000000-0005-0000-0000-000024030000}"/>
    <cellStyle name="20% - Accent2 2 2 2 7" xfId="7208" xr:uid="{00000000-0005-0000-0000-000025030000}"/>
    <cellStyle name="20% - Accent2 2 2 2 7 2" xfId="16532" xr:uid="{00000000-0005-0000-0000-000026030000}"/>
    <cellStyle name="20% - Accent2 2 2 2 7 3" xfId="25855" xr:uid="{00000000-0005-0000-0000-000027030000}"/>
    <cellStyle name="20% - Accent2 2 2 2 8" xfId="9448" xr:uid="{00000000-0005-0000-0000-000028030000}"/>
    <cellStyle name="20% - Accent2 2 2 2 8 2" xfId="18772" xr:uid="{00000000-0005-0000-0000-000029030000}"/>
    <cellStyle name="20% - Accent2 2 2 2 8 3" xfId="28095" xr:uid="{00000000-0005-0000-0000-00002A030000}"/>
    <cellStyle name="20% - Accent2 2 2 2 9" xfId="9942" xr:uid="{00000000-0005-0000-0000-00002B030000}"/>
    <cellStyle name="20% - Accent2 2 2 3" xfId="455" xr:uid="{00000000-0005-0000-0000-00002C030000}"/>
    <cellStyle name="20% - Accent2 2 2 3 2" xfId="943" xr:uid="{00000000-0005-0000-0000-00002D030000}"/>
    <cellStyle name="20% - Accent2 2 2 3 2 2" xfId="6830" xr:uid="{00000000-0005-0000-0000-00002E030000}"/>
    <cellStyle name="20% - Accent2 2 2 3 2 2 2" xfId="16154" xr:uid="{00000000-0005-0000-0000-00002F030000}"/>
    <cellStyle name="20% - Accent2 2 2 3 2 2 3" xfId="25477" xr:uid="{00000000-0005-0000-0000-000030030000}"/>
    <cellStyle name="20% - Accent2 2 2 3 2 3" xfId="10544" xr:uid="{00000000-0005-0000-0000-000031030000}"/>
    <cellStyle name="20% - Accent2 2 2 3 2 4" xfId="19868" xr:uid="{00000000-0005-0000-0000-000032030000}"/>
    <cellStyle name="20% - Accent2 2 2 3 3" xfId="1381" xr:uid="{00000000-0005-0000-0000-000033030000}"/>
    <cellStyle name="20% - Accent2 2 2 3 3 2" xfId="6629" xr:uid="{00000000-0005-0000-0000-000034030000}"/>
    <cellStyle name="20% - Accent2 2 2 3 3 2 2" xfId="15953" xr:uid="{00000000-0005-0000-0000-000035030000}"/>
    <cellStyle name="20% - Accent2 2 2 3 3 2 3" xfId="25276" xr:uid="{00000000-0005-0000-0000-000036030000}"/>
    <cellStyle name="20% - Accent2 2 2 3 3 3" xfId="10949" xr:uid="{00000000-0005-0000-0000-000037030000}"/>
    <cellStyle name="20% - Accent2 2 2 3 3 4" xfId="20273" xr:uid="{00000000-0005-0000-0000-000038030000}"/>
    <cellStyle name="20% - Accent2 2 2 3 4" xfId="3168" xr:uid="{00000000-0005-0000-0000-000039030000}"/>
    <cellStyle name="20% - Accent2 2 2 3 4 2" xfId="7847" xr:uid="{00000000-0005-0000-0000-00003A030000}"/>
    <cellStyle name="20% - Accent2 2 2 3 4 2 2" xfId="17171" xr:uid="{00000000-0005-0000-0000-00003B030000}"/>
    <cellStyle name="20% - Accent2 2 2 3 4 2 3" xfId="26494" xr:uid="{00000000-0005-0000-0000-00003C030000}"/>
    <cellStyle name="20% - Accent2 2 2 3 4 3" xfId="12554" xr:uid="{00000000-0005-0000-0000-00003D030000}"/>
    <cellStyle name="20% - Accent2 2 2 3 4 4" xfId="21880" xr:uid="{00000000-0005-0000-0000-00003E030000}"/>
    <cellStyle name="20% - Accent2 2 2 3 5" xfId="4834" xr:uid="{00000000-0005-0000-0000-00003F030000}"/>
    <cellStyle name="20% - Accent2 2 2 3 5 2" xfId="14158" xr:uid="{00000000-0005-0000-0000-000040030000}"/>
    <cellStyle name="20% - Accent2 2 2 3 5 3" xfId="23481" xr:uid="{00000000-0005-0000-0000-000041030000}"/>
    <cellStyle name="20% - Accent2 2 2 3 6" xfId="7140" xr:uid="{00000000-0005-0000-0000-000042030000}"/>
    <cellStyle name="20% - Accent2 2 2 3 6 2" xfId="16464" xr:uid="{00000000-0005-0000-0000-000043030000}"/>
    <cellStyle name="20% - Accent2 2 2 3 6 3" xfId="25787" xr:uid="{00000000-0005-0000-0000-000044030000}"/>
    <cellStyle name="20% - Accent2 2 2 3 7" xfId="9566" xr:uid="{00000000-0005-0000-0000-000045030000}"/>
    <cellStyle name="20% - Accent2 2 2 3 7 2" xfId="18890" xr:uid="{00000000-0005-0000-0000-000046030000}"/>
    <cellStyle name="20% - Accent2 2 2 3 7 3" xfId="28213" xr:uid="{00000000-0005-0000-0000-000047030000}"/>
    <cellStyle name="20% - Accent2 2 2 3 8" xfId="10060" xr:uid="{00000000-0005-0000-0000-000048030000}"/>
    <cellStyle name="20% - Accent2 2 2 3 9" xfId="19384" xr:uid="{00000000-0005-0000-0000-000049030000}"/>
    <cellStyle name="20% - Accent2 2 2 4" xfId="703" xr:uid="{00000000-0005-0000-0000-00004A030000}"/>
    <cellStyle name="20% - Accent2 2 2 4 2" xfId="7010" xr:uid="{00000000-0005-0000-0000-00004B030000}"/>
    <cellStyle name="20% - Accent2 2 2 4 2 2" xfId="16334" xr:uid="{00000000-0005-0000-0000-00004C030000}"/>
    <cellStyle name="20% - Accent2 2 2 4 2 3" xfId="25657" xr:uid="{00000000-0005-0000-0000-00004D030000}"/>
    <cellStyle name="20% - Accent2 2 2 4 3" xfId="10304" xr:uid="{00000000-0005-0000-0000-00004E030000}"/>
    <cellStyle name="20% - Accent2 2 2 4 4" xfId="19628" xr:uid="{00000000-0005-0000-0000-00004F030000}"/>
    <cellStyle name="20% - Accent2 2 2 5" xfId="1378" xr:uid="{00000000-0005-0000-0000-000050030000}"/>
    <cellStyle name="20% - Accent2 2 2 5 2" xfId="6643" xr:uid="{00000000-0005-0000-0000-000051030000}"/>
    <cellStyle name="20% - Accent2 2 2 5 2 2" xfId="15967" xr:uid="{00000000-0005-0000-0000-000052030000}"/>
    <cellStyle name="20% - Accent2 2 2 5 2 3" xfId="25290" xr:uid="{00000000-0005-0000-0000-000053030000}"/>
    <cellStyle name="20% - Accent2 2 2 5 3" xfId="10946" xr:uid="{00000000-0005-0000-0000-000054030000}"/>
    <cellStyle name="20% - Accent2 2 2 5 4" xfId="20270" xr:uid="{00000000-0005-0000-0000-000055030000}"/>
    <cellStyle name="20% - Accent2 2 2 6" xfId="3165" xr:uid="{00000000-0005-0000-0000-000056030000}"/>
    <cellStyle name="20% - Accent2 2 2 6 2" xfId="7844" xr:uid="{00000000-0005-0000-0000-000057030000}"/>
    <cellStyle name="20% - Accent2 2 2 6 2 2" xfId="17168" xr:uid="{00000000-0005-0000-0000-000058030000}"/>
    <cellStyle name="20% - Accent2 2 2 6 2 3" xfId="26491" xr:uid="{00000000-0005-0000-0000-000059030000}"/>
    <cellStyle name="20% - Accent2 2 2 6 3" xfId="12551" xr:uid="{00000000-0005-0000-0000-00005A030000}"/>
    <cellStyle name="20% - Accent2 2 2 6 4" xfId="21877" xr:uid="{00000000-0005-0000-0000-00005B030000}"/>
    <cellStyle name="20% - Accent2 2 2 7" xfId="4831" xr:uid="{00000000-0005-0000-0000-00005C030000}"/>
    <cellStyle name="20% - Accent2 2 2 7 2" xfId="14155" xr:uid="{00000000-0005-0000-0000-00005D030000}"/>
    <cellStyle name="20% - Accent2 2 2 7 3" xfId="23478" xr:uid="{00000000-0005-0000-0000-00005E030000}"/>
    <cellStyle name="20% - Accent2 2 2 8" xfId="7276" xr:uid="{00000000-0005-0000-0000-00005F030000}"/>
    <cellStyle name="20% - Accent2 2 2 8 2" xfId="16600" xr:uid="{00000000-0005-0000-0000-000060030000}"/>
    <cellStyle name="20% - Accent2 2 2 8 3" xfId="25923" xr:uid="{00000000-0005-0000-0000-000061030000}"/>
    <cellStyle name="20% - Accent2 2 2 9" xfId="9325" xr:uid="{00000000-0005-0000-0000-000062030000}"/>
    <cellStyle name="20% - Accent2 2 2 9 2" xfId="18649" xr:uid="{00000000-0005-0000-0000-000063030000}"/>
    <cellStyle name="20% - Accent2 2 2 9 3" xfId="27972" xr:uid="{00000000-0005-0000-0000-000064030000}"/>
    <cellStyle name="20% - Accent2 2 3" xfId="262" xr:uid="{00000000-0005-0000-0000-000065030000}"/>
    <cellStyle name="20% - Accent2 2 3 2" xfId="516" xr:uid="{00000000-0005-0000-0000-000066030000}"/>
    <cellStyle name="20% - Accent2 2 3 2 2" xfId="1004" xr:uid="{00000000-0005-0000-0000-000067030000}"/>
    <cellStyle name="20% - Accent2 2 3 2 2 2" xfId="6794" xr:uid="{00000000-0005-0000-0000-000068030000}"/>
    <cellStyle name="20% - Accent2 2 3 2 2 2 2" xfId="16118" xr:uid="{00000000-0005-0000-0000-000069030000}"/>
    <cellStyle name="20% - Accent2 2 3 2 2 2 3" xfId="25441" xr:uid="{00000000-0005-0000-0000-00006A030000}"/>
    <cellStyle name="20% - Accent2 2 3 2 2 3" xfId="10605" xr:uid="{00000000-0005-0000-0000-00006B030000}"/>
    <cellStyle name="20% - Accent2 2 3 2 2 4" xfId="19929" xr:uid="{00000000-0005-0000-0000-00006C030000}"/>
    <cellStyle name="20% - Accent2 2 3 2 3" xfId="1383" xr:uid="{00000000-0005-0000-0000-00006D030000}"/>
    <cellStyle name="20% - Accent2 2 3 2 3 2" xfId="6640" xr:uid="{00000000-0005-0000-0000-00006E030000}"/>
    <cellStyle name="20% - Accent2 2 3 2 3 2 2" xfId="15964" xr:uid="{00000000-0005-0000-0000-00006F030000}"/>
    <cellStyle name="20% - Accent2 2 3 2 3 2 3" xfId="25287" xr:uid="{00000000-0005-0000-0000-000070030000}"/>
    <cellStyle name="20% - Accent2 2 3 2 3 3" xfId="10951" xr:uid="{00000000-0005-0000-0000-000071030000}"/>
    <cellStyle name="20% - Accent2 2 3 2 3 4" xfId="20275" xr:uid="{00000000-0005-0000-0000-000072030000}"/>
    <cellStyle name="20% - Accent2 2 3 2 4" xfId="3170" xr:uid="{00000000-0005-0000-0000-000073030000}"/>
    <cellStyle name="20% - Accent2 2 3 2 4 2" xfId="7849" xr:uid="{00000000-0005-0000-0000-000074030000}"/>
    <cellStyle name="20% - Accent2 2 3 2 4 2 2" xfId="17173" xr:uid="{00000000-0005-0000-0000-000075030000}"/>
    <cellStyle name="20% - Accent2 2 3 2 4 2 3" xfId="26496" xr:uid="{00000000-0005-0000-0000-000076030000}"/>
    <cellStyle name="20% - Accent2 2 3 2 4 3" xfId="12556" xr:uid="{00000000-0005-0000-0000-000077030000}"/>
    <cellStyle name="20% - Accent2 2 3 2 4 4" xfId="21882" xr:uid="{00000000-0005-0000-0000-000078030000}"/>
    <cellStyle name="20% - Accent2 2 3 2 5" xfId="4836" xr:uid="{00000000-0005-0000-0000-000079030000}"/>
    <cellStyle name="20% - Accent2 2 3 2 5 2" xfId="14160" xr:uid="{00000000-0005-0000-0000-00007A030000}"/>
    <cellStyle name="20% - Accent2 2 3 2 5 3" xfId="23483" xr:uid="{00000000-0005-0000-0000-00007B030000}"/>
    <cellStyle name="20% - Accent2 2 3 2 6" xfId="9627" xr:uid="{00000000-0005-0000-0000-00007C030000}"/>
    <cellStyle name="20% - Accent2 2 3 2 6 2" xfId="18951" xr:uid="{00000000-0005-0000-0000-00007D030000}"/>
    <cellStyle name="20% - Accent2 2 3 2 6 3" xfId="28274" xr:uid="{00000000-0005-0000-0000-00007E030000}"/>
    <cellStyle name="20% - Accent2 2 3 2 7" xfId="10121" xr:uid="{00000000-0005-0000-0000-00007F030000}"/>
    <cellStyle name="20% - Accent2 2 3 2 8" xfId="19445" xr:uid="{00000000-0005-0000-0000-000080030000}"/>
    <cellStyle name="20% - Accent2 2 3 3" xfId="764" xr:uid="{00000000-0005-0000-0000-000081030000}"/>
    <cellStyle name="20% - Accent2 2 3 3 2" xfId="6964" xr:uid="{00000000-0005-0000-0000-000082030000}"/>
    <cellStyle name="20% - Accent2 2 3 3 2 2" xfId="16288" xr:uid="{00000000-0005-0000-0000-000083030000}"/>
    <cellStyle name="20% - Accent2 2 3 3 2 3" xfId="25611" xr:uid="{00000000-0005-0000-0000-000084030000}"/>
    <cellStyle name="20% - Accent2 2 3 3 3" xfId="10365" xr:uid="{00000000-0005-0000-0000-000085030000}"/>
    <cellStyle name="20% - Accent2 2 3 3 4" xfId="19689" xr:uid="{00000000-0005-0000-0000-000086030000}"/>
    <cellStyle name="20% - Accent2 2 3 4" xfId="1382" xr:uid="{00000000-0005-0000-0000-000087030000}"/>
    <cellStyle name="20% - Accent2 2 3 4 2" xfId="6641" xr:uid="{00000000-0005-0000-0000-000088030000}"/>
    <cellStyle name="20% - Accent2 2 3 4 2 2" xfId="15965" xr:uid="{00000000-0005-0000-0000-000089030000}"/>
    <cellStyle name="20% - Accent2 2 3 4 2 3" xfId="25288" xr:uid="{00000000-0005-0000-0000-00008A030000}"/>
    <cellStyle name="20% - Accent2 2 3 4 3" xfId="10950" xr:uid="{00000000-0005-0000-0000-00008B030000}"/>
    <cellStyle name="20% - Accent2 2 3 4 4" xfId="20274" xr:uid="{00000000-0005-0000-0000-00008C030000}"/>
    <cellStyle name="20% - Accent2 2 3 5" xfId="3169" xr:uid="{00000000-0005-0000-0000-00008D030000}"/>
    <cellStyle name="20% - Accent2 2 3 5 2" xfId="7848" xr:uid="{00000000-0005-0000-0000-00008E030000}"/>
    <cellStyle name="20% - Accent2 2 3 5 2 2" xfId="17172" xr:uid="{00000000-0005-0000-0000-00008F030000}"/>
    <cellStyle name="20% - Accent2 2 3 5 2 3" xfId="26495" xr:uid="{00000000-0005-0000-0000-000090030000}"/>
    <cellStyle name="20% - Accent2 2 3 5 3" xfId="12555" xr:uid="{00000000-0005-0000-0000-000091030000}"/>
    <cellStyle name="20% - Accent2 2 3 5 4" xfId="21881" xr:uid="{00000000-0005-0000-0000-000092030000}"/>
    <cellStyle name="20% - Accent2 2 3 6" xfId="4835" xr:uid="{00000000-0005-0000-0000-000093030000}"/>
    <cellStyle name="20% - Accent2 2 3 6 2" xfId="14159" xr:uid="{00000000-0005-0000-0000-000094030000}"/>
    <cellStyle name="20% - Accent2 2 3 6 3" xfId="23482" xr:uid="{00000000-0005-0000-0000-000095030000}"/>
    <cellStyle name="20% - Accent2 2 3 7" xfId="9386" xr:uid="{00000000-0005-0000-0000-000096030000}"/>
    <cellStyle name="20% - Accent2 2 3 7 2" xfId="18710" xr:uid="{00000000-0005-0000-0000-000097030000}"/>
    <cellStyle name="20% - Accent2 2 3 7 3" xfId="28033" xr:uid="{00000000-0005-0000-0000-000098030000}"/>
    <cellStyle name="20% - Accent2 2 3 8" xfId="9880" xr:uid="{00000000-0005-0000-0000-000099030000}"/>
    <cellStyle name="20% - Accent2 2 3 9" xfId="19204" xr:uid="{00000000-0005-0000-0000-00009A030000}"/>
    <cellStyle name="20% - Accent2 2 4" xfId="396" xr:uid="{00000000-0005-0000-0000-00009B030000}"/>
    <cellStyle name="20% - Accent2 2 4 2" xfId="884" xr:uid="{00000000-0005-0000-0000-00009C030000}"/>
    <cellStyle name="20% - Accent2 2 4 2 2" xfId="6880" xr:uid="{00000000-0005-0000-0000-00009D030000}"/>
    <cellStyle name="20% - Accent2 2 4 2 2 2" xfId="16204" xr:uid="{00000000-0005-0000-0000-00009E030000}"/>
    <cellStyle name="20% - Accent2 2 4 2 2 3" xfId="25527" xr:uid="{00000000-0005-0000-0000-00009F030000}"/>
    <cellStyle name="20% - Accent2 2 4 2 3" xfId="10485" xr:uid="{00000000-0005-0000-0000-0000A0030000}"/>
    <cellStyle name="20% - Accent2 2 4 2 4" xfId="19809" xr:uid="{00000000-0005-0000-0000-0000A1030000}"/>
    <cellStyle name="20% - Accent2 2 4 3" xfId="1384" xr:uid="{00000000-0005-0000-0000-0000A2030000}"/>
    <cellStyle name="20% - Accent2 2 4 3 2" xfId="6639" xr:uid="{00000000-0005-0000-0000-0000A3030000}"/>
    <cellStyle name="20% - Accent2 2 4 3 2 2" xfId="15963" xr:uid="{00000000-0005-0000-0000-0000A4030000}"/>
    <cellStyle name="20% - Accent2 2 4 3 2 3" xfId="25286" xr:uid="{00000000-0005-0000-0000-0000A5030000}"/>
    <cellStyle name="20% - Accent2 2 4 3 3" xfId="10952" xr:uid="{00000000-0005-0000-0000-0000A6030000}"/>
    <cellStyle name="20% - Accent2 2 4 3 4" xfId="20276" xr:uid="{00000000-0005-0000-0000-0000A7030000}"/>
    <cellStyle name="20% - Accent2 2 4 4" xfId="3171" xr:uid="{00000000-0005-0000-0000-0000A8030000}"/>
    <cellStyle name="20% - Accent2 2 4 4 2" xfId="7850" xr:uid="{00000000-0005-0000-0000-0000A9030000}"/>
    <cellStyle name="20% - Accent2 2 4 4 2 2" xfId="17174" xr:uid="{00000000-0005-0000-0000-0000AA030000}"/>
    <cellStyle name="20% - Accent2 2 4 4 2 3" xfId="26497" xr:uid="{00000000-0005-0000-0000-0000AB030000}"/>
    <cellStyle name="20% - Accent2 2 4 4 3" xfId="12557" xr:uid="{00000000-0005-0000-0000-0000AC030000}"/>
    <cellStyle name="20% - Accent2 2 4 4 4" xfId="21883" xr:uid="{00000000-0005-0000-0000-0000AD030000}"/>
    <cellStyle name="20% - Accent2 2 4 5" xfId="4837" xr:uid="{00000000-0005-0000-0000-0000AE030000}"/>
    <cellStyle name="20% - Accent2 2 4 5 2" xfId="14161" xr:uid="{00000000-0005-0000-0000-0000AF030000}"/>
    <cellStyle name="20% - Accent2 2 4 5 3" xfId="23484" xr:uid="{00000000-0005-0000-0000-0000B0030000}"/>
    <cellStyle name="20% - Accent2 2 4 6" xfId="6306" xr:uid="{00000000-0005-0000-0000-0000B1030000}"/>
    <cellStyle name="20% - Accent2 2 4 6 2" xfId="15630" xr:uid="{00000000-0005-0000-0000-0000B2030000}"/>
    <cellStyle name="20% - Accent2 2 4 6 3" xfId="24953" xr:uid="{00000000-0005-0000-0000-0000B3030000}"/>
    <cellStyle name="20% - Accent2 2 4 7" xfId="9507" xr:uid="{00000000-0005-0000-0000-0000B4030000}"/>
    <cellStyle name="20% - Accent2 2 4 7 2" xfId="18831" xr:uid="{00000000-0005-0000-0000-0000B5030000}"/>
    <cellStyle name="20% - Accent2 2 4 7 3" xfId="28154" xr:uid="{00000000-0005-0000-0000-0000B6030000}"/>
    <cellStyle name="20% - Accent2 2 4 8" xfId="10001" xr:uid="{00000000-0005-0000-0000-0000B7030000}"/>
    <cellStyle name="20% - Accent2 2 4 9" xfId="19325" xr:uid="{00000000-0005-0000-0000-0000B8030000}"/>
    <cellStyle name="20% - Accent2 2 5" xfId="644" xr:uid="{00000000-0005-0000-0000-0000B9030000}"/>
    <cellStyle name="20% - Accent2 2 5 2" xfId="1385" xr:uid="{00000000-0005-0000-0000-0000BA030000}"/>
    <cellStyle name="20% - Accent2 2 5 2 2" xfId="6638" xr:uid="{00000000-0005-0000-0000-0000BB030000}"/>
    <cellStyle name="20% - Accent2 2 5 2 2 2" xfId="15962" xr:uid="{00000000-0005-0000-0000-0000BC030000}"/>
    <cellStyle name="20% - Accent2 2 5 2 2 3" xfId="25285" xr:uid="{00000000-0005-0000-0000-0000BD030000}"/>
    <cellStyle name="20% - Accent2 2 5 2 3" xfId="10953" xr:uid="{00000000-0005-0000-0000-0000BE030000}"/>
    <cellStyle name="20% - Accent2 2 5 2 4" xfId="20277" xr:uid="{00000000-0005-0000-0000-0000BF030000}"/>
    <cellStyle name="20% - Accent2 2 5 3" xfId="3172" xr:uid="{00000000-0005-0000-0000-0000C0030000}"/>
    <cellStyle name="20% - Accent2 2 5 3 2" xfId="7851" xr:uid="{00000000-0005-0000-0000-0000C1030000}"/>
    <cellStyle name="20% - Accent2 2 5 3 2 2" xfId="17175" xr:uid="{00000000-0005-0000-0000-0000C2030000}"/>
    <cellStyle name="20% - Accent2 2 5 3 2 3" xfId="26498" xr:uid="{00000000-0005-0000-0000-0000C3030000}"/>
    <cellStyle name="20% - Accent2 2 5 3 3" xfId="12558" xr:uid="{00000000-0005-0000-0000-0000C4030000}"/>
    <cellStyle name="20% - Accent2 2 5 3 4" xfId="21884" xr:uid="{00000000-0005-0000-0000-0000C5030000}"/>
    <cellStyle name="20% - Accent2 2 5 4" xfId="4838" xr:uid="{00000000-0005-0000-0000-0000C6030000}"/>
    <cellStyle name="20% - Accent2 2 5 4 2" xfId="14162" xr:uid="{00000000-0005-0000-0000-0000C7030000}"/>
    <cellStyle name="20% - Accent2 2 5 4 3" xfId="23485" xr:uid="{00000000-0005-0000-0000-0000C8030000}"/>
    <cellStyle name="20% - Accent2 2 5 5" xfId="10245" xr:uid="{00000000-0005-0000-0000-0000C9030000}"/>
    <cellStyle name="20% - Accent2 2 5 6" xfId="19569" xr:uid="{00000000-0005-0000-0000-0000CA030000}"/>
    <cellStyle name="20% - Accent2 2 6" xfId="1386" xr:uid="{00000000-0005-0000-0000-0000CB030000}"/>
    <cellStyle name="20% - Accent2 2 6 2" xfId="3173" xr:uid="{00000000-0005-0000-0000-0000CC030000}"/>
    <cellStyle name="20% - Accent2 2 6 2 2" xfId="7852" xr:uid="{00000000-0005-0000-0000-0000CD030000}"/>
    <cellStyle name="20% - Accent2 2 6 2 2 2" xfId="17176" xr:uid="{00000000-0005-0000-0000-0000CE030000}"/>
    <cellStyle name="20% - Accent2 2 6 2 2 3" xfId="26499" xr:uid="{00000000-0005-0000-0000-0000CF030000}"/>
    <cellStyle name="20% - Accent2 2 6 2 3" xfId="12559" xr:uid="{00000000-0005-0000-0000-0000D0030000}"/>
    <cellStyle name="20% - Accent2 2 6 2 4" xfId="21885" xr:uid="{00000000-0005-0000-0000-0000D1030000}"/>
    <cellStyle name="20% - Accent2 2 6 3" xfId="4839" xr:uid="{00000000-0005-0000-0000-0000D2030000}"/>
    <cellStyle name="20% - Accent2 2 6 3 2" xfId="14163" xr:uid="{00000000-0005-0000-0000-0000D3030000}"/>
    <cellStyle name="20% - Accent2 2 6 3 3" xfId="23486" xr:uid="{00000000-0005-0000-0000-0000D4030000}"/>
    <cellStyle name="20% - Accent2 2 6 4" xfId="10954" xr:uid="{00000000-0005-0000-0000-0000D5030000}"/>
    <cellStyle name="20% - Accent2 2 6 5" xfId="20278" xr:uid="{00000000-0005-0000-0000-0000D6030000}"/>
    <cellStyle name="20% - Accent2 2 7" xfId="1377" xr:uid="{00000000-0005-0000-0000-0000D7030000}"/>
    <cellStyle name="20% - Accent2 2 7 2" xfId="3164" xr:uid="{00000000-0005-0000-0000-0000D8030000}"/>
    <cellStyle name="20% - Accent2 2 7 2 2" xfId="7843" xr:uid="{00000000-0005-0000-0000-0000D9030000}"/>
    <cellStyle name="20% - Accent2 2 7 2 2 2" xfId="17167" xr:uid="{00000000-0005-0000-0000-0000DA030000}"/>
    <cellStyle name="20% - Accent2 2 7 2 2 3" xfId="26490" xr:uid="{00000000-0005-0000-0000-0000DB030000}"/>
    <cellStyle name="20% - Accent2 2 7 2 3" xfId="12550" xr:uid="{00000000-0005-0000-0000-0000DC030000}"/>
    <cellStyle name="20% - Accent2 2 7 2 4" xfId="21876" xr:uid="{00000000-0005-0000-0000-0000DD030000}"/>
    <cellStyle name="20% - Accent2 2 7 3" xfId="4830" xr:uid="{00000000-0005-0000-0000-0000DE030000}"/>
    <cellStyle name="20% - Accent2 2 7 3 2" xfId="14154" xr:uid="{00000000-0005-0000-0000-0000DF030000}"/>
    <cellStyle name="20% - Accent2 2 7 3 3" xfId="23477" xr:uid="{00000000-0005-0000-0000-0000E0030000}"/>
    <cellStyle name="20% - Accent2 2 7 4" xfId="10945" xr:uid="{00000000-0005-0000-0000-0000E1030000}"/>
    <cellStyle name="20% - Accent2 2 7 5" xfId="20269" xr:uid="{00000000-0005-0000-0000-0000E2030000}"/>
    <cellStyle name="20% - Accent2 2 8" xfId="1139" xr:uid="{00000000-0005-0000-0000-0000E3030000}"/>
    <cellStyle name="20% - Accent2 2 8 2" xfId="6710" xr:uid="{00000000-0005-0000-0000-0000E4030000}"/>
    <cellStyle name="20% - Accent2 2 8 2 2" xfId="16034" xr:uid="{00000000-0005-0000-0000-0000E5030000}"/>
    <cellStyle name="20% - Accent2 2 8 2 3" xfId="25357" xr:uid="{00000000-0005-0000-0000-0000E6030000}"/>
    <cellStyle name="20% - Accent2 2 8 3" xfId="10738" xr:uid="{00000000-0005-0000-0000-0000E7030000}"/>
    <cellStyle name="20% - Accent2 2 8 4" xfId="20062" xr:uid="{00000000-0005-0000-0000-0000E8030000}"/>
    <cellStyle name="20% - Accent2 2 9" xfId="2957" xr:uid="{00000000-0005-0000-0000-0000E9030000}"/>
    <cellStyle name="20% - Accent2 2 9 2" xfId="7636" xr:uid="{00000000-0005-0000-0000-0000EA030000}"/>
    <cellStyle name="20% - Accent2 2 9 2 2" xfId="16960" xr:uid="{00000000-0005-0000-0000-0000EB030000}"/>
    <cellStyle name="20% - Accent2 2 9 2 3" xfId="26283" xr:uid="{00000000-0005-0000-0000-0000EC030000}"/>
    <cellStyle name="20% - Accent2 2 9 3" xfId="12358" xr:uid="{00000000-0005-0000-0000-0000ED030000}"/>
    <cellStyle name="20% - Accent2 2 9 4" xfId="21684" xr:uid="{00000000-0005-0000-0000-0000EE030000}"/>
    <cellStyle name="20% - Accent2 3" xfId="60" xr:uid="{00000000-0005-0000-0000-0000EF030000}"/>
    <cellStyle name="20% - Accent2 3 10" xfId="9254" xr:uid="{00000000-0005-0000-0000-0000F0030000}"/>
    <cellStyle name="20% - Accent2 3 10 2" xfId="18578" xr:uid="{00000000-0005-0000-0000-0000F1030000}"/>
    <cellStyle name="20% - Accent2 3 10 3" xfId="27901" xr:uid="{00000000-0005-0000-0000-0000F2030000}"/>
    <cellStyle name="20% - Accent2 3 11" xfId="9748" xr:uid="{00000000-0005-0000-0000-0000F3030000}"/>
    <cellStyle name="20% - Accent2 3 12" xfId="19072" xr:uid="{00000000-0005-0000-0000-0000F4030000}"/>
    <cellStyle name="20% - Accent2 3 13" xfId="28836" xr:uid="{00000000-0005-0000-0000-0000F5030000}"/>
    <cellStyle name="20% - Accent2 3 2" xfId="198" xr:uid="{00000000-0005-0000-0000-0000F6030000}"/>
    <cellStyle name="20% - Accent2 3 2 10" xfId="9820" xr:uid="{00000000-0005-0000-0000-0000F7030000}"/>
    <cellStyle name="20% - Accent2 3 2 11" xfId="19144" xr:uid="{00000000-0005-0000-0000-0000F8030000}"/>
    <cellStyle name="20% - Accent2 3 2 2" xfId="338" xr:uid="{00000000-0005-0000-0000-0000F9030000}"/>
    <cellStyle name="20% - Accent2 3 2 2 10" xfId="19267" xr:uid="{00000000-0005-0000-0000-0000FA030000}"/>
    <cellStyle name="20% - Accent2 3 2 2 2" xfId="578" xr:uid="{00000000-0005-0000-0000-0000FB030000}"/>
    <cellStyle name="20% - Accent2 3 2 2 2 2" xfId="1066" xr:uid="{00000000-0005-0000-0000-0000FC030000}"/>
    <cellStyle name="20% - Accent2 3 2 2 2 2 2" xfId="6748" xr:uid="{00000000-0005-0000-0000-0000FD030000}"/>
    <cellStyle name="20% - Accent2 3 2 2 2 2 2 2" xfId="16072" xr:uid="{00000000-0005-0000-0000-0000FE030000}"/>
    <cellStyle name="20% - Accent2 3 2 2 2 2 2 3" xfId="25395" xr:uid="{00000000-0005-0000-0000-0000FF030000}"/>
    <cellStyle name="20% - Accent2 3 2 2 2 2 3" xfId="10667" xr:uid="{00000000-0005-0000-0000-000000040000}"/>
    <cellStyle name="20% - Accent2 3 2 2 2 2 4" xfId="19991" xr:uid="{00000000-0005-0000-0000-000001040000}"/>
    <cellStyle name="20% - Accent2 3 2 2 2 3" xfId="7074" xr:uid="{00000000-0005-0000-0000-000002040000}"/>
    <cellStyle name="20% - Accent2 3 2 2 2 3 2" xfId="16398" xr:uid="{00000000-0005-0000-0000-000003040000}"/>
    <cellStyle name="20% - Accent2 3 2 2 2 3 3" xfId="25721" xr:uid="{00000000-0005-0000-0000-000004040000}"/>
    <cellStyle name="20% - Accent2 3 2 2 2 4" xfId="9689" xr:uid="{00000000-0005-0000-0000-000005040000}"/>
    <cellStyle name="20% - Accent2 3 2 2 2 4 2" xfId="19013" xr:uid="{00000000-0005-0000-0000-000006040000}"/>
    <cellStyle name="20% - Accent2 3 2 2 2 4 3" xfId="28336" xr:uid="{00000000-0005-0000-0000-000007040000}"/>
    <cellStyle name="20% - Accent2 3 2 2 2 5" xfId="10183" xr:uid="{00000000-0005-0000-0000-000008040000}"/>
    <cellStyle name="20% - Accent2 3 2 2 2 6" xfId="19507" xr:uid="{00000000-0005-0000-0000-000009040000}"/>
    <cellStyle name="20% - Accent2 3 2 2 3" xfId="826" xr:uid="{00000000-0005-0000-0000-00000A040000}"/>
    <cellStyle name="20% - Accent2 3 2 2 3 2" xfId="6911" xr:uid="{00000000-0005-0000-0000-00000B040000}"/>
    <cellStyle name="20% - Accent2 3 2 2 3 2 2" xfId="16235" xr:uid="{00000000-0005-0000-0000-00000C040000}"/>
    <cellStyle name="20% - Accent2 3 2 2 3 2 3" xfId="25558" xr:uid="{00000000-0005-0000-0000-00000D040000}"/>
    <cellStyle name="20% - Accent2 3 2 2 3 3" xfId="10427" xr:uid="{00000000-0005-0000-0000-00000E040000}"/>
    <cellStyle name="20% - Accent2 3 2 2 3 4" xfId="19751" xr:uid="{00000000-0005-0000-0000-00000F040000}"/>
    <cellStyle name="20% - Accent2 3 2 2 4" xfId="1389" xr:uid="{00000000-0005-0000-0000-000010040000}"/>
    <cellStyle name="20% - Accent2 3 2 2 4 2" xfId="6635" xr:uid="{00000000-0005-0000-0000-000011040000}"/>
    <cellStyle name="20% - Accent2 3 2 2 4 2 2" xfId="15959" xr:uid="{00000000-0005-0000-0000-000012040000}"/>
    <cellStyle name="20% - Accent2 3 2 2 4 2 3" xfId="25282" xr:uid="{00000000-0005-0000-0000-000013040000}"/>
    <cellStyle name="20% - Accent2 3 2 2 4 3" xfId="10957" xr:uid="{00000000-0005-0000-0000-000014040000}"/>
    <cellStyle name="20% - Accent2 3 2 2 4 4" xfId="20281" xr:uid="{00000000-0005-0000-0000-000015040000}"/>
    <cellStyle name="20% - Accent2 3 2 2 5" xfId="3176" xr:uid="{00000000-0005-0000-0000-000016040000}"/>
    <cellStyle name="20% - Accent2 3 2 2 5 2" xfId="7855" xr:uid="{00000000-0005-0000-0000-000017040000}"/>
    <cellStyle name="20% - Accent2 3 2 2 5 2 2" xfId="17179" xr:uid="{00000000-0005-0000-0000-000018040000}"/>
    <cellStyle name="20% - Accent2 3 2 2 5 2 3" xfId="26502" xr:uid="{00000000-0005-0000-0000-000019040000}"/>
    <cellStyle name="20% - Accent2 3 2 2 5 3" xfId="12562" xr:uid="{00000000-0005-0000-0000-00001A040000}"/>
    <cellStyle name="20% - Accent2 3 2 2 5 4" xfId="21888" xr:uid="{00000000-0005-0000-0000-00001B040000}"/>
    <cellStyle name="20% - Accent2 3 2 2 6" xfId="4842" xr:uid="{00000000-0005-0000-0000-00001C040000}"/>
    <cellStyle name="20% - Accent2 3 2 2 6 2" xfId="14166" xr:uid="{00000000-0005-0000-0000-00001D040000}"/>
    <cellStyle name="20% - Accent2 3 2 2 6 3" xfId="23489" xr:uid="{00000000-0005-0000-0000-00001E040000}"/>
    <cellStyle name="20% - Accent2 3 2 2 7" xfId="7207" xr:uid="{00000000-0005-0000-0000-00001F040000}"/>
    <cellStyle name="20% - Accent2 3 2 2 7 2" xfId="16531" xr:uid="{00000000-0005-0000-0000-000020040000}"/>
    <cellStyle name="20% - Accent2 3 2 2 7 3" xfId="25854" xr:uid="{00000000-0005-0000-0000-000021040000}"/>
    <cellStyle name="20% - Accent2 3 2 2 8" xfId="9449" xr:uid="{00000000-0005-0000-0000-000022040000}"/>
    <cellStyle name="20% - Accent2 3 2 2 8 2" xfId="18773" xr:uid="{00000000-0005-0000-0000-000023040000}"/>
    <cellStyle name="20% - Accent2 3 2 2 8 3" xfId="28096" xr:uid="{00000000-0005-0000-0000-000024040000}"/>
    <cellStyle name="20% - Accent2 3 2 2 9" xfId="9943" xr:uid="{00000000-0005-0000-0000-000025040000}"/>
    <cellStyle name="20% - Accent2 3 2 3" xfId="456" xr:uid="{00000000-0005-0000-0000-000026040000}"/>
    <cellStyle name="20% - Accent2 3 2 3 2" xfId="944" xr:uid="{00000000-0005-0000-0000-000027040000}"/>
    <cellStyle name="20% - Accent2 3 2 3 2 2" xfId="6828" xr:uid="{00000000-0005-0000-0000-000028040000}"/>
    <cellStyle name="20% - Accent2 3 2 3 2 2 2" xfId="16152" xr:uid="{00000000-0005-0000-0000-000029040000}"/>
    <cellStyle name="20% - Accent2 3 2 3 2 2 3" xfId="25475" xr:uid="{00000000-0005-0000-0000-00002A040000}"/>
    <cellStyle name="20% - Accent2 3 2 3 2 3" xfId="10545" xr:uid="{00000000-0005-0000-0000-00002B040000}"/>
    <cellStyle name="20% - Accent2 3 2 3 2 4" xfId="19869" xr:uid="{00000000-0005-0000-0000-00002C040000}"/>
    <cellStyle name="20% - Accent2 3 2 3 3" xfId="7143" xr:uid="{00000000-0005-0000-0000-00002D040000}"/>
    <cellStyle name="20% - Accent2 3 2 3 3 2" xfId="16467" xr:uid="{00000000-0005-0000-0000-00002E040000}"/>
    <cellStyle name="20% - Accent2 3 2 3 3 3" xfId="25790" xr:uid="{00000000-0005-0000-0000-00002F040000}"/>
    <cellStyle name="20% - Accent2 3 2 3 4" xfId="9567" xr:uid="{00000000-0005-0000-0000-000030040000}"/>
    <cellStyle name="20% - Accent2 3 2 3 4 2" xfId="18891" xr:uid="{00000000-0005-0000-0000-000031040000}"/>
    <cellStyle name="20% - Accent2 3 2 3 4 3" xfId="28214" xr:uid="{00000000-0005-0000-0000-000032040000}"/>
    <cellStyle name="20% - Accent2 3 2 3 5" xfId="10061" xr:uid="{00000000-0005-0000-0000-000033040000}"/>
    <cellStyle name="20% - Accent2 3 2 3 6" xfId="19385" xr:uid="{00000000-0005-0000-0000-000034040000}"/>
    <cellStyle name="20% - Accent2 3 2 4" xfId="704" xr:uid="{00000000-0005-0000-0000-000035040000}"/>
    <cellStyle name="20% - Accent2 3 2 4 2" xfId="7009" xr:uid="{00000000-0005-0000-0000-000036040000}"/>
    <cellStyle name="20% - Accent2 3 2 4 2 2" xfId="16333" xr:uid="{00000000-0005-0000-0000-000037040000}"/>
    <cellStyle name="20% - Accent2 3 2 4 2 3" xfId="25656" xr:uid="{00000000-0005-0000-0000-000038040000}"/>
    <cellStyle name="20% - Accent2 3 2 4 3" xfId="10305" xr:uid="{00000000-0005-0000-0000-000039040000}"/>
    <cellStyle name="20% - Accent2 3 2 4 4" xfId="19629" xr:uid="{00000000-0005-0000-0000-00003A040000}"/>
    <cellStyle name="20% - Accent2 3 2 5" xfId="1388" xr:uid="{00000000-0005-0000-0000-00003B040000}"/>
    <cellStyle name="20% - Accent2 3 2 5 2" xfId="6636" xr:uid="{00000000-0005-0000-0000-00003C040000}"/>
    <cellStyle name="20% - Accent2 3 2 5 2 2" xfId="15960" xr:uid="{00000000-0005-0000-0000-00003D040000}"/>
    <cellStyle name="20% - Accent2 3 2 5 2 3" xfId="25283" xr:uid="{00000000-0005-0000-0000-00003E040000}"/>
    <cellStyle name="20% - Accent2 3 2 5 3" xfId="10956" xr:uid="{00000000-0005-0000-0000-00003F040000}"/>
    <cellStyle name="20% - Accent2 3 2 5 4" xfId="20280" xr:uid="{00000000-0005-0000-0000-000040040000}"/>
    <cellStyle name="20% - Accent2 3 2 6" xfId="3175" xr:uid="{00000000-0005-0000-0000-000041040000}"/>
    <cellStyle name="20% - Accent2 3 2 6 2" xfId="7854" xr:uid="{00000000-0005-0000-0000-000042040000}"/>
    <cellStyle name="20% - Accent2 3 2 6 2 2" xfId="17178" xr:uid="{00000000-0005-0000-0000-000043040000}"/>
    <cellStyle name="20% - Accent2 3 2 6 2 3" xfId="26501" xr:uid="{00000000-0005-0000-0000-000044040000}"/>
    <cellStyle name="20% - Accent2 3 2 6 3" xfId="12561" xr:uid="{00000000-0005-0000-0000-000045040000}"/>
    <cellStyle name="20% - Accent2 3 2 6 4" xfId="21887" xr:uid="{00000000-0005-0000-0000-000046040000}"/>
    <cellStyle name="20% - Accent2 3 2 7" xfId="4841" xr:uid="{00000000-0005-0000-0000-000047040000}"/>
    <cellStyle name="20% - Accent2 3 2 7 2" xfId="14165" xr:uid="{00000000-0005-0000-0000-000048040000}"/>
    <cellStyle name="20% - Accent2 3 2 7 3" xfId="23488" xr:uid="{00000000-0005-0000-0000-000049040000}"/>
    <cellStyle name="20% - Accent2 3 2 8" xfId="7275" xr:uid="{00000000-0005-0000-0000-00004A040000}"/>
    <cellStyle name="20% - Accent2 3 2 8 2" xfId="16599" xr:uid="{00000000-0005-0000-0000-00004B040000}"/>
    <cellStyle name="20% - Accent2 3 2 8 3" xfId="25922" xr:uid="{00000000-0005-0000-0000-00004C040000}"/>
    <cellStyle name="20% - Accent2 3 2 9" xfId="9326" xr:uid="{00000000-0005-0000-0000-00004D040000}"/>
    <cellStyle name="20% - Accent2 3 2 9 2" xfId="18650" xr:uid="{00000000-0005-0000-0000-00004E040000}"/>
    <cellStyle name="20% - Accent2 3 2 9 3" xfId="27973" xr:uid="{00000000-0005-0000-0000-00004F040000}"/>
    <cellStyle name="20% - Accent2 3 3" xfId="284" xr:uid="{00000000-0005-0000-0000-000050040000}"/>
    <cellStyle name="20% - Accent2 3 3 10" xfId="19219" xr:uid="{00000000-0005-0000-0000-000051040000}"/>
    <cellStyle name="20% - Accent2 3 3 2" xfId="531" xr:uid="{00000000-0005-0000-0000-000052040000}"/>
    <cellStyle name="20% - Accent2 3 3 2 2" xfId="1019" xr:uid="{00000000-0005-0000-0000-000053040000}"/>
    <cellStyle name="20% - Accent2 3 3 2 2 2" xfId="6783" xr:uid="{00000000-0005-0000-0000-000054040000}"/>
    <cellStyle name="20% - Accent2 3 3 2 2 2 2" xfId="16107" xr:uid="{00000000-0005-0000-0000-000055040000}"/>
    <cellStyle name="20% - Accent2 3 3 2 2 2 3" xfId="25430" xr:uid="{00000000-0005-0000-0000-000056040000}"/>
    <cellStyle name="20% - Accent2 3 3 2 2 3" xfId="10620" xr:uid="{00000000-0005-0000-0000-000057040000}"/>
    <cellStyle name="20% - Accent2 3 3 2 2 4" xfId="19944" xr:uid="{00000000-0005-0000-0000-000058040000}"/>
    <cellStyle name="20% - Accent2 3 3 2 3" xfId="7101" xr:uid="{00000000-0005-0000-0000-000059040000}"/>
    <cellStyle name="20% - Accent2 3 3 2 3 2" xfId="16425" xr:uid="{00000000-0005-0000-0000-00005A040000}"/>
    <cellStyle name="20% - Accent2 3 3 2 3 3" xfId="25748" xr:uid="{00000000-0005-0000-0000-00005B040000}"/>
    <cellStyle name="20% - Accent2 3 3 2 4" xfId="9642" xr:uid="{00000000-0005-0000-0000-00005C040000}"/>
    <cellStyle name="20% - Accent2 3 3 2 4 2" xfId="18966" xr:uid="{00000000-0005-0000-0000-00005D040000}"/>
    <cellStyle name="20% - Accent2 3 3 2 4 3" xfId="28289" xr:uid="{00000000-0005-0000-0000-00005E040000}"/>
    <cellStyle name="20% - Accent2 3 3 2 5" xfId="10136" xr:uid="{00000000-0005-0000-0000-00005F040000}"/>
    <cellStyle name="20% - Accent2 3 3 2 6" xfId="19460" xr:uid="{00000000-0005-0000-0000-000060040000}"/>
    <cellStyle name="20% - Accent2 3 3 3" xfId="779" xr:uid="{00000000-0005-0000-0000-000061040000}"/>
    <cellStyle name="20% - Accent2 3 3 3 2" xfId="7355" xr:uid="{00000000-0005-0000-0000-000062040000}"/>
    <cellStyle name="20% - Accent2 3 3 3 2 2" xfId="16679" xr:uid="{00000000-0005-0000-0000-000063040000}"/>
    <cellStyle name="20% - Accent2 3 3 3 2 3" xfId="26002" xr:uid="{00000000-0005-0000-0000-000064040000}"/>
    <cellStyle name="20% - Accent2 3 3 3 3" xfId="10380" xr:uid="{00000000-0005-0000-0000-000065040000}"/>
    <cellStyle name="20% - Accent2 3 3 3 4" xfId="19704" xr:uid="{00000000-0005-0000-0000-000066040000}"/>
    <cellStyle name="20% - Accent2 3 3 4" xfId="1390" xr:uid="{00000000-0005-0000-0000-000067040000}"/>
    <cellStyle name="20% - Accent2 3 3 4 2" xfId="6634" xr:uid="{00000000-0005-0000-0000-000068040000}"/>
    <cellStyle name="20% - Accent2 3 3 4 2 2" xfId="15958" xr:uid="{00000000-0005-0000-0000-000069040000}"/>
    <cellStyle name="20% - Accent2 3 3 4 2 3" xfId="25281" xr:uid="{00000000-0005-0000-0000-00006A040000}"/>
    <cellStyle name="20% - Accent2 3 3 4 3" xfId="10958" xr:uid="{00000000-0005-0000-0000-00006B040000}"/>
    <cellStyle name="20% - Accent2 3 3 4 4" xfId="20282" xr:uid="{00000000-0005-0000-0000-00006C040000}"/>
    <cellStyle name="20% - Accent2 3 3 5" xfId="3177" xr:uid="{00000000-0005-0000-0000-00006D040000}"/>
    <cellStyle name="20% - Accent2 3 3 5 2" xfId="7856" xr:uid="{00000000-0005-0000-0000-00006E040000}"/>
    <cellStyle name="20% - Accent2 3 3 5 2 2" xfId="17180" xr:uid="{00000000-0005-0000-0000-00006F040000}"/>
    <cellStyle name="20% - Accent2 3 3 5 2 3" xfId="26503" xr:uid="{00000000-0005-0000-0000-000070040000}"/>
    <cellStyle name="20% - Accent2 3 3 5 3" xfId="12563" xr:uid="{00000000-0005-0000-0000-000071040000}"/>
    <cellStyle name="20% - Accent2 3 3 5 4" xfId="21889" xr:uid="{00000000-0005-0000-0000-000072040000}"/>
    <cellStyle name="20% - Accent2 3 3 6" xfId="4843" xr:uid="{00000000-0005-0000-0000-000073040000}"/>
    <cellStyle name="20% - Accent2 3 3 6 2" xfId="14167" xr:uid="{00000000-0005-0000-0000-000074040000}"/>
    <cellStyle name="20% - Accent2 3 3 6 3" xfId="23490" xr:uid="{00000000-0005-0000-0000-000075040000}"/>
    <cellStyle name="20% - Accent2 3 3 7" xfId="7237" xr:uid="{00000000-0005-0000-0000-000076040000}"/>
    <cellStyle name="20% - Accent2 3 3 7 2" xfId="16561" xr:uid="{00000000-0005-0000-0000-000077040000}"/>
    <cellStyle name="20% - Accent2 3 3 7 3" xfId="25884" xr:uid="{00000000-0005-0000-0000-000078040000}"/>
    <cellStyle name="20% - Accent2 3 3 8" xfId="9401" xr:uid="{00000000-0005-0000-0000-000079040000}"/>
    <cellStyle name="20% - Accent2 3 3 8 2" xfId="18725" xr:uid="{00000000-0005-0000-0000-00007A040000}"/>
    <cellStyle name="20% - Accent2 3 3 8 3" xfId="28048" xr:uid="{00000000-0005-0000-0000-00007B040000}"/>
    <cellStyle name="20% - Accent2 3 3 9" xfId="9895" xr:uid="{00000000-0005-0000-0000-00007C040000}"/>
    <cellStyle name="20% - Accent2 3 4" xfId="397" xr:uid="{00000000-0005-0000-0000-00007D040000}"/>
    <cellStyle name="20% - Accent2 3 4 2" xfId="885" xr:uid="{00000000-0005-0000-0000-00007E040000}"/>
    <cellStyle name="20% - Accent2 3 4 2 2" xfId="6879" xr:uid="{00000000-0005-0000-0000-00007F040000}"/>
    <cellStyle name="20% - Accent2 3 4 2 2 2" xfId="16203" xr:uid="{00000000-0005-0000-0000-000080040000}"/>
    <cellStyle name="20% - Accent2 3 4 2 2 3" xfId="25526" xr:uid="{00000000-0005-0000-0000-000081040000}"/>
    <cellStyle name="20% - Accent2 3 4 2 3" xfId="10486" xr:uid="{00000000-0005-0000-0000-000082040000}"/>
    <cellStyle name="20% - Accent2 3 4 2 4" xfId="19810" xr:uid="{00000000-0005-0000-0000-000083040000}"/>
    <cellStyle name="20% - Accent2 3 4 3" xfId="1391" xr:uid="{00000000-0005-0000-0000-000084040000}"/>
    <cellStyle name="20% - Accent2 3 4 3 2" xfId="6633" xr:uid="{00000000-0005-0000-0000-000085040000}"/>
    <cellStyle name="20% - Accent2 3 4 3 2 2" xfId="15957" xr:uid="{00000000-0005-0000-0000-000086040000}"/>
    <cellStyle name="20% - Accent2 3 4 3 2 3" xfId="25280" xr:uid="{00000000-0005-0000-0000-000087040000}"/>
    <cellStyle name="20% - Accent2 3 4 3 3" xfId="10959" xr:uid="{00000000-0005-0000-0000-000088040000}"/>
    <cellStyle name="20% - Accent2 3 4 3 4" xfId="20283" xr:uid="{00000000-0005-0000-0000-000089040000}"/>
    <cellStyle name="20% - Accent2 3 4 4" xfId="3178" xr:uid="{00000000-0005-0000-0000-00008A040000}"/>
    <cellStyle name="20% - Accent2 3 4 4 2" xfId="7857" xr:uid="{00000000-0005-0000-0000-00008B040000}"/>
    <cellStyle name="20% - Accent2 3 4 4 2 2" xfId="17181" xr:uid="{00000000-0005-0000-0000-00008C040000}"/>
    <cellStyle name="20% - Accent2 3 4 4 2 3" xfId="26504" xr:uid="{00000000-0005-0000-0000-00008D040000}"/>
    <cellStyle name="20% - Accent2 3 4 4 3" xfId="12564" xr:uid="{00000000-0005-0000-0000-00008E040000}"/>
    <cellStyle name="20% - Accent2 3 4 4 4" xfId="21890" xr:uid="{00000000-0005-0000-0000-00008F040000}"/>
    <cellStyle name="20% - Accent2 3 4 5" xfId="4844" xr:uid="{00000000-0005-0000-0000-000090040000}"/>
    <cellStyle name="20% - Accent2 3 4 5 2" xfId="14168" xr:uid="{00000000-0005-0000-0000-000091040000}"/>
    <cellStyle name="20% - Accent2 3 4 5 3" xfId="23491" xr:uid="{00000000-0005-0000-0000-000092040000}"/>
    <cellStyle name="20% - Accent2 3 4 6" xfId="7179" xr:uid="{00000000-0005-0000-0000-000093040000}"/>
    <cellStyle name="20% - Accent2 3 4 6 2" xfId="16503" xr:uid="{00000000-0005-0000-0000-000094040000}"/>
    <cellStyle name="20% - Accent2 3 4 6 3" xfId="25826" xr:uid="{00000000-0005-0000-0000-000095040000}"/>
    <cellStyle name="20% - Accent2 3 4 7" xfId="9508" xr:uid="{00000000-0005-0000-0000-000096040000}"/>
    <cellStyle name="20% - Accent2 3 4 7 2" xfId="18832" xr:uid="{00000000-0005-0000-0000-000097040000}"/>
    <cellStyle name="20% - Accent2 3 4 7 3" xfId="28155" xr:uid="{00000000-0005-0000-0000-000098040000}"/>
    <cellStyle name="20% - Accent2 3 4 8" xfId="10002" xr:uid="{00000000-0005-0000-0000-000099040000}"/>
    <cellStyle name="20% - Accent2 3 4 9" xfId="19326" xr:uid="{00000000-0005-0000-0000-00009A040000}"/>
    <cellStyle name="20% - Accent2 3 5" xfId="645" xr:uid="{00000000-0005-0000-0000-00009B040000}"/>
    <cellStyle name="20% - Accent2 3 5 2" xfId="1392" xr:uid="{00000000-0005-0000-0000-00009C040000}"/>
    <cellStyle name="20% - Accent2 3 5 2 2" xfId="6632" xr:uid="{00000000-0005-0000-0000-00009D040000}"/>
    <cellStyle name="20% - Accent2 3 5 2 2 2" xfId="15956" xr:uid="{00000000-0005-0000-0000-00009E040000}"/>
    <cellStyle name="20% - Accent2 3 5 2 2 3" xfId="25279" xr:uid="{00000000-0005-0000-0000-00009F040000}"/>
    <cellStyle name="20% - Accent2 3 5 2 3" xfId="10960" xr:uid="{00000000-0005-0000-0000-0000A0040000}"/>
    <cellStyle name="20% - Accent2 3 5 2 4" xfId="20284" xr:uid="{00000000-0005-0000-0000-0000A1040000}"/>
    <cellStyle name="20% - Accent2 3 5 3" xfId="3179" xr:uid="{00000000-0005-0000-0000-0000A2040000}"/>
    <cellStyle name="20% - Accent2 3 5 3 2" xfId="7858" xr:uid="{00000000-0005-0000-0000-0000A3040000}"/>
    <cellStyle name="20% - Accent2 3 5 3 2 2" xfId="17182" xr:uid="{00000000-0005-0000-0000-0000A4040000}"/>
    <cellStyle name="20% - Accent2 3 5 3 2 3" xfId="26505" xr:uid="{00000000-0005-0000-0000-0000A5040000}"/>
    <cellStyle name="20% - Accent2 3 5 3 3" xfId="12565" xr:uid="{00000000-0005-0000-0000-0000A6040000}"/>
    <cellStyle name="20% - Accent2 3 5 3 4" xfId="21891" xr:uid="{00000000-0005-0000-0000-0000A7040000}"/>
    <cellStyle name="20% - Accent2 3 5 4" xfId="4845" xr:uid="{00000000-0005-0000-0000-0000A8040000}"/>
    <cellStyle name="20% - Accent2 3 5 4 2" xfId="14169" xr:uid="{00000000-0005-0000-0000-0000A9040000}"/>
    <cellStyle name="20% - Accent2 3 5 4 3" xfId="23492" xr:uid="{00000000-0005-0000-0000-0000AA040000}"/>
    <cellStyle name="20% - Accent2 3 5 5" xfId="5272" xr:uid="{00000000-0005-0000-0000-0000AB040000}"/>
    <cellStyle name="20% - Accent2 3 5 5 2" xfId="14596" xr:uid="{00000000-0005-0000-0000-0000AC040000}"/>
    <cellStyle name="20% - Accent2 3 5 5 3" xfId="23919" xr:uid="{00000000-0005-0000-0000-0000AD040000}"/>
    <cellStyle name="20% - Accent2 3 5 6" xfId="10246" xr:uid="{00000000-0005-0000-0000-0000AE040000}"/>
    <cellStyle name="20% - Accent2 3 5 7" xfId="19570" xr:uid="{00000000-0005-0000-0000-0000AF040000}"/>
    <cellStyle name="20% - Accent2 3 6" xfId="1387" xr:uid="{00000000-0005-0000-0000-0000B0040000}"/>
    <cellStyle name="20% - Accent2 3 6 2" xfId="6637" xr:uid="{00000000-0005-0000-0000-0000B1040000}"/>
    <cellStyle name="20% - Accent2 3 6 2 2" xfId="15961" xr:uid="{00000000-0005-0000-0000-0000B2040000}"/>
    <cellStyle name="20% - Accent2 3 6 2 3" xfId="25284" xr:uid="{00000000-0005-0000-0000-0000B3040000}"/>
    <cellStyle name="20% - Accent2 3 6 3" xfId="10955" xr:uid="{00000000-0005-0000-0000-0000B4040000}"/>
    <cellStyle name="20% - Accent2 3 6 4" xfId="20279" xr:uid="{00000000-0005-0000-0000-0000B5040000}"/>
    <cellStyle name="20% - Accent2 3 7" xfId="3174" xr:uid="{00000000-0005-0000-0000-0000B6040000}"/>
    <cellStyle name="20% - Accent2 3 7 2" xfId="7853" xr:uid="{00000000-0005-0000-0000-0000B7040000}"/>
    <cellStyle name="20% - Accent2 3 7 2 2" xfId="17177" xr:uid="{00000000-0005-0000-0000-0000B8040000}"/>
    <cellStyle name="20% - Accent2 3 7 2 3" xfId="26500" xr:uid="{00000000-0005-0000-0000-0000B9040000}"/>
    <cellStyle name="20% - Accent2 3 7 3" xfId="12560" xr:uid="{00000000-0005-0000-0000-0000BA040000}"/>
    <cellStyle name="20% - Accent2 3 7 4" xfId="21886" xr:uid="{00000000-0005-0000-0000-0000BB040000}"/>
    <cellStyle name="20% - Accent2 3 8" xfId="4840" xr:uid="{00000000-0005-0000-0000-0000BC040000}"/>
    <cellStyle name="20% - Accent2 3 8 2" xfId="14164" xr:uid="{00000000-0005-0000-0000-0000BD040000}"/>
    <cellStyle name="20% - Accent2 3 8 3" xfId="23487" xr:uid="{00000000-0005-0000-0000-0000BE040000}"/>
    <cellStyle name="20% - Accent2 3 9" xfId="7319" xr:uid="{00000000-0005-0000-0000-0000BF040000}"/>
    <cellStyle name="20% - Accent2 3 9 2" xfId="16643" xr:uid="{00000000-0005-0000-0000-0000C0040000}"/>
    <cellStyle name="20% - Accent2 3 9 3" xfId="25966" xr:uid="{00000000-0005-0000-0000-0000C1040000}"/>
    <cellStyle name="20% - Accent2 4" xfId="184" xr:uid="{00000000-0005-0000-0000-0000C2040000}"/>
    <cellStyle name="20% - Accent2 4 10" xfId="19130" xr:uid="{00000000-0005-0000-0000-0000C3040000}"/>
    <cellStyle name="20% - Accent2 4 11" xfId="28920" xr:uid="{00000000-0005-0000-0000-0000C4040000}"/>
    <cellStyle name="20% - Accent2 4 2" xfId="324" xr:uid="{00000000-0005-0000-0000-0000C5040000}"/>
    <cellStyle name="20% - Accent2 4 2 2" xfId="564" xr:uid="{00000000-0005-0000-0000-0000C6040000}"/>
    <cellStyle name="20% - Accent2 4 2 2 2" xfId="1052" xr:uid="{00000000-0005-0000-0000-0000C7040000}"/>
    <cellStyle name="20% - Accent2 4 2 2 2 2" xfId="6759" xr:uid="{00000000-0005-0000-0000-0000C8040000}"/>
    <cellStyle name="20% - Accent2 4 2 2 2 2 2" xfId="16083" xr:uid="{00000000-0005-0000-0000-0000C9040000}"/>
    <cellStyle name="20% - Accent2 4 2 2 2 2 3" xfId="25406" xr:uid="{00000000-0005-0000-0000-0000CA040000}"/>
    <cellStyle name="20% - Accent2 4 2 2 2 3" xfId="10653" xr:uid="{00000000-0005-0000-0000-0000CB040000}"/>
    <cellStyle name="20% - Accent2 4 2 2 2 4" xfId="19977" xr:uid="{00000000-0005-0000-0000-0000CC040000}"/>
    <cellStyle name="20% - Accent2 4 2 2 3" xfId="1395" xr:uid="{00000000-0005-0000-0000-0000CD040000}"/>
    <cellStyle name="20% - Accent2 4 2 2 3 2" xfId="5837" xr:uid="{00000000-0005-0000-0000-0000CE040000}"/>
    <cellStyle name="20% - Accent2 4 2 2 3 2 2" xfId="15161" xr:uid="{00000000-0005-0000-0000-0000CF040000}"/>
    <cellStyle name="20% - Accent2 4 2 2 3 2 3" xfId="24484" xr:uid="{00000000-0005-0000-0000-0000D0040000}"/>
    <cellStyle name="20% - Accent2 4 2 2 3 3" xfId="10963" xr:uid="{00000000-0005-0000-0000-0000D1040000}"/>
    <cellStyle name="20% - Accent2 4 2 2 3 4" xfId="20287" xr:uid="{00000000-0005-0000-0000-0000D2040000}"/>
    <cellStyle name="20% - Accent2 4 2 2 4" xfId="3182" xr:uid="{00000000-0005-0000-0000-0000D3040000}"/>
    <cellStyle name="20% - Accent2 4 2 2 4 2" xfId="7861" xr:uid="{00000000-0005-0000-0000-0000D4040000}"/>
    <cellStyle name="20% - Accent2 4 2 2 4 2 2" xfId="17185" xr:uid="{00000000-0005-0000-0000-0000D5040000}"/>
    <cellStyle name="20% - Accent2 4 2 2 4 2 3" xfId="26508" xr:uid="{00000000-0005-0000-0000-0000D6040000}"/>
    <cellStyle name="20% - Accent2 4 2 2 4 3" xfId="12568" xr:uid="{00000000-0005-0000-0000-0000D7040000}"/>
    <cellStyle name="20% - Accent2 4 2 2 4 4" xfId="21894" xr:uid="{00000000-0005-0000-0000-0000D8040000}"/>
    <cellStyle name="20% - Accent2 4 2 2 5" xfId="4848" xr:uid="{00000000-0005-0000-0000-0000D9040000}"/>
    <cellStyle name="20% - Accent2 4 2 2 5 2" xfId="14172" xr:uid="{00000000-0005-0000-0000-0000DA040000}"/>
    <cellStyle name="20% - Accent2 4 2 2 5 3" xfId="23495" xr:uid="{00000000-0005-0000-0000-0000DB040000}"/>
    <cellStyle name="20% - Accent2 4 2 2 6" xfId="9675" xr:uid="{00000000-0005-0000-0000-0000DC040000}"/>
    <cellStyle name="20% - Accent2 4 2 2 6 2" xfId="18999" xr:uid="{00000000-0005-0000-0000-0000DD040000}"/>
    <cellStyle name="20% - Accent2 4 2 2 6 3" xfId="28322" xr:uid="{00000000-0005-0000-0000-0000DE040000}"/>
    <cellStyle name="20% - Accent2 4 2 2 7" xfId="10169" xr:uid="{00000000-0005-0000-0000-0000DF040000}"/>
    <cellStyle name="20% - Accent2 4 2 2 8" xfId="19493" xr:uid="{00000000-0005-0000-0000-0000E0040000}"/>
    <cellStyle name="20% - Accent2 4 2 3" xfId="812" xr:uid="{00000000-0005-0000-0000-0000E1040000}"/>
    <cellStyle name="20% - Accent2 4 2 3 2" xfId="6933" xr:uid="{00000000-0005-0000-0000-0000E2040000}"/>
    <cellStyle name="20% - Accent2 4 2 3 2 2" xfId="16257" xr:uid="{00000000-0005-0000-0000-0000E3040000}"/>
    <cellStyle name="20% - Accent2 4 2 3 2 3" xfId="25580" xr:uid="{00000000-0005-0000-0000-0000E4040000}"/>
    <cellStyle name="20% - Accent2 4 2 3 3" xfId="10413" xr:uid="{00000000-0005-0000-0000-0000E5040000}"/>
    <cellStyle name="20% - Accent2 4 2 3 4" xfId="19737" xr:uid="{00000000-0005-0000-0000-0000E6040000}"/>
    <cellStyle name="20% - Accent2 4 2 4" xfId="1394" xr:uid="{00000000-0005-0000-0000-0000E7040000}"/>
    <cellStyle name="20% - Accent2 4 2 4 2" xfId="6630" xr:uid="{00000000-0005-0000-0000-0000E8040000}"/>
    <cellStyle name="20% - Accent2 4 2 4 2 2" xfId="15954" xr:uid="{00000000-0005-0000-0000-0000E9040000}"/>
    <cellStyle name="20% - Accent2 4 2 4 2 3" xfId="25277" xr:uid="{00000000-0005-0000-0000-0000EA040000}"/>
    <cellStyle name="20% - Accent2 4 2 4 3" xfId="10962" xr:uid="{00000000-0005-0000-0000-0000EB040000}"/>
    <cellStyle name="20% - Accent2 4 2 4 4" xfId="20286" xr:uid="{00000000-0005-0000-0000-0000EC040000}"/>
    <cellStyle name="20% - Accent2 4 2 5" xfId="3181" xr:uid="{00000000-0005-0000-0000-0000ED040000}"/>
    <cellStyle name="20% - Accent2 4 2 5 2" xfId="7860" xr:uid="{00000000-0005-0000-0000-0000EE040000}"/>
    <cellStyle name="20% - Accent2 4 2 5 2 2" xfId="17184" xr:uid="{00000000-0005-0000-0000-0000EF040000}"/>
    <cellStyle name="20% - Accent2 4 2 5 2 3" xfId="26507" xr:uid="{00000000-0005-0000-0000-0000F0040000}"/>
    <cellStyle name="20% - Accent2 4 2 5 3" xfId="12567" xr:uid="{00000000-0005-0000-0000-0000F1040000}"/>
    <cellStyle name="20% - Accent2 4 2 5 4" xfId="21893" xr:uid="{00000000-0005-0000-0000-0000F2040000}"/>
    <cellStyle name="20% - Accent2 4 2 6" xfId="4847" xr:uid="{00000000-0005-0000-0000-0000F3040000}"/>
    <cellStyle name="20% - Accent2 4 2 6 2" xfId="14171" xr:uid="{00000000-0005-0000-0000-0000F4040000}"/>
    <cellStyle name="20% - Accent2 4 2 6 3" xfId="23494" xr:uid="{00000000-0005-0000-0000-0000F5040000}"/>
    <cellStyle name="20% - Accent2 4 2 7" xfId="9435" xr:uid="{00000000-0005-0000-0000-0000F6040000}"/>
    <cellStyle name="20% - Accent2 4 2 7 2" xfId="18759" xr:uid="{00000000-0005-0000-0000-0000F7040000}"/>
    <cellStyle name="20% - Accent2 4 2 7 3" xfId="28082" xr:uid="{00000000-0005-0000-0000-0000F8040000}"/>
    <cellStyle name="20% - Accent2 4 2 8" xfId="9929" xr:uid="{00000000-0005-0000-0000-0000F9040000}"/>
    <cellStyle name="20% - Accent2 4 2 9" xfId="19253" xr:uid="{00000000-0005-0000-0000-0000FA040000}"/>
    <cellStyle name="20% - Accent2 4 3" xfId="442" xr:uid="{00000000-0005-0000-0000-0000FB040000}"/>
    <cellStyle name="20% - Accent2 4 3 2" xfId="930" xr:uid="{00000000-0005-0000-0000-0000FC040000}"/>
    <cellStyle name="20% - Accent2 4 3 2 2" xfId="6840" xr:uid="{00000000-0005-0000-0000-0000FD040000}"/>
    <cellStyle name="20% - Accent2 4 3 2 2 2" xfId="16164" xr:uid="{00000000-0005-0000-0000-0000FE040000}"/>
    <cellStyle name="20% - Accent2 4 3 2 2 3" xfId="25487" xr:uid="{00000000-0005-0000-0000-0000FF040000}"/>
    <cellStyle name="20% - Accent2 4 3 2 3" xfId="10531" xr:uid="{00000000-0005-0000-0000-000000050000}"/>
    <cellStyle name="20% - Accent2 4 3 2 4" xfId="19855" xr:uid="{00000000-0005-0000-0000-000001050000}"/>
    <cellStyle name="20% - Accent2 4 3 3" xfId="1396" xr:uid="{00000000-0005-0000-0000-000002050000}"/>
    <cellStyle name="20% - Accent2 4 3 3 2" xfId="6616" xr:uid="{00000000-0005-0000-0000-000003050000}"/>
    <cellStyle name="20% - Accent2 4 3 3 2 2" xfId="15940" xr:uid="{00000000-0005-0000-0000-000004050000}"/>
    <cellStyle name="20% - Accent2 4 3 3 2 3" xfId="25263" xr:uid="{00000000-0005-0000-0000-000005050000}"/>
    <cellStyle name="20% - Accent2 4 3 3 3" xfId="10964" xr:uid="{00000000-0005-0000-0000-000006050000}"/>
    <cellStyle name="20% - Accent2 4 3 3 4" xfId="20288" xr:uid="{00000000-0005-0000-0000-000007050000}"/>
    <cellStyle name="20% - Accent2 4 3 4" xfId="3183" xr:uid="{00000000-0005-0000-0000-000008050000}"/>
    <cellStyle name="20% - Accent2 4 3 4 2" xfId="7862" xr:uid="{00000000-0005-0000-0000-000009050000}"/>
    <cellStyle name="20% - Accent2 4 3 4 2 2" xfId="17186" xr:uid="{00000000-0005-0000-0000-00000A050000}"/>
    <cellStyle name="20% - Accent2 4 3 4 2 3" xfId="26509" xr:uid="{00000000-0005-0000-0000-00000B050000}"/>
    <cellStyle name="20% - Accent2 4 3 4 3" xfId="12569" xr:uid="{00000000-0005-0000-0000-00000C050000}"/>
    <cellStyle name="20% - Accent2 4 3 4 4" xfId="21895" xr:uid="{00000000-0005-0000-0000-00000D050000}"/>
    <cellStyle name="20% - Accent2 4 3 5" xfId="4849" xr:uid="{00000000-0005-0000-0000-00000E050000}"/>
    <cellStyle name="20% - Accent2 4 3 5 2" xfId="14173" xr:uid="{00000000-0005-0000-0000-00000F050000}"/>
    <cellStyle name="20% - Accent2 4 3 5 3" xfId="23496" xr:uid="{00000000-0005-0000-0000-000010050000}"/>
    <cellStyle name="20% - Accent2 4 3 6" xfId="9553" xr:uid="{00000000-0005-0000-0000-000011050000}"/>
    <cellStyle name="20% - Accent2 4 3 6 2" xfId="18877" xr:uid="{00000000-0005-0000-0000-000012050000}"/>
    <cellStyle name="20% - Accent2 4 3 6 3" xfId="28200" xr:uid="{00000000-0005-0000-0000-000013050000}"/>
    <cellStyle name="20% - Accent2 4 3 7" xfId="10047" xr:uid="{00000000-0005-0000-0000-000014050000}"/>
    <cellStyle name="20% - Accent2 4 3 8" xfId="19371" xr:uid="{00000000-0005-0000-0000-000015050000}"/>
    <cellStyle name="20% - Accent2 4 4" xfId="690" xr:uid="{00000000-0005-0000-0000-000016050000}"/>
    <cellStyle name="20% - Accent2 4 4 2" xfId="7017" xr:uid="{00000000-0005-0000-0000-000017050000}"/>
    <cellStyle name="20% - Accent2 4 4 2 2" xfId="16341" xr:uid="{00000000-0005-0000-0000-000018050000}"/>
    <cellStyle name="20% - Accent2 4 4 2 3" xfId="25664" xr:uid="{00000000-0005-0000-0000-000019050000}"/>
    <cellStyle name="20% - Accent2 4 4 3" xfId="10291" xr:uid="{00000000-0005-0000-0000-00001A050000}"/>
    <cellStyle name="20% - Accent2 4 4 4" xfId="19615" xr:uid="{00000000-0005-0000-0000-00001B050000}"/>
    <cellStyle name="20% - Accent2 4 5" xfId="1393" xr:uid="{00000000-0005-0000-0000-00001C050000}"/>
    <cellStyle name="20% - Accent2 4 5 2" xfId="6631" xr:uid="{00000000-0005-0000-0000-00001D050000}"/>
    <cellStyle name="20% - Accent2 4 5 2 2" xfId="15955" xr:uid="{00000000-0005-0000-0000-00001E050000}"/>
    <cellStyle name="20% - Accent2 4 5 2 3" xfId="25278" xr:uid="{00000000-0005-0000-0000-00001F050000}"/>
    <cellStyle name="20% - Accent2 4 5 3" xfId="10961" xr:uid="{00000000-0005-0000-0000-000020050000}"/>
    <cellStyle name="20% - Accent2 4 5 4" xfId="20285" xr:uid="{00000000-0005-0000-0000-000021050000}"/>
    <cellStyle name="20% - Accent2 4 6" xfId="3180" xr:uid="{00000000-0005-0000-0000-000022050000}"/>
    <cellStyle name="20% - Accent2 4 6 2" xfId="7859" xr:uid="{00000000-0005-0000-0000-000023050000}"/>
    <cellStyle name="20% - Accent2 4 6 2 2" xfId="17183" xr:uid="{00000000-0005-0000-0000-000024050000}"/>
    <cellStyle name="20% - Accent2 4 6 2 3" xfId="26506" xr:uid="{00000000-0005-0000-0000-000025050000}"/>
    <cellStyle name="20% - Accent2 4 6 3" xfId="12566" xr:uid="{00000000-0005-0000-0000-000026050000}"/>
    <cellStyle name="20% - Accent2 4 6 4" xfId="21892" xr:uid="{00000000-0005-0000-0000-000027050000}"/>
    <cellStyle name="20% - Accent2 4 7" xfId="4846" xr:uid="{00000000-0005-0000-0000-000028050000}"/>
    <cellStyle name="20% - Accent2 4 7 2" xfId="14170" xr:uid="{00000000-0005-0000-0000-000029050000}"/>
    <cellStyle name="20% - Accent2 4 7 3" xfId="23493" xr:uid="{00000000-0005-0000-0000-00002A050000}"/>
    <cellStyle name="20% - Accent2 4 8" xfId="9312" xr:uid="{00000000-0005-0000-0000-00002B050000}"/>
    <cellStyle name="20% - Accent2 4 8 2" xfId="18636" xr:uid="{00000000-0005-0000-0000-00002C050000}"/>
    <cellStyle name="20% - Accent2 4 8 3" xfId="27959" xr:uid="{00000000-0005-0000-0000-00002D050000}"/>
    <cellStyle name="20% - Accent2 4 9" xfId="9806" xr:uid="{00000000-0005-0000-0000-00002E050000}"/>
    <cellStyle name="20% - Accent2 5" xfId="244" xr:uid="{00000000-0005-0000-0000-00002F050000}"/>
    <cellStyle name="20% - Accent2 5 2" xfId="502" xr:uid="{00000000-0005-0000-0000-000030050000}"/>
    <cellStyle name="20% - Accent2 5 2 2" xfId="990" xr:uid="{00000000-0005-0000-0000-000031050000}"/>
    <cellStyle name="20% - Accent2 5 2 2 2" xfId="6806" xr:uid="{00000000-0005-0000-0000-000032050000}"/>
    <cellStyle name="20% - Accent2 5 2 2 2 2" xfId="16130" xr:uid="{00000000-0005-0000-0000-000033050000}"/>
    <cellStyle name="20% - Accent2 5 2 2 2 3" xfId="25453" xr:uid="{00000000-0005-0000-0000-000034050000}"/>
    <cellStyle name="20% - Accent2 5 2 2 3" xfId="10591" xr:uid="{00000000-0005-0000-0000-000035050000}"/>
    <cellStyle name="20% - Accent2 5 2 2 4" xfId="19915" xr:uid="{00000000-0005-0000-0000-000036050000}"/>
    <cellStyle name="20% - Accent2 5 2 3" xfId="1398" xr:uid="{00000000-0005-0000-0000-000037050000}"/>
    <cellStyle name="20% - Accent2 5 2 3 2" xfId="6627" xr:uid="{00000000-0005-0000-0000-000038050000}"/>
    <cellStyle name="20% - Accent2 5 2 3 2 2" xfId="15951" xr:uid="{00000000-0005-0000-0000-000039050000}"/>
    <cellStyle name="20% - Accent2 5 2 3 2 3" xfId="25274" xr:uid="{00000000-0005-0000-0000-00003A050000}"/>
    <cellStyle name="20% - Accent2 5 2 3 3" xfId="10966" xr:uid="{00000000-0005-0000-0000-00003B050000}"/>
    <cellStyle name="20% - Accent2 5 2 3 4" xfId="20290" xr:uid="{00000000-0005-0000-0000-00003C050000}"/>
    <cellStyle name="20% - Accent2 5 2 4" xfId="3185" xr:uid="{00000000-0005-0000-0000-00003D050000}"/>
    <cellStyle name="20% - Accent2 5 2 4 2" xfId="7864" xr:uid="{00000000-0005-0000-0000-00003E050000}"/>
    <cellStyle name="20% - Accent2 5 2 4 2 2" xfId="17188" xr:uid="{00000000-0005-0000-0000-00003F050000}"/>
    <cellStyle name="20% - Accent2 5 2 4 2 3" xfId="26511" xr:uid="{00000000-0005-0000-0000-000040050000}"/>
    <cellStyle name="20% - Accent2 5 2 4 3" xfId="12571" xr:uid="{00000000-0005-0000-0000-000041050000}"/>
    <cellStyle name="20% - Accent2 5 2 4 4" xfId="21897" xr:uid="{00000000-0005-0000-0000-000042050000}"/>
    <cellStyle name="20% - Accent2 5 2 5" xfId="4851" xr:uid="{00000000-0005-0000-0000-000043050000}"/>
    <cellStyle name="20% - Accent2 5 2 5 2" xfId="14175" xr:uid="{00000000-0005-0000-0000-000044050000}"/>
    <cellStyle name="20% - Accent2 5 2 5 3" xfId="23498" xr:uid="{00000000-0005-0000-0000-000045050000}"/>
    <cellStyle name="20% - Accent2 5 2 6" xfId="9613" xr:uid="{00000000-0005-0000-0000-000046050000}"/>
    <cellStyle name="20% - Accent2 5 2 6 2" xfId="18937" xr:uid="{00000000-0005-0000-0000-000047050000}"/>
    <cellStyle name="20% - Accent2 5 2 6 3" xfId="28260" xr:uid="{00000000-0005-0000-0000-000048050000}"/>
    <cellStyle name="20% - Accent2 5 2 7" xfId="10107" xr:uid="{00000000-0005-0000-0000-000049050000}"/>
    <cellStyle name="20% - Accent2 5 2 8" xfId="19431" xr:uid="{00000000-0005-0000-0000-00004A050000}"/>
    <cellStyle name="20% - Accent2 5 3" xfId="750" xr:uid="{00000000-0005-0000-0000-00004B050000}"/>
    <cellStyle name="20% - Accent2 5 3 2" xfId="6977" xr:uid="{00000000-0005-0000-0000-00004C050000}"/>
    <cellStyle name="20% - Accent2 5 3 2 2" xfId="16301" xr:uid="{00000000-0005-0000-0000-00004D050000}"/>
    <cellStyle name="20% - Accent2 5 3 2 3" xfId="25624" xr:uid="{00000000-0005-0000-0000-00004E050000}"/>
    <cellStyle name="20% - Accent2 5 3 3" xfId="10351" xr:uid="{00000000-0005-0000-0000-00004F050000}"/>
    <cellStyle name="20% - Accent2 5 3 4" xfId="19675" xr:uid="{00000000-0005-0000-0000-000050050000}"/>
    <cellStyle name="20% - Accent2 5 4" xfId="1397" xr:uid="{00000000-0005-0000-0000-000051050000}"/>
    <cellStyle name="20% - Accent2 5 4 2" xfId="6628" xr:uid="{00000000-0005-0000-0000-000052050000}"/>
    <cellStyle name="20% - Accent2 5 4 2 2" xfId="15952" xr:uid="{00000000-0005-0000-0000-000053050000}"/>
    <cellStyle name="20% - Accent2 5 4 2 3" xfId="25275" xr:uid="{00000000-0005-0000-0000-000054050000}"/>
    <cellStyle name="20% - Accent2 5 4 3" xfId="10965" xr:uid="{00000000-0005-0000-0000-000055050000}"/>
    <cellStyle name="20% - Accent2 5 4 4" xfId="20289" xr:uid="{00000000-0005-0000-0000-000056050000}"/>
    <cellStyle name="20% - Accent2 5 5" xfId="3184" xr:uid="{00000000-0005-0000-0000-000057050000}"/>
    <cellStyle name="20% - Accent2 5 5 2" xfId="7863" xr:uid="{00000000-0005-0000-0000-000058050000}"/>
    <cellStyle name="20% - Accent2 5 5 2 2" xfId="17187" xr:uid="{00000000-0005-0000-0000-000059050000}"/>
    <cellStyle name="20% - Accent2 5 5 2 3" xfId="26510" xr:uid="{00000000-0005-0000-0000-00005A050000}"/>
    <cellStyle name="20% - Accent2 5 5 3" xfId="12570" xr:uid="{00000000-0005-0000-0000-00005B050000}"/>
    <cellStyle name="20% - Accent2 5 5 4" xfId="21896" xr:uid="{00000000-0005-0000-0000-00005C050000}"/>
    <cellStyle name="20% - Accent2 5 6" xfId="4850" xr:uid="{00000000-0005-0000-0000-00005D050000}"/>
    <cellStyle name="20% - Accent2 5 6 2" xfId="14174" xr:uid="{00000000-0005-0000-0000-00005E050000}"/>
    <cellStyle name="20% - Accent2 5 6 3" xfId="23497" xr:uid="{00000000-0005-0000-0000-00005F050000}"/>
    <cellStyle name="20% - Accent2 5 7" xfId="9372" xr:uid="{00000000-0005-0000-0000-000060050000}"/>
    <cellStyle name="20% - Accent2 5 7 2" xfId="18696" xr:uid="{00000000-0005-0000-0000-000061050000}"/>
    <cellStyle name="20% - Accent2 5 7 3" xfId="28019" xr:uid="{00000000-0005-0000-0000-000062050000}"/>
    <cellStyle name="20% - Accent2 5 8" xfId="9866" xr:uid="{00000000-0005-0000-0000-000063050000}"/>
    <cellStyle name="20% - Accent2 5 9" xfId="19190" xr:uid="{00000000-0005-0000-0000-000064050000}"/>
    <cellStyle name="20% - Accent2 6" xfId="383" xr:uid="{00000000-0005-0000-0000-000065050000}"/>
    <cellStyle name="20% - Accent2 6 2" xfId="871" xr:uid="{00000000-0005-0000-0000-000066050000}"/>
    <cellStyle name="20% - Accent2 6 2 2" xfId="6892" xr:uid="{00000000-0005-0000-0000-000067050000}"/>
    <cellStyle name="20% - Accent2 6 2 2 2" xfId="16216" xr:uid="{00000000-0005-0000-0000-000068050000}"/>
    <cellStyle name="20% - Accent2 6 2 2 3" xfId="25539" xr:uid="{00000000-0005-0000-0000-000069050000}"/>
    <cellStyle name="20% - Accent2 6 2 3" xfId="10472" xr:uid="{00000000-0005-0000-0000-00006A050000}"/>
    <cellStyle name="20% - Accent2 6 2 4" xfId="19796" xr:uid="{00000000-0005-0000-0000-00006B050000}"/>
    <cellStyle name="20% - Accent2 6 3" xfId="1399" xr:uid="{00000000-0005-0000-0000-00006C050000}"/>
    <cellStyle name="20% - Accent2 6 3 2" xfId="6626" xr:uid="{00000000-0005-0000-0000-00006D050000}"/>
    <cellStyle name="20% - Accent2 6 3 2 2" xfId="15950" xr:uid="{00000000-0005-0000-0000-00006E050000}"/>
    <cellStyle name="20% - Accent2 6 3 2 3" xfId="25273" xr:uid="{00000000-0005-0000-0000-00006F050000}"/>
    <cellStyle name="20% - Accent2 6 3 3" xfId="10967" xr:uid="{00000000-0005-0000-0000-000070050000}"/>
    <cellStyle name="20% - Accent2 6 3 4" xfId="20291" xr:uid="{00000000-0005-0000-0000-000071050000}"/>
    <cellStyle name="20% - Accent2 6 4" xfId="3186" xr:uid="{00000000-0005-0000-0000-000072050000}"/>
    <cellStyle name="20% - Accent2 6 4 2" xfId="7865" xr:uid="{00000000-0005-0000-0000-000073050000}"/>
    <cellStyle name="20% - Accent2 6 4 2 2" xfId="17189" xr:uid="{00000000-0005-0000-0000-000074050000}"/>
    <cellStyle name="20% - Accent2 6 4 2 3" xfId="26512" xr:uid="{00000000-0005-0000-0000-000075050000}"/>
    <cellStyle name="20% - Accent2 6 4 3" xfId="12572" xr:uid="{00000000-0005-0000-0000-000076050000}"/>
    <cellStyle name="20% - Accent2 6 4 4" xfId="21898" xr:uid="{00000000-0005-0000-0000-000077050000}"/>
    <cellStyle name="20% - Accent2 6 5" xfId="4852" xr:uid="{00000000-0005-0000-0000-000078050000}"/>
    <cellStyle name="20% - Accent2 6 5 2" xfId="14176" xr:uid="{00000000-0005-0000-0000-000079050000}"/>
    <cellStyle name="20% - Accent2 6 5 3" xfId="23499" xr:uid="{00000000-0005-0000-0000-00007A050000}"/>
    <cellStyle name="20% - Accent2 6 6" xfId="9494" xr:uid="{00000000-0005-0000-0000-00007B050000}"/>
    <cellStyle name="20% - Accent2 6 6 2" xfId="18818" xr:uid="{00000000-0005-0000-0000-00007C050000}"/>
    <cellStyle name="20% - Accent2 6 6 3" xfId="28141" xr:uid="{00000000-0005-0000-0000-00007D050000}"/>
    <cellStyle name="20% - Accent2 6 7" xfId="9988" xr:uid="{00000000-0005-0000-0000-00007E050000}"/>
    <cellStyle name="20% - Accent2 6 8" xfId="19312" xr:uid="{00000000-0005-0000-0000-00007F050000}"/>
    <cellStyle name="20% - Accent2 7" xfId="627" xr:uid="{00000000-0005-0000-0000-000080050000}"/>
    <cellStyle name="20% - Accent2 7 2" xfId="1400" xr:uid="{00000000-0005-0000-0000-000081050000}"/>
    <cellStyle name="20% - Accent2 7 2 2" xfId="6625" xr:uid="{00000000-0005-0000-0000-000082050000}"/>
    <cellStyle name="20% - Accent2 7 2 2 2" xfId="15949" xr:uid="{00000000-0005-0000-0000-000083050000}"/>
    <cellStyle name="20% - Accent2 7 2 2 3" xfId="25272" xr:uid="{00000000-0005-0000-0000-000084050000}"/>
    <cellStyle name="20% - Accent2 7 2 3" xfId="10968" xr:uid="{00000000-0005-0000-0000-000085050000}"/>
    <cellStyle name="20% - Accent2 7 2 4" xfId="20292" xr:uid="{00000000-0005-0000-0000-000086050000}"/>
    <cellStyle name="20% - Accent2 7 3" xfId="3187" xr:uid="{00000000-0005-0000-0000-000087050000}"/>
    <cellStyle name="20% - Accent2 7 3 2" xfId="7866" xr:uid="{00000000-0005-0000-0000-000088050000}"/>
    <cellStyle name="20% - Accent2 7 3 2 2" xfId="17190" xr:uid="{00000000-0005-0000-0000-000089050000}"/>
    <cellStyle name="20% - Accent2 7 3 2 3" xfId="26513" xr:uid="{00000000-0005-0000-0000-00008A050000}"/>
    <cellStyle name="20% - Accent2 7 3 3" xfId="12573" xr:uid="{00000000-0005-0000-0000-00008B050000}"/>
    <cellStyle name="20% - Accent2 7 3 4" xfId="21899" xr:uid="{00000000-0005-0000-0000-00008C050000}"/>
    <cellStyle name="20% - Accent2 7 4" xfId="4853" xr:uid="{00000000-0005-0000-0000-00008D050000}"/>
    <cellStyle name="20% - Accent2 7 4 2" xfId="14177" xr:uid="{00000000-0005-0000-0000-00008E050000}"/>
    <cellStyle name="20% - Accent2 7 4 3" xfId="23500" xr:uid="{00000000-0005-0000-0000-00008F050000}"/>
    <cellStyle name="20% - Accent2 7 5" xfId="10231" xr:uid="{00000000-0005-0000-0000-000090050000}"/>
    <cellStyle name="20% - Accent2 7 6" xfId="19555" xr:uid="{00000000-0005-0000-0000-000091050000}"/>
    <cellStyle name="20% - Accent2 8" xfId="1401" xr:uid="{00000000-0005-0000-0000-000092050000}"/>
    <cellStyle name="20% - Accent2 8 2" xfId="3188" xr:uid="{00000000-0005-0000-0000-000093050000}"/>
    <cellStyle name="20% - Accent2 8 2 2" xfId="7867" xr:uid="{00000000-0005-0000-0000-000094050000}"/>
    <cellStyle name="20% - Accent2 8 2 2 2" xfId="17191" xr:uid="{00000000-0005-0000-0000-000095050000}"/>
    <cellStyle name="20% - Accent2 8 2 2 3" xfId="26514" xr:uid="{00000000-0005-0000-0000-000096050000}"/>
    <cellStyle name="20% - Accent2 8 2 3" xfId="12574" xr:uid="{00000000-0005-0000-0000-000097050000}"/>
    <cellStyle name="20% - Accent2 8 2 4" xfId="21900" xr:uid="{00000000-0005-0000-0000-000098050000}"/>
    <cellStyle name="20% - Accent2 8 3" xfId="4854" xr:uid="{00000000-0005-0000-0000-000099050000}"/>
    <cellStyle name="20% - Accent2 8 3 2" xfId="14178" xr:uid="{00000000-0005-0000-0000-00009A050000}"/>
    <cellStyle name="20% - Accent2 8 3 3" xfId="23501" xr:uid="{00000000-0005-0000-0000-00009B050000}"/>
    <cellStyle name="20% - Accent2 8 4" xfId="10969" xr:uid="{00000000-0005-0000-0000-00009C050000}"/>
    <cellStyle name="20% - Accent2 8 5" xfId="20293" xr:uid="{00000000-0005-0000-0000-00009D050000}"/>
    <cellStyle name="20% - Accent2 9" xfId="1125" xr:uid="{00000000-0005-0000-0000-00009E050000}"/>
    <cellStyle name="20% - Accent2 9 2" xfId="6715" xr:uid="{00000000-0005-0000-0000-00009F050000}"/>
    <cellStyle name="20% - Accent2 9 2 2" xfId="16039" xr:uid="{00000000-0005-0000-0000-0000A0050000}"/>
    <cellStyle name="20% - Accent2 9 2 3" xfId="25362" xr:uid="{00000000-0005-0000-0000-0000A1050000}"/>
    <cellStyle name="20% - Accent2 9 3" xfId="10724" xr:uid="{00000000-0005-0000-0000-0000A2050000}"/>
    <cellStyle name="20% - Accent2 9 4" xfId="20048" xr:uid="{00000000-0005-0000-0000-0000A3050000}"/>
    <cellStyle name="20% - Accent3" xfId="41" builtinId="38" customBuiltin="1"/>
    <cellStyle name="20% - Accent3 10" xfId="2941" xr:uid="{00000000-0005-0000-0000-0000A5050000}"/>
    <cellStyle name="20% - Accent3 10 2" xfId="7623" xr:uid="{00000000-0005-0000-0000-0000A6050000}"/>
    <cellStyle name="20% - Accent3 10 2 2" xfId="16947" xr:uid="{00000000-0005-0000-0000-0000A7050000}"/>
    <cellStyle name="20% - Accent3 10 2 3" xfId="26270" xr:uid="{00000000-0005-0000-0000-0000A8050000}"/>
    <cellStyle name="20% - Accent3 10 3" xfId="12346" xr:uid="{00000000-0005-0000-0000-0000A9050000}"/>
    <cellStyle name="20% - Accent3 10 4" xfId="21672" xr:uid="{00000000-0005-0000-0000-0000AA050000}"/>
    <cellStyle name="20% - Accent3 11" xfId="4580" xr:uid="{00000000-0005-0000-0000-0000AB050000}"/>
    <cellStyle name="20% - Accent3 11 2" xfId="13904" xr:uid="{00000000-0005-0000-0000-0000AC050000}"/>
    <cellStyle name="20% - Accent3 11 3" xfId="23227" xr:uid="{00000000-0005-0000-0000-0000AD050000}"/>
    <cellStyle name="20% - Accent3 12" xfId="9242" xr:uid="{00000000-0005-0000-0000-0000AE050000}"/>
    <cellStyle name="20% - Accent3 12 2" xfId="18566" xr:uid="{00000000-0005-0000-0000-0000AF050000}"/>
    <cellStyle name="20% - Accent3 12 3" xfId="27889" xr:uid="{00000000-0005-0000-0000-0000B0050000}"/>
    <cellStyle name="20% - Accent3 13" xfId="9736" xr:uid="{00000000-0005-0000-0000-0000B1050000}"/>
    <cellStyle name="20% - Accent3 14" xfId="19060" xr:uid="{00000000-0005-0000-0000-0000B2050000}"/>
    <cellStyle name="20% - Accent3 15" xfId="28392" xr:uid="{00000000-0005-0000-0000-0000B3050000}"/>
    <cellStyle name="20% - Accent3 2" xfId="61" xr:uid="{00000000-0005-0000-0000-0000B4050000}"/>
    <cellStyle name="20% - Accent3 2 10" xfId="4601" xr:uid="{00000000-0005-0000-0000-0000B5050000}"/>
    <cellStyle name="20% - Accent3 2 10 2" xfId="13925" xr:uid="{00000000-0005-0000-0000-0000B6050000}"/>
    <cellStyle name="20% - Accent3 2 10 3" xfId="23248" xr:uid="{00000000-0005-0000-0000-0000B7050000}"/>
    <cellStyle name="20% - Accent3 2 11" xfId="9255" xr:uid="{00000000-0005-0000-0000-0000B8050000}"/>
    <cellStyle name="20% - Accent3 2 11 2" xfId="18579" xr:uid="{00000000-0005-0000-0000-0000B9050000}"/>
    <cellStyle name="20% - Accent3 2 11 3" xfId="27902" xr:uid="{00000000-0005-0000-0000-0000BA050000}"/>
    <cellStyle name="20% - Accent3 2 12" xfId="9749" xr:uid="{00000000-0005-0000-0000-0000BB050000}"/>
    <cellStyle name="20% - Accent3 2 13" xfId="19073" xr:uid="{00000000-0005-0000-0000-0000BC050000}"/>
    <cellStyle name="20% - Accent3 2 14" xfId="28393" xr:uid="{00000000-0005-0000-0000-0000BD050000}"/>
    <cellStyle name="20% - Accent3 2 2" xfId="199" xr:uid="{00000000-0005-0000-0000-0000BE050000}"/>
    <cellStyle name="20% - Accent3 2 2 10" xfId="9821" xr:uid="{00000000-0005-0000-0000-0000BF050000}"/>
    <cellStyle name="20% - Accent3 2 2 11" xfId="19145" xr:uid="{00000000-0005-0000-0000-0000C0050000}"/>
    <cellStyle name="20% - Accent3 2 2 2" xfId="339" xr:uid="{00000000-0005-0000-0000-0000C1050000}"/>
    <cellStyle name="20% - Accent3 2 2 2 10" xfId="19268" xr:uid="{00000000-0005-0000-0000-0000C2050000}"/>
    <cellStyle name="20% - Accent3 2 2 2 2" xfId="579" xr:uid="{00000000-0005-0000-0000-0000C3050000}"/>
    <cellStyle name="20% - Accent3 2 2 2 2 2" xfId="1067" xr:uid="{00000000-0005-0000-0000-0000C4050000}"/>
    <cellStyle name="20% - Accent3 2 2 2 2 2 2" xfId="6316" xr:uid="{00000000-0005-0000-0000-0000C5050000}"/>
    <cellStyle name="20% - Accent3 2 2 2 2 2 2 2" xfId="15640" xr:uid="{00000000-0005-0000-0000-0000C6050000}"/>
    <cellStyle name="20% - Accent3 2 2 2 2 2 2 3" xfId="24963" xr:uid="{00000000-0005-0000-0000-0000C7050000}"/>
    <cellStyle name="20% - Accent3 2 2 2 2 2 3" xfId="10668" xr:uid="{00000000-0005-0000-0000-0000C8050000}"/>
    <cellStyle name="20% - Accent3 2 2 2 2 2 4" xfId="19992" xr:uid="{00000000-0005-0000-0000-0000C9050000}"/>
    <cellStyle name="20% - Accent3 2 2 2 2 3" xfId="1405" xr:uid="{00000000-0005-0000-0000-0000CA050000}"/>
    <cellStyle name="20% - Accent3 2 2 2 2 3 2" xfId="6622" xr:uid="{00000000-0005-0000-0000-0000CB050000}"/>
    <cellStyle name="20% - Accent3 2 2 2 2 3 2 2" xfId="15946" xr:uid="{00000000-0005-0000-0000-0000CC050000}"/>
    <cellStyle name="20% - Accent3 2 2 2 2 3 2 3" xfId="25269" xr:uid="{00000000-0005-0000-0000-0000CD050000}"/>
    <cellStyle name="20% - Accent3 2 2 2 2 3 3" xfId="10973" xr:uid="{00000000-0005-0000-0000-0000CE050000}"/>
    <cellStyle name="20% - Accent3 2 2 2 2 3 4" xfId="20297" xr:uid="{00000000-0005-0000-0000-0000CF050000}"/>
    <cellStyle name="20% - Accent3 2 2 2 2 4" xfId="3192" xr:uid="{00000000-0005-0000-0000-0000D0050000}"/>
    <cellStyle name="20% - Accent3 2 2 2 2 4 2" xfId="7871" xr:uid="{00000000-0005-0000-0000-0000D1050000}"/>
    <cellStyle name="20% - Accent3 2 2 2 2 4 2 2" xfId="17195" xr:uid="{00000000-0005-0000-0000-0000D2050000}"/>
    <cellStyle name="20% - Accent3 2 2 2 2 4 2 3" xfId="26518" xr:uid="{00000000-0005-0000-0000-0000D3050000}"/>
    <cellStyle name="20% - Accent3 2 2 2 2 4 3" xfId="12578" xr:uid="{00000000-0005-0000-0000-0000D4050000}"/>
    <cellStyle name="20% - Accent3 2 2 2 2 4 4" xfId="21904" xr:uid="{00000000-0005-0000-0000-0000D5050000}"/>
    <cellStyle name="20% - Accent3 2 2 2 2 5" xfId="4858" xr:uid="{00000000-0005-0000-0000-0000D6050000}"/>
    <cellStyle name="20% - Accent3 2 2 2 2 5 2" xfId="14182" xr:uid="{00000000-0005-0000-0000-0000D7050000}"/>
    <cellStyle name="20% - Accent3 2 2 2 2 5 3" xfId="23505" xr:uid="{00000000-0005-0000-0000-0000D8050000}"/>
    <cellStyle name="20% - Accent3 2 2 2 2 6" xfId="7073" xr:uid="{00000000-0005-0000-0000-0000D9050000}"/>
    <cellStyle name="20% - Accent3 2 2 2 2 6 2" xfId="16397" xr:uid="{00000000-0005-0000-0000-0000DA050000}"/>
    <cellStyle name="20% - Accent3 2 2 2 2 6 3" xfId="25720" xr:uid="{00000000-0005-0000-0000-0000DB050000}"/>
    <cellStyle name="20% - Accent3 2 2 2 2 7" xfId="9690" xr:uid="{00000000-0005-0000-0000-0000DC050000}"/>
    <cellStyle name="20% - Accent3 2 2 2 2 7 2" xfId="19014" xr:uid="{00000000-0005-0000-0000-0000DD050000}"/>
    <cellStyle name="20% - Accent3 2 2 2 2 7 3" xfId="28337" xr:uid="{00000000-0005-0000-0000-0000DE050000}"/>
    <cellStyle name="20% - Accent3 2 2 2 2 8" xfId="10184" xr:uid="{00000000-0005-0000-0000-0000DF050000}"/>
    <cellStyle name="20% - Accent3 2 2 2 2 9" xfId="19508" xr:uid="{00000000-0005-0000-0000-0000E0050000}"/>
    <cellStyle name="20% - Accent3 2 2 2 3" xfId="827" xr:uid="{00000000-0005-0000-0000-0000E1050000}"/>
    <cellStyle name="20% - Accent3 2 2 2 3 2" xfId="6924" xr:uid="{00000000-0005-0000-0000-0000E2050000}"/>
    <cellStyle name="20% - Accent3 2 2 2 3 2 2" xfId="16248" xr:uid="{00000000-0005-0000-0000-0000E3050000}"/>
    <cellStyle name="20% - Accent3 2 2 2 3 2 3" xfId="25571" xr:uid="{00000000-0005-0000-0000-0000E4050000}"/>
    <cellStyle name="20% - Accent3 2 2 2 3 3" xfId="10428" xr:uid="{00000000-0005-0000-0000-0000E5050000}"/>
    <cellStyle name="20% - Accent3 2 2 2 3 4" xfId="19752" xr:uid="{00000000-0005-0000-0000-0000E6050000}"/>
    <cellStyle name="20% - Accent3 2 2 2 4" xfId="1404" xr:uid="{00000000-0005-0000-0000-0000E7050000}"/>
    <cellStyle name="20% - Accent3 2 2 2 4 2" xfId="6623" xr:uid="{00000000-0005-0000-0000-0000E8050000}"/>
    <cellStyle name="20% - Accent3 2 2 2 4 2 2" xfId="15947" xr:uid="{00000000-0005-0000-0000-0000E9050000}"/>
    <cellStyle name="20% - Accent3 2 2 2 4 2 3" xfId="25270" xr:uid="{00000000-0005-0000-0000-0000EA050000}"/>
    <cellStyle name="20% - Accent3 2 2 2 4 3" xfId="10972" xr:uid="{00000000-0005-0000-0000-0000EB050000}"/>
    <cellStyle name="20% - Accent3 2 2 2 4 4" xfId="20296" xr:uid="{00000000-0005-0000-0000-0000EC050000}"/>
    <cellStyle name="20% - Accent3 2 2 2 5" xfId="3191" xr:uid="{00000000-0005-0000-0000-0000ED050000}"/>
    <cellStyle name="20% - Accent3 2 2 2 5 2" xfId="7870" xr:uid="{00000000-0005-0000-0000-0000EE050000}"/>
    <cellStyle name="20% - Accent3 2 2 2 5 2 2" xfId="17194" xr:uid="{00000000-0005-0000-0000-0000EF050000}"/>
    <cellStyle name="20% - Accent3 2 2 2 5 2 3" xfId="26517" xr:uid="{00000000-0005-0000-0000-0000F0050000}"/>
    <cellStyle name="20% - Accent3 2 2 2 5 3" xfId="12577" xr:uid="{00000000-0005-0000-0000-0000F1050000}"/>
    <cellStyle name="20% - Accent3 2 2 2 5 4" xfId="21903" xr:uid="{00000000-0005-0000-0000-0000F2050000}"/>
    <cellStyle name="20% - Accent3 2 2 2 6" xfId="4857" xr:uid="{00000000-0005-0000-0000-0000F3050000}"/>
    <cellStyle name="20% - Accent3 2 2 2 6 2" xfId="14181" xr:uid="{00000000-0005-0000-0000-0000F4050000}"/>
    <cellStyle name="20% - Accent3 2 2 2 6 3" xfId="23504" xr:uid="{00000000-0005-0000-0000-0000F5050000}"/>
    <cellStyle name="20% - Accent3 2 2 2 7" xfId="7206" xr:uid="{00000000-0005-0000-0000-0000F6050000}"/>
    <cellStyle name="20% - Accent3 2 2 2 7 2" xfId="16530" xr:uid="{00000000-0005-0000-0000-0000F7050000}"/>
    <cellStyle name="20% - Accent3 2 2 2 7 3" xfId="25853" xr:uid="{00000000-0005-0000-0000-0000F8050000}"/>
    <cellStyle name="20% - Accent3 2 2 2 8" xfId="9450" xr:uid="{00000000-0005-0000-0000-0000F9050000}"/>
    <cellStyle name="20% - Accent3 2 2 2 8 2" xfId="18774" xr:uid="{00000000-0005-0000-0000-0000FA050000}"/>
    <cellStyle name="20% - Accent3 2 2 2 8 3" xfId="28097" xr:uid="{00000000-0005-0000-0000-0000FB050000}"/>
    <cellStyle name="20% - Accent3 2 2 2 9" xfId="9944" xr:uid="{00000000-0005-0000-0000-0000FC050000}"/>
    <cellStyle name="20% - Accent3 2 2 3" xfId="457" xr:uid="{00000000-0005-0000-0000-0000FD050000}"/>
    <cellStyle name="20% - Accent3 2 2 3 2" xfId="945" xr:uid="{00000000-0005-0000-0000-0000FE050000}"/>
    <cellStyle name="20% - Accent3 2 2 3 2 2" xfId="6829" xr:uid="{00000000-0005-0000-0000-0000FF050000}"/>
    <cellStyle name="20% - Accent3 2 2 3 2 2 2" xfId="16153" xr:uid="{00000000-0005-0000-0000-000000060000}"/>
    <cellStyle name="20% - Accent3 2 2 3 2 2 3" xfId="25476" xr:uid="{00000000-0005-0000-0000-000001060000}"/>
    <cellStyle name="20% - Accent3 2 2 3 2 3" xfId="10546" xr:uid="{00000000-0005-0000-0000-000002060000}"/>
    <cellStyle name="20% - Accent3 2 2 3 2 4" xfId="19870" xr:uid="{00000000-0005-0000-0000-000003060000}"/>
    <cellStyle name="20% - Accent3 2 2 3 3" xfId="1406" xr:uid="{00000000-0005-0000-0000-000004060000}"/>
    <cellStyle name="20% - Accent3 2 2 3 3 2" xfId="6621" xr:uid="{00000000-0005-0000-0000-000005060000}"/>
    <cellStyle name="20% - Accent3 2 2 3 3 2 2" xfId="15945" xr:uid="{00000000-0005-0000-0000-000006060000}"/>
    <cellStyle name="20% - Accent3 2 2 3 3 2 3" xfId="25268" xr:uid="{00000000-0005-0000-0000-000007060000}"/>
    <cellStyle name="20% - Accent3 2 2 3 3 3" xfId="10974" xr:uid="{00000000-0005-0000-0000-000008060000}"/>
    <cellStyle name="20% - Accent3 2 2 3 3 4" xfId="20298" xr:uid="{00000000-0005-0000-0000-000009060000}"/>
    <cellStyle name="20% - Accent3 2 2 3 4" xfId="3193" xr:uid="{00000000-0005-0000-0000-00000A060000}"/>
    <cellStyle name="20% - Accent3 2 2 3 4 2" xfId="7872" xr:uid="{00000000-0005-0000-0000-00000B060000}"/>
    <cellStyle name="20% - Accent3 2 2 3 4 2 2" xfId="17196" xr:uid="{00000000-0005-0000-0000-00000C060000}"/>
    <cellStyle name="20% - Accent3 2 2 3 4 2 3" xfId="26519" xr:uid="{00000000-0005-0000-0000-00000D060000}"/>
    <cellStyle name="20% - Accent3 2 2 3 4 3" xfId="12579" xr:uid="{00000000-0005-0000-0000-00000E060000}"/>
    <cellStyle name="20% - Accent3 2 2 3 4 4" xfId="21905" xr:uid="{00000000-0005-0000-0000-00000F060000}"/>
    <cellStyle name="20% - Accent3 2 2 3 5" xfId="4859" xr:uid="{00000000-0005-0000-0000-000010060000}"/>
    <cellStyle name="20% - Accent3 2 2 3 5 2" xfId="14183" xr:uid="{00000000-0005-0000-0000-000011060000}"/>
    <cellStyle name="20% - Accent3 2 2 3 5 3" xfId="23506" xr:uid="{00000000-0005-0000-0000-000012060000}"/>
    <cellStyle name="20% - Accent3 2 2 3 6" xfId="7142" xr:uid="{00000000-0005-0000-0000-000013060000}"/>
    <cellStyle name="20% - Accent3 2 2 3 6 2" xfId="16466" xr:uid="{00000000-0005-0000-0000-000014060000}"/>
    <cellStyle name="20% - Accent3 2 2 3 6 3" xfId="25789" xr:uid="{00000000-0005-0000-0000-000015060000}"/>
    <cellStyle name="20% - Accent3 2 2 3 7" xfId="9568" xr:uid="{00000000-0005-0000-0000-000016060000}"/>
    <cellStyle name="20% - Accent3 2 2 3 7 2" xfId="18892" xr:uid="{00000000-0005-0000-0000-000017060000}"/>
    <cellStyle name="20% - Accent3 2 2 3 7 3" xfId="28215" xr:uid="{00000000-0005-0000-0000-000018060000}"/>
    <cellStyle name="20% - Accent3 2 2 3 8" xfId="10062" xr:uid="{00000000-0005-0000-0000-000019060000}"/>
    <cellStyle name="20% - Accent3 2 2 3 9" xfId="19386" xr:uid="{00000000-0005-0000-0000-00001A060000}"/>
    <cellStyle name="20% - Accent3 2 2 4" xfId="705" xr:uid="{00000000-0005-0000-0000-00001B060000}"/>
    <cellStyle name="20% - Accent3 2 2 4 2" xfId="7005" xr:uid="{00000000-0005-0000-0000-00001C060000}"/>
    <cellStyle name="20% - Accent3 2 2 4 2 2" xfId="16329" xr:uid="{00000000-0005-0000-0000-00001D060000}"/>
    <cellStyle name="20% - Accent3 2 2 4 2 3" xfId="25652" xr:uid="{00000000-0005-0000-0000-00001E060000}"/>
    <cellStyle name="20% - Accent3 2 2 4 3" xfId="10306" xr:uid="{00000000-0005-0000-0000-00001F060000}"/>
    <cellStyle name="20% - Accent3 2 2 4 4" xfId="19630" xr:uid="{00000000-0005-0000-0000-000020060000}"/>
    <cellStyle name="20% - Accent3 2 2 5" xfId="1403" xr:uid="{00000000-0005-0000-0000-000021060000}"/>
    <cellStyle name="20% - Accent3 2 2 5 2" xfId="6624" xr:uid="{00000000-0005-0000-0000-000022060000}"/>
    <cellStyle name="20% - Accent3 2 2 5 2 2" xfId="15948" xr:uid="{00000000-0005-0000-0000-000023060000}"/>
    <cellStyle name="20% - Accent3 2 2 5 2 3" xfId="25271" xr:uid="{00000000-0005-0000-0000-000024060000}"/>
    <cellStyle name="20% - Accent3 2 2 5 3" xfId="10971" xr:uid="{00000000-0005-0000-0000-000025060000}"/>
    <cellStyle name="20% - Accent3 2 2 5 4" xfId="20295" xr:uid="{00000000-0005-0000-0000-000026060000}"/>
    <cellStyle name="20% - Accent3 2 2 6" xfId="3190" xr:uid="{00000000-0005-0000-0000-000027060000}"/>
    <cellStyle name="20% - Accent3 2 2 6 2" xfId="7869" xr:uid="{00000000-0005-0000-0000-000028060000}"/>
    <cellStyle name="20% - Accent3 2 2 6 2 2" xfId="17193" xr:uid="{00000000-0005-0000-0000-000029060000}"/>
    <cellStyle name="20% - Accent3 2 2 6 2 3" xfId="26516" xr:uid="{00000000-0005-0000-0000-00002A060000}"/>
    <cellStyle name="20% - Accent3 2 2 6 3" xfId="12576" xr:uid="{00000000-0005-0000-0000-00002B060000}"/>
    <cellStyle name="20% - Accent3 2 2 6 4" xfId="21902" xr:uid="{00000000-0005-0000-0000-00002C060000}"/>
    <cellStyle name="20% - Accent3 2 2 7" xfId="4856" xr:uid="{00000000-0005-0000-0000-00002D060000}"/>
    <cellStyle name="20% - Accent3 2 2 7 2" xfId="14180" xr:uid="{00000000-0005-0000-0000-00002E060000}"/>
    <cellStyle name="20% - Accent3 2 2 7 3" xfId="23503" xr:uid="{00000000-0005-0000-0000-00002F060000}"/>
    <cellStyle name="20% - Accent3 2 2 8" xfId="7274" xr:uid="{00000000-0005-0000-0000-000030060000}"/>
    <cellStyle name="20% - Accent3 2 2 8 2" xfId="16598" xr:uid="{00000000-0005-0000-0000-000031060000}"/>
    <cellStyle name="20% - Accent3 2 2 8 3" xfId="25921" xr:uid="{00000000-0005-0000-0000-000032060000}"/>
    <cellStyle name="20% - Accent3 2 2 9" xfId="9327" xr:uid="{00000000-0005-0000-0000-000033060000}"/>
    <cellStyle name="20% - Accent3 2 2 9 2" xfId="18651" xr:uid="{00000000-0005-0000-0000-000034060000}"/>
    <cellStyle name="20% - Accent3 2 2 9 3" xfId="27974" xr:uid="{00000000-0005-0000-0000-000035060000}"/>
    <cellStyle name="20% - Accent3 2 3" xfId="264" xr:uid="{00000000-0005-0000-0000-000036060000}"/>
    <cellStyle name="20% - Accent3 2 3 2" xfId="518" xr:uid="{00000000-0005-0000-0000-000037060000}"/>
    <cellStyle name="20% - Accent3 2 3 2 2" xfId="1006" xr:uid="{00000000-0005-0000-0000-000038060000}"/>
    <cellStyle name="20% - Accent3 2 3 2 2 2" xfId="6793" xr:uid="{00000000-0005-0000-0000-000039060000}"/>
    <cellStyle name="20% - Accent3 2 3 2 2 2 2" xfId="16117" xr:uid="{00000000-0005-0000-0000-00003A060000}"/>
    <cellStyle name="20% - Accent3 2 3 2 2 2 3" xfId="25440" xr:uid="{00000000-0005-0000-0000-00003B060000}"/>
    <cellStyle name="20% - Accent3 2 3 2 2 3" xfId="10607" xr:uid="{00000000-0005-0000-0000-00003C060000}"/>
    <cellStyle name="20% - Accent3 2 3 2 2 4" xfId="19931" xr:uid="{00000000-0005-0000-0000-00003D060000}"/>
    <cellStyle name="20% - Accent3 2 3 2 3" xfId="1408" xr:uid="{00000000-0005-0000-0000-00003E060000}"/>
    <cellStyle name="20% - Accent3 2 3 2 3 2" xfId="6619" xr:uid="{00000000-0005-0000-0000-00003F060000}"/>
    <cellStyle name="20% - Accent3 2 3 2 3 2 2" xfId="15943" xr:uid="{00000000-0005-0000-0000-000040060000}"/>
    <cellStyle name="20% - Accent3 2 3 2 3 2 3" xfId="25266" xr:uid="{00000000-0005-0000-0000-000041060000}"/>
    <cellStyle name="20% - Accent3 2 3 2 3 3" xfId="10976" xr:uid="{00000000-0005-0000-0000-000042060000}"/>
    <cellStyle name="20% - Accent3 2 3 2 3 4" xfId="20300" xr:uid="{00000000-0005-0000-0000-000043060000}"/>
    <cellStyle name="20% - Accent3 2 3 2 4" xfId="3195" xr:uid="{00000000-0005-0000-0000-000044060000}"/>
    <cellStyle name="20% - Accent3 2 3 2 4 2" xfId="7874" xr:uid="{00000000-0005-0000-0000-000045060000}"/>
    <cellStyle name="20% - Accent3 2 3 2 4 2 2" xfId="17198" xr:uid="{00000000-0005-0000-0000-000046060000}"/>
    <cellStyle name="20% - Accent3 2 3 2 4 2 3" xfId="26521" xr:uid="{00000000-0005-0000-0000-000047060000}"/>
    <cellStyle name="20% - Accent3 2 3 2 4 3" xfId="12581" xr:uid="{00000000-0005-0000-0000-000048060000}"/>
    <cellStyle name="20% - Accent3 2 3 2 4 4" xfId="21907" xr:uid="{00000000-0005-0000-0000-000049060000}"/>
    <cellStyle name="20% - Accent3 2 3 2 5" xfId="4861" xr:uid="{00000000-0005-0000-0000-00004A060000}"/>
    <cellStyle name="20% - Accent3 2 3 2 5 2" xfId="14185" xr:uid="{00000000-0005-0000-0000-00004B060000}"/>
    <cellStyle name="20% - Accent3 2 3 2 5 3" xfId="23508" xr:uid="{00000000-0005-0000-0000-00004C060000}"/>
    <cellStyle name="20% - Accent3 2 3 2 6" xfId="9629" xr:uid="{00000000-0005-0000-0000-00004D060000}"/>
    <cellStyle name="20% - Accent3 2 3 2 6 2" xfId="18953" xr:uid="{00000000-0005-0000-0000-00004E060000}"/>
    <cellStyle name="20% - Accent3 2 3 2 6 3" xfId="28276" xr:uid="{00000000-0005-0000-0000-00004F060000}"/>
    <cellStyle name="20% - Accent3 2 3 2 7" xfId="10123" xr:uid="{00000000-0005-0000-0000-000050060000}"/>
    <cellStyle name="20% - Accent3 2 3 2 8" xfId="19447" xr:uid="{00000000-0005-0000-0000-000051060000}"/>
    <cellStyle name="20% - Accent3 2 3 3" xfId="766" xr:uid="{00000000-0005-0000-0000-000052060000}"/>
    <cellStyle name="20% - Accent3 2 3 3 2" xfId="6966" xr:uid="{00000000-0005-0000-0000-000053060000}"/>
    <cellStyle name="20% - Accent3 2 3 3 2 2" xfId="16290" xr:uid="{00000000-0005-0000-0000-000054060000}"/>
    <cellStyle name="20% - Accent3 2 3 3 2 3" xfId="25613" xr:uid="{00000000-0005-0000-0000-000055060000}"/>
    <cellStyle name="20% - Accent3 2 3 3 3" xfId="10367" xr:uid="{00000000-0005-0000-0000-000056060000}"/>
    <cellStyle name="20% - Accent3 2 3 3 4" xfId="19691" xr:uid="{00000000-0005-0000-0000-000057060000}"/>
    <cellStyle name="20% - Accent3 2 3 4" xfId="1407" xr:uid="{00000000-0005-0000-0000-000058060000}"/>
    <cellStyle name="20% - Accent3 2 3 4 2" xfId="6620" xr:uid="{00000000-0005-0000-0000-000059060000}"/>
    <cellStyle name="20% - Accent3 2 3 4 2 2" xfId="15944" xr:uid="{00000000-0005-0000-0000-00005A060000}"/>
    <cellStyle name="20% - Accent3 2 3 4 2 3" xfId="25267" xr:uid="{00000000-0005-0000-0000-00005B060000}"/>
    <cellStyle name="20% - Accent3 2 3 4 3" xfId="10975" xr:uid="{00000000-0005-0000-0000-00005C060000}"/>
    <cellStyle name="20% - Accent3 2 3 4 4" xfId="20299" xr:uid="{00000000-0005-0000-0000-00005D060000}"/>
    <cellStyle name="20% - Accent3 2 3 5" xfId="3194" xr:uid="{00000000-0005-0000-0000-00005E060000}"/>
    <cellStyle name="20% - Accent3 2 3 5 2" xfId="7873" xr:uid="{00000000-0005-0000-0000-00005F060000}"/>
    <cellStyle name="20% - Accent3 2 3 5 2 2" xfId="17197" xr:uid="{00000000-0005-0000-0000-000060060000}"/>
    <cellStyle name="20% - Accent3 2 3 5 2 3" xfId="26520" xr:uid="{00000000-0005-0000-0000-000061060000}"/>
    <cellStyle name="20% - Accent3 2 3 5 3" xfId="12580" xr:uid="{00000000-0005-0000-0000-000062060000}"/>
    <cellStyle name="20% - Accent3 2 3 5 4" xfId="21906" xr:uid="{00000000-0005-0000-0000-000063060000}"/>
    <cellStyle name="20% - Accent3 2 3 6" xfId="4860" xr:uid="{00000000-0005-0000-0000-000064060000}"/>
    <cellStyle name="20% - Accent3 2 3 6 2" xfId="14184" xr:uid="{00000000-0005-0000-0000-000065060000}"/>
    <cellStyle name="20% - Accent3 2 3 6 3" xfId="23507" xr:uid="{00000000-0005-0000-0000-000066060000}"/>
    <cellStyle name="20% - Accent3 2 3 7" xfId="9388" xr:uid="{00000000-0005-0000-0000-000067060000}"/>
    <cellStyle name="20% - Accent3 2 3 7 2" xfId="18712" xr:uid="{00000000-0005-0000-0000-000068060000}"/>
    <cellStyle name="20% - Accent3 2 3 7 3" xfId="28035" xr:uid="{00000000-0005-0000-0000-000069060000}"/>
    <cellStyle name="20% - Accent3 2 3 8" xfId="9882" xr:uid="{00000000-0005-0000-0000-00006A060000}"/>
    <cellStyle name="20% - Accent3 2 3 9" xfId="19206" xr:uid="{00000000-0005-0000-0000-00006B060000}"/>
    <cellStyle name="20% - Accent3 2 4" xfId="398" xr:uid="{00000000-0005-0000-0000-00006C060000}"/>
    <cellStyle name="20% - Accent3 2 4 2" xfId="886" xr:uid="{00000000-0005-0000-0000-00006D060000}"/>
    <cellStyle name="20% - Accent3 2 4 2 2" xfId="6878" xr:uid="{00000000-0005-0000-0000-00006E060000}"/>
    <cellStyle name="20% - Accent3 2 4 2 2 2" xfId="16202" xr:uid="{00000000-0005-0000-0000-00006F060000}"/>
    <cellStyle name="20% - Accent3 2 4 2 2 3" xfId="25525" xr:uid="{00000000-0005-0000-0000-000070060000}"/>
    <cellStyle name="20% - Accent3 2 4 2 3" xfId="10487" xr:uid="{00000000-0005-0000-0000-000071060000}"/>
    <cellStyle name="20% - Accent3 2 4 2 4" xfId="19811" xr:uid="{00000000-0005-0000-0000-000072060000}"/>
    <cellStyle name="20% - Accent3 2 4 3" xfId="1409" xr:uid="{00000000-0005-0000-0000-000073060000}"/>
    <cellStyle name="20% - Accent3 2 4 3 2" xfId="6618" xr:uid="{00000000-0005-0000-0000-000074060000}"/>
    <cellStyle name="20% - Accent3 2 4 3 2 2" xfId="15942" xr:uid="{00000000-0005-0000-0000-000075060000}"/>
    <cellStyle name="20% - Accent3 2 4 3 2 3" xfId="25265" xr:uid="{00000000-0005-0000-0000-000076060000}"/>
    <cellStyle name="20% - Accent3 2 4 3 3" xfId="10977" xr:uid="{00000000-0005-0000-0000-000077060000}"/>
    <cellStyle name="20% - Accent3 2 4 3 4" xfId="20301" xr:uid="{00000000-0005-0000-0000-000078060000}"/>
    <cellStyle name="20% - Accent3 2 4 4" xfId="3196" xr:uid="{00000000-0005-0000-0000-000079060000}"/>
    <cellStyle name="20% - Accent3 2 4 4 2" xfId="7875" xr:uid="{00000000-0005-0000-0000-00007A060000}"/>
    <cellStyle name="20% - Accent3 2 4 4 2 2" xfId="17199" xr:uid="{00000000-0005-0000-0000-00007B060000}"/>
    <cellStyle name="20% - Accent3 2 4 4 2 3" xfId="26522" xr:uid="{00000000-0005-0000-0000-00007C060000}"/>
    <cellStyle name="20% - Accent3 2 4 4 3" xfId="12582" xr:uid="{00000000-0005-0000-0000-00007D060000}"/>
    <cellStyle name="20% - Accent3 2 4 4 4" xfId="21908" xr:uid="{00000000-0005-0000-0000-00007E060000}"/>
    <cellStyle name="20% - Accent3 2 4 5" xfId="4862" xr:uid="{00000000-0005-0000-0000-00007F060000}"/>
    <cellStyle name="20% - Accent3 2 4 5 2" xfId="14186" xr:uid="{00000000-0005-0000-0000-000080060000}"/>
    <cellStyle name="20% - Accent3 2 4 5 3" xfId="23509" xr:uid="{00000000-0005-0000-0000-000081060000}"/>
    <cellStyle name="20% - Accent3 2 4 6" xfId="6305" xr:uid="{00000000-0005-0000-0000-000082060000}"/>
    <cellStyle name="20% - Accent3 2 4 6 2" xfId="15629" xr:uid="{00000000-0005-0000-0000-000083060000}"/>
    <cellStyle name="20% - Accent3 2 4 6 3" xfId="24952" xr:uid="{00000000-0005-0000-0000-000084060000}"/>
    <cellStyle name="20% - Accent3 2 4 7" xfId="9509" xr:uid="{00000000-0005-0000-0000-000085060000}"/>
    <cellStyle name="20% - Accent3 2 4 7 2" xfId="18833" xr:uid="{00000000-0005-0000-0000-000086060000}"/>
    <cellStyle name="20% - Accent3 2 4 7 3" xfId="28156" xr:uid="{00000000-0005-0000-0000-000087060000}"/>
    <cellStyle name="20% - Accent3 2 4 8" xfId="10003" xr:uid="{00000000-0005-0000-0000-000088060000}"/>
    <cellStyle name="20% - Accent3 2 4 9" xfId="19327" xr:uid="{00000000-0005-0000-0000-000089060000}"/>
    <cellStyle name="20% - Accent3 2 5" xfId="646" xr:uid="{00000000-0005-0000-0000-00008A060000}"/>
    <cellStyle name="20% - Accent3 2 5 2" xfId="1410" xr:uid="{00000000-0005-0000-0000-00008B060000}"/>
    <cellStyle name="20% - Accent3 2 5 2 2" xfId="6617" xr:uid="{00000000-0005-0000-0000-00008C060000}"/>
    <cellStyle name="20% - Accent3 2 5 2 2 2" xfId="15941" xr:uid="{00000000-0005-0000-0000-00008D060000}"/>
    <cellStyle name="20% - Accent3 2 5 2 2 3" xfId="25264" xr:uid="{00000000-0005-0000-0000-00008E060000}"/>
    <cellStyle name="20% - Accent3 2 5 2 3" xfId="10978" xr:uid="{00000000-0005-0000-0000-00008F060000}"/>
    <cellStyle name="20% - Accent3 2 5 2 4" xfId="20302" xr:uid="{00000000-0005-0000-0000-000090060000}"/>
    <cellStyle name="20% - Accent3 2 5 3" xfId="3197" xr:uid="{00000000-0005-0000-0000-000091060000}"/>
    <cellStyle name="20% - Accent3 2 5 3 2" xfId="7876" xr:uid="{00000000-0005-0000-0000-000092060000}"/>
    <cellStyle name="20% - Accent3 2 5 3 2 2" xfId="17200" xr:uid="{00000000-0005-0000-0000-000093060000}"/>
    <cellStyle name="20% - Accent3 2 5 3 2 3" xfId="26523" xr:uid="{00000000-0005-0000-0000-000094060000}"/>
    <cellStyle name="20% - Accent3 2 5 3 3" xfId="12583" xr:uid="{00000000-0005-0000-0000-000095060000}"/>
    <cellStyle name="20% - Accent3 2 5 3 4" xfId="21909" xr:uid="{00000000-0005-0000-0000-000096060000}"/>
    <cellStyle name="20% - Accent3 2 5 4" xfId="4863" xr:uid="{00000000-0005-0000-0000-000097060000}"/>
    <cellStyle name="20% - Accent3 2 5 4 2" xfId="14187" xr:uid="{00000000-0005-0000-0000-000098060000}"/>
    <cellStyle name="20% - Accent3 2 5 4 3" xfId="23510" xr:uid="{00000000-0005-0000-0000-000099060000}"/>
    <cellStyle name="20% - Accent3 2 5 5" xfId="10247" xr:uid="{00000000-0005-0000-0000-00009A060000}"/>
    <cellStyle name="20% - Accent3 2 5 6" xfId="19571" xr:uid="{00000000-0005-0000-0000-00009B060000}"/>
    <cellStyle name="20% - Accent3 2 6" xfId="1411" xr:uid="{00000000-0005-0000-0000-00009C060000}"/>
    <cellStyle name="20% - Accent3 2 6 2" xfId="3198" xr:uid="{00000000-0005-0000-0000-00009D060000}"/>
    <cellStyle name="20% - Accent3 2 6 2 2" xfId="7877" xr:uid="{00000000-0005-0000-0000-00009E060000}"/>
    <cellStyle name="20% - Accent3 2 6 2 2 2" xfId="17201" xr:uid="{00000000-0005-0000-0000-00009F060000}"/>
    <cellStyle name="20% - Accent3 2 6 2 2 3" xfId="26524" xr:uid="{00000000-0005-0000-0000-0000A0060000}"/>
    <cellStyle name="20% - Accent3 2 6 2 3" xfId="12584" xr:uid="{00000000-0005-0000-0000-0000A1060000}"/>
    <cellStyle name="20% - Accent3 2 6 2 4" xfId="21910" xr:uid="{00000000-0005-0000-0000-0000A2060000}"/>
    <cellStyle name="20% - Accent3 2 6 3" xfId="4864" xr:uid="{00000000-0005-0000-0000-0000A3060000}"/>
    <cellStyle name="20% - Accent3 2 6 3 2" xfId="14188" xr:uid="{00000000-0005-0000-0000-0000A4060000}"/>
    <cellStyle name="20% - Accent3 2 6 3 3" xfId="23511" xr:uid="{00000000-0005-0000-0000-0000A5060000}"/>
    <cellStyle name="20% - Accent3 2 6 4" xfId="10979" xr:uid="{00000000-0005-0000-0000-0000A6060000}"/>
    <cellStyle name="20% - Accent3 2 6 5" xfId="20303" xr:uid="{00000000-0005-0000-0000-0000A7060000}"/>
    <cellStyle name="20% - Accent3 2 7" xfId="1402" xr:uid="{00000000-0005-0000-0000-0000A8060000}"/>
    <cellStyle name="20% - Accent3 2 7 2" xfId="3189" xr:uid="{00000000-0005-0000-0000-0000A9060000}"/>
    <cellStyle name="20% - Accent3 2 7 2 2" xfId="7868" xr:uid="{00000000-0005-0000-0000-0000AA060000}"/>
    <cellStyle name="20% - Accent3 2 7 2 2 2" xfId="17192" xr:uid="{00000000-0005-0000-0000-0000AB060000}"/>
    <cellStyle name="20% - Accent3 2 7 2 2 3" xfId="26515" xr:uid="{00000000-0005-0000-0000-0000AC060000}"/>
    <cellStyle name="20% - Accent3 2 7 2 3" xfId="12575" xr:uid="{00000000-0005-0000-0000-0000AD060000}"/>
    <cellStyle name="20% - Accent3 2 7 2 4" xfId="21901" xr:uid="{00000000-0005-0000-0000-0000AE060000}"/>
    <cellStyle name="20% - Accent3 2 7 3" xfId="4855" xr:uid="{00000000-0005-0000-0000-0000AF060000}"/>
    <cellStyle name="20% - Accent3 2 7 3 2" xfId="14179" xr:uid="{00000000-0005-0000-0000-0000B0060000}"/>
    <cellStyle name="20% - Accent3 2 7 3 3" xfId="23502" xr:uid="{00000000-0005-0000-0000-0000B1060000}"/>
    <cellStyle name="20% - Accent3 2 7 4" xfId="10970" xr:uid="{00000000-0005-0000-0000-0000B2060000}"/>
    <cellStyle name="20% - Accent3 2 7 5" xfId="20294" xr:uid="{00000000-0005-0000-0000-0000B3060000}"/>
    <cellStyle name="20% - Accent3 2 8" xfId="1141" xr:uid="{00000000-0005-0000-0000-0000B4060000}"/>
    <cellStyle name="20% - Accent3 2 8 2" xfId="6708" xr:uid="{00000000-0005-0000-0000-0000B5060000}"/>
    <cellStyle name="20% - Accent3 2 8 2 2" xfId="16032" xr:uid="{00000000-0005-0000-0000-0000B6060000}"/>
    <cellStyle name="20% - Accent3 2 8 2 3" xfId="25355" xr:uid="{00000000-0005-0000-0000-0000B7060000}"/>
    <cellStyle name="20% - Accent3 2 8 3" xfId="10740" xr:uid="{00000000-0005-0000-0000-0000B8060000}"/>
    <cellStyle name="20% - Accent3 2 8 4" xfId="20064" xr:uid="{00000000-0005-0000-0000-0000B9060000}"/>
    <cellStyle name="20% - Accent3 2 9" xfId="2959" xr:uid="{00000000-0005-0000-0000-0000BA060000}"/>
    <cellStyle name="20% - Accent3 2 9 2" xfId="7638" xr:uid="{00000000-0005-0000-0000-0000BB060000}"/>
    <cellStyle name="20% - Accent3 2 9 2 2" xfId="16962" xr:uid="{00000000-0005-0000-0000-0000BC060000}"/>
    <cellStyle name="20% - Accent3 2 9 2 3" xfId="26285" xr:uid="{00000000-0005-0000-0000-0000BD060000}"/>
    <cellStyle name="20% - Accent3 2 9 3" xfId="12360" xr:uid="{00000000-0005-0000-0000-0000BE060000}"/>
    <cellStyle name="20% - Accent3 2 9 4" xfId="21686" xr:uid="{00000000-0005-0000-0000-0000BF060000}"/>
    <cellStyle name="20% - Accent3 3" xfId="62" xr:uid="{00000000-0005-0000-0000-0000C0060000}"/>
    <cellStyle name="20% - Accent3 3 10" xfId="9256" xr:uid="{00000000-0005-0000-0000-0000C1060000}"/>
    <cellStyle name="20% - Accent3 3 10 2" xfId="18580" xr:uid="{00000000-0005-0000-0000-0000C2060000}"/>
    <cellStyle name="20% - Accent3 3 10 3" xfId="27903" xr:uid="{00000000-0005-0000-0000-0000C3060000}"/>
    <cellStyle name="20% - Accent3 3 11" xfId="9750" xr:uid="{00000000-0005-0000-0000-0000C4060000}"/>
    <cellStyle name="20% - Accent3 3 12" xfId="19074" xr:uid="{00000000-0005-0000-0000-0000C5060000}"/>
    <cellStyle name="20% - Accent3 3 13" xfId="28843" xr:uid="{00000000-0005-0000-0000-0000C6060000}"/>
    <cellStyle name="20% - Accent3 3 2" xfId="200" xr:uid="{00000000-0005-0000-0000-0000C7060000}"/>
    <cellStyle name="20% - Accent3 3 2 10" xfId="9822" xr:uid="{00000000-0005-0000-0000-0000C8060000}"/>
    <cellStyle name="20% - Accent3 3 2 11" xfId="19146" xr:uid="{00000000-0005-0000-0000-0000C9060000}"/>
    <cellStyle name="20% - Accent3 3 2 2" xfId="340" xr:uid="{00000000-0005-0000-0000-0000CA060000}"/>
    <cellStyle name="20% - Accent3 3 2 2 10" xfId="19269" xr:uid="{00000000-0005-0000-0000-0000CB060000}"/>
    <cellStyle name="20% - Accent3 3 2 2 2" xfId="580" xr:uid="{00000000-0005-0000-0000-0000CC060000}"/>
    <cellStyle name="20% - Accent3 3 2 2 2 2" xfId="1068" xr:uid="{00000000-0005-0000-0000-0000CD060000}"/>
    <cellStyle name="20% - Accent3 3 2 2 2 2 2" xfId="6317" xr:uid="{00000000-0005-0000-0000-0000CE060000}"/>
    <cellStyle name="20% - Accent3 3 2 2 2 2 2 2" xfId="15641" xr:uid="{00000000-0005-0000-0000-0000CF060000}"/>
    <cellStyle name="20% - Accent3 3 2 2 2 2 2 3" xfId="24964" xr:uid="{00000000-0005-0000-0000-0000D0060000}"/>
    <cellStyle name="20% - Accent3 3 2 2 2 2 3" xfId="10669" xr:uid="{00000000-0005-0000-0000-0000D1060000}"/>
    <cellStyle name="20% - Accent3 3 2 2 2 2 4" xfId="19993" xr:uid="{00000000-0005-0000-0000-0000D2060000}"/>
    <cellStyle name="20% - Accent3 3 2 2 2 3" xfId="5235" xr:uid="{00000000-0005-0000-0000-0000D3060000}"/>
    <cellStyle name="20% - Accent3 3 2 2 2 3 2" xfId="14559" xr:uid="{00000000-0005-0000-0000-0000D4060000}"/>
    <cellStyle name="20% - Accent3 3 2 2 2 3 3" xfId="23882" xr:uid="{00000000-0005-0000-0000-0000D5060000}"/>
    <cellStyle name="20% - Accent3 3 2 2 2 4" xfId="9691" xr:uid="{00000000-0005-0000-0000-0000D6060000}"/>
    <cellStyle name="20% - Accent3 3 2 2 2 4 2" xfId="19015" xr:uid="{00000000-0005-0000-0000-0000D7060000}"/>
    <cellStyle name="20% - Accent3 3 2 2 2 4 3" xfId="28338" xr:uid="{00000000-0005-0000-0000-0000D8060000}"/>
    <cellStyle name="20% - Accent3 3 2 2 2 5" xfId="10185" xr:uid="{00000000-0005-0000-0000-0000D9060000}"/>
    <cellStyle name="20% - Accent3 3 2 2 2 6" xfId="19509" xr:uid="{00000000-0005-0000-0000-0000DA060000}"/>
    <cellStyle name="20% - Accent3 3 2 2 3" xfId="828" xr:uid="{00000000-0005-0000-0000-0000DB060000}"/>
    <cellStyle name="20% - Accent3 3 2 2 3 2" xfId="6923" xr:uid="{00000000-0005-0000-0000-0000DC060000}"/>
    <cellStyle name="20% - Accent3 3 2 2 3 2 2" xfId="16247" xr:uid="{00000000-0005-0000-0000-0000DD060000}"/>
    <cellStyle name="20% - Accent3 3 2 2 3 2 3" xfId="25570" xr:uid="{00000000-0005-0000-0000-0000DE060000}"/>
    <cellStyle name="20% - Accent3 3 2 2 3 3" xfId="10429" xr:uid="{00000000-0005-0000-0000-0000DF060000}"/>
    <cellStyle name="20% - Accent3 3 2 2 3 4" xfId="19753" xr:uid="{00000000-0005-0000-0000-0000E0060000}"/>
    <cellStyle name="20% - Accent3 3 2 2 4" xfId="1414" xr:uid="{00000000-0005-0000-0000-0000E1060000}"/>
    <cellStyle name="20% - Accent3 3 2 2 4 2" xfId="6604" xr:uid="{00000000-0005-0000-0000-0000E2060000}"/>
    <cellStyle name="20% - Accent3 3 2 2 4 2 2" xfId="15928" xr:uid="{00000000-0005-0000-0000-0000E3060000}"/>
    <cellStyle name="20% - Accent3 3 2 2 4 2 3" xfId="25251" xr:uid="{00000000-0005-0000-0000-0000E4060000}"/>
    <cellStyle name="20% - Accent3 3 2 2 4 3" xfId="10982" xr:uid="{00000000-0005-0000-0000-0000E5060000}"/>
    <cellStyle name="20% - Accent3 3 2 2 4 4" xfId="20306" xr:uid="{00000000-0005-0000-0000-0000E6060000}"/>
    <cellStyle name="20% - Accent3 3 2 2 5" xfId="3201" xr:uid="{00000000-0005-0000-0000-0000E7060000}"/>
    <cellStyle name="20% - Accent3 3 2 2 5 2" xfId="7880" xr:uid="{00000000-0005-0000-0000-0000E8060000}"/>
    <cellStyle name="20% - Accent3 3 2 2 5 2 2" xfId="17204" xr:uid="{00000000-0005-0000-0000-0000E9060000}"/>
    <cellStyle name="20% - Accent3 3 2 2 5 2 3" xfId="26527" xr:uid="{00000000-0005-0000-0000-0000EA060000}"/>
    <cellStyle name="20% - Accent3 3 2 2 5 3" xfId="12587" xr:uid="{00000000-0005-0000-0000-0000EB060000}"/>
    <cellStyle name="20% - Accent3 3 2 2 5 4" xfId="21913" xr:uid="{00000000-0005-0000-0000-0000EC060000}"/>
    <cellStyle name="20% - Accent3 3 2 2 6" xfId="4867" xr:uid="{00000000-0005-0000-0000-0000ED060000}"/>
    <cellStyle name="20% - Accent3 3 2 2 6 2" xfId="14191" xr:uid="{00000000-0005-0000-0000-0000EE060000}"/>
    <cellStyle name="20% - Accent3 3 2 2 6 3" xfId="23514" xr:uid="{00000000-0005-0000-0000-0000EF060000}"/>
    <cellStyle name="20% - Accent3 3 2 2 7" xfId="7205" xr:uid="{00000000-0005-0000-0000-0000F0060000}"/>
    <cellStyle name="20% - Accent3 3 2 2 7 2" xfId="16529" xr:uid="{00000000-0005-0000-0000-0000F1060000}"/>
    <cellStyle name="20% - Accent3 3 2 2 7 3" xfId="25852" xr:uid="{00000000-0005-0000-0000-0000F2060000}"/>
    <cellStyle name="20% - Accent3 3 2 2 8" xfId="9451" xr:uid="{00000000-0005-0000-0000-0000F3060000}"/>
    <cellStyle name="20% - Accent3 3 2 2 8 2" xfId="18775" xr:uid="{00000000-0005-0000-0000-0000F4060000}"/>
    <cellStyle name="20% - Accent3 3 2 2 8 3" xfId="28098" xr:uid="{00000000-0005-0000-0000-0000F5060000}"/>
    <cellStyle name="20% - Accent3 3 2 2 9" xfId="9945" xr:uid="{00000000-0005-0000-0000-0000F6060000}"/>
    <cellStyle name="20% - Accent3 3 2 3" xfId="458" xr:uid="{00000000-0005-0000-0000-0000F7060000}"/>
    <cellStyle name="20% - Accent3 3 2 3 2" xfId="946" xr:uid="{00000000-0005-0000-0000-0000F8060000}"/>
    <cellStyle name="20% - Accent3 3 2 3 2 2" xfId="5476" xr:uid="{00000000-0005-0000-0000-0000F9060000}"/>
    <cellStyle name="20% - Accent3 3 2 3 2 2 2" xfId="14800" xr:uid="{00000000-0005-0000-0000-0000FA060000}"/>
    <cellStyle name="20% - Accent3 3 2 3 2 2 3" xfId="24123" xr:uid="{00000000-0005-0000-0000-0000FB060000}"/>
    <cellStyle name="20% - Accent3 3 2 3 2 3" xfId="10547" xr:uid="{00000000-0005-0000-0000-0000FC060000}"/>
    <cellStyle name="20% - Accent3 3 2 3 2 4" xfId="19871" xr:uid="{00000000-0005-0000-0000-0000FD060000}"/>
    <cellStyle name="20% - Accent3 3 2 3 3" xfId="7141" xr:uid="{00000000-0005-0000-0000-0000FE060000}"/>
    <cellStyle name="20% - Accent3 3 2 3 3 2" xfId="16465" xr:uid="{00000000-0005-0000-0000-0000FF060000}"/>
    <cellStyle name="20% - Accent3 3 2 3 3 3" xfId="25788" xr:uid="{00000000-0005-0000-0000-000000070000}"/>
    <cellStyle name="20% - Accent3 3 2 3 4" xfId="9569" xr:uid="{00000000-0005-0000-0000-000001070000}"/>
    <cellStyle name="20% - Accent3 3 2 3 4 2" xfId="18893" xr:uid="{00000000-0005-0000-0000-000002070000}"/>
    <cellStyle name="20% - Accent3 3 2 3 4 3" xfId="28216" xr:uid="{00000000-0005-0000-0000-000003070000}"/>
    <cellStyle name="20% - Accent3 3 2 3 5" xfId="10063" xr:uid="{00000000-0005-0000-0000-000004070000}"/>
    <cellStyle name="20% - Accent3 3 2 3 6" xfId="19387" xr:uid="{00000000-0005-0000-0000-000005070000}"/>
    <cellStyle name="20% - Accent3 3 2 4" xfId="706" xr:uid="{00000000-0005-0000-0000-000006070000}"/>
    <cellStyle name="20% - Accent3 3 2 4 2" xfId="7008" xr:uid="{00000000-0005-0000-0000-000007070000}"/>
    <cellStyle name="20% - Accent3 3 2 4 2 2" xfId="16332" xr:uid="{00000000-0005-0000-0000-000008070000}"/>
    <cellStyle name="20% - Accent3 3 2 4 2 3" xfId="25655" xr:uid="{00000000-0005-0000-0000-000009070000}"/>
    <cellStyle name="20% - Accent3 3 2 4 3" xfId="10307" xr:uid="{00000000-0005-0000-0000-00000A070000}"/>
    <cellStyle name="20% - Accent3 3 2 4 4" xfId="19631" xr:uid="{00000000-0005-0000-0000-00000B070000}"/>
    <cellStyle name="20% - Accent3 3 2 5" xfId="1413" xr:uid="{00000000-0005-0000-0000-00000C070000}"/>
    <cellStyle name="20% - Accent3 3 2 5 2" xfId="7330" xr:uid="{00000000-0005-0000-0000-00000D070000}"/>
    <cellStyle name="20% - Accent3 3 2 5 2 2" xfId="16654" xr:uid="{00000000-0005-0000-0000-00000E070000}"/>
    <cellStyle name="20% - Accent3 3 2 5 2 3" xfId="25977" xr:uid="{00000000-0005-0000-0000-00000F070000}"/>
    <cellStyle name="20% - Accent3 3 2 5 3" xfId="10981" xr:uid="{00000000-0005-0000-0000-000010070000}"/>
    <cellStyle name="20% - Accent3 3 2 5 4" xfId="20305" xr:uid="{00000000-0005-0000-0000-000011070000}"/>
    <cellStyle name="20% - Accent3 3 2 6" xfId="3200" xr:uid="{00000000-0005-0000-0000-000012070000}"/>
    <cellStyle name="20% - Accent3 3 2 6 2" xfId="7879" xr:uid="{00000000-0005-0000-0000-000013070000}"/>
    <cellStyle name="20% - Accent3 3 2 6 2 2" xfId="17203" xr:uid="{00000000-0005-0000-0000-000014070000}"/>
    <cellStyle name="20% - Accent3 3 2 6 2 3" xfId="26526" xr:uid="{00000000-0005-0000-0000-000015070000}"/>
    <cellStyle name="20% - Accent3 3 2 6 3" xfId="12586" xr:uid="{00000000-0005-0000-0000-000016070000}"/>
    <cellStyle name="20% - Accent3 3 2 6 4" xfId="21912" xr:uid="{00000000-0005-0000-0000-000017070000}"/>
    <cellStyle name="20% - Accent3 3 2 7" xfId="4866" xr:uid="{00000000-0005-0000-0000-000018070000}"/>
    <cellStyle name="20% - Accent3 3 2 7 2" xfId="14190" xr:uid="{00000000-0005-0000-0000-000019070000}"/>
    <cellStyle name="20% - Accent3 3 2 7 3" xfId="23513" xr:uid="{00000000-0005-0000-0000-00001A070000}"/>
    <cellStyle name="20% - Accent3 3 2 8" xfId="7273" xr:uid="{00000000-0005-0000-0000-00001B070000}"/>
    <cellStyle name="20% - Accent3 3 2 8 2" xfId="16597" xr:uid="{00000000-0005-0000-0000-00001C070000}"/>
    <cellStyle name="20% - Accent3 3 2 8 3" xfId="25920" xr:uid="{00000000-0005-0000-0000-00001D070000}"/>
    <cellStyle name="20% - Accent3 3 2 9" xfId="9328" xr:uid="{00000000-0005-0000-0000-00001E070000}"/>
    <cellStyle name="20% - Accent3 3 2 9 2" xfId="18652" xr:uid="{00000000-0005-0000-0000-00001F070000}"/>
    <cellStyle name="20% - Accent3 3 2 9 3" xfId="27975" xr:uid="{00000000-0005-0000-0000-000020070000}"/>
    <cellStyle name="20% - Accent3 3 3" xfId="285" xr:uid="{00000000-0005-0000-0000-000021070000}"/>
    <cellStyle name="20% - Accent3 3 3 10" xfId="19220" xr:uid="{00000000-0005-0000-0000-000022070000}"/>
    <cellStyle name="20% - Accent3 3 3 2" xfId="532" xr:uid="{00000000-0005-0000-0000-000023070000}"/>
    <cellStyle name="20% - Accent3 3 3 2 2" xfId="1020" xr:uid="{00000000-0005-0000-0000-000024070000}"/>
    <cellStyle name="20% - Accent3 3 3 2 2 2" xfId="6782" xr:uid="{00000000-0005-0000-0000-000025070000}"/>
    <cellStyle name="20% - Accent3 3 3 2 2 2 2" xfId="16106" xr:uid="{00000000-0005-0000-0000-000026070000}"/>
    <cellStyle name="20% - Accent3 3 3 2 2 2 3" xfId="25429" xr:uid="{00000000-0005-0000-0000-000027070000}"/>
    <cellStyle name="20% - Accent3 3 3 2 2 3" xfId="10621" xr:uid="{00000000-0005-0000-0000-000028070000}"/>
    <cellStyle name="20% - Accent3 3 3 2 2 4" xfId="19945" xr:uid="{00000000-0005-0000-0000-000029070000}"/>
    <cellStyle name="20% - Accent3 3 3 2 3" xfId="7104" xr:uid="{00000000-0005-0000-0000-00002A070000}"/>
    <cellStyle name="20% - Accent3 3 3 2 3 2" xfId="16428" xr:uid="{00000000-0005-0000-0000-00002B070000}"/>
    <cellStyle name="20% - Accent3 3 3 2 3 3" xfId="25751" xr:uid="{00000000-0005-0000-0000-00002C070000}"/>
    <cellStyle name="20% - Accent3 3 3 2 4" xfId="9643" xr:uid="{00000000-0005-0000-0000-00002D070000}"/>
    <cellStyle name="20% - Accent3 3 3 2 4 2" xfId="18967" xr:uid="{00000000-0005-0000-0000-00002E070000}"/>
    <cellStyle name="20% - Accent3 3 3 2 4 3" xfId="28290" xr:uid="{00000000-0005-0000-0000-00002F070000}"/>
    <cellStyle name="20% - Accent3 3 3 2 5" xfId="10137" xr:uid="{00000000-0005-0000-0000-000030070000}"/>
    <cellStyle name="20% - Accent3 3 3 2 6" xfId="19461" xr:uid="{00000000-0005-0000-0000-000031070000}"/>
    <cellStyle name="20% - Accent3 3 3 3" xfId="780" xr:uid="{00000000-0005-0000-0000-000032070000}"/>
    <cellStyle name="20% - Accent3 3 3 3 2" xfId="6943" xr:uid="{00000000-0005-0000-0000-000033070000}"/>
    <cellStyle name="20% - Accent3 3 3 3 2 2" xfId="16267" xr:uid="{00000000-0005-0000-0000-000034070000}"/>
    <cellStyle name="20% - Accent3 3 3 3 2 3" xfId="25590" xr:uid="{00000000-0005-0000-0000-000035070000}"/>
    <cellStyle name="20% - Accent3 3 3 3 3" xfId="10381" xr:uid="{00000000-0005-0000-0000-000036070000}"/>
    <cellStyle name="20% - Accent3 3 3 3 4" xfId="19705" xr:uid="{00000000-0005-0000-0000-000037070000}"/>
    <cellStyle name="20% - Accent3 3 3 4" xfId="1415" xr:uid="{00000000-0005-0000-0000-000038070000}"/>
    <cellStyle name="20% - Accent3 3 3 4 2" xfId="6615" xr:uid="{00000000-0005-0000-0000-000039070000}"/>
    <cellStyle name="20% - Accent3 3 3 4 2 2" xfId="15939" xr:uid="{00000000-0005-0000-0000-00003A070000}"/>
    <cellStyle name="20% - Accent3 3 3 4 2 3" xfId="25262" xr:uid="{00000000-0005-0000-0000-00003B070000}"/>
    <cellStyle name="20% - Accent3 3 3 4 3" xfId="10983" xr:uid="{00000000-0005-0000-0000-00003C070000}"/>
    <cellStyle name="20% - Accent3 3 3 4 4" xfId="20307" xr:uid="{00000000-0005-0000-0000-00003D070000}"/>
    <cellStyle name="20% - Accent3 3 3 5" xfId="3202" xr:uid="{00000000-0005-0000-0000-00003E070000}"/>
    <cellStyle name="20% - Accent3 3 3 5 2" xfId="7881" xr:uid="{00000000-0005-0000-0000-00003F070000}"/>
    <cellStyle name="20% - Accent3 3 3 5 2 2" xfId="17205" xr:uid="{00000000-0005-0000-0000-000040070000}"/>
    <cellStyle name="20% - Accent3 3 3 5 2 3" xfId="26528" xr:uid="{00000000-0005-0000-0000-000041070000}"/>
    <cellStyle name="20% - Accent3 3 3 5 3" xfId="12588" xr:uid="{00000000-0005-0000-0000-000042070000}"/>
    <cellStyle name="20% - Accent3 3 3 5 4" xfId="21914" xr:uid="{00000000-0005-0000-0000-000043070000}"/>
    <cellStyle name="20% - Accent3 3 3 6" xfId="4868" xr:uid="{00000000-0005-0000-0000-000044070000}"/>
    <cellStyle name="20% - Accent3 3 3 6 2" xfId="14192" xr:uid="{00000000-0005-0000-0000-000045070000}"/>
    <cellStyle name="20% - Accent3 3 3 6 3" xfId="23515" xr:uid="{00000000-0005-0000-0000-000046070000}"/>
    <cellStyle name="20% - Accent3 3 3 7" xfId="7236" xr:uid="{00000000-0005-0000-0000-000047070000}"/>
    <cellStyle name="20% - Accent3 3 3 7 2" xfId="16560" xr:uid="{00000000-0005-0000-0000-000048070000}"/>
    <cellStyle name="20% - Accent3 3 3 7 3" xfId="25883" xr:uid="{00000000-0005-0000-0000-000049070000}"/>
    <cellStyle name="20% - Accent3 3 3 8" xfId="9402" xr:uid="{00000000-0005-0000-0000-00004A070000}"/>
    <cellStyle name="20% - Accent3 3 3 8 2" xfId="18726" xr:uid="{00000000-0005-0000-0000-00004B070000}"/>
    <cellStyle name="20% - Accent3 3 3 8 3" xfId="28049" xr:uid="{00000000-0005-0000-0000-00004C070000}"/>
    <cellStyle name="20% - Accent3 3 3 9" xfId="9896" xr:uid="{00000000-0005-0000-0000-00004D070000}"/>
    <cellStyle name="20% - Accent3 3 4" xfId="399" xr:uid="{00000000-0005-0000-0000-00004E070000}"/>
    <cellStyle name="20% - Accent3 3 4 2" xfId="887" xr:uid="{00000000-0005-0000-0000-00004F070000}"/>
    <cellStyle name="20% - Accent3 3 4 2 2" xfId="6877" xr:uid="{00000000-0005-0000-0000-000050070000}"/>
    <cellStyle name="20% - Accent3 3 4 2 2 2" xfId="16201" xr:uid="{00000000-0005-0000-0000-000051070000}"/>
    <cellStyle name="20% - Accent3 3 4 2 2 3" xfId="25524" xr:uid="{00000000-0005-0000-0000-000052070000}"/>
    <cellStyle name="20% - Accent3 3 4 2 3" xfId="10488" xr:uid="{00000000-0005-0000-0000-000053070000}"/>
    <cellStyle name="20% - Accent3 3 4 2 4" xfId="19812" xr:uid="{00000000-0005-0000-0000-000054070000}"/>
    <cellStyle name="20% - Accent3 3 4 3" xfId="1416" xr:uid="{00000000-0005-0000-0000-000055070000}"/>
    <cellStyle name="20% - Accent3 3 4 3 2" xfId="6614" xr:uid="{00000000-0005-0000-0000-000056070000}"/>
    <cellStyle name="20% - Accent3 3 4 3 2 2" xfId="15938" xr:uid="{00000000-0005-0000-0000-000057070000}"/>
    <cellStyle name="20% - Accent3 3 4 3 2 3" xfId="25261" xr:uid="{00000000-0005-0000-0000-000058070000}"/>
    <cellStyle name="20% - Accent3 3 4 3 3" xfId="10984" xr:uid="{00000000-0005-0000-0000-000059070000}"/>
    <cellStyle name="20% - Accent3 3 4 3 4" xfId="20308" xr:uid="{00000000-0005-0000-0000-00005A070000}"/>
    <cellStyle name="20% - Accent3 3 4 4" xfId="3203" xr:uid="{00000000-0005-0000-0000-00005B070000}"/>
    <cellStyle name="20% - Accent3 3 4 4 2" xfId="7882" xr:uid="{00000000-0005-0000-0000-00005C070000}"/>
    <cellStyle name="20% - Accent3 3 4 4 2 2" xfId="17206" xr:uid="{00000000-0005-0000-0000-00005D070000}"/>
    <cellStyle name="20% - Accent3 3 4 4 2 3" xfId="26529" xr:uid="{00000000-0005-0000-0000-00005E070000}"/>
    <cellStyle name="20% - Accent3 3 4 4 3" xfId="12589" xr:uid="{00000000-0005-0000-0000-00005F070000}"/>
    <cellStyle name="20% - Accent3 3 4 4 4" xfId="21915" xr:uid="{00000000-0005-0000-0000-000060070000}"/>
    <cellStyle name="20% - Accent3 3 4 5" xfId="4869" xr:uid="{00000000-0005-0000-0000-000061070000}"/>
    <cellStyle name="20% - Accent3 3 4 5 2" xfId="14193" xr:uid="{00000000-0005-0000-0000-000062070000}"/>
    <cellStyle name="20% - Accent3 3 4 5 3" xfId="23516" xr:uid="{00000000-0005-0000-0000-000063070000}"/>
    <cellStyle name="20% - Accent3 3 4 6" xfId="6304" xr:uid="{00000000-0005-0000-0000-000064070000}"/>
    <cellStyle name="20% - Accent3 3 4 6 2" xfId="15628" xr:uid="{00000000-0005-0000-0000-000065070000}"/>
    <cellStyle name="20% - Accent3 3 4 6 3" xfId="24951" xr:uid="{00000000-0005-0000-0000-000066070000}"/>
    <cellStyle name="20% - Accent3 3 4 7" xfId="9510" xr:uid="{00000000-0005-0000-0000-000067070000}"/>
    <cellStyle name="20% - Accent3 3 4 7 2" xfId="18834" xr:uid="{00000000-0005-0000-0000-000068070000}"/>
    <cellStyle name="20% - Accent3 3 4 7 3" xfId="28157" xr:uid="{00000000-0005-0000-0000-000069070000}"/>
    <cellStyle name="20% - Accent3 3 4 8" xfId="10004" xr:uid="{00000000-0005-0000-0000-00006A070000}"/>
    <cellStyle name="20% - Accent3 3 4 9" xfId="19328" xr:uid="{00000000-0005-0000-0000-00006B070000}"/>
    <cellStyle name="20% - Accent3 3 5" xfId="647" xr:uid="{00000000-0005-0000-0000-00006C070000}"/>
    <cellStyle name="20% - Accent3 3 5 2" xfId="1417" xr:uid="{00000000-0005-0000-0000-00006D070000}"/>
    <cellStyle name="20% - Accent3 3 5 2 2" xfId="6613" xr:uid="{00000000-0005-0000-0000-00006E070000}"/>
    <cellStyle name="20% - Accent3 3 5 2 2 2" xfId="15937" xr:uid="{00000000-0005-0000-0000-00006F070000}"/>
    <cellStyle name="20% - Accent3 3 5 2 2 3" xfId="25260" xr:uid="{00000000-0005-0000-0000-000070070000}"/>
    <cellStyle name="20% - Accent3 3 5 2 3" xfId="10985" xr:uid="{00000000-0005-0000-0000-000071070000}"/>
    <cellStyle name="20% - Accent3 3 5 2 4" xfId="20309" xr:uid="{00000000-0005-0000-0000-000072070000}"/>
    <cellStyle name="20% - Accent3 3 5 3" xfId="3204" xr:uid="{00000000-0005-0000-0000-000073070000}"/>
    <cellStyle name="20% - Accent3 3 5 3 2" xfId="7883" xr:uid="{00000000-0005-0000-0000-000074070000}"/>
    <cellStyle name="20% - Accent3 3 5 3 2 2" xfId="17207" xr:uid="{00000000-0005-0000-0000-000075070000}"/>
    <cellStyle name="20% - Accent3 3 5 3 2 3" xfId="26530" xr:uid="{00000000-0005-0000-0000-000076070000}"/>
    <cellStyle name="20% - Accent3 3 5 3 3" xfId="12590" xr:uid="{00000000-0005-0000-0000-000077070000}"/>
    <cellStyle name="20% - Accent3 3 5 3 4" xfId="21916" xr:uid="{00000000-0005-0000-0000-000078070000}"/>
    <cellStyle name="20% - Accent3 3 5 4" xfId="4870" xr:uid="{00000000-0005-0000-0000-000079070000}"/>
    <cellStyle name="20% - Accent3 3 5 4 2" xfId="14194" xr:uid="{00000000-0005-0000-0000-00007A070000}"/>
    <cellStyle name="20% - Accent3 3 5 4 3" xfId="23517" xr:uid="{00000000-0005-0000-0000-00007B070000}"/>
    <cellStyle name="20% - Accent3 3 5 5" xfId="5273" xr:uid="{00000000-0005-0000-0000-00007C070000}"/>
    <cellStyle name="20% - Accent3 3 5 5 2" xfId="14597" xr:uid="{00000000-0005-0000-0000-00007D070000}"/>
    <cellStyle name="20% - Accent3 3 5 5 3" xfId="23920" xr:uid="{00000000-0005-0000-0000-00007E070000}"/>
    <cellStyle name="20% - Accent3 3 5 6" xfId="10248" xr:uid="{00000000-0005-0000-0000-00007F070000}"/>
    <cellStyle name="20% - Accent3 3 5 7" xfId="19572" xr:uid="{00000000-0005-0000-0000-000080070000}"/>
    <cellStyle name="20% - Accent3 3 6" xfId="1412" xr:uid="{00000000-0005-0000-0000-000081070000}"/>
    <cellStyle name="20% - Accent3 3 6 2" xfId="5839" xr:uid="{00000000-0005-0000-0000-000082070000}"/>
    <cellStyle name="20% - Accent3 3 6 2 2" xfId="15163" xr:uid="{00000000-0005-0000-0000-000083070000}"/>
    <cellStyle name="20% - Accent3 3 6 2 3" xfId="24486" xr:uid="{00000000-0005-0000-0000-000084070000}"/>
    <cellStyle name="20% - Accent3 3 6 3" xfId="10980" xr:uid="{00000000-0005-0000-0000-000085070000}"/>
    <cellStyle name="20% - Accent3 3 6 4" xfId="20304" xr:uid="{00000000-0005-0000-0000-000086070000}"/>
    <cellStyle name="20% - Accent3 3 7" xfId="3199" xr:uid="{00000000-0005-0000-0000-000087070000}"/>
    <cellStyle name="20% - Accent3 3 7 2" xfId="7878" xr:uid="{00000000-0005-0000-0000-000088070000}"/>
    <cellStyle name="20% - Accent3 3 7 2 2" xfId="17202" xr:uid="{00000000-0005-0000-0000-000089070000}"/>
    <cellStyle name="20% - Accent3 3 7 2 3" xfId="26525" xr:uid="{00000000-0005-0000-0000-00008A070000}"/>
    <cellStyle name="20% - Accent3 3 7 3" xfId="12585" xr:uid="{00000000-0005-0000-0000-00008B070000}"/>
    <cellStyle name="20% - Accent3 3 7 4" xfId="21911" xr:uid="{00000000-0005-0000-0000-00008C070000}"/>
    <cellStyle name="20% - Accent3 3 8" xfId="4865" xr:uid="{00000000-0005-0000-0000-00008D070000}"/>
    <cellStyle name="20% - Accent3 3 8 2" xfId="14189" xr:uid="{00000000-0005-0000-0000-00008E070000}"/>
    <cellStyle name="20% - Accent3 3 8 3" xfId="23512" xr:uid="{00000000-0005-0000-0000-00008F070000}"/>
    <cellStyle name="20% - Accent3 3 9" xfId="7318" xr:uid="{00000000-0005-0000-0000-000090070000}"/>
    <cellStyle name="20% - Accent3 3 9 2" xfId="16642" xr:uid="{00000000-0005-0000-0000-000091070000}"/>
    <cellStyle name="20% - Accent3 3 9 3" xfId="25965" xr:uid="{00000000-0005-0000-0000-000092070000}"/>
    <cellStyle name="20% - Accent3 4" xfId="186" xr:uid="{00000000-0005-0000-0000-000093070000}"/>
    <cellStyle name="20% - Accent3 4 10" xfId="19132" xr:uid="{00000000-0005-0000-0000-000094070000}"/>
    <cellStyle name="20% - Accent3 4 11" xfId="28921" xr:uid="{00000000-0005-0000-0000-000095070000}"/>
    <cellStyle name="20% - Accent3 4 2" xfId="326" xr:uid="{00000000-0005-0000-0000-000096070000}"/>
    <cellStyle name="20% - Accent3 4 2 2" xfId="566" xr:uid="{00000000-0005-0000-0000-000097070000}"/>
    <cellStyle name="20% - Accent3 4 2 2 2" xfId="1054" xr:uid="{00000000-0005-0000-0000-000098070000}"/>
    <cellStyle name="20% - Accent3 4 2 2 2 2" xfId="6757" xr:uid="{00000000-0005-0000-0000-000099070000}"/>
    <cellStyle name="20% - Accent3 4 2 2 2 2 2" xfId="16081" xr:uid="{00000000-0005-0000-0000-00009A070000}"/>
    <cellStyle name="20% - Accent3 4 2 2 2 2 3" xfId="25404" xr:uid="{00000000-0005-0000-0000-00009B070000}"/>
    <cellStyle name="20% - Accent3 4 2 2 2 3" xfId="10655" xr:uid="{00000000-0005-0000-0000-00009C070000}"/>
    <cellStyle name="20% - Accent3 4 2 2 2 4" xfId="19979" xr:uid="{00000000-0005-0000-0000-00009D070000}"/>
    <cellStyle name="20% - Accent3 4 2 2 3" xfId="1420" xr:uid="{00000000-0005-0000-0000-00009E070000}"/>
    <cellStyle name="20% - Accent3 4 2 2 3 2" xfId="6610" xr:uid="{00000000-0005-0000-0000-00009F070000}"/>
    <cellStyle name="20% - Accent3 4 2 2 3 2 2" xfId="15934" xr:uid="{00000000-0005-0000-0000-0000A0070000}"/>
    <cellStyle name="20% - Accent3 4 2 2 3 2 3" xfId="25257" xr:uid="{00000000-0005-0000-0000-0000A1070000}"/>
    <cellStyle name="20% - Accent3 4 2 2 3 3" xfId="10988" xr:uid="{00000000-0005-0000-0000-0000A2070000}"/>
    <cellStyle name="20% - Accent3 4 2 2 3 4" xfId="20312" xr:uid="{00000000-0005-0000-0000-0000A3070000}"/>
    <cellStyle name="20% - Accent3 4 2 2 4" xfId="3207" xr:uid="{00000000-0005-0000-0000-0000A4070000}"/>
    <cellStyle name="20% - Accent3 4 2 2 4 2" xfId="7886" xr:uid="{00000000-0005-0000-0000-0000A5070000}"/>
    <cellStyle name="20% - Accent3 4 2 2 4 2 2" xfId="17210" xr:uid="{00000000-0005-0000-0000-0000A6070000}"/>
    <cellStyle name="20% - Accent3 4 2 2 4 2 3" xfId="26533" xr:uid="{00000000-0005-0000-0000-0000A7070000}"/>
    <cellStyle name="20% - Accent3 4 2 2 4 3" xfId="12593" xr:uid="{00000000-0005-0000-0000-0000A8070000}"/>
    <cellStyle name="20% - Accent3 4 2 2 4 4" xfId="21919" xr:uid="{00000000-0005-0000-0000-0000A9070000}"/>
    <cellStyle name="20% - Accent3 4 2 2 5" xfId="4873" xr:uid="{00000000-0005-0000-0000-0000AA070000}"/>
    <cellStyle name="20% - Accent3 4 2 2 5 2" xfId="14197" xr:uid="{00000000-0005-0000-0000-0000AB070000}"/>
    <cellStyle name="20% - Accent3 4 2 2 5 3" xfId="23520" xr:uid="{00000000-0005-0000-0000-0000AC070000}"/>
    <cellStyle name="20% - Accent3 4 2 2 6" xfId="9677" xr:uid="{00000000-0005-0000-0000-0000AD070000}"/>
    <cellStyle name="20% - Accent3 4 2 2 6 2" xfId="19001" xr:uid="{00000000-0005-0000-0000-0000AE070000}"/>
    <cellStyle name="20% - Accent3 4 2 2 6 3" xfId="28324" xr:uid="{00000000-0005-0000-0000-0000AF070000}"/>
    <cellStyle name="20% - Accent3 4 2 2 7" xfId="10171" xr:uid="{00000000-0005-0000-0000-0000B0070000}"/>
    <cellStyle name="20% - Accent3 4 2 2 8" xfId="19495" xr:uid="{00000000-0005-0000-0000-0000B1070000}"/>
    <cellStyle name="20% - Accent3 4 2 3" xfId="814" xr:uid="{00000000-0005-0000-0000-0000B2070000}"/>
    <cellStyle name="20% - Accent3 4 2 3 2" xfId="6928" xr:uid="{00000000-0005-0000-0000-0000B3070000}"/>
    <cellStyle name="20% - Accent3 4 2 3 2 2" xfId="16252" xr:uid="{00000000-0005-0000-0000-0000B4070000}"/>
    <cellStyle name="20% - Accent3 4 2 3 2 3" xfId="25575" xr:uid="{00000000-0005-0000-0000-0000B5070000}"/>
    <cellStyle name="20% - Accent3 4 2 3 3" xfId="10415" xr:uid="{00000000-0005-0000-0000-0000B6070000}"/>
    <cellStyle name="20% - Accent3 4 2 3 4" xfId="19739" xr:uid="{00000000-0005-0000-0000-0000B7070000}"/>
    <cellStyle name="20% - Accent3 4 2 4" xfId="1419" xr:uid="{00000000-0005-0000-0000-0000B8070000}"/>
    <cellStyle name="20% - Accent3 4 2 4 2" xfId="6611" xr:uid="{00000000-0005-0000-0000-0000B9070000}"/>
    <cellStyle name="20% - Accent3 4 2 4 2 2" xfId="15935" xr:uid="{00000000-0005-0000-0000-0000BA070000}"/>
    <cellStyle name="20% - Accent3 4 2 4 2 3" xfId="25258" xr:uid="{00000000-0005-0000-0000-0000BB070000}"/>
    <cellStyle name="20% - Accent3 4 2 4 3" xfId="10987" xr:uid="{00000000-0005-0000-0000-0000BC070000}"/>
    <cellStyle name="20% - Accent3 4 2 4 4" xfId="20311" xr:uid="{00000000-0005-0000-0000-0000BD070000}"/>
    <cellStyle name="20% - Accent3 4 2 5" xfId="3206" xr:uid="{00000000-0005-0000-0000-0000BE070000}"/>
    <cellStyle name="20% - Accent3 4 2 5 2" xfId="7885" xr:uid="{00000000-0005-0000-0000-0000BF070000}"/>
    <cellStyle name="20% - Accent3 4 2 5 2 2" xfId="17209" xr:uid="{00000000-0005-0000-0000-0000C0070000}"/>
    <cellStyle name="20% - Accent3 4 2 5 2 3" xfId="26532" xr:uid="{00000000-0005-0000-0000-0000C1070000}"/>
    <cellStyle name="20% - Accent3 4 2 5 3" xfId="12592" xr:uid="{00000000-0005-0000-0000-0000C2070000}"/>
    <cellStyle name="20% - Accent3 4 2 5 4" xfId="21918" xr:uid="{00000000-0005-0000-0000-0000C3070000}"/>
    <cellStyle name="20% - Accent3 4 2 6" xfId="4872" xr:uid="{00000000-0005-0000-0000-0000C4070000}"/>
    <cellStyle name="20% - Accent3 4 2 6 2" xfId="14196" xr:uid="{00000000-0005-0000-0000-0000C5070000}"/>
    <cellStyle name="20% - Accent3 4 2 6 3" xfId="23519" xr:uid="{00000000-0005-0000-0000-0000C6070000}"/>
    <cellStyle name="20% - Accent3 4 2 7" xfId="9437" xr:uid="{00000000-0005-0000-0000-0000C7070000}"/>
    <cellStyle name="20% - Accent3 4 2 7 2" xfId="18761" xr:uid="{00000000-0005-0000-0000-0000C8070000}"/>
    <cellStyle name="20% - Accent3 4 2 7 3" xfId="28084" xr:uid="{00000000-0005-0000-0000-0000C9070000}"/>
    <cellStyle name="20% - Accent3 4 2 8" xfId="9931" xr:uid="{00000000-0005-0000-0000-0000CA070000}"/>
    <cellStyle name="20% - Accent3 4 2 9" xfId="19255" xr:uid="{00000000-0005-0000-0000-0000CB070000}"/>
    <cellStyle name="20% - Accent3 4 3" xfId="444" xr:uid="{00000000-0005-0000-0000-0000CC070000}"/>
    <cellStyle name="20% - Accent3 4 3 2" xfId="932" xr:uid="{00000000-0005-0000-0000-0000CD070000}"/>
    <cellStyle name="20% - Accent3 4 3 2 2" xfId="6838" xr:uid="{00000000-0005-0000-0000-0000CE070000}"/>
    <cellStyle name="20% - Accent3 4 3 2 2 2" xfId="16162" xr:uid="{00000000-0005-0000-0000-0000CF070000}"/>
    <cellStyle name="20% - Accent3 4 3 2 2 3" xfId="25485" xr:uid="{00000000-0005-0000-0000-0000D0070000}"/>
    <cellStyle name="20% - Accent3 4 3 2 3" xfId="10533" xr:uid="{00000000-0005-0000-0000-0000D1070000}"/>
    <cellStyle name="20% - Accent3 4 3 2 4" xfId="19857" xr:uid="{00000000-0005-0000-0000-0000D2070000}"/>
    <cellStyle name="20% - Accent3 4 3 3" xfId="1421" xr:uid="{00000000-0005-0000-0000-0000D3070000}"/>
    <cellStyle name="20% - Accent3 4 3 3 2" xfId="6609" xr:uid="{00000000-0005-0000-0000-0000D4070000}"/>
    <cellStyle name="20% - Accent3 4 3 3 2 2" xfId="15933" xr:uid="{00000000-0005-0000-0000-0000D5070000}"/>
    <cellStyle name="20% - Accent3 4 3 3 2 3" xfId="25256" xr:uid="{00000000-0005-0000-0000-0000D6070000}"/>
    <cellStyle name="20% - Accent3 4 3 3 3" xfId="10989" xr:uid="{00000000-0005-0000-0000-0000D7070000}"/>
    <cellStyle name="20% - Accent3 4 3 3 4" xfId="20313" xr:uid="{00000000-0005-0000-0000-0000D8070000}"/>
    <cellStyle name="20% - Accent3 4 3 4" xfId="3208" xr:uid="{00000000-0005-0000-0000-0000D9070000}"/>
    <cellStyle name="20% - Accent3 4 3 4 2" xfId="7887" xr:uid="{00000000-0005-0000-0000-0000DA070000}"/>
    <cellStyle name="20% - Accent3 4 3 4 2 2" xfId="17211" xr:uid="{00000000-0005-0000-0000-0000DB070000}"/>
    <cellStyle name="20% - Accent3 4 3 4 2 3" xfId="26534" xr:uid="{00000000-0005-0000-0000-0000DC070000}"/>
    <cellStyle name="20% - Accent3 4 3 4 3" xfId="12594" xr:uid="{00000000-0005-0000-0000-0000DD070000}"/>
    <cellStyle name="20% - Accent3 4 3 4 4" xfId="21920" xr:uid="{00000000-0005-0000-0000-0000DE070000}"/>
    <cellStyle name="20% - Accent3 4 3 5" xfId="4874" xr:uid="{00000000-0005-0000-0000-0000DF070000}"/>
    <cellStyle name="20% - Accent3 4 3 5 2" xfId="14198" xr:uid="{00000000-0005-0000-0000-0000E0070000}"/>
    <cellStyle name="20% - Accent3 4 3 5 3" xfId="23521" xr:uid="{00000000-0005-0000-0000-0000E1070000}"/>
    <cellStyle name="20% - Accent3 4 3 6" xfId="9555" xr:uid="{00000000-0005-0000-0000-0000E2070000}"/>
    <cellStyle name="20% - Accent3 4 3 6 2" xfId="18879" xr:uid="{00000000-0005-0000-0000-0000E3070000}"/>
    <cellStyle name="20% - Accent3 4 3 6 3" xfId="28202" xr:uid="{00000000-0005-0000-0000-0000E4070000}"/>
    <cellStyle name="20% - Accent3 4 3 7" xfId="10049" xr:uid="{00000000-0005-0000-0000-0000E5070000}"/>
    <cellStyle name="20% - Accent3 4 3 8" xfId="19373" xr:uid="{00000000-0005-0000-0000-0000E6070000}"/>
    <cellStyle name="20% - Accent3 4 4" xfId="692" xr:uid="{00000000-0005-0000-0000-0000E7070000}"/>
    <cellStyle name="20% - Accent3 4 4 2" xfId="7019" xr:uid="{00000000-0005-0000-0000-0000E8070000}"/>
    <cellStyle name="20% - Accent3 4 4 2 2" xfId="16343" xr:uid="{00000000-0005-0000-0000-0000E9070000}"/>
    <cellStyle name="20% - Accent3 4 4 2 3" xfId="25666" xr:uid="{00000000-0005-0000-0000-0000EA070000}"/>
    <cellStyle name="20% - Accent3 4 4 3" xfId="10293" xr:uid="{00000000-0005-0000-0000-0000EB070000}"/>
    <cellStyle name="20% - Accent3 4 4 4" xfId="19617" xr:uid="{00000000-0005-0000-0000-0000EC070000}"/>
    <cellStyle name="20% - Accent3 4 5" xfId="1418" xr:uid="{00000000-0005-0000-0000-0000ED070000}"/>
    <cellStyle name="20% - Accent3 4 5 2" xfId="6612" xr:uid="{00000000-0005-0000-0000-0000EE070000}"/>
    <cellStyle name="20% - Accent3 4 5 2 2" xfId="15936" xr:uid="{00000000-0005-0000-0000-0000EF070000}"/>
    <cellStyle name="20% - Accent3 4 5 2 3" xfId="25259" xr:uid="{00000000-0005-0000-0000-0000F0070000}"/>
    <cellStyle name="20% - Accent3 4 5 3" xfId="10986" xr:uid="{00000000-0005-0000-0000-0000F1070000}"/>
    <cellStyle name="20% - Accent3 4 5 4" xfId="20310" xr:uid="{00000000-0005-0000-0000-0000F2070000}"/>
    <cellStyle name="20% - Accent3 4 6" xfId="3205" xr:uid="{00000000-0005-0000-0000-0000F3070000}"/>
    <cellStyle name="20% - Accent3 4 6 2" xfId="7884" xr:uid="{00000000-0005-0000-0000-0000F4070000}"/>
    <cellStyle name="20% - Accent3 4 6 2 2" xfId="17208" xr:uid="{00000000-0005-0000-0000-0000F5070000}"/>
    <cellStyle name="20% - Accent3 4 6 2 3" xfId="26531" xr:uid="{00000000-0005-0000-0000-0000F6070000}"/>
    <cellStyle name="20% - Accent3 4 6 3" xfId="12591" xr:uid="{00000000-0005-0000-0000-0000F7070000}"/>
    <cellStyle name="20% - Accent3 4 6 4" xfId="21917" xr:uid="{00000000-0005-0000-0000-0000F8070000}"/>
    <cellStyle name="20% - Accent3 4 7" xfId="4871" xr:uid="{00000000-0005-0000-0000-0000F9070000}"/>
    <cellStyle name="20% - Accent3 4 7 2" xfId="14195" xr:uid="{00000000-0005-0000-0000-0000FA070000}"/>
    <cellStyle name="20% - Accent3 4 7 3" xfId="23518" xr:uid="{00000000-0005-0000-0000-0000FB070000}"/>
    <cellStyle name="20% - Accent3 4 8" xfId="9314" xr:uid="{00000000-0005-0000-0000-0000FC070000}"/>
    <cellStyle name="20% - Accent3 4 8 2" xfId="18638" xr:uid="{00000000-0005-0000-0000-0000FD070000}"/>
    <cellStyle name="20% - Accent3 4 8 3" xfId="27961" xr:uid="{00000000-0005-0000-0000-0000FE070000}"/>
    <cellStyle name="20% - Accent3 4 9" xfId="9808" xr:uid="{00000000-0005-0000-0000-0000FF070000}"/>
    <cellStyle name="20% - Accent3 5" xfId="246" xr:uid="{00000000-0005-0000-0000-000000080000}"/>
    <cellStyle name="20% - Accent3 5 2" xfId="504" xr:uid="{00000000-0005-0000-0000-000001080000}"/>
    <cellStyle name="20% - Accent3 5 2 2" xfId="992" xr:uid="{00000000-0005-0000-0000-000002080000}"/>
    <cellStyle name="20% - Accent3 5 2 2 2" xfId="6804" xr:uid="{00000000-0005-0000-0000-000003080000}"/>
    <cellStyle name="20% - Accent3 5 2 2 2 2" xfId="16128" xr:uid="{00000000-0005-0000-0000-000004080000}"/>
    <cellStyle name="20% - Accent3 5 2 2 2 3" xfId="25451" xr:uid="{00000000-0005-0000-0000-000005080000}"/>
    <cellStyle name="20% - Accent3 5 2 2 3" xfId="10593" xr:uid="{00000000-0005-0000-0000-000006080000}"/>
    <cellStyle name="20% - Accent3 5 2 2 4" xfId="19917" xr:uid="{00000000-0005-0000-0000-000007080000}"/>
    <cellStyle name="20% - Accent3 5 2 3" xfId="1423" xr:uid="{00000000-0005-0000-0000-000008080000}"/>
    <cellStyle name="20% - Accent3 5 2 3 2" xfId="6607" xr:uid="{00000000-0005-0000-0000-000009080000}"/>
    <cellStyle name="20% - Accent3 5 2 3 2 2" xfId="15931" xr:uid="{00000000-0005-0000-0000-00000A080000}"/>
    <cellStyle name="20% - Accent3 5 2 3 2 3" xfId="25254" xr:uid="{00000000-0005-0000-0000-00000B080000}"/>
    <cellStyle name="20% - Accent3 5 2 3 3" xfId="10991" xr:uid="{00000000-0005-0000-0000-00000C080000}"/>
    <cellStyle name="20% - Accent3 5 2 3 4" xfId="20315" xr:uid="{00000000-0005-0000-0000-00000D080000}"/>
    <cellStyle name="20% - Accent3 5 2 4" xfId="3210" xr:uid="{00000000-0005-0000-0000-00000E080000}"/>
    <cellStyle name="20% - Accent3 5 2 4 2" xfId="7889" xr:uid="{00000000-0005-0000-0000-00000F080000}"/>
    <cellStyle name="20% - Accent3 5 2 4 2 2" xfId="17213" xr:uid="{00000000-0005-0000-0000-000010080000}"/>
    <cellStyle name="20% - Accent3 5 2 4 2 3" xfId="26536" xr:uid="{00000000-0005-0000-0000-000011080000}"/>
    <cellStyle name="20% - Accent3 5 2 4 3" xfId="12596" xr:uid="{00000000-0005-0000-0000-000012080000}"/>
    <cellStyle name="20% - Accent3 5 2 4 4" xfId="21922" xr:uid="{00000000-0005-0000-0000-000013080000}"/>
    <cellStyle name="20% - Accent3 5 2 5" xfId="4876" xr:uid="{00000000-0005-0000-0000-000014080000}"/>
    <cellStyle name="20% - Accent3 5 2 5 2" xfId="14200" xr:uid="{00000000-0005-0000-0000-000015080000}"/>
    <cellStyle name="20% - Accent3 5 2 5 3" xfId="23523" xr:uid="{00000000-0005-0000-0000-000016080000}"/>
    <cellStyle name="20% - Accent3 5 2 6" xfId="9615" xr:uid="{00000000-0005-0000-0000-000017080000}"/>
    <cellStyle name="20% - Accent3 5 2 6 2" xfId="18939" xr:uid="{00000000-0005-0000-0000-000018080000}"/>
    <cellStyle name="20% - Accent3 5 2 6 3" xfId="28262" xr:uid="{00000000-0005-0000-0000-000019080000}"/>
    <cellStyle name="20% - Accent3 5 2 7" xfId="10109" xr:uid="{00000000-0005-0000-0000-00001A080000}"/>
    <cellStyle name="20% - Accent3 5 2 8" xfId="19433" xr:uid="{00000000-0005-0000-0000-00001B080000}"/>
    <cellStyle name="20% - Accent3 5 3" xfId="752" xr:uid="{00000000-0005-0000-0000-00001C080000}"/>
    <cellStyle name="20% - Accent3 5 3 2" xfId="6973" xr:uid="{00000000-0005-0000-0000-00001D080000}"/>
    <cellStyle name="20% - Accent3 5 3 2 2" xfId="16297" xr:uid="{00000000-0005-0000-0000-00001E080000}"/>
    <cellStyle name="20% - Accent3 5 3 2 3" xfId="25620" xr:uid="{00000000-0005-0000-0000-00001F080000}"/>
    <cellStyle name="20% - Accent3 5 3 3" xfId="10353" xr:uid="{00000000-0005-0000-0000-000020080000}"/>
    <cellStyle name="20% - Accent3 5 3 4" xfId="19677" xr:uid="{00000000-0005-0000-0000-000021080000}"/>
    <cellStyle name="20% - Accent3 5 4" xfId="1422" xr:uid="{00000000-0005-0000-0000-000022080000}"/>
    <cellStyle name="20% - Accent3 5 4 2" xfId="6608" xr:uid="{00000000-0005-0000-0000-000023080000}"/>
    <cellStyle name="20% - Accent3 5 4 2 2" xfId="15932" xr:uid="{00000000-0005-0000-0000-000024080000}"/>
    <cellStyle name="20% - Accent3 5 4 2 3" xfId="25255" xr:uid="{00000000-0005-0000-0000-000025080000}"/>
    <cellStyle name="20% - Accent3 5 4 3" xfId="10990" xr:uid="{00000000-0005-0000-0000-000026080000}"/>
    <cellStyle name="20% - Accent3 5 4 4" xfId="20314" xr:uid="{00000000-0005-0000-0000-000027080000}"/>
    <cellStyle name="20% - Accent3 5 5" xfId="3209" xr:uid="{00000000-0005-0000-0000-000028080000}"/>
    <cellStyle name="20% - Accent3 5 5 2" xfId="7888" xr:uid="{00000000-0005-0000-0000-000029080000}"/>
    <cellStyle name="20% - Accent3 5 5 2 2" xfId="17212" xr:uid="{00000000-0005-0000-0000-00002A080000}"/>
    <cellStyle name="20% - Accent3 5 5 2 3" xfId="26535" xr:uid="{00000000-0005-0000-0000-00002B080000}"/>
    <cellStyle name="20% - Accent3 5 5 3" xfId="12595" xr:uid="{00000000-0005-0000-0000-00002C080000}"/>
    <cellStyle name="20% - Accent3 5 5 4" xfId="21921" xr:uid="{00000000-0005-0000-0000-00002D080000}"/>
    <cellStyle name="20% - Accent3 5 6" xfId="4875" xr:uid="{00000000-0005-0000-0000-00002E080000}"/>
    <cellStyle name="20% - Accent3 5 6 2" xfId="14199" xr:uid="{00000000-0005-0000-0000-00002F080000}"/>
    <cellStyle name="20% - Accent3 5 6 3" xfId="23522" xr:uid="{00000000-0005-0000-0000-000030080000}"/>
    <cellStyle name="20% - Accent3 5 7" xfId="9374" xr:uid="{00000000-0005-0000-0000-000031080000}"/>
    <cellStyle name="20% - Accent3 5 7 2" xfId="18698" xr:uid="{00000000-0005-0000-0000-000032080000}"/>
    <cellStyle name="20% - Accent3 5 7 3" xfId="28021" xr:uid="{00000000-0005-0000-0000-000033080000}"/>
    <cellStyle name="20% - Accent3 5 8" xfId="9868" xr:uid="{00000000-0005-0000-0000-000034080000}"/>
    <cellStyle name="20% - Accent3 5 9" xfId="19192" xr:uid="{00000000-0005-0000-0000-000035080000}"/>
    <cellStyle name="20% - Accent3 6" xfId="385" xr:uid="{00000000-0005-0000-0000-000036080000}"/>
    <cellStyle name="20% - Accent3 6 2" xfId="873" xr:uid="{00000000-0005-0000-0000-000037080000}"/>
    <cellStyle name="20% - Accent3 6 2 2" xfId="6890" xr:uid="{00000000-0005-0000-0000-000038080000}"/>
    <cellStyle name="20% - Accent3 6 2 2 2" xfId="16214" xr:uid="{00000000-0005-0000-0000-000039080000}"/>
    <cellStyle name="20% - Accent3 6 2 2 3" xfId="25537" xr:uid="{00000000-0005-0000-0000-00003A080000}"/>
    <cellStyle name="20% - Accent3 6 2 3" xfId="10474" xr:uid="{00000000-0005-0000-0000-00003B080000}"/>
    <cellStyle name="20% - Accent3 6 2 4" xfId="19798" xr:uid="{00000000-0005-0000-0000-00003C080000}"/>
    <cellStyle name="20% - Accent3 6 3" xfId="1424" xr:uid="{00000000-0005-0000-0000-00003D080000}"/>
    <cellStyle name="20% - Accent3 6 3 2" xfId="6606" xr:uid="{00000000-0005-0000-0000-00003E080000}"/>
    <cellStyle name="20% - Accent3 6 3 2 2" xfId="15930" xr:uid="{00000000-0005-0000-0000-00003F080000}"/>
    <cellStyle name="20% - Accent3 6 3 2 3" xfId="25253" xr:uid="{00000000-0005-0000-0000-000040080000}"/>
    <cellStyle name="20% - Accent3 6 3 3" xfId="10992" xr:uid="{00000000-0005-0000-0000-000041080000}"/>
    <cellStyle name="20% - Accent3 6 3 4" xfId="20316" xr:uid="{00000000-0005-0000-0000-000042080000}"/>
    <cellStyle name="20% - Accent3 6 4" xfId="3211" xr:uid="{00000000-0005-0000-0000-000043080000}"/>
    <cellStyle name="20% - Accent3 6 4 2" xfId="7890" xr:uid="{00000000-0005-0000-0000-000044080000}"/>
    <cellStyle name="20% - Accent3 6 4 2 2" xfId="17214" xr:uid="{00000000-0005-0000-0000-000045080000}"/>
    <cellStyle name="20% - Accent3 6 4 2 3" xfId="26537" xr:uid="{00000000-0005-0000-0000-000046080000}"/>
    <cellStyle name="20% - Accent3 6 4 3" xfId="12597" xr:uid="{00000000-0005-0000-0000-000047080000}"/>
    <cellStyle name="20% - Accent3 6 4 4" xfId="21923" xr:uid="{00000000-0005-0000-0000-000048080000}"/>
    <cellStyle name="20% - Accent3 6 5" xfId="4877" xr:uid="{00000000-0005-0000-0000-000049080000}"/>
    <cellStyle name="20% - Accent3 6 5 2" xfId="14201" xr:uid="{00000000-0005-0000-0000-00004A080000}"/>
    <cellStyle name="20% - Accent3 6 5 3" xfId="23524" xr:uid="{00000000-0005-0000-0000-00004B080000}"/>
    <cellStyle name="20% - Accent3 6 6" xfId="9496" xr:uid="{00000000-0005-0000-0000-00004C080000}"/>
    <cellStyle name="20% - Accent3 6 6 2" xfId="18820" xr:uid="{00000000-0005-0000-0000-00004D080000}"/>
    <cellStyle name="20% - Accent3 6 6 3" xfId="28143" xr:uid="{00000000-0005-0000-0000-00004E080000}"/>
    <cellStyle name="20% - Accent3 6 7" xfId="9990" xr:uid="{00000000-0005-0000-0000-00004F080000}"/>
    <cellStyle name="20% - Accent3 6 8" xfId="19314" xr:uid="{00000000-0005-0000-0000-000050080000}"/>
    <cellStyle name="20% - Accent3 7" xfId="629" xr:uid="{00000000-0005-0000-0000-000051080000}"/>
    <cellStyle name="20% - Accent3 7 2" xfId="1425" xr:uid="{00000000-0005-0000-0000-000052080000}"/>
    <cellStyle name="20% - Accent3 7 2 2" xfId="6605" xr:uid="{00000000-0005-0000-0000-000053080000}"/>
    <cellStyle name="20% - Accent3 7 2 2 2" xfId="15929" xr:uid="{00000000-0005-0000-0000-000054080000}"/>
    <cellStyle name="20% - Accent3 7 2 2 3" xfId="25252" xr:uid="{00000000-0005-0000-0000-000055080000}"/>
    <cellStyle name="20% - Accent3 7 2 3" xfId="10993" xr:uid="{00000000-0005-0000-0000-000056080000}"/>
    <cellStyle name="20% - Accent3 7 2 4" xfId="20317" xr:uid="{00000000-0005-0000-0000-000057080000}"/>
    <cellStyle name="20% - Accent3 7 3" xfId="3212" xr:uid="{00000000-0005-0000-0000-000058080000}"/>
    <cellStyle name="20% - Accent3 7 3 2" xfId="7891" xr:uid="{00000000-0005-0000-0000-000059080000}"/>
    <cellStyle name="20% - Accent3 7 3 2 2" xfId="17215" xr:uid="{00000000-0005-0000-0000-00005A080000}"/>
    <cellStyle name="20% - Accent3 7 3 2 3" xfId="26538" xr:uid="{00000000-0005-0000-0000-00005B080000}"/>
    <cellStyle name="20% - Accent3 7 3 3" xfId="12598" xr:uid="{00000000-0005-0000-0000-00005C080000}"/>
    <cellStyle name="20% - Accent3 7 3 4" xfId="21924" xr:uid="{00000000-0005-0000-0000-00005D080000}"/>
    <cellStyle name="20% - Accent3 7 4" xfId="4878" xr:uid="{00000000-0005-0000-0000-00005E080000}"/>
    <cellStyle name="20% - Accent3 7 4 2" xfId="14202" xr:uid="{00000000-0005-0000-0000-00005F080000}"/>
    <cellStyle name="20% - Accent3 7 4 3" xfId="23525" xr:uid="{00000000-0005-0000-0000-000060080000}"/>
    <cellStyle name="20% - Accent3 7 5" xfId="10233" xr:uid="{00000000-0005-0000-0000-000061080000}"/>
    <cellStyle name="20% - Accent3 7 6" xfId="19557" xr:uid="{00000000-0005-0000-0000-000062080000}"/>
    <cellStyle name="20% - Accent3 8" xfId="1426" xr:uid="{00000000-0005-0000-0000-000063080000}"/>
    <cellStyle name="20% - Accent3 8 2" xfId="3213" xr:uid="{00000000-0005-0000-0000-000064080000}"/>
    <cellStyle name="20% - Accent3 8 2 2" xfId="7892" xr:uid="{00000000-0005-0000-0000-000065080000}"/>
    <cellStyle name="20% - Accent3 8 2 2 2" xfId="17216" xr:uid="{00000000-0005-0000-0000-000066080000}"/>
    <cellStyle name="20% - Accent3 8 2 2 3" xfId="26539" xr:uid="{00000000-0005-0000-0000-000067080000}"/>
    <cellStyle name="20% - Accent3 8 2 3" xfId="12599" xr:uid="{00000000-0005-0000-0000-000068080000}"/>
    <cellStyle name="20% - Accent3 8 2 4" xfId="21925" xr:uid="{00000000-0005-0000-0000-000069080000}"/>
    <cellStyle name="20% - Accent3 8 3" xfId="4879" xr:uid="{00000000-0005-0000-0000-00006A080000}"/>
    <cellStyle name="20% - Accent3 8 3 2" xfId="14203" xr:uid="{00000000-0005-0000-0000-00006B080000}"/>
    <cellStyle name="20% - Accent3 8 3 3" xfId="23526" xr:uid="{00000000-0005-0000-0000-00006C080000}"/>
    <cellStyle name="20% - Accent3 8 4" xfId="10994" xr:uid="{00000000-0005-0000-0000-00006D080000}"/>
    <cellStyle name="20% - Accent3 8 5" xfId="20318" xr:uid="{00000000-0005-0000-0000-00006E080000}"/>
    <cellStyle name="20% - Accent3 9" xfId="1127" xr:uid="{00000000-0005-0000-0000-00006F080000}"/>
    <cellStyle name="20% - Accent3 9 2" xfId="4609" xr:uid="{00000000-0005-0000-0000-000070080000}"/>
    <cellStyle name="20% - Accent3 9 2 2" xfId="13933" xr:uid="{00000000-0005-0000-0000-000071080000}"/>
    <cellStyle name="20% - Accent3 9 2 3" xfId="23256" xr:uid="{00000000-0005-0000-0000-000072080000}"/>
    <cellStyle name="20% - Accent3 9 3" xfId="10726" xr:uid="{00000000-0005-0000-0000-000073080000}"/>
    <cellStyle name="20% - Accent3 9 4" xfId="20050" xr:uid="{00000000-0005-0000-0000-000074080000}"/>
    <cellStyle name="20% - Accent4" xfId="45" builtinId="42" customBuiltin="1"/>
    <cellStyle name="20% - Accent4 10" xfId="2943" xr:uid="{00000000-0005-0000-0000-000076080000}"/>
    <cellStyle name="20% - Accent4 10 2" xfId="7625" xr:uid="{00000000-0005-0000-0000-000077080000}"/>
    <cellStyle name="20% - Accent4 10 2 2" xfId="16949" xr:uid="{00000000-0005-0000-0000-000078080000}"/>
    <cellStyle name="20% - Accent4 10 2 3" xfId="26272" xr:uid="{00000000-0005-0000-0000-000079080000}"/>
    <cellStyle name="20% - Accent4 10 3" xfId="12348" xr:uid="{00000000-0005-0000-0000-00007A080000}"/>
    <cellStyle name="20% - Accent4 10 4" xfId="21674" xr:uid="{00000000-0005-0000-0000-00007B080000}"/>
    <cellStyle name="20% - Accent4 11" xfId="4584" xr:uid="{00000000-0005-0000-0000-00007C080000}"/>
    <cellStyle name="20% - Accent4 11 2" xfId="13908" xr:uid="{00000000-0005-0000-0000-00007D080000}"/>
    <cellStyle name="20% - Accent4 11 3" xfId="23231" xr:uid="{00000000-0005-0000-0000-00007E080000}"/>
    <cellStyle name="20% - Accent4 12" xfId="9244" xr:uid="{00000000-0005-0000-0000-00007F080000}"/>
    <cellStyle name="20% - Accent4 12 2" xfId="18568" xr:uid="{00000000-0005-0000-0000-000080080000}"/>
    <cellStyle name="20% - Accent4 12 3" xfId="27891" xr:uid="{00000000-0005-0000-0000-000081080000}"/>
    <cellStyle name="20% - Accent4 13" xfId="9738" xr:uid="{00000000-0005-0000-0000-000082080000}"/>
    <cellStyle name="20% - Accent4 14" xfId="19062" xr:uid="{00000000-0005-0000-0000-000083080000}"/>
    <cellStyle name="20% - Accent4 15" xfId="28394" xr:uid="{00000000-0005-0000-0000-000084080000}"/>
    <cellStyle name="20% - Accent4 2" xfId="63" xr:uid="{00000000-0005-0000-0000-000085080000}"/>
    <cellStyle name="20% - Accent4 2 10" xfId="4603" xr:uid="{00000000-0005-0000-0000-000086080000}"/>
    <cellStyle name="20% - Accent4 2 10 2" xfId="13927" xr:uid="{00000000-0005-0000-0000-000087080000}"/>
    <cellStyle name="20% - Accent4 2 10 3" xfId="23250" xr:uid="{00000000-0005-0000-0000-000088080000}"/>
    <cellStyle name="20% - Accent4 2 11" xfId="9257" xr:uid="{00000000-0005-0000-0000-000089080000}"/>
    <cellStyle name="20% - Accent4 2 11 2" xfId="18581" xr:uid="{00000000-0005-0000-0000-00008A080000}"/>
    <cellStyle name="20% - Accent4 2 11 3" xfId="27904" xr:uid="{00000000-0005-0000-0000-00008B080000}"/>
    <cellStyle name="20% - Accent4 2 12" xfId="9751" xr:uid="{00000000-0005-0000-0000-00008C080000}"/>
    <cellStyle name="20% - Accent4 2 13" xfId="19075" xr:uid="{00000000-0005-0000-0000-00008D080000}"/>
    <cellStyle name="20% - Accent4 2 14" xfId="28395" xr:uid="{00000000-0005-0000-0000-00008E080000}"/>
    <cellStyle name="20% - Accent4 2 2" xfId="201" xr:uid="{00000000-0005-0000-0000-00008F080000}"/>
    <cellStyle name="20% - Accent4 2 2 10" xfId="9823" xr:uid="{00000000-0005-0000-0000-000090080000}"/>
    <cellStyle name="20% - Accent4 2 2 11" xfId="19147" xr:uid="{00000000-0005-0000-0000-000091080000}"/>
    <cellStyle name="20% - Accent4 2 2 2" xfId="341" xr:uid="{00000000-0005-0000-0000-000092080000}"/>
    <cellStyle name="20% - Accent4 2 2 2 10" xfId="19270" xr:uid="{00000000-0005-0000-0000-000093080000}"/>
    <cellStyle name="20% - Accent4 2 2 2 2" xfId="581" xr:uid="{00000000-0005-0000-0000-000094080000}"/>
    <cellStyle name="20% - Accent4 2 2 2 2 2" xfId="1069" xr:uid="{00000000-0005-0000-0000-000095080000}"/>
    <cellStyle name="20% - Accent4 2 2 2 2 2 2" xfId="6738" xr:uid="{00000000-0005-0000-0000-000096080000}"/>
    <cellStyle name="20% - Accent4 2 2 2 2 2 2 2" xfId="16062" xr:uid="{00000000-0005-0000-0000-000097080000}"/>
    <cellStyle name="20% - Accent4 2 2 2 2 2 2 3" xfId="25385" xr:uid="{00000000-0005-0000-0000-000098080000}"/>
    <cellStyle name="20% - Accent4 2 2 2 2 2 3" xfId="10670" xr:uid="{00000000-0005-0000-0000-000099080000}"/>
    <cellStyle name="20% - Accent4 2 2 2 2 2 4" xfId="19994" xr:uid="{00000000-0005-0000-0000-00009A080000}"/>
    <cellStyle name="20% - Accent4 2 2 2 2 3" xfId="1430" xr:uid="{00000000-0005-0000-0000-00009B080000}"/>
    <cellStyle name="20% - Accent4 2 2 2 2 3 2" xfId="6603" xr:uid="{00000000-0005-0000-0000-00009C080000}"/>
    <cellStyle name="20% - Accent4 2 2 2 2 3 2 2" xfId="15927" xr:uid="{00000000-0005-0000-0000-00009D080000}"/>
    <cellStyle name="20% - Accent4 2 2 2 2 3 2 3" xfId="25250" xr:uid="{00000000-0005-0000-0000-00009E080000}"/>
    <cellStyle name="20% - Accent4 2 2 2 2 3 3" xfId="10998" xr:uid="{00000000-0005-0000-0000-00009F080000}"/>
    <cellStyle name="20% - Accent4 2 2 2 2 3 4" xfId="20322" xr:uid="{00000000-0005-0000-0000-0000A0080000}"/>
    <cellStyle name="20% - Accent4 2 2 2 2 4" xfId="3217" xr:uid="{00000000-0005-0000-0000-0000A1080000}"/>
    <cellStyle name="20% - Accent4 2 2 2 2 4 2" xfId="7896" xr:uid="{00000000-0005-0000-0000-0000A2080000}"/>
    <cellStyle name="20% - Accent4 2 2 2 2 4 2 2" xfId="17220" xr:uid="{00000000-0005-0000-0000-0000A3080000}"/>
    <cellStyle name="20% - Accent4 2 2 2 2 4 2 3" xfId="26543" xr:uid="{00000000-0005-0000-0000-0000A4080000}"/>
    <cellStyle name="20% - Accent4 2 2 2 2 4 3" xfId="12603" xr:uid="{00000000-0005-0000-0000-0000A5080000}"/>
    <cellStyle name="20% - Accent4 2 2 2 2 4 4" xfId="21929" xr:uid="{00000000-0005-0000-0000-0000A6080000}"/>
    <cellStyle name="20% - Accent4 2 2 2 2 5" xfId="4883" xr:uid="{00000000-0005-0000-0000-0000A7080000}"/>
    <cellStyle name="20% - Accent4 2 2 2 2 5 2" xfId="14207" xr:uid="{00000000-0005-0000-0000-0000A8080000}"/>
    <cellStyle name="20% - Accent4 2 2 2 2 5 3" xfId="23530" xr:uid="{00000000-0005-0000-0000-0000A9080000}"/>
    <cellStyle name="20% - Accent4 2 2 2 2 6" xfId="5236" xr:uid="{00000000-0005-0000-0000-0000AA080000}"/>
    <cellStyle name="20% - Accent4 2 2 2 2 6 2" xfId="14560" xr:uid="{00000000-0005-0000-0000-0000AB080000}"/>
    <cellStyle name="20% - Accent4 2 2 2 2 6 3" xfId="23883" xr:uid="{00000000-0005-0000-0000-0000AC080000}"/>
    <cellStyle name="20% - Accent4 2 2 2 2 7" xfId="9692" xr:uid="{00000000-0005-0000-0000-0000AD080000}"/>
    <cellStyle name="20% - Accent4 2 2 2 2 7 2" xfId="19016" xr:uid="{00000000-0005-0000-0000-0000AE080000}"/>
    <cellStyle name="20% - Accent4 2 2 2 2 7 3" xfId="28339" xr:uid="{00000000-0005-0000-0000-0000AF080000}"/>
    <cellStyle name="20% - Accent4 2 2 2 2 8" xfId="10186" xr:uid="{00000000-0005-0000-0000-0000B0080000}"/>
    <cellStyle name="20% - Accent4 2 2 2 2 9" xfId="19510" xr:uid="{00000000-0005-0000-0000-0000B1080000}"/>
    <cellStyle name="20% - Accent4 2 2 2 3" xfId="829" xr:uid="{00000000-0005-0000-0000-0000B2080000}"/>
    <cellStyle name="20% - Accent4 2 2 2 3 2" xfId="6922" xr:uid="{00000000-0005-0000-0000-0000B3080000}"/>
    <cellStyle name="20% - Accent4 2 2 2 3 2 2" xfId="16246" xr:uid="{00000000-0005-0000-0000-0000B4080000}"/>
    <cellStyle name="20% - Accent4 2 2 2 3 2 3" xfId="25569" xr:uid="{00000000-0005-0000-0000-0000B5080000}"/>
    <cellStyle name="20% - Accent4 2 2 2 3 3" xfId="10430" xr:uid="{00000000-0005-0000-0000-0000B6080000}"/>
    <cellStyle name="20% - Accent4 2 2 2 3 4" xfId="19754" xr:uid="{00000000-0005-0000-0000-0000B7080000}"/>
    <cellStyle name="20% - Accent4 2 2 2 4" xfId="1429" xr:uid="{00000000-0005-0000-0000-0000B8080000}"/>
    <cellStyle name="20% - Accent4 2 2 2 4 2" xfId="6583" xr:uid="{00000000-0005-0000-0000-0000B9080000}"/>
    <cellStyle name="20% - Accent4 2 2 2 4 2 2" xfId="15907" xr:uid="{00000000-0005-0000-0000-0000BA080000}"/>
    <cellStyle name="20% - Accent4 2 2 2 4 2 3" xfId="25230" xr:uid="{00000000-0005-0000-0000-0000BB080000}"/>
    <cellStyle name="20% - Accent4 2 2 2 4 3" xfId="10997" xr:uid="{00000000-0005-0000-0000-0000BC080000}"/>
    <cellStyle name="20% - Accent4 2 2 2 4 4" xfId="20321" xr:uid="{00000000-0005-0000-0000-0000BD080000}"/>
    <cellStyle name="20% - Accent4 2 2 2 5" xfId="3216" xr:uid="{00000000-0005-0000-0000-0000BE080000}"/>
    <cellStyle name="20% - Accent4 2 2 2 5 2" xfId="7895" xr:uid="{00000000-0005-0000-0000-0000BF080000}"/>
    <cellStyle name="20% - Accent4 2 2 2 5 2 2" xfId="17219" xr:uid="{00000000-0005-0000-0000-0000C0080000}"/>
    <cellStyle name="20% - Accent4 2 2 2 5 2 3" xfId="26542" xr:uid="{00000000-0005-0000-0000-0000C1080000}"/>
    <cellStyle name="20% - Accent4 2 2 2 5 3" xfId="12602" xr:uid="{00000000-0005-0000-0000-0000C2080000}"/>
    <cellStyle name="20% - Accent4 2 2 2 5 4" xfId="21928" xr:uid="{00000000-0005-0000-0000-0000C3080000}"/>
    <cellStyle name="20% - Accent4 2 2 2 6" xfId="4882" xr:uid="{00000000-0005-0000-0000-0000C4080000}"/>
    <cellStyle name="20% - Accent4 2 2 2 6 2" xfId="14206" xr:uid="{00000000-0005-0000-0000-0000C5080000}"/>
    <cellStyle name="20% - Accent4 2 2 2 6 3" xfId="23529" xr:uid="{00000000-0005-0000-0000-0000C6080000}"/>
    <cellStyle name="20% - Accent4 2 2 2 7" xfId="7354" xr:uid="{00000000-0005-0000-0000-0000C7080000}"/>
    <cellStyle name="20% - Accent4 2 2 2 7 2" xfId="16678" xr:uid="{00000000-0005-0000-0000-0000C8080000}"/>
    <cellStyle name="20% - Accent4 2 2 2 7 3" xfId="26001" xr:uid="{00000000-0005-0000-0000-0000C9080000}"/>
    <cellStyle name="20% - Accent4 2 2 2 8" xfId="9452" xr:uid="{00000000-0005-0000-0000-0000CA080000}"/>
    <cellStyle name="20% - Accent4 2 2 2 8 2" xfId="18776" xr:uid="{00000000-0005-0000-0000-0000CB080000}"/>
    <cellStyle name="20% - Accent4 2 2 2 8 3" xfId="28099" xr:uid="{00000000-0005-0000-0000-0000CC080000}"/>
    <cellStyle name="20% - Accent4 2 2 2 9" xfId="9946" xr:uid="{00000000-0005-0000-0000-0000CD080000}"/>
    <cellStyle name="20% - Accent4 2 2 3" xfId="459" xr:uid="{00000000-0005-0000-0000-0000CE080000}"/>
    <cellStyle name="20% - Accent4 2 2 3 2" xfId="947" xr:uid="{00000000-0005-0000-0000-0000CF080000}"/>
    <cellStyle name="20% - Accent4 2 2 3 2 2" xfId="4558" xr:uid="{00000000-0005-0000-0000-0000D0080000}"/>
    <cellStyle name="20% - Accent4 2 2 3 2 2 2" xfId="13882" xr:uid="{00000000-0005-0000-0000-0000D1080000}"/>
    <cellStyle name="20% - Accent4 2 2 3 2 2 3" xfId="23205" xr:uid="{00000000-0005-0000-0000-0000D2080000}"/>
    <cellStyle name="20% - Accent4 2 2 3 2 3" xfId="10548" xr:uid="{00000000-0005-0000-0000-0000D3080000}"/>
    <cellStyle name="20% - Accent4 2 2 3 2 4" xfId="19872" xr:uid="{00000000-0005-0000-0000-0000D4080000}"/>
    <cellStyle name="20% - Accent4 2 2 3 3" xfId="1431" xr:uid="{00000000-0005-0000-0000-0000D5080000}"/>
    <cellStyle name="20% - Accent4 2 2 3 3 2" xfId="6602" xr:uid="{00000000-0005-0000-0000-0000D6080000}"/>
    <cellStyle name="20% - Accent4 2 2 3 3 2 2" xfId="15926" xr:uid="{00000000-0005-0000-0000-0000D7080000}"/>
    <cellStyle name="20% - Accent4 2 2 3 3 2 3" xfId="25249" xr:uid="{00000000-0005-0000-0000-0000D8080000}"/>
    <cellStyle name="20% - Accent4 2 2 3 3 3" xfId="10999" xr:uid="{00000000-0005-0000-0000-0000D9080000}"/>
    <cellStyle name="20% - Accent4 2 2 3 3 4" xfId="20323" xr:uid="{00000000-0005-0000-0000-0000DA080000}"/>
    <cellStyle name="20% - Accent4 2 2 3 4" xfId="3218" xr:uid="{00000000-0005-0000-0000-0000DB080000}"/>
    <cellStyle name="20% - Accent4 2 2 3 4 2" xfId="7897" xr:uid="{00000000-0005-0000-0000-0000DC080000}"/>
    <cellStyle name="20% - Accent4 2 2 3 4 2 2" xfId="17221" xr:uid="{00000000-0005-0000-0000-0000DD080000}"/>
    <cellStyle name="20% - Accent4 2 2 3 4 2 3" xfId="26544" xr:uid="{00000000-0005-0000-0000-0000DE080000}"/>
    <cellStyle name="20% - Accent4 2 2 3 4 3" xfId="12604" xr:uid="{00000000-0005-0000-0000-0000DF080000}"/>
    <cellStyle name="20% - Accent4 2 2 3 4 4" xfId="21930" xr:uid="{00000000-0005-0000-0000-0000E0080000}"/>
    <cellStyle name="20% - Accent4 2 2 3 5" xfId="4884" xr:uid="{00000000-0005-0000-0000-0000E1080000}"/>
    <cellStyle name="20% - Accent4 2 2 3 5 2" xfId="14208" xr:uid="{00000000-0005-0000-0000-0000E2080000}"/>
    <cellStyle name="20% - Accent4 2 2 3 5 3" xfId="23531" xr:uid="{00000000-0005-0000-0000-0000E3080000}"/>
    <cellStyle name="20% - Accent4 2 2 3 6" xfId="5209" xr:uid="{00000000-0005-0000-0000-0000E4080000}"/>
    <cellStyle name="20% - Accent4 2 2 3 6 2" xfId="14533" xr:uid="{00000000-0005-0000-0000-0000E5080000}"/>
    <cellStyle name="20% - Accent4 2 2 3 6 3" xfId="23856" xr:uid="{00000000-0005-0000-0000-0000E6080000}"/>
    <cellStyle name="20% - Accent4 2 2 3 7" xfId="9570" xr:uid="{00000000-0005-0000-0000-0000E7080000}"/>
    <cellStyle name="20% - Accent4 2 2 3 7 2" xfId="18894" xr:uid="{00000000-0005-0000-0000-0000E8080000}"/>
    <cellStyle name="20% - Accent4 2 2 3 7 3" xfId="28217" xr:uid="{00000000-0005-0000-0000-0000E9080000}"/>
    <cellStyle name="20% - Accent4 2 2 3 8" xfId="10064" xr:uid="{00000000-0005-0000-0000-0000EA080000}"/>
    <cellStyle name="20% - Accent4 2 2 3 9" xfId="19388" xr:uid="{00000000-0005-0000-0000-0000EB080000}"/>
    <cellStyle name="20% - Accent4 2 2 4" xfId="707" xr:uid="{00000000-0005-0000-0000-0000EC080000}"/>
    <cellStyle name="20% - Accent4 2 2 4 2" xfId="7007" xr:uid="{00000000-0005-0000-0000-0000ED080000}"/>
    <cellStyle name="20% - Accent4 2 2 4 2 2" xfId="16331" xr:uid="{00000000-0005-0000-0000-0000EE080000}"/>
    <cellStyle name="20% - Accent4 2 2 4 2 3" xfId="25654" xr:uid="{00000000-0005-0000-0000-0000EF080000}"/>
    <cellStyle name="20% - Accent4 2 2 4 3" xfId="10308" xr:uid="{00000000-0005-0000-0000-0000F0080000}"/>
    <cellStyle name="20% - Accent4 2 2 4 4" xfId="19632" xr:uid="{00000000-0005-0000-0000-0000F1080000}"/>
    <cellStyle name="20% - Accent4 2 2 5" xfId="1428" xr:uid="{00000000-0005-0000-0000-0000F2080000}"/>
    <cellStyle name="20% - Accent4 2 2 5 2" xfId="5826" xr:uid="{00000000-0005-0000-0000-0000F3080000}"/>
    <cellStyle name="20% - Accent4 2 2 5 2 2" xfId="15150" xr:uid="{00000000-0005-0000-0000-0000F4080000}"/>
    <cellStyle name="20% - Accent4 2 2 5 2 3" xfId="24473" xr:uid="{00000000-0005-0000-0000-0000F5080000}"/>
    <cellStyle name="20% - Accent4 2 2 5 3" xfId="10996" xr:uid="{00000000-0005-0000-0000-0000F6080000}"/>
    <cellStyle name="20% - Accent4 2 2 5 4" xfId="20320" xr:uid="{00000000-0005-0000-0000-0000F7080000}"/>
    <cellStyle name="20% - Accent4 2 2 6" xfId="3215" xr:uid="{00000000-0005-0000-0000-0000F8080000}"/>
    <cellStyle name="20% - Accent4 2 2 6 2" xfId="7894" xr:uid="{00000000-0005-0000-0000-0000F9080000}"/>
    <cellStyle name="20% - Accent4 2 2 6 2 2" xfId="17218" xr:uid="{00000000-0005-0000-0000-0000FA080000}"/>
    <cellStyle name="20% - Accent4 2 2 6 2 3" xfId="26541" xr:uid="{00000000-0005-0000-0000-0000FB080000}"/>
    <cellStyle name="20% - Accent4 2 2 6 3" xfId="12601" xr:uid="{00000000-0005-0000-0000-0000FC080000}"/>
    <cellStyle name="20% - Accent4 2 2 6 4" xfId="21927" xr:uid="{00000000-0005-0000-0000-0000FD080000}"/>
    <cellStyle name="20% - Accent4 2 2 7" xfId="4881" xr:uid="{00000000-0005-0000-0000-0000FE080000}"/>
    <cellStyle name="20% - Accent4 2 2 7 2" xfId="14205" xr:uid="{00000000-0005-0000-0000-0000FF080000}"/>
    <cellStyle name="20% - Accent4 2 2 7 3" xfId="23528" xr:uid="{00000000-0005-0000-0000-000000090000}"/>
    <cellStyle name="20% - Accent4 2 2 8" xfId="7272" xr:uid="{00000000-0005-0000-0000-000001090000}"/>
    <cellStyle name="20% - Accent4 2 2 8 2" xfId="16596" xr:uid="{00000000-0005-0000-0000-000002090000}"/>
    <cellStyle name="20% - Accent4 2 2 8 3" xfId="25919" xr:uid="{00000000-0005-0000-0000-000003090000}"/>
    <cellStyle name="20% - Accent4 2 2 9" xfId="9329" xr:uid="{00000000-0005-0000-0000-000004090000}"/>
    <cellStyle name="20% - Accent4 2 2 9 2" xfId="18653" xr:uid="{00000000-0005-0000-0000-000005090000}"/>
    <cellStyle name="20% - Accent4 2 2 9 3" xfId="27976" xr:uid="{00000000-0005-0000-0000-000006090000}"/>
    <cellStyle name="20% - Accent4 2 3" xfId="266" xr:uid="{00000000-0005-0000-0000-000007090000}"/>
    <cellStyle name="20% - Accent4 2 3 2" xfId="520" xr:uid="{00000000-0005-0000-0000-000008090000}"/>
    <cellStyle name="20% - Accent4 2 3 2 2" xfId="1008" xr:uid="{00000000-0005-0000-0000-000009090000}"/>
    <cellStyle name="20% - Accent4 2 3 2 2 2" xfId="6791" xr:uid="{00000000-0005-0000-0000-00000A090000}"/>
    <cellStyle name="20% - Accent4 2 3 2 2 2 2" xfId="16115" xr:uid="{00000000-0005-0000-0000-00000B090000}"/>
    <cellStyle name="20% - Accent4 2 3 2 2 2 3" xfId="25438" xr:uid="{00000000-0005-0000-0000-00000C090000}"/>
    <cellStyle name="20% - Accent4 2 3 2 2 3" xfId="10609" xr:uid="{00000000-0005-0000-0000-00000D090000}"/>
    <cellStyle name="20% - Accent4 2 3 2 2 4" xfId="19933" xr:uid="{00000000-0005-0000-0000-00000E090000}"/>
    <cellStyle name="20% - Accent4 2 3 2 3" xfId="1433" xr:uid="{00000000-0005-0000-0000-00000F090000}"/>
    <cellStyle name="20% - Accent4 2 3 2 3 2" xfId="6600" xr:uid="{00000000-0005-0000-0000-000010090000}"/>
    <cellStyle name="20% - Accent4 2 3 2 3 2 2" xfId="15924" xr:uid="{00000000-0005-0000-0000-000011090000}"/>
    <cellStyle name="20% - Accent4 2 3 2 3 2 3" xfId="25247" xr:uid="{00000000-0005-0000-0000-000012090000}"/>
    <cellStyle name="20% - Accent4 2 3 2 3 3" xfId="11001" xr:uid="{00000000-0005-0000-0000-000013090000}"/>
    <cellStyle name="20% - Accent4 2 3 2 3 4" xfId="20325" xr:uid="{00000000-0005-0000-0000-000014090000}"/>
    <cellStyle name="20% - Accent4 2 3 2 4" xfId="3220" xr:uid="{00000000-0005-0000-0000-000015090000}"/>
    <cellStyle name="20% - Accent4 2 3 2 4 2" xfId="7899" xr:uid="{00000000-0005-0000-0000-000016090000}"/>
    <cellStyle name="20% - Accent4 2 3 2 4 2 2" xfId="17223" xr:uid="{00000000-0005-0000-0000-000017090000}"/>
    <cellStyle name="20% - Accent4 2 3 2 4 2 3" xfId="26546" xr:uid="{00000000-0005-0000-0000-000018090000}"/>
    <cellStyle name="20% - Accent4 2 3 2 4 3" xfId="12606" xr:uid="{00000000-0005-0000-0000-000019090000}"/>
    <cellStyle name="20% - Accent4 2 3 2 4 4" xfId="21932" xr:uid="{00000000-0005-0000-0000-00001A090000}"/>
    <cellStyle name="20% - Accent4 2 3 2 5" xfId="4886" xr:uid="{00000000-0005-0000-0000-00001B090000}"/>
    <cellStyle name="20% - Accent4 2 3 2 5 2" xfId="14210" xr:uid="{00000000-0005-0000-0000-00001C090000}"/>
    <cellStyle name="20% - Accent4 2 3 2 5 3" xfId="23533" xr:uid="{00000000-0005-0000-0000-00001D090000}"/>
    <cellStyle name="20% - Accent4 2 3 2 6" xfId="9631" xr:uid="{00000000-0005-0000-0000-00001E090000}"/>
    <cellStyle name="20% - Accent4 2 3 2 6 2" xfId="18955" xr:uid="{00000000-0005-0000-0000-00001F090000}"/>
    <cellStyle name="20% - Accent4 2 3 2 6 3" xfId="28278" xr:uid="{00000000-0005-0000-0000-000020090000}"/>
    <cellStyle name="20% - Accent4 2 3 2 7" xfId="10125" xr:uid="{00000000-0005-0000-0000-000021090000}"/>
    <cellStyle name="20% - Accent4 2 3 2 8" xfId="19449" xr:uid="{00000000-0005-0000-0000-000022090000}"/>
    <cellStyle name="20% - Accent4 2 3 3" xfId="768" xr:uid="{00000000-0005-0000-0000-000023090000}"/>
    <cellStyle name="20% - Accent4 2 3 3 2" xfId="5405" xr:uid="{00000000-0005-0000-0000-000024090000}"/>
    <cellStyle name="20% - Accent4 2 3 3 2 2" xfId="14729" xr:uid="{00000000-0005-0000-0000-000025090000}"/>
    <cellStyle name="20% - Accent4 2 3 3 2 3" xfId="24052" xr:uid="{00000000-0005-0000-0000-000026090000}"/>
    <cellStyle name="20% - Accent4 2 3 3 3" xfId="10369" xr:uid="{00000000-0005-0000-0000-000027090000}"/>
    <cellStyle name="20% - Accent4 2 3 3 4" xfId="19693" xr:uid="{00000000-0005-0000-0000-000028090000}"/>
    <cellStyle name="20% - Accent4 2 3 4" xfId="1432" xr:uid="{00000000-0005-0000-0000-000029090000}"/>
    <cellStyle name="20% - Accent4 2 3 4 2" xfId="6601" xr:uid="{00000000-0005-0000-0000-00002A090000}"/>
    <cellStyle name="20% - Accent4 2 3 4 2 2" xfId="15925" xr:uid="{00000000-0005-0000-0000-00002B090000}"/>
    <cellStyle name="20% - Accent4 2 3 4 2 3" xfId="25248" xr:uid="{00000000-0005-0000-0000-00002C090000}"/>
    <cellStyle name="20% - Accent4 2 3 4 3" xfId="11000" xr:uid="{00000000-0005-0000-0000-00002D090000}"/>
    <cellStyle name="20% - Accent4 2 3 4 4" xfId="20324" xr:uid="{00000000-0005-0000-0000-00002E090000}"/>
    <cellStyle name="20% - Accent4 2 3 5" xfId="3219" xr:uid="{00000000-0005-0000-0000-00002F090000}"/>
    <cellStyle name="20% - Accent4 2 3 5 2" xfId="7898" xr:uid="{00000000-0005-0000-0000-000030090000}"/>
    <cellStyle name="20% - Accent4 2 3 5 2 2" xfId="17222" xr:uid="{00000000-0005-0000-0000-000031090000}"/>
    <cellStyle name="20% - Accent4 2 3 5 2 3" xfId="26545" xr:uid="{00000000-0005-0000-0000-000032090000}"/>
    <cellStyle name="20% - Accent4 2 3 5 3" xfId="12605" xr:uid="{00000000-0005-0000-0000-000033090000}"/>
    <cellStyle name="20% - Accent4 2 3 5 4" xfId="21931" xr:uid="{00000000-0005-0000-0000-000034090000}"/>
    <cellStyle name="20% - Accent4 2 3 6" xfId="4885" xr:uid="{00000000-0005-0000-0000-000035090000}"/>
    <cellStyle name="20% - Accent4 2 3 6 2" xfId="14209" xr:uid="{00000000-0005-0000-0000-000036090000}"/>
    <cellStyle name="20% - Accent4 2 3 6 3" xfId="23532" xr:uid="{00000000-0005-0000-0000-000037090000}"/>
    <cellStyle name="20% - Accent4 2 3 7" xfId="9390" xr:uid="{00000000-0005-0000-0000-000038090000}"/>
    <cellStyle name="20% - Accent4 2 3 7 2" xfId="18714" xr:uid="{00000000-0005-0000-0000-000039090000}"/>
    <cellStyle name="20% - Accent4 2 3 7 3" xfId="28037" xr:uid="{00000000-0005-0000-0000-00003A090000}"/>
    <cellStyle name="20% - Accent4 2 3 8" xfId="9884" xr:uid="{00000000-0005-0000-0000-00003B090000}"/>
    <cellStyle name="20% - Accent4 2 3 9" xfId="19208" xr:uid="{00000000-0005-0000-0000-00003C090000}"/>
    <cellStyle name="20% - Accent4 2 4" xfId="400" xr:uid="{00000000-0005-0000-0000-00003D090000}"/>
    <cellStyle name="20% - Accent4 2 4 2" xfId="888" xr:uid="{00000000-0005-0000-0000-00003E090000}"/>
    <cellStyle name="20% - Accent4 2 4 2 2" xfId="6876" xr:uid="{00000000-0005-0000-0000-00003F090000}"/>
    <cellStyle name="20% - Accent4 2 4 2 2 2" xfId="16200" xr:uid="{00000000-0005-0000-0000-000040090000}"/>
    <cellStyle name="20% - Accent4 2 4 2 2 3" xfId="25523" xr:uid="{00000000-0005-0000-0000-000041090000}"/>
    <cellStyle name="20% - Accent4 2 4 2 3" xfId="10489" xr:uid="{00000000-0005-0000-0000-000042090000}"/>
    <cellStyle name="20% - Accent4 2 4 2 4" xfId="19813" xr:uid="{00000000-0005-0000-0000-000043090000}"/>
    <cellStyle name="20% - Accent4 2 4 3" xfId="1434" xr:uid="{00000000-0005-0000-0000-000044090000}"/>
    <cellStyle name="20% - Accent4 2 4 3 2" xfId="6599" xr:uid="{00000000-0005-0000-0000-000045090000}"/>
    <cellStyle name="20% - Accent4 2 4 3 2 2" xfId="15923" xr:uid="{00000000-0005-0000-0000-000046090000}"/>
    <cellStyle name="20% - Accent4 2 4 3 2 3" xfId="25246" xr:uid="{00000000-0005-0000-0000-000047090000}"/>
    <cellStyle name="20% - Accent4 2 4 3 3" xfId="11002" xr:uid="{00000000-0005-0000-0000-000048090000}"/>
    <cellStyle name="20% - Accent4 2 4 3 4" xfId="20326" xr:uid="{00000000-0005-0000-0000-000049090000}"/>
    <cellStyle name="20% - Accent4 2 4 4" xfId="3221" xr:uid="{00000000-0005-0000-0000-00004A090000}"/>
    <cellStyle name="20% - Accent4 2 4 4 2" xfId="7900" xr:uid="{00000000-0005-0000-0000-00004B090000}"/>
    <cellStyle name="20% - Accent4 2 4 4 2 2" xfId="17224" xr:uid="{00000000-0005-0000-0000-00004C090000}"/>
    <cellStyle name="20% - Accent4 2 4 4 2 3" xfId="26547" xr:uid="{00000000-0005-0000-0000-00004D090000}"/>
    <cellStyle name="20% - Accent4 2 4 4 3" xfId="12607" xr:uid="{00000000-0005-0000-0000-00004E090000}"/>
    <cellStyle name="20% - Accent4 2 4 4 4" xfId="21933" xr:uid="{00000000-0005-0000-0000-00004F090000}"/>
    <cellStyle name="20% - Accent4 2 4 5" xfId="4887" xr:uid="{00000000-0005-0000-0000-000050090000}"/>
    <cellStyle name="20% - Accent4 2 4 5 2" xfId="14211" xr:uid="{00000000-0005-0000-0000-000051090000}"/>
    <cellStyle name="20% - Accent4 2 4 5 3" xfId="23534" xr:uid="{00000000-0005-0000-0000-000052090000}"/>
    <cellStyle name="20% - Accent4 2 4 6" xfId="5214" xr:uid="{00000000-0005-0000-0000-000053090000}"/>
    <cellStyle name="20% - Accent4 2 4 6 2" xfId="14538" xr:uid="{00000000-0005-0000-0000-000054090000}"/>
    <cellStyle name="20% - Accent4 2 4 6 3" xfId="23861" xr:uid="{00000000-0005-0000-0000-000055090000}"/>
    <cellStyle name="20% - Accent4 2 4 7" xfId="9511" xr:uid="{00000000-0005-0000-0000-000056090000}"/>
    <cellStyle name="20% - Accent4 2 4 7 2" xfId="18835" xr:uid="{00000000-0005-0000-0000-000057090000}"/>
    <cellStyle name="20% - Accent4 2 4 7 3" xfId="28158" xr:uid="{00000000-0005-0000-0000-000058090000}"/>
    <cellStyle name="20% - Accent4 2 4 8" xfId="10005" xr:uid="{00000000-0005-0000-0000-000059090000}"/>
    <cellStyle name="20% - Accent4 2 4 9" xfId="19329" xr:uid="{00000000-0005-0000-0000-00005A090000}"/>
    <cellStyle name="20% - Accent4 2 5" xfId="648" xr:uid="{00000000-0005-0000-0000-00005B090000}"/>
    <cellStyle name="20% - Accent4 2 5 2" xfId="1435" xr:uid="{00000000-0005-0000-0000-00005C090000}"/>
    <cellStyle name="20% - Accent4 2 5 2 2" xfId="6598" xr:uid="{00000000-0005-0000-0000-00005D090000}"/>
    <cellStyle name="20% - Accent4 2 5 2 2 2" xfId="15922" xr:uid="{00000000-0005-0000-0000-00005E090000}"/>
    <cellStyle name="20% - Accent4 2 5 2 2 3" xfId="25245" xr:uid="{00000000-0005-0000-0000-00005F090000}"/>
    <cellStyle name="20% - Accent4 2 5 2 3" xfId="11003" xr:uid="{00000000-0005-0000-0000-000060090000}"/>
    <cellStyle name="20% - Accent4 2 5 2 4" xfId="20327" xr:uid="{00000000-0005-0000-0000-000061090000}"/>
    <cellStyle name="20% - Accent4 2 5 3" xfId="3222" xr:uid="{00000000-0005-0000-0000-000062090000}"/>
    <cellStyle name="20% - Accent4 2 5 3 2" xfId="7901" xr:uid="{00000000-0005-0000-0000-000063090000}"/>
    <cellStyle name="20% - Accent4 2 5 3 2 2" xfId="17225" xr:uid="{00000000-0005-0000-0000-000064090000}"/>
    <cellStyle name="20% - Accent4 2 5 3 2 3" xfId="26548" xr:uid="{00000000-0005-0000-0000-000065090000}"/>
    <cellStyle name="20% - Accent4 2 5 3 3" xfId="12608" xr:uid="{00000000-0005-0000-0000-000066090000}"/>
    <cellStyle name="20% - Accent4 2 5 3 4" xfId="21934" xr:uid="{00000000-0005-0000-0000-000067090000}"/>
    <cellStyle name="20% - Accent4 2 5 4" xfId="4888" xr:uid="{00000000-0005-0000-0000-000068090000}"/>
    <cellStyle name="20% - Accent4 2 5 4 2" xfId="14212" xr:uid="{00000000-0005-0000-0000-000069090000}"/>
    <cellStyle name="20% - Accent4 2 5 4 3" xfId="23535" xr:uid="{00000000-0005-0000-0000-00006A090000}"/>
    <cellStyle name="20% - Accent4 2 5 5" xfId="10249" xr:uid="{00000000-0005-0000-0000-00006B090000}"/>
    <cellStyle name="20% - Accent4 2 5 6" xfId="19573" xr:uid="{00000000-0005-0000-0000-00006C090000}"/>
    <cellStyle name="20% - Accent4 2 6" xfId="1436" xr:uid="{00000000-0005-0000-0000-00006D090000}"/>
    <cellStyle name="20% - Accent4 2 6 2" xfId="3223" xr:uid="{00000000-0005-0000-0000-00006E090000}"/>
    <cellStyle name="20% - Accent4 2 6 2 2" xfId="7902" xr:uid="{00000000-0005-0000-0000-00006F090000}"/>
    <cellStyle name="20% - Accent4 2 6 2 2 2" xfId="17226" xr:uid="{00000000-0005-0000-0000-000070090000}"/>
    <cellStyle name="20% - Accent4 2 6 2 2 3" xfId="26549" xr:uid="{00000000-0005-0000-0000-000071090000}"/>
    <cellStyle name="20% - Accent4 2 6 2 3" xfId="12609" xr:uid="{00000000-0005-0000-0000-000072090000}"/>
    <cellStyle name="20% - Accent4 2 6 2 4" xfId="21935" xr:uid="{00000000-0005-0000-0000-000073090000}"/>
    <cellStyle name="20% - Accent4 2 6 3" xfId="4889" xr:uid="{00000000-0005-0000-0000-000074090000}"/>
    <cellStyle name="20% - Accent4 2 6 3 2" xfId="14213" xr:uid="{00000000-0005-0000-0000-000075090000}"/>
    <cellStyle name="20% - Accent4 2 6 3 3" xfId="23536" xr:uid="{00000000-0005-0000-0000-000076090000}"/>
    <cellStyle name="20% - Accent4 2 6 4" xfId="11004" xr:uid="{00000000-0005-0000-0000-000077090000}"/>
    <cellStyle name="20% - Accent4 2 6 5" xfId="20328" xr:uid="{00000000-0005-0000-0000-000078090000}"/>
    <cellStyle name="20% - Accent4 2 7" xfId="1427" xr:uid="{00000000-0005-0000-0000-000079090000}"/>
    <cellStyle name="20% - Accent4 2 7 2" xfId="3214" xr:uid="{00000000-0005-0000-0000-00007A090000}"/>
    <cellStyle name="20% - Accent4 2 7 2 2" xfId="7893" xr:uid="{00000000-0005-0000-0000-00007B090000}"/>
    <cellStyle name="20% - Accent4 2 7 2 2 2" xfId="17217" xr:uid="{00000000-0005-0000-0000-00007C090000}"/>
    <cellStyle name="20% - Accent4 2 7 2 2 3" xfId="26540" xr:uid="{00000000-0005-0000-0000-00007D090000}"/>
    <cellStyle name="20% - Accent4 2 7 2 3" xfId="12600" xr:uid="{00000000-0005-0000-0000-00007E090000}"/>
    <cellStyle name="20% - Accent4 2 7 2 4" xfId="21926" xr:uid="{00000000-0005-0000-0000-00007F090000}"/>
    <cellStyle name="20% - Accent4 2 7 3" xfId="4880" xr:uid="{00000000-0005-0000-0000-000080090000}"/>
    <cellStyle name="20% - Accent4 2 7 3 2" xfId="14204" xr:uid="{00000000-0005-0000-0000-000081090000}"/>
    <cellStyle name="20% - Accent4 2 7 3 3" xfId="23527" xr:uid="{00000000-0005-0000-0000-000082090000}"/>
    <cellStyle name="20% - Accent4 2 7 4" xfId="10995" xr:uid="{00000000-0005-0000-0000-000083090000}"/>
    <cellStyle name="20% - Accent4 2 7 5" xfId="20319" xr:uid="{00000000-0005-0000-0000-000084090000}"/>
    <cellStyle name="20% - Accent4 2 8" xfId="1143" xr:uid="{00000000-0005-0000-0000-000085090000}"/>
    <cellStyle name="20% - Accent4 2 8 2" xfId="6706" xr:uid="{00000000-0005-0000-0000-000086090000}"/>
    <cellStyle name="20% - Accent4 2 8 2 2" xfId="16030" xr:uid="{00000000-0005-0000-0000-000087090000}"/>
    <cellStyle name="20% - Accent4 2 8 2 3" xfId="25353" xr:uid="{00000000-0005-0000-0000-000088090000}"/>
    <cellStyle name="20% - Accent4 2 8 3" xfId="10742" xr:uid="{00000000-0005-0000-0000-000089090000}"/>
    <cellStyle name="20% - Accent4 2 8 4" xfId="20066" xr:uid="{00000000-0005-0000-0000-00008A090000}"/>
    <cellStyle name="20% - Accent4 2 9" xfId="2961" xr:uid="{00000000-0005-0000-0000-00008B090000}"/>
    <cellStyle name="20% - Accent4 2 9 2" xfId="7640" xr:uid="{00000000-0005-0000-0000-00008C090000}"/>
    <cellStyle name="20% - Accent4 2 9 2 2" xfId="16964" xr:uid="{00000000-0005-0000-0000-00008D090000}"/>
    <cellStyle name="20% - Accent4 2 9 2 3" xfId="26287" xr:uid="{00000000-0005-0000-0000-00008E090000}"/>
    <cellStyle name="20% - Accent4 2 9 3" xfId="12362" xr:uid="{00000000-0005-0000-0000-00008F090000}"/>
    <cellStyle name="20% - Accent4 2 9 4" xfId="21688" xr:uid="{00000000-0005-0000-0000-000090090000}"/>
    <cellStyle name="20% - Accent4 3" xfId="64" xr:uid="{00000000-0005-0000-0000-000091090000}"/>
    <cellStyle name="20% - Accent4 3 10" xfId="9258" xr:uid="{00000000-0005-0000-0000-000092090000}"/>
    <cellStyle name="20% - Accent4 3 10 2" xfId="18582" xr:uid="{00000000-0005-0000-0000-000093090000}"/>
    <cellStyle name="20% - Accent4 3 10 3" xfId="27905" xr:uid="{00000000-0005-0000-0000-000094090000}"/>
    <cellStyle name="20% - Accent4 3 11" xfId="9752" xr:uid="{00000000-0005-0000-0000-000095090000}"/>
    <cellStyle name="20% - Accent4 3 12" xfId="19076" xr:uid="{00000000-0005-0000-0000-000096090000}"/>
    <cellStyle name="20% - Accent4 3 13" xfId="28872" xr:uid="{00000000-0005-0000-0000-000097090000}"/>
    <cellStyle name="20% - Accent4 3 2" xfId="202" xr:uid="{00000000-0005-0000-0000-000098090000}"/>
    <cellStyle name="20% - Accent4 3 2 10" xfId="9824" xr:uid="{00000000-0005-0000-0000-000099090000}"/>
    <cellStyle name="20% - Accent4 3 2 11" xfId="19148" xr:uid="{00000000-0005-0000-0000-00009A090000}"/>
    <cellStyle name="20% - Accent4 3 2 2" xfId="342" xr:uid="{00000000-0005-0000-0000-00009B090000}"/>
    <cellStyle name="20% - Accent4 3 2 2 10" xfId="19271" xr:uid="{00000000-0005-0000-0000-00009C090000}"/>
    <cellStyle name="20% - Accent4 3 2 2 2" xfId="582" xr:uid="{00000000-0005-0000-0000-00009D090000}"/>
    <cellStyle name="20% - Accent4 3 2 2 2 2" xfId="1070" xr:uid="{00000000-0005-0000-0000-00009E090000}"/>
    <cellStyle name="20% - Accent4 3 2 2 2 2 2" xfId="6747" xr:uid="{00000000-0005-0000-0000-00009F090000}"/>
    <cellStyle name="20% - Accent4 3 2 2 2 2 2 2" xfId="16071" xr:uid="{00000000-0005-0000-0000-0000A0090000}"/>
    <cellStyle name="20% - Accent4 3 2 2 2 2 2 3" xfId="25394" xr:uid="{00000000-0005-0000-0000-0000A1090000}"/>
    <cellStyle name="20% - Accent4 3 2 2 2 2 3" xfId="10671" xr:uid="{00000000-0005-0000-0000-0000A2090000}"/>
    <cellStyle name="20% - Accent4 3 2 2 2 2 4" xfId="19995" xr:uid="{00000000-0005-0000-0000-0000A3090000}"/>
    <cellStyle name="20% - Accent4 3 2 2 2 3" xfId="7071" xr:uid="{00000000-0005-0000-0000-0000A4090000}"/>
    <cellStyle name="20% - Accent4 3 2 2 2 3 2" xfId="16395" xr:uid="{00000000-0005-0000-0000-0000A5090000}"/>
    <cellStyle name="20% - Accent4 3 2 2 2 3 3" xfId="25718" xr:uid="{00000000-0005-0000-0000-0000A6090000}"/>
    <cellStyle name="20% - Accent4 3 2 2 2 4" xfId="9693" xr:uid="{00000000-0005-0000-0000-0000A7090000}"/>
    <cellStyle name="20% - Accent4 3 2 2 2 4 2" xfId="19017" xr:uid="{00000000-0005-0000-0000-0000A8090000}"/>
    <cellStyle name="20% - Accent4 3 2 2 2 4 3" xfId="28340" xr:uid="{00000000-0005-0000-0000-0000A9090000}"/>
    <cellStyle name="20% - Accent4 3 2 2 2 5" xfId="10187" xr:uid="{00000000-0005-0000-0000-0000AA090000}"/>
    <cellStyle name="20% - Accent4 3 2 2 2 6" xfId="19511" xr:uid="{00000000-0005-0000-0000-0000AB090000}"/>
    <cellStyle name="20% - Accent4 3 2 2 3" xfId="830" xr:uid="{00000000-0005-0000-0000-0000AC090000}"/>
    <cellStyle name="20% - Accent4 3 2 2 3 2" xfId="6921" xr:uid="{00000000-0005-0000-0000-0000AD090000}"/>
    <cellStyle name="20% - Accent4 3 2 2 3 2 2" xfId="16245" xr:uid="{00000000-0005-0000-0000-0000AE090000}"/>
    <cellStyle name="20% - Accent4 3 2 2 3 2 3" xfId="25568" xr:uid="{00000000-0005-0000-0000-0000AF090000}"/>
    <cellStyle name="20% - Accent4 3 2 2 3 3" xfId="10431" xr:uid="{00000000-0005-0000-0000-0000B0090000}"/>
    <cellStyle name="20% - Accent4 3 2 2 3 4" xfId="19755" xr:uid="{00000000-0005-0000-0000-0000B1090000}"/>
    <cellStyle name="20% - Accent4 3 2 2 4" xfId="1439" xr:uid="{00000000-0005-0000-0000-0000B2090000}"/>
    <cellStyle name="20% - Accent4 3 2 2 4 2" xfId="6595" xr:uid="{00000000-0005-0000-0000-0000B3090000}"/>
    <cellStyle name="20% - Accent4 3 2 2 4 2 2" xfId="15919" xr:uid="{00000000-0005-0000-0000-0000B4090000}"/>
    <cellStyle name="20% - Accent4 3 2 2 4 2 3" xfId="25242" xr:uid="{00000000-0005-0000-0000-0000B5090000}"/>
    <cellStyle name="20% - Accent4 3 2 2 4 3" xfId="11007" xr:uid="{00000000-0005-0000-0000-0000B6090000}"/>
    <cellStyle name="20% - Accent4 3 2 2 4 4" xfId="20331" xr:uid="{00000000-0005-0000-0000-0000B7090000}"/>
    <cellStyle name="20% - Accent4 3 2 2 5" xfId="3226" xr:uid="{00000000-0005-0000-0000-0000B8090000}"/>
    <cellStyle name="20% - Accent4 3 2 2 5 2" xfId="7905" xr:uid="{00000000-0005-0000-0000-0000B9090000}"/>
    <cellStyle name="20% - Accent4 3 2 2 5 2 2" xfId="17229" xr:uid="{00000000-0005-0000-0000-0000BA090000}"/>
    <cellStyle name="20% - Accent4 3 2 2 5 2 3" xfId="26552" xr:uid="{00000000-0005-0000-0000-0000BB090000}"/>
    <cellStyle name="20% - Accent4 3 2 2 5 3" xfId="12612" xr:uid="{00000000-0005-0000-0000-0000BC090000}"/>
    <cellStyle name="20% - Accent4 3 2 2 5 4" xfId="21938" xr:uid="{00000000-0005-0000-0000-0000BD090000}"/>
    <cellStyle name="20% - Accent4 3 2 2 6" xfId="4892" xr:uid="{00000000-0005-0000-0000-0000BE090000}"/>
    <cellStyle name="20% - Accent4 3 2 2 6 2" xfId="14216" xr:uid="{00000000-0005-0000-0000-0000BF090000}"/>
    <cellStyle name="20% - Accent4 3 2 2 6 3" xfId="23539" xr:uid="{00000000-0005-0000-0000-0000C0090000}"/>
    <cellStyle name="20% - Accent4 3 2 2 7" xfId="7204" xr:uid="{00000000-0005-0000-0000-0000C1090000}"/>
    <cellStyle name="20% - Accent4 3 2 2 7 2" xfId="16528" xr:uid="{00000000-0005-0000-0000-0000C2090000}"/>
    <cellStyle name="20% - Accent4 3 2 2 7 3" xfId="25851" xr:uid="{00000000-0005-0000-0000-0000C3090000}"/>
    <cellStyle name="20% - Accent4 3 2 2 8" xfId="9453" xr:uid="{00000000-0005-0000-0000-0000C4090000}"/>
    <cellStyle name="20% - Accent4 3 2 2 8 2" xfId="18777" xr:uid="{00000000-0005-0000-0000-0000C5090000}"/>
    <cellStyle name="20% - Accent4 3 2 2 8 3" xfId="28100" xr:uid="{00000000-0005-0000-0000-0000C6090000}"/>
    <cellStyle name="20% - Accent4 3 2 2 9" xfId="9947" xr:uid="{00000000-0005-0000-0000-0000C7090000}"/>
    <cellStyle name="20% - Accent4 3 2 3" xfId="460" xr:uid="{00000000-0005-0000-0000-0000C8090000}"/>
    <cellStyle name="20% - Accent4 3 2 3 2" xfId="948" xr:uid="{00000000-0005-0000-0000-0000C9090000}"/>
    <cellStyle name="20% - Accent4 3 2 3 2 2" xfId="6823" xr:uid="{00000000-0005-0000-0000-0000CA090000}"/>
    <cellStyle name="20% - Accent4 3 2 3 2 2 2" xfId="16147" xr:uid="{00000000-0005-0000-0000-0000CB090000}"/>
    <cellStyle name="20% - Accent4 3 2 3 2 2 3" xfId="25470" xr:uid="{00000000-0005-0000-0000-0000CC090000}"/>
    <cellStyle name="20% - Accent4 3 2 3 2 3" xfId="10549" xr:uid="{00000000-0005-0000-0000-0000CD090000}"/>
    <cellStyle name="20% - Accent4 3 2 3 2 4" xfId="19873" xr:uid="{00000000-0005-0000-0000-0000CE090000}"/>
    <cellStyle name="20% - Accent4 3 2 3 3" xfId="7353" xr:uid="{00000000-0005-0000-0000-0000CF090000}"/>
    <cellStyle name="20% - Accent4 3 2 3 3 2" xfId="16677" xr:uid="{00000000-0005-0000-0000-0000D0090000}"/>
    <cellStyle name="20% - Accent4 3 2 3 3 3" xfId="26000" xr:uid="{00000000-0005-0000-0000-0000D1090000}"/>
    <cellStyle name="20% - Accent4 3 2 3 4" xfId="9571" xr:uid="{00000000-0005-0000-0000-0000D2090000}"/>
    <cellStyle name="20% - Accent4 3 2 3 4 2" xfId="18895" xr:uid="{00000000-0005-0000-0000-0000D3090000}"/>
    <cellStyle name="20% - Accent4 3 2 3 4 3" xfId="28218" xr:uid="{00000000-0005-0000-0000-0000D4090000}"/>
    <cellStyle name="20% - Accent4 3 2 3 5" xfId="10065" xr:uid="{00000000-0005-0000-0000-0000D5090000}"/>
    <cellStyle name="20% - Accent4 3 2 3 6" xfId="19389" xr:uid="{00000000-0005-0000-0000-0000D6090000}"/>
    <cellStyle name="20% - Accent4 3 2 4" xfId="708" xr:uid="{00000000-0005-0000-0000-0000D7090000}"/>
    <cellStyle name="20% - Accent4 3 2 4 2" xfId="7006" xr:uid="{00000000-0005-0000-0000-0000D8090000}"/>
    <cellStyle name="20% - Accent4 3 2 4 2 2" xfId="16330" xr:uid="{00000000-0005-0000-0000-0000D9090000}"/>
    <cellStyle name="20% - Accent4 3 2 4 2 3" xfId="25653" xr:uid="{00000000-0005-0000-0000-0000DA090000}"/>
    <cellStyle name="20% - Accent4 3 2 4 3" xfId="10309" xr:uid="{00000000-0005-0000-0000-0000DB090000}"/>
    <cellStyle name="20% - Accent4 3 2 4 4" xfId="19633" xr:uid="{00000000-0005-0000-0000-0000DC090000}"/>
    <cellStyle name="20% - Accent4 3 2 5" xfId="1438" xr:uid="{00000000-0005-0000-0000-0000DD090000}"/>
    <cellStyle name="20% - Accent4 3 2 5 2" xfId="6596" xr:uid="{00000000-0005-0000-0000-0000DE090000}"/>
    <cellStyle name="20% - Accent4 3 2 5 2 2" xfId="15920" xr:uid="{00000000-0005-0000-0000-0000DF090000}"/>
    <cellStyle name="20% - Accent4 3 2 5 2 3" xfId="25243" xr:uid="{00000000-0005-0000-0000-0000E0090000}"/>
    <cellStyle name="20% - Accent4 3 2 5 3" xfId="11006" xr:uid="{00000000-0005-0000-0000-0000E1090000}"/>
    <cellStyle name="20% - Accent4 3 2 5 4" xfId="20330" xr:uid="{00000000-0005-0000-0000-0000E2090000}"/>
    <cellStyle name="20% - Accent4 3 2 6" xfId="3225" xr:uid="{00000000-0005-0000-0000-0000E3090000}"/>
    <cellStyle name="20% - Accent4 3 2 6 2" xfId="7904" xr:uid="{00000000-0005-0000-0000-0000E4090000}"/>
    <cellStyle name="20% - Accent4 3 2 6 2 2" xfId="17228" xr:uid="{00000000-0005-0000-0000-0000E5090000}"/>
    <cellStyle name="20% - Accent4 3 2 6 2 3" xfId="26551" xr:uid="{00000000-0005-0000-0000-0000E6090000}"/>
    <cellStyle name="20% - Accent4 3 2 6 3" xfId="12611" xr:uid="{00000000-0005-0000-0000-0000E7090000}"/>
    <cellStyle name="20% - Accent4 3 2 6 4" xfId="21937" xr:uid="{00000000-0005-0000-0000-0000E8090000}"/>
    <cellStyle name="20% - Accent4 3 2 7" xfId="4891" xr:uid="{00000000-0005-0000-0000-0000E9090000}"/>
    <cellStyle name="20% - Accent4 3 2 7 2" xfId="14215" xr:uid="{00000000-0005-0000-0000-0000EA090000}"/>
    <cellStyle name="20% - Accent4 3 2 7 3" xfId="23538" xr:uid="{00000000-0005-0000-0000-0000EB090000}"/>
    <cellStyle name="20% - Accent4 3 2 8" xfId="7271" xr:uid="{00000000-0005-0000-0000-0000EC090000}"/>
    <cellStyle name="20% - Accent4 3 2 8 2" xfId="16595" xr:uid="{00000000-0005-0000-0000-0000ED090000}"/>
    <cellStyle name="20% - Accent4 3 2 8 3" xfId="25918" xr:uid="{00000000-0005-0000-0000-0000EE090000}"/>
    <cellStyle name="20% - Accent4 3 2 9" xfId="9330" xr:uid="{00000000-0005-0000-0000-0000EF090000}"/>
    <cellStyle name="20% - Accent4 3 2 9 2" xfId="18654" xr:uid="{00000000-0005-0000-0000-0000F0090000}"/>
    <cellStyle name="20% - Accent4 3 2 9 3" xfId="27977" xr:uid="{00000000-0005-0000-0000-0000F1090000}"/>
    <cellStyle name="20% - Accent4 3 3" xfId="288" xr:uid="{00000000-0005-0000-0000-0000F2090000}"/>
    <cellStyle name="20% - Accent4 3 3 10" xfId="19222" xr:uid="{00000000-0005-0000-0000-0000F3090000}"/>
    <cellStyle name="20% - Accent4 3 3 2" xfId="534" xr:uid="{00000000-0005-0000-0000-0000F4090000}"/>
    <cellStyle name="20% - Accent4 3 3 2 2" xfId="1022" xr:uid="{00000000-0005-0000-0000-0000F5090000}"/>
    <cellStyle name="20% - Accent4 3 3 2 2 2" xfId="6781" xr:uid="{00000000-0005-0000-0000-0000F6090000}"/>
    <cellStyle name="20% - Accent4 3 3 2 2 2 2" xfId="16105" xr:uid="{00000000-0005-0000-0000-0000F7090000}"/>
    <cellStyle name="20% - Accent4 3 3 2 2 2 3" xfId="25428" xr:uid="{00000000-0005-0000-0000-0000F8090000}"/>
    <cellStyle name="20% - Accent4 3 3 2 2 3" xfId="10623" xr:uid="{00000000-0005-0000-0000-0000F9090000}"/>
    <cellStyle name="20% - Accent4 3 3 2 2 4" xfId="19947" xr:uid="{00000000-0005-0000-0000-0000FA090000}"/>
    <cellStyle name="20% - Accent4 3 3 2 3" xfId="7102" xr:uid="{00000000-0005-0000-0000-0000FB090000}"/>
    <cellStyle name="20% - Accent4 3 3 2 3 2" xfId="16426" xr:uid="{00000000-0005-0000-0000-0000FC090000}"/>
    <cellStyle name="20% - Accent4 3 3 2 3 3" xfId="25749" xr:uid="{00000000-0005-0000-0000-0000FD090000}"/>
    <cellStyle name="20% - Accent4 3 3 2 4" xfId="9645" xr:uid="{00000000-0005-0000-0000-0000FE090000}"/>
    <cellStyle name="20% - Accent4 3 3 2 4 2" xfId="18969" xr:uid="{00000000-0005-0000-0000-0000FF090000}"/>
    <cellStyle name="20% - Accent4 3 3 2 4 3" xfId="28292" xr:uid="{00000000-0005-0000-0000-0000000A0000}"/>
    <cellStyle name="20% - Accent4 3 3 2 5" xfId="10139" xr:uid="{00000000-0005-0000-0000-0000010A0000}"/>
    <cellStyle name="20% - Accent4 3 3 2 6" xfId="19463" xr:uid="{00000000-0005-0000-0000-0000020A0000}"/>
    <cellStyle name="20% - Accent4 3 3 3" xfId="782" xr:uid="{00000000-0005-0000-0000-0000030A0000}"/>
    <cellStyle name="20% - Accent4 3 3 3 2" xfId="6955" xr:uid="{00000000-0005-0000-0000-0000040A0000}"/>
    <cellStyle name="20% - Accent4 3 3 3 2 2" xfId="16279" xr:uid="{00000000-0005-0000-0000-0000050A0000}"/>
    <cellStyle name="20% - Accent4 3 3 3 2 3" xfId="25602" xr:uid="{00000000-0005-0000-0000-0000060A0000}"/>
    <cellStyle name="20% - Accent4 3 3 3 3" xfId="10383" xr:uid="{00000000-0005-0000-0000-0000070A0000}"/>
    <cellStyle name="20% - Accent4 3 3 3 4" xfId="19707" xr:uid="{00000000-0005-0000-0000-0000080A0000}"/>
    <cellStyle name="20% - Accent4 3 3 4" xfId="1440" xr:uid="{00000000-0005-0000-0000-0000090A0000}"/>
    <cellStyle name="20% - Accent4 3 3 4 2" xfId="6594" xr:uid="{00000000-0005-0000-0000-00000A0A0000}"/>
    <cellStyle name="20% - Accent4 3 3 4 2 2" xfId="15918" xr:uid="{00000000-0005-0000-0000-00000B0A0000}"/>
    <cellStyle name="20% - Accent4 3 3 4 2 3" xfId="25241" xr:uid="{00000000-0005-0000-0000-00000C0A0000}"/>
    <cellStyle name="20% - Accent4 3 3 4 3" xfId="11008" xr:uid="{00000000-0005-0000-0000-00000D0A0000}"/>
    <cellStyle name="20% - Accent4 3 3 4 4" xfId="20332" xr:uid="{00000000-0005-0000-0000-00000E0A0000}"/>
    <cellStyle name="20% - Accent4 3 3 5" xfId="3227" xr:uid="{00000000-0005-0000-0000-00000F0A0000}"/>
    <cellStyle name="20% - Accent4 3 3 5 2" xfId="7906" xr:uid="{00000000-0005-0000-0000-0000100A0000}"/>
    <cellStyle name="20% - Accent4 3 3 5 2 2" xfId="17230" xr:uid="{00000000-0005-0000-0000-0000110A0000}"/>
    <cellStyle name="20% - Accent4 3 3 5 2 3" xfId="26553" xr:uid="{00000000-0005-0000-0000-0000120A0000}"/>
    <cellStyle name="20% - Accent4 3 3 5 3" xfId="12613" xr:uid="{00000000-0005-0000-0000-0000130A0000}"/>
    <cellStyle name="20% - Accent4 3 3 5 4" xfId="21939" xr:uid="{00000000-0005-0000-0000-0000140A0000}"/>
    <cellStyle name="20% - Accent4 3 3 6" xfId="4893" xr:uid="{00000000-0005-0000-0000-0000150A0000}"/>
    <cellStyle name="20% - Accent4 3 3 6 2" xfId="14217" xr:uid="{00000000-0005-0000-0000-0000160A0000}"/>
    <cellStyle name="20% - Accent4 3 3 6 3" xfId="23540" xr:uid="{00000000-0005-0000-0000-0000170A0000}"/>
    <cellStyle name="20% - Accent4 3 3 7" xfId="7234" xr:uid="{00000000-0005-0000-0000-0000180A0000}"/>
    <cellStyle name="20% - Accent4 3 3 7 2" xfId="16558" xr:uid="{00000000-0005-0000-0000-0000190A0000}"/>
    <cellStyle name="20% - Accent4 3 3 7 3" xfId="25881" xr:uid="{00000000-0005-0000-0000-00001A0A0000}"/>
    <cellStyle name="20% - Accent4 3 3 8" xfId="9404" xr:uid="{00000000-0005-0000-0000-00001B0A0000}"/>
    <cellStyle name="20% - Accent4 3 3 8 2" xfId="18728" xr:uid="{00000000-0005-0000-0000-00001C0A0000}"/>
    <cellStyle name="20% - Accent4 3 3 8 3" xfId="28051" xr:uid="{00000000-0005-0000-0000-00001D0A0000}"/>
    <cellStyle name="20% - Accent4 3 3 9" xfId="9898" xr:uid="{00000000-0005-0000-0000-00001E0A0000}"/>
    <cellStyle name="20% - Accent4 3 4" xfId="401" xr:uid="{00000000-0005-0000-0000-00001F0A0000}"/>
    <cellStyle name="20% - Accent4 3 4 2" xfId="889" xr:uid="{00000000-0005-0000-0000-0000200A0000}"/>
    <cellStyle name="20% - Accent4 3 4 2 2" xfId="6875" xr:uid="{00000000-0005-0000-0000-0000210A0000}"/>
    <cellStyle name="20% - Accent4 3 4 2 2 2" xfId="16199" xr:uid="{00000000-0005-0000-0000-0000220A0000}"/>
    <cellStyle name="20% - Accent4 3 4 2 2 3" xfId="25522" xr:uid="{00000000-0005-0000-0000-0000230A0000}"/>
    <cellStyle name="20% - Accent4 3 4 2 3" xfId="10490" xr:uid="{00000000-0005-0000-0000-0000240A0000}"/>
    <cellStyle name="20% - Accent4 3 4 2 4" xfId="19814" xr:uid="{00000000-0005-0000-0000-0000250A0000}"/>
    <cellStyle name="20% - Accent4 3 4 3" xfId="1441" xr:uid="{00000000-0005-0000-0000-0000260A0000}"/>
    <cellStyle name="20% - Accent4 3 4 3 2" xfId="6593" xr:uid="{00000000-0005-0000-0000-0000270A0000}"/>
    <cellStyle name="20% - Accent4 3 4 3 2 2" xfId="15917" xr:uid="{00000000-0005-0000-0000-0000280A0000}"/>
    <cellStyle name="20% - Accent4 3 4 3 2 3" xfId="25240" xr:uid="{00000000-0005-0000-0000-0000290A0000}"/>
    <cellStyle name="20% - Accent4 3 4 3 3" xfId="11009" xr:uid="{00000000-0005-0000-0000-00002A0A0000}"/>
    <cellStyle name="20% - Accent4 3 4 3 4" xfId="20333" xr:uid="{00000000-0005-0000-0000-00002B0A0000}"/>
    <cellStyle name="20% - Accent4 3 4 4" xfId="3228" xr:uid="{00000000-0005-0000-0000-00002C0A0000}"/>
    <cellStyle name="20% - Accent4 3 4 4 2" xfId="7907" xr:uid="{00000000-0005-0000-0000-00002D0A0000}"/>
    <cellStyle name="20% - Accent4 3 4 4 2 2" xfId="17231" xr:uid="{00000000-0005-0000-0000-00002E0A0000}"/>
    <cellStyle name="20% - Accent4 3 4 4 2 3" xfId="26554" xr:uid="{00000000-0005-0000-0000-00002F0A0000}"/>
    <cellStyle name="20% - Accent4 3 4 4 3" xfId="12614" xr:uid="{00000000-0005-0000-0000-0000300A0000}"/>
    <cellStyle name="20% - Accent4 3 4 4 4" xfId="21940" xr:uid="{00000000-0005-0000-0000-0000310A0000}"/>
    <cellStyle name="20% - Accent4 3 4 5" xfId="4894" xr:uid="{00000000-0005-0000-0000-0000320A0000}"/>
    <cellStyle name="20% - Accent4 3 4 5 2" xfId="14218" xr:uid="{00000000-0005-0000-0000-0000330A0000}"/>
    <cellStyle name="20% - Accent4 3 4 5 3" xfId="23541" xr:uid="{00000000-0005-0000-0000-0000340A0000}"/>
    <cellStyle name="20% - Accent4 3 4 6" xfId="5216" xr:uid="{00000000-0005-0000-0000-0000350A0000}"/>
    <cellStyle name="20% - Accent4 3 4 6 2" xfId="14540" xr:uid="{00000000-0005-0000-0000-0000360A0000}"/>
    <cellStyle name="20% - Accent4 3 4 6 3" xfId="23863" xr:uid="{00000000-0005-0000-0000-0000370A0000}"/>
    <cellStyle name="20% - Accent4 3 4 7" xfId="9512" xr:uid="{00000000-0005-0000-0000-0000380A0000}"/>
    <cellStyle name="20% - Accent4 3 4 7 2" xfId="18836" xr:uid="{00000000-0005-0000-0000-0000390A0000}"/>
    <cellStyle name="20% - Accent4 3 4 7 3" xfId="28159" xr:uid="{00000000-0005-0000-0000-00003A0A0000}"/>
    <cellStyle name="20% - Accent4 3 4 8" xfId="10006" xr:uid="{00000000-0005-0000-0000-00003B0A0000}"/>
    <cellStyle name="20% - Accent4 3 4 9" xfId="19330" xr:uid="{00000000-0005-0000-0000-00003C0A0000}"/>
    <cellStyle name="20% - Accent4 3 5" xfId="649" xr:uid="{00000000-0005-0000-0000-00003D0A0000}"/>
    <cellStyle name="20% - Accent4 3 5 2" xfId="1442" xr:uid="{00000000-0005-0000-0000-00003E0A0000}"/>
    <cellStyle name="20% - Accent4 3 5 2 2" xfId="6592" xr:uid="{00000000-0005-0000-0000-00003F0A0000}"/>
    <cellStyle name="20% - Accent4 3 5 2 2 2" xfId="15916" xr:uid="{00000000-0005-0000-0000-0000400A0000}"/>
    <cellStyle name="20% - Accent4 3 5 2 2 3" xfId="25239" xr:uid="{00000000-0005-0000-0000-0000410A0000}"/>
    <cellStyle name="20% - Accent4 3 5 2 3" xfId="11010" xr:uid="{00000000-0005-0000-0000-0000420A0000}"/>
    <cellStyle name="20% - Accent4 3 5 2 4" xfId="20334" xr:uid="{00000000-0005-0000-0000-0000430A0000}"/>
    <cellStyle name="20% - Accent4 3 5 3" xfId="3229" xr:uid="{00000000-0005-0000-0000-0000440A0000}"/>
    <cellStyle name="20% - Accent4 3 5 3 2" xfId="7908" xr:uid="{00000000-0005-0000-0000-0000450A0000}"/>
    <cellStyle name="20% - Accent4 3 5 3 2 2" xfId="17232" xr:uid="{00000000-0005-0000-0000-0000460A0000}"/>
    <cellStyle name="20% - Accent4 3 5 3 2 3" xfId="26555" xr:uid="{00000000-0005-0000-0000-0000470A0000}"/>
    <cellStyle name="20% - Accent4 3 5 3 3" xfId="12615" xr:uid="{00000000-0005-0000-0000-0000480A0000}"/>
    <cellStyle name="20% - Accent4 3 5 3 4" xfId="21941" xr:uid="{00000000-0005-0000-0000-0000490A0000}"/>
    <cellStyle name="20% - Accent4 3 5 4" xfId="4895" xr:uid="{00000000-0005-0000-0000-00004A0A0000}"/>
    <cellStyle name="20% - Accent4 3 5 4 2" xfId="14219" xr:uid="{00000000-0005-0000-0000-00004B0A0000}"/>
    <cellStyle name="20% - Accent4 3 5 4 3" xfId="23542" xr:uid="{00000000-0005-0000-0000-00004C0A0000}"/>
    <cellStyle name="20% - Accent4 3 5 5" xfId="5286" xr:uid="{00000000-0005-0000-0000-00004D0A0000}"/>
    <cellStyle name="20% - Accent4 3 5 5 2" xfId="14610" xr:uid="{00000000-0005-0000-0000-00004E0A0000}"/>
    <cellStyle name="20% - Accent4 3 5 5 3" xfId="23933" xr:uid="{00000000-0005-0000-0000-00004F0A0000}"/>
    <cellStyle name="20% - Accent4 3 5 6" xfId="10250" xr:uid="{00000000-0005-0000-0000-0000500A0000}"/>
    <cellStyle name="20% - Accent4 3 5 7" xfId="19574" xr:uid="{00000000-0005-0000-0000-0000510A0000}"/>
    <cellStyle name="20% - Accent4 3 6" xfId="1437" xr:uid="{00000000-0005-0000-0000-0000520A0000}"/>
    <cellStyle name="20% - Accent4 3 6 2" xfId="6597" xr:uid="{00000000-0005-0000-0000-0000530A0000}"/>
    <cellStyle name="20% - Accent4 3 6 2 2" xfId="15921" xr:uid="{00000000-0005-0000-0000-0000540A0000}"/>
    <cellStyle name="20% - Accent4 3 6 2 3" xfId="25244" xr:uid="{00000000-0005-0000-0000-0000550A0000}"/>
    <cellStyle name="20% - Accent4 3 6 3" xfId="11005" xr:uid="{00000000-0005-0000-0000-0000560A0000}"/>
    <cellStyle name="20% - Accent4 3 6 4" xfId="20329" xr:uid="{00000000-0005-0000-0000-0000570A0000}"/>
    <cellStyle name="20% - Accent4 3 7" xfId="3224" xr:uid="{00000000-0005-0000-0000-0000580A0000}"/>
    <cellStyle name="20% - Accent4 3 7 2" xfId="7903" xr:uid="{00000000-0005-0000-0000-0000590A0000}"/>
    <cellStyle name="20% - Accent4 3 7 2 2" xfId="17227" xr:uid="{00000000-0005-0000-0000-00005A0A0000}"/>
    <cellStyle name="20% - Accent4 3 7 2 3" xfId="26550" xr:uid="{00000000-0005-0000-0000-00005B0A0000}"/>
    <cellStyle name="20% - Accent4 3 7 3" xfId="12610" xr:uid="{00000000-0005-0000-0000-00005C0A0000}"/>
    <cellStyle name="20% - Accent4 3 7 4" xfId="21936" xr:uid="{00000000-0005-0000-0000-00005D0A0000}"/>
    <cellStyle name="20% - Accent4 3 8" xfId="4890" xr:uid="{00000000-0005-0000-0000-00005E0A0000}"/>
    <cellStyle name="20% - Accent4 3 8 2" xfId="14214" xr:uid="{00000000-0005-0000-0000-00005F0A0000}"/>
    <cellStyle name="20% - Accent4 3 8 3" xfId="23537" xr:uid="{00000000-0005-0000-0000-0000600A0000}"/>
    <cellStyle name="20% - Accent4 3 9" xfId="6329" xr:uid="{00000000-0005-0000-0000-0000610A0000}"/>
    <cellStyle name="20% - Accent4 3 9 2" xfId="15653" xr:uid="{00000000-0005-0000-0000-0000620A0000}"/>
    <cellStyle name="20% - Accent4 3 9 3" xfId="24976" xr:uid="{00000000-0005-0000-0000-0000630A0000}"/>
    <cellStyle name="20% - Accent4 4" xfId="188" xr:uid="{00000000-0005-0000-0000-0000640A0000}"/>
    <cellStyle name="20% - Accent4 4 10" xfId="19134" xr:uid="{00000000-0005-0000-0000-0000650A0000}"/>
    <cellStyle name="20% - Accent4 4 11" xfId="28922" xr:uid="{00000000-0005-0000-0000-0000660A0000}"/>
    <cellStyle name="20% - Accent4 4 2" xfId="328" xr:uid="{00000000-0005-0000-0000-0000670A0000}"/>
    <cellStyle name="20% - Accent4 4 2 2" xfId="568" xr:uid="{00000000-0005-0000-0000-0000680A0000}"/>
    <cellStyle name="20% - Accent4 4 2 2 2" xfId="1056" xr:uid="{00000000-0005-0000-0000-0000690A0000}"/>
    <cellStyle name="20% - Accent4 4 2 2 2 2" xfId="6755" xr:uid="{00000000-0005-0000-0000-00006A0A0000}"/>
    <cellStyle name="20% - Accent4 4 2 2 2 2 2" xfId="16079" xr:uid="{00000000-0005-0000-0000-00006B0A0000}"/>
    <cellStyle name="20% - Accent4 4 2 2 2 2 3" xfId="25402" xr:uid="{00000000-0005-0000-0000-00006C0A0000}"/>
    <cellStyle name="20% - Accent4 4 2 2 2 3" xfId="10657" xr:uid="{00000000-0005-0000-0000-00006D0A0000}"/>
    <cellStyle name="20% - Accent4 4 2 2 2 4" xfId="19981" xr:uid="{00000000-0005-0000-0000-00006E0A0000}"/>
    <cellStyle name="20% - Accent4 4 2 2 3" xfId="1445" xr:uid="{00000000-0005-0000-0000-00006F0A0000}"/>
    <cellStyle name="20% - Accent4 4 2 2 3 2" xfId="6589" xr:uid="{00000000-0005-0000-0000-0000700A0000}"/>
    <cellStyle name="20% - Accent4 4 2 2 3 2 2" xfId="15913" xr:uid="{00000000-0005-0000-0000-0000710A0000}"/>
    <cellStyle name="20% - Accent4 4 2 2 3 2 3" xfId="25236" xr:uid="{00000000-0005-0000-0000-0000720A0000}"/>
    <cellStyle name="20% - Accent4 4 2 2 3 3" xfId="11013" xr:uid="{00000000-0005-0000-0000-0000730A0000}"/>
    <cellStyle name="20% - Accent4 4 2 2 3 4" xfId="20337" xr:uid="{00000000-0005-0000-0000-0000740A0000}"/>
    <cellStyle name="20% - Accent4 4 2 2 4" xfId="3232" xr:uid="{00000000-0005-0000-0000-0000750A0000}"/>
    <cellStyle name="20% - Accent4 4 2 2 4 2" xfId="7911" xr:uid="{00000000-0005-0000-0000-0000760A0000}"/>
    <cellStyle name="20% - Accent4 4 2 2 4 2 2" xfId="17235" xr:uid="{00000000-0005-0000-0000-0000770A0000}"/>
    <cellStyle name="20% - Accent4 4 2 2 4 2 3" xfId="26558" xr:uid="{00000000-0005-0000-0000-0000780A0000}"/>
    <cellStyle name="20% - Accent4 4 2 2 4 3" xfId="12618" xr:uid="{00000000-0005-0000-0000-0000790A0000}"/>
    <cellStyle name="20% - Accent4 4 2 2 4 4" xfId="21944" xr:uid="{00000000-0005-0000-0000-00007A0A0000}"/>
    <cellStyle name="20% - Accent4 4 2 2 5" xfId="4898" xr:uid="{00000000-0005-0000-0000-00007B0A0000}"/>
    <cellStyle name="20% - Accent4 4 2 2 5 2" xfId="14222" xr:uid="{00000000-0005-0000-0000-00007C0A0000}"/>
    <cellStyle name="20% - Accent4 4 2 2 5 3" xfId="23545" xr:uid="{00000000-0005-0000-0000-00007D0A0000}"/>
    <cellStyle name="20% - Accent4 4 2 2 6" xfId="9679" xr:uid="{00000000-0005-0000-0000-00007E0A0000}"/>
    <cellStyle name="20% - Accent4 4 2 2 6 2" xfId="19003" xr:uid="{00000000-0005-0000-0000-00007F0A0000}"/>
    <cellStyle name="20% - Accent4 4 2 2 6 3" xfId="28326" xr:uid="{00000000-0005-0000-0000-0000800A0000}"/>
    <cellStyle name="20% - Accent4 4 2 2 7" xfId="10173" xr:uid="{00000000-0005-0000-0000-0000810A0000}"/>
    <cellStyle name="20% - Accent4 4 2 2 8" xfId="19497" xr:uid="{00000000-0005-0000-0000-0000820A0000}"/>
    <cellStyle name="20% - Accent4 4 2 3" xfId="816" xr:uid="{00000000-0005-0000-0000-0000830A0000}"/>
    <cellStyle name="20% - Accent4 4 2 3 2" xfId="6930" xr:uid="{00000000-0005-0000-0000-0000840A0000}"/>
    <cellStyle name="20% - Accent4 4 2 3 2 2" xfId="16254" xr:uid="{00000000-0005-0000-0000-0000850A0000}"/>
    <cellStyle name="20% - Accent4 4 2 3 2 3" xfId="25577" xr:uid="{00000000-0005-0000-0000-0000860A0000}"/>
    <cellStyle name="20% - Accent4 4 2 3 3" xfId="10417" xr:uid="{00000000-0005-0000-0000-0000870A0000}"/>
    <cellStyle name="20% - Accent4 4 2 3 4" xfId="19741" xr:uid="{00000000-0005-0000-0000-0000880A0000}"/>
    <cellStyle name="20% - Accent4 4 2 4" xfId="1444" xr:uid="{00000000-0005-0000-0000-0000890A0000}"/>
    <cellStyle name="20% - Accent4 4 2 4 2" xfId="6590" xr:uid="{00000000-0005-0000-0000-00008A0A0000}"/>
    <cellStyle name="20% - Accent4 4 2 4 2 2" xfId="15914" xr:uid="{00000000-0005-0000-0000-00008B0A0000}"/>
    <cellStyle name="20% - Accent4 4 2 4 2 3" xfId="25237" xr:uid="{00000000-0005-0000-0000-00008C0A0000}"/>
    <cellStyle name="20% - Accent4 4 2 4 3" xfId="11012" xr:uid="{00000000-0005-0000-0000-00008D0A0000}"/>
    <cellStyle name="20% - Accent4 4 2 4 4" xfId="20336" xr:uid="{00000000-0005-0000-0000-00008E0A0000}"/>
    <cellStyle name="20% - Accent4 4 2 5" xfId="3231" xr:uid="{00000000-0005-0000-0000-00008F0A0000}"/>
    <cellStyle name="20% - Accent4 4 2 5 2" xfId="7910" xr:uid="{00000000-0005-0000-0000-0000900A0000}"/>
    <cellStyle name="20% - Accent4 4 2 5 2 2" xfId="17234" xr:uid="{00000000-0005-0000-0000-0000910A0000}"/>
    <cellStyle name="20% - Accent4 4 2 5 2 3" xfId="26557" xr:uid="{00000000-0005-0000-0000-0000920A0000}"/>
    <cellStyle name="20% - Accent4 4 2 5 3" xfId="12617" xr:uid="{00000000-0005-0000-0000-0000930A0000}"/>
    <cellStyle name="20% - Accent4 4 2 5 4" xfId="21943" xr:uid="{00000000-0005-0000-0000-0000940A0000}"/>
    <cellStyle name="20% - Accent4 4 2 6" xfId="4897" xr:uid="{00000000-0005-0000-0000-0000950A0000}"/>
    <cellStyle name="20% - Accent4 4 2 6 2" xfId="14221" xr:uid="{00000000-0005-0000-0000-0000960A0000}"/>
    <cellStyle name="20% - Accent4 4 2 6 3" xfId="23544" xr:uid="{00000000-0005-0000-0000-0000970A0000}"/>
    <cellStyle name="20% - Accent4 4 2 7" xfId="9439" xr:uid="{00000000-0005-0000-0000-0000980A0000}"/>
    <cellStyle name="20% - Accent4 4 2 7 2" xfId="18763" xr:uid="{00000000-0005-0000-0000-0000990A0000}"/>
    <cellStyle name="20% - Accent4 4 2 7 3" xfId="28086" xr:uid="{00000000-0005-0000-0000-00009A0A0000}"/>
    <cellStyle name="20% - Accent4 4 2 8" xfId="9933" xr:uid="{00000000-0005-0000-0000-00009B0A0000}"/>
    <cellStyle name="20% - Accent4 4 2 9" xfId="19257" xr:uid="{00000000-0005-0000-0000-00009C0A0000}"/>
    <cellStyle name="20% - Accent4 4 3" xfId="446" xr:uid="{00000000-0005-0000-0000-00009D0A0000}"/>
    <cellStyle name="20% - Accent4 4 3 2" xfId="934" xr:uid="{00000000-0005-0000-0000-00009E0A0000}"/>
    <cellStyle name="20% - Accent4 4 3 2 2" xfId="6836" xr:uid="{00000000-0005-0000-0000-00009F0A0000}"/>
    <cellStyle name="20% - Accent4 4 3 2 2 2" xfId="16160" xr:uid="{00000000-0005-0000-0000-0000A00A0000}"/>
    <cellStyle name="20% - Accent4 4 3 2 2 3" xfId="25483" xr:uid="{00000000-0005-0000-0000-0000A10A0000}"/>
    <cellStyle name="20% - Accent4 4 3 2 3" xfId="10535" xr:uid="{00000000-0005-0000-0000-0000A20A0000}"/>
    <cellStyle name="20% - Accent4 4 3 2 4" xfId="19859" xr:uid="{00000000-0005-0000-0000-0000A30A0000}"/>
    <cellStyle name="20% - Accent4 4 3 3" xfId="1446" xr:uid="{00000000-0005-0000-0000-0000A40A0000}"/>
    <cellStyle name="20% - Accent4 4 3 3 2" xfId="6588" xr:uid="{00000000-0005-0000-0000-0000A50A0000}"/>
    <cellStyle name="20% - Accent4 4 3 3 2 2" xfId="15912" xr:uid="{00000000-0005-0000-0000-0000A60A0000}"/>
    <cellStyle name="20% - Accent4 4 3 3 2 3" xfId="25235" xr:uid="{00000000-0005-0000-0000-0000A70A0000}"/>
    <cellStyle name="20% - Accent4 4 3 3 3" xfId="11014" xr:uid="{00000000-0005-0000-0000-0000A80A0000}"/>
    <cellStyle name="20% - Accent4 4 3 3 4" xfId="20338" xr:uid="{00000000-0005-0000-0000-0000A90A0000}"/>
    <cellStyle name="20% - Accent4 4 3 4" xfId="3233" xr:uid="{00000000-0005-0000-0000-0000AA0A0000}"/>
    <cellStyle name="20% - Accent4 4 3 4 2" xfId="7912" xr:uid="{00000000-0005-0000-0000-0000AB0A0000}"/>
    <cellStyle name="20% - Accent4 4 3 4 2 2" xfId="17236" xr:uid="{00000000-0005-0000-0000-0000AC0A0000}"/>
    <cellStyle name="20% - Accent4 4 3 4 2 3" xfId="26559" xr:uid="{00000000-0005-0000-0000-0000AD0A0000}"/>
    <cellStyle name="20% - Accent4 4 3 4 3" xfId="12619" xr:uid="{00000000-0005-0000-0000-0000AE0A0000}"/>
    <cellStyle name="20% - Accent4 4 3 4 4" xfId="21945" xr:uid="{00000000-0005-0000-0000-0000AF0A0000}"/>
    <cellStyle name="20% - Accent4 4 3 5" xfId="4899" xr:uid="{00000000-0005-0000-0000-0000B00A0000}"/>
    <cellStyle name="20% - Accent4 4 3 5 2" xfId="14223" xr:uid="{00000000-0005-0000-0000-0000B10A0000}"/>
    <cellStyle name="20% - Accent4 4 3 5 3" xfId="23546" xr:uid="{00000000-0005-0000-0000-0000B20A0000}"/>
    <cellStyle name="20% - Accent4 4 3 6" xfId="9557" xr:uid="{00000000-0005-0000-0000-0000B30A0000}"/>
    <cellStyle name="20% - Accent4 4 3 6 2" xfId="18881" xr:uid="{00000000-0005-0000-0000-0000B40A0000}"/>
    <cellStyle name="20% - Accent4 4 3 6 3" xfId="28204" xr:uid="{00000000-0005-0000-0000-0000B50A0000}"/>
    <cellStyle name="20% - Accent4 4 3 7" xfId="10051" xr:uid="{00000000-0005-0000-0000-0000B60A0000}"/>
    <cellStyle name="20% - Accent4 4 3 8" xfId="19375" xr:uid="{00000000-0005-0000-0000-0000B70A0000}"/>
    <cellStyle name="20% - Accent4 4 4" xfId="694" xr:uid="{00000000-0005-0000-0000-0000B80A0000}"/>
    <cellStyle name="20% - Accent4 4 4 2" xfId="4798" xr:uid="{00000000-0005-0000-0000-0000B90A0000}"/>
    <cellStyle name="20% - Accent4 4 4 2 2" xfId="14122" xr:uid="{00000000-0005-0000-0000-0000BA0A0000}"/>
    <cellStyle name="20% - Accent4 4 4 2 3" xfId="23445" xr:uid="{00000000-0005-0000-0000-0000BB0A0000}"/>
    <cellStyle name="20% - Accent4 4 4 3" xfId="10295" xr:uid="{00000000-0005-0000-0000-0000BC0A0000}"/>
    <cellStyle name="20% - Accent4 4 4 4" xfId="19619" xr:uid="{00000000-0005-0000-0000-0000BD0A0000}"/>
    <cellStyle name="20% - Accent4 4 5" xfId="1443" xr:uid="{00000000-0005-0000-0000-0000BE0A0000}"/>
    <cellStyle name="20% - Accent4 4 5 2" xfId="6591" xr:uid="{00000000-0005-0000-0000-0000BF0A0000}"/>
    <cellStyle name="20% - Accent4 4 5 2 2" xfId="15915" xr:uid="{00000000-0005-0000-0000-0000C00A0000}"/>
    <cellStyle name="20% - Accent4 4 5 2 3" xfId="25238" xr:uid="{00000000-0005-0000-0000-0000C10A0000}"/>
    <cellStyle name="20% - Accent4 4 5 3" xfId="11011" xr:uid="{00000000-0005-0000-0000-0000C20A0000}"/>
    <cellStyle name="20% - Accent4 4 5 4" xfId="20335" xr:uid="{00000000-0005-0000-0000-0000C30A0000}"/>
    <cellStyle name="20% - Accent4 4 6" xfId="3230" xr:uid="{00000000-0005-0000-0000-0000C40A0000}"/>
    <cellStyle name="20% - Accent4 4 6 2" xfId="7909" xr:uid="{00000000-0005-0000-0000-0000C50A0000}"/>
    <cellStyle name="20% - Accent4 4 6 2 2" xfId="17233" xr:uid="{00000000-0005-0000-0000-0000C60A0000}"/>
    <cellStyle name="20% - Accent4 4 6 2 3" xfId="26556" xr:uid="{00000000-0005-0000-0000-0000C70A0000}"/>
    <cellStyle name="20% - Accent4 4 6 3" xfId="12616" xr:uid="{00000000-0005-0000-0000-0000C80A0000}"/>
    <cellStyle name="20% - Accent4 4 6 4" xfId="21942" xr:uid="{00000000-0005-0000-0000-0000C90A0000}"/>
    <cellStyle name="20% - Accent4 4 7" xfId="4896" xr:uid="{00000000-0005-0000-0000-0000CA0A0000}"/>
    <cellStyle name="20% - Accent4 4 7 2" xfId="14220" xr:uid="{00000000-0005-0000-0000-0000CB0A0000}"/>
    <cellStyle name="20% - Accent4 4 7 3" xfId="23543" xr:uid="{00000000-0005-0000-0000-0000CC0A0000}"/>
    <cellStyle name="20% - Accent4 4 8" xfId="9316" xr:uid="{00000000-0005-0000-0000-0000CD0A0000}"/>
    <cellStyle name="20% - Accent4 4 8 2" xfId="18640" xr:uid="{00000000-0005-0000-0000-0000CE0A0000}"/>
    <cellStyle name="20% - Accent4 4 8 3" xfId="27963" xr:uid="{00000000-0005-0000-0000-0000CF0A0000}"/>
    <cellStyle name="20% - Accent4 4 9" xfId="9810" xr:uid="{00000000-0005-0000-0000-0000D00A0000}"/>
    <cellStyle name="20% - Accent4 5" xfId="248" xr:uid="{00000000-0005-0000-0000-0000D10A0000}"/>
    <cellStyle name="20% - Accent4 5 2" xfId="506" xr:uid="{00000000-0005-0000-0000-0000D20A0000}"/>
    <cellStyle name="20% - Accent4 5 2 2" xfId="994" xr:uid="{00000000-0005-0000-0000-0000D30A0000}"/>
    <cellStyle name="20% - Accent4 5 2 2 2" xfId="6802" xr:uid="{00000000-0005-0000-0000-0000D40A0000}"/>
    <cellStyle name="20% - Accent4 5 2 2 2 2" xfId="16126" xr:uid="{00000000-0005-0000-0000-0000D50A0000}"/>
    <cellStyle name="20% - Accent4 5 2 2 2 3" xfId="25449" xr:uid="{00000000-0005-0000-0000-0000D60A0000}"/>
    <cellStyle name="20% - Accent4 5 2 2 3" xfId="10595" xr:uid="{00000000-0005-0000-0000-0000D70A0000}"/>
    <cellStyle name="20% - Accent4 5 2 2 4" xfId="19919" xr:uid="{00000000-0005-0000-0000-0000D80A0000}"/>
    <cellStyle name="20% - Accent4 5 2 3" xfId="1448" xr:uid="{00000000-0005-0000-0000-0000D90A0000}"/>
    <cellStyle name="20% - Accent4 5 2 3 2" xfId="6586" xr:uid="{00000000-0005-0000-0000-0000DA0A0000}"/>
    <cellStyle name="20% - Accent4 5 2 3 2 2" xfId="15910" xr:uid="{00000000-0005-0000-0000-0000DB0A0000}"/>
    <cellStyle name="20% - Accent4 5 2 3 2 3" xfId="25233" xr:uid="{00000000-0005-0000-0000-0000DC0A0000}"/>
    <cellStyle name="20% - Accent4 5 2 3 3" xfId="11016" xr:uid="{00000000-0005-0000-0000-0000DD0A0000}"/>
    <cellStyle name="20% - Accent4 5 2 3 4" xfId="20340" xr:uid="{00000000-0005-0000-0000-0000DE0A0000}"/>
    <cellStyle name="20% - Accent4 5 2 4" xfId="3235" xr:uid="{00000000-0005-0000-0000-0000DF0A0000}"/>
    <cellStyle name="20% - Accent4 5 2 4 2" xfId="7914" xr:uid="{00000000-0005-0000-0000-0000E00A0000}"/>
    <cellStyle name="20% - Accent4 5 2 4 2 2" xfId="17238" xr:uid="{00000000-0005-0000-0000-0000E10A0000}"/>
    <cellStyle name="20% - Accent4 5 2 4 2 3" xfId="26561" xr:uid="{00000000-0005-0000-0000-0000E20A0000}"/>
    <cellStyle name="20% - Accent4 5 2 4 3" xfId="12621" xr:uid="{00000000-0005-0000-0000-0000E30A0000}"/>
    <cellStyle name="20% - Accent4 5 2 4 4" xfId="21947" xr:uid="{00000000-0005-0000-0000-0000E40A0000}"/>
    <cellStyle name="20% - Accent4 5 2 5" xfId="4901" xr:uid="{00000000-0005-0000-0000-0000E50A0000}"/>
    <cellStyle name="20% - Accent4 5 2 5 2" xfId="14225" xr:uid="{00000000-0005-0000-0000-0000E60A0000}"/>
    <cellStyle name="20% - Accent4 5 2 5 3" xfId="23548" xr:uid="{00000000-0005-0000-0000-0000E70A0000}"/>
    <cellStyle name="20% - Accent4 5 2 6" xfId="9617" xr:uid="{00000000-0005-0000-0000-0000E80A0000}"/>
    <cellStyle name="20% - Accent4 5 2 6 2" xfId="18941" xr:uid="{00000000-0005-0000-0000-0000E90A0000}"/>
    <cellStyle name="20% - Accent4 5 2 6 3" xfId="28264" xr:uid="{00000000-0005-0000-0000-0000EA0A0000}"/>
    <cellStyle name="20% - Accent4 5 2 7" xfId="10111" xr:uid="{00000000-0005-0000-0000-0000EB0A0000}"/>
    <cellStyle name="20% - Accent4 5 2 8" xfId="19435" xr:uid="{00000000-0005-0000-0000-0000EC0A0000}"/>
    <cellStyle name="20% - Accent4 5 3" xfId="754" xr:uid="{00000000-0005-0000-0000-0000ED0A0000}"/>
    <cellStyle name="20% - Accent4 5 3 2" xfId="6974" xr:uid="{00000000-0005-0000-0000-0000EE0A0000}"/>
    <cellStyle name="20% - Accent4 5 3 2 2" xfId="16298" xr:uid="{00000000-0005-0000-0000-0000EF0A0000}"/>
    <cellStyle name="20% - Accent4 5 3 2 3" xfId="25621" xr:uid="{00000000-0005-0000-0000-0000F00A0000}"/>
    <cellStyle name="20% - Accent4 5 3 3" xfId="10355" xr:uid="{00000000-0005-0000-0000-0000F10A0000}"/>
    <cellStyle name="20% - Accent4 5 3 4" xfId="19679" xr:uid="{00000000-0005-0000-0000-0000F20A0000}"/>
    <cellStyle name="20% - Accent4 5 4" xfId="1447" xr:uid="{00000000-0005-0000-0000-0000F30A0000}"/>
    <cellStyle name="20% - Accent4 5 4 2" xfId="6587" xr:uid="{00000000-0005-0000-0000-0000F40A0000}"/>
    <cellStyle name="20% - Accent4 5 4 2 2" xfId="15911" xr:uid="{00000000-0005-0000-0000-0000F50A0000}"/>
    <cellStyle name="20% - Accent4 5 4 2 3" xfId="25234" xr:uid="{00000000-0005-0000-0000-0000F60A0000}"/>
    <cellStyle name="20% - Accent4 5 4 3" xfId="11015" xr:uid="{00000000-0005-0000-0000-0000F70A0000}"/>
    <cellStyle name="20% - Accent4 5 4 4" xfId="20339" xr:uid="{00000000-0005-0000-0000-0000F80A0000}"/>
    <cellStyle name="20% - Accent4 5 5" xfId="3234" xr:uid="{00000000-0005-0000-0000-0000F90A0000}"/>
    <cellStyle name="20% - Accent4 5 5 2" xfId="7913" xr:uid="{00000000-0005-0000-0000-0000FA0A0000}"/>
    <cellStyle name="20% - Accent4 5 5 2 2" xfId="17237" xr:uid="{00000000-0005-0000-0000-0000FB0A0000}"/>
    <cellStyle name="20% - Accent4 5 5 2 3" xfId="26560" xr:uid="{00000000-0005-0000-0000-0000FC0A0000}"/>
    <cellStyle name="20% - Accent4 5 5 3" xfId="12620" xr:uid="{00000000-0005-0000-0000-0000FD0A0000}"/>
    <cellStyle name="20% - Accent4 5 5 4" xfId="21946" xr:uid="{00000000-0005-0000-0000-0000FE0A0000}"/>
    <cellStyle name="20% - Accent4 5 6" xfId="4900" xr:uid="{00000000-0005-0000-0000-0000FF0A0000}"/>
    <cellStyle name="20% - Accent4 5 6 2" xfId="14224" xr:uid="{00000000-0005-0000-0000-0000000B0000}"/>
    <cellStyle name="20% - Accent4 5 6 3" xfId="23547" xr:uid="{00000000-0005-0000-0000-0000010B0000}"/>
    <cellStyle name="20% - Accent4 5 7" xfId="9376" xr:uid="{00000000-0005-0000-0000-0000020B0000}"/>
    <cellStyle name="20% - Accent4 5 7 2" xfId="18700" xr:uid="{00000000-0005-0000-0000-0000030B0000}"/>
    <cellStyle name="20% - Accent4 5 7 3" xfId="28023" xr:uid="{00000000-0005-0000-0000-0000040B0000}"/>
    <cellStyle name="20% - Accent4 5 8" xfId="9870" xr:uid="{00000000-0005-0000-0000-0000050B0000}"/>
    <cellStyle name="20% - Accent4 5 9" xfId="19194" xr:uid="{00000000-0005-0000-0000-0000060B0000}"/>
    <cellStyle name="20% - Accent4 6" xfId="387" xr:uid="{00000000-0005-0000-0000-0000070B0000}"/>
    <cellStyle name="20% - Accent4 6 2" xfId="875" xr:uid="{00000000-0005-0000-0000-0000080B0000}"/>
    <cellStyle name="20% - Accent4 6 2 2" xfId="6888" xr:uid="{00000000-0005-0000-0000-0000090B0000}"/>
    <cellStyle name="20% - Accent4 6 2 2 2" xfId="16212" xr:uid="{00000000-0005-0000-0000-00000A0B0000}"/>
    <cellStyle name="20% - Accent4 6 2 2 3" xfId="25535" xr:uid="{00000000-0005-0000-0000-00000B0B0000}"/>
    <cellStyle name="20% - Accent4 6 2 3" xfId="10476" xr:uid="{00000000-0005-0000-0000-00000C0B0000}"/>
    <cellStyle name="20% - Accent4 6 2 4" xfId="19800" xr:uid="{00000000-0005-0000-0000-00000D0B0000}"/>
    <cellStyle name="20% - Accent4 6 3" xfId="1449" xr:uid="{00000000-0005-0000-0000-00000E0B0000}"/>
    <cellStyle name="20% - Accent4 6 3 2" xfId="6585" xr:uid="{00000000-0005-0000-0000-00000F0B0000}"/>
    <cellStyle name="20% - Accent4 6 3 2 2" xfId="15909" xr:uid="{00000000-0005-0000-0000-0000100B0000}"/>
    <cellStyle name="20% - Accent4 6 3 2 3" xfId="25232" xr:uid="{00000000-0005-0000-0000-0000110B0000}"/>
    <cellStyle name="20% - Accent4 6 3 3" xfId="11017" xr:uid="{00000000-0005-0000-0000-0000120B0000}"/>
    <cellStyle name="20% - Accent4 6 3 4" xfId="20341" xr:uid="{00000000-0005-0000-0000-0000130B0000}"/>
    <cellStyle name="20% - Accent4 6 4" xfId="3236" xr:uid="{00000000-0005-0000-0000-0000140B0000}"/>
    <cellStyle name="20% - Accent4 6 4 2" xfId="7915" xr:uid="{00000000-0005-0000-0000-0000150B0000}"/>
    <cellStyle name="20% - Accent4 6 4 2 2" xfId="17239" xr:uid="{00000000-0005-0000-0000-0000160B0000}"/>
    <cellStyle name="20% - Accent4 6 4 2 3" xfId="26562" xr:uid="{00000000-0005-0000-0000-0000170B0000}"/>
    <cellStyle name="20% - Accent4 6 4 3" xfId="12622" xr:uid="{00000000-0005-0000-0000-0000180B0000}"/>
    <cellStyle name="20% - Accent4 6 4 4" xfId="21948" xr:uid="{00000000-0005-0000-0000-0000190B0000}"/>
    <cellStyle name="20% - Accent4 6 5" xfId="4902" xr:uid="{00000000-0005-0000-0000-00001A0B0000}"/>
    <cellStyle name="20% - Accent4 6 5 2" xfId="14226" xr:uid="{00000000-0005-0000-0000-00001B0B0000}"/>
    <cellStyle name="20% - Accent4 6 5 3" xfId="23549" xr:uid="{00000000-0005-0000-0000-00001C0B0000}"/>
    <cellStyle name="20% - Accent4 6 6" xfId="9498" xr:uid="{00000000-0005-0000-0000-00001D0B0000}"/>
    <cellStyle name="20% - Accent4 6 6 2" xfId="18822" xr:uid="{00000000-0005-0000-0000-00001E0B0000}"/>
    <cellStyle name="20% - Accent4 6 6 3" xfId="28145" xr:uid="{00000000-0005-0000-0000-00001F0B0000}"/>
    <cellStyle name="20% - Accent4 6 7" xfId="9992" xr:uid="{00000000-0005-0000-0000-0000200B0000}"/>
    <cellStyle name="20% - Accent4 6 8" xfId="19316" xr:uid="{00000000-0005-0000-0000-0000210B0000}"/>
    <cellStyle name="20% - Accent4 7" xfId="631" xr:uid="{00000000-0005-0000-0000-0000220B0000}"/>
    <cellStyle name="20% - Accent4 7 2" xfId="1450" xr:uid="{00000000-0005-0000-0000-0000230B0000}"/>
    <cellStyle name="20% - Accent4 7 2 2" xfId="6584" xr:uid="{00000000-0005-0000-0000-0000240B0000}"/>
    <cellStyle name="20% - Accent4 7 2 2 2" xfId="15908" xr:uid="{00000000-0005-0000-0000-0000250B0000}"/>
    <cellStyle name="20% - Accent4 7 2 2 3" xfId="25231" xr:uid="{00000000-0005-0000-0000-0000260B0000}"/>
    <cellStyle name="20% - Accent4 7 2 3" xfId="11018" xr:uid="{00000000-0005-0000-0000-0000270B0000}"/>
    <cellStyle name="20% - Accent4 7 2 4" xfId="20342" xr:uid="{00000000-0005-0000-0000-0000280B0000}"/>
    <cellStyle name="20% - Accent4 7 3" xfId="3237" xr:uid="{00000000-0005-0000-0000-0000290B0000}"/>
    <cellStyle name="20% - Accent4 7 3 2" xfId="7916" xr:uid="{00000000-0005-0000-0000-00002A0B0000}"/>
    <cellStyle name="20% - Accent4 7 3 2 2" xfId="17240" xr:uid="{00000000-0005-0000-0000-00002B0B0000}"/>
    <cellStyle name="20% - Accent4 7 3 2 3" xfId="26563" xr:uid="{00000000-0005-0000-0000-00002C0B0000}"/>
    <cellStyle name="20% - Accent4 7 3 3" xfId="12623" xr:uid="{00000000-0005-0000-0000-00002D0B0000}"/>
    <cellStyle name="20% - Accent4 7 3 4" xfId="21949" xr:uid="{00000000-0005-0000-0000-00002E0B0000}"/>
    <cellStyle name="20% - Accent4 7 4" xfId="4903" xr:uid="{00000000-0005-0000-0000-00002F0B0000}"/>
    <cellStyle name="20% - Accent4 7 4 2" xfId="14227" xr:uid="{00000000-0005-0000-0000-0000300B0000}"/>
    <cellStyle name="20% - Accent4 7 4 3" xfId="23550" xr:uid="{00000000-0005-0000-0000-0000310B0000}"/>
    <cellStyle name="20% - Accent4 7 5" xfId="10235" xr:uid="{00000000-0005-0000-0000-0000320B0000}"/>
    <cellStyle name="20% - Accent4 7 6" xfId="19559" xr:uid="{00000000-0005-0000-0000-0000330B0000}"/>
    <cellStyle name="20% - Accent4 8" xfId="1451" xr:uid="{00000000-0005-0000-0000-0000340B0000}"/>
    <cellStyle name="20% - Accent4 8 2" xfId="3238" xr:uid="{00000000-0005-0000-0000-0000350B0000}"/>
    <cellStyle name="20% - Accent4 8 2 2" xfId="7917" xr:uid="{00000000-0005-0000-0000-0000360B0000}"/>
    <cellStyle name="20% - Accent4 8 2 2 2" xfId="17241" xr:uid="{00000000-0005-0000-0000-0000370B0000}"/>
    <cellStyle name="20% - Accent4 8 2 2 3" xfId="26564" xr:uid="{00000000-0005-0000-0000-0000380B0000}"/>
    <cellStyle name="20% - Accent4 8 2 3" xfId="12624" xr:uid="{00000000-0005-0000-0000-0000390B0000}"/>
    <cellStyle name="20% - Accent4 8 2 4" xfId="21950" xr:uid="{00000000-0005-0000-0000-00003A0B0000}"/>
    <cellStyle name="20% - Accent4 8 3" xfId="4904" xr:uid="{00000000-0005-0000-0000-00003B0B0000}"/>
    <cellStyle name="20% - Accent4 8 3 2" xfId="14228" xr:uid="{00000000-0005-0000-0000-00003C0B0000}"/>
    <cellStyle name="20% - Accent4 8 3 3" xfId="23551" xr:uid="{00000000-0005-0000-0000-00003D0B0000}"/>
    <cellStyle name="20% - Accent4 8 4" xfId="11019" xr:uid="{00000000-0005-0000-0000-00003E0B0000}"/>
    <cellStyle name="20% - Accent4 8 5" xfId="20343" xr:uid="{00000000-0005-0000-0000-00003F0B0000}"/>
    <cellStyle name="20% - Accent4 9" xfId="1129" xr:uid="{00000000-0005-0000-0000-0000400B0000}"/>
    <cellStyle name="20% - Accent4 9 2" xfId="6714" xr:uid="{00000000-0005-0000-0000-0000410B0000}"/>
    <cellStyle name="20% - Accent4 9 2 2" xfId="16038" xr:uid="{00000000-0005-0000-0000-0000420B0000}"/>
    <cellStyle name="20% - Accent4 9 2 3" xfId="25361" xr:uid="{00000000-0005-0000-0000-0000430B0000}"/>
    <cellStyle name="20% - Accent4 9 3" xfId="10728" xr:uid="{00000000-0005-0000-0000-0000440B0000}"/>
    <cellStyle name="20% - Accent4 9 4" xfId="20052" xr:uid="{00000000-0005-0000-0000-0000450B0000}"/>
    <cellStyle name="20% - Accent5" xfId="49" builtinId="46" customBuiltin="1"/>
    <cellStyle name="20% - Accent5 10" xfId="4588" xr:uid="{00000000-0005-0000-0000-0000470B0000}"/>
    <cellStyle name="20% - Accent5 10 2" xfId="13912" xr:uid="{00000000-0005-0000-0000-0000480B0000}"/>
    <cellStyle name="20% - Accent5 10 3" xfId="23235" xr:uid="{00000000-0005-0000-0000-0000490B0000}"/>
    <cellStyle name="20% - Accent5 11" xfId="9246" xr:uid="{00000000-0005-0000-0000-00004A0B0000}"/>
    <cellStyle name="20% - Accent5 11 2" xfId="18570" xr:uid="{00000000-0005-0000-0000-00004B0B0000}"/>
    <cellStyle name="20% - Accent5 11 3" xfId="27893" xr:uid="{00000000-0005-0000-0000-00004C0B0000}"/>
    <cellStyle name="20% - Accent5 12" xfId="9740" xr:uid="{00000000-0005-0000-0000-00004D0B0000}"/>
    <cellStyle name="20% - Accent5 13" xfId="19064" xr:uid="{00000000-0005-0000-0000-00004E0B0000}"/>
    <cellStyle name="20% - Accent5 14" xfId="28396" xr:uid="{00000000-0005-0000-0000-00004F0B0000}"/>
    <cellStyle name="20% - Accent5 2" xfId="65" xr:uid="{00000000-0005-0000-0000-0000500B0000}"/>
    <cellStyle name="20% - Accent5 2 10" xfId="9753" xr:uid="{00000000-0005-0000-0000-0000510B0000}"/>
    <cellStyle name="20% - Accent5 2 11" xfId="19077" xr:uid="{00000000-0005-0000-0000-0000520B0000}"/>
    <cellStyle name="20% - Accent5 2 12" xfId="28397" xr:uid="{00000000-0005-0000-0000-0000530B0000}"/>
    <cellStyle name="20% - Accent5 2 2" xfId="203" xr:uid="{00000000-0005-0000-0000-0000540B0000}"/>
    <cellStyle name="20% - Accent5 2 2 10" xfId="19149" xr:uid="{00000000-0005-0000-0000-0000550B0000}"/>
    <cellStyle name="20% - Accent5 2 2 2" xfId="343" xr:uid="{00000000-0005-0000-0000-0000560B0000}"/>
    <cellStyle name="20% - Accent5 2 2 2 2" xfId="583" xr:uid="{00000000-0005-0000-0000-0000570B0000}"/>
    <cellStyle name="20% - Accent5 2 2 2 2 2" xfId="1071" xr:uid="{00000000-0005-0000-0000-0000580B0000}"/>
    <cellStyle name="20% - Accent5 2 2 2 2 2 2" xfId="6746" xr:uid="{00000000-0005-0000-0000-0000590B0000}"/>
    <cellStyle name="20% - Accent5 2 2 2 2 2 2 2" xfId="16070" xr:uid="{00000000-0005-0000-0000-00005A0B0000}"/>
    <cellStyle name="20% - Accent5 2 2 2 2 2 2 3" xfId="25393" xr:uid="{00000000-0005-0000-0000-00005B0B0000}"/>
    <cellStyle name="20% - Accent5 2 2 2 2 2 3" xfId="10672" xr:uid="{00000000-0005-0000-0000-00005C0B0000}"/>
    <cellStyle name="20% - Accent5 2 2 2 2 2 4" xfId="19996" xr:uid="{00000000-0005-0000-0000-00005D0B0000}"/>
    <cellStyle name="20% - Accent5 2 2 2 2 3" xfId="7070" xr:uid="{00000000-0005-0000-0000-00005E0B0000}"/>
    <cellStyle name="20% - Accent5 2 2 2 2 3 2" xfId="16394" xr:uid="{00000000-0005-0000-0000-00005F0B0000}"/>
    <cellStyle name="20% - Accent5 2 2 2 2 3 3" xfId="25717" xr:uid="{00000000-0005-0000-0000-0000600B0000}"/>
    <cellStyle name="20% - Accent5 2 2 2 2 4" xfId="9694" xr:uid="{00000000-0005-0000-0000-0000610B0000}"/>
    <cellStyle name="20% - Accent5 2 2 2 2 4 2" xfId="19018" xr:uid="{00000000-0005-0000-0000-0000620B0000}"/>
    <cellStyle name="20% - Accent5 2 2 2 2 4 3" xfId="28341" xr:uid="{00000000-0005-0000-0000-0000630B0000}"/>
    <cellStyle name="20% - Accent5 2 2 2 2 5" xfId="10188" xr:uid="{00000000-0005-0000-0000-0000640B0000}"/>
    <cellStyle name="20% - Accent5 2 2 2 2 6" xfId="19512" xr:uid="{00000000-0005-0000-0000-0000650B0000}"/>
    <cellStyle name="20% - Accent5 2 2 2 3" xfId="831" xr:uid="{00000000-0005-0000-0000-0000660B0000}"/>
    <cellStyle name="20% - Accent5 2 2 2 3 2" xfId="6920" xr:uid="{00000000-0005-0000-0000-0000670B0000}"/>
    <cellStyle name="20% - Accent5 2 2 2 3 2 2" xfId="16244" xr:uid="{00000000-0005-0000-0000-0000680B0000}"/>
    <cellStyle name="20% - Accent5 2 2 2 3 2 3" xfId="25567" xr:uid="{00000000-0005-0000-0000-0000690B0000}"/>
    <cellStyle name="20% - Accent5 2 2 2 3 3" xfId="10432" xr:uid="{00000000-0005-0000-0000-00006A0B0000}"/>
    <cellStyle name="20% - Accent5 2 2 2 3 4" xfId="19756" xr:uid="{00000000-0005-0000-0000-00006B0B0000}"/>
    <cellStyle name="20% - Accent5 2 2 2 4" xfId="1454" xr:uid="{00000000-0005-0000-0000-00006C0B0000}"/>
    <cellStyle name="20% - Accent5 2 2 2 4 2" xfId="5849" xr:uid="{00000000-0005-0000-0000-00006D0B0000}"/>
    <cellStyle name="20% - Accent5 2 2 2 4 2 2" xfId="15173" xr:uid="{00000000-0005-0000-0000-00006E0B0000}"/>
    <cellStyle name="20% - Accent5 2 2 2 4 2 3" xfId="24496" xr:uid="{00000000-0005-0000-0000-00006F0B0000}"/>
    <cellStyle name="20% - Accent5 2 2 2 4 3" xfId="11022" xr:uid="{00000000-0005-0000-0000-0000700B0000}"/>
    <cellStyle name="20% - Accent5 2 2 2 4 4" xfId="20346" xr:uid="{00000000-0005-0000-0000-0000710B0000}"/>
    <cellStyle name="20% - Accent5 2 2 2 5" xfId="3241" xr:uid="{00000000-0005-0000-0000-0000720B0000}"/>
    <cellStyle name="20% - Accent5 2 2 2 5 2" xfId="7920" xr:uid="{00000000-0005-0000-0000-0000730B0000}"/>
    <cellStyle name="20% - Accent5 2 2 2 5 2 2" xfId="17244" xr:uid="{00000000-0005-0000-0000-0000740B0000}"/>
    <cellStyle name="20% - Accent5 2 2 2 5 2 3" xfId="26567" xr:uid="{00000000-0005-0000-0000-0000750B0000}"/>
    <cellStyle name="20% - Accent5 2 2 2 5 3" xfId="12627" xr:uid="{00000000-0005-0000-0000-0000760B0000}"/>
    <cellStyle name="20% - Accent5 2 2 2 5 4" xfId="21953" xr:uid="{00000000-0005-0000-0000-0000770B0000}"/>
    <cellStyle name="20% - Accent5 2 2 2 6" xfId="4907" xr:uid="{00000000-0005-0000-0000-0000780B0000}"/>
    <cellStyle name="20% - Accent5 2 2 2 6 2" xfId="14231" xr:uid="{00000000-0005-0000-0000-0000790B0000}"/>
    <cellStyle name="20% - Accent5 2 2 2 6 3" xfId="23554" xr:uid="{00000000-0005-0000-0000-00007A0B0000}"/>
    <cellStyle name="20% - Accent5 2 2 2 7" xfId="9454" xr:uid="{00000000-0005-0000-0000-00007B0B0000}"/>
    <cellStyle name="20% - Accent5 2 2 2 7 2" xfId="18778" xr:uid="{00000000-0005-0000-0000-00007C0B0000}"/>
    <cellStyle name="20% - Accent5 2 2 2 7 3" xfId="28101" xr:uid="{00000000-0005-0000-0000-00007D0B0000}"/>
    <cellStyle name="20% - Accent5 2 2 2 8" xfId="9948" xr:uid="{00000000-0005-0000-0000-00007E0B0000}"/>
    <cellStyle name="20% - Accent5 2 2 2 9" xfId="19272" xr:uid="{00000000-0005-0000-0000-00007F0B0000}"/>
    <cellStyle name="20% - Accent5 2 2 3" xfId="461" xr:uid="{00000000-0005-0000-0000-0000800B0000}"/>
    <cellStyle name="20% - Accent5 2 2 3 2" xfId="949" xr:uid="{00000000-0005-0000-0000-0000810B0000}"/>
    <cellStyle name="20% - Accent5 2 2 3 2 2" xfId="6826" xr:uid="{00000000-0005-0000-0000-0000820B0000}"/>
    <cellStyle name="20% - Accent5 2 2 3 2 2 2" xfId="16150" xr:uid="{00000000-0005-0000-0000-0000830B0000}"/>
    <cellStyle name="20% - Accent5 2 2 3 2 2 3" xfId="25473" xr:uid="{00000000-0005-0000-0000-0000840B0000}"/>
    <cellStyle name="20% - Accent5 2 2 3 2 3" xfId="10550" xr:uid="{00000000-0005-0000-0000-0000850B0000}"/>
    <cellStyle name="20% - Accent5 2 2 3 2 4" xfId="19874" xr:uid="{00000000-0005-0000-0000-0000860B0000}"/>
    <cellStyle name="20% - Accent5 2 2 3 3" xfId="7136" xr:uid="{00000000-0005-0000-0000-0000870B0000}"/>
    <cellStyle name="20% - Accent5 2 2 3 3 2" xfId="16460" xr:uid="{00000000-0005-0000-0000-0000880B0000}"/>
    <cellStyle name="20% - Accent5 2 2 3 3 3" xfId="25783" xr:uid="{00000000-0005-0000-0000-0000890B0000}"/>
    <cellStyle name="20% - Accent5 2 2 3 4" xfId="9572" xr:uid="{00000000-0005-0000-0000-00008A0B0000}"/>
    <cellStyle name="20% - Accent5 2 2 3 4 2" xfId="18896" xr:uid="{00000000-0005-0000-0000-00008B0B0000}"/>
    <cellStyle name="20% - Accent5 2 2 3 4 3" xfId="28219" xr:uid="{00000000-0005-0000-0000-00008C0B0000}"/>
    <cellStyle name="20% - Accent5 2 2 3 5" xfId="10066" xr:uid="{00000000-0005-0000-0000-00008D0B0000}"/>
    <cellStyle name="20% - Accent5 2 2 3 6" xfId="19390" xr:uid="{00000000-0005-0000-0000-00008E0B0000}"/>
    <cellStyle name="20% - Accent5 2 2 4" xfId="709" xr:uid="{00000000-0005-0000-0000-00008F0B0000}"/>
    <cellStyle name="20% - Accent5 2 2 4 2" xfId="4622" xr:uid="{00000000-0005-0000-0000-0000900B0000}"/>
    <cellStyle name="20% - Accent5 2 2 4 2 2" xfId="13946" xr:uid="{00000000-0005-0000-0000-0000910B0000}"/>
    <cellStyle name="20% - Accent5 2 2 4 2 3" xfId="23269" xr:uid="{00000000-0005-0000-0000-0000920B0000}"/>
    <cellStyle name="20% - Accent5 2 2 4 3" xfId="10310" xr:uid="{00000000-0005-0000-0000-0000930B0000}"/>
    <cellStyle name="20% - Accent5 2 2 4 4" xfId="19634" xr:uid="{00000000-0005-0000-0000-0000940B0000}"/>
    <cellStyle name="20% - Accent5 2 2 5" xfId="1453" xr:uid="{00000000-0005-0000-0000-0000950B0000}"/>
    <cellStyle name="20% - Accent5 2 2 5 2" xfId="6582" xr:uid="{00000000-0005-0000-0000-0000960B0000}"/>
    <cellStyle name="20% - Accent5 2 2 5 2 2" xfId="15906" xr:uid="{00000000-0005-0000-0000-0000970B0000}"/>
    <cellStyle name="20% - Accent5 2 2 5 2 3" xfId="25229" xr:uid="{00000000-0005-0000-0000-0000980B0000}"/>
    <cellStyle name="20% - Accent5 2 2 5 3" xfId="11021" xr:uid="{00000000-0005-0000-0000-0000990B0000}"/>
    <cellStyle name="20% - Accent5 2 2 5 4" xfId="20345" xr:uid="{00000000-0005-0000-0000-00009A0B0000}"/>
    <cellStyle name="20% - Accent5 2 2 6" xfId="3240" xr:uid="{00000000-0005-0000-0000-00009B0B0000}"/>
    <cellStyle name="20% - Accent5 2 2 6 2" xfId="7919" xr:uid="{00000000-0005-0000-0000-00009C0B0000}"/>
    <cellStyle name="20% - Accent5 2 2 6 2 2" xfId="17243" xr:uid="{00000000-0005-0000-0000-00009D0B0000}"/>
    <cellStyle name="20% - Accent5 2 2 6 2 3" xfId="26566" xr:uid="{00000000-0005-0000-0000-00009E0B0000}"/>
    <cellStyle name="20% - Accent5 2 2 6 3" xfId="12626" xr:uid="{00000000-0005-0000-0000-00009F0B0000}"/>
    <cellStyle name="20% - Accent5 2 2 6 4" xfId="21952" xr:uid="{00000000-0005-0000-0000-0000A00B0000}"/>
    <cellStyle name="20% - Accent5 2 2 7" xfId="4906" xr:uid="{00000000-0005-0000-0000-0000A10B0000}"/>
    <cellStyle name="20% - Accent5 2 2 7 2" xfId="14230" xr:uid="{00000000-0005-0000-0000-0000A20B0000}"/>
    <cellStyle name="20% - Accent5 2 2 7 3" xfId="23553" xr:uid="{00000000-0005-0000-0000-0000A30B0000}"/>
    <cellStyle name="20% - Accent5 2 2 8" xfId="9331" xr:uid="{00000000-0005-0000-0000-0000A40B0000}"/>
    <cellStyle name="20% - Accent5 2 2 8 2" xfId="18655" xr:uid="{00000000-0005-0000-0000-0000A50B0000}"/>
    <cellStyle name="20% - Accent5 2 2 8 3" xfId="27978" xr:uid="{00000000-0005-0000-0000-0000A60B0000}"/>
    <cellStyle name="20% - Accent5 2 2 9" xfId="9825" xr:uid="{00000000-0005-0000-0000-0000A70B0000}"/>
    <cellStyle name="20% - Accent5 2 3" xfId="268" xr:uid="{00000000-0005-0000-0000-0000A80B0000}"/>
    <cellStyle name="20% - Accent5 2 3 2" xfId="522" xr:uid="{00000000-0005-0000-0000-0000A90B0000}"/>
    <cellStyle name="20% - Accent5 2 3 2 2" xfId="1010" xr:uid="{00000000-0005-0000-0000-0000AA0B0000}"/>
    <cellStyle name="20% - Accent5 2 3 2 2 2" xfId="6790" xr:uid="{00000000-0005-0000-0000-0000AB0B0000}"/>
    <cellStyle name="20% - Accent5 2 3 2 2 2 2" xfId="16114" xr:uid="{00000000-0005-0000-0000-0000AC0B0000}"/>
    <cellStyle name="20% - Accent5 2 3 2 2 2 3" xfId="25437" xr:uid="{00000000-0005-0000-0000-0000AD0B0000}"/>
    <cellStyle name="20% - Accent5 2 3 2 2 3" xfId="10611" xr:uid="{00000000-0005-0000-0000-0000AE0B0000}"/>
    <cellStyle name="20% - Accent5 2 3 2 2 4" xfId="19935" xr:uid="{00000000-0005-0000-0000-0000AF0B0000}"/>
    <cellStyle name="20% - Accent5 2 3 2 3" xfId="7108" xr:uid="{00000000-0005-0000-0000-0000B00B0000}"/>
    <cellStyle name="20% - Accent5 2 3 2 3 2" xfId="16432" xr:uid="{00000000-0005-0000-0000-0000B10B0000}"/>
    <cellStyle name="20% - Accent5 2 3 2 3 3" xfId="25755" xr:uid="{00000000-0005-0000-0000-0000B20B0000}"/>
    <cellStyle name="20% - Accent5 2 3 2 4" xfId="9633" xr:uid="{00000000-0005-0000-0000-0000B30B0000}"/>
    <cellStyle name="20% - Accent5 2 3 2 4 2" xfId="18957" xr:uid="{00000000-0005-0000-0000-0000B40B0000}"/>
    <cellStyle name="20% - Accent5 2 3 2 4 3" xfId="28280" xr:uid="{00000000-0005-0000-0000-0000B50B0000}"/>
    <cellStyle name="20% - Accent5 2 3 2 5" xfId="10127" xr:uid="{00000000-0005-0000-0000-0000B60B0000}"/>
    <cellStyle name="20% - Accent5 2 3 2 6" xfId="19451" xr:uid="{00000000-0005-0000-0000-0000B70B0000}"/>
    <cellStyle name="20% - Accent5 2 3 3" xfId="770" xr:uid="{00000000-0005-0000-0000-0000B80B0000}"/>
    <cellStyle name="20% - Accent5 2 3 3 2" xfId="6963" xr:uid="{00000000-0005-0000-0000-0000B90B0000}"/>
    <cellStyle name="20% - Accent5 2 3 3 2 2" xfId="16287" xr:uid="{00000000-0005-0000-0000-0000BA0B0000}"/>
    <cellStyle name="20% - Accent5 2 3 3 2 3" xfId="25610" xr:uid="{00000000-0005-0000-0000-0000BB0B0000}"/>
    <cellStyle name="20% - Accent5 2 3 3 3" xfId="10371" xr:uid="{00000000-0005-0000-0000-0000BC0B0000}"/>
    <cellStyle name="20% - Accent5 2 3 3 4" xfId="19695" xr:uid="{00000000-0005-0000-0000-0000BD0B0000}"/>
    <cellStyle name="20% - Accent5 2 3 4" xfId="1455" xr:uid="{00000000-0005-0000-0000-0000BE0B0000}"/>
    <cellStyle name="20% - Accent5 2 3 4 2" xfId="5851" xr:uid="{00000000-0005-0000-0000-0000BF0B0000}"/>
    <cellStyle name="20% - Accent5 2 3 4 2 2" xfId="15175" xr:uid="{00000000-0005-0000-0000-0000C00B0000}"/>
    <cellStyle name="20% - Accent5 2 3 4 2 3" xfId="24498" xr:uid="{00000000-0005-0000-0000-0000C10B0000}"/>
    <cellStyle name="20% - Accent5 2 3 4 3" xfId="11023" xr:uid="{00000000-0005-0000-0000-0000C20B0000}"/>
    <cellStyle name="20% - Accent5 2 3 4 4" xfId="20347" xr:uid="{00000000-0005-0000-0000-0000C30B0000}"/>
    <cellStyle name="20% - Accent5 2 3 5" xfId="3242" xr:uid="{00000000-0005-0000-0000-0000C40B0000}"/>
    <cellStyle name="20% - Accent5 2 3 5 2" xfId="7921" xr:uid="{00000000-0005-0000-0000-0000C50B0000}"/>
    <cellStyle name="20% - Accent5 2 3 5 2 2" xfId="17245" xr:uid="{00000000-0005-0000-0000-0000C60B0000}"/>
    <cellStyle name="20% - Accent5 2 3 5 2 3" xfId="26568" xr:uid="{00000000-0005-0000-0000-0000C70B0000}"/>
    <cellStyle name="20% - Accent5 2 3 5 3" xfId="12628" xr:uid="{00000000-0005-0000-0000-0000C80B0000}"/>
    <cellStyle name="20% - Accent5 2 3 5 4" xfId="21954" xr:uid="{00000000-0005-0000-0000-0000C90B0000}"/>
    <cellStyle name="20% - Accent5 2 3 6" xfId="4908" xr:uid="{00000000-0005-0000-0000-0000CA0B0000}"/>
    <cellStyle name="20% - Accent5 2 3 6 2" xfId="14232" xr:uid="{00000000-0005-0000-0000-0000CB0B0000}"/>
    <cellStyle name="20% - Accent5 2 3 6 3" xfId="23555" xr:uid="{00000000-0005-0000-0000-0000CC0B0000}"/>
    <cellStyle name="20% - Accent5 2 3 7" xfId="9392" xr:uid="{00000000-0005-0000-0000-0000CD0B0000}"/>
    <cellStyle name="20% - Accent5 2 3 7 2" xfId="18716" xr:uid="{00000000-0005-0000-0000-0000CE0B0000}"/>
    <cellStyle name="20% - Accent5 2 3 7 3" xfId="28039" xr:uid="{00000000-0005-0000-0000-0000CF0B0000}"/>
    <cellStyle name="20% - Accent5 2 3 8" xfId="9886" xr:uid="{00000000-0005-0000-0000-0000D00B0000}"/>
    <cellStyle name="20% - Accent5 2 3 9" xfId="19210" xr:uid="{00000000-0005-0000-0000-0000D10B0000}"/>
    <cellStyle name="20% - Accent5 2 4" xfId="402" xr:uid="{00000000-0005-0000-0000-0000D20B0000}"/>
    <cellStyle name="20% - Accent5 2 4 2" xfId="890" xr:uid="{00000000-0005-0000-0000-0000D30B0000}"/>
    <cellStyle name="20% - Accent5 2 4 2 2" xfId="6874" xr:uid="{00000000-0005-0000-0000-0000D40B0000}"/>
    <cellStyle name="20% - Accent5 2 4 2 2 2" xfId="16198" xr:uid="{00000000-0005-0000-0000-0000D50B0000}"/>
    <cellStyle name="20% - Accent5 2 4 2 2 3" xfId="25521" xr:uid="{00000000-0005-0000-0000-0000D60B0000}"/>
    <cellStyle name="20% - Accent5 2 4 2 3" xfId="10491" xr:uid="{00000000-0005-0000-0000-0000D70B0000}"/>
    <cellStyle name="20% - Accent5 2 4 2 4" xfId="19815" xr:uid="{00000000-0005-0000-0000-0000D80B0000}"/>
    <cellStyle name="20% - Accent5 2 4 3" xfId="1452" xr:uid="{00000000-0005-0000-0000-0000D90B0000}"/>
    <cellStyle name="20% - Accent5 2 4 3 2" xfId="5848" xr:uid="{00000000-0005-0000-0000-0000DA0B0000}"/>
    <cellStyle name="20% - Accent5 2 4 3 2 2" xfId="15172" xr:uid="{00000000-0005-0000-0000-0000DB0B0000}"/>
    <cellStyle name="20% - Accent5 2 4 3 2 3" xfId="24495" xr:uid="{00000000-0005-0000-0000-0000DC0B0000}"/>
    <cellStyle name="20% - Accent5 2 4 3 3" xfId="11020" xr:uid="{00000000-0005-0000-0000-0000DD0B0000}"/>
    <cellStyle name="20% - Accent5 2 4 3 4" xfId="20344" xr:uid="{00000000-0005-0000-0000-0000DE0B0000}"/>
    <cellStyle name="20% - Accent5 2 4 4" xfId="3239" xr:uid="{00000000-0005-0000-0000-0000DF0B0000}"/>
    <cellStyle name="20% - Accent5 2 4 4 2" xfId="7918" xr:uid="{00000000-0005-0000-0000-0000E00B0000}"/>
    <cellStyle name="20% - Accent5 2 4 4 2 2" xfId="17242" xr:uid="{00000000-0005-0000-0000-0000E10B0000}"/>
    <cellStyle name="20% - Accent5 2 4 4 2 3" xfId="26565" xr:uid="{00000000-0005-0000-0000-0000E20B0000}"/>
    <cellStyle name="20% - Accent5 2 4 4 3" xfId="12625" xr:uid="{00000000-0005-0000-0000-0000E30B0000}"/>
    <cellStyle name="20% - Accent5 2 4 4 4" xfId="21951" xr:uid="{00000000-0005-0000-0000-0000E40B0000}"/>
    <cellStyle name="20% - Accent5 2 4 5" xfId="4905" xr:uid="{00000000-0005-0000-0000-0000E50B0000}"/>
    <cellStyle name="20% - Accent5 2 4 5 2" xfId="14229" xr:uid="{00000000-0005-0000-0000-0000E60B0000}"/>
    <cellStyle name="20% - Accent5 2 4 5 3" xfId="23552" xr:uid="{00000000-0005-0000-0000-0000E70B0000}"/>
    <cellStyle name="20% - Accent5 2 4 6" xfId="9513" xr:uid="{00000000-0005-0000-0000-0000E80B0000}"/>
    <cellStyle name="20% - Accent5 2 4 6 2" xfId="18837" xr:uid="{00000000-0005-0000-0000-0000E90B0000}"/>
    <cellStyle name="20% - Accent5 2 4 6 3" xfId="28160" xr:uid="{00000000-0005-0000-0000-0000EA0B0000}"/>
    <cellStyle name="20% - Accent5 2 4 7" xfId="10007" xr:uid="{00000000-0005-0000-0000-0000EB0B0000}"/>
    <cellStyle name="20% - Accent5 2 4 8" xfId="19331" xr:uid="{00000000-0005-0000-0000-0000EC0B0000}"/>
    <cellStyle name="20% - Accent5 2 5" xfId="650" xr:uid="{00000000-0005-0000-0000-0000ED0B0000}"/>
    <cellStyle name="20% - Accent5 2 5 2" xfId="4620" xr:uid="{00000000-0005-0000-0000-0000EE0B0000}"/>
    <cellStyle name="20% - Accent5 2 5 2 2" xfId="13944" xr:uid="{00000000-0005-0000-0000-0000EF0B0000}"/>
    <cellStyle name="20% - Accent5 2 5 2 3" xfId="23267" xr:uid="{00000000-0005-0000-0000-0000F00B0000}"/>
    <cellStyle name="20% - Accent5 2 5 3" xfId="10251" xr:uid="{00000000-0005-0000-0000-0000F10B0000}"/>
    <cellStyle name="20% - Accent5 2 5 4" xfId="19575" xr:uid="{00000000-0005-0000-0000-0000F20B0000}"/>
    <cellStyle name="20% - Accent5 2 6" xfId="1145" xr:uid="{00000000-0005-0000-0000-0000F30B0000}"/>
    <cellStyle name="20% - Accent5 2 6 2" xfId="6704" xr:uid="{00000000-0005-0000-0000-0000F40B0000}"/>
    <cellStyle name="20% - Accent5 2 6 2 2" xfId="16028" xr:uid="{00000000-0005-0000-0000-0000F50B0000}"/>
    <cellStyle name="20% - Accent5 2 6 2 3" xfId="25351" xr:uid="{00000000-0005-0000-0000-0000F60B0000}"/>
    <cellStyle name="20% - Accent5 2 6 3" xfId="10744" xr:uid="{00000000-0005-0000-0000-0000F70B0000}"/>
    <cellStyle name="20% - Accent5 2 6 4" xfId="20068" xr:uid="{00000000-0005-0000-0000-0000F80B0000}"/>
    <cellStyle name="20% - Accent5 2 7" xfId="2963" xr:uid="{00000000-0005-0000-0000-0000F90B0000}"/>
    <cellStyle name="20% - Accent5 2 7 2" xfId="7642" xr:uid="{00000000-0005-0000-0000-0000FA0B0000}"/>
    <cellStyle name="20% - Accent5 2 7 2 2" xfId="16966" xr:uid="{00000000-0005-0000-0000-0000FB0B0000}"/>
    <cellStyle name="20% - Accent5 2 7 2 3" xfId="26289" xr:uid="{00000000-0005-0000-0000-0000FC0B0000}"/>
    <cellStyle name="20% - Accent5 2 7 3" xfId="12364" xr:uid="{00000000-0005-0000-0000-0000FD0B0000}"/>
    <cellStyle name="20% - Accent5 2 7 4" xfId="21690" xr:uid="{00000000-0005-0000-0000-0000FE0B0000}"/>
    <cellStyle name="20% - Accent5 2 8" xfId="4605" xr:uid="{00000000-0005-0000-0000-0000FF0B0000}"/>
    <cellStyle name="20% - Accent5 2 8 2" xfId="13929" xr:uid="{00000000-0005-0000-0000-0000000C0000}"/>
    <cellStyle name="20% - Accent5 2 8 3" xfId="23252" xr:uid="{00000000-0005-0000-0000-0000010C0000}"/>
    <cellStyle name="20% - Accent5 2 9" xfId="9259" xr:uid="{00000000-0005-0000-0000-0000020C0000}"/>
    <cellStyle name="20% - Accent5 2 9 2" xfId="18583" xr:uid="{00000000-0005-0000-0000-0000030C0000}"/>
    <cellStyle name="20% - Accent5 2 9 3" xfId="27906" xr:uid="{00000000-0005-0000-0000-0000040C0000}"/>
    <cellStyle name="20% - Accent5 3" xfId="66" xr:uid="{00000000-0005-0000-0000-0000050C0000}"/>
    <cellStyle name="20% - Accent5 3 10" xfId="9754" xr:uid="{00000000-0005-0000-0000-0000060C0000}"/>
    <cellStyle name="20% - Accent5 3 11" xfId="19078" xr:uid="{00000000-0005-0000-0000-0000070C0000}"/>
    <cellStyle name="20% - Accent5 3 12" xfId="28827" xr:uid="{00000000-0005-0000-0000-0000080C0000}"/>
    <cellStyle name="20% - Accent5 3 2" xfId="204" xr:uid="{00000000-0005-0000-0000-0000090C0000}"/>
    <cellStyle name="20% - Accent5 3 2 10" xfId="19150" xr:uid="{00000000-0005-0000-0000-00000A0C0000}"/>
    <cellStyle name="20% - Accent5 3 2 2" xfId="344" xr:uid="{00000000-0005-0000-0000-00000B0C0000}"/>
    <cellStyle name="20% - Accent5 3 2 2 2" xfId="584" xr:uid="{00000000-0005-0000-0000-00000C0C0000}"/>
    <cellStyle name="20% - Accent5 3 2 2 2 2" xfId="1072" xr:uid="{00000000-0005-0000-0000-00000D0C0000}"/>
    <cellStyle name="20% - Accent5 3 2 2 2 2 2" xfId="6745" xr:uid="{00000000-0005-0000-0000-00000E0C0000}"/>
    <cellStyle name="20% - Accent5 3 2 2 2 2 2 2" xfId="16069" xr:uid="{00000000-0005-0000-0000-00000F0C0000}"/>
    <cellStyle name="20% - Accent5 3 2 2 2 2 2 3" xfId="25392" xr:uid="{00000000-0005-0000-0000-0000100C0000}"/>
    <cellStyle name="20% - Accent5 3 2 2 2 2 3" xfId="10673" xr:uid="{00000000-0005-0000-0000-0000110C0000}"/>
    <cellStyle name="20% - Accent5 3 2 2 2 2 4" xfId="19997" xr:uid="{00000000-0005-0000-0000-0000120C0000}"/>
    <cellStyle name="20% - Accent5 3 2 2 2 3" xfId="7069" xr:uid="{00000000-0005-0000-0000-0000130C0000}"/>
    <cellStyle name="20% - Accent5 3 2 2 2 3 2" xfId="16393" xr:uid="{00000000-0005-0000-0000-0000140C0000}"/>
    <cellStyle name="20% - Accent5 3 2 2 2 3 3" xfId="25716" xr:uid="{00000000-0005-0000-0000-0000150C0000}"/>
    <cellStyle name="20% - Accent5 3 2 2 2 4" xfId="9695" xr:uid="{00000000-0005-0000-0000-0000160C0000}"/>
    <cellStyle name="20% - Accent5 3 2 2 2 4 2" xfId="19019" xr:uid="{00000000-0005-0000-0000-0000170C0000}"/>
    <cellStyle name="20% - Accent5 3 2 2 2 4 3" xfId="28342" xr:uid="{00000000-0005-0000-0000-0000180C0000}"/>
    <cellStyle name="20% - Accent5 3 2 2 2 5" xfId="10189" xr:uid="{00000000-0005-0000-0000-0000190C0000}"/>
    <cellStyle name="20% - Accent5 3 2 2 2 6" xfId="19513" xr:uid="{00000000-0005-0000-0000-00001A0C0000}"/>
    <cellStyle name="20% - Accent5 3 2 2 3" xfId="832" xr:uid="{00000000-0005-0000-0000-00001B0C0000}"/>
    <cellStyle name="20% - Accent5 3 2 2 3 2" xfId="6916" xr:uid="{00000000-0005-0000-0000-00001C0C0000}"/>
    <cellStyle name="20% - Accent5 3 2 2 3 2 2" xfId="16240" xr:uid="{00000000-0005-0000-0000-00001D0C0000}"/>
    <cellStyle name="20% - Accent5 3 2 2 3 2 3" xfId="25563" xr:uid="{00000000-0005-0000-0000-00001E0C0000}"/>
    <cellStyle name="20% - Accent5 3 2 2 3 3" xfId="10433" xr:uid="{00000000-0005-0000-0000-00001F0C0000}"/>
    <cellStyle name="20% - Accent5 3 2 2 3 4" xfId="19757" xr:uid="{00000000-0005-0000-0000-0000200C0000}"/>
    <cellStyle name="20% - Accent5 3 2 2 4" xfId="1458" xr:uid="{00000000-0005-0000-0000-0000210C0000}"/>
    <cellStyle name="20% - Accent5 3 2 2 4 2" xfId="6580" xr:uid="{00000000-0005-0000-0000-0000220C0000}"/>
    <cellStyle name="20% - Accent5 3 2 2 4 2 2" xfId="15904" xr:uid="{00000000-0005-0000-0000-0000230C0000}"/>
    <cellStyle name="20% - Accent5 3 2 2 4 2 3" xfId="25227" xr:uid="{00000000-0005-0000-0000-0000240C0000}"/>
    <cellStyle name="20% - Accent5 3 2 2 4 3" xfId="11026" xr:uid="{00000000-0005-0000-0000-0000250C0000}"/>
    <cellStyle name="20% - Accent5 3 2 2 4 4" xfId="20350" xr:uid="{00000000-0005-0000-0000-0000260C0000}"/>
    <cellStyle name="20% - Accent5 3 2 2 5" xfId="3245" xr:uid="{00000000-0005-0000-0000-0000270C0000}"/>
    <cellStyle name="20% - Accent5 3 2 2 5 2" xfId="7924" xr:uid="{00000000-0005-0000-0000-0000280C0000}"/>
    <cellStyle name="20% - Accent5 3 2 2 5 2 2" xfId="17248" xr:uid="{00000000-0005-0000-0000-0000290C0000}"/>
    <cellStyle name="20% - Accent5 3 2 2 5 2 3" xfId="26571" xr:uid="{00000000-0005-0000-0000-00002A0C0000}"/>
    <cellStyle name="20% - Accent5 3 2 2 5 3" xfId="12631" xr:uid="{00000000-0005-0000-0000-00002B0C0000}"/>
    <cellStyle name="20% - Accent5 3 2 2 5 4" xfId="21957" xr:uid="{00000000-0005-0000-0000-00002C0C0000}"/>
    <cellStyle name="20% - Accent5 3 2 2 6" xfId="4911" xr:uid="{00000000-0005-0000-0000-00002D0C0000}"/>
    <cellStyle name="20% - Accent5 3 2 2 6 2" xfId="14235" xr:uid="{00000000-0005-0000-0000-00002E0C0000}"/>
    <cellStyle name="20% - Accent5 3 2 2 6 3" xfId="23558" xr:uid="{00000000-0005-0000-0000-00002F0C0000}"/>
    <cellStyle name="20% - Accent5 3 2 2 7" xfId="9455" xr:uid="{00000000-0005-0000-0000-0000300C0000}"/>
    <cellStyle name="20% - Accent5 3 2 2 7 2" xfId="18779" xr:uid="{00000000-0005-0000-0000-0000310C0000}"/>
    <cellStyle name="20% - Accent5 3 2 2 7 3" xfId="28102" xr:uid="{00000000-0005-0000-0000-0000320C0000}"/>
    <cellStyle name="20% - Accent5 3 2 2 8" xfId="9949" xr:uid="{00000000-0005-0000-0000-0000330C0000}"/>
    <cellStyle name="20% - Accent5 3 2 2 9" xfId="19273" xr:uid="{00000000-0005-0000-0000-0000340C0000}"/>
    <cellStyle name="20% - Accent5 3 2 3" xfId="462" xr:uid="{00000000-0005-0000-0000-0000350C0000}"/>
    <cellStyle name="20% - Accent5 3 2 3 2" xfId="950" xr:uid="{00000000-0005-0000-0000-0000360C0000}"/>
    <cellStyle name="20% - Accent5 3 2 3 2 2" xfId="5477" xr:uid="{00000000-0005-0000-0000-0000370C0000}"/>
    <cellStyle name="20% - Accent5 3 2 3 2 2 2" xfId="14801" xr:uid="{00000000-0005-0000-0000-0000380C0000}"/>
    <cellStyle name="20% - Accent5 3 2 3 2 2 3" xfId="24124" xr:uid="{00000000-0005-0000-0000-0000390C0000}"/>
    <cellStyle name="20% - Accent5 3 2 3 2 3" xfId="10551" xr:uid="{00000000-0005-0000-0000-00003A0C0000}"/>
    <cellStyle name="20% - Accent5 3 2 3 2 4" xfId="19875" xr:uid="{00000000-0005-0000-0000-00003B0C0000}"/>
    <cellStyle name="20% - Accent5 3 2 3 3" xfId="7139" xr:uid="{00000000-0005-0000-0000-00003C0C0000}"/>
    <cellStyle name="20% - Accent5 3 2 3 3 2" xfId="16463" xr:uid="{00000000-0005-0000-0000-00003D0C0000}"/>
    <cellStyle name="20% - Accent5 3 2 3 3 3" xfId="25786" xr:uid="{00000000-0005-0000-0000-00003E0C0000}"/>
    <cellStyle name="20% - Accent5 3 2 3 4" xfId="9573" xr:uid="{00000000-0005-0000-0000-00003F0C0000}"/>
    <cellStyle name="20% - Accent5 3 2 3 4 2" xfId="18897" xr:uid="{00000000-0005-0000-0000-0000400C0000}"/>
    <cellStyle name="20% - Accent5 3 2 3 4 3" xfId="28220" xr:uid="{00000000-0005-0000-0000-0000410C0000}"/>
    <cellStyle name="20% - Accent5 3 2 3 5" xfId="10067" xr:uid="{00000000-0005-0000-0000-0000420C0000}"/>
    <cellStyle name="20% - Accent5 3 2 3 6" xfId="19391" xr:uid="{00000000-0005-0000-0000-0000430C0000}"/>
    <cellStyle name="20% - Accent5 3 2 4" xfId="710" xr:uid="{00000000-0005-0000-0000-0000440C0000}"/>
    <cellStyle name="20% - Accent5 3 2 4 2" xfId="4623" xr:uid="{00000000-0005-0000-0000-0000450C0000}"/>
    <cellStyle name="20% - Accent5 3 2 4 2 2" xfId="13947" xr:uid="{00000000-0005-0000-0000-0000460C0000}"/>
    <cellStyle name="20% - Accent5 3 2 4 2 3" xfId="23270" xr:uid="{00000000-0005-0000-0000-0000470C0000}"/>
    <cellStyle name="20% - Accent5 3 2 4 3" xfId="10311" xr:uid="{00000000-0005-0000-0000-0000480C0000}"/>
    <cellStyle name="20% - Accent5 3 2 4 4" xfId="19635" xr:uid="{00000000-0005-0000-0000-0000490C0000}"/>
    <cellStyle name="20% - Accent5 3 2 5" xfId="1457" xr:uid="{00000000-0005-0000-0000-00004A0C0000}"/>
    <cellStyle name="20% - Accent5 3 2 5 2" xfId="6581" xr:uid="{00000000-0005-0000-0000-00004B0C0000}"/>
    <cellStyle name="20% - Accent5 3 2 5 2 2" xfId="15905" xr:uid="{00000000-0005-0000-0000-00004C0C0000}"/>
    <cellStyle name="20% - Accent5 3 2 5 2 3" xfId="25228" xr:uid="{00000000-0005-0000-0000-00004D0C0000}"/>
    <cellStyle name="20% - Accent5 3 2 5 3" xfId="11025" xr:uid="{00000000-0005-0000-0000-00004E0C0000}"/>
    <cellStyle name="20% - Accent5 3 2 5 4" xfId="20349" xr:uid="{00000000-0005-0000-0000-00004F0C0000}"/>
    <cellStyle name="20% - Accent5 3 2 6" xfId="3244" xr:uid="{00000000-0005-0000-0000-0000500C0000}"/>
    <cellStyle name="20% - Accent5 3 2 6 2" xfId="7923" xr:uid="{00000000-0005-0000-0000-0000510C0000}"/>
    <cellStyle name="20% - Accent5 3 2 6 2 2" xfId="17247" xr:uid="{00000000-0005-0000-0000-0000520C0000}"/>
    <cellStyle name="20% - Accent5 3 2 6 2 3" xfId="26570" xr:uid="{00000000-0005-0000-0000-0000530C0000}"/>
    <cellStyle name="20% - Accent5 3 2 6 3" xfId="12630" xr:uid="{00000000-0005-0000-0000-0000540C0000}"/>
    <cellStyle name="20% - Accent5 3 2 6 4" xfId="21956" xr:uid="{00000000-0005-0000-0000-0000550C0000}"/>
    <cellStyle name="20% - Accent5 3 2 7" xfId="4910" xr:uid="{00000000-0005-0000-0000-0000560C0000}"/>
    <cellStyle name="20% - Accent5 3 2 7 2" xfId="14234" xr:uid="{00000000-0005-0000-0000-0000570C0000}"/>
    <cellStyle name="20% - Accent5 3 2 7 3" xfId="23557" xr:uid="{00000000-0005-0000-0000-0000580C0000}"/>
    <cellStyle name="20% - Accent5 3 2 8" xfId="9332" xr:uid="{00000000-0005-0000-0000-0000590C0000}"/>
    <cellStyle name="20% - Accent5 3 2 8 2" xfId="18656" xr:uid="{00000000-0005-0000-0000-00005A0C0000}"/>
    <cellStyle name="20% - Accent5 3 2 8 3" xfId="27979" xr:uid="{00000000-0005-0000-0000-00005B0C0000}"/>
    <cellStyle name="20% - Accent5 3 2 9" xfId="9826" xr:uid="{00000000-0005-0000-0000-00005C0C0000}"/>
    <cellStyle name="20% - Accent5 3 3" xfId="289" xr:uid="{00000000-0005-0000-0000-00005D0C0000}"/>
    <cellStyle name="20% - Accent5 3 3 2" xfId="535" xr:uid="{00000000-0005-0000-0000-00005E0C0000}"/>
    <cellStyle name="20% - Accent5 3 3 2 2" xfId="1023" xr:uid="{00000000-0005-0000-0000-00005F0C0000}"/>
    <cellStyle name="20% - Accent5 3 3 2 2 2" xfId="6780" xr:uid="{00000000-0005-0000-0000-0000600C0000}"/>
    <cellStyle name="20% - Accent5 3 3 2 2 2 2" xfId="16104" xr:uid="{00000000-0005-0000-0000-0000610C0000}"/>
    <cellStyle name="20% - Accent5 3 3 2 2 2 3" xfId="25427" xr:uid="{00000000-0005-0000-0000-0000620C0000}"/>
    <cellStyle name="20% - Accent5 3 3 2 2 3" xfId="10624" xr:uid="{00000000-0005-0000-0000-0000630C0000}"/>
    <cellStyle name="20% - Accent5 3 3 2 2 4" xfId="19948" xr:uid="{00000000-0005-0000-0000-0000640C0000}"/>
    <cellStyle name="20% - Accent5 3 3 2 3" xfId="5225" xr:uid="{00000000-0005-0000-0000-0000650C0000}"/>
    <cellStyle name="20% - Accent5 3 3 2 3 2" xfId="14549" xr:uid="{00000000-0005-0000-0000-0000660C0000}"/>
    <cellStyle name="20% - Accent5 3 3 2 3 3" xfId="23872" xr:uid="{00000000-0005-0000-0000-0000670C0000}"/>
    <cellStyle name="20% - Accent5 3 3 2 4" xfId="9646" xr:uid="{00000000-0005-0000-0000-0000680C0000}"/>
    <cellStyle name="20% - Accent5 3 3 2 4 2" xfId="18970" xr:uid="{00000000-0005-0000-0000-0000690C0000}"/>
    <cellStyle name="20% - Accent5 3 3 2 4 3" xfId="28293" xr:uid="{00000000-0005-0000-0000-00006A0C0000}"/>
    <cellStyle name="20% - Accent5 3 3 2 5" xfId="10140" xr:uid="{00000000-0005-0000-0000-00006B0C0000}"/>
    <cellStyle name="20% - Accent5 3 3 2 6" xfId="19464" xr:uid="{00000000-0005-0000-0000-00006C0C0000}"/>
    <cellStyle name="20% - Accent5 3 3 3" xfId="783" xr:uid="{00000000-0005-0000-0000-00006D0C0000}"/>
    <cellStyle name="20% - Accent5 3 3 3 2" xfId="6954" xr:uid="{00000000-0005-0000-0000-00006E0C0000}"/>
    <cellStyle name="20% - Accent5 3 3 3 2 2" xfId="16278" xr:uid="{00000000-0005-0000-0000-00006F0C0000}"/>
    <cellStyle name="20% - Accent5 3 3 3 2 3" xfId="25601" xr:uid="{00000000-0005-0000-0000-0000700C0000}"/>
    <cellStyle name="20% - Accent5 3 3 3 3" xfId="10384" xr:uid="{00000000-0005-0000-0000-0000710C0000}"/>
    <cellStyle name="20% - Accent5 3 3 3 4" xfId="19708" xr:uid="{00000000-0005-0000-0000-0000720C0000}"/>
    <cellStyle name="20% - Accent5 3 3 4" xfId="1459" xr:uid="{00000000-0005-0000-0000-0000730C0000}"/>
    <cellStyle name="20% - Accent5 3 3 4 2" xfId="6579" xr:uid="{00000000-0005-0000-0000-0000740C0000}"/>
    <cellStyle name="20% - Accent5 3 3 4 2 2" xfId="15903" xr:uid="{00000000-0005-0000-0000-0000750C0000}"/>
    <cellStyle name="20% - Accent5 3 3 4 2 3" xfId="25226" xr:uid="{00000000-0005-0000-0000-0000760C0000}"/>
    <cellStyle name="20% - Accent5 3 3 4 3" xfId="11027" xr:uid="{00000000-0005-0000-0000-0000770C0000}"/>
    <cellStyle name="20% - Accent5 3 3 4 4" xfId="20351" xr:uid="{00000000-0005-0000-0000-0000780C0000}"/>
    <cellStyle name="20% - Accent5 3 3 5" xfId="3246" xr:uid="{00000000-0005-0000-0000-0000790C0000}"/>
    <cellStyle name="20% - Accent5 3 3 5 2" xfId="7925" xr:uid="{00000000-0005-0000-0000-00007A0C0000}"/>
    <cellStyle name="20% - Accent5 3 3 5 2 2" xfId="17249" xr:uid="{00000000-0005-0000-0000-00007B0C0000}"/>
    <cellStyle name="20% - Accent5 3 3 5 2 3" xfId="26572" xr:uid="{00000000-0005-0000-0000-00007C0C0000}"/>
    <cellStyle name="20% - Accent5 3 3 5 3" xfId="12632" xr:uid="{00000000-0005-0000-0000-00007D0C0000}"/>
    <cellStyle name="20% - Accent5 3 3 5 4" xfId="21958" xr:uid="{00000000-0005-0000-0000-00007E0C0000}"/>
    <cellStyle name="20% - Accent5 3 3 6" xfId="4912" xr:uid="{00000000-0005-0000-0000-00007F0C0000}"/>
    <cellStyle name="20% - Accent5 3 3 6 2" xfId="14236" xr:uid="{00000000-0005-0000-0000-0000800C0000}"/>
    <cellStyle name="20% - Accent5 3 3 6 3" xfId="23559" xr:uid="{00000000-0005-0000-0000-0000810C0000}"/>
    <cellStyle name="20% - Accent5 3 3 7" xfId="9405" xr:uid="{00000000-0005-0000-0000-0000820C0000}"/>
    <cellStyle name="20% - Accent5 3 3 7 2" xfId="18729" xr:uid="{00000000-0005-0000-0000-0000830C0000}"/>
    <cellStyle name="20% - Accent5 3 3 7 3" xfId="28052" xr:uid="{00000000-0005-0000-0000-0000840C0000}"/>
    <cellStyle name="20% - Accent5 3 3 8" xfId="9899" xr:uid="{00000000-0005-0000-0000-0000850C0000}"/>
    <cellStyle name="20% - Accent5 3 3 9" xfId="19223" xr:uid="{00000000-0005-0000-0000-0000860C0000}"/>
    <cellStyle name="20% - Accent5 3 4" xfId="403" xr:uid="{00000000-0005-0000-0000-0000870C0000}"/>
    <cellStyle name="20% - Accent5 3 4 2" xfId="891" xr:uid="{00000000-0005-0000-0000-0000880C0000}"/>
    <cellStyle name="20% - Accent5 3 4 2 2" xfId="6873" xr:uid="{00000000-0005-0000-0000-0000890C0000}"/>
    <cellStyle name="20% - Accent5 3 4 2 2 2" xfId="16197" xr:uid="{00000000-0005-0000-0000-00008A0C0000}"/>
    <cellStyle name="20% - Accent5 3 4 2 2 3" xfId="25520" xr:uid="{00000000-0005-0000-0000-00008B0C0000}"/>
    <cellStyle name="20% - Accent5 3 4 2 3" xfId="10492" xr:uid="{00000000-0005-0000-0000-00008C0C0000}"/>
    <cellStyle name="20% - Accent5 3 4 2 4" xfId="19816" xr:uid="{00000000-0005-0000-0000-00008D0C0000}"/>
    <cellStyle name="20% - Accent5 3 4 3" xfId="4804" xr:uid="{00000000-0005-0000-0000-00008E0C0000}"/>
    <cellStyle name="20% - Accent5 3 4 3 2" xfId="14128" xr:uid="{00000000-0005-0000-0000-00008F0C0000}"/>
    <cellStyle name="20% - Accent5 3 4 3 3" xfId="23451" xr:uid="{00000000-0005-0000-0000-0000900C0000}"/>
    <cellStyle name="20% - Accent5 3 4 4" xfId="9514" xr:uid="{00000000-0005-0000-0000-0000910C0000}"/>
    <cellStyle name="20% - Accent5 3 4 4 2" xfId="18838" xr:uid="{00000000-0005-0000-0000-0000920C0000}"/>
    <cellStyle name="20% - Accent5 3 4 4 3" xfId="28161" xr:uid="{00000000-0005-0000-0000-0000930C0000}"/>
    <cellStyle name="20% - Accent5 3 4 5" xfId="10008" xr:uid="{00000000-0005-0000-0000-0000940C0000}"/>
    <cellStyle name="20% - Accent5 3 4 6" xfId="19332" xr:uid="{00000000-0005-0000-0000-0000950C0000}"/>
    <cellStyle name="20% - Accent5 3 5" xfId="651" xr:uid="{00000000-0005-0000-0000-0000960C0000}"/>
    <cellStyle name="20% - Accent5 3 5 2" xfId="4621" xr:uid="{00000000-0005-0000-0000-0000970C0000}"/>
    <cellStyle name="20% - Accent5 3 5 2 2" xfId="13945" xr:uid="{00000000-0005-0000-0000-0000980C0000}"/>
    <cellStyle name="20% - Accent5 3 5 2 3" xfId="23268" xr:uid="{00000000-0005-0000-0000-0000990C0000}"/>
    <cellStyle name="20% - Accent5 3 5 3" xfId="10252" xr:uid="{00000000-0005-0000-0000-00009A0C0000}"/>
    <cellStyle name="20% - Accent5 3 5 4" xfId="19576" xr:uid="{00000000-0005-0000-0000-00009B0C0000}"/>
    <cellStyle name="20% - Accent5 3 6" xfId="1456" xr:uid="{00000000-0005-0000-0000-00009C0C0000}"/>
    <cellStyle name="20% - Accent5 3 6 2" xfId="6568" xr:uid="{00000000-0005-0000-0000-00009D0C0000}"/>
    <cellStyle name="20% - Accent5 3 6 2 2" xfId="15892" xr:uid="{00000000-0005-0000-0000-00009E0C0000}"/>
    <cellStyle name="20% - Accent5 3 6 2 3" xfId="25215" xr:uid="{00000000-0005-0000-0000-00009F0C0000}"/>
    <cellStyle name="20% - Accent5 3 6 3" xfId="11024" xr:uid="{00000000-0005-0000-0000-0000A00C0000}"/>
    <cellStyle name="20% - Accent5 3 6 4" xfId="20348" xr:uid="{00000000-0005-0000-0000-0000A10C0000}"/>
    <cellStyle name="20% - Accent5 3 7" xfId="3243" xr:uid="{00000000-0005-0000-0000-0000A20C0000}"/>
    <cellStyle name="20% - Accent5 3 7 2" xfId="7922" xr:uid="{00000000-0005-0000-0000-0000A30C0000}"/>
    <cellStyle name="20% - Accent5 3 7 2 2" xfId="17246" xr:uid="{00000000-0005-0000-0000-0000A40C0000}"/>
    <cellStyle name="20% - Accent5 3 7 2 3" xfId="26569" xr:uid="{00000000-0005-0000-0000-0000A50C0000}"/>
    <cellStyle name="20% - Accent5 3 7 3" xfId="12629" xr:uid="{00000000-0005-0000-0000-0000A60C0000}"/>
    <cellStyle name="20% - Accent5 3 7 4" xfId="21955" xr:uid="{00000000-0005-0000-0000-0000A70C0000}"/>
    <cellStyle name="20% - Accent5 3 8" xfId="4909" xr:uid="{00000000-0005-0000-0000-0000A80C0000}"/>
    <cellStyle name="20% - Accent5 3 8 2" xfId="14233" xr:uid="{00000000-0005-0000-0000-0000A90C0000}"/>
    <cellStyle name="20% - Accent5 3 8 3" xfId="23556" xr:uid="{00000000-0005-0000-0000-0000AA0C0000}"/>
    <cellStyle name="20% - Accent5 3 9" xfId="9260" xr:uid="{00000000-0005-0000-0000-0000AB0C0000}"/>
    <cellStyle name="20% - Accent5 3 9 2" xfId="18584" xr:uid="{00000000-0005-0000-0000-0000AC0C0000}"/>
    <cellStyle name="20% - Accent5 3 9 3" xfId="27907" xr:uid="{00000000-0005-0000-0000-0000AD0C0000}"/>
    <cellStyle name="20% - Accent5 4" xfId="190" xr:uid="{00000000-0005-0000-0000-0000AE0C0000}"/>
    <cellStyle name="20% - Accent5 4 10" xfId="19136" xr:uid="{00000000-0005-0000-0000-0000AF0C0000}"/>
    <cellStyle name="20% - Accent5 4 11" xfId="28923" xr:uid="{00000000-0005-0000-0000-0000B00C0000}"/>
    <cellStyle name="20% - Accent5 4 2" xfId="330" xr:uid="{00000000-0005-0000-0000-0000B10C0000}"/>
    <cellStyle name="20% - Accent5 4 2 2" xfId="570" xr:uid="{00000000-0005-0000-0000-0000B20C0000}"/>
    <cellStyle name="20% - Accent5 4 2 2 2" xfId="1058" xr:uid="{00000000-0005-0000-0000-0000B30C0000}"/>
    <cellStyle name="20% - Accent5 4 2 2 2 2" xfId="6753" xr:uid="{00000000-0005-0000-0000-0000B40C0000}"/>
    <cellStyle name="20% - Accent5 4 2 2 2 2 2" xfId="16077" xr:uid="{00000000-0005-0000-0000-0000B50C0000}"/>
    <cellStyle name="20% - Accent5 4 2 2 2 2 3" xfId="25400" xr:uid="{00000000-0005-0000-0000-0000B60C0000}"/>
    <cellStyle name="20% - Accent5 4 2 2 2 3" xfId="10659" xr:uid="{00000000-0005-0000-0000-0000B70C0000}"/>
    <cellStyle name="20% - Accent5 4 2 2 2 4" xfId="19983" xr:uid="{00000000-0005-0000-0000-0000B80C0000}"/>
    <cellStyle name="20% - Accent5 4 2 2 3" xfId="7077" xr:uid="{00000000-0005-0000-0000-0000B90C0000}"/>
    <cellStyle name="20% - Accent5 4 2 2 3 2" xfId="16401" xr:uid="{00000000-0005-0000-0000-0000BA0C0000}"/>
    <cellStyle name="20% - Accent5 4 2 2 3 3" xfId="25724" xr:uid="{00000000-0005-0000-0000-0000BB0C0000}"/>
    <cellStyle name="20% - Accent5 4 2 2 4" xfId="9681" xr:uid="{00000000-0005-0000-0000-0000BC0C0000}"/>
    <cellStyle name="20% - Accent5 4 2 2 4 2" xfId="19005" xr:uid="{00000000-0005-0000-0000-0000BD0C0000}"/>
    <cellStyle name="20% - Accent5 4 2 2 4 3" xfId="28328" xr:uid="{00000000-0005-0000-0000-0000BE0C0000}"/>
    <cellStyle name="20% - Accent5 4 2 2 5" xfId="10175" xr:uid="{00000000-0005-0000-0000-0000BF0C0000}"/>
    <cellStyle name="20% - Accent5 4 2 2 6" xfId="19499" xr:uid="{00000000-0005-0000-0000-0000C00C0000}"/>
    <cellStyle name="20% - Accent5 4 2 3" xfId="818" xr:uid="{00000000-0005-0000-0000-0000C10C0000}"/>
    <cellStyle name="20% - Accent5 4 2 3 2" xfId="5468" xr:uid="{00000000-0005-0000-0000-0000C20C0000}"/>
    <cellStyle name="20% - Accent5 4 2 3 2 2" xfId="14792" xr:uid="{00000000-0005-0000-0000-0000C30C0000}"/>
    <cellStyle name="20% - Accent5 4 2 3 2 3" xfId="24115" xr:uid="{00000000-0005-0000-0000-0000C40C0000}"/>
    <cellStyle name="20% - Accent5 4 2 3 3" xfId="10419" xr:uid="{00000000-0005-0000-0000-0000C50C0000}"/>
    <cellStyle name="20% - Accent5 4 2 3 4" xfId="19743" xr:uid="{00000000-0005-0000-0000-0000C60C0000}"/>
    <cellStyle name="20% - Accent5 4 2 4" xfId="1461" xr:uid="{00000000-0005-0000-0000-0000C70C0000}"/>
    <cellStyle name="20% - Accent5 4 2 4 2" xfId="6577" xr:uid="{00000000-0005-0000-0000-0000C80C0000}"/>
    <cellStyle name="20% - Accent5 4 2 4 2 2" xfId="15901" xr:uid="{00000000-0005-0000-0000-0000C90C0000}"/>
    <cellStyle name="20% - Accent5 4 2 4 2 3" xfId="25224" xr:uid="{00000000-0005-0000-0000-0000CA0C0000}"/>
    <cellStyle name="20% - Accent5 4 2 4 3" xfId="11029" xr:uid="{00000000-0005-0000-0000-0000CB0C0000}"/>
    <cellStyle name="20% - Accent5 4 2 4 4" xfId="20353" xr:uid="{00000000-0005-0000-0000-0000CC0C0000}"/>
    <cellStyle name="20% - Accent5 4 2 5" xfId="3248" xr:uid="{00000000-0005-0000-0000-0000CD0C0000}"/>
    <cellStyle name="20% - Accent5 4 2 5 2" xfId="7927" xr:uid="{00000000-0005-0000-0000-0000CE0C0000}"/>
    <cellStyle name="20% - Accent5 4 2 5 2 2" xfId="17251" xr:uid="{00000000-0005-0000-0000-0000CF0C0000}"/>
    <cellStyle name="20% - Accent5 4 2 5 2 3" xfId="26574" xr:uid="{00000000-0005-0000-0000-0000D00C0000}"/>
    <cellStyle name="20% - Accent5 4 2 5 3" xfId="12634" xr:uid="{00000000-0005-0000-0000-0000D10C0000}"/>
    <cellStyle name="20% - Accent5 4 2 5 4" xfId="21960" xr:uid="{00000000-0005-0000-0000-0000D20C0000}"/>
    <cellStyle name="20% - Accent5 4 2 6" xfId="4914" xr:uid="{00000000-0005-0000-0000-0000D30C0000}"/>
    <cellStyle name="20% - Accent5 4 2 6 2" xfId="14238" xr:uid="{00000000-0005-0000-0000-0000D40C0000}"/>
    <cellStyle name="20% - Accent5 4 2 6 3" xfId="23561" xr:uid="{00000000-0005-0000-0000-0000D50C0000}"/>
    <cellStyle name="20% - Accent5 4 2 7" xfId="9441" xr:uid="{00000000-0005-0000-0000-0000D60C0000}"/>
    <cellStyle name="20% - Accent5 4 2 7 2" xfId="18765" xr:uid="{00000000-0005-0000-0000-0000D70C0000}"/>
    <cellStyle name="20% - Accent5 4 2 7 3" xfId="28088" xr:uid="{00000000-0005-0000-0000-0000D80C0000}"/>
    <cellStyle name="20% - Accent5 4 2 8" xfId="9935" xr:uid="{00000000-0005-0000-0000-0000D90C0000}"/>
    <cellStyle name="20% - Accent5 4 2 9" xfId="19259" xr:uid="{00000000-0005-0000-0000-0000DA0C0000}"/>
    <cellStyle name="20% - Accent5 4 3" xfId="448" xr:uid="{00000000-0005-0000-0000-0000DB0C0000}"/>
    <cellStyle name="20% - Accent5 4 3 2" xfId="936" xr:uid="{00000000-0005-0000-0000-0000DC0C0000}"/>
    <cellStyle name="20% - Accent5 4 3 2 2" xfId="6834" xr:uid="{00000000-0005-0000-0000-0000DD0C0000}"/>
    <cellStyle name="20% - Accent5 4 3 2 2 2" xfId="16158" xr:uid="{00000000-0005-0000-0000-0000DE0C0000}"/>
    <cellStyle name="20% - Accent5 4 3 2 2 3" xfId="25481" xr:uid="{00000000-0005-0000-0000-0000DF0C0000}"/>
    <cellStyle name="20% - Accent5 4 3 2 3" xfId="10537" xr:uid="{00000000-0005-0000-0000-0000E00C0000}"/>
    <cellStyle name="20% - Accent5 4 3 2 4" xfId="19861" xr:uid="{00000000-0005-0000-0000-0000E10C0000}"/>
    <cellStyle name="20% - Accent5 4 3 3" xfId="7146" xr:uid="{00000000-0005-0000-0000-0000E20C0000}"/>
    <cellStyle name="20% - Accent5 4 3 3 2" xfId="16470" xr:uid="{00000000-0005-0000-0000-0000E30C0000}"/>
    <cellStyle name="20% - Accent5 4 3 3 3" xfId="25793" xr:uid="{00000000-0005-0000-0000-0000E40C0000}"/>
    <cellStyle name="20% - Accent5 4 3 4" xfId="9559" xr:uid="{00000000-0005-0000-0000-0000E50C0000}"/>
    <cellStyle name="20% - Accent5 4 3 4 2" xfId="18883" xr:uid="{00000000-0005-0000-0000-0000E60C0000}"/>
    <cellStyle name="20% - Accent5 4 3 4 3" xfId="28206" xr:uid="{00000000-0005-0000-0000-0000E70C0000}"/>
    <cellStyle name="20% - Accent5 4 3 5" xfId="10053" xr:uid="{00000000-0005-0000-0000-0000E80C0000}"/>
    <cellStyle name="20% - Accent5 4 3 6" xfId="19377" xr:uid="{00000000-0005-0000-0000-0000E90C0000}"/>
    <cellStyle name="20% - Accent5 4 4" xfId="696" xr:uid="{00000000-0005-0000-0000-0000EA0C0000}"/>
    <cellStyle name="20% - Accent5 4 4 2" xfId="7016" xr:uid="{00000000-0005-0000-0000-0000EB0C0000}"/>
    <cellStyle name="20% - Accent5 4 4 2 2" xfId="16340" xr:uid="{00000000-0005-0000-0000-0000EC0C0000}"/>
    <cellStyle name="20% - Accent5 4 4 2 3" xfId="25663" xr:uid="{00000000-0005-0000-0000-0000ED0C0000}"/>
    <cellStyle name="20% - Accent5 4 4 3" xfId="10297" xr:uid="{00000000-0005-0000-0000-0000EE0C0000}"/>
    <cellStyle name="20% - Accent5 4 4 4" xfId="19621" xr:uid="{00000000-0005-0000-0000-0000EF0C0000}"/>
    <cellStyle name="20% - Accent5 4 5" xfId="1460" xr:uid="{00000000-0005-0000-0000-0000F00C0000}"/>
    <cellStyle name="20% - Accent5 4 5 2" xfId="6578" xr:uid="{00000000-0005-0000-0000-0000F10C0000}"/>
    <cellStyle name="20% - Accent5 4 5 2 2" xfId="15902" xr:uid="{00000000-0005-0000-0000-0000F20C0000}"/>
    <cellStyle name="20% - Accent5 4 5 2 3" xfId="25225" xr:uid="{00000000-0005-0000-0000-0000F30C0000}"/>
    <cellStyle name="20% - Accent5 4 5 3" xfId="11028" xr:uid="{00000000-0005-0000-0000-0000F40C0000}"/>
    <cellStyle name="20% - Accent5 4 5 4" xfId="20352" xr:uid="{00000000-0005-0000-0000-0000F50C0000}"/>
    <cellStyle name="20% - Accent5 4 6" xfId="3247" xr:uid="{00000000-0005-0000-0000-0000F60C0000}"/>
    <cellStyle name="20% - Accent5 4 6 2" xfId="7926" xr:uid="{00000000-0005-0000-0000-0000F70C0000}"/>
    <cellStyle name="20% - Accent5 4 6 2 2" xfId="17250" xr:uid="{00000000-0005-0000-0000-0000F80C0000}"/>
    <cellStyle name="20% - Accent5 4 6 2 3" xfId="26573" xr:uid="{00000000-0005-0000-0000-0000F90C0000}"/>
    <cellStyle name="20% - Accent5 4 6 3" xfId="12633" xr:uid="{00000000-0005-0000-0000-0000FA0C0000}"/>
    <cellStyle name="20% - Accent5 4 6 4" xfId="21959" xr:uid="{00000000-0005-0000-0000-0000FB0C0000}"/>
    <cellStyle name="20% - Accent5 4 7" xfId="4913" xr:uid="{00000000-0005-0000-0000-0000FC0C0000}"/>
    <cellStyle name="20% - Accent5 4 7 2" xfId="14237" xr:uid="{00000000-0005-0000-0000-0000FD0C0000}"/>
    <cellStyle name="20% - Accent5 4 7 3" xfId="23560" xr:uid="{00000000-0005-0000-0000-0000FE0C0000}"/>
    <cellStyle name="20% - Accent5 4 8" xfId="9318" xr:uid="{00000000-0005-0000-0000-0000FF0C0000}"/>
    <cellStyle name="20% - Accent5 4 8 2" xfId="18642" xr:uid="{00000000-0005-0000-0000-0000000D0000}"/>
    <cellStyle name="20% - Accent5 4 8 3" xfId="27965" xr:uid="{00000000-0005-0000-0000-0000010D0000}"/>
    <cellStyle name="20% - Accent5 4 9" xfId="9812" xr:uid="{00000000-0005-0000-0000-0000020D0000}"/>
    <cellStyle name="20% - Accent5 5" xfId="250" xr:uid="{00000000-0005-0000-0000-0000030D0000}"/>
    <cellStyle name="20% - Accent5 5 2" xfId="508" xr:uid="{00000000-0005-0000-0000-0000040D0000}"/>
    <cellStyle name="20% - Accent5 5 2 2" xfId="996" xr:uid="{00000000-0005-0000-0000-0000050D0000}"/>
    <cellStyle name="20% - Accent5 5 2 2 2" xfId="6800" xr:uid="{00000000-0005-0000-0000-0000060D0000}"/>
    <cellStyle name="20% - Accent5 5 2 2 2 2" xfId="16124" xr:uid="{00000000-0005-0000-0000-0000070D0000}"/>
    <cellStyle name="20% - Accent5 5 2 2 2 3" xfId="25447" xr:uid="{00000000-0005-0000-0000-0000080D0000}"/>
    <cellStyle name="20% - Accent5 5 2 2 3" xfId="10597" xr:uid="{00000000-0005-0000-0000-0000090D0000}"/>
    <cellStyle name="20% - Accent5 5 2 2 4" xfId="19921" xr:uid="{00000000-0005-0000-0000-00000A0D0000}"/>
    <cellStyle name="20% - Accent5 5 2 3" xfId="7113" xr:uid="{00000000-0005-0000-0000-00000B0D0000}"/>
    <cellStyle name="20% - Accent5 5 2 3 2" xfId="16437" xr:uid="{00000000-0005-0000-0000-00000C0D0000}"/>
    <cellStyle name="20% - Accent5 5 2 3 3" xfId="25760" xr:uid="{00000000-0005-0000-0000-00000D0D0000}"/>
    <cellStyle name="20% - Accent5 5 2 4" xfId="9619" xr:uid="{00000000-0005-0000-0000-00000E0D0000}"/>
    <cellStyle name="20% - Accent5 5 2 4 2" xfId="18943" xr:uid="{00000000-0005-0000-0000-00000F0D0000}"/>
    <cellStyle name="20% - Accent5 5 2 4 3" xfId="28266" xr:uid="{00000000-0005-0000-0000-0000100D0000}"/>
    <cellStyle name="20% - Accent5 5 2 5" xfId="10113" xr:uid="{00000000-0005-0000-0000-0000110D0000}"/>
    <cellStyle name="20% - Accent5 5 2 6" xfId="19437" xr:uid="{00000000-0005-0000-0000-0000120D0000}"/>
    <cellStyle name="20% - Accent5 5 3" xfId="756" xr:uid="{00000000-0005-0000-0000-0000130D0000}"/>
    <cellStyle name="20% - Accent5 5 3 2" xfId="6310" xr:uid="{00000000-0005-0000-0000-0000140D0000}"/>
    <cellStyle name="20% - Accent5 5 3 2 2" xfId="15634" xr:uid="{00000000-0005-0000-0000-0000150D0000}"/>
    <cellStyle name="20% - Accent5 5 3 2 3" xfId="24957" xr:uid="{00000000-0005-0000-0000-0000160D0000}"/>
    <cellStyle name="20% - Accent5 5 3 3" xfId="10357" xr:uid="{00000000-0005-0000-0000-0000170D0000}"/>
    <cellStyle name="20% - Accent5 5 3 4" xfId="19681" xr:uid="{00000000-0005-0000-0000-0000180D0000}"/>
    <cellStyle name="20% - Accent5 5 4" xfId="1462" xr:uid="{00000000-0005-0000-0000-0000190D0000}"/>
    <cellStyle name="20% - Accent5 5 4 2" xfId="6576" xr:uid="{00000000-0005-0000-0000-00001A0D0000}"/>
    <cellStyle name="20% - Accent5 5 4 2 2" xfId="15900" xr:uid="{00000000-0005-0000-0000-00001B0D0000}"/>
    <cellStyle name="20% - Accent5 5 4 2 3" xfId="25223" xr:uid="{00000000-0005-0000-0000-00001C0D0000}"/>
    <cellStyle name="20% - Accent5 5 4 3" xfId="11030" xr:uid="{00000000-0005-0000-0000-00001D0D0000}"/>
    <cellStyle name="20% - Accent5 5 4 4" xfId="20354" xr:uid="{00000000-0005-0000-0000-00001E0D0000}"/>
    <cellStyle name="20% - Accent5 5 5" xfId="3249" xr:uid="{00000000-0005-0000-0000-00001F0D0000}"/>
    <cellStyle name="20% - Accent5 5 5 2" xfId="7928" xr:uid="{00000000-0005-0000-0000-0000200D0000}"/>
    <cellStyle name="20% - Accent5 5 5 2 2" xfId="17252" xr:uid="{00000000-0005-0000-0000-0000210D0000}"/>
    <cellStyle name="20% - Accent5 5 5 2 3" xfId="26575" xr:uid="{00000000-0005-0000-0000-0000220D0000}"/>
    <cellStyle name="20% - Accent5 5 5 3" xfId="12635" xr:uid="{00000000-0005-0000-0000-0000230D0000}"/>
    <cellStyle name="20% - Accent5 5 5 4" xfId="21961" xr:uid="{00000000-0005-0000-0000-0000240D0000}"/>
    <cellStyle name="20% - Accent5 5 6" xfId="4915" xr:uid="{00000000-0005-0000-0000-0000250D0000}"/>
    <cellStyle name="20% - Accent5 5 6 2" xfId="14239" xr:uid="{00000000-0005-0000-0000-0000260D0000}"/>
    <cellStyle name="20% - Accent5 5 6 3" xfId="23562" xr:uid="{00000000-0005-0000-0000-0000270D0000}"/>
    <cellStyle name="20% - Accent5 5 7" xfId="9378" xr:uid="{00000000-0005-0000-0000-0000280D0000}"/>
    <cellStyle name="20% - Accent5 5 7 2" xfId="18702" xr:uid="{00000000-0005-0000-0000-0000290D0000}"/>
    <cellStyle name="20% - Accent5 5 7 3" xfId="28025" xr:uid="{00000000-0005-0000-0000-00002A0D0000}"/>
    <cellStyle name="20% - Accent5 5 8" xfId="9872" xr:uid="{00000000-0005-0000-0000-00002B0D0000}"/>
    <cellStyle name="20% - Accent5 5 9" xfId="19196" xr:uid="{00000000-0005-0000-0000-00002C0D0000}"/>
    <cellStyle name="20% - Accent5 6" xfId="389" xr:uid="{00000000-0005-0000-0000-00002D0D0000}"/>
    <cellStyle name="20% - Accent5 6 2" xfId="877" xr:uid="{00000000-0005-0000-0000-00002E0D0000}"/>
    <cellStyle name="20% - Accent5 6 2 2" xfId="6886" xr:uid="{00000000-0005-0000-0000-00002F0D0000}"/>
    <cellStyle name="20% - Accent5 6 2 2 2" xfId="16210" xr:uid="{00000000-0005-0000-0000-0000300D0000}"/>
    <cellStyle name="20% - Accent5 6 2 2 3" xfId="25533" xr:uid="{00000000-0005-0000-0000-0000310D0000}"/>
    <cellStyle name="20% - Accent5 6 2 3" xfId="10478" xr:uid="{00000000-0005-0000-0000-0000320D0000}"/>
    <cellStyle name="20% - Accent5 6 2 4" xfId="19802" xr:uid="{00000000-0005-0000-0000-0000330D0000}"/>
    <cellStyle name="20% - Accent5 6 3" xfId="1463" xr:uid="{00000000-0005-0000-0000-0000340D0000}"/>
    <cellStyle name="20% - Accent5 6 3 2" xfId="6575" xr:uid="{00000000-0005-0000-0000-0000350D0000}"/>
    <cellStyle name="20% - Accent5 6 3 2 2" xfId="15899" xr:uid="{00000000-0005-0000-0000-0000360D0000}"/>
    <cellStyle name="20% - Accent5 6 3 2 3" xfId="25222" xr:uid="{00000000-0005-0000-0000-0000370D0000}"/>
    <cellStyle name="20% - Accent5 6 3 3" xfId="11031" xr:uid="{00000000-0005-0000-0000-0000380D0000}"/>
    <cellStyle name="20% - Accent5 6 3 4" xfId="20355" xr:uid="{00000000-0005-0000-0000-0000390D0000}"/>
    <cellStyle name="20% - Accent5 6 4" xfId="3250" xr:uid="{00000000-0005-0000-0000-00003A0D0000}"/>
    <cellStyle name="20% - Accent5 6 4 2" xfId="7929" xr:uid="{00000000-0005-0000-0000-00003B0D0000}"/>
    <cellStyle name="20% - Accent5 6 4 2 2" xfId="17253" xr:uid="{00000000-0005-0000-0000-00003C0D0000}"/>
    <cellStyle name="20% - Accent5 6 4 2 3" xfId="26576" xr:uid="{00000000-0005-0000-0000-00003D0D0000}"/>
    <cellStyle name="20% - Accent5 6 4 3" xfId="12636" xr:uid="{00000000-0005-0000-0000-00003E0D0000}"/>
    <cellStyle name="20% - Accent5 6 4 4" xfId="21962" xr:uid="{00000000-0005-0000-0000-00003F0D0000}"/>
    <cellStyle name="20% - Accent5 6 5" xfId="4916" xr:uid="{00000000-0005-0000-0000-0000400D0000}"/>
    <cellStyle name="20% - Accent5 6 5 2" xfId="14240" xr:uid="{00000000-0005-0000-0000-0000410D0000}"/>
    <cellStyle name="20% - Accent5 6 5 3" xfId="23563" xr:uid="{00000000-0005-0000-0000-0000420D0000}"/>
    <cellStyle name="20% - Accent5 6 6" xfId="9500" xr:uid="{00000000-0005-0000-0000-0000430D0000}"/>
    <cellStyle name="20% - Accent5 6 6 2" xfId="18824" xr:uid="{00000000-0005-0000-0000-0000440D0000}"/>
    <cellStyle name="20% - Accent5 6 6 3" xfId="28147" xr:uid="{00000000-0005-0000-0000-0000450D0000}"/>
    <cellStyle name="20% - Accent5 6 7" xfId="9994" xr:uid="{00000000-0005-0000-0000-0000460D0000}"/>
    <cellStyle name="20% - Accent5 6 8" xfId="19318" xr:uid="{00000000-0005-0000-0000-0000470D0000}"/>
    <cellStyle name="20% - Accent5 7" xfId="633" xr:uid="{00000000-0005-0000-0000-0000480D0000}"/>
    <cellStyle name="20% - Accent5 7 2" xfId="1464" xr:uid="{00000000-0005-0000-0000-0000490D0000}"/>
    <cellStyle name="20% - Accent5 7 2 2" xfId="6574" xr:uid="{00000000-0005-0000-0000-00004A0D0000}"/>
    <cellStyle name="20% - Accent5 7 2 2 2" xfId="15898" xr:uid="{00000000-0005-0000-0000-00004B0D0000}"/>
    <cellStyle name="20% - Accent5 7 2 2 3" xfId="25221" xr:uid="{00000000-0005-0000-0000-00004C0D0000}"/>
    <cellStyle name="20% - Accent5 7 2 3" xfId="11032" xr:uid="{00000000-0005-0000-0000-00004D0D0000}"/>
    <cellStyle name="20% - Accent5 7 2 4" xfId="20356" xr:uid="{00000000-0005-0000-0000-00004E0D0000}"/>
    <cellStyle name="20% - Accent5 7 3" xfId="3251" xr:uid="{00000000-0005-0000-0000-00004F0D0000}"/>
    <cellStyle name="20% - Accent5 7 3 2" xfId="7930" xr:uid="{00000000-0005-0000-0000-0000500D0000}"/>
    <cellStyle name="20% - Accent5 7 3 2 2" xfId="17254" xr:uid="{00000000-0005-0000-0000-0000510D0000}"/>
    <cellStyle name="20% - Accent5 7 3 2 3" xfId="26577" xr:uid="{00000000-0005-0000-0000-0000520D0000}"/>
    <cellStyle name="20% - Accent5 7 3 3" xfId="12637" xr:uid="{00000000-0005-0000-0000-0000530D0000}"/>
    <cellStyle name="20% - Accent5 7 3 4" xfId="21963" xr:uid="{00000000-0005-0000-0000-0000540D0000}"/>
    <cellStyle name="20% - Accent5 7 4" xfId="4917" xr:uid="{00000000-0005-0000-0000-0000550D0000}"/>
    <cellStyle name="20% - Accent5 7 4 2" xfId="14241" xr:uid="{00000000-0005-0000-0000-0000560D0000}"/>
    <cellStyle name="20% - Accent5 7 4 3" xfId="23564" xr:uid="{00000000-0005-0000-0000-0000570D0000}"/>
    <cellStyle name="20% - Accent5 7 5" xfId="10237" xr:uid="{00000000-0005-0000-0000-0000580D0000}"/>
    <cellStyle name="20% - Accent5 7 6" xfId="19561" xr:uid="{00000000-0005-0000-0000-0000590D0000}"/>
    <cellStyle name="20% - Accent5 8" xfId="1131" xr:uid="{00000000-0005-0000-0000-00005A0D0000}"/>
    <cellStyle name="20% - Accent5 8 2" xfId="4617" xr:uid="{00000000-0005-0000-0000-00005B0D0000}"/>
    <cellStyle name="20% - Accent5 8 2 2" xfId="13941" xr:uid="{00000000-0005-0000-0000-00005C0D0000}"/>
    <cellStyle name="20% - Accent5 8 2 3" xfId="23264" xr:uid="{00000000-0005-0000-0000-00005D0D0000}"/>
    <cellStyle name="20% - Accent5 8 3" xfId="10730" xr:uid="{00000000-0005-0000-0000-00005E0D0000}"/>
    <cellStyle name="20% - Accent5 8 4" xfId="20054" xr:uid="{00000000-0005-0000-0000-00005F0D0000}"/>
    <cellStyle name="20% - Accent5 9" xfId="2945" xr:uid="{00000000-0005-0000-0000-0000600D0000}"/>
    <cellStyle name="20% - Accent5 9 2" xfId="7627" xr:uid="{00000000-0005-0000-0000-0000610D0000}"/>
    <cellStyle name="20% - Accent5 9 2 2" xfId="16951" xr:uid="{00000000-0005-0000-0000-0000620D0000}"/>
    <cellStyle name="20% - Accent5 9 2 3" xfId="26274" xr:uid="{00000000-0005-0000-0000-0000630D0000}"/>
    <cellStyle name="20% - Accent5 9 3" xfId="12350" xr:uid="{00000000-0005-0000-0000-0000640D0000}"/>
    <cellStyle name="20% - Accent5 9 4" xfId="21676" xr:uid="{00000000-0005-0000-0000-0000650D0000}"/>
    <cellStyle name="20% - Accent6" xfId="53" builtinId="50" customBuiltin="1"/>
    <cellStyle name="20% - Accent6 10" xfId="2947" xr:uid="{00000000-0005-0000-0000-0000670D0000}"/>
    <cellStyle name="20% - Accent6 10 2" xfId="7629" xr:uid="{00000000-0005-0000-0000-0000680D0000}"/>
    <cellStyle name="20% - Accent6 10 2 2" xfId="16953" xr:uid="{00000000-0005-0000-0000-0000690D0000}"/>
    <cellStyle name="20% - Accent6 10 2 3" xfId="26276" xr:uid="{00000000-0005-0000-0000-00006A0D0000}"/>
    <cellStyle name="20% - Accent6 10 3" xfId="12352" xr:uid="{00000000-0005-0000-0000-00006B0D0000}"/>
    <cellStyle name="20% - Accent6 10 4" xfId="21678" xr:uid="{00000000-0005-0000-0000-00006C0D0000}"/>
    <cellStyle name="20% - Accent6 11" xfId="4592" xr:uid="{00000000-0005-0000-0000-00006D0D0000}"/>
    <cellStyle name="20% - Accent6 11 2" xfId="13916" xr:uid="{00000000-0005-0000-0000-00006E0D0000}"/>
    <cellStyle name="20% - Accent6 11 3" xfId="23239" xr:uid="{00000000-0005-0000-0000-00006F0D0000}"/>
    <cellStyle name="20% - Accent6 12" xfId="9248" xr:uid="{00000000-0005-0000-0000-0000700D0000}"/>
    <cellStyle name="20% - Accent6 12 2" xfId="18572" xr:uid="{00000000-0005-0000-0000-0000710D0000}"/>
    <cellStyle name="20% - Accent6 12 3" xfId="27895" xr:uid="{00000000-0005-0000-0000-0000720D0000}"/>
    <cellStyle name="20% - Accent6 13" xfId="9742" xr:uid="{00000000-0005-0000-0000-0000730D0000}"/>
    <cellStyle name="20% - Accent6 14" xfId="19066" xr:uid="{00000000-0005-0000-0000-0000740D0000}"/>
    <cellStyle name="20% - Accent6 15" xfId="28398" xr:uid="{00000000-0005-0000-0000-0000750D0000}"/>
    <cellStyle name="20% - Accent6 2" xfId="67" xr:uid="{00000000-0005-0000-0000-0000760D0000}"/>
    <cellStyle name="20% - Accent6 2 10" xfId="4607" xr:uid="{00000000-0005-0000-0000-0000770D0000}"/>
    <cellStyle name="20% - Accent6 2 10 2" xfId="13931" xr:uid="{00000000-0005-0000-0000-0000780D0000}"/>
    <cellStyle name="20% - Accent6 2 10 3" xfId="23254" xr:uid="{00000000-0005-0000-0000-0000790D0000}"/>
    <cellStyle name="20% - Accent6 2 11" xfId="9261" xr:uid="{00000000-0005-0000-0000-00007A0D0000}"/>
    <cellStyle name="20% - Accent6 2 11 2" xfId="18585" xr:uid="{00000000-0005-0000-0000-00007B0D0000}"/>
    <cellStyle name="20% - Accent6 2 11 3" xfId="27908" xr:uid="{00000000-0005-0000-0000-00007C0D0000}"/>
    <cellStyle name="20% - Accent6 2 12" xfId="9755" xr:uid="{00000000-0005-0000-0000-00007D0D0000}"/>
    <cellStyle name="20% - Accent6 2 13" xfId="19079" xr:uid="{00000000-0005-0000-0000-00007E0D0000}"/>
    <cellStyle name="20% - Accent6 2 14" xfId="28399" xr:uid="{00000000-0005-0000-0000-00007F0D0000}"/>
    <cellStyle name="20% - Accent6 2 2" xfId="205" xr:uid="{00000000-0005-0000-0000-0000800D0000}"/>
    <cellStyle name="20% - Accent6 2 2 10" xfId="9827" xr:uid="{00000000-0005-0000-0000-0000810D0000}"/>
    <cellStyle name="20% - Accent6 2 2 11" xfId="19151" xr:uid="{00000000-0005-0000-0000-0000820D0000}"/>
    <cellStyle name="20% - Accent6 2 2 2" xfId="345" xr:uid="{00000000-0005-0000-0000-0000830D0000}"/>
    <cellStyle name="20% - Accent6 2 2 2 10" xfId="19274" xr:uid="{00000000-0005-0000-0000-0000840D0000}"/>
    <cellStyle name="20% - Accent6 2 2 2 2" xfId="585" xr:uid="{00000000-0005-0000-0000-0000850D0000}"/>
    <cellStyle name="20% - Accent6 2 2 2 2 2" xfId="1073" xr:uid="{00000000-0005-0000-0000-0000860D0000}"/>
    <cellStyle name="20% - Accent6 2 2 2 2 2 2" xfId="6743" xr:uid="{00000000-0005-0000-0000-0000870D0000}"/>
    <cellStyle name="20% - Accent6 2 2 2 2 2 2 2" xfId="16067" xr:uid="{00000000-0005-0000-0000-0000880D0000}"/>
    <cellStyle name="20% - Accent6 2 2 2 2 2 2 3" xfId="25390" xr:uid="{00000000-0005-0000-0000-0000890D0000}"/>
    <cellStyle name="20% - Accent6 2 2 2 2 2 3" xfId="10674" xr:uid="{00000000-0005-0000-0000-00008A0D0000}"/>
    <cellStyle name="20% - Accent6 2 2 2 2 2 4" xfId="19998" xr:uid="{00000000-0005-0000-0000-00008B0D0000}"/>
    <cellStyle name="20% - Accent6 2 2 2 2 3" xfId="1468" xr:uid="{00000000-0005-0000-0000-00008C0D0000}"/>
    <cellStyle name="20% - Accent6 2 2 2 2 3 2" xfId="6571" xr:uid="{00000000-0005-0000-0000-00008D0D0000}"/>
    <cellStyle name="20% - Accent6 2 2 2 2 3 2 2" xfId="15895" xr:uid="{00000000-0005-0000-0000-00008E0D0000}"/>
    <cellStyle name="20% - Accent6 2 2 2 2 3 2 3" xfId="25218" xr:uid="{00000000-0005-0000-0000-00008F0D0000}"/>
    <cellStyle name="20% - Accent6 2 2 2 2 3 3" xfId="11036" xr:uid="{00000000-0005-0000-0000-0000900D0000}"/>
    <cellStyle name="20% - Accent6 2 2 2 2 3 4" xfId="20360" xr:uid="{00000000-0005-0000-0000-0000910D0000}"/>
    <cellStyle name="20% - Accent6 2 2 2 2 4" xfId="3255" xr:uid="{00000000-0005-0000-0000-0000920D0000}"/>
    <cellStyle name="20% - Accent6 2 2 2 2 4 2" xfId="7934" xr:uid="{00000000-0005-0000-0000-0000930D0000}"/>
    <cellStyle name="20% - Accent6 2 2 2 2 4 2 2" xfId="17258" xr:uid="{00000000-0005-0000-0000-0000940D0000}"/>
    <cellStyle name="20% - Accent6 2 2 2 2 4 2 3" xfId="26581" xr:uid="{00000000-0005-0000-0000-0000950D0000}"/>
    <cellStyle name="20% - Accent6 2 2 2 2 4 3" xfId="12641" xr:uid="{00000000-0005-0000-0000-0000960D0000}"/>
    <cellStyle name="20% - Accent6 2 2 2 2 4 4" xfId="21967" xr:uid="{00000000-0005-0000-0000-0000970D0000}"/>
    <cellStyle name="20% - Accent6 2 2 2 2 5" xfId="4921" xr:uid="{00000000-0005-0000-0000-0000980D0000}"/>
    <cellStyle name="20% - Accent6 2 2 2 2 5 2" xfId="14245" xr:uid="{00000000-0005-0000-0000-0000990D0000}"/>
    <cellStyle name="20% - Accent6 2 2 2 2 5 3" xfId="23568" xr:uid="{00000000-0005-0000-0000-00009A0D0000}"/>
    <cellStyle name="20% - Accent6 2 2 2 2 6" xfId="7068" xr:uid="{00000000-0005-0000-0000-00009B0D0000}"/>
    <cellStyle name="20% - Accent6 2 2 2 2 6 2" xfId="16392" xr:uid="{00000000-0005-0000-0000-00009C0D0000}"/>
    <cellStyle name="20% - Accent6 2 2 2 2 6 3" xfId="25715" xr:uid="{00000000-0005-0000-0000-00009D0D0000}"/>
    <cellStyle name="20% - Accent6 2 2 2 2 7" xfId="9696" xr:uid="{00000000-0005-0000-0000-00009E0D0000}"/>
    <cellStyle name="20% - Accent6 2 2 2 2 7 2" xfId="19020" xr:uid="{00000000-0005-0000-0000-00009F0D0000}"/>
    <cellStyle name="20% - Accent6 2 2 2 2 7 3" xfId="28343" xr:uid="{00000000-0005-0000-0000-0000A00D0000}"/>
    <cellStyle name="20% - Accent6 2 2 2 2 8" xfId="10190" xr:uid="{00000000-0005-0000-0000-0000A10D0000}"/>
    <cellStyle name="20% - Accent6 2 2 2 2 9" xfId="19514" xr:uid="{00000000-0005-0000-0000-0000A20D0000}"/>
    <cellStyle name="20% - Accent6 2 2 2 3" xfId="833" xr:uid="{00000000-0005-0000-0000-0000A30D0000}"/>
    <cellStyle name="20% - Accent6 2 2 2 3 2" xfId="6919" xr:uid="{00000000-0005-0000-0000-0000A40D0000}"/>
    <cellStyle name="20% - Accent6 2 2 2 3 2 2" xfId="16243" xr:uid="{00000000-0005-0000-0000-0000A50D0000}"/>
    <cellStyle name="20% - Accent6 2 2 2 3 2 3" xfId="25566" xr:uid="{00000000-0005-0000-0000-0000A60D0000}"/>
    <cellStyle name="20% - Accent6 2 2 2 3 3" xfId="10434" xr:uid="{00000000-0005-0000-0000-0000A70D0000}"/>
    <cellStyle name="20% - Accent6 2 2 2 3 4" xfId="19758" xr:uid="{00000000-0005-0000-0000-0000A80D0000}"/>
    <cellStyle name="20% - Accent6 2 2 2 4" xfId="1467" xr:uid="{00000000-0005-0000-0000-0000A90D0000}"/>
    <cellStyle name="20% - Accent6 2 2 2 4 2" xfId="6572" xr:uid="{00000000-0005-0000-0000-0000AA0D0000}"/>
    <cellStyle name="20% - Accent6 2 2 2 4 2 2" xfId="15896" xr:uid="{00000000-0005-0000-0000-0000AB0D0000}"/>
    <cellStyle name="20% - Accent6 2 2 2 4 2 3" xfId="25219" xr:uid="{00000000-0005-0000-0000-0000AC0D0000}"/>
    <cellStyle name="20% - Accent6 2 2 2 4 3" xfId="11035" xr:uid="{00000000-0005-0000-0000-0000AD0D0000}"/>
    <cellStyle name="20% - Accent6 2 2 2 4 4" xfId="20359" xr:uid="{00000000-0005-0000-0000-0000AE0D0000}"/>
    <cellStyle name="20% - Accent6 2 2 2 5" xfId="3254" xr:uid="{00000000-0005-0000-0000-0000AF0D0000}"/>
    <cellStyle name="20% - Accent6 2 2 2 5 2" xfId="7933" xr:uid="{00000000-0005-0000-0000-0000B00D0000}"/>
    <cellStyle name="20% - Accent6 2 2 2 5 2 2" xfId="17257" xr:uid="{00000000-0005-0000-0000-0000B10D0000}"/>
    <cellStyle name="20% - Accent6 2 2 2 5 2 3" xfId="26580" xr:uid="{00000000-0005-0000-0000-0000B20D0000}"/>
    <cellStyle name="20% - Accent6 2 2 2 5 3" xfId="12640" xr:uid="{00000000-0005-0000-0000-0000B30D0000}"/>
    <cellStyle name="20% - Accent6 2 2 2 5 4" xfId="21966" xr:uid="{00000000-0005-0000-0000-0000B40D0000}"/>
    <cellStyle name="20% - Accent6 2 2 2 6" xfId="4920" xr:uid="{00000000-0005-0000-0000-0000B50D0000}"/>
    <cellStyle name="20% - Accent6 2 2 2 6 2" xfId="14244" xr:uid="{00000000-0005-0000-0000-0000B60D0000}"/>
    <cellStyle name="20% - Accent6 2 2 2 6 3" xfId="23567" xr:uid="{00000000-0005-0000-0000-0000B70D0000}"/>
    <cellStyle name="20% - Accent6 2 2 2 7" xfId="7203" xr:uid="{00000000-0005-0000-0000-0000B80D0000}"/>
    <cellStyle name="20% - Accent6 2 2 2 7 2" xfId="16527" xr:uid="{00000000-0005-0000-0000-0000B90D0000}"/>
    <cellStyle name="20% - Accent6 2 2 2 7 3" xfId="25850" xr:uid="{00000000-0005-0000-0000-0000BA0D0000}"/>
    <cellStyle name="20% - Accent6 2 2 2 8" xfId="9456" xr:uid="{00000000-0005-0000-0000-0000BB0D0000}"/>
    <cellStyle name="20% - Accent6 2 2 2 8 2" xfId="18780" xr:uid="{00000000-0005-0000-0000-0000BC0D0000}"/>
    <cellStyle name="20% - Accent6 2 2 2 8 3" xfId="28103" xr:uid="{00000000-0005-0000-0000-0000BD0D0000}"/>
    <cellStyle name="20% - Accent6 2 2 2 9" xfId="9950" xr:uid="{00000000-0005-0000-0000-0000BE0D0000}"/>
    <cellStyle name="20% - Accent6 2 2 3" xfId="463" xr:uid="{00000000-0005-0000-0000-0000BF0D0000}"/>
    <cellStyle name="20% - Accent6 2 2 3 2" xfId="951" xr:uid="{00000000-0005-0000-0000-0000C00D0000}"/>
    <cellStyle name="20% - Accent6 2 2 3 2 2" xfId="6824" xr:uid="{00000000-0005-0000-0000-0000C10D0000}"/>
    <cellStyle name="20% - Accent6 2 2 3 2 2 2" xfId="16148" xr:uid="{00000000-0005-0000-0000-0000C20D0000}"/>
    <cellStyle name="20% - Accent6 2 2 3 2 2 3" xfId="25471" xr:uid="{00000000-0005-0000-0000-0000C30D0000}"/>
    <cellStyle name="20% - Accent6 2 2 3 2 3" xfId="10552" xr:uid="{00000000-0005-0000-0000-0000C40D0000}"/>
    <cellStyle name="20% - Accent6 2 2 3 2 4" xfId="19876" xr:uid="{00000000-0005-0000-0000-0000C50D0000}"/>
    <cellStyle name="20% - Accent6 2 2 3 3" xfId="1469" xr:uid="{00000000-0005-0000-0000-0000C60D0000}"/>
    <cellStyle name="20% - Accent6 2 2 3 3 2" xfId="6570" xr:uid="{00000000-0005-0000-0000-0000C70D0000}"/>
    <cellStyle name="20% - Accent6 2 2 3 3 2 2" xfId="15894" xr:uid="{00000000-0005-0000-0000-0000C80D0000}"/>
    <cellStyle name="20% - Accent6 2 2 3 3 2 3" xfId="25217" xr:uid="{00000000-0005-0000-0000-0000C90D0000}"/>
    <cellStyle name="20% - Accent6 2 2 3 3 3" xfId="11037" xr:uid="{00000000-0005-0000-0000-0000CA0D0000}"/>
    <cellStyle name="20% - Accent6 2 2 3 3 4" xfId="20361" xr:uid="{00000000-0005-0000-0000-0000CB0D0000}"/>
    <cellStyle name="20% - Accent6 2 2 3 4" xfId="3256" xr:uid="{00000000-0005-0000-0000-0000CC0D0000}"/>
    <cellStyle name="20% - Accent6 2 2 3 4 2" xfId="7935" xr:uid="{00000000-0005-0000-0000-0000CD0D0000}"/>
    <cellStyle name="20% - Accent6 2 2 3 4 2 2" xfId="17259" xr:uid="{00000000-0005-0000-0000-0000CE0D0000}"/>
    <cellStyle name="20% - Accent6 2 2 3 4 2 3" xfId="26582" xr:uid="{00000000-0005-0000-0000-0000CF0D0000}"/>
    <cellStyle name="20% - Accent6 2 2 3 4 3" xfId="12642" xr:uid="{00000000-0005-0000-0000-0000D00D0000}"/>
    <cellStyle name="20% - Accent6 2 2 3 4 4" xfId="21968" xr:uid="{00000000-0005-0000-0000-0000D10D0000}"/>
    <cellStyle name="20% - Accent6 2 2 3 5" xfId="4922" xr:uid="{00000000-0005-0000-0000-0000D20D0000}"/>
    <cellStyle name="20% - Accent6 2 2 3 5 2" xfId="14246" xr:uid="{00000000-0005-0000-0000-0000D30D0000}"/>
    <cellStyle name="20% - Accent6 2 2 3 5 3" xfId="23569" xr:uid="{00000000-0005-0000-0000-0000D40D0000}"/>
    <cellStyle name="20% - Accent6 2 2 3 6" xfId="7137" xr:uid="{00000000-0005-0000-0000-0000D50D0000}"/>
    <cellStyle name="20% - Accent6 2 2 3 6 2" xfId="16461" xr:uid="{00000000-0005-0000-0000-0000D60D0000}"/>
    <cellStyle name="20% - Accent6 2 2 3 6 3" xfId="25784" xr:uid="{00000000-0005-0000-0000-0000D70D0000}"/>
    <cellStyle name="20% - Accent6 2 2 3 7" xfId="9574" xr:uid="{00000000-0005-0000-0000-0000D80D0000}"/>
    <cellStyle name="20% - Accent6 2 2 3 7 2" xfId="18898" xr:uid="{00000000-0005-0000-0000-0000D90D0000}"/>
    <cellStyle name="20% - Accent6 2 2 3 7 3" xfId="28221" xr:uid="{00000000-0005-0000-0000-0000DA0D0000}"/>
    <cellStyle name="20% - Accent6 2 2 3 8" xfId="10068" xr:uid="{00000000-0005-0000-0000-0000DB0D0000}"/>
    <cellStyle name="20% - Accent6 2 2 3 9" xfId="19392" xr:uid="{00000000-0005-0000-0000-0000DC0D0000}"/>
    <cellStyle name="20% - Accent6 2 2 4" xfId="711" xr:uid="{00000000-0005-0000-0000-0000DD0D0000}"/>
    <cellStyle name="20% - Accent6 2 2 4 2" xfId="7003" xr:uid="{00000000-0005-0000-0000-0000DE0D0000}"/>
    <cellStyle name="20% - Accent6 2 2 4 2 2" xfId="16327" xr:uid="{00000000-0005-0000-0000-0000DF0D0000}"/>
    <cellStyle name="20% - Accent6 2 2 4 2 3" xfId="25650" xr:uid="{00000000-0005-0000-0000-0000E00D0000}"/>
    <cellStyle name="20% - Accent6 2 2 4 3" xfId="10312" xr:uid="{00000000-0005-0000-0000-0000E10D0000}"/>
    <cellStyle name="20% - Accent6 2 2 4 4" xfId="19636" xr:uid="{00000000-0005-0000-0000-0000E20D0000}"/>
    <cellStyle name="20% - Accent6 2 2 5" xfId="1466" xr:uid="{00000000-0005-0000-0000-0000E30D0000}"/>
    <cellStyle name="20% - Accent6 2 2 5 2" xfId="6573" xr:uid="{00000000-0005-0000-0000-0000E40D0000}"/>
    <cellStyle name="20% - Accent6 2 2 5 2 2" xfId="15897" xr:uid="{00000000-0005-0000-0000-0000E50D0000}"/>
    <cellStyle name="20% - Accent6 2 2 5 2 3" xfId="25220" xr:uid="{00000000-0005-0000-0000-0000E60D0000}"/>
    <cellStyle name="20% - Accent6 2 2 5 3" xfId="11034" xr:uid="{00000000-0005-0000-0000-0000E70D0000}"/>
    <cellStyle name="20% - Accent6 2 2 5 4" xfId="20358" xr:uid="{00000000-0005-0000-0000-0000E80D0000}"/>
    <cellStyle name="20% - Accent6 2 2 6" xfId="3253" xr:uid="{00000000-0005-0000-0000-0000E90D0000}"/>
    <cellStyle name="20% - Accent6 2 2 6 2" xfId="7932" xr:uid="{00000000-0005-0000-0000-0000EA0D0000}"/>
    <cellStyle name="20% - Accent6 2 2 6 2 2" xfId="17256" xr:uid="{00000000-0005-0000-0000-0000EB0D0000}"/>
    <cellStyle name="20% - Accent6 2 2 6 2 3" xfId="26579" xr:uid="{00000000-0005-0000-0000-0000EC0D0000}"/>
    <cellStyle name="20% - Accent6 2 2 6 3" xfId="12639" xr:uid="{00000000-0005-0000-0000-0000ED0D0000}"/>
    <cellStyle name="20% - Accent6 2 2 6 4" xfId="21965" xr:uid="{00000000-0005-0000-0000-0000EE0D0000}"/>
    <cellStyle name="20% - Accent6 2 2 7" xfId="4919" xr:uid="{00000000-0005-0000-0000-0000EF0D0000}"/>
    <cellStyle name="20% - Accent6 2 2 7 2" xfId="14243" xr:uid="{00000000-0005-0000-0000-0000F00D0000}"/>
    <cellStyle name="20% - Accent6 2 2 7 3" xfId="23566" xr:uid="{00000000-0005-0000-0000-0000F10D0000}"/>
    <cellStyle name="20% - Accent6 2 2 8" xfId="7270" xr:uid="{00000000-0005-0000-0000-0000F20D0000}"/>
    <cellStyle name="20% - Accent6 2 2 8 2" xfId="16594" xr:uid="{00000000-0005-0000-0000-0000F30D0000}"/>
    <cellStyle name="20% - Accent6 2 2 8 3" xfId="25917" xr:uid="{00000000-0005-0000-0000-0000F40D0000}"/>
    <cellStyle name="20% - Accent6 2 2 9" xfId="9333" xr:uid="{00000000-0005-0000-0000-0000F50D0000}"/>
    <cellStyle name="20% - Accent6 2 2 9 2" xfId="18657" xr:uid="{00000000-0005-0000-0000-0000F60D0000}"/>
    <cellStyle name="20% - Accent6 2 2 9 3" xfId="27980" xr:uid="{00000000-0005-0000-0000-0000F70D0000}"/>
    <cellStyle name="20% - Accent6 2 3" xfId="270" xr:uid="{00000000-0005-0000-0000-0000F80D0000}"/>
    <cellStyle name="20% - Accent6 2 3 2" xfId="524" xr:uid="{00000000-0005-0000-0000-0000F90D0000}"/>
    <cellStyle name="20% - Accent6 2 3 2 2" xfId="1012" xr:uid="{00000000-0005-0000-0000-0000FA0D0000}"/>
    <cellStyle name="20% - Accent6 2 3 2 2 2" xfId="6788" xr:uid="{00000000-0005-0000-0000-0000FB0D0000}"/>
    <cellStyle name="20% - Accent6 2 3 2 2 2 2" xfId="16112" xr:uid="{00000000-0005-0000-0000-0000FC0D0000}"/>
    <cellStyle name="20% - Accent6 2 3 2 2 2 3" xfId="25435" xr:uid="{00000000-0005-0000-0000-0000FD0D0000}"/>
    <cellStyle name="20% - Accent6 2 3 2 2 3" xfId="10613" xr:uid="{00000000-0005-0000-0000-0000FE0D0000}"/>
    <cellStyle name="20% - Accent6 2 3 2 2 4" xfId="19937" xr:uid="{00000000-0005-0000-0000-0000FF0D0000}"/>
    <cellStyle name="20% - Accent6 2 3 2 3" xfId="1471" xr:uid="{00000000-0005-0000-0000-0000000E0000}"/>
    <cellStyle name="20% - Accent6 2 3 2 3 2" xfId="5853" xr:uid="{00000000-0005-0000-0000-0000010E0000}"/>
    <cellStyle name="20% - Accent6 2 3 2 3 2 2" xfId="15177" xr:uid="{00000000-0005-0000-0000-0000020E0000}"/>
    <cellStyle name="20% - Accent6 2 3 2 3 2 3" xfId="24500" xr:uid="{00000000-0005-0000-0000-0000030E0000}"/>
    <cellStyle name="20% - Accent6 2 3 2 3 3" xfId="11039" xr:uid="{00000000-0005-0000-0000-0000040E0000}"/>
    <cellStyle name="20% - Accent6 2 3 2 3 4" xfId="20363" xr:uid="{00000000-0005-0000-0000-0000050E0000}"/>
    <cellStyle name="20% - Accent6 2 3 2 4" xfId="3258" xr:uid="{00000000-0005-0000-0000-0000060E0000}"/>
    <cellStyle name="20% - Accent6 2 3 2 4 2" xfId="7937" xr:uid="{00000000-0005-0000-0000-0000070E0000}"/>
    <cellStyle name="20% - Accent6 2 3 2 4 2 2" xfId="17261" xr:uid="{00000000-0005-0000-0000-0000080E0000}"/>
    <cellStyle name="20% - Accent6 2 3 2 4 2 3" xfId="26584" xr:uid="{00000000-0005-0000-0000-0000090E0000}"/>
    <cellStyle name="20% - Accent6 2 3 2 4 3" xfId="12644" xr:uid="{00000000-0005-0000-0000-00000A0E0000}"/>
    <cellStyle name="20% - Accent6 2 3 2 4 4" xfId="21970" xr:uid="{00000000-0005-0000-0000-00000B0E0000}"/>
    <cellStyle name="20% - Accent6 2 3 2 5" xfId="4924" xr:uid="{00000000-0005-0000-0000-00000C0E0000}"/>
    <cellStyle name="20% - Accent6 2 3 2 5 2" xfId="14248" xr:uid="{00000000-0005-0000-0000-00000D0E0000}"/>
    <cellStyle name="20% - Accent6 2 3 2 5 3" xfId="23571" xr:uid="{00000000-0005-0000-0000-00000E0E0000}"/>
    <cellStyle name="20% - Accent6 2 3 2 6" xfId="9635" xr:uid="{00000000-0005-0000-0000-00000F0E0000}"/>
    <cellStyle name="20% - Accent6 2 3 2 6 2" xfId="18959" xr:uid="{00000000-0005-0000-0000-0000100E0000}"/>
    <cellStyle name="20% - Accent6 2 3 2 6 3" xfId="28282" xr:uid="{00000000-0005-0000-0000-0000110E0000}"/>
    <cellStyle name="20% - Accent6 2 3 2 7" xfId="10129" xr:uid="{00000000-0005-0000-0000-0000120E0000}"/>
    <cellStyle name="20% - Accent6 2 3 2 8" xfId="19453" xr:uid="{00000000-0005-0000-0000-0000130E0000}"/>
    <cellStyle name="20% - Accent6 2 3 3" xfId="772" xr:uid="{00000000-0005-0000-0000-0000140E0000}"/>
    <cellStyle name="20% - Accent6 2 3 3 2" xfId="6962" xr:uid="{00000000-0005-0000-0000-0000150E0000}"/>
    <cellStyle name="20% - Accent6 2 3 3 2 2" xfId="16286" xr:uid="{00000000-0005-0000-0000-0000160E0000}"/>
    <cellStyle name="20% - Accent6 2 3 3 2 3" xfId="25609" xr:uid="{00000000-0005-0000-0000-0000170E0000}"/>
    <cellStyle name="20% - Accent6 2 3 3 3" xfId="10373" xr:uid="{00000000-0005-0000-0000-0000180E0000}"/>
    <cellStyle name="20% - Accent6 2 3 3 4" xfId="19697" xr:uid="{00000000-0005-0000-0000-0000190E0000}"/>
    <cellStyle name="20% - Accent6 2 3 4" xfId="1470" xr:uid="{00000000-0005-0000-0000-00001A0E0000}"/>
    <cellStyle name="20% - Accent6 2 3 4 2" xfId="6569" xr:uid="{00000000-0005-0000-0000-00001B0E0000}"/>
    <cellStyle name="20% - Accent6 2 3 4 2 2" xfId="15893" xr:uid="{00000000-0005-0000-0000-00001C0E0000}"/>
    <cellStyle name="20% - Accent6 2 3 4 2 3" xfId="25216" xr:uid="{00000000-0005-0000-0000-00001D0E0000}"/>
    <cellStyle name="20% - Accent6 2 3 4 3" xfId="11038" xr:uid="{00000000-0005-0000-0000-00001E0E0000}"/>
    <cellStyle name="20% - Accent6 2 3 4 4" xfId="20362" xr:uid="{00000000-0005-0000-0000-00001F0E0000}"/>
    <cellStyle name="20% - Accent6 2 3 5" xfId="3257" xr:uid="{00000000-0005-0000-0000-0000200E0000}"/>
    <cellStyle name="20% - Accent6 2 3 5 2" xfId="7936" xr:uid="{00000000-0005-0000-0000-0000210E0000}"/>
    <cellStyle name="20% - Accent6 2 3 5 2 2" xfId="17260" xr:uid="{00000000-0005-0000-0000-0000220E0000}"/>
    <cellStyle name="20% - Accent6 2 3 5 2 3" xfId="26583" xr:uid="{00000000-0005-0000-0000-0000230E0000}"/>
    <cellStyle name="20% - Accent6 2 3 5 3" xfId="12643" xr:uid="{00000000-0005-0000-0000-0000240E0000}"/>
    <cellStyle name="20% - Accent6 2 3 5 4" xfId="21969" xr:uid="{00000000-0005-0000-0000-0000250E0000}"/>
    <cellStyle name="20% - Accent6 2 3 6" xfId="4923" xr:uid="{00000000-0005-0000-0000-0000260E0000}"/>
    <cellStyle name="20% - Accent6 2 3 6 2" xfId="14247" xr:uid="{00000000-0005-0000-0000-0000270E0000}"/>
    <cellStyle name="20% - Accent6 2 3 6 3" xfId="23570" xr:uid="{00000000-0005-0000-0000-0000280E0000}"/>
    <cellStyle name="20% - Accent6 2 3 7" xfId="9394" xr:uid="{00000000-0005-0000-0000-0000290E0000}"/>
    <cellStyle name="20% - Accent6 2 3 7 2" xfId="18718" xr:uid="{00000000-0005-0000-0000-00002A0E0000}"/>
    <cellStyle name="20% - Accent6 2 3 7 3" xfId="28041" xr:uid="{00000000-0005-0000-0000-00002B0E0000}"/>
    <cellStyle name="20% - Accent6 2 3 8" xfId="9888" xr:uid="{00000000-0005-0000-0000-00002C0E0000}"/>
    <cellStyle name="20% - Accent6 2 3 9" xfId="19212" xr:uid="{00000000-0005-0000-0000-00002D0E0000}"/>
    <cellStyle name="20% - Accent6 2 4" xfId="404" xr:uid="{00000000-0005-0000-0000-00002E0E0000}"/>
    <cellStyle name="20% - Accent6 2 4 2" xfId="892" xr:uid="{00000000-0005-0000-0000-00002F0E0000}"/>
    <cellStyle name="20% - Accent6 2 4 2 2" xfId="6872" xr:uid="{00000000-0005-0000-0000-0000300E0000}"/>
    <cellStyle name="20% - Accent6 2 4 2 2 2" xfId="16196" xr:uid="{00000000-0005-0000-0000-0000310E0000}"/>
    <cellStyle name="20% - Accent6 2 4 2 2 3" xfId="25519" xr:uid="{00000000-0005-0000-0000-0000320E0000}"/>
    <cellStyle name="20% - Accent6 2 4 2 3" xfId="10493" xr:uid="{00000000-0005-0000-0000-0000330E0000}"/>
    <cellStyle name="20% - Accent6 2 4 2 4" xfId="19817" xr:uid="{00000000-0005-0000-0000-0000340E0000}"/>
    <cellStyle name="20% - Accent6 2 4 3" xfId="1472" xr:uid="{00000000-0005-0000-0000-0000350E0000}"/>
    <cellStyle name="20% - Accent6 2 4 3 2" xfId="4567" xr:uid="{00000000-0005-0000-0000-0000360E0000}"/>
    <cellStyle name="20% - Accent6 2 4 3 2 2" xfId="13891" xr:uid="{00000000-0005-0000-0000-0000370E0000}"/>
    <cellStyle name="20% - Accent6 2 4 3 2 3" xfId="23214" xr:uid="{00000000-0005-0000-0000-0000380E0000}"/>
    <cellStyle name="20% - Accent6 2 4 3 3" xfId="11040" xr:uid="{00000000-0005-0000-0000-0000390E0000}"/>
    <cellStyle name="20% - Accent6 2 4 3 4" xfId="20364" xr:uid="{00000000-0005-0000-0000-00003A0E0000}"/>
    <cellStyle name="20% - Accent6 2 4 4" xfId="3259" xr:uid="{00000000-0005-0000-0000-00003B0E0000}"/>
    <cellStyle name="20% - Accent6 2 4 4 2" xfId="7938" xr:uid="{00000000-0005-0000-0000-00003C0E0000}"/>
    <cellStyle name="20% - Accent6 2 4 4 2 2" xfId="17262" xr:uid="{00000000-0005-0000-0000-00003D0E0000}"/>
    <cellStyle name="20% - Accent6 2 4 4 2 3" xfId="26585" xr:uid="{00000000-0005-0000-0000-00003E0E0000}"/>
    <cellStyle name="20% - Accent6 2 4 4 3" xfId="12645" xr:uid="{00000000-0005-0000-0000-00003F0E0000}"/>
    <cellStyle name="20% - Accent6 2 4 4 4" xfId="21971" xr:uid="{00000000-0005-0000-0000-0000400E0000}"/>
    <cellStyle name="20% - Accent6 2 4 5" xfId="4925" xr:uid="{00000000-0005-0000-0000-0000410E0000}"/>
    <cellStyle name="20% - Accent6 2 4 5 2" xfId="14249" xr:uid="{00000000-0005-0000-0000-0000420E0000}"/>
    <cellStyle name="20% - Accent6 2 4 5 3" xfId="23572" xr:uid="{00000000-0005-0000-0000-0000430E0000}"/>
    <cellStyle name="20% - Accent6 2 4 6" xfId="7177" xr:uid="{00000000-0005-0000-0000-0000440E0000}"/>
    <cellStyle name="20% - Accent6 2 4 6 2" xfId="16501" xr:uid="{00000000-0005-0000-0000-0000450E0000}"/>
    <cellStyle name="20% - Accent6 2 4 6 3" xfId="25824" xr:uid="{00000000-0005-0000-0000-0000460E0000}"/>
    <cellStyle name="20% - Accent6 2 4 7" xfId="9515" xr:uid="{00000000-0005-0000-0000-0000470E0000}"/>
    <cellStyle name="20% - Accent6 2 4 7 2" xfId="18839" xr:uid="{00000000-0005-0000-0000-0000480E0000}"/>
    <cellStyle name="20% - Accent6 2 4 7 3" xfId="28162" xr:uid="{00000000-0005-0000-0000-0000490E0000}"/>
    <cellStyle name="20% - Accent6 2 4 8" xfId="10009" xr:uid="{00000000-0005-0000-0000-00004A0E0000}"/>
    <cellStyle name="20% - Accent6 2 4 9" xfId="19333" xr:uid="{00000000-0005-0000-0000-00004B0E0000}"/>
    <cellStyle name="20% - Accent6 2 5" xfId="652" xr:uid="{00000000-0005-0000-0000-00004C0E0000}"/>
    <cellStyle name="20% - Accent6 2 5 2" xfId="1473" xr:uid="{00000000-0005-0000-0000-00004D0E0000}"/>
    <cellStyle name="20% - Accent6 2 5 2 2" xfId="6567" xr:uid="{00000000-0005-0000-0000-00004E0E0000}"/>
    <cellStyle name="20% - Accent6 2 5 2 2 2" xfId="15891" xr:uid="{00000000-0005-0000-0000-00004F0E0000}"/>
    <cellStyle name="20% - Accent6 2 5 2 2 3" xfId="25214" xr:uid="{00000000-0005-0000-0000-0000500E0000}"/>
    <cellStyle name="20% - Accent6 2 5 2 3" xfId="11041" xr:uid="{00000000-0005-0000-0000-0000510E0000}"/>
    <cellStyle name="20% - Accent6 2 5 2 4" xfId="20365" xr:uid="{00000000-0005-0000-0000-0000520E0000}"/>
    <cellStyle name="20% - Accent6 2 5 3" xfId="3260" xr:uid="{00000000-0005-0000-0000-0000530E0000}"/>
    <cellStyle name="20% - Accent6 2 5 3 2" xfId="7939" xr:uid="{00000000-0005-0000-0000-0000540E0000}"/>
    <cellStyle name="20% - Accent6 2 5 3 2 2" xfId="17263" xr:uid="{00000000-0005-0000-0000-0000550E0000}"/>
    <cellStyle name="20% - Accent6 2 5 3 2 3" xfId="26586" xr:uid="{00000000-0005-0000-0000-0000560E0000}"/>
    <cellStyle name="20% - Accent6 2 5 3 3" xfId="12646" xr:uid="{00000000-0005-0000-0000-0000570E0000}"/>
    <cellStyle name="20% - Accent6 2 5 3 4" xfId="21972" xr:uid="{00000000-0005-0000-0000-0000580E0000}"/>
    <cellStyle name="20% - Accent6 2 5 4" xfId="4926" xr:uid="{00000000-0005-0000-0000-0000590E0000}"/>
    <cellStyle name="20% - Accent6 2 5 4 2" xfId="14250" xr:uid="{00000000-0005-0000-0000-00005A0E0000}"/>
    <cellStyle name="20% - Accent6 2 5 4 3" xfId="23573" xr:uid="{00000000-0005-0000-0000-00005B0E0000}"/>
    <cellStyle name="20% - Accent6 2 5 5" xfId="10253" xr:uid="{00000000-0005-0000-0000-00005C0E0000}"/>
    <cellStyle name="20% - Accent6 2 5 6" xfId="19577" xr:uid="{00000000-0005-0000-0000-00005D0E0000}"/>
    <cellStyle name="20% - Accent6 2 6" xfId="1474" xr:uid="{00000000-0005-0000-0000-00005E0E0000}"/>
    <cellStyle name="20% - Accent6 2 6 2" xfId="3261" xr:uid="{00000000-0005-0000-0000-00005F0E0000}"/>
    <cellStyle name="20% - Accent6 2 6 2 2" xfId="7940" xr:uid="{00000000-0005-0000-0000-0000600E0000}"/>
    <cellStyle name="20% - Accent6 2 6 2 2 2" xfId="17264" xr:uid="{00000000-0005-0000-0000-0000610E0000}"/>
    <cellStyle name="20% - Accent6 2 6 2 2 3" xfId="26587" xr:uid="{00000000-0005-0000-0000-0000620E0000}"/>
    <cellStyle name="20% - Accent6 2 6 2 3" xfId="12647" xr:uid="{00000000-0005-0000-0000-0000630E0000}"/>
    <cellStyle name="20% - Accent6 2 6 2 4" xfId="21973" xr:uid="{00000000-0005-0000-0000-0000640E0000}"/>
    <cellStyle name="20% - Accent6 2 6 3" xfId="4927" xr:uid="{00000000-0005-0000-0000-0000650E0000}"/>
    <cellStyle name="20% - Accent6 2 6 3 2" xfId="14251" xr:uid="{00000000-0005-0000-0000-0000660E0000}"/>
    <cellStyle name="20% - Accent6 2 6 3 3" xfId="23574" xr:uid="{00000000-0005-0000-0000-0000670E0000}"/>
    <cellStyle name="20% - Accent6 2 6 4" xfId="11042" xr:uid="{00000000-0005-0000-0000-0000680E0000}"/>
    <cellStyle name="20% - Accent6 2 6 5" xfId="20366" xr:uid="{00000000-0005-0000-0000-0000690E0000}"/>
    <cellStyle name="20% - Accent6 2 7" xfId="1465" xr:uid="{00000000-0005-0000-0000-00006A0E0000}"/>
    <cellStyle name="20% - Accent6 2 7 2" xfId="3252" xr:uid="{00000000-0005-0000-0000-00006B0E0000}"/>
    <cellStyle name="20% - Accent6 2 7 2 2" xfId="7931" xr:uid="{00000000-0005-0000-0000-00006C0E0000}"/>
    <cellStyle name="20% - Accent6 2 7 2 2 2" xfId="17255" xr:uid="{00000000-0005-0000-0000-00006D0E0000}"/>
    <cellStyle name="20% - Accent6 2 7 2 2 3" xfId="26578" xr:uid="{00000000-0005-0000-0000-00006E0E0000}"/>
    <cellStyle name="20% - Accent6 2 7 2 3" xfId="12638" xr:uid="{00000000-0005-0000-0000-00006F0E0000}"/>
    <cellStyle name="20% - Accent6 2 7 2 4" xfId="21964" xr:uid="{00000000-0005-0000-0000-0000700E0000}"/>
    <cellStyle name="20% - Accent6 2 7 3" xfId="4918" xr:uid="{00000000-0005-0000-0000-0000710E0000}"/>
    <cellStyle name="20% - Accent6 2 7 3 2" xfId="14242" xr:uid="{00000000-0005-0000-0000-0000720E0000}"/>
    <cellStyle name="20% - Accent6 2 7 3 3" xfId="23565" xr:uid="{00000000-0005-0000-0000-0000730E0000}"/>
    <cellStyle name="20% - Accent6 2 7 4" xfId="11033" xr:uid="{00000000-0005-0000-0000-0000740E0000}"/>
    <cellStyle name="20% - Accent6 2 7 5" xfId="20357" xr:uid="{00000000-0005-0000-0000-0000750E0000}"/>
    <cellStyle name="20% - Accent6 2 8" xfId="1147" xr:uid="{00000000-0005-0000-0000-0000760E0000}"/>
    <cellStyle name="20% - Accent6 2 8 2" xfId="6702" xr:uid="{00000000-0005-0000-0000-0000770E0000}"/>
    <cellStyle name="20% - Accent6 2 8 2 2" xfId="16026" xr:uid="{00000000-0005-0000-0000-0000780E0000}"/>
    <cellStyle name="20% - Accent6 2 8 2 3" xfId="25349" xr:uid="{00000000-0005-0000-0000-0000790E0000}"/>
    <cellStyle name="20% - Accent6 2 8 3" xfId="10746" xr:uid="{00000000-0005-0000-0000-00007A0E0000}"/>
    <cellStyle name="20% - Accent6 2 8 4" xfId="20070" xr:uid="{00000000-0005-0000-0000-00007B0E0000}"/>
    <cellStyle name="20% - Accent6 2 9" xfId="2965" xr:uid="{00000000-0005-0000-0000-00007C0E0000}"/>
    <cellStyle name="20% - Accent6 2 9 2" xfId="7644" xr:uid="{00000000-0005-0000-0000-00007D0E0000}"/>
    <cellStyle name="20% - Accent6 2 9 2 2" xfId="16968" xr:uid="{00000000-0005-0000-0000-00007E0E0000}"/>
    <cellStyle name="20% - Accent6 2 9 2 3" xfId="26291" xr:uid="{00000000-0005-0000-0000-00007F0E0000}"/>
    <cellStyle name="20% - Accent6 2 9 3" xfId="12366" xr:uid="{00000000-0005-0000-0000-0000800E0000}"/>
    <cellStyle name="20% - Accent6 2 9 4" xfId="21692" xr:uid="{00000000-0005-0000-0000-0000810E0000}"/>
    <cellStyle name="20% - Accent6 3" xfId="68" xr:uid="{00000000-0005-0000-0000-0000820E0000}"/>
    <cellStyle name="20% - Accent6 3 10" xfId="9262" xr:uid="{00000000-0005-0000-0000-0000830E0000}"/>
    <cellStyle name="20% - Accent6 3 10 2" xfId="18586" xr:uid="{00000000-0005-0000-0000-0000840E0000}"/>
    <cellStyle name="20% - Accent6 3 10 3" xfId="27909" xr:uid="{00000000-0005-0000-0000-0000850E0000}"/>
    <cellStyle name="20% - Accent6 3 11" xfId="9756" xr:uid="{00000000-0005-0000-0000-0000860E0000}"/>
    <cellStyle name="20% - Accent6 3 12" xfId="19080" xr:uid="{00000000-0005-0000-0000-0000870E0000}"/>
    <cellStyle name="20% - Accent6 3 13" xfId="28854" xr:uid="{00000000-0005-0000-0000-0000880E0000}"/>
    <cellStyle name="20% - Accent6 3 2" xfId="206" xr:uid="{00000000-0005-0000-0000-0000890E0000}"/>
    <cellStyle name="20% - Accent6 3 2 10" xfId="9828" xr:uid="{00000000-0005-0000-0000-00008A0E0000}"/>
    <cellStyle name="20% - Accent6 3 2 11" xfId="19152" xr:uid="{00000000-0005-0000-0000-00008B0E0000}"/>
    <cellStyle name="20% - Accent6 3 2 2" xfId="346" xr:uid="{00000000-0005-0000-0000-00008C0E0000}"/>
    <cellStyle name="20% - Accent6 3 2 2 10" xfId="19275" xr:uid="{00000000-0005-0000-0000-00008D0E0000}"/>
    <cellStyle name="20% - Accent6 3 2 2 2" xfId="586" xr:uid="{00000000-0005-0000-0000-00008E0E0000}"/>
    <cellStyle name="20% - Accent6 3 2 2 2 2" xfId="1074" xr:uid="{00000000-0005-0000-0000-00008F0E0000}"/>
    <cellStyle name="20% - Accent6 3 2 2 2 2 2" xfId="6744" xr:uid="{00000000-0005-0000-0000-0000900E0000}"/>
    <cellStyle name="20% - Accent6 3 2 2 2 2 2 2" xfId="16068" xr:uid="{00000000-0005-0000-0000-0000910E0000}"/>
    <cellStyle name="20% - Accent6 3 2 2 2 2 2 3" xfId="25391" xr:uid="{00000000-0005-0000-0000-0000920E0000}"/>
    <cellStyle name="20% - Accent6 3 2 2 2 2 3" xfId="10675" xr:uid="{00000000-0005-0000-0000-0000930E0000}"/>
    <cellStyle name="20% - Accent6 3 2 2 2 2 4" xfId="19999" xr:uid="{00000000-0005-0000-0000-0000940E0000}"/>
    <cellStyle name="20% - Accent6 3 2 2 2 3" xfId="7067" xr:uid="{00000000-0005-0000-0000-0000950E0000}"/>
    <cellStyle name="20% - Accent6 3 2 2 2 3 2" xfId="16391" xr:uid="{00000000-0005-0000-0000-0000960E0000}"/>
    <cellStyle name="20% - Accent6 3 2 2 2 3 3" xfId="25714" xr:uid="{00000000-0005-0000-0000-0000970E0000}"/>
    <cellStyle name="20% - Accent6 3 2 2 2 4" xfId="9697" xr:uid="{00000000-0005-0000-0000-0000980E0000}"/>
    <cellStyle name="20% - Accent6 3 2 2 2 4 2" xfId="19021" xr:uid="{00000000-0005-0000-0000-0000990E0000}"/>
    <cellStyle name="20% - Accent6 3 2 2 2 4 3" xfId="28344" xr:uid="{00000000-0005-0000-0000-00009A0E0000}"/>
    <cellStyle name="20% - Accent6 3 2 2 2 5" xfId="10191" xr:uid="{00000000-0005-0000-0000-00009B0E0000}"/>
    <cellStyle name="20% - Accent6 3 2 2 2 6" xfId="19515" xr:uid="{00000000-0005-0000-0000-00009C0E0000}"/>
    <cellStyle name="20% - Accent6 3 2 2 3" xfId="834" xr:uid="{00000000-0005-0000-0000-00009D0E0000}"/>
    <cellStyle name="20% - Accent6 3 2 2 3 2" xfId="6918" xr:uid="{00000000-0005-0000-0000-00009E0E0000}"/>
    <cellStyle name="20% - Accent6 3 2 2 3 2 2" xfId="16242" xr:uid="{00000000-0005-0000-0000-00009F0E0000}"/>
    <cellStyle name="20% - Accent6 3 2 2 3 2 3" xfId="25565" xr:uid="{00000000-0005-0000-0000-0000A00E0000}"/>
    <cellStyle name="20% - Accent6 3 2 2 3 3" xfId="10435" xr:uid="{00000000-0005-0000-0000-0000A10E0000}"/>
    <cellStyle name="20% - Accent6 3 2 2 3 4" xfId="19759" xr:uid="{00000000-0005-0000-0000-0000A20E0000}"/>
    <cellStyle name="20% - Accent6 3 2 2 4" xfId="1477" xr:uid="{00000000-0005-0000-0000-0000A30E0000}"/>
    <cellStyle name="20% - Accent6 3 2 2 4 2" xfId="5854" xr:uid="{00000000-0005-0000-0000-0000A40E0000}"/>
    <cellStyle name="20% - Accent6 3 2 2 4 2 2" xfId="15178" xr:uid="{00000000-0005-0000-0000-0000A50E0000}"/>
    <cellStyle name="20% - Accent6 3 2 2 4 2 3" xfId="24501" xr:uid="{00000000-0005-0000-0000-0000A60E0000}"/>
    <cellStyle name="20% - Accent6 3 2 2 4 3" xfId="11045" xr:uid="{00000000-0005-0000-0000-0000A70E0000}"/>
    <cellStyle name="20% - Accent6 3 2 2 4 4" xfId="20369" xr:uid="{00000000-0005-0000-0000-0000A80E0000}"/>
    <cellStyle name="20% - Accent6 3 2 2 5" xfId="3264" xr:uid="{00000000-0005-0000-0000-0000A90E0000}"/>
    <cellStyle name="20% - Accent6 3 2 2 5 2" xfId="7943" xr:uid="{00000000-0005-0000-0000-0000AA0E0000}"/>
    <cellStyle name="20% - Accent6 3 2 2 5 2 2" xfId="17267" xr:uid="{00000000-0005-0000-0000-0000AB0E0000}"/>
    <cellStyle name="20% - Accent6 3 2 2 5 2 3" xfId="26590" xr:uid="{00000000-0005-0000-0000-0000AC0E0000}"/>
    <cellStyle name="20% - Accent6 3 2 2 5 3" xfId="12650" xr:uid="{00000000-0005-0000-0000-0000AD0E0000}"/>
    <cellStyle name="20% - Accent6 3 2 2 5 4" xfId="21976" xr:uid="{00000000-0005-0000-0000-0000AE0E0000}"/>
    <cellStyle name="20% - Accent6 3 2 2 6" xfId="4930" xr:uid="{00000000-0005-0000-0000-0000AF0E0000}"/>
    <cellStyle name="20% - Accent6 3 2 2 6 2" xfId="14254" xr:uid="{00000000-0005-0000-0000-0000B00E0000}"/>
    <cellStyle name="20% - Accent6 3 2 2 6 3" xfId="23577" xr:uid="{00000000-0005-0000-0000-0000B10E0000}"/>
    <cellStyle name="20% - Accent6 3 2 2 7" xfId="7202" xr:uid="{00000000-0005-0000-0000-0000B20E0000}"/>
    <cellStyle name="20% - Accent6 3 2 2 7 2" xfId="16526" xr:uid="{00000000-0005-0000-0000-0000B30E0000}"/>
    <cellStyle name="20% - Accent6 3 2 2 7 3" xfId="25849" xr:uid="{00000000-0005-0000-0000-0000B40E0000}"/>
    <cellStyle name="20% - Accent6 3 2 2 8" xfId="9457" xr:uid="{00000000-0005-0000-0000-0000B50E0000}"/>
    <cellStyle name="20% - Accent6 3 2 2 8 2" xfId="18781" xr:uid="{00000000-0005-0000-0000-0000B60E0000}"/>
    <cellStyle name="20% - Accent6 3 2 2 8 3" xfId="28104" xr:uid="{00000000-0005-0000-0000-0000B70E0000}"/>
    <cellStyle name="20% - Accent6 3 2 2 9" xfId="9951" xr:uid="{00000000-0005-0000-0000-0000B80E0000}"/>
    <cellStyle name="20% - Accent6 3 2 3" xfId="464" xr:uid="{00000000-0005-0000-0000-0000B90E0000}"/>
    <cellStyle name="20% - Accent6 3 2 3 2" xfId="952" xr:uid="{00000000-0005-0000-0000-0000BA0E0000}"/>
    <cellStyle name="20% - Accent6 3 2 3 2 2" xfId="6825" xr:uid="{00000000-0005-0000-0000-0000BB0E0000}"/>
    <cellStyle name="20% - Accent6 3 2 3 2 2 2" xfId="16149" xr:uid="{00000000-0005-0000-0000-0000BC0E0000}"/>
    <cellStyle name="20% - Accent6 3 2 3 2 2 3" xfId="25472" xr:uid="{00000000-0005-0000-0000-0000BD0E0000}"/>
    <cellStyle name="20% - Accent6 3 2 3 2 3" xfId="10553" xr:uid="{00000000-0005-0000-0000-0000BE0E0000}"/>
    <cellStyle name="20% - Accent6 3 2 3 2 4" xfId="19877" xr:uid="{00000000-0005-0000-0000-0000BF0E0000}"/>
    <cellStyle name="20% - Accent6 3 2 3 3" xfId="7138" xr:uid="{00000000-0005-0000-0000-0000C00E0000}"/>
    <cellStyle name="20% - Accent6 3 2 3 3 2" xfId="16462" xr:uid="{00000000-0005-0000-0000-0000C10E0000}"/>
    <cellStyle name="20% - Accent6 3 2 3 3 3" xfId="25785" xr:uid="{00000000-0005-0000-0000-0000C20E0000}"/>
    <cellStyle name="20% - Accent6 3 2 3 4" xfId="9575" xr:uid="{00000000-0005-0000-0000-0000C30E0000}"/>
    <cellStyle name="20% - Accent6 3 2 3 4 2" xfId="18899" xr:uid="{00000000-0005-0000-0000-0000C40E0000}"/>
    <cellStyle name="20% - Accent6 3 2 3 4 3" xfId="28222" xr:uid="{00000000-0005-0000-0000-0000C50E0000}"/>
    <cellStyle name="20% - Accent6 3 2 3 5" xfId="10069" xr:uid="{00000000-0005-0000-0000-0000C60E0000}"/>
    <cellStyle name="20% - Accent6 3 2 3 6" xfId="19393" xr:uid="{00000000-0005-0000-0000-0000C70E0000}"/>
    <cellStyle name="20% - Accent6 3 2 4" xfId="712" xr:uid="{00000000-0005-0000-0000-0000C80E0000}"/>
    <cellStyle name="20% - Accent6 3 2 4 2" xfId="4624" xr:uid="{00000000-0005-0000-0000-0000C90E0000}"/>
    <cellStyle name="20% - Accent6 3 2 4 2 2" xfId="13948" xr:uid="{00000000-0005-0000-0000-0000CA0E0000}"/>
    <cellStyle name="20% - Accent6 3 2 4 2 3" xfId="23271" xr:uid="{00000000-0005-0000-0000-0000CB0E0000}"/>
    <cellStyle name="20% - Accent6 3 2 4 3" xfId="10313" xr:uid="{00000000-0005-0000-0000-0000CC0E0000}"/>
    <cellStyle name="20% - Accent6 3 2 4 4" xfId="19637" xr:uid="{00000000-0005-0000-0000-0000CD0E0000}"/>
    <cellStyle name="20% - Accent6 3 2 5" xfId="1476" xr:uid="{00000000-0005-0000-0000-0000CE0E0000}"/>
    <cellStyle name="20% - Accent6 3 2 5 2" xfId="6565" xr:uid="{00000000-0005-0000-0000-0000CF0E0000}"/>
    <cellStyle name="20% - Accent6 3 2 5 2 2" xfId="15889" xr:uid="{00000000-0005-0000-0000-0000D00E0000}"/>
    <cellStyle name="20% - Accent6 3 2 5 2 3" xfId="25212" xr:uid="{00000000-0005-0000-0000-0000D10E0000}"/>
    <cellStyle name="20% - Accent6 3 2 5 3" xfId="11044" xr:uid="{00000000-0005-0000-0000-0000D20E0000}"/>
    <cellStyle name="20% - Accent6 3 2 5 4" xfId="20368" xr:uid="{00000000-0005-0000-0000-0000D30E0000}"/>
    <cellStyle name="20% - Accent6 3 2 6" xfId="3263" xr:uid="{00000000-0005-0000-0000-0000D40E0000}"/>
    <cellStyle name="20% - Accent6 3 2 6 2" xfId="7942" xr:uid="{00000000-0005-0000-0000-0000D50E0000}"/>
    <cellStyle name="20% - Accent6 3 2 6 2 2" xfId="17266" xr:uid="{00000000-0005-0000-0000-0000D60E0000}"/>
    <cellStyle name="20% - Accent6 3 2 6 2 3" xfId="26589" xr:uid="{00000000-0005-0000-0000-0000D70E0000}"/>
    <cellStyle name="20% - Accent6 3 2 6 3" xfId="12649" xr:uid="{00000000-0005-0000-0000-0000D80E0000}"/>
    <cellStyle name="20% - Accent6 3 2 6 4" xfId="21975" xr:uid="{00000000-0005-0000-0000-0000D90E0000}"/>
    <cellStyle name="20% - Accent6 3 2 7" xfId="4929" xr:uid="{00000000-0005-0000-0000-0000DA0E0000}"/>
    <cellStyle name="20% - Accent6 3 2 7 2" xfId="14253" xr:uid="{00000000-0005-0000-0000-0000DB0E0000}"/>
    <cellStyle name="20% - Accent6 3 2 7 3" xfId="23576" xr:uid="{00000000-0005-0000-0000-0000DC0E0000}"/>
    <cellStyle name="20% - Accent6 3 2 8" xfId="7269" xr:uid="{00000000-0005-0000-0000-0000DD0E0000}"/>
    <cellStyle name="20% - Accent6 3 2 8 2" xfId="16593" xr:uid="{00000000-0005-0000-0000-0000DE0E0000}"/>
    <cellStyle name="20% - Accent6 3 2 8 3" xfId="25916" xr:uid="{00000000-0005-0000-0000-0000DF0E0000}"/>
    <cellStyle name="20% - Accent6 3 2 9" xfId="9334" xr:uid="{00000000-0005-0000-0000-0000E00E0000}"/>
    <cellStyle name="20% - Accent6 3 2 9 2" xfId="18658" xr:uid="{00000000-0005-0000-0000-0000E10E0000}"/>
    <cellStyle name="20% - Accent6 3 2 9 3" xfId="27981" xr:uid="{00000000-0005-0000-0000-0000E20E0000}"/>
    <cellStyle name="20% - Accent6 3 3" xfId="290" xr:uid="{00000000-0005-0000-0000-0000E30E0000}"/>
    <cellStyle name="20% - Accent6 3 3 10" xfId="19224" xr:uid="{00000000-0005-0000-0000-0000E40E0000}"/>
    <cellStyle name="20% - Accent6 3 3 2" xfId="536" xr:uid="{00000000-0005-0000-0000-0000E50E0000}"/>
    <cellStyle name="20% - Accent6 3 3 2 2" xfId="1024" xr:uid="{00000000-0005-0000-0000-0000E60E0000}"/>
    <cellStyle name="20% - Accent6 3 3 2 2 2" xfId="6779" xr:uid="{00000000-0005-0000-0000-0000E70E0000}"/>
    <cellStyle name="20% - Accent6 3 3 2 2 2 2" xfId="16103" xr:uid="{00000000-0005-0000-0000-0000E80E0000}"/>
    <cellStyle name="20% - Accent6 3 3 2 2 2 3" xfId="25426" xr:uid="{00000000-0005-0000-0000-0000E90E0000}"/>
    <cellStyle name="20% - Accent6 3 3 2 2 3" xfId="10625" xr:uid="{00000000-0005-0000-0000-0000EA0E0000}"/>
    <cellStyle name="20% - Accent6 3 3 2 2 4" xfId="19949" xr:uid="{00000000-0005-0000-0000-0000EB0E0000}"/>
    <cellStyle name="20% - Accent6 3 3 2 3" xfId="7088" xr:uid="{00000000-0005-0000-0000-0000EC0E0000}"/>
    <cellStyle name="20% - Accent6 3 3 2 3 2" xfId="16412" xr:uid="{00000000-0005-0000-0000-0000ED0E0000}"/>
    <cellStyle name="20% - Accent6 3 3 2 3 3" xfId="25735" xr:uid="{00000000-0005-0000-0000-0000EE0E0000}"/>
    <cellStyle name="20% - Accent6 3 3 2 4" xfId="9647" xr:uid="{00000000-0005-0000-0000-0000EF0E0000}"/>
    <cellStyle name="20% - Accent6 3 3 2 4 2" xfId="18971" xr:uid="{00000000-0005-0000-0000-0000F00E0000}"/>
    <cellStyle name="20% - Accent6 3 3 2 4 3" xfId="28294" xr:uid="{00000000-0005-0000-0000-0000F10E0000}"/>
    <cellStyle name="20% - Accent6 3 3 2 5" xfId="10141" xr:uid="{00000000-0005-0000-0000-0000F20E0000}"/>
    <cellStyle name="20% - Accent6 3 3 2 6" xfId="19465" xr:uid="{00000000-0005-0000-0000-0000F30E0000}"/>
    <cellStyle name="20% - Accent6 3 3 3" xfId="784" xr:uid="{00000000-0005-0000-0000-0000F40E0000}"/>
    <cellStyle name="20% - Accent6 3 3 3 2" xfId="6952" xr:uid="{00000000-0005-0000-0000-0000F50E0000}"/>
    <cellStyle name="20% - Accent6 3 3 3 2 2" xfId="16276" xr:uid="{00000000-0005-0000-0000-0000F60E0000}"/>
    <cellStyle name="20% - Accent6 3 3 3 2 3" xfId="25599" xr:uid="{00000000-0005-0000-0000-0000F70E0000}"/>
    <cellStyle name="20% - Accent6 3 3 3 3" xfId="10385" xr:uid="{00000000-0005-0000-0000-0000F80E0000}"/>
    <cellStyle name="20% - Accent6 3 3 3 4" xfId="19709" xr:uid="{00000000-0005-0000-0000-0000F90E0000}"/>
    <cellStyle name="20% - Accent6 3 3 4" xfId="1478" xr:uid="{00000000-0005-0000-0000-0000FA0E0000}"/>
    <cellStyle name="20% - Accent6 3 3 4 2" xfId="6555" xr:uid="{00000000-0005-0000-0000-0000FB0E0000}"/>
    <cellStyle name="20% - Accent6 3 3 4 2 2" xfId="15879" xr:uid="{00000000-0005-0000-0000-0000FC0E0000}"/>
    <cellStyle name="20% - Accent6 3 3 4 2 3" xfId="25202" xr:uid="{00000000-0005-0000-0000-0000FD0E0000}"/>
    <cellStyle name="20% - Accent6 3 3 4 3" xfId="11046" xr:uid="{00000000-0005-0000-0000-0000FE0E0000}"/>
    <cellStyle name="20% - Accent6 3 3 4 4" xfId="20370" xr:uid="{00000000-0005-0000-0000-0000FF0E0000}"/>
    <cellStyle name="20% - Accent6 3 3 5" xfId="3265" xr:uid="{00000000-0005-0000-0000-0000000F0000}"/>
    <cellStyle name="20% - Accent6 3 3 5 2" xfId="7944" xr:uid="{00000000-0005-0000-0000-0000010F0000}"/>
    <cellStyle name="20% - Accent6 3 3 5 2 2" xfId="17268" xr:uid="{00000000-0005-0000-0000-0000020F0000}"/>
    <cellStyle name="20% - Accent6 3 3 5 2 3" xfId="26591" xr:uid="{00000000-0005-0000-0000-0000030F0000}"/>
    <cellStyle name="20% - Accent6 3 3 5 3" xfId="12651" xr:uid="{00000000-0005-0000-0000-0000040F0000}"/>
    <cellStyle name="20% - Accent6 3 3 5 4" xfId="21977" xr:uid="{00000000-0005-0000-0000-0000050F0000}"/>
    <cellStyle name="20% - Accent6 3 3 6" xfId="4931" xr:uid="{00000000-0005-0000-0000-0000060F0000}"/>
    <cellStyle name="20% - Accent6 3 3 6 2" xfId="14255" xr:uid="{00000000-0005-0000-0000-0000070F0000}"/>
    <cellStyle name="20% - Accent6 3 3 6 3" xfId="23578" xr:uid="{00000000-0005-0000-0000-0000080F0000}"/>
    <cellStyle name="20% - Accent6 3 3 7" xfId="7233" xr:uid="{00000000-0005-0000-0000-0000090F0000}"/>
    <cellStyle name="20% - Accent6 3 3 7 2" xfId="16557" xr:uid="{00000000-0005-0000-0000-00000A0F0000}"/>
    <cellStyle name="20% - Accent6 3 3 7 3" xfId="25880" xr:uid="{00000000-0005-0000-0000-00000B0F0000}"/>
    <cellStyle name="20% - Accent6 3 3 8" xfId="9406" xr:uid="{00000000-0005-0000-0000-00000C0F0000}"/>
    <cellStyle name="20% - Accent6 3 3 8 2" xfId="18730" xr:uid="{00000000-0005-0000-0000-00000D0F0000}"/>
    <cellStyle name="20% - Accent6 3 3 8 3" xfId="28053" xr:uid="{00000000-0005-0000-0000-00000E0F0000}"/>
    <cellStyle name="20% - Accent6 3 3 9" xfId="9900" xr:uid="{00000000-0005-0000-0000-00000F0F0000}"/>
    <cellStyle name="20% - Accent6 3 4" xfId="405" xr:uid="{00000000-0005-0000-0000-0000100F0000}"/>
    <cellStyle name="20% - Accent6 3 4 2" xfId="893" xr:uid="{00000000-0005-0000-0000-0000110F0000}"/>
    <cellStyle name="20% - Accent6 3 4 2 2" xfId="6871" xr:uid="{00000000-0005-0000-0000-0000120F0000}"/>
    <cellStyle name="20% - Accent6 3 4 2 2 2" xfId="16195" xr:uid="{00000000-0005-0000-0000-0000130F0000}"/>
    <cellStyle name="20% - Accent6 3 4 2 2 3" xfId="25518" xr:uid="{00000000-0005-0000-0000-0000140F0000}"/>
    <cellStyle name="20% - Accent6 3 4 2 3" xfId="10494" xr:uid="{00000000-0005-0000-0000-0000150F0000}"/>
    <cellStyle name="20% - Accent6 3 4 2 4" xfId="19818" xr:uid="{00000000-0005-0000-0000-0000160F0000}"/>
    <cellStyle name="20% - Accent6 3 4 3" xfId="1479" xr:uid="{00000000-0005-0000-0000-0000170F0000}"/>
    <cellStyle name="20% - Accent6 3 4 3 2" xfId="6564" xr:uid="{00000000-0005-0000-0000-0000180F0000}"/>
    <cellStyle name="20% - Accent6 3 4 3 2 2" xfId="15888" xr:uid="{00000000-0005-0000-0000-0000190F0000}"/>
    <cellStyle name="20% - Accent6 3 4 3 2 3" xfId="25211" xr:uid="{00000000-0005-0000-0000-00001A0F0000}"/>
    <cellStyle name="20% - Accent6 3 4 3 3" xfId="11047" xr:uid="{00000000-0005-0000-0000-00001B0F0000}"/>
    <cellStyle name="20% - Accent6 3 4 3 4" xfId="20371" xr:uid="{00000000-0005-0000-0000-00001C0F0000}"/>
    <cellStyle name="20% - Accent6 3 4 4" xfId="3266" xr:uid="{00000000-0005-0000-0000-00001D0F0000}"/>
    <cellStyle name="20% - Accent6 3 4 4 2" xfId="7945" xr:uid="{00000000-0005-0000-0000-00001E0F0000}"/>
    <cellStyle name="20% - Accent6 3 4 4 2 2" xfId="17269" xr:uid="{00000000-0005-0000-0000-00001F0F0000}"/>
    <cellStyle name="20% - Accent6 3 4 4 2 3" xfId="26592" xr:uid="{00000000-0005-0000-0000-0000200F0000}"/>
    <cellStyle name="20% - Accent6 3 4 4 3" xfId="12652" xr:uid="{00000000-0005-0000-0000-0000210F0000}"/>
    <cellStyle name="20% - Accent6 3 4 4 4" xfId="21978" xr:uid="{00000000-0005-0000-0000-0000220F0000}"/>
    <cellStyle name="20% - Accent6 3 4 5" xfId="4932" xr:uid="{00000000-0005-0000-0000-0000230F0000}"/>
    <cellStyle name="20% - Accent6 3 4 5 2" xfId="14256" xr:uid="{00000000-0005-0000-0000-0000240F0000}"/>
    <cellStyle name="20% - Accent6 3 4 5 3" xfId="23579" xr:uid="{00000000-0005-0000-0000-0000250F0000}"/>
    <cellStyle name="20% - Accent6 3 4 6" xfId="7176" xr:uid="{00000000-0005-0000-0000-0000260F0000}"/>
    <cellStyle name="20% - Accent6 3 4 6 2" xfId="16500" xr:uid="{00000000-0005-0000-0000-0000270F0000}"/>
    <cellStyle name="20% - Accent6 3 4 6 3" xfId="25823" xr:uid="{00000000-0005-0000-0000-0000280F0000}"/>
    <cellStyle name="20% - Accent6 3 4 7" xfId="9516" xr:uid="{00000000-0005-0000-0000-0000290F0000}"/>
    <cellStyle name="20% - Accent6 3 4 7 2" xfId="18840" xr:uid="{00000000-0005-0000-0000-00002A0F0000}"/>
    <cellStyle name="20% - Accent6 3 4 7 3" xfId="28163" xr:uid="{00000000-0005-0000-0000-00002B0F0000}"/>
    <cellStyle name="20% - Accent6 3 4 8" xfId="10010" xr:uid="{00000000-0005-0000-0000-00002C0F0000}"/>
    <cellStyle name="20% - Accent6 3 4 9" xfId="19334" xr:uid="{00000000-0005-0000-0000-00002D0F0000}"/>
    <cellStyle name="20% - Accent6 3 5" xfId="653" xr:uid="{00000000-0005-0000-0000-00002E0F0000}"/>
    <cellStyle name="20% - Accent6 3 5 2" xfId="1480" xr:uid="{00000000-0005-0000-0000-00002F0F0000}"/>
    <cellStyle name="20% - Accent6 3 5 2 2" xfId="6563" xr:uid="{00000000-0005-0000-0000-0000300F0000}"/>
    <cellStyle name="20% - Accent6 3 5 2 2 2" xfId="15887" xr:uid="{00000000-0005-0000-0000-0000310F0000}"/>
    <cellStyle name="20% - Accent6 3 5 2 2 3" xfId="25210" xr:uid="{00000000-0005-0000-0000-0000320F0000}"/>
    <cellStyle name="20% - Accent6 3 5 2 3" xfId="11048" xr:uid="{00000000-0005-0000-0000-0000330F0000}"/>
    <cellStyle name="20% - Accent6 3 5 2 4" xfId="20372" xr:uid="{00000000-0005-0000-0000-0000340F0000}"/>
    <cellStyle name="20% - Accent6 3 5 3" xfId="3267" xr:uid="{00000000-0005-0000-0000-0000350F0000}"/>
    <cellStyle name="20% - Accent6 3 5 3 2" xfId="7946" xr:uid="{00000000-0005-0000-0000-0000360F0000}"/>
    <cellStyle name="20% - Accent6 3 5 3 2 2" xfId="17270" xr:uid="{00000000-0005-0000-0000-0000370F0000}"/>
    <cellStyle name="20% - Accent6 3 5 3 2 3" xfId="26593" xr:uid="{00000000-0005-0000-0000-0000380F0000}"/>
    <cellStyle name="20% - Accent6 3 5 3 3" xfId="12653" xr:uid="{00000000-0005-0000-0000-0000390F0000}"/>
    <cellStyle name="20% - Accent6 3 5 3 4" xfId="21979" xr:uid="{00000000-0005-0000-0000-00003A0F0000}"/>
    <cellStyle name="20% - Accent6 3 5 4" xfId="4933" xr:uid="{00000000-0005-0000-0000-00003B0F0000}"/>
    <cellStyle name="20% - Accent6 3 5 4 2" xfId="14257" xr:uid="{00000000-0005-0000-0000-00003C0F0000}"/>
    <cellStyle name="20% - Accent6 3 5 4 3" xfId="23580" xr:uid="{00000000-0005-0000-0000-00003D0F0000}"/>
    <cellStyle name="20% - Accent6 3 5 5" xfId="5275" xr:uid="{00000000-0005-0000-0000-00003E0F0000}"/>
    <cellStyle name="20% - Accent6 3 5 5 2" xfId="14599" xr:uid="{00000000-0005-0000-0000-00003F0F0000}"/>
    <cellStyle name="20% - Accent6 3 5 5 3" xfId="23922" xr:uid="{00000000-0005-0000-0000-0000400F0000}"/>
    <cellStyle name="20% - Accent6 3 5 6" xfId="10254" xr:uid="{00000000-0005-0000-0000-0000410F0000}"/>
    <cellStyle name="20% - Accent6 3 5 7" xfId="19578" xr:uid="{00000000-0005-0000-0000-0000420F0000}"/>
    <cellStyle name="20% - Accent6 3 6" xfId="1475" xr:uid="{00000000-0005-0000-0000-0000430F0000}"/>
    <cellStyle name="20% - Accent6 3 6 2" xfId="6566" xr:uid="{00000000-0005-0000-0000-0000440F0000}"/>
    <cellStyle name="20% - Accent6 3 6 2 2" xfId="15890" xr:uid="{00000000-0005-0000-0000-0000450F0000}"/>
    <cellStyle name="20% - Accent6 3 6 2 3" xfId="25213" xr:uid="{00000000-0005-0000-0000-0000460F0000}"/>
    <cellStyle name="20% - Accent6 3 6 3" xfId="11043" xr:uid="{00000000-0005-0000-0000-0000470F0000}"/>
    <cellStyle name="20% - Accent6 3 6 4" xfId="20367" xr:uid="{00000000-0005-0000-0000-0000480F0000}"/>
    <cellStyle name="20% - Accent6 3 7" xfId="3262" xr:uid="{00000000-0005-0000-0000-0000490F0000}"/>
    <cellStyle name="20% - Accent6 3 7 2" xfId="7941" xr:uid="{00000000-0005-0000-0000-00004A0F0000}"/>
    <cellStyle name="20% - Accent6 3 7 2 2" xfId="17265" xr:uid="{00000000-0005-0000-0000-00004B0F0000}"/>
    <cellStyle name="20% - Accent6 3 7 2 3" xfId="26588" xr:uid="{00000000-0005-0000-0000-00004C0F0000}"/>
    <cellStyle name="20% - Accent6 3 7 3" xfId="12648" xr:uid="{00000000-0005-0000-0000-00004D0F0000}"/>
    <cellStyle name="20% - Accent6 3 7 4" xfId="21974" xr:uid="{00000000-0005-0000-0000-00004E0F0000}"/>
    <cellStyle name="20% - Accent6 3 8" xfId="4928" xr:uid="{00000000-0005-0000-0000-00004F0F0000}"/>
    <cellStyle name="20% - Accent6 3 8 2" xfId="14252" xr:uid="{00000000-0005-0000-0000-0000500F0000}"/>
    <cellStyle name="20% - Accent6 3 8 3" xfId="23575" xr:uid="{00000000-0005-0000-0000-0000510F0000}"/>
    <cellStyle name="20% - Accent6 3 9" xfId="7317" xr:uid="{00000000-0005-0000-0000-0000520F0000}"/>
    <cellStyle name="20% - Accent6 3 9 2" xfId="16641" xr:uid="{00000000-0005-0000-0000-0000530F0000}"/>
    <cellStyle name="20% - Accent6 3 9 3" xfId="25964" xr:uid="{00000000-0005-0000-0000-0000540F0000}"/>
    <cellStyle name="20% - Accent6 4" xfId="192" xr:uid="{00000000-0005-0000-0000-0000550F0000}"/>
    <cellStyle name="20% - Accent6 4 10" xfId="19138" xr:uid="{00000000-0005-0000-0000-0000560F0000}"/>
    <cellStyle name="20% - Accent6 4 11" xfId="28924" xr:uid="{00000000-0005-0000-0000-0000570F0000}"/>
    <cellStyle name="20% - Accent6 4 2" xfId="332" xr:uid="{00000000-0005-0000-0000-0000580F0000}"/>
    <cellStyle name="20% - Accent6 4 2 2" xfId="572" xr:uid="{00000000-0005-0000-0000-0000590F0000}"/>
    <cellStyle name="20% - Accent6 4 2 2 2" xfId="1060" xr:uid="{00000000-0005-0000-0000-00005A0F0000}"/>
    <cellStyle name="20% - Accent6 4 2 2 2 2" xfId="5490" xr:uid="{00000000-0005-0000-0000-00005B0F0000}"/>
    <cellStyle name="20% - Accent6 4 2 2 2 2 2" xfId="14814" xr:uid="{00000000-0005-0000-0000-00005C0F0000}"/>
    <cellStyle name="20% - Accent6 4 2 2 2 2 3" xfId="24137" xr:uid="{00000000-0005-0000-0000-00005D0F0000}"/>
    <cellStyle name="20% - Accent6 4 2 2 2 3" xfId="10661" xr:uid="{00000000-0005-0000-0000-00005E0F0000}"/>
    <cellStyle name="20% - Accent6 4 2 2 2 4" xfId="19985" xr:uid="{00000000-0005-0000-0000-00005F0F0000}"/>
    <cellStyle name="20% - Accent6 4 2 2 3" xfId="1483" xr:uid="{00000000-0005-0000-0000-0000600F0000}"/>
    <cellStyle name="20% - Accent6 4 2 2 3 2" xfId="6556" xr:uid="{00000000-0005-0000-0000-0000610F0000}"/>
    <cellStyle name="20% - Accent6 4 2 2 3 2 2" xfId="15880" xr:uid="{00000000-0005-0000-0000-0000620F0000}"/>
    <cellStyle name="20% - Accent6 4 2 2 3 2 3" xfId="25203" xr:uid="{00000000-0005-0000-0000-0000630F0000}"/>
    <cellStyle name="20% - Accent6 4 2 2 3 3" xfId="11051" xr:uid="{00000000-0005-0000-0000-0000640F0000}"/>
    <cellStyle name="20% - Accent6 4 2 2 3 4" xfId="20375" xr:uid="{00000000-0005-0000-0000-0000650F0000}"/>
    <cellStyle name="20% - Accent6 4 2 2 4" xfId="3270" xr:uid="{00000000-0005-0000-0000-0000660F0000}"/>
    <cellStyle name="20% - Accent6 4 2 2 4 2" xfId="7949" xr:uid="{00000000-0005-0000-0000-0000670F0000}"/>
    <cellStyle name="20% - Accent6 4 2 2 4 2 2" xfId="17273" xr:uid="{00000000-0005-0000-0000-0000680F0000}"/>
    <cellStyle name="20% - Accent6 4 2 2 4 2 3" xfId="26596" xr:uid="{00000000-0005-0000-0000-0000690F0000}"/>
    <cellStyle name="20% - Accent6 4 2 2 4 3" xfId="12656" xr:uid="{00000000-0005-0000-0000-00006A0F0000}"/>
    <cellStyle name="20% - Accent6 4 2 2 4 4" xfId="21982" xr:uid="{00000000-0005-0000-0000-00006B0F0000}"/>
    <cellStyle name="20% - Accent6 4 2 2 5" xfId="4936" xr:uid="{00000000-0005-0000-0000-00006C0F0000}"/>
    <cellStyle name="20% - Accent6 4 2 2 5 2" xfId="14260" xr:uid="{00000000-0005-0000-0000-00006D0F0000}"/>
    <cellStyle name="20% - Accent6 4 2 2 5 3" xfId="23583" xr:uid="{00000000-0005-0000-0000-00006E0F0000}"/>
    <cellStyle name="20% - Accent6 4 2 2 6" xfId="9683" xr:uid="{00000000-0005-0000-0000-00006F0F0000}"/>
    <cellStyle name="20% - Accent6 4 2 2 6 2" xfId="19007" xr:uid="{00000000-0005-0000-0000-0000700F0000}"/>
    <cellStyle name="20% - Accent6 4 2 2 6 3" xfId="28330" xr:uid="{00000000-0005-0000-0000-0000710F0000}"/>
    <cellStyle name="20% - Accent6 4 2 2 7" xfId="10177" xr:uid="{00000000-0005-0000-0000-0000720F0000}"/>
    <cellStyle name="20% - Accent6 4 2 2 8" xfId="19501" xr:uid="{00000000-0005-0000-0000-0000730F0000}"/>
    <cellStyle name="20% - Accent6 4 2 3" xfId="820" xr:uid="{00000000-0005-0000-0000-0000740F0000}"/>
    <cellStyle name="20% - Accent6 4 2 3 2" xfId="6927" xr:uid="{00000000-0005-0000-0000-0000750F0000}"/>
    <cellStyle name="20% - Accent6 4 2 3 2 2" xfId="16251" xr:uid="{00000000-0005-0000-0000-0000760F0000}"/>
    <cellStyle name="20% - Accent6 4 2 3 2 3" xfId="25574" xr:uid="{00000000-0005-0000-0000-0000770F0000}"/>
    <cellStyle name="20% - Accent6 4 2 3 3" xfId="10421" xr:uid="{00000000-0005-0000-0000-0000780F0000}"/>
    <cellStyle name="20% - Accent6 4 2 3 4" xfId="19745" xr:uid="{00000000-0005-0000-0000-0000790F0000}"/>
    <cellStyle name="20% - Accent6 4 2 4" xfId="1482" xr:uid="{00000000-0005-0000-0000-00007A0F0000}"/>
    <cellStyle name="20% - Accent6 4 2 4 2" xfId="6561" xr:uid="{00000000-0005-0000-0000-00007B0F0000}"/>
    <cellStyle name="20% - Accent6 4 2 4 2 2" xfId="15885" xr:uid="{00000000-0005-0000-0000-00007C0F0000}"/>
    <cellStyle name="20% - Accent6 4 2 4 2 3" xfId="25208" xr:uid="{00000000-0005-0000-0000-00007D0F0000}"/>
    <cellStyle name="20% - Accent6 4 2 4 3" xfId="11050" xr:uid="{00000000-0005-0000-0000-00007E0F0000}"/>
    <cellStyle name="20% - Accent6 4 2 4 4" xfId="20374" xr:uid="{00000000-0005-0000-0000-00007F0F0000}"/>
    <cellStyle name="20% - Accent6 4 2 5" xfId="3269" xr:uid="{00000000-0005-0000-0000-0000800F0000}"/>
    <cellStyle name="20% - Accent6 4 2 5 2" xfId="7948" xr:uid="{00000000-0005-0000-0000-0000810F0000}"/>
    <cellStyle name="20% - Accent6 4 2 5 2 2" xfId="17272" xr:uid="{00000000-0005-0000-0000-0000820F0000}"/>
    <cellStyle name="20% - Accent6 4 2 5 2 3" xfId="26595" xr:uid="{00000000-0005-0000-0000-0000830F0000}"/>
    <cellStyle name="20% - Accent6 4 2 5 3" xfId="12655" xr:uid="{00000000-0005-0000-0000-0000840F0000}"/>
    <cellStyle name="20% - Accent6 4 2 5 4" xfId="21981" xr:uid="{00000000-0005-0000-0000-0000850F0000}"/>
    <cellStyle name="20% - Accent6 4 2 6" xfId="4935" xr:uid="{00000000-0005-0000-0000-0000860F0000}"/>
    <cellStyle name="20% - Accent6 4 2 6 2" xfId="14259" xr:uid="{00000000-0005-0000-0000-0000870F0000}"/>
    <cellStyle name="20% - Accent6 4 2 6 3" xfId="23582" xr:uid="{00000000-0005-0000-0000-0000880F0000}"/>
    <cellStyle name="20% - Accent6 4 2 7" xfId="9443" xr:uid="{00000000-0005-0000-0000-0000890F0000}"/>
    <cellStyle name="20% - Accent6 4 2 7 2" xfId="18767" xr:uid="{00000000-0005-0000-0000-00008A0F0000}"/>
    <cellStyle name="20% - Accent6 4 2 7 3" xfId="28090" xr:uid="{00000000-0005-0000-0000-00008B0F0000}"/>
    <cellStyle name="20% - Accent6 4 2 8" xfId="9937" xr:uid="{00000000-0005-0000-0000-00008C0F0000}"/>
    <cellStyle name="20% - Accent6 4 2 9" xfId="19261" xr:uid="{00000000-0005-0000-0000-00008D0F0000}"/>
    <cellStyle name="20% - Accent6 4 3" xfId="450" xr:uid="{00000000-0005-0000-0000-00008E0F0000}"/>
    <cellStyle name="20% - Accent6 4 3 2" xfId="938" xr:uid="{00000000-0005-0000-0000-00008F0F0000}"/>
    <cellStyle name="20% - Accent6 4 3 2 2" xfId="6833" xr:uid="{00000000-0005-0000-0000-0000900F0000}"/>
    <cellStyle name="20% - Accent6 4 3 2 2 2" xfId="16157" xr:uid="{00000000-0005-0000-0000-0000910F0000}"/>
    <cellStyle name="20% - Accent6 4 3 2 2 3" xfId="25480" xr:uid="{00000000-0005-0000-0000-0000920F0000}"/>
    <cellStyle name="20% - Accent6 4 3 2 3" xfId="10539" xr:uid="{00000000-0005-0000-0000-0000930F0000}"/>
    <cellStyle name="20% - Accent6 4 3 2 4" xfId="19863" xr:uid="{00000000-0005-0000-0000-0000940F0000}"/>
    <cellStyle name="20% - Accent6 4 3 3" xfId="1484" xr:uid="{00000000-0005-0000-0000-0000950F0000}"/>
    <cellStyle name="20% - Accent6 4 3 3 2" xfId="6560" xr:uid="{00000000-0005-0000-0000-0000960F0000}"/>
    <cellStyle name="20% - Accent6 4 3 3 2 2" xfId="15884" xr:uid="{00000000-0005-0000-0000-0000970F0000}"/>
    <cellStyle name="20% - Accent6 4 3 3 2 3" xfId="25207" xr:uid="{00000000-0005-0000-0000-0000980F0000}"/>
    <cellStyle name="20% - Accent6 4 3 3 3" xfId="11052" xr:uid="{00000000-0005-0000-0000-0000990F0000}"/>
    <cellStyle name="20% - Accent6 4 3 3 4" xfId="20376" xr:uid="{00000000-0005-0000-0000-00009A0F0000}"/>
    <cellStyle name="20% - Accent6 4 3 4" xfId="3271" xr:uid="{00000000-0005-0000-0000-00009B0F0000}"/>
    <cellStyle name="20% - Accent6 4 3 4 2" xfId="7950" xr:uid="{00000000-0005-0000-0000-00009C0F0000}"/>
    <cellStyle name="20% - Accent6 4 3 4 2 2" xfId="17274" xr:uid="{00000000-0005-0000-0000-00009D0F0000}"/>
    <cellStyle name="20% - Accent6 4 3 4 2 3" xfId="26597" xr:uid="{00000000-0005-0000-0000-00009E0F0000}"/>
    <cellStyle name="20% - Accent6 4 3 4 3" xfId="12657" xr:uid="{00000000-0005-0000-0000-00009F0F0000}"/>
    <cellStyle name="20% - Accent6 4 3 4 4" xfId="21983" xr:uid="{00000000-0005-0000-0000-0000A00F0000}"/>
    <cellStyle name="20% - Accent6 4 3 5" xfId="4937" xr:uid="{00000000-0005-0000-0000-0000A10F0000}"/>
    <cellStyle name="20% - Accent6 4 3 5 2" xfId="14261" xr:uid="{00000000-0005-0000-0000-0000A20F0000}"/>
    <cellStyle name="20% - Accent6 4 3 5 3" xfId="23584" xr:uid="{00000000-0005-0000-0000-0000A30F0000}"/>
    <cellStyle name="20% - Accent6 4 3 6" xfId="9561" xr:uid="{00000000-0005-0000-0000-0000A40F0000}"/>
    <cellStyle name="20% - Accent6 4 3 6 2" xfId="18885" xr:uid="{00000000-0005-0000-0000-0000A50F0000}"/>
    <cellStyle name="20% - Accent6 4 3 6 3" xfId="28208" xr:uid="{00000000-0005-0000-0000-0000A60F0000}"/>
    <cellStyle name="20% - Accent6 4 3 7" xfId="10055" xr:uid="{00000000-0005-0000-0000-0000A70F0000}"/>
    <cellStyle name="20% - Accent6 4 3 8" xfId="19379" xr:uid="{00000000-0005-0000-0000-0000A80F0000}"/>
    <cellStyle name="20% - Accent6 4 4" xfId="698" xr:uid="{00000000-0005-0000-0000-0000A90F0000}"/>
    <cellStyle name="20% - Accent6 4 4 2" xfId="7014" xr:uid="{00000000-0005-0000-0000-0000AA0F0000}"/>
    <cellStyle name="20% - Accent6 4 4 2 2" xfId="16338" xr:uid="{00000000-0005-0000-0000-0000AB0F0000}"/>
    <cellStyle name="20% - Accent6 4 4 2 3" xfId="25661" xr:uid="{00000000-0005-0000-0000-0000AC0F0000}"/>
    <cellStyle name="20% - Accent6 4 4 3" xfId="10299" xr:uid="{00000000-0005-0000-0000-0000AD0F0000}"/>
    <cellStyle name="20% - Accent6 4 4 4" xfId="19623" xr:uid="{00000000-0005-0000-0000-0000AE0F0000}"/>
    <cellStyle name="20% - Accent6 4 5" xfId="1481" xr:uid="{00000000-0005-0000-0000-0000AF0F0000}"/>
    <cellStyle name="20% - Accent6 4 5 2" xfId="6562" xr:uid="{00000000-0005-0000-0000-0000B00F0000}"/>
    <cellStyle name="20% - Accent6 4 5 2 2" xfId="15886" xr:uid="{00000000-0005-0000-0000-0000B10F0000}"/>
    <cellStyle name="20% - Accent6 4 5 2 3" xfId="25209" xr:uid="{00000000-0005-0000-0000-0000B20F0000}"/>
    <cellStyle name="20% - Accent6 4 5 3" xfId="11049" xr:uid="{00000000-0005-0000-0000-0000B30F0000}"/>
    <cellStyle name="20% - Accent6 4 5 4" xfId="20373" xr:uid="{00000000-0005-0000-0000-0000B40F0000}"/>
    <cellStyle name="20% - Accent6 4 6" xfId="3268" xr:uid="{00000000-0005-0000-0000-0000B50F0000}"/>
    <cellStyle name="20% - Accent6 4 6 2" xfId="7947" xr:uid="{00000000-0005-0000-0000-0000B60F0000}"/>
    <cellStyle name="20% - Accent6 4 6 2 2" xfId="17271" xr:uid="{00000000-0005-0000-0000-0000B70F0000}"/>
    <cellStyle name="20% - Accent6 4 6 2 3" xfId="26594" xr:uid="{00000000-0005-0000-0000-0000B80F0000}"/>
    <cellStyle name="20% - Accent6 4 6 3" xfId="12654" xr:uid="{00000000-0005-0000-0000-0000B90F0000}"/>
    <cellStyle name="20% - Accent6 4 6 4" xfId="21980" xr:uid="{00000000-0005-0000-0000-0000BA0F0000}"/>
    <cellStyle name="20% - Accent6 4 7" xfId="4934" xr:uid="{00000000-0005-0000-0000-0000BB0F0000}"/>
    <cellStyle name="20% - Accent6 4 7 2" xfId="14258" xr:uid="{00000000-0005-0000-0000-0000BC0F0000}"/>
    <cellStyle name="20% - Accent6 4 7 3" xfId="23581" xr:uid="{00000000-0005-0000-0000-0000BD0F0000}"/>
    <cellStyle name="20% - Accent6 4 8" xfId="9320" xr:uid="{00000000-0005-0000-0000-0000BE0F0000}"/>
    <cellStyle name="20% - Accent6 4 8 2" xfId="18644" xr:uid="{00000000-0005-0000-0000-0000BF0F0000}"/>
    <cellStyle name="20% - Accent6 4 8 3" xfId="27967" xr:uid="{00000000-0005-0000-0000-0000C00F0000}"/>
    <cellStyle name="20% - Accent6 4 9" xfId="9814" xr:uid="{00000000-0005-0000-0000-0000C10F0000}"/>
    <cellStyle name="20% - Accent6 5" xfId="252" xr:uid="{00000000-0005-0000-0000-0000C20F0000}"/>
    <cellStyle name="20% - Accent6 5 2" xfId="510" xr:uid="{00000000-0005-0000-0000-0000C30F0000}"/>
    <cellStyle name="20% - Accent6 5 2 2" xfId="998" xr:uid="{00000000-0005-0000-0000-0000C40F0000}"/>
    <cellStyle name="20% - Accent6 5 2 2 2" xfId="6798" xr:uid="{00000000-0005-0000-0000-0000C50F0000}"/>
    <cellStyle name="20% - Accent6 5 2 2 2 2" xfId="16122" xr:uid="{00000000-0005-0000-0000-0000C60F0000}"/>
    <cellStyle name="20% - Accent6 5 2 2 2 3" xfId="25445" xr:uid="{00000000-0005-0000-0000-0000C70F0000}"/>
    <cellStyle name="20% - Accent6 5 2 2 3" xfId="10599" xr:uid="{00000000-0005-0000-0000-0000C80F0000}"/>
    <cellStyle name="20% - Accent6 5 2 2 4" xfId="19923" xr:uid="{00000000-0005-0000-0000-0000C90F0000}"/>
    <cellStyle name="20% - Accent6 5 2 3" xfId="1486" xr:uid="{00000000-0005-0000-0000-0000CA0F0000}"/>
    <cellStyle name="20% - Accent6 5 2 3 2" xfId="6558" xr:uid="{00000000-0005-0000-0000-0000CB0F0000}"/>
    <cellStyle name="20% - Accent6 5 2 3 2 2" xfId="15882" xr:uid="{00000000-0005-0000-0000-0000CC0F0000}"/>
    <cellStyle name="20% - Accent6 5 2 3 2 3" xfId="25205" xr:uid="{00000000-0005-0000-0000-0000CD0F0000}"/>
    <cellStyle name="20% - Accent6 5 2 3 3" xfId="11054" xr:uid="{00000000-0005-0000-0000-0000CE0F0000}"/>
    <cellStyle name="20% - Accent6 5 2 3 4" xfId="20378" xr:uid="{00000000-0005-0000-0000-0000CF0F0000}"/>
    <cellStyle name="20% - Accent6 5 2 4" xfId="3273" xr:uid="{00000000-0005-0000-0000-0000D00F0000}"/>
    <cellStyle name="20% - Accent6 5 2 4 2" xfId="7952" xr:uid="{00000000-0005-0000-0000-0000D10F0000}"/>
    <cellStyle name="20% - Accent6 5 2 4 2 2" xfId="17276" xr:uid="{00000000-0005-0000-0000-0000D20F0000}"/>
    <cellStyle name="20% - Accent6 5 2 4 2 3" xfId="26599" xr:uid="{00000000-0005-0000-0000-0000D30F0000}"/>
    <cellStyle name="20% - Accent6 5 2 4 3" xfId="12659" xr:uid="{00000000-0005-0000-0000-0000D40F0000}"/>
    <cellStyle name="20% - Accent6 5 2 4 4" xfId="21985" xr:uid="{00000000-0005-0000-0000-0000D50F0000}"/>
    <cellStyle name="20% - Accent6 5 2 5" xfId="4939" xr:uid="{00000000-0005-0000-0000-0000D60F0000}"/>
    <cellStyle name="20% - Accent6 5 2 5 2" xfId="14263" xr:uid="{00000000-0005-0000-0000-0000D70F0000}"/>
    <cellStyle name="20% - Accent6 5 2 5 3" xfId="23586" xr:uid="{00000000-0005-0000-0000-0000D80F0000}"/>
    <cellStyle name="20% - Accent6 5 2 6" xfId="9621" xr:uid="{00000000-0005-0000-0000-0000D90F0000}"/>
    <cellStyle name="20% - Accent6 5 2 6 2" xfId="18945" xr:uid="{00000000-0005-0000-0000-0000DA0F0000}"/>
    <cellStyle name="20% - Accent6 5 2 6 3" xfId="28268" xr:uid="{00000000-0005-0000-0000-0000DB0F0000}"/>
    <cellStyle name="20% - Accent6 5 2 7" xfId="10115" xr:uid="{00000000-0005-0000-0000-0000DC0F0000}"/>
    <cellStyle name="20% - Accent6 5 2 8" xfId="19439" xr:uid="{00000000-0005-0000-0000-0000DD0F0000}"/>
    <cellStyle name="20% - Accent6 5 3" xfId="758" xr:uid="{00000000-0005-0000-0000-0000DE0F0000}"/>
    <cellStyle name="20% - Accent6 5 3 2" xfId="6959" xr:uid="{00000000-0005-0000-0000-0000DF0F0000}"/>
    <cellStyle name="20% - Accent6 5 3 2 2" xfId="16283" xr:uid="{00000000-0005-0000-0000-0000E00F0000}"/>
    <cellStyle name="20% - Accent6 5 3 2 3" xfId="25606" xr:uid="{00000000-0005-0000-0000-0000E10F0000}"/>
    <cellStyle name="20% - Accent6 5 3 3" xfId="10359" xr:uid="{00000000-0005-0000-0000-0000E20F0000}"/>
    <cellStyle name="20% - Accent6 5 3 4" xfId="19683" xr:uid="{00000000-0005-0000-0000-0000E30F0000}"/>
    <cellStyle name="20% - Accent6 5 4" xfId="1485" xr:uid="{00000000-0005-0000-0000-0000E40F0000}"/>
    <cellStyle name="20% - Accent6 5 4 2" xfId="6559" xr:uid="{00000000-0005-0000-0000-0000E50F0000}"/>
    <cellStyle name="20% - Accent6 5 4 2 2" xfId="15883" xr:uid="{00000000-0005-0000-0000-0000E60F0000}"/>
    <cellStyle name="20% - Accent6 5 4 2 3" xfId="25206" xr:uid="{00000000-0005-0000-0000-0000E70F0000}"/>
    <cellStyle name="20% - Accent6 5 4 3" xfId="11053" xr:uid="{00000000-0005-0000-0000-0000E80F0000}"/>
    <cellStyle name="20% - Accent6 5 4 4" xfId="20377" xr:uid="{00000000-0005-0000-0000-0000E90F0000}"/>
    <cellStyle name="20% - Accent6 5 5" xfId="3272" xr:uid="{00000000-0005-0000-0000-0000EA0F0000}"/>
    <cellStyle name="20% - Accent6 5 5 2" xfId="7951" xr:uid="{00000000-0005-0000-0000-0000EB0F0000}"/>
    <cellStyle name="20% - Accent6 5 5 2 2" xfId="17275" xr:uid="{00000000-0005-0000-0000-0000EC0F0000}"/>
    <cellStyle name="20% - Accent6 5 5 2 3" xfId="26598" xr:uid="{00000000-0005-0000-0000-0000ED0F0000}"/>
    <cellStyle name="20% - Accent6 5 5 3" xfId="12658" xr:uid="{00000000-0005-0000-0000-0000EE0F0000}"/>
    <cellStyle name="20% - Accent6 5 5 4" xfId="21984" xr:uid="{00000000-0005-0000-0000-0000EF0F0000}"/>
    <cellStyle name="20% - Accent6 5 6" xfId="4938" xr:uid="{00000000-0005-0000-0000-0000F00F0000}"/>
    <cellStyle name="20% - Accent6 5 6 2" xfId="14262" xr:uid="{00000000-0005-0000-0000-0000F10F0000}"/>
    <cellStyle name="20% - Accent6 5 6 3" xfId="23585" xr:uid="{00000000-0005-0000-0000-0000F20F0000}"/>
    <cellStyle name="20% - Accent6 5 7" xfId="9380" xr:uid="{00000000-0005-0000-0000-0000F30F0000}"/>
    <cellStyle name="20% - Accent6 5 7 2" xfId="18704" xr:uid="{00000000-0005-0000-0000-0000F40F0000}"/>
    <cellStyle name="20% - Accent6 5 7 3" xfId="28027" xr:uid="{00000000-0005-0000-0000-0000F50F0000}"/>
    <cellStyle name="20% - Accent6 5 8" xfId="9874" xr:uid="{00000000-0005-0000-0000-0000F60F0000}"/>
    <cellStyle name="20% - Accent6 5 9" xfId="19198" xr:uid="{00000000-0005-0000-0000-0000F70F0000}"/>
    <cellStyle name="20% - Accent6 6" xfId="391" xr:uid="{00000000-0005-0000-0000-0000F80F0000}"/>
    <cellStyle name="20% - Accent6 6 2" xfId="879" xr:uid="{00000000-0005-0000-0000-0000F90F0000}"/>
    <cellStyle name="20% - Accent6 6 2 2" xfId="6884" xr:uid="{00000000-0005-0000-0000-0000FA0F0000}"/>
    <cellStyle name="20% - Accent6 6 2 2 2" xfId="16208" xr:uid="{00000000-0005-0000-0000-0000FB0F0000}"/>
    <cellStyle name="20% - Accent6 6 2 2 3" xfId="25531" xr:uid="{00000000-0005-0000-0000-0000FC0F0000}"/>
    <cellStyle name="20% - Accent6 6 2 3" xfId="10480" xr:uid="{00000000-0005-0000-0000-0000FD0F0000}"/>
    <cellStyle name="20% - Accent6 6 2 4" xfId="19804" xr:uid="{00000000-0005-0000-0000-0000FE0F0000}"/>
    <cellStyle name="20% - Accent6 6 3" xfId="1487" xr:uid="{00000000-0005-0000-0000-0000FF0F0000}"/>
    <cellStyle name="20% - Accent6 6 3 2" xfId="6557" xr:uid="{00000000-0005-0000-0000-000000100000}"/>
    <cellStyle name="20% - Accent6 6 3 2 2" xfId="15881" xr:uid="{00000000-0005-0000-0000-000001100000}"/>
    <cellStyle name="20% - Accent6 6 3 2 3" xfId="25204" xr:uid="{00000000-0005-0000-0000-000002100000}"/>
    <cellStyle name="20% - Accent6 6 3 3" xfId="11055" xr:uid="{00000000-0005-0000-0000-000003100000}"/>
    <cellStyle name="20% - Accent6 6 3 4" xfId="20379" xr:uid="{00000000-0005-0000-0000-000004100000}"/>
    <cellStyle name="20% - Accent6 6 4" xfId="3274" xr:uid="{00000000-0005-0000-0000-000005100000}"/>
    <cellStyle name="20% - Accent6 6 4 2" xfId="7953" xr:uid="{00000000-0005-0000-0000-000006100000}"/>
    <cellStyle name="20% - Accent6 6 4 2 2" xfId="17277" xr:uid="{00000000-0005-0000-0000-000007100000}"/>
    <cellStyle name="20% - Accent6 6 4 2 3" xfId="26600" xr:uid="{00000000-0005-0000-0000-000008100000}"/>
    <cellStyle name="20% - Accent6 6 4 3" xfId="12660" xr:uid="{00000000-0005-0000-0000-000009100000}"/>
    <cellStyle name="20% - Accent6 6 4 4" xfId="21986" xr:uid="{00000000-0005-0000-0000-00000A100000}"/>
    <cellStyle name="20% - Accent6 6 5" xfId="4940" xr:uid="{00000000-0005-0000-0000-00000B100000}"/>
    <cellStyle name="20% - Accent6 6 5 2" xfId="14264" xr:uid="{00000000-0005-0000-0000-00000C100000}"/>
    <cellStyle name="20% - Accent6 6 5 3" xfId="23587" xr:uid="{00000000-0005-0000-0000-00000D100000}"/>
    <cellStyle name="20% - Accent6 6 6" xfId="9502" xr:uid="{00000000-0005-0000-0000-00000E100000}"/>
    <cellStyle name="20% - Accent6 6 6 2" xfId="18826" xr:uid="{00000000-0005-0000-0000-00000F100000}"/>
    <cellStyle name="20% - Accent6 6 6 3" xfId="28149" xr:uid="{00000000-0005-0000-0000-000010100000}"/>
    <cellStyle name="20% - Accent6 6 7" xfId="9996" xr:uid="{00000000-0005-0000-0000-000011100000}"/>
    <cellStyle name="20% - Accent6 6 8" xfId="19320" xr:uid="{00000000-0005-0000-0000-000012100000}"/>
    <cellStyle name="20% - Accent6 7" xfId="635" xr:uid="{00000000-0005-0000-0000-000013100000}"/>
    <cellStyle name="20% - Accent6 7 2" xfId="1488" xr:uid="{00000000-0005-0000-0000-000014100000}"/>
    <cellStyle name="20% - Accent6 7 2 2" xfId="5856" xr:uid="{00000000-0005-0000-0000-000015100000}"/>
    <cellStyle name="20% - Accent6 7 2 2 2" xfId="15180" xr:uid="{00000000-0005-0000-0000-000016100000}"/>
    <cellStyle name="20% - Accent6 7 2 2 3" xfId="24503" xr:uid="{00000000-0005-0000-0000-000017100000}"/>
    <cellStyle name="20% - Accent6 7 2 3" xfId="11056" xr:uid="{00000000-0005-0000-0000-000018100000}"/>
    <cellStyle name="20% - Accent6 7 2 4" xfId="20380" xr:uid="{00000000-0005-0000-0000-000019100000}"/>
    <cellStyle name="20% - Accent6 7 3" xfId="3275" xr:uid="{00000000-0005-0000-0000-00001A100000}"/>
    <cellStyle name="20% - Accent6 7 3 2" xfId="7954" xr:uid="{00000000-0005-0000-0000-00001B100000}"/>
    <cellStyle name="20% - Accent6 7 3 2 2" xfId="17278" xr:uid="{00000000-0005-0000-0000-00001C100000}"/>
    <cellStyle name="20% - Accent6 7 3 2 3" xfId="26601" xr:uid="{00000000-0005-0000-0000-00001D100000}"/>
    <cellStyle name="20% - Accent6 7 3 3" xfId="12661" xr:uid="{00000000-0005-0000-0000-00001E100000}"/>
    <cellStyle name="20% - Accent6 7 3 4" xfId="21987" xr:uid="{00000000-0005-0000-0000-00001F100000}"/>
    <cellStyle name="20% - Accent6 7 4" xfId="4941" xr:uid="{00000000-0005-0000-0000-000020100000}"/>
    <cellStyle name="20% - Accent6 7 4 2" xfId="14265" xr:uid="{00000000-0005-0000-0000-000021100000}"/>
    <cellStyle name="20% - Accent6 7 4 3" xfId="23588" xr:uid="{00000000-0005-0000-0000-000022100000}"/>
    <cellStyle name="20% - Accent6 7 5" xfId="10239" xr:uid="{00000000-0005-0000-0000-000023100000}"/>
    <cellStyle name="20% - Accent6 7 6" xfId="19563" xr:uid="{00000000-0005-0000-0000-000024100000}"/>
    <cellStyle name="20% - Accent6 8" xfId="1489" xr:uid="{00000000-0005-0000-0000-000025100000}"/>
    <cellStyle name="20% - Accent6 8 2" xfId="3276" xr:uid="{00000000-0005-0000-0000-000026100000}"/>
    <cellStyle name="20% - Accent6 8 2 2" xfId="7955" xr:uid="{00000000-0005-0000-0000-000027100000}"/>
    <cellStyle name="20% - Accent6 8 2 2 2" xfId="17279" xr:uid="{00000000-0005-0000-0000-000028100000}"/>
    <cellStyle name="20% - Accent6 8 2 2 3" xfId="26602" xr:uid="{00000000-0005-0000-0000-000029100000}"/>
    <cellStyle name="20% - Accent6 8 2 3" xfId="12662" xr:uid="{00000000-0005-0000-0000-00002A100000}"/>
    <cellStyle name="20% - Accent6 8 2 4" xfId="21988" xr:uid="{00000000-0005-0000-0000-00002B100000}"/>
    <cellStyle name="20% - Accent6 8 3" xfId="4942" xr:uid="{00000000-0005-0000-0000-00002C100000}"/>
    <cellStyle name="20% - Accent6 8 3 2" xfId="14266" xr:uid="{00000000-0005-0000-0000-00002D100000}"/>
    <cellStyle name="20% - Accent6 8 3 3" xfId="23589" xr:uid="{00000000-0005-0000-0000-00002E100000}"/>
    <cellStyle name="20% - Accent6 8 4" xfId="11057" xr:uid="{00000000-0005-0000-0000-00002F100000}"/>
    <cellStyle name="20% - Accent6 8 5" xfId="20381" xr:uid="{00000000-0005-0000-0000-000030100000}"/>
    <cellStyle name="20% - Accent6 9" xfId="1133" xr:uid="{00000000-0005-0000-0000-000031100000}"/>
    <cellStyle name="20% - Accent6 9 2" xfId="5750" xr:uid="{00000000-0005-0000-0000-000032100000}"/>
    <cellStyle name="20% - Accent6 9 2 2" xfId="15074" xr:uid="{00000000-0005-0000-0000-000033100000}"/>
    <cellStyle name="20% - Accent6 9 2 3" xfId="24397" xr:uid="{00000000-0005-0000-0000-000034100000}"/>
    <cellStyle name="20% - Accent6 9 3" xfId="10732" xr:uid="{00000000-0005-0000-0000-000035100000}"/>
    <cellStyle name="20% - Accent6 9 4" xfId="20056" xr:uid="{00000000-0005-0000-0000-000036100000}"/>
    <cellStyle name="20% - Énfasis1" xfId="28492" xr:uid="{00000000-0005-0000-0000-000037100000}"/>
    <cellStyle name="20% - Énfasis2" xfId="28493" xr:uid="{00000000-0005-0000-0000-000038100000}"/>
    <cellStyle name="20% - Énfasis3" xfId="28494" xr:uid="{00000000-0005-0000-0000-000039100000}"/>
    <cellStyle name="20% - Énfasis4" xfId="28495" xr:uid="{00000000-0005-0000-0000-00003A100000}"/>
    <cellStyle name="20% - Énfasis5" xfId="28496" xr:uid="{00000000-0005-0000-0000-00003B100000}"/>
    <cellStyle name="20% - Énfasis6" xfId="28497" xr:uid="{00000000-0005-0000-0000-00003C100000}"/>
    <cellStyle name="3 indents" xfId="28400" xr:uid="{00000000-0005-0000-0000-00003D100000}"/>
    <cellStyle name="4 indents" xfId="28401" xr:uid="{00000000-0005-0000-0000-00003E100000}"/>
    <cellStyle name="40% - Accent1" xfId="34" builtinId="31" customBuiltin="1"/>
    <cellStyle name="40% - Accent1 10" xfId="2938" xr:uid="{00000000-0005-0000-0000-000040100000}"/>
    <cellStyle name="40% - Accent1 10 2" xfId="7620" xr:uid="{00000000-0005-0000-0000-000041100000}"/>
    <cellStyle name="40% - Accent1 10 2 2" xfId="16944" xr:uid="{00000000-0005-0000-0000-000042100000}"/>
    <cellStyle name="40% - Accent1 10 2 3" xfId="26267" xr:uid="{00000000-0005-0000-0000-000043100000}"/>
    <cellStyle name="40% - Accent1 10 3" xfId="12343" xr:uid="{00000000-0005-0000-0000-000044100000}"/>
    <cellStyle name="40% - Accent1 10 4" xfId="21669" xr:uid="{00000000-0005-0000-0000-000045100000}"/>
    <cellStyle name="40% - Accent1 11" xfId="4573" xr:uid="{00000000-0005-0000-0000-000046100000}"/>
    <cellStyle name="40% - Accent1 11 2" xfId="13897" xr:uid="{00000000-0005-0000-0000-000047100000}"/>
    <cellStyle name="40% - Accent1 11 3" xfId="23220" xr:uid="{00000000-0005-0000-0000-000048100000}"/>
    <cellStyle name="40% - Accent1 12" xfId="9239" xr:uid="{00000000-0005-0000-0000-000049100000}"/>
    <cellStyle name="40% - Accent1 12 2" xfId="18563" xr:uid="{00000000-0005-0000-0000-00004A100000}"/>
    <cellStyle name="40% - Accent1 12 3" xfId="27886" xr:uid="{00000000-0005-0000-0000-00004B100000}"/>
    <cellStyle name="40% - Accent1 13" xfId="9733" xr:uid="{00000000-0005-0000-0000-00004C100000}"/>
    <cellStyle name="40% - Accent1 14" xfId="19057" xr:uid="{00000000-0005-0000-0000-00004D100000}"/>
    <cellStyle name="40% - Accent1 15" xfId="28402" xr:uid="{00000000-0005-0000-0000-00004E100000}"/>
    <cellStyle name="40% - Accent1 2" xfId="69" xr:uid="{00000000-0005-0000-0000-00004F100000}"/>
    <cellStyle name="40% - Accent1 2 10" xfId="4598" xr:uid="{00000000-0005-0000-0000-000050100000}"/>
    <cellStyle name="40% - Accent1 2 10 2" xfId="13922" xr:uid="{00000000-0005-0000-0000-000051100000}"/>
    <cellStyle name="40% - Accent1 2 10 3" xfId="23245" xr:uid="{00000000-0005-0000-0000-000052100000}"/>
    <cellStyle name="40% - Accent1 2 11" xfId="9263" xr:uid="{00000000-0005-0000-0000-000053100000}"/>
    <cellStyle name="40% - Accent1 2 11 2" xfId="18587" xr:uid="{00000000-0005-0000-0000-000054100000}"/>
    <cellStyle name="40% - Accent1 2 11 3" xfId="27910" xr:uid="{00000000-0005-0000-0000-000055100000}"/>
    <cellStyle name="40% - Accent1 2 12" xfId="9757" xr:uid="{00000000-0005-0000-0000-000056100000}"/>
    <cellStyle name="40% - Accent1 2 13" xfId="19081" xr:uid="{00000000-0005-0000-0000-000057100000}"/>
    <cellStyle name="40% - Accent1 2 14" xfId="28403" xr:uid="{00000000-0005-0000-0000-000058100000}"/>
    <cellStyle name="40% - Accent1 2 2" xfId="207" xr:uid="{00000000-0005-0000-0000-000059100000}"/>
    <cellStyle name="40% - Accent1 2 2 10" xfId="9829" xr:uid="{00000000-0005-0000-0000-00005A100000}"/>
    <cellStyle name="40% - Accent1 2 2 11" xfId="19153" xr:uid="{00000000-0005-0000-0000-00005B100000}"/>
    <cellStyle name="40% - Accent1 2 2 2" xfId="347" xr:uid="{00000000-0005-0000-0000-00005C100000}"/>
    <cellStyle name="40% - Accent1 2 2 2 10" xfId="19276" xr:uid="{00000000-0005-0000-0000-00005D100000}"/>
    <cellStyle name="40% - Accent1 2 2 2 2" xfId="587" xr:uid="{00000000-0005-0000-0000-00005E100000}"/>
    <cellStyle name="40% - Accent1 2 2 2 2 2" xfId="1075" xr:uid="{00000000-0005-0000-0000-00005F100000}"/>
    <cellStyle name="40% - Accent1 2 2 2 2 2 2" xfId="4708" xr:uid="{00000000-0005-0000-0000-000060100000}"/>
    <cellStyle name="40% - Accent1 2 2 2 2 2 2 2" xfId="14032" xr:uid="{00000000-0005-0000-0000-000061100000}"/>
    <cellStyle name="40% - Accent1 2 2 2 2 2 2 3" xfId="23355" xr:uid="{00000000-0005-0000-0000-000062100000}"/>
    <cellStyle name="40% - Accent1 2 2 2 2 2 3" xfId="10676" xr:uid="{00000000-0005-0000-0000-000063100000}"/>
    <cellStyle name="40% - Accent1 2 2 2 2 2 4" xfId="20000" xr:uid="{00000000-0005-0000-0000-000064100000}"/>
    <cellStyle name="40% - Accent1 2 2 2 2 3" xfId="1493" xr:uid="{00000000-0005-0000-0000-000065100000}"/>
    <cellStyle name="40% - Accent1 2 2 2 2 3 2" xfId="5870" xr:uid="{00000000-0005-0000-0000-000066100000}"/>
    <cellStyle name="40% - Accent1 2 2 2 2 3 2 2" xfId="15194" xr:uid="{00000000-0005-0000-0000-000067100000}"/>
    <cellStyle name="40% - Accent1 2 2 2 2 3 2 3" xfId="24517" xr:uid="{00000000-0005-0000-0000-000068100000}"/>
    <cellStyle name="40% - Accent1 2 2 2 2 3 3" xfId="11061" xr:uid="{00000000-0005-0000-0000-000069100000}"/>
    <cellStyle name="40% - Accent1 2 2 2 2 3 4" xfId="20385" xr:uid="{00000000-0005-0000-0000-00006A100000}"/>
    <cellStyle name="40% - Accent1 2 2 2 2 4" xfId="3280" xr:uid="{00000000-0005-0000-0000-00006B100000}"/>
    <cellStyle name="40% - Accent1 2 2 2 2 4 2" xfId="7959" xr:uid="{00000000-0005-0000-0000-00006C100000}"/>
    <cellStyle name="40% - Accent1 2 2 2 2 4 2 2" xfId="17283" xr:uid="{00000000-0005-0000-0000-00006D100000}"/>
    <cellStyle name="40% - Accent1 2 2 2 2 4 2 3" xfId="26606" xr:uid="{00000000-0005-0000-0000-00006E100000}"/>
    <cellStyle name="40% - Accent1 2 2 2 2 4 3" xfId="12666" xr:uid="{00000000-0005-0000-0000-00006F100000}"/>
    <cellStyle name="40% - Accent1 2 2 2 2 4 4" xfId="21992" xr:uid="{00000000-0005-0000-0000-000070100000}"/>
    <cellStyle name="40% - Accent1 2 2 2 2 5" xfId="4946" xr:uid="{00000000-0005-0000-0000-000071100000}"/>
    <cellStyle name="40% - Accent1 2 2 2 2 5 2" xfId="14270" xr:uid="{00000000-0005-0000-0000-000072100000}"/>
    <cellStyle name="40% - Accent1 2 2 2 2 5 3" xfId="23593" xr:uid="{00000000-0005-0000-0000-000073100000}"/>
    <cellStyle name="40% - Accent1 2 2 2 2 6" xfId="7066" xr:uid="{00000000-0005-0000-0000-000074100000}"/>
    <cellStyle name="40% - Accent1 2 2 2 2 6 2" xfId="16390" xr:uid="{00000000-0005-0000-0000-000075100000}"/>
    <cellStyle name="40% - Accent1 2 2 2 2 6 3" xfId="25713" xr:uid="{00000000-0005-0000-0000-000076100000}"/>
    <cellStyle name="40% - Accent1 2 2 2 2 7" xfId="9698" xr:uid="{00000000-0005-0000-0000-000077100000}"/>
    <cellStyle name="40% - Accent1 2 2 2 2 7 2" xfId="19022" xr:uid="{00000000-0005-0000-0000-000078100000}"/>
    <cellStyle name="40% - Accent1 2 2 2 2 7 3" xfId="28345" xr:uid="{00000000-0005-0000-0000-000079100000}"/>
    <cellStyle name="40% - Accent1 2 2 2 2 8" xfId="10192" xr:uid="{00000000-0005-0000-0000-00007A100000}"/>
    <cellStyle name="40% - Accent1 2 2 2 2 9" xfId="19516" xr:uid="{00000000-0005-0000-0000-00007B100000}"/>
    <cellStyle name="40% - Accent1 2 2 2 3" xfId="835" xr:uid="{00000000-0005-0000-0000-00007C100000}"/>
    <cellStyle name="40% - Accent1 2 2 2 3 2" xfId="6917" xr:uid="{00000000-0005-0000-0000-00007D100000}"/>
    <cellStyle name="40% - Accent1 2 2 2 3 2 2" xfId="16241" xr:uid="{00000000-0005-0000-0000-00007E100000}"/>
    <cellStyle name="40% - Accent1 2 2 2 3 2 3" xfId="25564" xr:uid="{00000000-0005-0000-0000-00007F100000}"/>
    <cellStyle name="40% - Accent1 2 2 2 3 3" xfId="10436" xr:uid="{00000000-0005-0000-0000-000080100000}"/>
    <cellStyle name="40% - Accent1 2 2 2 3 4" xfId="19760" xr:uid="{00000000-0005-0000-0000-000081100000}"/>
    <cellStyle name="40% - Accent1 2 2 2 4" xfId="1492" xr:uid="{00000000-0005-0000-0000-000082100000}"/>
    <cellStyle name="40% - Accent1 2 2 2 4 2" xfId="6553" xr:uid="{00000000-0005-0000-0000-000083100000}"/>
    <cellStyle name="40% - Accent1 2 2 2 4 2 2" xfId="15877" xr:uid="{00000000-0005-0000-0000-000084100000}"/>
    <cellStyle name="40% - Accent1 2 2 2 4 2 3" xfId="25200" xr:uid="{00000000-0005-0000-0000-000085100000}"/>
    <cellStyle name="40% - Accent1 2 2 2 4 3" xfId="11060" xr:uid="{00000000-0005-0000-0000-000086100000}"/>
    <cellStyle name="40% - Accent1 2 2 2 4 4" xfId="20384" xr:uid="{00000000-0005-0000-0000-000087100000}"/>
    <cellStyle name="40% - Accent1 2 2 2 5" xfId="3279" xr:uid="{00000000-0005-0000-0000-000088100000}"/>
    <cellStyle name="40% - Accent1 2 2 2 5 2" xfId="7958" xr:uid="{00000000-0005-0000-0000-000089100000}"/>
    <cellStyle name="40% - Accent1 2 2 2 5 2 2" xfId="17282" xr:uid="{00000000-0005-0000-0000-00008A100000}"/>
    <cellStyle name="40% - Accent1 2 2 2 5 2 3" xfId="26605" xr:uid="{00000000-0005-0000-0000-00008B100000}"/>
    <cellStyle name="40% - Accent1 2 2 2 5 3" xfId="12665" xr:uid="{00000000-0005-0000-0000-00008C100000}"/>
    <cellStyle name="40% - Accent1 2 2 2 5 4" xfId="21991" xr:uid="{00000000-0005-0000-0000-00008D100000}"/>
    <cellStyle name="40% - Accent1 2 2 2 6" xfId="4945" xr:uid="{00000000-0005-0000-0000-00008E100000}"/>
    <cellStyle name="40% - Accent1 2 2 2 6 2" xfId="14269" xr:uid="{00000000-0005-0000-0000-00008F100000}"/>
    <cellStyle name="40% - Accent1 2 2 2 6 3" xfId="23592" xr:uid="{00000000-0005-0000-0000-000090100000}"/>
    <cellStyle name="40% - Accent1 2 2 2 7" xfId="7201" xr:uid="{00000000-0005-0000-0000-000091100000}"/>
    <cellStyle name="40% - Accent1 2 2 2 7 2" xfId="16525" xr:uid="{00000000-0005-0000-0000-000092100000}"/>
    <cellStyle name="40% - Accent1 2 2 2 7 3" xfId="25848" xr:uid="{00000000-0005-0000-0000-000093100000}"/>
    <cellStyle name="40% - Accent1 2 2 2 8" xfId="9458" xr:uid="{00000000-0005-0000-0000-000094100000}"/>
    <cellStyle name="40% - Accent1 2 2 2 8 2" xfId="18782" xr:uid="{00000000-0005-0000-0000-000095100000}"/>
    <cellStyle name="40% - Accent1 2 2 2 8 3" xfId="28105" xr:uid="{00000000-0005-0000-0000-000096100000}"/>
    <cellStyle name="40% - Accent1 2 2 2 9" xfId="9952" xr:uid="{00000000-0005-0000-0000-000097100000}"/>
    <cellStyle name="40% - Accent1 2 2 3" xfId="465" xr:uid="{00000000-0005-0000-0000-000098100000}"/>
    <cellStyle name="40% - Accent1 2 2 3 2" xfId="953" xr:uid="{00000000-0005-0000-0000-000099100000}"/>
    <cellStyle name="40% - Accent1 2 2 3 2 2" xfId="5478" xr:uid="{00000000-0005-0000-0000-00009A100000}"/>
    <cellStyle name="40% - Accent1 2 2 3 2 2 2" xfId="14802" xr:uid="{00000000-0005-0000-0000-00009B100000}"/>
    <cellStyle name="40% - Accent1 2 2 3 2 2 3" xfId="24125" xr:uid="{00000000-0005-0000-0000-00009C100000}"/>
    <cellStyle name="40% - Accent1 2 2 3 2 3" xfId="10554" xr:uid="{00000000-0005-0000-0000-00009D100000}"/>
    <cellStyle name="40% - Accent1 2 2 3 2 4" xfId="19878" xr:uid="{00000000-0005-0000-0000-00009E100000}"/>
    <cellStyle name="40% - Accent1 2 2 3 3" xfId="1494" xr:uid="{00000000-0005-0000-0000-00009F100000}"/>
    <cellStyle name="40% - Accent1 2 2 3 3 2" xfId="6554" xr:uid="{00000000-0005-0000-0000-0000A0100000}"/>
    <cellStyle name="40% - Accent1 2 2 3 3 2 2" xfId="15878" xr:uid="{00000000-0005-0000-0000-0000A1100000}"/>
    <cellStyle name="40% - Accent1 2 2 3 3 2 3" xfId="25201" xr:uid="{00000000-0005-0000-0000-0000A2100000}"/>
    <cellStyle name="40% - Accent1 2 2 3 3 3" xfId="11062" xr:uid="{00000000-0005-0000-0000-0000A3100000}"/>
    <cellStyle name="40% - Accent1 2 2 3 3 4" xfId="20386" xr:uid="{00000000-0005-0000-0000-0000A4100000}"/>
    <cellStyle name="40% - Accent1 2 2 3 4" xfId="3281" xr:uid="{00000000-0005-0000-0000-0000A5100000}"/>
    <cellStyle name="40% - Accent1 2 2 3 4 2" xfId="7960" xr:uid="{00000000-0005-0000-0000-0000A6100000}"/>
    <cellStyle name="40% - Accent1 2 2 3 4 2 2" xfId="17284" xr:uid="{00000000-0005-0000-0000-0000A7100000}"/>
    <cellStyle name="40% - Accent1 2 2 3 4 2 3" xfId="26607" xr:uid="{00000000-0005-0000-0000-0000A8100000}"/>
    <cellStyle name="40% - Accent1 2 2 3 4 3" xfId="12667" xr:uid="{00000000-0005-0000-0000-0000A9100000}"/>
    <cellStyle name="40% - Accent1 2 2 3 4 4" xfId="21993" xr:uid="{00000000-0005-0000-0000-0000AA100000}"/>
    <cellStyle name="40% - Accent1 2 2 3 5" xfId="4947" xr:uid="{00000000-0005-0000-0000-0000AB100000}"/>
    <cellStyle name="40% - Accent1 2 2 3 5 2" xfId="14271" xr:uid="{00000000-0005-0000-0000-0000AC100000}"/>
    <cellStyle name="40% - Accent1 2 2 3 5 3" xfId="23594" xr:uid="{00000000-0005-0000-0000-0000AD100000}"/>
    <cellStyle name="40% - Accent1 2 2 3 6" xfId="5219" xr:uid="{00000000-0005-0000-0000-0000AE100000}"/>
    <cellStyle name="40% - Accent1 2 2 3 6 2" xfId="14543" xr:uid="{00000000-0005-0000-0000-0000AF100000}"/>
    <cellStyle name="40% - Accent1 2 2 3 6 3" xfId="23866" xr:uid="{00000000-0005-0000-0000-0000B0100000}"/>
    <cellStyle name="40% - Accent1 2 2 3 7" xfId="9576" xr:uid="{00000000-0005-0000-0000-0000B1100000}"/>
    <cellStyle name="40% - Accent1 2 2 3 7 2" xfId="18900" xr:uid="{00000000-0005-0000-0000-0000B2100000}"/>
    <cellStyle name="40% - Accent1 2 2 3 7 3" xfId="28223" xr:uid="{00000000-0005-0000-0000-0000B3100000}"/>
    <cellStyle name="40% - Accent1 2 2 3 8" xfId="10070" xr:uid="{00000000-0005-0000-0000-0000B4100000}"/>
    <cellStyle name="40% - Accent1 2 2 3 9" xfId="19394" xr:uid="{00000000-0005-0000-0000-0000B5100000}"/>
    <cellStyle name="40% - Accent1 2 2 4" xfId="713" xr:uid="{00000000-0005-0000-0000-0000B6100000}"/>
    <cellStyle name="40% - Accent1 2 2 4 2" xfId="6989" xr:uid="{00000000-0005-0000-0000-0000B7100000}"/>
    <cellStyle name="40% - Accent1 2 2 4 2 2" xfId="16313" xr:uid="{00000000-0005-0000-0000-0000B8100000}"/>
    <cellStyle name="40% - Accent1 2 2 4 2 3" xfId="25636" xr:uid="{00000000-0005-0000-0000-0000B9100000}"/>
    <cellStyle name="40% - Accent1 2 2 4 3" xfId="10314" xr:uid="{00000000-0005-0000-0000-0000BA100000}"/>
    <cellStyle name="40% - Accent1 2 2 4 4" xfId="19638" xr:uid="{00000000-0005-0000-0000-0000BB100000}"/>
    <cellStyle name="40% - Accent1 2 2 5" xfId="1491" xr:uid="{00000000-0005-0000-0000-0000BC100000}"/>
    <cellStyle name="40% - Accent1 2 2 5 2" xfId="7329" xr:uid="{00000000-0005-0000-0000-0000BD100000}"/>
    <cellStyle name="40% - Accent1 2 2 5 2 2" xfId="16653" xr:uid="{00000000-0005-0000-0000-0000BE100000}"/>
    <cellStyle name="40% - Accent1 2 2 5 2 3" xfId="25976" xr:uid="{00000000-0005-0000-0000-0000BF100000}"/>
    <cellStyle name="40% - Accent1 2 2 5 3" xfId="11059" xr:uid="{00000000-0005-0000-0000-0000C0100000}"/>
    <cellStyle name="40% - Accent1 2 2 5 4" xfId="20383" xr:uid="{00000000-0005-0000-0000-0000C1100000}"/>
    <cellStyle name="40% - Accent1 2 2 6" xfId="3278" xr:uid="{00000000-0005-0000-0000-0000C2100000}"/>
    <cellStyle name="40% - Accent1 2 2 6 2" xfId="7957" xr:uid="{00000000-0005-0000-0000-0000C3100000}"/>
    <cellStyle name="40% - Accent1 2 2 6 2 2" xfId="17281" xr:uid="{00000000-0005-0000-0000-0000C4100000}"/>
    <cellStyle name="40% - Accent1 2 2 6 2 3" xfId="26604" xr:uid="{00000000-0005-0000-0000-0000C5100000}"/>
    <cellStyle name="40% - Accent1 2 2 6 3" xfId="12664" xr:uid="{00000000-0005-0000-0000-0000C6100000}"/>
    <cellStyle name="40% - Accent1 2 2 6 4" xfId="21990" xr:uid="{00000000-0005-0000-0000-0000C7100000}"/>
    <cellStyle name="40% - Accent1 2 2 7" xfId="4944" xr:uid="{00000000-0005-0000-0000-0000C8100000}"/>
    <cellStyle name="40% - Accent1 2 2 7 2" xfId="14268" xr:uid="{00000000-0005-0000-0000-0000C9100000}"/>
    <cellStyle name="40% - Accent1 2 2 7 3" xfId="23591" xr:uid="{00000000-0005-0000-0000-0000CA100000}"/>
    <cellStyle name="40% - Accent1 2 2 8" xfId="7268" xr:uid="{00000000-0005-0000-0000-0000CB100000}"/>
    <cellStyle name="40% - Accent1 2 2 8 2" xfId="16592" xr:uid="{00000000-0005-0000-0000-0000CC100000}"/>
    <cellStyle name="40% - Accent1 2 2 8 3" xfId="25915" xr:uid="{00000000-0005-0000-0000-0000CD100000}"/>
    <cellStyle name="40% - Accent1 2 2 9" xfId="9335" xr:uid="{00000000-0005-0000-0000-0000CE100000}"/>
    <cellStyle name="40% - Accent1 2 2 9 2" xfId="18659" xr:uid="{00000000-0005-0000-0000-0000CF100000}"/>
    <cellStyle name="40% - Accent1 2 2 9 3" xfId="27982" xr:uid="{00000000-0005-0000-0000-0000D0100000}"/>
    <cellStyle name="40% - Accent1 2 3" xfId="261" xr:uid="{00000000-0005-0000-0000-0000D1100000}"/>
    <cellStyle name="40% - Accent1 2 3 2" xfId="515" xr:uid="{00000000-0005-0000-0000-0000D2100000}"/>
    <cellStyle name="40% - Accent1 2 3 2 2" xfId="1003" xr:uid="{00000000-0005-0000-0000-0000D3100000}"/>
    <cellStyle name="40% - Accent1 2 3 2 2 2" xfId="6795" xr:uid="{00000000-0005-0000-0000-0000D4100000}"/>
    <cellStyle name="40% - Accent1 2 3 2 2 2 2" xfId="16119" xr:uid="{00000000-0005-0000-0000-0000D5100000}"/>
    <cellStyle name="40% - Accent1 2 3 2 2 2 3" xfId="25442" xr:uid="{00000000-0005-0000-0000-0000D6100000}"/>
    <cellStyle name="40% - Accent1 2 3 2 2 3" xfId="10604" xr:uid="{00000000-0005-0000-0000-0000D7100000}"/>
    <cellStyle name="40% - Accent1 2 3 2 2 4" xfId="19928" xr:uid="{00000000-0005-0000-0000-0000D8100000}"/>
    <cellStyle name="40% - Accent1 2 3 2 3" xfId="1496" xr:uid="{00000000-0005-0000-0000-0000D9100000}"/>
    <cellStyle name="40% - Accent1 2 3 2 3 2" xfId="5874" xr:uid="{00000000-0005-0000-0000-0000DA100000}"/>
    <cellStyle name="40% - Accent1 2 3 2 3 2 2" xfId="15198" xr:uid="{00000000-0005-0000-0000-0000DB100000}"/>
    <cellStyle name="40% - Accent1 2 3 2 3 2 3" xfId="24521" xr:uid="{00000000-0005-0000-0000-0000DC100000}"/>
    <cellStyle name="40% - Accent1 2 3 2 3 3" xfId="11064" xr:uid="{00000000-0005-0000-0000-0000DD100000}"/>
    <cellStyle name="40% - Accent1 2 3 2 3 4" xfId="20388" xr:uid="{00000000-0005-0000-0000-0000DE100000}"/>
    <cellStyle name="40% - Accent1 2 3 2 4" xfId="3283" xr:uid="{00000000-0005-0000-0000-0000DF100000}"/>
    <cellStyle name="40% - Accent1 2 3 2 4 2" xfId="7962" xr:uid="{00000000-0005-0000-0000-0000E0100000}"/>
    <cellStyle name="40% - Accent1 2 3 2 4 2 2" xfId="17286" xr:uid="{00000000-0005-0000-0000-0000E1100000}"/>
    <cellStyle name="40% - Accent1 2 3 2 4 2 3" xfId="26609" xr:uid="{00000000-0005-0000-0000-0000E2100000}"/>
    <cellStyle name="40% - Accent1 2 3 2 4 3" xfId="12669" xr:uid="{00000000-0005-0000-0000-0000E3100000}"/>
    <cellStyle name="40% - Accent1 2 3 2 4 4" xfId="21995" xr:uid="{00000000-0005-0000-0000-0000E4100000}"/>
    <cellStyle name="40% - Accent1 2 3 2 5" xfId="4949" xr:uid="{00000000-0005-0000-0000-0000E5100000}"/>
    <cellStyle name="40% - Accent1 2 3 2 5 2" xfId="14273" xr:uid="{00000000-0005-0000-0000-0000E6100000}"/>
    <cellStyle name="40% - Accent1 2 3 2 5 3" xfId="23596" xr:uid="{00000000-0005-0000-0000-0000E7100000}"/>
    <cellStyle name="40% - Accent1 2 3 2 6" xfId="9626" xr:uid="{00000000-0005-0000-0000-0000E8100000}"/>
    <cellStyle name="40% - Accent1 2 3 2 6 2" xfId="18950" xr:uid="{00000000-0005-0000-0000-0000E9100000}"/>
    <cellStyle name="40% - Accent1 2 3 2 6 3" xfId="28273" xr:uid="{00000000-0005-0000-0000-0000EA100000}"/>
    <cellStyle name="40% - Accent1 2 3 2 7" xfId="10120" xr:uid="{00000000-0005-0000-0000-0000EB100000}"/>
    <cellStyle name="40% - Accent1 2 3 2 8" xfId="19444" xr:uid="{00000000-0005-0000-0000-0000EC100000}"/>
    <cellStyle name="40% - Accent1 2 3 3" xfId="763" xr:uid="{00000000-0005-0000-0000-0000ED100000}"/>
    <cellStyle name="40% - Accent1 2 3 3 2" xfId="6968" xr:uid="{00000000-0005-0000-0000-0000EE100000}"/>
    <cellStyle name="40% - Accent1 2 3 3 2 2" xfId="16292" xr:uid="{00000000-0005-0000-0000-0000EF100000}"/>
    <cellStyle name="40% - Accent1 2 3 3 2 3" xfId="25615" xr:uid="{00000000-0005-0000-0000-0000F0100000}"/>
    <cellStyle name="40% - Accent1 2 3 3 3" xfId="10364" xr:uid="{00000000-0005-0000-0000-0000F1100000}"/>
    <cellStyle name="40% - Accent1 2 3 3 4" xfId="19688" xr:uid="{00000000-0005-0000-0000-0000F2100000}"/>
    <cellStyle name="40% - Accent1 2 3 4" xfId="1495" xr:uid="{00000000-0005-0000-0000-0000F3100000}"/>
    <cellStyle name="40% - Accent1 2 3 4 2" xfId="5872" xr:uid="{00000000-0005-0000-0000-0000F4100000}"/>
    <cellStyle name="40% - Accent1 2 3 4 2 2" xfId="15196" xr:uid="{00000000-0005-0000-0000-0000F5100000}"/>
    <cellStyle name="40% - Accent1 2 3 4 2 3" xfId="24519" xr:uid="{00000000-0005-0000-0000-0000F6100000}"/>
    <cellStyle name="40% - Accent1 2 3 4 3" xfId="11063" xr:uid="{00000000-0005-0000-0000-0000F7100000}"/>
    <cellStyle name="40% - Accent1 2 3 4 4" xfId="20387" xr:uid="{00000000-0005-0000-0000-0000F8100000}"/>
    <cellStyle name="40% - Accent1 2 3 5" xfId="3282" xr:uid="{00000000-0005-0000-0000-0000F9100000}"/>
    <cellStyle name="40% - Accent1 2 3 5 2" xfId="7961" xr:uid="{00000000-0005-0000-0000-0000FA100000}"/>
    <cellStyle name="40% - Accent1 2 3 5 2 2" xfId="17285" xr:uid="{00000000-0005-0000-0000-0000FB100000}"/>
    <cellStyle name="40% - Accent1 2 3 5 2 3" xfId="26608" xr:uid="{00000000-0005-0000-0000-0000FC100000}"/>
    <cellStyle name="40% - Accent1 2 3 5 3" xfId="12668" xr:uid="{00000000-0005-0000-0000-0000FD100000}"/>
    <cellStyle name="40% - Accent1 2 3 5 4" xfId="21994" xr:uid="{00000000-0005-0000-0000-0000FE100000}"/>
    <cellStyle name="40% - Accent1 2 3 6" xfId="4948" xr:uid="{00000000-0005-0000-0000-0000FF100000}"/>
    <cellStyle name="40% - Accent1 2 3 6 2" xfId="14272" xr:uid="{00000000-0005-0000-0000-000000110000}"/>
    <cellStyle name="40% - Accent1 2 3 6 3" xfId="23595" xr:uid="{00000000-0005-0000-0000-000001110000}"/>
    <cellStyle name="40% - Accent1 2 3 7" xfId="9385" xr:uid="{00000000-0005-0000-0000-000002110000}"/>
    <cellStyle name="40% - Accent1 2 3 7 2" xfId="18709" xr:uid="{00000000-0005-0000-0000-000003110000}"/>
    <cellStyle name="40% - Accent1 2 3 7 3" xfId="28032" xr:uid="{00000000-0005-0000-0000-000004110000}"/>
    <cellStyle name="40% - Accent1 2 3 8" xfId="9879" xr:uid="{00000000-0005-0000-0000-000005110000}"/>
    <cellStyle name="40% - Accent1 2 3 9" xfId="19203" xr:uid="{00000000-0005-0000-0000-000006110000}"/>
    <cellStyle name="40% - Accent1 2 4" xfId="406" xr:uid="{00000000-0005-0000-0000-000007110000}"/>
    <cellStyle name="40% - Accent1 2 4 2" xfId="894" xr:uid="{00000000-0005-0000-0000-000008110000}"/>
    <cellStyle name="40% - Accent1 2 4 2 2" xfId="6870" xr:uid="{00000000-0005-0000-0000-000009110000}"/>
    <cellStyle name="40% - Accent1 2 4 2 2 2" xfId="16194" xr:uid="{00000000-0005-0000-0000-00000A110000}"/>
    <cellStyle name="40% - Accent1 2 4 2 2 3" xfId="25517" xr:uid="{00000000-0005-0000-0000-00000B110000}"/>
    <cellStyle name="40% - Accent1 2 4 2 3" xfId="10495" xr:uid="{00000000-0005-0000-0000-00000C110000}"/>
    <cellStyle name="40% - Accent1 2 4 2 4" xfId="19819" xr:uid="{00000000-0005-0000-0000-00000D110000}"/>
    <cellStyle name="40% - Accent1 2 4 3" xfId="1497" xr:uid="{00000000-0005-0000-0000-00000E110000}"/>
    <cellStyle name="40% - Accent1 2 4 3 2" xfId="5857" xr:uid="{00000000-0005-0000-0000-00000F110000}"/>
    <cellStyle name="40% - Accent1 2 4 3 2 2" xfId="15181" xr:uid="{00000000-0005-0000-0000-000010110000}"/>
    <cellStyle name="40% - Accent1 2 4 3 2 3" xfId="24504" xr:uid="{00000000-0005-0000-0000-000011110000}"/>
    <cellStyle name="40% - Accent1 2 4 3 3" xfId="11065" xr:uid="{00000000-0005-0000-0000-000012110000}"/>
    <cellStyle name="40% - Accent1 2 4 3 4" xfId="20389" xr:uid="{00000000-0005-0000-0000-000013110000}"/>
    <cellStyle name="40% - Accent1 2 4 4" xfId="3284" xr:uid="{00000000-0005-0000-0000-000014110000}"/>
    <cellStyle name="40% - Accent1 2 4 4 2" xfId="7963" xr:uid="{00000000-0005-0000-0000-000015110000}"/>
    <cellStyle name="40% - Accent1 2 4 4 2 2" xfId="17287" xr:uid="{00000000-0005-0000-0000-000016110000}"/>
    <cellStyle name="40% - Accent1 2 4 4 2 3" xfId="26610" xr:uid="{00000000-0005-0000-0000-000017110000}"/>
    <cellStyle name="40% - Accent1 2 4 4 3" xfId="12670" xr:uid="{00000000-0005-0000-0000-000018110000}"/>
    <cellStyle name="40% - Accent1 2 4 4 4" xfId="21996" xr:uid="{00000000-0005-0000-0000-000019110000}"/>
    <cellStyle name="40% - Accent1 2 4 5" xfId="4950" xr:uid="{00000000-0005-0000-0000-00001A110000}"/>
    <cellStyle name="40% - Accent1 2 4 5 2" xfId="14274" xr:uid="{00000000-0005-0000-0000-00001B110000}"/>
    <cellStyle name="40% - Accent1 2 4 5 3" xfId="23597" xr:uid="{00000000-0005-0000-0000-00001C110000}"/>
    <cellStyle name="40% - Accent1 2 4 6" xfId="7175" xr:uid="{00000000-0005-0000-0000-00001D110000}"/>
    <cellStyle name="40% - Accent1 2 4 6 2" xfId="16499" xr:uid="{00000000-0005-0000-0000-00001E110000}"/>
    <cellStyle name="40% - Accent1 2 4 6 3" xfId="25822" xr:uid="{00000000-0005-0000-0000-00001F110000}"/>
    <cellStyle name="40% - Accent1 2 4 7" xfId="9517" xr:uid="{00000000-0005-0000-0000-000020110000}"/>
    <cellStyle name="40% - Accent1 2 4 7 2" xfId="18841" xr:uid="{00000000-0005-0000-0000-000021110000}"/>
    <cellStyle name="40% - Accent1 2 4 7 3" xfId="28164" xr:uid="{00000000-0005-0000-0000-000022110000}"/>
    <cellStyle name="40% - Accent1 2 4 8" xfId="10011" xr:uid="{00000000-0005-0000-0000-000023110000}"/>
    <cellStyle name="40% - Accent1 2 4 9" xfId="19335" xr:uid="{00000000-0005-0000-0000-000024110000}"/>
    <cellStyle name="40% - Accent1 2 5" xfId="654" xr:uid="{00000000-0005-0000-0000-000025110000}"/>
    <cellStyle name="40% - Accent1 2 5 2" xfId="1498" xr:uid="{00000000-0005-0000-0000-000026110000}"/>
    <cellStyle name="40% - Accent1 2 5 2 2" xfId="4568" xr:uid="{00000000-0005-0000-0000-000027110000}"/>
    <cellStyle name="40% - Accent1 2 5 2 2 2" xfId="13892" xr:uid="{00000000-0005-0000-0000-000028110000}"/>
    <cellStyle name="40% - Accent1 2 5 2 2 3" xfId="23215" xr:uid="{00000000-0005-0000-0000-000029110000}"/>
    <cellStyle name="40% - Accent1 2 5 2 3" xfId="11066" xr:uid="{00000000-0005-0000-0000-00002A110000}"/>
    <cellStyle name="40% - Accent1 2 5 2 4" xfId="20390" xr:uid="{00000000-0005-0000-0000-00002B110000}"/>
    <cellStyle name="40% - Accent1 2 5 3" xfId="3285" xr:uid="{00000000-0005-0000-0000-00002C110000}"/>
    <cellStyle name="40% - Accent1 2 5 3 2" xfId="7964" xr:uid="{00000000-0005-0000-0000-00002D110000}"/>
    <cellStyle name="40% - Accent1 2 5 3 2 2" xfId="17288" xr:uid="{00000000-0005-0000-0000-00002E110000}"/>
    <cellStyle name="40% - Accent1 2 5 3 2 3" xfId="26611" xr:uid="{00000000-0005-0000-0000-00002F110000}"/>
    <cellStyle name="40% - Accent1 2 5 3 3" xfId="12671" xr:uid="{00000000-0005-0000-0000-000030110000}"/>
    <cellStyle name="40% - Accent1 2 5 3 4" xfId="21997" xr:uid="{00000000-0005-0000-0000-000031110000}"/>
    <cellStyle name="40% - Accent1 2 5 4" xfId="4951" xr:uid="{00000000-0005-0000-0000-000032110000}"/>
    <cellStyle name="40% - Accent1 2 5 4 2" xfId="14275" xr:uid="{00000000-0005-0000-0000-000033110000}"/>
    <cellStyle name="40% - Accent1 2 5 4 3" xfId="23598" xr:uid="{00000000-0005-0000-0000-000034110000}"/>
    <cellStyle name="40% - Accent1 2 5 5" xfId="10255" xr:uid="{00000000-0005-0000-0000-000035110000}"/>
    <cellStyle name="40% - Accent1 2 5 6" xfId="19579" xr:uid="{00000000-0005-0000-0000-000036110000}"/>
    <cellStyle name="40% - Accent1 2 6" xfId="1499" xr:uid="{00000000-0005-0000-0000-000037110000}"/>
    <cellStyle name="40% - Accent1 2 6 2" xfId="3286" xr:uid="{00000000-0005-0000-0000-000038110000}"/>
    <cellStyle name="40% - Accent1 2 6 2 2" xfId="7965" xr:uid="{00000000-0005-0000-0000-000039110000}"/>
    <cellStyle name="40% - Accent1 2 6 2 2 2" xfId="17289" xr:uid="{00000000-0005-0000-0000-00003A110000}"/>
    <cellStyle name="40% - Accent1 2 6 2 2 3" xfId="26612" xr:uid="{00000000-0005-0000-0000-00003B110000}"/>
    <cellStyle name="40% - Accent1 2 6 2 3" xfId="12672" xr:uid="{00000000-0005-0000-0000-00003C110000}"/>
    <cellStyle name="40% - Accent1 2 6 2 4" xfId="21998" xr:uid="{00000000-0005-0000-0000-00003D110000}"/>
    <cellStyle name="40% - Accent1 2 6 3" xfId="4952" xr:uid="{00000000-0005-0000-0000-00003E110000}"/>
    <cellStyle name="40% - Accent1 2 6 3 2" xfId="14276" xr:uid="{00000000-0005-0000-0000-00003F110000}"/>
    <cellStyle name="40% - Accent1 2 6 3 3" xfId="23599" xr:uid="{00000000-0005-0000-0000-000040110000}"/>
    <cellStyle name="40% - Accent1 2 6 4" xfId="11067" xr:uid="{00000000-0005-0000-0000-000041110000}"/>
    <cellStyle name="40% - Accent1 2 6 5" xfId="20391" xr:uid="{00000000-0005-0000-0000-000042110000}"/>
    <cellStyle name="40% - Accent1 2 7" xfId="1490" xr:uid="{00000000-0005-0000-0000-000043110000}"/>
    <cellStyle name="40% - Accent1 2 7 2" xfId="3277" xr:uid="{00000000-0005-0000-0000-000044110000}"/>
    <cellStyle name="40% - Accent1 2 7 2 2" xfId="7956" xr:uid="{00000000-0005-0000-0000-000045110000}"/>
    <cellStyle name="40% - Accent1 2 7 2 2 2" xfId="17280" xr:uid="{00000000-0005-0000-0000-000046110000}"/>
    <cellStyle name="40% - Accent1 2 7 2 2 3" xfId="26603" xr:uid="{00000000-0005-0000-0000-000047110000}"/>
    <cellStyle name="40% - Accent1 2 7 2 3" xfId="12663" xr:uid="{00000000-0005-0000-0000-000048110000}"/>
    <cellStyle name="40% - Accent1 2 7 2 4" xfId="21989" xr:uid="{00000000-0005-0000-0000-000049110000}"/>
    <cellStyle name="40% - Accent1 2 7 3" xfId="4943" xr:uid="{00000000-0005-0000-0000-00004A110000}"/>
    <cellStyle name="40% - Accent1 2 7 3 2" xfId="14267" xr:uid="{00000000-0005-0000-0000-00004B110000}"/>
    <cellStyle name="40% - Accent1 2 7 3 3" xfId="23590" xr:uid="{00000000-0005-0000-0000-00004C110000}"/>
    <cellStyle name="40% - Accent1 2 7 4" xfId="11058" xr:uid="{00000000-0005-0000-0000-00004D110000}"/>
    <cellStyle name="40% - Accent1 2 7 5" xfId="20382" xr:uid="{00000000-0005-0000-0000-00004E110000}"/>
    <cellStyle name="40% - Accent1 2 8" xfId="1138" xr:uid="{00000000-0005-0000-0000-00004F110000}"/>
    <cellStyle name="40% - Accent1 2 8 2" xfId="6711" xr:uid="{00000000-0005-0000-0000-000050110000}"/>
    <cellStyle name="40% - Accent1 2 8 2 2" xfId="16035" xr:uid="{00000000-0005-0000-0000-000051110000}"/>
    <cellStyle name="40% - Accent1 2 8 2 3" xfId="25358" xr:uid="{00000000-0005-0000-0000-000052110000}"/>
    <cellStyle name="40% - Accent1 2 8 3" xfId="10737" xr:uid="{00000000-0005-0000-0000-000053110000}"/>
    <cellStyle name="40% - Accent1 2 8 4" xfId="20061" xr:uid="{00000000-0005-0000-0000-000054110000}"/>
    <cellStyle name="40% - Accent1 2 9" xfId="2956" xr:uid="{00000000-0005-0000-0000-000055110000}"/>
    <cellStyle name="40% - Accent1 2 9 2" xfId="7635" xr:uid="{00000000-0005-0000-0000-000056110000}"/>
    <cellStyle name="40% - Accent1 2 9 2 2" xfId="16959" xr:uid="{00000000-0005-0000-0000-000057110000}"/>
    <cellStyle name="40% - Accent1 2 9 2 3" xfId="26282" xr:uid="{00000000-0005-0000-0000-000058110000}"/>
    <cellStyle name="40% - Accent1 2 9 3" xfId="12357" xr:uid="{00000000-0005-0000-0000-000059110000}"/>
    <cellStyle name="40% - Accent1 2 9 4" xfId="21683" xr:uid="{00000000-0005-0000-0000-00005A110000}"/>
    <cellStyle name="40% - Accent1 3" xfId="70" xr:uid="{00000000-0005-0000-0000-00005B110000}"/>
    <cellStyle name="40% - Accent1 3 10" xfId="9264" xr:uid="{00000000-0005-0000-0000-00005C110000}"/>
    <cellStyle name="40% - Accent1 3 10 2" xfId="18588" xr:uid="{00000000-0005-0000-0000-00005D110000}"/>
    <cellStyle name="40% - Accent1 3 10 3" xfId="27911" xr:uid="{00000000-0005-0000-0000-00005E110000}"/>
    <cellStyle name="40% - Accent1 3 11" xfId="9758" xr:uid="{00000000-0005-0000-0000-00005F110000}"/>
    <cellStyle name="40% - Accent1 3 12" xfId="19082" xr:uid="{00000000-0005-0000-0000-000060110000}"/>
    <cellStyle name="40% - Accent1 3 13" xfId="28853" xr:uid="{00000000-0005-0000-0000-000061110000}"/>
    <cellStyle name="40% - Accent1 3 2" xfId="208" xr:uid="{00000000-0005-0000-0000-000062110000}"/>
    <cellStyle name="40% - Accent1 3 2 10" xfId="9830" xr:uid="{00000000-0005-0000-0000-000063110000}"/>
    <cellStyle name="40% - Accent1 3 2 11" xfId="19154" xr:uid="{00000000-0005-0000-0000-000064110000}"/>
    <cellStyle name="40% - Accent1 3 2 2" xfId="348" xr:uid="{00000000-0005-0000-0000-000065110000}"/>
    <cellStyle name="40% - Accent1 3 2 2 10" xfId="19277" xr:uid="{00000000-0005-0000-0000-000066110000}"/>
    <cellStyle name="40% - Accent1 3 2 2 2" xfId="588" xr:uid="{00000000-0005-0000-0000-000067110000}"/>
    <cellStyle name="40% - Accent1 3 2 2 2 2" xfId="1076" xr:uid="{00000000-0005-0000-0000-000068110000}"/>
    <cellStyle name="40% - Accent1 3 2 2 2 2 2" xfId="6739" xr:uid="{00000000-0005-0000-0000-000069110000}"/>
    <cellStyle name="40% - Accent1 3 2 2 2 2 2 2" xfId="16063" xr:uid="{00000000-0005-0000-0000-00006A110000}"/>
    <cellStyle name="40% - Accent1 3 2 2 2 2 2 3" xfId="25386" xr:uid="{00000000-0005-0000-0000-00006B110000}"/>
    <cellStyle name="40% - Accent1 3 2 2 2 2 3" xfId="10677" xr:uid="{00000000-0005-0000-0000-00006C110000}"/>
    <cellStyle name="40% - Accent1 3 2 2 2 2 4" xfId="20001" xr:uid="{00000000-0005-0000-0000-00006D110000}"/>
    <cellStyle name="40% - Accent1 3 2 2 2 3" xfId="7065" xr:uid="{00000000-0005-0000-0000-00006E110000}"/>
    <cellStyle name="40% - Accent1 3 2 2 2 3 2" xfId="16389" xr:uid="{00000000-0005-0000-0000-00006F110000}"/>
    <cellStyle name="40% - Accent1 3 2 2 2 3 3" xfId="25712" xr:uid="{00000000-0005-0000-0000-000070110000}"/>
    <cellStyle name="40% - Accent1 3 2 2 2 4" xfId="9699" xr:uid="{00000000-0005-0000-0000-000071110000}"/>
    <cellStyle name="40% - Accent1 3 2 2 2 4 2" xfId="19023" xr:uid="{00000000-0005-0000-0000-000072110000}"/>
    <cellStyle name="40% - Accent1 3 2 2 2 4 3" xfId="28346" xr:uid="{00000000-0005-0000-0000-000073110000}"/>
    <cellStyle name="40% - Accent1 3 2 2 2 5" xfId="10193" xr:uid="{00000000-0005-0000-0000-000074110000}"/>
    <cellStyle name="40% - Accent1 3 2 2 2 6" xfId="19517" xr:uid="{00000000-0005-0000-0000-000075110000}"/>
    <cellStyle name="40% - Accent1 3 2 2 3" xfId="836" xr:uid="{00000000-0005-0000-0000-000076110000}"/>
    <cellStyle name="40% - Accent1 3 2 2 3 2" xfId="5470" xr:uid="{00000000-0005-0000-0000-000077110000}"/>
    <cellStyle name="40% - Accent1 3 2 2 3 2 2" xfId="14794" xr:uid="{00000000-0005-0000-0000-000078110000}"/>
    <cellStyle name="40% - Accent1 3 2 2 3 2 3" xfId="24117" xr:uid="{00000000-0005-0000-0000-000079110000}"/>
    <cellStyle name="40% - Accent1 3 2 2 3 3" xfId="10437" xr:uid="{00000000-0005-0000-0000-00007A110000}"/>
    <cellStyle name="40% - Accent1 3 2 2 3 4" xfId="19761" xr:uid="{00000000-0005-0000-0000-00007B110000}"/>
    <cellStyle name="40% - Accent1 3 2 2 4" xfId="1502" xr:uid="{00000000-0005-0000-0000-00007C110000}"/>
    <cellStyle name="40% - Accent1 3 2 2 4 2" xfId="6551" xr:uid="{00000000-0005-0000-0000-00007D110000}"/>
    <cellStyle name="40% - Accent1 3 2 2 4 2 2" xfId="15875" xr:uid="{00000000-0005-0000-0000-00007E110000}"/>
    <cellStyle name="40% - Accent1 3 2 2 4 2 3" xfId="25198" xr:uid="{00000000-0005-0000-0000-00007F110000}"/>
    <cellStyle name="40% - Accent1 3 2 2 4 3" xfId="11070" xr:uid="{00000000-0005-0000-0000-000080110000}"/>
    <cellStyle name="40% - Accent1 3 2 2 4 4" xfId="20394" xr:uid="{00000000-0005-0000-0000-000081110000}"/>
    <cellStyle name="40% - Accent1 3 2 2 5" xfId="3289" xr:uid="{00000000-0005-0000-0000-000082110000}"/>
    <cellStyle name="40% - Accent1 3 2 2 5 2" xfId="7968" xr:uid="{00000000-0005-0000-0000-000083110000}"/>
    <cellStyle name="40% - Accent1 3 2 2 5 2 2" xfId="17292" xr:uid="{00000000-0005-0000-0000-000084110000}"/>
    <cellStyle name="40% - Accent1 3 2 2 5 2 3" xfId="26615" xr:uid="{00000000-0005-0000-0000-000085110000}"/>
    <cellStyle name="40% - Accent1 3 2 2 5 3" xfId="12675" xr:uid="{00000000-0005-0000-0000-000086110000}"/>
    <cellStyle name="40% - Accent1 3 2 2 5 4" xfId="22001" xr:uid="{00000000-0005-0000-0000-000087110000}"/>
    <cellStyle name="40% - Accent1 3 2 2 6" xfId="4955" xr:uid="{00000000-0005-0000-0000-000088110000}"/>
    <cellStyle name="40% - Accent1 3 2 2 6 2" xfId="14279" xr:uid="{00000000-0005-0000-0000-000089110000}"/>
    <cellStyle name="40% - Accent1 3 2 2 6 3" xfId="23602" xr:uid="{00000000-0005-0000-0000-00008A110000}"/>
    <cellStyle name="40% - Accent1 3 2 2 7" xfId="7200" xr:uid="{00000000-0005-0000-0000-00008B110000}"/>
    <cellStyle name="40% - Accent1 3 2 2 7 2" xfId="16524" xr:uid="{00000000-0005-0000-0000-00008C110000}"/>
    <cellStyle name="40% - Accent1 3 2 2 7 3" xfId="25847" xr:uid="{00000000-0005-0000-0000-00008D110000}"/>
    <cellStyle name="40% - Accent1 3 2 2 8" xfId="9459" xr:uid="{00000000-0005-0000-0000-00008E110000}"/>
    <cellStyle name="40% - Accent1 3 2 2 8 2" xfId="18783" xr:uid="{00000000-0005-0000-0000-00008F110000}"/>
    <cellStyle name="40% - Accent1 3 2 2 8 3" xfId="28106" xr:uid="{00000000-0005-0000-0000-000090110000}"/>
    <cellStyle name="40% - Accent1 3 2 2 9" xfId="9953" xr:uid="{00000000-0005-0000-0000-000091110000}"/>
    <cellStyle name="40% - Accent1 3 2 3" xfId="466" xr:uid="{00000000-0005-0000-0000-000092110000}"/>
    <cellStyle name="40% - Accent1 3 2 3 2" xfId="954" xr:uid="{00000000-0005-0000-0000-000093110000}"/>
    <cellStyle name="40% - Accent1 3 2 3 2 2" xfId="5479" xr:uid="{00000000-0005-0000-0000-000094110000}"/>
    <cellStyle name="40% - Accent1 3 2 3 2 2 2" xfId="14803" xr:uid="{00000000-0005-0000-0000-000095110000}"/>
    <cellStyle name="40% - Accent1 3 2 3 2 2 3" xfId="24126" xr:uid="{00000000-0005-0000-0000-000096110000}"/>
    <cellStyle name="40% - Accent1 3 2 3 2 3" xfId="10555" xr:uid="{00000000-0005-0000-0000-000097110000}"/>
    <cellStyle name="40% - Accent1 3 2 3 2 4" xfId="19879" xr:uid="{00000000-0005-0000-0000-000098110000}"/>
    <cellStyle name="40% - Accent1 3 2 3 3" xfId="5221" xr:uid="{00000000-0005-0000-0000-000099110000}"/>
    <cellStyle name="40% - Accent1 3 2 3 3 2" xfId="14545" xr:uid="{00000000-0005-0000-0000-00009A110000}"/>
    <cellStyle name="40% - Accent1 3 2 3 3 3" xfId="23868" xr:uid="{00000000-0005-0000-0000-00009B110000}"/>
    <cellStyle name="40% - Accent1 3 2 3 4" xfId="9577" xr:uid="{00000000-0005-0000-0000-00009C110000}"/>
    <cellStyle name="40% - Accent1 3 2 3 4 2" xfId="18901" xr:uid="{00000000-0005-0000-0000-00009D110000}"/>
    <cellStyle name="40% - Accent1 3 2 3 4 3" xfId="28224" xr:uid="{00000000-0005-0000-0000-00009E110000}"/>
    <cellStyle name="40% - Accent1 3 2 3 5" xfId="10071" xr:uid="{00000000-0005-0000-0000-00009F110000}"/>
    <cellStyle name="40% - Accent1 3 2 3 6" xfId="19395" xr:uid="{00000000-0005-0000-0000-0000A0110000}"/>
    <cellStyle name="40% - Accent1 3 2 4" xfId="714" xr:uid="{00000000-0005-0000-0000-0000A1110000}"/>
    <cellStyle name="40% - Accent1 3 2 4 2" xfId="7002" xr:uid="{00000000-0005-0000-0000-0000A2110000}"/>
    <cellStyle name="40% - Accent1 3 2 4 2 2" xfId="16326" xr:uid="{00000000-0005-0000-0000-0000A3110000}"/>
    <cellStyle name="40% - Accent1 3 2 4 2 3" xfId="25649" xr:uid="{00000000-0005-0000-0000-0000A4110000}"/>
    <cellStyle name="40% - Accent1 3 2 4 3" xfId="10315" xr:uid="{00000000-0005-0000-0000-0000A5110000}"/>
    <cellStyle name="40% - Accent1 3 2 4 4" xfId="19639" xr:uid="{00000000-0005-0000-0000-0000A6110000}"/>
    <cellStyle name="40% - Accent1 3 2 5" xfId="1501" xr:uid="{00000000-0005-0000-0000-0000A7110000}"/>
    <cellStyle name="40% - Accent1 3 2 5 2" xfId="6552" xr:uid="{00000000-0005-0000-0000-0000A8110000}"/>
    <cellStyle name="40% - Accent1 3 2 5 2 2" xfId="15876" xr:uid="{00000000-0005-0000-0000-0000A9110000}"/>
    <cellStyle name="40% - Accent1 3 2 5 2 3" xfId="25199" xr:uid="{00000000-0005-0000-0000-0000AA110000}"/>
    <cellStyle name="40% - Accent1 3 2 5 3" xfId="11069" xr:uid="{00000000-0005-0000-0000-0000AB110000}"/>
    <cellStyle name="40% - Accent1 3 2 5 4" xfId="20393" xr:uid="{00000000-0005-0000-0000-0000AC110000}"/>
    <cellStyle name="40% - Accent1 3 2 6" xfId="3288" xr:uid="{00000000-0005-0000-0000-0000AD110000}"/>
    <cellStyle name="40% - Accent1 3 2 6 2" xfId="7967" xr:uid="{00000000-0005-0000-0000-0000AE110000}"/>
    <cellStyle name="40% - Accent1 3 2 6 2 2" xfId="17291" xr:uid="{00000000-0005-0000-0000-0000AF110000}"/>
    <cellStyle name="40% - Accent1 3 2 6 2 3" xfId="26614" xr:uid="{00000000-0005-0000-0000-0000B0110000}"/>
    <cellStyle name="40% - Accent1 3 2 6 3" xfId="12674" xr:uid="{00000000-0005-0000-0000-0000B1110000}"/>
    <cellStyle name="40% - Accent1 3 2 6 4" xfId="22000" xr:uid="{00000000-0005-0000-0000-0000B2110000}"/>
    <cellStyle name="40% - Accent1 3 2 7" xfId="4954" xr:uid="{00000000-0005-0000-0000-0000B3110000}"/>
    <cellStyle name="40% - Accent1 3 2 7 2" xfId="14278" xr:uid="{00000000-0005-0000-0000-0000B4110000}"/>
    <cellStyle name="40% - Accent1 3 2 7 3" xfId="23601" xr:uid="{00000000-0005-0000-0000-0000B5110000}"/>
    <cellStyle name="40% - Accent1 3 2 8" xfId="7267" xr:uid="{00000000-0005-0000-0000-0000B6110000}"/>
    <cellStyle name="40% - Accent1 3 2 8 2" xfId="16591" xr:uid="{00000000-0005-0000-0000-0000B7110000}"/>
    <cellStyle name="40% - Accent1 3 2 8 3" xfId="25914" xr:uid="{00000000-0005-0000-0000-0000B8110000}"/>
    <cellStyle name="40% - Accent1 3 2 9" xfId="9336" xr:uid="{00000000-0005-0000-0000-0000B9110000}"/>
    <cellStyle name="40% - Accent1 3 2 9 2" xfId="18660" xr:uid="{00000000-0005-0000-0000-0000BA110000}"/>
    <cellStyle name="40% - Accent1 3 2 9 3" xfId="27983" xr:uid="{00000000-0005-0000-0000-0000BB110000}"/>
    <cellStyle name="40% - Accent1 3 3" xfId="291" xr:uid="{00000000-0005-0000-0000-0000BC110000}"/>
    <cellStyle name="40% - Accent1 3 3 10" xfId="19225" xr:uid="{00000000-0005-0000-0000-0000BD110000}"/>
    <cellStyle name="40% - Accent1 3 3 2" xfId="537" xr:uid="{00000000-0005-0000-0000-0000BE110000}"/>
    <cellStyle name="40% - Accent1 3 3 2 2" xfId="1025" xr:uid="{00000000-0005-0000-0000-0000BF110000}"/>
    <cellStyle name="40% - Accent1 3 3 2 2 2" xfId="6285" xr:uid="{00000000-0005-0000-0000-0000C0110000}"/>
    <cellStyle name="40% - Accent1 3 3 2 2 2 2" xfId="15609" xr:uid="{00000000-0005-0000-0000-0000C1110000}"/>
    <cellStyle name="40% - Accent1 3 3 2 2 2 3" xfId="24932" xr:uid="{00000000-0005-0000-0000-0000C2110000}"/>
    <cellStyle name="40% - Accent1 3 3 2 2 3" xfId="10626" xr:uid="{00000000-0005-0000-0000-0000C3110000}"/>
    <cellStyle name="40% - Accent1 3 3 2 2 4" xfId="19950" xr:uid="{00000000-0005-0000-0000-0000C4110000}"/>
    <cellStyle name="40% - Accent1 3 3 2 3" xfId="7100" xr:uid="{00000000-0005-0000-0000-0000C5110000}"/>
    <cellStyle name="40% - Accent1 3 3 2 3 2" xfId="16424" xr:uid="{00000000-0005-0000-0000-0000C6110000}"/>
    <cellStyle name="40% - Accent1 3 3 2 3 3" xfId="25747" xr:uid="{00000000-0005-0000-0000-0000C7110000}"/>
    <cellStyle name="40% - Accent1 3 3 2 4" xfId="9648" xr:uid="{00000000-0005-0000-0000-0000C8110000}"/>
    <cellStyle name="40% - Accent1 3 3 2 4 2" xfId="18972" xr:uid="{00000000-0005-0000-0000-0000C9110000}"/>
    <cellStyle name="40% - Accent1 3 3 2 4 3" xfId="28295" xr:uid="{00000000-0005-0000-0000-0000CA110000}"/>
    <cellStyle name="40% - Accent1 3 3 2 5" xfId="10142" xr:uid="{00000000-0005-0000-0000-0000CB110000}"/>
    <cellStyle name="40% - Accent1 3 3 2 6" xfId="19466" xr:uid="{00000000-0005-0000-0000-0000CC110000}"/>
    <cellStyle name="40% - Accent1 3 3 3" xfId="785" xr:uid="{00000000-0005-0000-0000-0000CD110000}"/>
    <cellStyle name="40% - Accent1 3 3 3 2" xfId="6953" xr:uid="{00000000-0005-0000-0000-0000CE110000}"/>
    <cellStyle name="40% - Accent1 3 3 3 2 2" xfId="16277" xr:uid="{00000000-0005-0000-0000-0000CF110000}"/>
    <cellStyle name="40% - Accent1 3 3 3 2 3" xfId="25600" xr:uid="{00000000-0005-0000-0000-0000D0110000}"/>
    <cellStyle name="40% - Accent1 3 3 3 3" xfId="10386" xr:uid="{00000000-0005-0000-0000-0000D1110000}"/>
    <cellStyle name="40% - Accent1 3 3 3 4" xfId="19710" xr:uid="{00000000-0005-0000-0000-0000D2110000}"/>
    <cellStyle name="40% - Accent1 3 3 4" xfId="1503" xr:uid="{00000000-0005-0000-0000-0000D3110000}"/>
    <cellStyle name="40% - Accent1 3 3 4 2" xfId="6550" xr:uid="{00000000-0005-0000-0000-0000D4110000}"/>
    <cellStyle name="40% - Accent1 3 3 4 2 2" xfId="15874" xr:uid="{00000000-0005-0000-0000-0000D5110000}"/>
    <cellStyle name="40% - Accent1 3 3 4 2 3" xfId="25197" xr:uid="{00000000-0005-0000-0000-0000D6110000}"/>
    <cellStyle name="40% - Accent1 3 3 4 3" xfId="11071" xr:uid="{00000000-0005-0000-0000-0000D7110000}"/>
    <cellStyle name="40% - Accent1 3 3 4 4" xfId="20395" xr:uid="{00000000-0005-0000-0000-0000D8110000}"/>
    <cellStyle name="40% - Accent1 3 3 5" xfId="3290" xr:uid="{00000000-0005-0000-0000-0000D9110000}"/>
    <cellStyle name="40% - Accent1 3 3 5 2" xfId="7969" xr:uid="{00000000-0005-0000-0000-0000DA110000}"/>
    <cellStyle name="40% - Accent1 3 3 5 2 2" xfId="17293" xr:uid="{00000000-0005-0000-0000-0000DB110000}"/>
    <cellStyle name="40% - Accent1 3 3 5 2 3" xfId="26616" xr:uid="{00000000-0005-0000-0000-0000DC110000}"/>
    <cellStyle name="40% - Accent1 3 3 5 3" xfId="12676" xr:uid="{00000000-0005-0000-0000-0000DD110000}"/>
    <cellStyle name="40% - Accent1 3 3 5 4" xfId="22002" xr:uid="{00000000-0005-0000-0000-0000DE110000}"/>
    <cellStyle name="40% - Accent1 3 3 6" xfId="4956" xr:uid="{00000000-0005-0000-0000-0000DF110000}"/>
    <cellStyle name="40% - Accent1 3 3 6 2" xfId="14280" xr:uid="{00000000-0005-0000-0000-0000E0110000}"/>
    <cellStyle name="40% - Accent1 3 3 6 3" xfId="23603" xr:uid="{00000000-0005-0000-0000-0000E1110000}"/>
    <cellStyle name="40% - Accent1 3 3 7" xfId="7232" xr:uid="{00000000-0005-0000-0000-0000E2110000}"/>
    <cellStyle name="40% - Accent1 3 3 7 2" xfId="16556" xr:uid="{00000000-0005-0000-0000-0000E3110000}"/>
    <cellStyle name="40% - Accent1 3 3 7 3" xfId="25879" xr:uid="{00000000-0005-0000-0000-0000E4110000}"/>
    <cellStyle name="40% - Accent1 3 3 8" xfId="9407" xr:uid="{00000000-0005-0000-0000-0000E5110000}"/>
    <cellStyle name="40% - Accent1 3 3 8 2" xfId="18731" xr:uid="{00000000-0005-0000-0000-0000E6110000}"/>
    <cellStyle name="40% - Accent1 3 3 8 3" xfId="28054" xr:uid="{00000000-0005-0000-0000-0000E7110000}"/>
    <cellStyle name="40% - Accent1 3 3 9" xfId="9901" xr:uid="{00000000-0005-0000-0000-0000E8110000}"/>
    <cellStyle name="40% - Accent1 3 4" xfId="407" xr:uid="{00000000-0005-0000-0000-0000E9110000}"/>
    <cellStyle name="40% - Accent1 3 4 2" xfId="895" xr:uid="{00000000-0005-0000-0000-0000EA110000}"/>
    <cellStyle name="40% - Accent1 3 4 2 2" xfId="6869" xr:uid="{00000000-0005-0000-0000-0000EB110000}"/>
    <cellStyle name="40% - Accent1 3 4 2 2 2" xfId="16193" xr:uid="{00000000-0005-0000-0000-0000EC110000}"/>
    <cellStyle name="40% - Accent1 3 4 2 2 3" xfId="25516" xr:uid="{00000000-0005-0000-0000-0000ED110000}"/>
    <cellStyle name="40% - Accent1 3 4 2 3" xfId="10496" xr:uid="{00000000-0005-0000-0000-0000EE110000}"/>
    <cellStyle name="40% - Accent1 3 4 2 4" xfId="19820" xr:uid="{00000000-0005-0000-0000-0000EF110000}"/>
    <cellStyle name="40% - Accent1 3 4 3" xfId="1504" xr:uid="{00000000-0005-0000-0000-0000F0110000}"/>
    <cellStyle name="40% - Accent1 3 4 3 2" xfId="6279" xr:uid="{00000000-0005-0000-0000-0000F1110000}"/>
    <cellStyle name="40% - Accent1 3 4 3 2 2" xfId="15603" xr:uid="{00000000-0005-0000-0000-0000F2110000}"/>
    <cellStyle name="40% - Accent1 3 4 3 2 3" xfId="24926" xr:uid="{00000000-0005-0000-0000-0000F3110000}"/>
    <cellStyle name="40% - Accent1 3 4 3 3" xfId="11072" xr:uid="{00000000-0005-0000-0000-0000F4110000}"/>
    <cellStyle name="40% - Accent1 3 4 3 4" xfId="20396" xr:uid="{00000000-0005-0000-0000-0000F5110000}"/>
    <cellStyle name="40% - Accent1 3 4 4" xfId="3291" xr:uid="{00000000-0005-0000-0000-0000F6110000}"/>
    <cellStyle name="40% - Accent1 3 4 4 2" xfId="7970" xr:uid="{00000000-0005-0000-0000-0000F7110000}"/>
    <cellStyle name="40% - Accent1 3 4 4 2 2" xfId="17294" xr:uid="{00000000-0005-0000-0000-0000F8110000}"/>
    <cellStyle name="40% - Accent1 3 4 4 2 3" xfId="26617" xr:uid="{00000000-0005-0000-0000-0000F9110000}"/>
    <cellStyle name="40% - Accent1 3 4 4 3" xfId="12677" xr:uid="{00000000-0005-0000-0000-0000FA110000}"/>
    <cellStyle name="40% - Accent1 3 4 4 4" xfId="22003" xr:uid="{00000000-0005-0000-0000-0000FB110000}"/>
    <cellStyle name="40% - Accent1 3 4 5" xfId="4957" xr:uid="{00000000-0005-0000-0000-0000FC110000}"/>
    <cellStyle name="40% - Accent1 3 4 5 2" xfId="14281" xr:uid="{00000000-0005-0000-0000-0000FD110000}"/>
    <cellStyle name="40% - Accent1 3 4 5 3" xfId="23604" xr:uid="{00000000-0005-0000-0000-0000FE110000}"/>
    <cellStyle name="40% - Accent1 3 4 6" xfId="7174" xr:uid="{00000000-0005-0000-0000-0000FF110000}"/>
    <cellStyle name="40% - Accent1 3 4 6 2" xfId="16498" xr:uid="{00000000-0005-0000-0000-000000120000}"/>
    <cellStyle name="40% - Accent1 3 4 6 3" xfId="25821" xr:uid="{00000000-0005-0000-0000-000001120000}"/>
    <cellStyle name="40% - Accent1 3 4 7" xfId="9518" xr:uid="{00000000-0005-0000-0000-000002120000}"/>
    <cellStyle name="40% - Accent1 3 4 7 2" xfId="18842" xr:uid="{00000000-0005-0000-0000-000003120000}"/>
    <cellStyle name="40% - Accent1 3 4 7 3" xfId="28165" xr:uid="{00000000-0005-0000-0000-000004120000}"/>
    <cellStyle name="40% - Accent1 3 4 8" xfId="10012" xr:uid="{00000000-0005-0000-0000-000005120000}"/>
    <cellStyle name="40% - Accent1 3 4 9" xfId="19336" xr:uid="{00000000-0005-0000-0000-000006120000}"/>
    <cellStyle name="40% - Accent1 3 5" xfId="655" xr:uid="{00000000-0005-0000-0000-000007120000}"/>
    <cellStyle name="40% - Accent1 3 5 2" xfId="1505" xr:uid="{00000000-0005-0000-0000-000008120000}"/>
    <cellStyle name="40% - Accent1 3 5 2 2" xfId="6549" xr:uid="{00000000-0005-0000-0000-000009120000}"/>
    <cellStyle name="40% - Accent1 3 5 2 2 2" xfId="15873" xr:uid="{00000000-0005-0000-0000-00000A120000}"/>
    <cellStyle name="40% - Accent1 3 5 2 2 3" xfId="25196" xr:uid="{00000000-0005-0000-0000-00000B120000}"/>
    <cellStyle name="40% - Accent1 3 5 2 3" xfId="11073" xr:uid="{00000000-0005-0000-0000-00000C120000}"/>
    <cellStyle name="40% - Accent1 3 5 2 4" xfId="20397" xr:uid="{00000000-0005-0000-0000-00000D120000}"/>
    <cellStyle name="40% - Accent1 3 5 3" xfId="3292" xr:uid="{00000000-0005-0000-0000-00000E120000}"/>
    <cellStyle name="40% - Accent1 3 5 3 2" xfId="7971" xr:uid="{00000000-0005-0000-0000-00000F120000}"/>
    <cellStyle name="40% - Accent1 3 5 3 2 2" xfId="17295" xr:uid="{00000000-0005-0000-0000-000010120000}"/>
    <cellStyle name="40% - Accent1 3 5 3 2 3" xfId="26618" xr:uid="{00000000-0005-0000-0000-000011120000}"/>
    <cellStyle name="40% - Accent1 3 5 3 3" xfId="12678" xr:uid="{00000000-0005-0000-0000-000012120000}"/>
    <cellStyle name="40% - Accent1 3 5 3 4" xfId="22004" xr:uid="{00000000-0005-0000-0000-000013120000}"/>
    <cellStyle name="40% - Accent1 3 5 4" xfId="4958" xr:uid="{00000000-0005-0000-0000-000014120000}"/>
    <cellStyle name="40% - Accent1 3 5 4 2" xfId="14282" xr:uid="{00000000-0005-0000-0000-000015120000}"/>
    <cellStyle name="40% - Accent1 3 5 4 3" xfId="23605" xr:uid="{00000000-0005-0000-0000-000016120000}"/>
    <cellStyle name="40% - Accent1 3 5 5" xfId="5276" xr:uid="{00000000-0005-0000-0000-000017120000}"/>
    <cellStyle name="40% - Accent1 3 5 5 2" xfId="14600" xr:uid="{00000000-0005-0000-0000-000018120000}"/>
    <cellStyle name="40% - Accent1 3 5 5 3" xfId="23923" xr:uid="{00000000-0005-0000-0000-000019120000}"/>
    <cellStyle name="40% - Accent1 3 5 6" xfId="10256" xr:uid="{00000000-0005-0000-0000-00001A120000}"/>
    <cellStyle name="40% - Accent1 3 5 7" xfId="19580" xr:uid="{00000000-0005-0000-0000-00001B120000}"/>
    <cellStyle name="40% - Accent1 3 6" xfId="1500" xr:uid="{00000000-0005-0000-0000-00001C120000}"/>
    <cellStyle name="40% - Accent1 3 6 2" xfId="6277" xr:uid="{00000000-0005-0000-0000-00001D120000}"/>
    <cellStyle name="40% - Accent1 3 6 2 2" xfId="15601" xr:uid="{00000000-0005-0000-0000-00001E120000}"/>
    <cellStyle name="40% - Accent1 3 6 2 3" xfId="24924" xr:uid="{00000000-0005-0000-0000-00001F120000}"/>
    <cellStyle name="40% - Accent1 3 6 3" xfId="11068" xr:uid="{00000000-0005-0000-0000-000020120000}"/>
    <cellStyle name="40% - Accent1 3 6 4" xfId="20392" xr:uid="{00000000-0005-0000-0000-000021120000}"/>
    <cellStyle name="40% - Accent1 3 7" xfId="3287" xr:uid="{00000000-0005-0000-0000-000022120000}"/>
    <cellStyle name="40% - Accent1 3 7 2" xfId="7966" xr:uid="{00000000-0005-0000-0000-000023120000}"/>
    <cellStyle name="40% - Accent1 3 7 2 2" xfId="17290" xr:uid="{00000000-0005-0000-0000-000024120000}"/>
    <cellStyle name="40% - Accent1 3 7 2 3" xfId="26613" xr:uid="{00000000-0005-0000-0000-000025120000}"/>
    <cellStyle name="40% - Accent1 3 7 3" xfId="12673" xr:uid="{00000000-0005-0000-0000-000026120000}"/>
    <cellStyle name="40% - Accent1 3 7 4" xfId="21999" xr:uid="{00000000-0005-0000-0000-000027120000}"/>
    <cellStyle name="40% - Accent1 3 8" xfId="4953" xr:uid="{00000000-0005-0000-0000-000028120000}"/>
    <cellStyle name="40% - Accent1 3 8 2" xfId="14277" xr:uid="{00000000-0005-0000-0000-000029120000}"/>
    <cellStyle name="40% - Accent1 3 8 3" xfId="23600" xr:uid="{00000000-0005-0000-0000-00002A120000}"/>
    <cellStyle name="40% - Accent1 3 9" xfId="7316" xr:uid="{00000000-0005-0000-0000-00002B120000}"/>
    <cellStyle name="40% - Accent1 3 9 2" xfId="16640" xr:uid="{00000000-0005-0000-0000-00002C120000}"/>
    <cellStyle name="40% - Accent1 3 9 3" xfId="25963" xr:uid="{00000000-0005-0000-0000-00002D120000}"/>
    <cellStyle name="40% - Accent1 4" xfId="183" xr:uid="{00000000-0005-0000-0000-00002E120000}"/>
    <cellStyle name="40% - Accent1 4 10" xfId="19129" xr:uid="{00000000-0005-0000-0000-00002F120000}"/>
    <cellStyle name="40% - Accent1 4 11" xfId="28925" xr:uid="{00000000-0005-0000-0000-000030120000}"/>
    <cellStyle name="40% - Accent1 4 2" xfId="323" xr:uid="{00000000-0005-0000-0000-000031120000}"/>
    <cellStyle name="40% - Accent1 4 2 2" xfId="563" xr:uid="{00000000-0005-0000-0000-000032120000}"/>
    <cellStyle name="40% - Accent1 4 2 2 2" xfId="1051" xr:uid="{00000000-0005-0000-0000-000033120000}"/>
    <cellStyle name="40% - Accent1 4 2 2 2 2" xfId="6760" xr:uid="{00000000-0005-0000-0000-000034120000}"/>
    <cellStyle name="40% - Accent1 4 2 2 2 2 2" xfId="16084" xr:uid="{00000000-0005-0000-0000-000035120000}"/>
    <cellStyle name="40% - Accent1 4 2 2 2 2 3" xfId="25407" xr:uid="{00000000-0005-0000-0000-000036120000}"/>
    <cellStyle name="40% - Accent1 4 2 2 2 3" xfId="10652" xr:uid="{00000000-0005-0000-0000-000037120000}"/>
    <cellStyle name="40% - Accent1 4 2 2 2 4" xfId="19976" xr:uid="{00000000-0005-0000-0000-000038120000}"/>
    <cellStyle name="40% - Accent1 4 2 2 3" xfId="1508" xr:uid="{00000000-0005-0000-0000-000039120000}"/>
    <cellStyle name="40% - Accent1 4 2 2 3 2" xfId="6281" xr:uid="{00000000-0005-0000-0000-00003A120000}"/>
    <cellStyle name="40% - Accent1 4 2 2 3 2 2" xfId="15605" xr:uid="{00000000-0005-0000-0000-00003B120000}"/>
    <cellStyle name="40% - Accent1 4 2 2 3 2 3" xfId="24928" xr:uid="{00000000-0005-0000-0000-00003C120000}"/>
    <cellStyle name="40% - Accent1 4 2 2 3 3" xfId="11076" xr:uid="{00000000-0005-0000-0000-00003D120000}"/>
    <cellStyle name="40% - Accent1 4 2 2 3 4" xfId="20400" xr:uid="{00000000-0005-0000-0000-00003E120000}"/>
    <cellStyle name="40% - Accent1 4 2 2 4" xfId="3295" xr:uid="{00000000-0005-0000-0000-00003F120000}"/>
    <cellStyle name="40% - Accent1 4 2 2 4 2" xfId="7974" xr:uid="{00000000-0005-0000-0000-000040120000}"/>
    <cellStyle name="40% - Accent1 4 2 2 4 2 2" xfId="17298" xr:uid="{00000000-0005-0000-0000-000041120000}"/>
    <cellStyle name="40% - Accent1 4 2 2 4 2 3" xfId="26621" xr:uid="{00000000-0005-0000-0000-000042120000}"/>
    <cellStyle name="40% - Accent1 4 2 2 4 3" xfId="12681" xr:uid="{00000000-0005-0000-0000-000043120000}"/>
    <cellStyle name="40% - Accent1 4 2 2 4 4" xfId="22007" xr:uid="{00000000-0005-0000-0000-000044120000}"/>
    <cellStyle name="40% - Accent1 4 2 2 5" xfId="4961" xr:uid="{00000000-0005-0000-0000-000045120000}"/>
    <cellStyle name="40% - Accent1 4 2 2 5 2" xfId="14285" xr:uid="{00000000-0005-0000-0000-000046120000}"/>
    <cellStyle name="40% - Accent1 4 2 2 5 3" xfId="23608" xr:uid="{00000000-0005-0000-0000-000047120000}"/>
    <cellStyle name="40% - Accent1 4 2 2 6" xfId="9674" xr:uid="{00000000-0005-0000-0000-000048120000}"/>
    <cellStyle name="40% - Accent1 4 2 2 6 2" xfId="18998" xr:uid="{00000000-0005-0000-0000-000049120000}"/>
    <cellStyle name="40% - Accent1 4 2 2 6 3" xfId="28321" xr:uid="{00000000-0005-0000-0000-00004A120000}"/>
    <cellStyle name="40% - Accent1 4 2 2 7" xfId="10168" xr:uid="{00000000-0005-0000-0000-00004B120000}"/>
    <cellStyle name="40% - Accent1 4 2 2 8" xfId="19492" xr:uid="{00000000-0005-0000-0000-00004C120000}"/>
    <cellStyle name="40% - Accent1 4 2 3" xfId="811" xr:uid="{00000000-0005-0000-0000-00004D120000}"/>
    <cellStyle name="40% - Accent1 4 2 3 2" xfId="6934" xr:uid="{00000000-0005-0000-0000-00004E120000}"/>
    <cellStyle name="40% - Accent1 4 2 3 2 2" xfId="16258" xr:uid="{00000000-0005-0000-0000-00004F120000}"/>
    <cellStyle name="40% - Accent1 4 2 3 2 3" xfId="25581" xr:uid="{00000000-0005-0000-0000-000050120000}"/>
    <cellStyle name="40% - Accent1 4 2 3 3" xfId="10412" xr:uid="{00000000-0005-0000-0000-000051120000}"/>
    <cellStyle name="40% - Accent1 4 2 3 4" xfId="19736" xr:uid="{00000000-0005-0000-0000-000052120000}"/>
    <cellStyle name="40% - Accent1 4 2 4" xfId="1507" xr:uid="{00000000-0005-0000-0000-000053120000}"/>
    <cellStyle name="40% - Accent1 4 2 4 2" xfId="6547" xr:uid="{00000000-0005-0000-0000-000054120000}"/>
    <cellStyle name="40% - Accent1 4 2 4 2 2" xfId="15871" xr:uid="{00000000-0005-0000-0000-000055120000}"/>
    <cellStyle name="40% - Accent1 4 2 4 2 3" xfId="25194" xr:uid="{00000000-0005-0000-0000-000056120000}"/>
    <cellStyle name="40% - Accent1 4 2 4 3" xfId="11075" xr:uid="{00000000-0005-0000-0000-000057120000}"/>
    <cellStyle name="40% - Accent1 4 2 4 4" xfId="20399" xr:uid="{00000000-0005-0000-0000-000058120000}"/>
    <cellStyle name="40% - Accent1 4 2 5" xfId="3294" xr:uid="{00000000-0005-0000-0000-000059120000}"/>
    <cellStyle name="40% - Accent1 4 2 5 2" xfId="7973" xr:uid="{00000000-0005-0000-0000-00005A120000}"/>
    <cellStyle name="40% - Accent1 4 2 5 2 2" xfId="17297" xr:uid="{00000000-0005-0000-0000-00005B120000}"/>
    <cellStyle name="40% - Accent1 4 2 5 2 3" xfId="26620" xr:uid="{00000000-0005-0000-0000-00005C120000}"/>
    <cellStyle name="40% - Accent1 4 2 5 3" xfId="12680" xr:uid="{00000000-0005-0000-0000-00005D120000}"/>
    <cellStyle name="40% - Accent1 4 2 5 4" xfId="22006" xr:uid="{00000000-0005-0000-0000-00005E120000}"/>
    <cellStyle name="40% - Accent1 4 2 6" xfId="4960" xr:uid="{00000000-0005-0000-0000-00005F120000}"/>
    <cellStyle name="40% - Accent1 4 2 6 2" xfId="14284" xr:uid="{00000000-0005-0000-0000-000060120000}"/>
    <cellStyle name="40% - Accent1 4 2 6 3" xfId="23607" xr:uid="{00000000-0005-0000-0000-000061120000}"/>
    <cellStyle name="40% - Accent1 4 2 7" xfId="9434" xr:uid="{00000000-0005-0000-0000-000062120000}"/>
    <cellStyle name="40% - Accent1 4 2 7 2" xfId="18758" xr:uid="{00000000-0005-0000-0000-000063120000}"/>
    <cellStyle name="40% - Accent1 4 2 7 3" xfId="28081" xr:uid="{00000000-0005-0000-0000-000064120000}"/>
    <cellStyle name="40% - Accent1 4 2 8" xfId="9928" xr:uid="{00000000-0005-0000-0000-000065120000}"/>
    <cellStyle name="40% - Accent1 4 2 9" xfId="19252" xr:uid="{00000000-0005-0000-0000-000066120000}"/>
    <cellStyle name="40% - Accent1 4 3" xfId="441" xr:uid="{00000000-0005-0000-0000-000067120000}"/>
    <cellStyle name="40% - Accent1 4 3 2" xfId="929" xr:uid="{00000000-0005-0000-0000-000068120000}"/>
    <cellStyle name="40% - Accent1 4 3 2 2" xfId="6841" xr:uid="{00000000-0005-0000-0000-000069120000}"/>
    <cellStyle name="40% - Accent1 4 3 2 2 2" xfId="16165" xr:uid="{00000000-0005-0000-0000-00006A120000}"/>
    <cellStyle name="40% - Accent1 4 3 2 2 3" xfId="25488" xr:uid="{00000000-0005-0000-0000-00006B120000}"/>
    <cellStyle name="40% - Accent1 4 3 2 3" xfId="10530" xr:uid="{00000000-0005-0000-0000-00006C120000}"/>
    <cellStyle name="40% - Accent1 4 3 2 4" xfId="19854" xr:uid="{00000000-0005-0000-0000-00006D120000}"/>
    <cellStyle name="40% - Accent1 4 3 3" xfId="1509" xr:uid="{00000000-0005-0000-0000-00006E120000}"/>
    <cellStyle name="40% - Accent1 4 3 3 2" xfId="6546" xr:uid="{00000000-0005-0000-0000-00006F120000}"/>
    <cellStyle name="40% - Accent1 4 3 3 2 2" xfId="15870" xr:uid="{00000000-0005-0000-0000-000070120000}"/>
    <cellStyle name="40% - Accent1 4 3 3 2 3" xfId="25193" xr:uid="{00000000-0005-0000-0000-000071120000}"/>
    <cellStyle name="40% - Accent1 4 3 3 3" xfId="11077" xr:uid="{00000000-0005-0000-0000-000072120000}"/>
    <cellStyle name="40% - Accent1 4 3 3 4" xfId="20401" xr:uid="{00000000-0005-0000-0000-000073120000}"/>
    <cellStyle name="40% - Accent1 4 3 4" xfId="3296" xr:uid="{00000000-0005-0000-0000-000074120000}"/>
    <cellStyle name="40% - Accent1 4 3 4 2" xfId="7975" xr:uid="{00000000-0005-0000-0000-000075120000}"/>
    <cellStyle name="40% - Accent1 4 3 4 2 2" xfId="17299" xr:uid="{00000000-0005-0000-0000-000076120000}"/>
    <cellStyle name="40% - Accent1 4 3 4 2 3" xfId="26622" xr:uid="{00000000-0005-0000-0000-000077120000}"/>
    <cellStyle name="40% - Accent1 4 3 4 3" xfId="12682" xr:uid="{00000000-0005-0000-0000-000078120000}"/>
    <cellStyle name="40% - Accent1 4 3 4 4" xfId="22008" xr:uid="{00000000-0005-0000-0000-000079120000}"/>
    <cellStyle name="40% - Accent1 4 3 5" xfId="4962" xr:uid="{00000000-0005-0000-0000-00007A120000}"/>
    <cellStyle name="40% - Accent1 4 3 5 2" xfId="14286" xr:uid="{00000000-0005-0000-0000-00007B120000}"/>
    <cellStyle name="40% - Accent1 4 3 5 3" xfId="23609" xr:uid="{00000000-0005-0000-0000-00007C120000}"/>
    <cellStyle name="40% - Accent1 4 3 6" xfId="9552" xr:uid="{00000000-0005-0000-0000-00007D120000}"/>
    <cellStyle name="40% - Accent1 4 3 6 2" xfId="18876" xr:uid="{00000000-0005-0000-0000-00007E120000}"/>
    <cellStyle name="40% - Accent1 4 3 6 3" xfId="28199" xr:uid="{00000000-0005-0000-0000-00007F120000}"/>
    <cellStyle name="40% - Accent1 4 3 7" xfId="10046" xr:uid="{00000000-0005-0000-0000-000080120000}"/>
    <cellStyle name="40% - Accent1 4 3 8" xfId="19370" xr:uid="{00000000-0005-0000-0000-000081120000}"/>
    <cellStyle name="40% - Accent1 4 4" xfId="689" xr:uid="{00000000-0005-0000-0000-000082120000}"/>
    <cellStyle name="40% - Accent1 4 4 2" xfId="7021" xr:uid="{00000000-0005-0000-0000-000083120000}"/>
    <cellStyle name="40% - Accent1 4 4 2 2" xfId="16345" xr:uid="{00000000-0005-0000-0000-000084120000}"/>
    <cellStyle name="40% - Accent1 4 4 2 3" xfId="25668" xr:uid="{00000000-0005-0000-0000-000085120000}"/>
    <cellStyle name="40% - Accent1 4 4 3" xfId="10290" xr:uid="{00000000-0005-0000-0000-000086120000}"/>
    <cellStyle name="40% - Accent1 4 4 4" xfId="19614" xr:uid="{00000000-0005-0000-0000-000087120000}"/>
    <cellStyle name="40% - Accent1 4 5" xfId="1506" xr:uid="{00000000-0005-0000-0000-000088120000}"/>
    <cellStyle name="40% - Accent1 4 5 2" xfId="6548" xr:uid="{00000000-0005-0000-0000-000089120000}"/>
    <cellStyle name="40% - Accent1 4 5 2 2" xfId="15872" xr:uid="{00000000-0005-0000-0000-00008A120000}"/>
    <cellStyle name="40% - Accent1 4 5 2 3" xfId="25195" xr:uid="{00000000-0005-0000-0000-00008B120000}"/>
    <cellStyle name="40% - Accent1 4 5 3" xfId="11074" xr:uid="{00000000-0005-0000-0000-00008C120000}"/>
    <cellStyle name="40% - Accent1 4 5 4" xfId="20398" xr:uid="{00000000-0005-0000-0000-00008D120000}"/>
    <cellStyle name="40% - Accent1 4 6" xfId="3293" xr:uid="{00000000-0005-0000-0000-00008E120000}"/>
    <cellStyle name="40% - Accent1 4 6 2" xfId="7972" xr:uid="{00000000-0005-0000-0000-00008F120000}"/>
    <cellStyle name="40% - Accent1 4 6 2 2" xfId="17296" xr:uid="{00000000-0005-0000-0000-000090120000}"/>
    <cellStyle name="40% - Accent1 4 6 2 3" xfId="26619" xr:uid="{00000000-0005-0000-0000-000091120000}"/>
    <cellStyle name="40% - Accent1 4 6 3" xfId="12679" xr:uid="{00000000-0005-0000-0000-000092120000}"/>
    <cellStyle name="40% - Accent1 4 6 4" xfId="22005" xr:uid="{00000000-0005-0000-0000-000093120000}"/>
    <cellStyle name="40% - Accent1 4 7" xfId="4959" xr:uid="{00000000-0005-0000-0000-000094120000}"/>
    <cellStyle name="40% - Accent1 4 7 2" xfId="14283" xr:uid="{00000000-0005-0000-0000-000095120000}"/>
    <cellStyle name="40% - Accent1 4 7 3" xfId="23606" xr:uid="{00000000-0005-0000-0000-000096120000}"/>
    <cellStyle name="40% - Accent1 4 8" xfId="9311" xr:uid="{00000000-0005-0000-0000-000097120000}"/>
    <cellStyle name="40% - Accent1 4 8 2" xfId="18635" xr:uid="{00000000-0005-0000-0000-000098120000}"/>
    <cellStyle name="40% - Accent1 4 8 3" xfId="27958" xr:uid="{00000000-0005-0000-0000-000099120000}"/>
    <cellStyle name="40% - Accent1 4 9" xfId="9805" xr:uid="{00000000-0005-0000-0000-00009A120000}"/>
    <cellStyle name="40% - Accent1 5" xfId="243" xr:uid="{00000000-0005-0000-0000-00009B120000}"/>
    <cellStyle name="40% - Accent1 5 2" xfId="501" xr:uid="{00000000-0005-0000-0000-00009C120000}"/>
    <cellStyle name="40% - Accent1 5 2 2" xfId="989" xr:uid="{00000000-0005-0000-0000-00009D120000}"/>
    <cellStyle name="40% - Accent1 5 2 2 2" xfId="6807" xr:uid="{00000000-0005-0000-0000-00009E120000}"/>
    <cellStyle name="40% - Accent1 5 2 2 2 2" xfId="16131" xr:uid="{00000000-0005-0000-0000-00009F120000}"/>
    <cellStyle name="40% - Accent1 5 2 2 2 3" xfId="25454" xr:uid="{00000000-0005-0000-0000-0000A0120000}"/>
    <cellStyle name="40% - Accent1 5 2 2 3" xfId="10590" xr:uid="{00000000-0005-0000-0000-0000A1120000}"/>
    <cellStyle name="40% - Accent1 5 2 2 4" xfId="19914" xr:uid="{00000000-0005-0000-0000-0000A2120000}"/>
    <cellStyle name="40% - Accent1 5 2 3" xfId="1511" xr:uid="{00000000-0005-0000-0000-0000A3120000}"/>
    <cellStyle name="40% - Accent1 5 2 3 2" xfId="6544" xr:uid="{00000000-0005-0000-0000-0000A4120000}"/>
    <cellStyle name="40% - Accent1 5 2 3 2 2" xfId="15868" xr:uid="{00000000-0005-0000-0000-0000A5120000}"/>
    <cellStyle name="40% - Accent1 5 2 3 2 3" xfId="25191" xr:uid="{00000000-0005-0000-0000-0000A6120000}"/>
    <cellStyle name="40% - Accent1 5 2 3 3" xfId="11079" xr:uid="{00000000-0005-0000-0000-0000A7120000}"/>
    <cellStyle name="40% - Accent1 5 2 3 4" xfId="20403" xr:uid="{00000000-0005-0000-0000-0000A8120000}"/>
    <cellStyle name="40% - Accent1 5 2 4" xfId="3298" xr:uid="{00000000-0005-0000-0000-0000A9120000}"/>
    <cellStyle name="40% - Accent1 5 2 4 2" xfId="7977" xr:uid="{00000000-0005-0000-0000-0000AA120000}"/>
    <cellStyle name="40% - Accent1 5 2 4 2 2" xfId="17301" xr:uid="{00000000-0005-0000-0000-0000AB120000}"/>
    <cellStyle name="40% - Accent1 5 2 4 2 3" xfId="26624" xr:uid="{00000000-0005-0000-0000-0000AC120000}"/>
    <cellStyle name="40% - Accent1 5 2 4 3" xfId="12684" xr:uid="{00000000-0005-0000-0000-0000AD120000}"/>
    <cellStyle name="40% - Accent1 5 2 4 4" xfId="22010" xr:uid="{00000000-0005-0000-0000-0000AE120000}"/>
    <cellStyle name="40% - Accent1 5 2 5" xfId="4964" xr:uid="{00000000-0005-0000-0000-0000AF120000}"/>
    <cellStyle name="40% - Accent1 5 2 5 2" xfId="14288" xr:uid="{00000000-0005-0000-0000-0000B0120000}"/>
    <cellStyle name="40% - Accent1 5 2 5 3" xfId="23611" xr:uid="{00000000-0005-0000-0000-0000B1120000}"/>
    <cellStyle name="40% - Accent1 5 2 6" xfId="9612" xr:uid="{00000000-0005-0000-0000-0000B2120000}"/>
    <cellStyle name="40% - Accent1 5 2 6 2" xfId="18936" xr:uid="{00000000-0005-0000-0000-0000B3120000}"/>
    <cellStyle name="40% - Accent1 5 2 6 3" xfId="28259" xr:uid="{00000000-0005-0000-0000-0000B4120000}"/>
    <cellStyle name="40% - Accent1 5 2 7" xfId="10106" xr:uid="{00000000-0005-0000-0000-0000B5120000}"/>
    <cellStyle name="40% - Accent1 5 2 8" xfId="19430" xr:uid="{00000000-0005-0000-0000-0000B6120000}"/>
    <cellStyle name="40% - Accent1 5 3" xfId="749" xr:uid="{00000000-0005-0000-0000-0000B7120000}"/>
    <cellStyle name="40% - Accent1 5 3 2" xfId="6978" xr:uid="{00000000-0005-0000-0000-0000B8120000}"/>
    <cellStyle name="40% - Accent1 5 3 2 2" xfId="16302" xr:uid="{00000000-0005-0000-0000-0000B9120000}"/>
    <cellStyle name="40% - Accent1 5 3 2 3" xfId="25625" xr:uid="{00000000-0005-0000-0000-0000BA120000}"/>
    <cellStyle name="40% - Accent1 5 3 3" xfId="10350" xr:uid="{00000000-0005-0000-0000-0000BB120000}"/>
    <cellStyle name="40% - Accent1 5 3 4" xfId="19674" xr:uid="{00000000-0005-0000-0000-0000BC120000}"/>
    <cellStyle name="40% - Accent1 5 4" xfId="1510" xr:uid="{00000000-0005-0000-0000-0000BD120000}"/>
    <cellStyle name="40% - Accent1 5 4 2" xfId="6545" xr:uid="{00000000-0005-0000-0000-0000BE120000}"/>
    <cellStyle name="40% - Accent1 5 4 2 2" xfId="15869" xr:uid="{00000000-0005-0000-0000-0000BF120000}"/>
    <cellStyle name="40% - Accent1 5 4 2 3" xfId="25192" xr:uid="{00000000-0005-0000-0000-0000C0120000}"/>
    <cellStyle name="40% - Accent1 5 4 3" xfId="11078" xr:uid="{00000000-0005-0000-0000-0000C1120000}"/>
    <cellStyle name="40% - Accent1 5 4 4" xfId="20402" xr:uid="{00000000-0005-0000-0000-0000C2120000}"/>
    <cellStyle name="40% - Accent1 5 5" xfId="3297" xr:uid="{00000000-0005-0000-0000-0000C3120000}"/>
    <cellStyle name="40% - Accent1 5 5 2" xfId="7976" xr:uid="{00000000-0005-0000-0000-0000C4120000}"/>
    <cellStyle name="40% - Accent1 5 5 2 2" xfId="17300" xr:uid="{00000000-0005-0000-0000-0000C5120000}"/>
    <cellStyle name="40% - Accent1 5 5 2 3" xfId="26623" xr:uid="{00000000-0005-0000-0000-0000C6120000}"/>
    <cellStyle name="40% - Accent1 5 5 3" xfId="12683" xr:uid="{00000000-0005-0000-0000-0000C7120000}"/>
    <cellStyle name="40% - Accent1 5 5 4" xfId="22009" xr:uid="{00000000-0005-0000-0000-0000C8120000}"/>
    <cellStyle name="40% - Accent1 5 6" xfId="4963" xr:uid="{00000000-0005-0000-0000-0000C9120000}"/>
    <cellStyle name="40% - Accent1 5 6 2" xfId="14287" xr:uid="{00000000-0005-0000-0000-0000CA120000}"/>
    <cellStyle name="40% - Accent1 5 6 3" xfId="23610" xr:uid="{00000000-0005-0000-0000-0000CB120000}"/>
    <cellStyle name="40% - Accent1 5 7" xfId="9371" xr:uid="{00000000-0005-0000-0000-0000CC120000}"/>
    <cellStyle name="40% - Accent1 5 7 2" xfId="18695" xr:uid="{00000000-0005-0000-0000-0000CD120000}"/>
    <cellStyle name="40% - Accent1 5 7 3" xfId="28018" xr:uid="{00000000-0005-0000-0000-0000CE120000}"/>
    <cellStyle name="40% - Accent1 5 8" xfId="9865" xr:uid="{00000000-0005-0000-0000-0000CF120000}"/>
    <cellStyle name="40% - Accent1 5 9" xfId="19189" xr:uid="{00000000-0005-0000-0000-0000D0120000}"/>
    <cellStyle name="40% - Accent1 6" xfId="382" xr:uid="{00000000-0005-0000-0000-0000D1120000}"/>
    <cellStyle name="40% - Accent1 6 2" xfId="870" xr:uid="{00000000-0005-0000-0000-0000D2120000}"/>
    <cellStyle name="40% - Accent1 6 2 2" xfId="6893" xr:uid="{00000000-0005-0000-0000-0000D3120000}"/>
    <cellStyle name="40% - Accent1 6 2 2 2" xfId="16217" xr:uid="{00000000-0005-0000-0000-0000D4120000}"/>
    <cellStyle name="40% - Accent1 6 2 2 3" xfId="25540" xr:uid="{00000000-0005-0000-0000-0000D5120000}"/>
    <cellStyle name="40% - Accent1 6 2 3" xfId="10471" xr:uid="{00000000-0005-0000-0000-0000D6120000}"/>
    <cellStyle name="40% - Accent1 6 2 4" xfId="19795" xr:uid="{00000000-0005-0000-0000-0000D7120000}"/>
    <cellStyle name="40% - Accent1 6 3" xfId="1512" xr:uid="{00000000-0005-0000-0000-0000D8120000}"/>
    <cellStyle name="40% - Accent1 6 3 2" xfId="4564" xr:uid="{00000000-0005-0000-0000-0000D9120000}"/>
    <cellStyle name="40% - Accent1 6 3 2 2" xfId="13888" xr:uid="{00000000-0005-0000-0000-0000DA120000}"/>
    <cellStyle name="40% - Accent1 6 3 2 3" xfId="23211" xr:uid="{00000000-0005-0000-0000-0000DB120000}"/>
    <cellStyle name="40% - Accent1 6 3 3" xfId="11080" xr:uid="{00000000-0005-0000-0000-0000DC120000}"/>
    <cellStyle name="40% - Accent1 6 3 4" xfId="20404" xr:uid="{00000000-0005-0000-0000-0000DD120000}"/>
    <cellStyle name="40% - Accent1 6 4" xfId="3299" xr:uid="{00000000-0005-0000-0000-0000DE120000}"/>
    <cellStyle name="40% - Accent1 6 4 2" xfId="7978" xr:uid="{00000000-0005-0000-0000-0000DF120000}"/>
    <cellStyle name="40% - Accent1 6 4 2 2" xfId="17302" xr:uid="{00000000-0005-0000-0000-0000E0120000}"/>
    <cellStyle name="40% - Accent1 6 4 2 3" xfId="26625" xr:uid="{00000000-0005-0000-0000-0000E1120000}"/>
    <cellStyle name="40% - Accent1 6 4 3" xfId="12685" xr:uid="{00000000-0005-0000-0000-0000E2120000}"/>
    <cellStyle name="40% - Accent1 6 4 4" xfId="22011" xr:uid="{00000000-0005-0000-0000-0000E3120000}"/>
    <cellStyle name="40% - Accent1 6 5" xfId="4965" xr:uid="{00000000-0005-0000-0000-0000E4120000}"/>
    <cellStyle name="40% - Accent1 6 5 2" xfId="14289" xr:uid="{00000000-0005-0000-0000-0000E5120000}"/>
    <cellStyle name="40% - Accent1 6 5 3" xfId="23612" xr:uid="{00000000-0005-0000-0000-0000E6120000}"/>
    <cellStyle name="40% - Accent1 6 6" xfId="9493" xr:uid="{00000000-0005-0000-0000-0000E7120000}"/>
    <cellStyle name="40% - Accent1 6 6 2" xfId="18817" xr:uid="{00000000-0005-0000-0000-0000E8120000}"/>
    <cellStyle name="40% - Accent1 6 6 3" xfId="28140" xr:uid="{00000000-0005-0000-0000-0000E9120000}"/>
    <cellStyle name="40% - Accent1 6 7" xfId="9987" xr:uid="{00000000-0005-0000-0000-0000EA120000}"/>
    <cellStyle name="40% - Accent1 6 8" xfId="19311" xr:uid="{00000000-0005-0000-0000-0000EB120000}"/>
    <cellStyle name="40% - Accent1 7" xfId="626" xr:uid="{00000000-0005-0000-0000-0000EC120000}"/>
    <cellStyle name="40% - Accent1 7 2" xfId="1513" xr:uid="{00000000-0005-0000-0000-0000ED120000}"/>
    <cellStyle name="40% - Accent1 7 2 2" xfId="6543" xr:uid="{00000000-0005-0000-0000-0000EE120000}"/>
    <cellStyle name="40% - Accent1 7 2 2 2" xfId="15867" xr:uid="{00000000-0005-0000-0000-0000EF120000}"/>
    <cellStyle name="40% - Accent1 7 2 2 3" xfId="25190" xr:uid="{00000000-0005-0000-0000-0000F0120000}"/>
    <cellStyle name="40% - Accent1 7 2 3" xfId="11081" xr:uid="{00000000-0005-0000-0000-0000F1120000}"/>
    <cellStyle name="40% - Accent1 7 2 4" xfId="20405" xr:uid="{00000000-0005-0000-0000-0000F2120000}"/>
    <cellStyle name="40% - Accent1 7 3" xfId="3300" xr:uid="{00000000-0005-0000-0000-0000F3120000}"/>
    <cellStyle name="40% - Accent1 7 3 2" xfId="7979" xr:uid="{00000000-0005-0000-0000-0000F4120000}"/>
    <cellStyle name="40% - Accent1 7 3 2 2" xfId="17303" xr:uid="{00000000-0005-0000-0000-0000F5120000}"/>
    <cellStyle name="40% - Accent1 7 3 2 3" xfId="26626" xr:uid="{00000000-0005-0000-0000-0000F6120000}"/>
    <cellStyle name="40% - Accent1 7 3 3" xfId="12686" xr:uid="{00000000-0005-0000-0000-0000F7120000}"/>
    <cellStyle name="40% - Accent1 7 3 4" xfId="22012" xr:uid="{00000000-0005-0000-0000-0000F8120000}"/>
    <cellStyle name="40% - Accent1 7 4" xfId="4966" xr:uid="{00000000-0005-0000-0000-0000F9120000}"/>
    <cellStyle name="40% - Accent1 7 4 2" xfId="14290" xr:uid="{00000000-0005-0000-0000-0000FA120000}"/>
    <cellStyle name="40% - Accent1 7 4 3" xfId="23613" xr:uid="{00000000-0005-0000-0000-0000FB120000}"/>
    <cellStyle name="40% - Accent1 7 5" xfId="10230" xr:uid="{00000000-0005-0000-0000-0000FC120000}"/>
    <cellStyle name="40% - Accent1 7 6" xfId="19554" xr:uid="{00000000-0005-0000-0000-0000FD120000}"/>
    <cellStyle name="40% - Accent1 8" xfId="1514" xr:uid="{00000000-0005-0000-0000-0000FE120000}"/>
    <cellStyle name="40% - Accent1 8 2" xfId="3301" xr:uid="{00000000-0005-0000-0000-0000FF120000}"/>
    <cellStyle name="40% - Accent1 8 2 2" xfId="7980" xr:uid="{00000000-0005-0000-0000-000000130000}"/>
    <cellStyle name="40% - Accent1 8 2 2 2" xfId="17304" xr:uid="{00000000-0005-0000-0000-000001130000}"/>
    <cellStyle name="40% - Accent1 8 2 2 3" xfId="26627" xr:uid="{00000000-0005-0000-0000-000002130000}"/>
    <cellStyle name="40% - Accent1 8 2 3" xfId="12687" xr:uid="{00000000-0005-0000-0000-000003130000}"/>
    <cellStyle name="40% - Accent1 8 2 4" xfId="22013" xr:uid="{00000000-0005-0000-0000-000004130000}"/>
    <cellStyle name="40% - Accent1 8 3" xfId="4967" xr:uid="{00000000-0005-0000-0000-000005130000}"/>
    <cellStyle name="40% - Accent1 8 3 2" xfId="14291" xr:uid="{00000000-0005-0000-0000-000006130000}"/>
    <cellStyle name="40% - Accent1 8 3 3" xfId="23614" xr:uid="{00000000-0005-0000-0000-000007130000}"/>
    <cellStyle name="40% - Accent1 8 4" xfId="11082" xr:uid="{00000000-0005-0000-0000-000008130000}"/>
    <cellStyle name="40% - Accent1 8 5" xfId="20406" xr:uid="{00000000-0005-0000-0000-000009130000}"/>
    <cellStyle name="40% - Accent1 9" xfId="1124" xr:uid="{00000000-0005-0000-0000-00000A130000}"/>
    <cellStyle name="40% - Accent1 9 2" xfId="6301" xr:uid="{00000000-0005-0000-0000-00000B130000}"/>
    <cellStyle name="40% - Accent1 9 2 2" xfId="15625" xr:uid="{00000000-0005-0000-0000-00000C130000}"/>
    <cellStyle name="40% - Accent1 9 2 3" xfId="24948" xr:uid="{00000000-0005-0000-0000-00000D130000}"/>
    <cellStyle name="40% - Accent1 9 3" xfId="10723" xr:uid="{00000000-0005-0000-0000-00000E130000}"/>
    <cellStyle name="40% - Accent1 9 4" xfId="20047" xr:uid="{00000000-0005-0000-0000-00000F130000}"/>
    <cellStyle name="40% - Accent2" xfId="38" builtinId="35" customBuiltin="1"/>
    <cellStyle name="40% - Accent2 10" xfId="4577" xr:uid="{00000000-0005-0000-0000-000011130000}"/>
    <cellStyle name="40% - Accent2 10 2" xfId="13901" xr:uid="{00000000-0005-0000-0000-000012130000}"/>
    <cellStyle name="40% - Accent2 10 3" xfId="23224" xr:uid="{00000000-0005-0000-0000-000013130000}"/>
    <cellStyle name="40% - Accent2 11" xfId="9241" xr:uid="{00000000-0005-0000-0000-000014130000}"/>
    <cellStyle name="40% - Accent2 11 2" xfId="18565" xr:uid="{00000000-0005-0000-0000-000015130000}"/>
    <cellStyle name="40% - Accent2 11 3" xfId="27888" xr:uid="{00000000-0005-0000-0000-000016130000}"/>
    <cellStyle name="40% - Accent2 12" xfId="9735" xr:uid="{00000000-0005-0000-0000-000017130000}"/>
    <cellStyle name="40% - Accent2 13" xfId="19059" xr:uid="{00000000-0005-0000-0000-000018130000}"/>
    <cellStyle name="40% - Accent2 14" xfId="28404" xr:uid="{00000000-0005-0000-0000-000019130000}"/>
    <cellStyle name="40% - Accent2 2" xfId="71" xr:uid="{00000000-0005-0000-0000-00001A130000}"/>
    <cellStyle name="40% - Accent2 2 10" xfId="9759" xr:uid="{00000000-0005-0000-0000-00001B130000}"/>
    <cellStyle name="40% - Accent2 2 11" xfId="19083" xr:uid="{00000000-0005-0000-0000-00001C130000}"/>
    <cellStyle name="40% - Accent2 2 12" xfId="28405" xr:uid="{00000000-0005-0000-0000-00001D130000}"/>
    <cellStyle name="40% - Accent2 2 2" xfId="209" xr:uid="{00000000-0005-0000-0000-00001E130000}"/>
    <cellStyle name="40% - Accent2 2 2 10" xfId="19155" xr:uid="{00000000-0005-0000-0000-00001F130000}"/>
    <cellStyle name="40% - Accent2 2 2 2" xfId="349" xr:uid="{00000000-0005-0000-0000-000020130000}"/>
    <cellStyle name="40% - Accent2 2 2 2 2" xfId="589" xr:uid="{00000000-0005-0000-0000-000021130000}"/>
    <cellStyle name="40% - Accent2 2 2 2 2 2" xfId="1077" xr:uid="{00000000-0005-0000-0000-000022130000}"/>
    <cellStyle name="40% - Accent2 2 2 2 2 2 2" xfId="6742" xr:uid="{00000000-0005-0000-0000-000023130000}"/>
    <cellStyle name="40% - Accent2 2 2 2 2 2 2 2" xfId="16066" xr:uid="{00000000-0005-0000-0000-000024130000}"/>
    <cellStyle name="40% - Accent2 2 2 2 2 2 2 3" xfId="25389" xr:uid="{00000000-0005-0000-0000-000025130000}"/>
    <cellStyle name="40% - Accent2 2 2 2 2 2 3" xfId="10678" xr:uid="{00000000-0005-0000-0000-000026130000}"/>
    <cellStyle name="40% - Accent2 2 2 2 2 2 4" xfId="20002" xr:uid="{00000000-0005-0000-0000-000027130000}"/>
    <cellStyle name="40% - Accent2 2 2 2 2 3" xfId="7064" xr:uid="{00000000-0005-0000-0000-000028130000}"/>
    <cellStyle name="40% - Accent2 2 2 2 2 3 2" xfId="16388" xr:uid="{00000000-0005-0000-0000-000029130000}"/>
    <cellStyle name="40% - Accent2 2 2 2 2 3 3" xfId="25711" xr:uid="{00000000-0005-0000-0000-00002A130000}"/>
    <cellStyle name="40% - Accent2 2 2 2 2 4" xfId="9700" xr:uid="{00000000-0005-0000-0000-00002B130000}"/>
    <cellStyle name="40% - Accent2 2 2 2 2 4 2" xfId="19024" xr:uid="{00000000-0005-0000-0000-00002C130000}"/>
    <cellStyle name="40% - Accent2 2 2 2 2 4 3" xfId="28347" xr:uid="{00000000-0005-0000-0000-00002D130000}"/>
    <cellStyle name="40% - Accent2 2 2 2 2 5" xfId="10194" xr:uid="{00000000-0005-0000-0000-00002E130000}"/>
    <cellStyle name="40% - Accent2 2 2 2 2 6" xfId="19518" xr:uid="{00000000-0005-0000-0000-00002F130000}"/>
    <cellStyle name="40% - Accent2 2 2 2 3" xfId="837" xr:uid="{00000000-0005-0000-0000-000030130000}"/>
    <cellStyle name="40% - Accent2 2 2 2 3 2" xfId="7349" xr:uid="{00000000-0005-0000-0000-000031130000}"/>
    <cellStyle name="40% - Accent2 2 2 2 3 2 2" xfId="16673" xr:uid="{00000000-0005-0000-0000-000032130000}"/>
    <cellStyle name="40% - Accent2 2 2 2 3 2 3" xfId="25996" xr:uid="{00000000-0005-0000-0000-000033130000}"/>
    <cellStyle name="40% - Accent2 2 2 2 3 3" xfId="10438" xr:uid="{00000000-0005-0000-0000-000034130000}"/>
    <cellStyle name="40% - Accent2 2 2 2 3 4" xfId="19762" xr:uid="{00000000-0005-0000-0000-000035130000}"/>
    <cellStyle name="40% - Accent2 2 2 2 4" xfId="1517" xr:uid="{00000000-0005-0000-0000-000036130000}"/>
    <cellStyle name="40% - Accent2 2 2 2 4 2" xfId="6540" xr:uid="{00000000-0005-0000-0000-000037130000}"/>
    <cellStyle name="40% - Accent2 2 2 2 4 2 2" xfId="15864" xr:uid="{00000000-0005-0000-0000-000038130000}"/>
    <cellStyle name="40% - Accent2 2 2 2 4 2 3" xfId="25187" xr:uid="{00000000-0005-0000-0000-000039130000}"/>
    <cellStyle name="40% - Accent2 2 2 2 4 3" xfId="11085" xr:uid="{00000000-0005-0000-0000-00003A130000}"/>
    <cellStyle name="40% - Accent2 2 2 2 4 4" xfId="20409" xr:uid="{00000000-0005-0000-0000-00003B130000}"/>
    <cellStyle name="40% - Accent2 2 2 2 5" xfId="3304" xr:uid="{00000000-0005-0000-0000-00003C130000}"/>
    <cellStyle name="40% - Accent2 2 2 2 5 2" xfId="7983" xr:uid="{00000000-0005-0000-0000-00003D130000}"/>
    <cellStyle name="40% - Accent2 2 2 2 5 2 2" xfId="17307" xr:uid="{00000000-0005-0000-0000-00003E130000}"/>
    <cellStyle name="40% - Accent2 2 2 2 5 2 3" xfId="26630" xr:uid="{00000000-0005-0000-0000-00003F130000}"/>
    <cellStyle name="40% - Accent2 2 2 2 5 3" xfId="12690" xr:uid="{00000000-0005-0000-0000-000040130000}"/>
    <cellStyle name="40% - Accent2 2 2 2 5 4" xfId="22016" xr:uid="{00000000-0005-0000-0000-000041130000}"/>
    <cellStyle name="40% - Accent2 2 2 2 6" xfId="4970" xr:uid="{00000000-0005-0000-0000-000042130000}"/>
    <cellStyle name="40% - Accent2 2 2 2 6 2" xfId="14294" xr:uid="{00000000-0005-0000-0000-000043130000}"/>
    <cellStyle name="40% - Accent2 2 2 2 6 3" xfId="23617" xr:uid="{00000000-0005-0000-0000-000044130000}"/>
    <cellStyle name="40% - Accent2 2 2 2 7" xfId="9460" xr:uid="{00000000-0005-0000-0000-000045130000}"/>
    <cellStyle name="40% - Accent2 2 2 2 7 2" xfId="18784" xr:uid="{00000000-0005-0000-0000-000046130000}"/>
    <cellStyle name="40% - Accent2 2 2 2 7 3" xfId="28107" xr:uid="{00000000-0005-0000-0000-000047130000}"/>
    <cellStyle name="40% - Accent2 2 2 2 8" xfId="9954" xr:uid="{00000000-0005-0000-0000-000048130000}"/>
    <cellStyle name="40% - Accent2 2 2 2 9" xfId="19278" xr:uid="{00000000-0005-0000-0000-000049130000}"/>
    <cellStyle name="40% - Accent2 2 2 3" xfId="467" xr:uid="{00000000-0005-0000-0000-00004A130000}"/>
    <cellStyle name="40% - Accent2 2 2 3 2" xfId="955" xr:uid="{00000000-0005-0000-0000-00004B130000}"/>
    <cellStyle name="40% - Accent2 2 2 3 2 2" xfId="4559" xr:uid="{00000000-0005-0000-0000-00004C130000}"/>
    <cellStyle name="40% - Accent2 2 2 3 2 2 2" xfId="13883" xr:uid="{00000000-0005-0000-0000-00004D130000}"/>
    <cellStyle name="40% - Accent2 2 2 3 2 2 3" xfId="23206" xr:uid="{00000000-0005-0000-0000-00004E130000}"/>
    <cellStyle name="40% - Accent2 2 2 3 2 3" xfId="10556" xr:uid="{00000000-0005-0000-0000-00004F130000}"/>
    <cellStyle name="40% - Accent2 2 2 3 2 4" xfId="19880" xr:uid="{00000000-0005-0000-0000-000050130000}"/>
    <cellStyle name="40% - Accent2 2 2 3 3" xfId="7125" xr:uid="{00000000-0005-0000-0000-000051130000}"/>
    <cellStyle name="40% - Accent2 2 2 3 3 2" xfId="16449" xr:uid="{00000000-0005-0000-0000-000052130000}"/>
    <cellStyle name="40% - Accent2 2 2 3 3 3" xfId="25772" xr:uid="{00000000-0005-0000-0000-000053130000}"/>
    <cellStyle name="40% - Accent2 2 2 3 4" xfId="9578" xr:uid="{00000000-0005-0000-0000-000054130000}"/>
    <cellStyle name="40% - Accent2 2 2 3 4 2" xfId="18902" xr:uid="{00000000-0005-0000-0000-000055130000}"/>
    <cellStyle name="40% - Accent2 2 2 3 4 3" xfId="28225" xr:uid="{00000000-0005-0000-0000-000056130000}"/>
    <cellStyle name="40% - Accent2 2 2 3 5" xfId="10072" xr:uid="{00000000-0005-0000-0000-000057130000}"/>
    <cellStyle name="40% - Accent2 2 2 3 6" xfId="19396" xr:uid="{00000000-0005-0000-0000-000058130000}"/>
    <cellStyle name="40% - Accent2 2 2 4" xfId="715" xr:uid="{00000000-0005-0000-0000-000059130000}"/>
    <cellStyle name="40% - Accent2 2 2 4 2" xfId="7001" xr:uid="{00000000-0005-0000-0000-00005A130000}"/>
    <cellStyle name="40% - Accent2 2 2 4 2 2" xfId="16325" xr:uid="{00000000-0005-0000-0000-00005B130000}"/>
    <cellStyle name="40% - Accent2 2 2 4 2 3" xfId="25648" xr:uid="{00000000-0005-0000-0000-00005C130000}"/>
    <cellStyle name="40% - Accent2 2 2 4 3" xfId="10316" xr:uid="{00000000-0005-0000-0000-00005D130000}"/>
    <cellStyle name="40% - Accent2 2 2 4 4" xfId="19640" xr:uid="{00000000-0005-0000-0000-00005E130000}"/>
    <cellStyle name="40% - Accent2 2 2 5" xfId="1516" xr:uid="{00000000-0005-0000-0000-00005F130000}"/>
    <cellStyle name="40% - Accent2 2 2 5 2" xfId="6541" xr:uid="{00000000-0005-0000-0000-000060130000}"/>
    <cellStyle name="40% - Accent2 2 2 5 2 2" xfId="15865" xr:uid="{00000000-0005-0000-0000-000061130000}"/>
    <cellStyle name="40% - Accent2 2 2 5 2 3" xfId="25188" xr:uid="{00000000-0005-0000-0000-000062130000}"/>
    <cellStyle name="40% - Accent2 2 2 5 3" xfId="11084" xr:uid="{00000000-0005-0000-0000-000063130000}"/>
    <cellStyle name="40% - Accent2 2 2 5 4" xfId="20408" xr:uid="{00000000-0005-0000-0000-000064130000}"/>
    <cellStyle name="40% - Accent2 2 2 6" xfId="3303" xr:uid="{00000000-0005-0000-0000-000065130000}"/>
    <cellStyle name="40% - Accent2 2 2 6 2" xfId="7982" xr:uid="{00000000-0005-0000-0000-000066130000}"/>
    <cellStyle name="40% - Accent2 2 2 6 2 2" xfId="17306" xr:uid="{00000000-0005-0000-0000-000067130000}"/>
    <cellStyle name="40% - Accent2 2 2 6 2 3" xfId="26629" xr:uid="{00000000-0005-0000-0000-000068130000}"/>
    <cellStyle name="40% - Accent2 2 2 6 3" xfId="12689" xr:uid="{00000000-0005-0000-0000-000069130000}"/>
    <cellStyle name="40% - Accent2 2 2 6 4" xfId="22015" xr:uid="{00000000-0005-0000-0000-00006A130000}"/>
    <cellStyle name="40% - Accent2 2 2 7" xfId="4969" xr:uid="{00000000-0005-0000-0000-00006B130000}"/>
    <cellStyle name="40% - Accent2 2 2 7 2" xfId="14293" xr:uid="{00000000-0005-0000-0000-00006C130000}"/>
    <cellStyle name="40% - Accent2 2 2 7 3" xfId="23616" xr:uid="{00000000-0005-0000-0000-00006D130000}"/>
    <cellStyle name="40% - Accent2 2 2 8" xfId="9337" xr:uid="{00000000-0005-0000-0000-00006E130000}"/>
    <cellStyle name="40% - Accent2 2 2 8 2" xfId="18661" xr:uid="{00000000-0005-0000-0000-00006F130000}"/>
    <cellStyle name="40% - Accent2 2 2 8 3" xfId="27984" xr:uid="{00000000-0005-0000-0000-000070130000}"/>
    <cellStyle name="40% - Accent2 2 2 9" xfId="9831" xr:uid="{00000000-0005-0000-0000-000071130000}"/>
    <cellStyle name="40% - Accent2 2 3" xfId="263" xr:uid="{00000000-0005-0000-0000-000072130000}"/>
    <cellStyle name="40% - Accent2 2 3 2" xfId="517" xr:uid="{00000000-0005-0000-0000-000073130000}"/>
    <cellStyle name="40% - Accent2 2 3 2 2" xfId="1005" xr:uid="{00000000-0005-0000-0000-000074130000}"/>
    <cellStyle name="40% - Accent2 2 3 2 2 2" xfId="6280" xr:uid="{00000000-0005-0000-0000-000075130000}"/>
    <cellStyle name="40% - Accent2 2 3 2 2 2 2" xfId="15604" xr:uid="{00000000-0005-0000-0000-000076130000}"/>
    <cellStyle name="40% - Accent2 2 3 2 2 2 3" xfId="24927" xr:uid="{00000000-0005-0000-0000-000077130000}"/>
    <cellStyle name="40% - Accent2 2 3 2 2 3" xfId="10606" xr:uid="{00000000-0005-0000-0000-000078130000}"/>
    <cellStyle name="40% - Accent2 2 3 2 2 4" xfId="19930" xr:uid="{00000000-0005-0000-0000-000079130000}"/>
    <cellStyle name="40% - Accent2 2 3 2 3" xfId="7109" xr:uid="{00000000-0005-0000-0000-00007A130000}"/>
    <cellStyle name="40% - Accent2 2 3 2 3 2" xfId="16433" xr:uid="{00000000-0005-0000-0000-00007B130000}"/>
    <cellStyle name="40% - Accent2 2 3 2 3 3" xfId="25756" xr:uid="{00000000-0005-0000-0000-00007C130000}"/>
    <cellStyle name="40% - Accent2 2 3 2 4" xfId="9628" xr:uid="{00000000-0005-0000-0000-00007D130000}"/>
    <cellStyle name="40% - Accent2 2 3 2 4 2" xfId="18952" xr:uid="{00000000-0005-0000-0000-00007E130000}"/>
    <cellStyle name="40% - Accent2 2 3 2 4 3" xfId="28275" xr:uid="{00000000-0005-0000-0000-00007F130000}"/>
    <cellStyle name="40% - Accent2 2 3 2 5" xfId="10122" xr:uid="{00000000-0005-0000-0000-000080130000}"/>
    <cellStyle name="40% - Accent2 2 3 2 6" xfId="19446" xr:uid="{00000000-0005-0000-0000-000081130000}"/>
    <cellStyle name="40% - Accent2 2 3 3" xfId="765" xr:uid="{00000000-0005-0000-0000-000082130000}"/>
    <cellStyle name="40% - Accent2 2 3 3 2" xfId="6967" xr:uid="{00000000-0005-0000-0000-000083130000}"/>
    <cellStyle name="40% - Accent2 2 3 3 2 2" xfId="16291" xr:uid="{00000000-0005-0000-0000-000084130000}"/>
    <cellStyle name="40% - Accent2 2 3 3 2 3" xfId="25614" xr:uid="{00000000-0005-0000-0000-000085130000}"/>
    <cellStyle name="40% - Accent2 2 3 3 3" xfId="10366" xr:uid="{00000000-0005-0000-0000-000086130000}"/>
    <cellStyle name="40% - Accent2 2 3 3 4" xfId="19690" xr:uid="{00000000-0005-0000-0000-000087130000}"/>
    <cellStyle name="40% - Accent2 2 3 4" xfId="1518" xr:uid="{00000000-0005-0000-0000-000088130000}"/>
    <cellStyle name="40% - Accent2 2 3 4 2" xfId="4631" xr:uid="{00000000-0005-0000-0000-000089130000}"/>
    <cellStyle name="40% - Accent2 2 3 4 2 2" xfId="13955" xr:uid="{00000000-0005-0000-0000-00008A130000}"/>
    <cellStyle name="40% - Accent2 2 3 4 2 3" xfId="23278" xr:uid="{00000000-0005-0000-0000-00008B130000}"/>
    <cellStyle name="40% - Accent2 2 3 4 3" xfId="11086" xr:uid="{00000000-0005-0000-0000-00008C130000}"/>
    <cellStyle name="40% - Accent2 2 3 4 4" xfId="20410" xr:uid="{00000000-0005-0000-0000-00008D130000}"/>
    <cellStyle name="40% - Accent2 2 3 5" xfId="3305" xr:uid="{00000000-0005-0000-0000-00008E130000}"/>
    <cellStyle name="40% - Accent2 2 3 5 2" xfId="7984" xr:uid="{00000000-0005-0000-0000-00008F130000}"/>
    <cellStyle name="40% - Accent2 2 3 5 2 2" xfId="17308" xr:uid="{00000000-0005-0000-0000-000090130000}"/>
    <cellStyle name="40% - Accent2 2 3 5 2 3" xfId="26631" xr:uid="{00000000-0005-0000-0000-000091130000}"/>
    <cellStyle name="40% - Accent2 2 3 5 3" xfId="12691" xr:uid="{00000000-0005-0000-0000-000092130000}"/>
    <cellStyle name="40% - Accent2 2 3 5 4" xfId="22017" xr:uid="{00000000-0005-0000-0000-000093130000}"/>
    <cellStyle name="40% - Accent2 2 3 6" xfId="4971" xr:uid="{00000000-0005-0000-0000-000094130000}"/>
    <cellStyle name="40% - Accent2 2 3 6 2" xfId="14295" xr:uid="{00000000-0005-0000-0000-000095130000}"/>
    <cellStyle name="40% - Accent2 2 3 6 3" xfId="23618" xr:uid="{00000000-0005-0000-0000-000096130000}"/>
    <cellStyle name="40% - Accent2 2 3 7" xfId="9387" xr:uid="{00000000-0005-0000-0000-000097130000}"/>
    <cellStyle name="40% - Accent2 2 3 7 2" xfId="18711" xr:uid="{00000000-0005-0000-0000-000098130000}"/>
    <cellStyle name="40% - Accent2 2 3 7 3" xfId="28034" xr:uid="{00000000-0005-0000-0000-000099130000}"/>
    <cellStyle name="40% - Accent2 2 3 8" xfId="9881" xr:uid="{00000000-0005-0000-0000-00009A130000}"/>
    <cellStyle name="40% - Accent2 2 3 9" xfId="19205" xr:uid="{00000000-0005-0000-0000-00009B130000}"/>
    <cellStyle name="40% - Accent2 2 4" xfId="408" xr:uid="{00000000-0005-0000-0000-00009C130000}"/>
    <cellStyle name="40% - Accent2 2 4 2" xfId="896" xr:uid="{00000000-0005-0000-0000-00009D130000}"/>
    <cellStyle name="40% - Accent2 2 4 2 2" xfId="6868" xr:uid="{00000000-0005-0000-0000-00009E130000}"/>
    <cellStyle name="40% - Accent2 2 4 2 2 2" xfId="16192" xr:uid="{00000000-0005-0000-0000-00009F130000}"/>
    <cellStyle name="40% - Accent2 2 4 2 2 3" xfId="25515" xr:uid="{00000000-0005-0000-0000-0000A0130000}"/>
    <cellStyle name="40% - Accent2 2 4 2 3" xfId="10497" xr:uid="{00000000-0005-0000-0000-0000A1130000}"/>
    <cellStyle name="40% - Accent2 2 4 2 4" xfId="19821" xr:uid="{00000000-0005-0000-0000-0000A2130000}"/>
    <cellStyle name="40% - Accent2 2 4 3" xfId="1515" xr:uid="{00000000-0005-0000-0000-0000A3130000}"/>
    <cellStyle name="40% - Accent2 2 4 3 2" xfId="6542" xr:uid="{00000000-0005-0000-0000-0000A4130000}"/>
    <cellStyle name="40% - Accent2 2 4 3 2 2" xfId="15866" xr:uid="{00000000-0005-0000-0000-0000A5130000}"/>
    <cellStyle name="40% - Accent2 2 4 3 2 3" xfId="25189" xr:uid="{00000000-0005-0000-0000-0000A6130000}"/>
    <cellStyle name="40% - Accent2 2 4 3 3" xfId="11083" xr:uid="{00000000-0005-0000-0000-0000A7130000}"/>
    <cellStyle name="40% - Accent2 2 4 3 4" xfId="20407" xr:uid="{00000000-0005-0000-0000-0000A8130000}"/>
    <cellStyle name="40% - Accent2 2 4 4" xfId="3302" xr:uid="{00000000-0005-0000-0000-0000A9130000}"/>
    <cellStyle name="40% - Accent2 2 4 4 2" xfId="7981" xr:uid="{00000000-0005-0000-0000-0000AA130000}"/>
    <cellStyle name="40% - Accent2 2 4 4 2 2" xfId="17305" xr:uid="{00000000-0005-0000-0000-0000AB130000}"/>
    <cellStyle name="40% - Accent2 2 4 4 2 3" xfId="26628" xr:uid="{00000000-0005-0000-0000-0000AC130000}"/>
    <cellStyle name="40% - Accent2 2 4 4 3" xfId="12688" xr:uid="{00000000-0005-0000-0000-0000AD130000}"/>
    <cellStyle name="40% - Accent2 2 4 4 4" xfId="22014" xr:uid="{00000000-0005-0000-0000-0000AE130000}"/>
    <cellStyle name="40% - Accent2 2 4 5" xfId="4968" xr:uid="{00000000-0005-0000-0000-0000AF130000}"/>
    <cellStyle name="40% - Accent2 2 4 5 2" xfId="14292" xr:uid="{00000000-0005-0000-0000-0000B0130000}"/>
    <cellStyle name="40% - Accent2 2 4 5 3" xfId="23615" xr:uid="{00000000-0005-0000-0000-0000B1130000}"/>
    <cellStyle name="40% - Accent2 2 4 6" xfId="9519" xr:uid="{00000000-0005-0000-0000-0000B2130000}"/>
    <cellStyle name="40% - Accent2 2 4 6 2" xfId="18843" xr:uid="{00000000-0005-0000-0000-0000B3130000}"/>
    <cellStyle name="40% - Accent2 2 4 6 3" xfId="28166" xr:uid="{00000000-0005-0000-0000-0000B4130000}"/>
    <cellStyle name="40% - Accent2 2 4 7" xfId="10013" xr:uid="{00000000-0005-0000-0000-0000B5130000}"/>
    <cellStyle name="40% - Accent2 2 4 8" xfId="19337" xr:uid="{00000000-0005-0000-0000-0000B6130000}"/>
    <cellStyle name="40% - Accent2 2 5" xfId="656" xr:uid="{00000000-0005-0000-0000-0000B7130000}"/>
    <cellStyle name="40% - Accent2 2 5 2" xfId="5285" xr:uid="{00000000-0005-0000-0000-0000B8130000}"/>
    <cellStyle name="40% - Accent2 2 5 2 2" xfId="14609" xr:uid="{00000000-0005-0000-0000-0000B9130000}"/>
    <cellStyle name="40% - Accent2 2 5 2 3" xfId="23932" xr:uid="{00000000-0005-0000-0000-0000BA130000}"/>
    <cellStyle name="40% - Accent2 2 5 3" xfId="10257" xr:uid="{00000000-0005-0000-0000-0000BB130000}"/>
    <cellStyle name="40% - Accent2 2 5 4" xfId="19581" xr:uid="{00000000-0005-0000-0000-0000BC130000}"/>
    <cellStyle name="40% - Accent2 2 6" xfId="1140" xr:uid="{00000000-0005-0000-0000-0000BD130000}"/>
    <cellStyle name="40% - Accent2 2 6 2" xfId="6709" xr:uid="{00000000-0005-0000-0000-0000BE130000}"/>
    <cellStyle name="40% - Accent2 2 6 2 2" xfId="16033" xr:uid="{00000000-0005-0000-0000-0000BF130000}"/>
    <cellStyle name="40% - Accent2 2 6 2 3" xfId="25356" xr:uid="{00000000-0005-0000-0000-0000C0130000}"/>
    <cellStyle name="40% - Accent2 2 6 3" xfId="10739" xr:uid="{00000000-0005-0000-0000-0000C1130000}"/>
    <cellStyle name="40% - Accent2 2 6 4" xfId="20063" xr:uid="{00000000-0005-0000-0000-0000C2130000}"/>
    <cellStyle name="40% - Accent2 2 7" xfId="2958" xr:uid="{00000000-0005-0000-0000-0000C3130000}"/>
    <cellStyle name="40% - Accent2 2 7 2" xfId="7637" xr:uid="{00000000-0005-0000-0000-0000C4130000}"/>
    <cellStyle name="40% - Accent2 2 7 2 2" xfId="16961" xr:uid="{00000000-0005-0000-0000-0000C5130000}"/>
    <cellStyle name="40% - Accent2 2 7 2 3" xfId="26284" xr:uid="{00000000-0005-0000-0000-0000C6130000}"/>
    <cellStyle name="40% - Accent2 2 7 3" xfId="12359" xr:uid="{00000000-0005-0000-0000-0000C7130000}"/>
    <cellStyle name="40% - Accent2 2 7 4" xfId="21685" xr:uid="{00000000-0005-0000-0000-0000C8130000}"/>
    <cellStyle name="40% - Accent2 2 8" xfId="4600" xr:uid="{00000000-0005-0000-0000-0000C9130000}"/>
    <cellStyle name="40% - Accent2 2 8 2" xfId="13924" xr:uid="{00000000-0005-0000-0000-0000CA130000}"/>
    <cellStyle name="40% - Accent2 2 8 3" xfId="23247" xr:uid="{00000000-0005-0000-0000-0000CB130000}"/>
    <cellStyle name="40% - Accent2 2 9" xfId="9265" xr:uid="{00000000-0005-0000-0000-0000CC130000}"/>
    <cellStyle name="40% - Accent2 2 9 2" xfId="18589" xr:uid="{00000000-0005-0000-0000-0000CD130000}"/>
    <cellStyle name="40% - Accent2 2 9 3" xfId="27912" xr:uid="{00000000-0005-0000-0000-0000CE130000}"/>
    <cellStyle name="40% - Accent2 3" xfId="72" xr:uid="{00000000-0005-0000-0000-0000CF130000}"/>
    <cellStyle name="40% - Accent2 3 10" xfId="9760" xr:uid="{00000000-0005-0000-0000-0000D0130000}"/>
    <cellStyle name="40% - Accent2 3 11" xfId="19084" xr:uid="{00000000-0005-0000-0000-0000D1130000}"/>
    <cellStyle name="40% - Accent2 3 12" xfId="28849" xr:uid="{00000000-0005-0000-0000-0000D2130000}"/>
    <cellStyle name="40% - Accent2 3 2" xfId="210" xr:uid="{00000000-0005-0000-0000-0000D3130000}"/>
    <cellStyle name="40% - Accent2 3 2 10" xfId="19156" xr:uid="{00000000-0005-0000-0000-0000D4130000}"/>
    <cellStyle name="40% - Accent2 3 2 2" xfId="350" xr:uid="{00000000-0005-0000-0000-0000D5130000}"/>
    <cellStyle name="40% - Accent2 3 2 2 2" xfId="590" xr:uid="{00000000-0005-0000-0000-0000D6130000}"/>
    <cellStyle name="40% - Accent2 3 2 2 2 2" xfId="1078" xr:uid="{00000000-0005-0000-0000-0000D7130000}"/>
    <cellStyle name="40% - Accent2 3 2 2 2 2 2" xfId="6740" xr:uid="{00000000-0005-0000-0000-0000D8130000}"/>
    <cellStyle name="40% - Accent2 3 2 2 2 2 2 2" xfId="16064" xr:uid="{00000000-0005-0000-0000-0000D9130000}"/>
    <cellStyle name="40% - Accent2 3 2 2 2 2 2 3" xfId="25387" xr:uid="{00000000-0005-0000-0000-0000DA130000}"/>
    <cellStyle name="40% - Accent2 3 2 2 2 2 3" xfId="10679" xr:uid="{00000000-0005-0000-0000-0000DB130000}"/>
    <cellStyle name="40% - Accent2 3 2 2 2 2 4" xfId="20003" xr:uid="{00000000-0005-0000-0000-0000DC130000}"/>
    <cellStyle name="40% - Accent2 3 2 2 2 3" xfId="7063" xr:uid="{00000000-0005-0000-0000-0000DD130000}"/>
    <cellStyle name="40% - Accent2 3 2 2 2 3 2" xfId="16387" xr:uid="{00000000-0005-0000-0000-0000DE130000}"/>
    <cellStyle name="40% - Accent2 3 2 2 2 3 3" xfId="25710" xr:uid="{00000000-0005-0000-0000-0000DF130000}"/>
    <cellStyle name="40% - Accent2 3 2 2 2 4" xfId="9701" xr:uid="{00000000-0005-0000-0000-0000E0130000}"/>
    <cellStyle name="40% - Accent2 3 2 2 2 4 2" xfId="19025" xr:uid="{00000000-0005-0000-0000-0000E1130000}"/>
    <cellStyle name="40% - Accent2 3 2 2 2 4 3" xfId="28348" xr:uid="{00000000-0005-0000-0000-0000E2130000}"/>
    <cellStyle name="40% - Accent2 3 2 2 2 5" xfId="10195" xr:uid="{00000000-0005-0000-0000-0000E3130000}"/>
    <cellStyle name="40% - Accent2 3 2 2 2 6" xfId="19519" xr:uid="{00000000-0005-0000-0000-0000E4130000}"/>
    <cellStyle name="40% - Accent2 3 2 2 3" xfId="838" xr:uid="{00000000-0005-0000-0000-0000E5130000}"/>
    <cellStyle name="40% - Accent2 3 2 2 3 2" xfId="6912" xr:uid="{00000000-0005-0000-0000-0000E6130000}"/>
    <cellStyle name="40% - Accent2 3 2 2 3 2 2" xfId="16236" xr:uid="{00000000-0005-0000-0000-0000E7130000}"/>
    <cellStyle name="40% - Accent2 3 2 2 3 2 3" xfId="25559" xr:uid="{00000000-0005-0000-0000-0000E8130000}"/>
    <cellStyle name="40% - Accent2 3 2 2 3 3" xfId="10439" xr:uid="{00000000-0005-0000-0000-0000E9130000}"/>
    <cellStyle name="40% - Accent2 3 2 2 3 4" xfId="19763" xr:uid="{00000000-0005-0000-0000-0000EA130000}"/>
    <cellStyle name="40% - Accent2 3 2 2 4" xfId="1521" xr:uid="{00000000-0005-0000-0000-0000EB130000}"/>
    <cellStyle name="40% - Accent2 3 2 2 4 2" xfId="6537" xr:uid="{00000000-0005-0000-0000-0000EC130000}"/>
    <cellStyle name="40% - Accent2 3 2 2 4 2 2" xfId="15861" xr:uid="{00000000-0005-0000-0000-0000ED130000}"/>
    <cellStyle name="40% - Accent2 3 2 2 4 2 3" xfId="25184" xr:uid="{00000000-0005-0000-0000-0000EE130000}"/>
    <cellStyle name="40% - Accent2 3 2 2 4 3" xfId="11089" xr:uid="{00000000-0005-0000-0000-0000EF130000}"/>
    <cellStyle name="40% - Accent2 3 2 2 4 4" xfId="20413" xr:uid="{00000000-0005-0000-0000-0000F0130000}"/>
    <cellStyle name="40% - Accent2 3 2 2 5" xfId="3308" xr:uid="{00000000-0005-0000-0000-0000F1130000}"/>
    <cellStyle name="40% - Accent2 3 2 2 5 2" xfId="7987" xr:uid="{00000000-0005-0000-0000-0000F2130000}"/>
    <cellStyle name="40% - Accent2 3 2 2 5 2 2" xfId="17311" xr:uid="{00000000-0005-0000-0000-0000F3130000}"/>
    <cellStyle name="40% - Accent2 3 2 2 5 2 3" xfId="26634" xr:uid="{00000000-0005-0000-0000-0000F4130000}"/>
    <cellStyle name="40% - Accent2 3 2 2 5 3" xfId="12694" xr:uid="{00000000-0005-0000-0000-0000F5130000}"/>
    <cellStyle name="40% - Accent2 3 2 2 5 4" xfId="22020" xr:uid="{00000000-0005-0000-0000-0000F6130000}"/>
    <cellStyle name="40% - Accent2 3 2 2 6" xfId="4974" xr:uid="{00000000-0005-0000-0000-0000F7130000}"/>
    <cellStyle name="40% - Accent2 3 2 2 6 2" xfId="14298" xr:uid="{00000000-0005-0000-0000-0000F8130000}"/>
    <cellStyle name="40% - Accent2 3 2 2 6 3" xfId="23621" xr:uid="{00000000-0005-0000-0000-0000F9130000}"/>
    <cellStyle name="40% - Accent2 3 2 2 7" xfId="9461" xr:uid="{00000000-0005-0000-0000-0000FA130000}"/>
    <cellStyle name="40% - Accent2 3 2 2 7 2" xfId="18785" xr:uid="{00000000-0005-0000-0000-0000FB130000}"/>
    <cellStyle name="40% - Accent2 3 2 2 7 3" xfId="28108" xr:uid="{00000000-0005-0000-0000-0000FC130000}"/>
    <cellStyle name="40% - Accent2 3 2 2 8" xfId="9955" xr:uid="{00000000-0005-0000-0000-0000FD130000}"/>
    <cellStyle name="40% - Accent2 3 2 2 9" xfId="19279" xr:uid="{00000000-0005-0000-0000-0000FE130000}"/>
    <cellStyle name="40% - Accent2 3 2 3" xfId="468" xr:uid="{00000000-0005-0000-0000-0000FF130000}"/>
    <cellStyle name="40% - Accent2 3 2 3 2" xfId="956" xr:uid="{00000000-0005-0000-0000-000000140000}"/>
    <cellStyle name="40% - Accent2 3 2 3 2 2" xfId="6810" xr:uid="{00000000-0005-0000-0000-000001140000}"/>
    <cellStyle name="40% - Accent2 3 2 3 2 2 2" xfId="16134" xr:uid="{00000000-0005-0000-0000-000002140000}"/>
    <cellStyle name="40% - Accent2 3 2 3 2 2 3" xfId="25457" xr:uid="{00000000-0005-0000-0000-000003140000}"/>
    <cellStyle name="40% - Accent2 3 2 3 2 3" xfId="10557" xr:uid="{00000000-0005-0000-0000-000004140000}"/>
    <cellStyle name="40% - Accent2 3 2 3 2 4" xfId="19881" xr:uid="{00000000-0005-0000-0000-000005140000}"/>
    <cellStyle name="40% - Accent2 3 2 3 3" xfId="7135" xr:uid="{00000000-0005-0000-0000-000006140000}"/>
    <cellStyle name="40% - Accent2 3 2 3 3 2" xfId="16459" xr:uid="{00000000-0005-0000-0000-000007140000}"/>
    <cellStyle name="40% - Accent2 3 2 3 3 3" xfId="25782" xr:uid="{00000000-0005-0000-0000-000008140000}"/>
    <cellStyle name="40% - Accent2 3 2 3 4" xfId="9579" xr:uid="{00000000-0005-0000-0000-000009140000}"/>
    <cellStyle name="40% - Accent2 3 2 3 4 2" xfId="18903" xr:uid="{00000000-0005-0000-0000-00000A140000}"/>
    <cellStyle name="40% - Accent2 3 2 3 4 3" xfId="28226" xr:uid="{00000000-0005-0000-0000-00000B140000}"/>
    <cellStyle name="40% - Accent2 3 2 3 5" xfId="10073" xr:uid="{00000000-0005-0000-0000-00000C140000}"/>
    <cellStyle name="40% - Accent2 3 2 3 6" xfId="19397" xr:uid="{00000000-0005-0000-0000-00000D140000}"/>
    <cellStyle name="40% - Accent2 3 2 4" xfId="716" xr:uid="{00000000-0005-0000-0000-00000E140000}"/>
    <cellStyle name="40% - Accent2 3 2 4 2" xfId="7000" xr:uid="{00000000-0005-0000-0000-00000F140000}"/>
    <cellStyle name="40% - Accent2 3 2 4 2 2" xfId="16324" xr:uid="{00000000-0005-0000-0000-000010140000}"/>
    <cellStyle name="40% - Accent2 3 2 4 2 3" xfId="25647" xr:uid="{00000000-0005-0000-0000-000011140000}"/>
    <cellStyle name="40% - Accent2 3 2 4 3" xfId="10317" xr:uid="{00000000-0005-0000-0000-000012140000}"/>
    <cellStyle name="40% - Accent2 3 2 4 4" xfId="19641" xr:uid="{00000000-0005-0000-0000-000013140000}"/>
    <cellStyle name="40% - Accent2 3 2 5" xfId="1520" xr:uid="{00000000-0005-0000-0000-000014140000}"/>
    <cellStyle name="40% - Accent2 3 2 5 2" xfId="6538" xr:uid="{00000000-0005-0000-0000-000015140000}"/>
    <cellStyle name="40% - Accent2 3 2 5 2 2" xfId="15862" xr:uid="{00000000-0005-0000-0000-000016140000}"/>
    <cellStyle name="40% - Accent2 3 2 5 2 3" xfId="25185" xr:uid="{00000000-0005-0000-0000-000017140000}"/>
    <cellStyle name="40% - Accent2 3 2 5 3" xfId="11088" xr:uid="{00000000-0005-0000-0000-000018140000}"/>
    <cellStyle name="40% - Accent2 3 2 5 4" xfId="20412" xr:uid="{00000000-0005-0000-0000-000019140000}"/>
    <cellStyle name="40% - Accent2 3 2 6" xfId="3307" xr:uid="{00000000-0005-0000-0000-00001A140000}"/>
    <cellStyle name="40% - Accent2 3 2 6 2" xfId="7986" xr:uid="{00000000-0005-0000-0000-00001B140000}"/>
    <cellStyle name="40% - Accent2 3 2 6 2 2" xfId="17310" xr:uid="{00000000-0005-0000-0000-00001C140000}"/>
    <cellStyle name="40% - Accent2 3 2 6 2 3" xfId="26633" xr:uid="{00000000-0005-0000-0000-00001D140000}"/>
    <cellStyle name="40% - Accent2 3 2 6 3" xfId="12693" xr:uid="{00000000-0005-0000-0000-00001E140000}"/>
    <cellStyle name="40% - Accent2 3 2 6 4" xfId="22019" xr:uid="{00000000-0005-0000-0000-00001F140000}"/>
    <cellStyle name="40% - Accent2 3 2 7" xfId="4973" xr:uid="{00000000-0005-0000-0000-000020140000}"/>
    <cellStyle name="40% - Accent2 3 2 7 2" xfId="14297" xr:uid="{00000000-0005-0000-0000-000021140000}"/>
    <cellStyle name="40% - Accent2 3 2 7 3" xfId="23620" xr:uid="{00000000-0005-0000-0000-000022140000}"/>
    <cellStyle name="40% - Accent2 3 2 8" xfId="9338" xr:uid="{00000000-0005-0000-0000-000023140000}"/>
    <cellStyle name="40% - Accent2 3 2 8 2" xfId="18662" xr:uid="{00000000-0005-0000-0000-000024140000}"/>
    <cellStyle name="40% - Accent2 3 2 8 3" xfId="27985" xr:uid="{00000000-0005-0000-0000-000025140000}"/>
    <cellStyle name="40% - Accent2 3 2 9" xfId="9832" xr:uid="{00000000-0005-0000-0000-000026140000}"/>
    <cellStyle name="40% - Accent2 3 3" xfId="292" xr:uid="{00000000-0005-0000-0000-000027140000}"/>
    <cellStyle name="40% - Accent2 3 3 2" xfId="538" xr:uid="{00000000-0005-0000-0000-000028140000}"/>
    <cellStyle name="40% - Accent2 3 3 2 2" xfId="1026" xr:uid="{00000000-0005-0000-0000-000029140000}"/>
    <cellStyle name="40% - Accent2 3 3 2 2 2" xfId="6778" xr:uid="{00000000-0005-0000-0000-00002A140000}"/>
    <cellStyle name="40% - Accent2 3 3 2 2 2 2" xfId="16102" xr:uid="{00000000-0005-0000-0000-00002B140000}"/>
    <cellStyle name="40% - Accent2 3 3 2 2 2 3" xfId="25425" xr:uid="{00000000-0005-0000-0000-00002C140000}"/>
    <cellStyle name="40% - Accent2 3 3 2 2 3" xfId="10627" xr:uid="{00000000-0005-0000-0000-00002D140000}"/>
    <cellStyle name="40% - Accent2 3 3 2 2 4" xfId="19951" xr:uid="{00000000-0005-0000-0000-00002E140000}"/>
    <cellStyle name="40% - Accent2 3 3 2 3" xfId="7099" xr:uid="{00000000-0005-0000-0000-00002F140000}"/>
    <cellStyle name="40% - Accent2 3 3 2 3 2" xfId="16423" xr:uid="{00000000-0005-0000-0000-000030140000}"/>
    <cellStyle name="40% - Accent2 3 3 2 3 3" xfId="25746" xr:uid="{00000000-0005-0000-0000-000031140000}"/>
    <cellStyle name="40% - Accent2 3 3 2 4" xfId="9649" xr:uid="{00000000-0005-0000-0000-000032140000}"/>
    <cellStyle name="40% - Accent2 3 3 2 4 2" xfId="18973" xr:uid="{00000000-0005-0000-0000-000033140000}"/>
    <cellStyle name="40% - Accent2 3 3 2 4 3" xfId="28296" xr:uid="{00000000-0005-0000-0000-000034140000}"/>
    <cellStyle name="40% - Accent2 3 3 2 5" xfId="10143" xr:uid="{00000000-0005-0000-0000-000035140000}"/>
    <cellStyle name="40% - Accent2 3 3 2 6" xfId="19467" xr:uid="{00000000-0005-0000-0000-000036140000}"/>
    <cellStyle name="40% - Accent2 3 3 3" xfId="786" xr:uid="{00000000-0005-0000-0000-000037140000}"/>
    <cellStyle name="40% - Accent2 3 3 3 2" xfId="5428" xr:uid="{00000000-0005-0000-0000-000038140000}"/>
    <cellStyle name="40% - Accent2 3 3 3 2 2" xfId="14752" xr:uid="{00000000-0005-0000-0000-000039140000}"/>
    <cellStyle name="40% - Accent2 3 3 3 2 3" xfId="24075" xr:uid="{00000000-0005-0000-0000-00003A140000}"/>
    <cellStyle name="40% - Accent2 3 3 3 3" xfId="10387" xr:uid="{00000000-0005-0000-0000-00003B140000}"/>
    <cellStyle name="40% - Accent2 3 3 3 4" xfId="19711" xr:uid="{00000000-0005-0000-0000-00003C140000}"/>
    <cellStyle name="40% - Accent2 3 3 4" xfId="1522" xr:uid="{00000000-0005-0000-0000-00003D140000}"/>
    <cellStyle name="40% - Accent2 3 3 4 2" xfId="6273" xr:uid="{00000000-0005-0000-0000-00003E140000}"/>
    <cellStyle name="40% - Accent2 3 3 4 2 2" xfId="15597" xr:uid="{00000000-0005-0000-0000-00003F140000}"/>
    <cellStyle name="40% - Accent2 3 3 4 2 3" xfId="24920" xr:uid="{00000000-0005-0000-0000-000040140000}"/>
    <cellStyle name="40% - Accent2 3 3 4 3" xfId="11090" xr:uid="{00000000-0005-0000-0000-000041140000}"/>
    <cellStyle name="40% - Accent2 3 3 4 4" xfId="20414" xr:uid="{00000000-0005-0000-0000-000042140000}"/>
    <cellStyle name="40% - Accent2 3 3 5" xfId="3309" xr:uid="{00000000-0005-0000-0000-000043140000}"/>
    <cellStyle name="40% - Accent2 3 3 5 2" xfId="7988" xr:uid="{00000000-0005-0000-0000-000044140000}"/>
    <cellStyle name="40% - Accent2 3 3 5 2 2" xfId="17312" xr:uid="{00000000-0005-0000-0000-000045140000}"/>
    <cellStyle name="40% - Accent2 3 3 5 2 3" xfId="26635" xr:uid="{00000000-0005-0000-0000-000046140000}"/>
    <cellStyle name="40% - Accent2 3 3 5 3" xfId="12695" xr:uid="{00000000-0005-0000-0000-000047140000}"/>
    <cellStyle name="40% - Accent2 3 3 5 4" xfId="22021" xr:uid="{00000000-0005-0000-0000-000048140000}"/>
    <cellStyle name="40% - Accent2 3 3 6" xfId="4975" xr:uid="{00000000-0005-0000-0000-000049140000}"/>
    <cellStyle name="40% - Accent2 3 3 6 2" xfId="14299" xr:uid="{00000000-0005-0000-0000-00004A140000}"/>
    <cellStyle name="40% - Accent2 3 3 6 3" xfId="23622" xr:uid="{00000000-0005-0000-0000-00004B140000}"/>
    <cellStyle name="40% - Accent2 3 3 7" xfId="9408" xr:uid="{00000000-0005-0000-0000-00004C140000}"/>
    <cellStyle name="40% - Accent2 3 3 7 2" xfId="18732" xr:uid="{00000000-0005-0000-0000-00004D140000}"/>
    <cellStyle name="40% - Accent2 3 3 7 3" xfId="28055" xr:uid="{00000000-0005-0000-0000-00004E140000}"/>
    <cellStyle name="40% - Accent2 3 3 8" xfId="9902" xr:uid="{00000000-0005-0000-0000-00004F140000}"/>
    <cellStyle name="40% - Accent2 3 3 9" xfId="19226" xr:uid="{00000000-0005-0000-0000-000050140000}"/>
    <cellStyle name="40% - Accent2 3 4" xfId="409" xr:uid="{00000000-0005-0000-0000-000051140000}"/>
    <cellStyle name="40% - Accent2 3 4 2" xfId="897" xr:uid="{00000000-0005-0000-0000-000052140000}"/>
    <cellStyle name="40% - Accent2 3 4 2 2" xfId="6867" xr:uid="{00000000-0005-0000-0000-000053140000}"/>
    <cellStyle name="40% - Accent2 3 4 2 2 2" xfId="16191" xr:uid="{00000000-0005-0000-0000-000054140000}"/>
    <cellStyle name="40% - Accent2 3 4 2 2 3" xfId="25514" xr:uid="{00000000-0005-0000-0000-000055140000}"/>
    <cellStyle name="40% - Accent2 3 4 2 3" xfId="10498" xr:uid="{00000000-0005-0000-0000-000056140000}"/>
    <cellStyle name="40% - Accent2 3 4 2 4" xfId="19822" xr:uid="{00000000-0005-0000-0000-000057140000}"/>
    <cellStyle name="40% - Accent2 3 4 3" xfId="7173" xr:uid="{00000000-0005-0000-0000-000058140000}"/>
    <cellStyle name="40% - Accent2 3 4 3 2" xfId="16497" xr:uid="{00000000-0005-0000-0000-000059140000}"/>
    <cellStyle name="40% - Accent2 3 4 3 3" xfId="25820" xr:uid="{00000000-0005-0000-0000-00005A140000}"/>
    <cellStyle name="40% - Accent2 3 4 4" xfId="9520" xr:uid="{00000000-0005-0000-0000-00005B140000}"/>
    <cellStyle name="40% - Accent2 3 4 4 2" xfId="18844" xr:uid="{00000000-0005-0000-0000-00005C140000}"/>
    <cellStyle name="40% - Accent2 3 4 4 3" xfId="28167" xr:uid="{00000000-0005-0000-0000-00005D140000}"/>
    <cellStyle name="40% - Accent2 3 4 5" xfId="10014" xr:uid="{00000000-0005-0000-0000-00005E140000}"/>
    <cellStyle name="40% - Accent2 3 4 6" xfId="19338" xr:uid="{00000000-0005-0000-0000-00005F140000}"/>
    <cellStyle name="40% - Accent2 3 5" xfId="657" xr:uid="{00000000-0005-0000-0000-000060140000}"/>
    <cellStyle name="40% - Accent2 3 5 2" xfId="5976" xr:uid="{00000000-0005-0000-0000-000061140000}"/>
    <cellStyle name="40% - Accent2 3 5 2 2" xfId="15300" xr:uid="{00000000-0005-0000-0000-000062140000}"/>
    <cellStyle name="40% - Accent2 3 5 2 3" xfId="24623" xr:uid="{00000000-0005-0000-0000-000063140000}"/>
    <cellStyle name="40% - Accent2 3 5 3" xfId="10258" xr:uid="{00000000-0005-0000-0000-000064140000}"/>
    <cellStyle name="40% - Accent2 3 5 4" xfId="19582" xr:uid="{00000000-0005-0000-0000-000065140000}"/>
    <cellStyle name="40% - Accent2 3 6" xfId="1519" xr:uid="{00000000-0005-0000-0000-000066140000}"/>
    <cellStyle name="40% - Accent2 3 6 2" xfId="6539" xr:uid="{00000000-0005-0000-0000-000067140000}"/>
    <cellStyle name="40% - Accent2 3 6 2 2" xfId="15863" xr:uid="{00000000-0005-0000-0000-000068140000}"/>
    <cellStyle name="40% - Accent2 3 6 2 3" xfId="25186" xr:uid="{00000000-0005-0000-0000-000069140000}"/>
    <cellStyle name="40% - Accent2 3 6 3" xfId="11087" xr:uid="{00000000-0005-0000-0000-00006A140000}"/>
    <cellStyle name="40% - Accent2 3 6 4" xfId="20411" xr:uid="{00000000-0005-0000-0000-00006B140000}"/>
    <cellStyle name="40% - Accent2 3 7" xfId="3306" xr:uid="{00000000-0005-0000-0000-00006C140000}"/>
    <cellStyle name="40% - Accent2 3 7 2" xfId="7985" xr:uid="{00000000-0005-0000-0000-00006D140000}"/>
    <cellStyle name="40% - Accent2 3 7 2 2" xfId="17309" xr:uid="{00000000-0005-0000-0000-00006E140000}"/>
    <cellStyle name="40% - Accent2 3 7 2 3" xfId="26632" xr:uid="{00000000-0005-0000-0000-00006F140000}"/>
    <cellStyle name="40% - Accent2 3 7 3" xfId="12692" xr:uid="{00000000-0005-0000-0000-000070140000}"/>
    <cellStyle name="40% - Accent2 3 7 4" xfId="22018" xr:uid="{00000000-0005-0000-0000-000071140000}"/>
    <cellStyle name="40% - Accent2 3 8" xfId="4972" xr:uid="{00000000-0005-0000-0000-000072140000}"/>
    <cellStyle name="40% - Accent2 3 8 2" xfId="14296" xr:uid="{00000000-0005-0000-0000-000073140000}"/>
    <cellStyle name="40% - Accent2 3 8 3" xfId="23619" xr:uid="{00000000-0005-0000-0000-000074140000}"/>
    <cellStyle name="40% - Accent2 3 9" xfId="9266" xr:uid="{00000000-0005-0000-0000-000075140000}"/>
    <cellStyle name="40% - Accent2 3 9 2" xfId="18590" xr:uid="{00000000-0005-0000-0000-000076140000}"/>
    <cellStyle name="40% - Accent2 3 9 3" xfId="27913" xr:uid="{00000000-0005-0000-0000-000077140000}"/>
    <cellStyle name="40% - Accent2 4" xfId="185" xr:uid="{00000000-0005-0000-0000-000078140000}"/>
    <cellStyle name="40% - Accent2 4 10" xfId="19131" xr:uid="{00000000-0005-0000-0000-000079140000}"/>
    <cellStyle name="40% - Accent2 4 11" xfId="28926" xr:uid="{00000000-0005-0000-0000-00007A140000}"/>
    <cellStyle name="40% - Accent2 4 2" xfId="325" xr:uid="{00000000-0005-0000-0000-00007B140000}"/>
    <cellStyle name="40% - Accent2 4 2 2" xfId="565" xr:uid="{00000000-0005-0000-0000-00007C140000}"/>
    <cellStyle name="40% - Accent2 4 2 2 2" xfId="1053" xr:uid="{00000000-0005-0000-0000-00007D140000}"/>
    <cellStyle name="40% - Accent2 4 2 2 2 2" xfId="6758" xr:uid="{00000000-0005-0000-0000-00007E140000}"/>
    <cellStyle name="40% - Accent2 4 2 2 2 2 2" xfId="16082" xr:uid="{00000000-0005-0000-0000-00007F140000}"/>
    <cellStyle name="40% - Accent2 4 2 2 2 2 3" xfId="25405" xr:uid="{00000000-0005-0000-0000-000080140000}"/>
    <cellStyle name="40% - Accent2 4 2 2 2 3" xfId="10654" xr:uid="{00000000-0005-0000-0000-000081140000}"/>
    <cellStyle name="40% - Accent2 4 2 2 2 4" xfId="19978" xr:uid="{00000000-0005-0000-0000-000082140000}"/>
    <cellStyle name="40% - Accent2 4 2 2 3" xfId="5228" xr:uid="{00000000-0005-0000-0000-000083140000}"/>
    <cellStyle name="40% - Accent2 4 2 2 3 2" xfId="14552" xr:uid="{00000000-0005-0000-0000-000084140000}"/>
    <cellStyle name="40% - Accent2 4 2 2 3 3" xfId="23875" xr:uid="{00000000-0005-0000-0000-000085140000}"/>
    <cellStyle name="40% - Accent2 4 2 2 4" xfId="9676" xr:uid="{00000000-0005-0000-0000-000086140000}"/>
    <cellStyle name="40% - Accent2 4 2 2 4 2" xfId="19000" xr:uid="{00000000-0005-0000-0000-000087140000}"/>
    <cellStyle name="40% - Accent2 4 2 2 4 3" xfId="28323" xr:uid="{00000000-0005-0000-0000-000088140000}"/>
    <cellStyle name="40% - Accent2 4 2 2 5" xfId="10170" xr:uid="{00000000-0005-0000-0000-000089140000}"/>
    <cellStyle name="40% - Accent2 4 2 2 6" xfId="19494" xr:uid="{00000000-0005-0000-0000-00008A140000}"/>
    <cellStyle name="40% - Accent2 4 2 3" xfId="813" xr:uid="{00000000-0005-0000-0000-00008B140000}"/>
    <cellStyle name="40% - Accent2 4 2 3 2" xfId="6932" xr:uid="{00000000-0005-0000-0000-00008C140000}"/>
    <cellStyle name="40% - Accent2 4 2 3 2 2" xfId="16256" xr:uid="{00000000-0005-0000-0000-00008D140000}"/>
    <cellStyle name="40% - Accent2 4 2 3 2 3" xfId="25579" xr:uid="{00000000-0005-0000-0000-00008E140000}"/>
    <cellStyle name="40% - Accent2 4 2 3 3" xfId="10414" xr:uid="{00000000-0005-0000-0000-00008F140000}"/>
    <cellStyle name="40% - Accent2 4 2 3 4" xfId="19738" xr:uid="{00000000-0005-0000-0000-000090140000}"/>
    <cellStyle name="40% - Accent2 4 2 4" xfId="1524" xr:uid="{00000000-0005-0000-0000-000091140000}"/>
    <cellStyle name="40% - Accent2 4 2 4 2" xfId="6535" xr:uid="{00000000-0005-0000-0000-000092140000}"/>
    <cellStyle name="40% - Accent2 4 2 4 2 2" xfId="15859" xr:uid="{00000000-0005-0000-0000-000093140000}"/>
    <cellStyle name="40% - Accent2 4 2 4 2 3" xfId="25182" xr:uid="{00000000-0005-0000-0000-000094140000}"/>
    <cellStyle name="40% - Accent2 4 2 4 3" xfId="11092" xr:uid="{00000000-0005-0000-0000-000095140000}"/>
    <cellStyle name="40% - Accent2 4 2 4 4" xfId="20416" xr:uid="{00000000-0005-0000-0000-000096140000}"/>
    <cellStyle name="40% - Accent2 4 2 5" xfId="3311" xr:uid="{00000000-0005-0000-0000-000097140000}"/>
    <cellStyle name="40% - Accent2 4 2 5 2" xfId="7990" xr:uid="{00000000-0005-0000-0000-000098140000}"/>
    <cellStyle name="40% - Accent2 4 2 5 2 2" xfId="17314" xr:uid="{00000000-0005-0000-0000-000099140000}"/>
    <cellStyle name="40% - Accent2 4 2 5 2 3" xfId="26637" xr:uid="{00000000-0005-0000-0000-00009A140000}"/>
    <cellStyle name="40% - Accent2 4 2 5 3" xfId="12697" xr:uid="{00000000-0005-0000-0000-00009B140000}"/>
    <cellStyle name="40% - Accent2 4 2 5 4" xfId="22023" xr:uid="{00000000-0005-0000-0000-00009C140000}"/>
    <cellStyle name="40% - Accent2 4 2 6" xfId="4977" xr:uid="{00000000-0005-0000-0000-00009D140000}"/>
    <cellStyle name="40% - Accent2 4 2 6 2" xfId="14301" xr:uid="{00000000-0005-0000-0000-00009E140000}"/>
    <cellStyle name="40% - Accent2 4 2 6 3" xfId="23624" xr:uid="{00000000-0005-0000-0000-00009F140000}"/>
    <cellStyle name="40% - Accent2 4 2 7" xfId="9436" xr:uid="{00000000-0005-0000-0000-0000A0140000}"/>
    <cellStyle name="40% - Accent2 4 2 7 2" xfId="18760" xr:uid="{00000000-0005-0000-0000-0000A1140000}"/>
    <cellStyle name="40% - Accent2 4 2 7 3" xfId="28083" xr:uid="{00000000-0005-0000-0000-0000A2140000}"/>
    <cellStyle name="40% - Accent2 4 2 8" xfId="9930" xr:uid="{00000000-0005-0000-0000-0000A3140000}"/>
    <cellStyle name="40% - Accent2 4 2 9" xfId="19254" xr:uid="{00000000-0005-0000-0000-0000A4140000}"/>
    <cellStyle name="40% - Accent2 4 3" xfId="443" xr:uid="{00000000-0005-0000-0000-0000A5140000}"/>
    <cellStyle name="40% - Accent2 4 3 2" xfId="931" xr:uid="{00000000-0005-0000-0000-0000A6140000}"/>
    <cellStyle name="40% - Accent2 4 3 2 2" xfId="5474" xr:uid="{00000000-0005-0000-0000-0000A7140000}"/>
    <cellStyle name="40% - Accent2 4 3 2 2 2" xfId="14798" xr:uid="{00000000-0005-0000-0000-0000A8140000}"/>
    <cellStyle name="40% - Accent2 4 3 2 2 3" xfId="24121" xr:uid="{00000000-0005-0000-0000-0000A9140000}"/>
    <cellStyle name="40% - Accent2 4 3 2 3" xfId="10532" xr:uid="{00000000-0005-0000-0000-0000AA140000}"/>
    <cellStyle name="40% - Accent2 4 3 2 4" xfId="19856" xr:uid="{00000000-0005-0000-0000-0000AB140000}"/>
    <cellStyle name="40% - Accent2 4 3 3" xfId="7147" xr:uid="{00000000-0005-0000-0000-0000AC140000}"/>
    <cellStyle name="40% - Accent2 4 3 3 2" xfId="16471" xr:uid="{00000000-0005-0000-0000-0000AD140000}"/>
    <cellStyle name="40% - Accent2 4 3 3 3" xfId="25794" xr:uid="{00000000-0005-0000-0000-0000AE140000}"/>
    <cellStyle name="40% - Accent2 4 3 4" xfId="9554" xr:uid="{00000000-0005-0000-0000-0000AF140000}"/>
    <cellStyle name="40% - Accent2 4 3 4 2" xfId="18878" xr:uid="{00000000-0005-0000-0000-0000B0140000}"/>
    <cellStyle name="40% - Accent2 4 3 4 3" xfId="28201" xr:uid="{00000000-0005-0000-0000-0000B1140000}"/>
    <cellStyle name="40% - Accent2 4 3 5" xfId="10048" xr:uid="{00000000-0005-0000-0000-0000B2140000}"/>
    <cellStyle name="40% - Accent2 4 3 6" xfId="19372" xr:uid="{00000000-0005-0000-0000-0000B3140000}"/>
    <cellStyle name="40% - Accent2 4 4" xfId="691" xr:uid="{00000000-0005-0000-0000-0000B4140000}"/>
    <cellStyle name="40% - Accent2 4 4 2" xfId="7020" xr:uid="{00000000-0005-0000-0000-0000B5140000}"/>
    <cellStyle name="40% - Accent2 4 4 2 2" xfId="16344" xr:uid="{00000000-0005-0000-0000-0000B6140000}"/>
    <cellStyle name="40% - Accent2 4 4 2 3" xfId="25667" xr:uid="{00000000-0005-0000-0000-0000B7140000}"/>
    <cellStyle name="40% - Accent2 4 4 3" xfId="10292" xr:uid="{00000000-0005-0000-0000-0000B8140000}"/>
    <cellStyle name="40% - Accent2 4 4 4" xfId="19616" xr:uid="{00000000-0005-0000-0000-0000B9140000}"/>
    <cellStyle name="40% - Accent2 4 5" xfId="1523" xr:uid="{00000000-0005-0000-0000-0000BA140000}"/>
    <cellStyle name="40% - Accent2 4 5 2" xfId="6536" xr:uid="{00000000-0005-0000-0000-0000BB140000}"/>
    <cellStyle name="40% - Accent2 4 5 2 2" xfId="15860" xr:uid="{00000000-0005-0000-0000-0000BC140000}"/>
    <cellStyle name="40% - Accent2 4 5 2 3" xfId="25183" xr:uid="{00000000-0005-0000-0000-0000BD140000}"/>
    <cellStyle name="40% - Accent2 4 5 3" xfId="11091" xr:uid="{00000000-0005-0000-0000-0000BE140000}"/>
    <cellStyle name="40% - Accent2 4 5 4" xfId="20415" xr:uid="{00000000-0005-0000-0000-0000BF140000}"/>
    <cellStyle name="40% - Accent2 4 6" xfId="3310" xr:uid="{00000000-0005-0000-0000-0000C0140000}"/>
    <cellStyle name="40% - Accent2 4 6 2" xfId="7989" xr:uid="{00000000-0005-0000-0000-0000C1140000}"/>
    <cellStyle name="40% - Accent2 4 6 2 2" xfId="17313" xr:uid="{00000000-0005-0000-0000-0000C2140000}"/>
    <cellStyle name="40% - Accent2 4 6 2 3" xfId="26636" xr:uid="{00000000-0005-0000-0000-0000C3140000}"/>
    <cellStyle name="40% - Accent2 4 6 3" xfId="12696" xr:uid="{00000000-0005-0000-0000-0000C4140000}"/>
    <cellStyle name="40% - Accent2 4 6 4" xfId="22022" xr:uid="{00000000-0005-0000-0000-0000C5140000}"/>
    <cellStyle name="40% - Accent2 4 7" xfId="4976" xr:uid="{00000000-0005-0000-0000-0000C6140000}"/>
    <cellStyle name="40% - Accent2 4 7 2" xfId="14300" xr:uid="{00000000-0005-0000-0000-0000C7140000}"/>
    <cellStyle name="40% - Accent2 4 7 3" xfId="23623" xr:uid="{00000000-0005-0000-0000-0000C8140000}"/>
    <cellStyle name="40% - Accent2 4 8" xfId="9313" xr:uid="{00000000-0005-0000-0000-0000C9140000}"/>
    <cellStyle name="40% - Accent2 4 8 2" xfId="18637" xr:uid="{00000000-0005-0000-0000-0000CA140000}"/>
    <cellStyle name="40% - Accent2 4 8 3" xfId="27960" xr:uid="{00000000-0005-0000-0000-0000CB140000}"/>
    <cellStyle name="40% - Accent2 4 9" xfId="9807" xr:uid="{00000000-0005-0000-0000-0000CC140000}"/>
    <cellStyle name="40% - Accent2 5" xfId="245" xr:uid="{00000000-0005-0000-0000-0000CD140000}"/>
    <cellStyle name="40% - Accent2 5 2" xfId="503" xr:uid="{00000000-0005-0000-0000-0000CE140000}"/>
    <cellStyle name="40% - Accent2 5 2 2" xfId="991" xr:uid="{00000000-0005-0000-0000-0000CF140000}"/>
    <cellStyle name="40% - Accent2 5 2 2 2" xfId="6805" xr:uid="{00000000-0005-0000-0000-0000D0140000}"/>
    <cellStyle name="40% - Accent2 5 2 2 2 2" xfId="16129" xr:uid="{00000000-0005-0000-0000-0000D1140000}"/>
    <cellStyle name="40% - Accent2 5 2 2 2 3" xfId="25452" xr:uid="{00000000-0005-0000-0000-0000D2140000}"/>
    <cellStyle name="40% - Accent2 5 2 2 3" xfId="10592" xr:uid="{00000000-0005-0000-0000-0000D3140000}"/>
    <cellStyle name="40% - Accent2 5 2 2 4" xfId="19916" xr:uid="{00000000-0005-0000-0000-0000D4140000}"/>
    <cellStyle name="40% - Accent2 5 2 3" xfId="7114" xr:uid="{00000000-0005-0000-0000-0000D5140000}"/>
    <cellStyle name="40% - Accent2 5 2 3 2" xfId="16438" xr:uid="{00000000-0005-0000-0000-0000D6140000}"/>
    <cellStyle name="40% - Accent2 5 2 3 3" xfId="25761" xr:uid="{00000000-0005-0000-0000-0000D7140000}"/>
    <cellStyle name="40% - Accent2 5 2 4" xfId="9614" xr:uid="{00000000-0005-0000-0000-0000D8140000}"/>
    <cellStyle name="40% - Accent2 5 2 4 2" xfId="18938" xr:uid="{00000000-0005-0000-0000-0000D9140000}"/>
    <cellStyle name="40% - Accent2 5 2 4 3" xfId="28261" xr:uid="{00000000-0005-0000-0000-0000DA140000}"/>
    <cellStyle name="40% - Accent2 5 2 5" xfId="10108" xr:uid="{00000000-0005-0000-0000-0000DB140000}"/>
    <cellStyle name="40% - Accent2 5 2 6" xfId="19432" xr:uid="{00000000-0005-0000-0000-0000DC140000}"/>
    <cellStyle name="40% - Accent2 5 3" xfId="751" xr:uid="{00000000-0005-0000-0000-0000DD140000}"/>
    <cellStyle name="40% - Accent2 5 3 2" xfId="5395" xr:uid="{00000000-0005-0000-0000-0000DE140000}"/>
    <cellStyle name="40% - Accent2 5 3 2 2" xfId="14719" xr:uid="{00000000-0005-0000-0000-0000DF140000}"/>
    <cellStyle name="40% - Accent2 5 3 2 3" xfId="24042" xr:uid="{00000000-0005-0000-0000-0000E0140000}"/>
    <cellStyle name="40% - Accent2 5 3 3" xfId="10352" xr:uid="{00000000-0005-0000-0000-0000E1140000}"/>
    <cellStyle name="40% - Accent2 5 3 4" xfId="19676" xr:uid="{00000000-0005-0000-0000-0000E2140000}"/>
    <cellStyle name="40% - Accent2 5 4" xfId="1525" xr:uid="{00000000-0005-0000-0000-0000E3140000}"/>
    <cellStyle name="40% - Accent2 5 4 2" xfId="6534" xr:uid="{00000000-0005-0000-0000-0000E4140000}"/>
    <cellStyle name="40% - Accent2 5 4 2 2" xfId="15858" xr:uid="{00000000-0005-0000-0000-0000E5140000}"/>
    <cellStyle name="40% - Accent2 5 4 2 3" xfId="25181" xr:uid="{00000000-0005-0000-0000-0000E6140000}"/>
    <cellStyle name="40% - Accent2 5 4 3" xfId="11093" xr:uid="{00000000-0005-0000-0000-0000E7140000}"/>
    <cellStyle name="40% - Accent2 5 4 4" xfId="20417" xr:uid="{00000000-0005-0000-0000-0000E8140000}"/>
    <cellStyle name="40% - Accent2 5 5" xfId="3312" xr:uid="{00000000-0005-0000-0000-0000E9140000}"/>
    <cellStyle name="40% - Accent2 5 5 2" xfId="7991" xr:uid="{00000000-0005-0000-0000-0000EA140000}"/>
    <cellStyle name="40% - Accent2 5 5 2 2" xfId="17315" xr:uid="{00000000-0005-0000-0000-0000EB140000}"/>
    <cellStyle name="40% - Accent2 5 5 2 3" xfId="26638" xr:uid="{00000000-0005-0000-0000-0000EC140000}"/>
    <cellStyle name="40% - Accent2 5 5 3" xfId="12698" xr:uid="{00000000-0005-0000-0000-0000ED140000}"/>
    <cellStyle name="40% - Accent2 5 5 4" xfId="22024" xr:uid="{00000000-0005-0000-0000-0000EE140000}"/>
    <cellStyle name="40% - Accent2 5 6" xfId="4978" xr:uid="{00000000-0005-0000-0000-0000EF140000}"/>
    <cellStyle name="40% - Accent2 5 6 2" xfId="14302" xr:uid="{00000000-0005-0000-0000-0000F0140000}"/>
    <cellStyle name="40% - Accent2 5 6 3" xfId="23625" xr:uid="{00000000-0005-0000-0000-0000F1140000}"/>
    <cellStyle name="40% - Accent2 5 7" xfId="9373" xr:uid="{00000000-0005-0000-0000-0000F2140000}"/>
    <cellStyle name="40% - Accent2 5 7 2" xfId="18697" xr:uid="{00000000-0005-0000-0000-0000F3140000}"/>
    <cellStyle name="40% - Accent2 5 7 3" xfId="28020" xr:uid="{00000000-0005-0000-0000-0000F4140000}"/>
    <cellStyle name="40% - Accent2 5 8" xfId="9867" xr:uid="{00000000-0005-0000-0000-0000F5140000}"/>
    <cellStyle name="40% - Accent2 5 9" xfId="19191" xr:uid="{00000000-0005-0000-0000-0000F6140000}"/>
    <cellStyle name="40% - Accent2 6" xfId="384" xr:uid="{00000000-0005-0000-0000-0000F7140000}"/>
    <cellStyle name="40% - Accent2 6 2" xfId="872" xr:uid="{00000000-0005-0000-0000-0000F8140000}"/>
    <cellStyle name="40% - Accent2 6 2 2" xfId="6891" xr:uid="{00000000-0005-0000-0000-0000F9140000}"/>
    <cellStyle name="40% - Accent2 6 2 2 2" xfId="16215" xr:uid="{00000000-0005-0000-0000-0000FA140000}"/>
    <cellStyle name="40% - Accent2 6 2 2 3" xfId="25538" xr:uid="{00000000-0005-0000-0000-0000FB140000}"/>
    <cellStyle name="40% - Accent2 6 2 3" xfId="10473" xr:uid="{00000000-0005-0000-0000-0000FC140000}"/>
    <cellStyle name="40% - Accent2 6 2 4" xfId="19797" xr:uid="{00000000-0005-0000-0000-0000FD140000}"/>
    <cellStyle name="40% - Accent2 6 3" xfId="1526" xr:uid="{00000000-0005-0000-0000-0000FE140000}"/>
    <cellStyle name="40% - Accent2 6 3 2" xfId="6334" xr:uid="{00000000-0005-0000-0000-0000FF140000}"/>
    <cellStyle name="40% - Accent2 6 3 2 2" xfId="15658" xr:uid="{00000000-0005-0000-0000-000000150000}"/>
    <cellStyle name="40% - Accent2 6 3 2 3" xfId="24981" xr:uid="{00000000-0005-0000-0000-000001150000}"/>
    <cellStyle name="40% - Accent2 6 3 3" xfId="11094" xr:uid="{00000000-0005-0000-0000-000002150000}"/>
    <cellStyle name="40% - Accent2 6 3 4" xfId="20418" xr:uid="{00000000-0005-0000-0000-000003150000}"/>
    <cellStyle name="40% - Accent2 6 4" xfId="3313" xr:uid="{00000000-0005-0000-0000-000004150000}"/>
    <cellStyle name="40% - Accent2 6 4 2" xfId="7992" xr:uid="{00000000-0005-0000-0000-000005150000}"/>
    <cellStyle name="40% - Accent2 6 4 2 2" xfId="17316" xr:uid="{00000000-0005-0000-0000-000006150000}"/>
    <cellStyle name="40% - Accent2 6 4 2 3" xfId="26639" xr:uid="{00000000-0005-0000-0000-000007150000}"/>
    <cellStyle name="40% - Accent2 6 4 3" xfId="12699" xr:uid="{00000000-0005-0000-0000-000008150000}"/>
    <cellStyle name="40% - Accent2 6 4 4" xfId="22025" xr:uid="{00000000-0005-0000-0000-000009150000}"/>
    <cellStyle name="40% - Accent2 6 5" xfId="4979" xr:uid="{00000000-0005-0000-0000-00000A150000}"/>
    <cellStyle name="40% - Accent2 6 5 2" xfId="14303" xr:uid="{00000000-0005-0000-0000-00000B150000}"/>
    <cellStyle name="40% - Accent2 6 5 3" xfId="23626" xr:uid="{00000000-0005-0000-0000-00000C150000}"/>
    <cellStyle name="40% - Accent2 6 6" xfId="9495" xr:uid="{00000000-0005-0000-0000-00000D150000}"/>
    <cellStyle name="40% - Accent2 6 6 2" xfId="18819" xr:uid="{00000000-0005-0000-0000-00000E150000}"/>
    <cellStyle name="40% - Accent2 6 6 3" xfId="28142" xr:uid="{00000000-0005-0000-0000-00000F150000}"/>
    <cellStyle name="40% - Accent2 6 7" xfId="9989" xr:uid="{00000000-0005-0000-0000-000010150000}"/>
    <cellStyle name="40% - Accent2 6 8" xfId="19313" xr:uid="{00000000-0005-0000-0000-000011150000}"/>
    <cellStyle name="40% - Accent2 7" xfId="628" xr:uid="{00000000-0005-0000-0000-000012150000}"/>
    <cellStyle name="40% - Accent2 7 2" xfId="1527" xr:uid="{00000000-0005-0000-0000-000013150000}"/>
    <cellStyle name="40% - Accent2 7 2 2" xfId="6533" xr:uid="{00000000-0005-0000-0000-000014150000}"/>
    <cellStyle name="40% - Accent2 7 2 2 2" xfId="15857" xr:uid="{00000000-0005-0000-0000-000015150000}"/>
    <cellStyle name="40% - Accent2 7 2 2 3" xfId="25180" xr:uid="{00000000-0005-0000-0000-000016150000}"/>
    <cellStyle name="40% - Accent2 7 2 3" xfId="11095" xr:uid="{00000000-0005-0000-0000-000017150000}"/>
    <cellStyle name="40% - Accent2 7 2 4" xfId="20419" xr:uid="{00000000-0005-0000-0000-000018150000}"/>
    <cellStyle name="40% - Accent2 7 3" xfId="3314" xr:uid="{00000000-0005-0000-0000-000019150000}"/>
    <cellStyle name="40% - Accent2 7 3 2" xfId="7993" xr:uid="{00000000-0005-0000-0000-00001A150000}"/>
    <cellStyle name="40% - Accent2 7 3 2 2" xfId="17317" xr:uid="{00000000-0005-0000-0000-00001B150000}"/>
    <cellStyle name="40% - Accent2 7 3 2 3" xfId="26640" xr:uid="{00000000-0005-0000-0000-00001C150000}"/>
    <cellStyle name="40% - Accent2 7 3 3" xfId="12700" xr:uid="{00000000-0005-0000-0000-00001D150000}"/>
    <cellStyle name="40% - Accent2 7 3 4" xfId="22026" xr:uid="{00000000-0005-0000-0000-00001E150000}"/>
    <cellStyle name="40% - Accent2 7 4" xfId="4980" xr:uid="{00000000-0005-0000-0000-00001F150000}"/>
    <cellStyle name="40% - Accent2 7 4 2" xfId="14304" xr:uid="{00000000-0005-0000-0000-000020150000}"/>
    <cellStyle name="40% - Accent2 7 4 3" xfId="23627" xr:uid="{00000000-0005-0000-0000-000021150000}"/>
    <cellStyle name="40% - Accent2 7 5" xfId="10232" xr:uid="{00000000-0005-0000-0000-000022150000}"/>
    <cellStyle name="40% - Accent2 7 6" xfId="19556" xr:uid="{00000000-0005-0000-0000-000023150000}"/>
    <cellStyle name="40% - Accent2 8" xfId="1126" xr:uid="{00000000-0005-0000-0000-000024150000}"/>
    <cellStyle name="40% - Accent2 8 2" xfId="6716" xr:uid="{00000000-0005-0000-0000-000025150000}"/>
    <cellStyle name="40% - Accent2 8 2 2" xfId="16040" xr:uid="{00000000-0005-0000-0000-000026150000}"/>
    <cellStyle name="40% - Accent2 8 2 3" xfId="25363" xr:uid="{00000000-0005-0000-0000-000027150000}"/>
    <cellStyle name="40% - Accent2 8 3" xfId="10725" xr:uid="{00000000-0005-0000-0000-000028150000}"/>
    <cellStyle name="40% - Accent2 8 4" xfId="20049" xr:uid="{00000000-0005-0000-0000-000029150000}"/>
    <cellStyle name="40% - Accent2 9" xfId="2940" xr:uid="{00000000-0005-0000-0000-00002A150000}"/>
    <cellStyle name="40% - Accent2 9 2" xfId="7622" xr:uid="{00000000-0005-0000-0000-00002B150000}"/>
    <cellStyle name="40% - Accent2 9 2 2" xfId="16946" xr:uid="{00000000-0005-0000-0000-00002C150000}"/>
    <cellStyle name="40% - Accent2 9 2 3" xfId="26269" xr:uid="{00000000-0005-0000-0000-00002D150000}"/>
    <cellStyle name="40% - Accent2 9 3" xfId="12345" xr:uid="{00000000-0005-0000-0000-00002E150000}"/>
    <cellStyle name="40% - Accent2 9 4" xfId="21671" xr:uid="{00000000-0005-0000-0000-00002F150000}"/>
    <cellStyle name="40% - Accent3" xfId="42" builtinId="39" customBuiltin="1"/>
    <cellStyle name="40% - Accent3 10" xfId="2942" xr:uid="{00000000-0005-0000-0000-000031150000}"/>
    <cellStyle name="40% - Accent3 10 2" xfId="7624" xr:uid="{00000000-0005-0000-0000-000032150000}"/>
    <cellStyle name="40% - Accent3 10 2 2" xfId="16948" xr:uid="{00000000-0005-0000-0000-000033150000}"/>
    <cellStyle name="40% - Accent3 10 2 3" xfId="26271" xr:uid="{00000000-0005-0000-0000-000034150000}"/>
    <cellStyle name="40% - Accent3 10 3" xfId="12347" xr:uid="{00000000-0005-0000-0000-000035150000}"/>
    <cellStyle name="40% - Accent3 10 4" xfId="21673" xr:uid="{00000000-0005-0000-0000-000036150000}"/>
    <cellStyle name="40% - Accent3 11" xfId="4581" xr:uid="{00000000-0005-0000-0000-000037150000}"/>
    <cellStyle name="40% - Accent3 11 2" xfId="13905" xr:uid="{00000000-0005-0000-0000-000038150000}"/>
    <cellStyle name="40% - Accent3 11 3" xfId="23228" xr:uid="{00000000-0005-0000-0000-000039150000}"/>
    <cellStyle name="40% - Accent3 12" xfId="9243" xr:uid="{00000000-0005-0000-0000-00003A150000}"/>
    <cellStyle name="40% - Accent3 12 2" xfId="18567" xr:uid="{00000000-0005-0000-0000-00003B150000}"/>
    <cellStyle name="40% - Accent3 12 3" xfId="27890" xr:uid="{00000000-0005-0000-0000-00003C150000}"/>
    <cellStyle name="40% - Accent3 13" xfId="9737" xr:uid="{00000000-0005-0000-0000-00003D150000}"/>
    <cellStyle name="40% - Accent3 14" xfId="19061" xr:uid="{00000000-0005-0000-0000-00003E150000}"/>
    <cellStyle name="40% - Accent3 15" xfId="28406" xr:uid="{00000000-0005-0000-0000-00003F150000}"/>
    <cellStyle name="40% - Accent3 2" xfId="73" xr:uid="{00000000-0005-0000-0000-000040150000}"/>
    <cellStyle name="40% - Accent3 2 10" xfId="4602" xr:uid="{00000000-0005-0000-0000-000041150000}"/>
    <cellStyle name="40% - Accent3 2 10 2" xfId="13926" xr:uid="{00000000-0005-0000-0000-000042150000}"/>
    <cellStyle name="40% - Accent3 2 10 3" xfId="23249" xr:uid="{00000000-0005-0000-0000-000043150000}"/>
    <cellStyle name="40% - Accent3 2 11" xfId="9267" xr:uid="{00000000-0005-0000-0000-000044150000}"/>
    <cellStyle name="40% - Accent3 2 11 2" xfId="18591" xr:uid="{00000000-0005-0000-0000-000045150000}"/>
    <cellStyle name="40% - Accent3 2 11 3" xfId="27914" xr:uid="{00000000-0005-0000-0000-000046150000}"/>
    <cellStyle name="40% - Accent3 2 12" xfId="9761" xr:uid="{00000000-0005-0000-0000-000047150000}"/>
    <cellStyle name="40% - Accent3 2 13" xfId="19085" xr:uid="{00000000-0005-0000-0000-000048150000}"/>
    <cellStyle name="40% - Accent3 2 14" xfId="28407" xr:uid="{00000000-0005-0000-0000-000049150000}"/>
    <cellStyle name="40% - Accent3 2 2" xfId="211" xr:uid="{00000000-0005-0000-0000-00004A150000}"/>
    <cellStyle name="40% - Accent3 2 2 10" xfId="9833" xr:uid="{00000000-0005-0000-0000-00004B150000}"/>
    <cellStyle name="40% - Accent3 2 2 11" xfId="19157" xr:uid="{00000000-0005-0000-0000-00004C150000}"/>
    <cellStyle name="40% - Accent3 2 2 2" xfId="351" xr:uid="{00000000-0005-0000-0000-00004D150000}"/>
    <cellStyle name="40% - Accent3 2 2 2 10" xfId="19280" xr:uid="{00000000-0005-0000-0000-00004E150000}"/>
    <cellStyle name="40% - Accent3 2 2 2 2" xfId="591" xr:uid="{00000000-0005-0000-0000-00004F150000}"/>
    <cellStyle name="40% - Accent3 2 2 2 2 2" xfId="1079" xr:uid="{00000000-0005-0000-0000-000050150000}"/>
    <cellStyle name="40% - Accent3 2 2 2 2 2 2" xfId="6741" xr:uid="{00000000-0005-0000-0000-000051150000}"/>
    <cellStyle name="40% - Accent3 2 2 2 2 2 2 2" xfId="16065" xr:uid="{00000000-0005-0000-0000-000052150000}"/>
    <cellStyle name="40% - Accent3 2 2 2 2 2 2 3" xfId="25388" xr:uid="{00000000-0005-0000-0000-000053150000}"/>
    <cellStyle name="40% - Accent3 2 2 2 2 2 3" xfId="10680" xr:uid="{00000000-0005-0000-0000-000054150000}"/>
    <cellStyle name="40% - Accent3 2 2 2 2 2 4" xfId="20004" xr:uid="{00000000-0005-0000-0000-000055150000}"/>
    <cellStyle name="40% - Accent3 2 2 2 2 3" xfId="1531" xr:uid="{00000000-0005-0000-0000-000056150000}"/>
    <cellStyle name="40% - Accent3 2 2 2 2 3 2" xfId="6531" xr:uid="{00000000-0005-0000-0000-000057150000}"/>
    <cellStyle name="40% - Accent3 2 2 2 2 3 2 2" xfId="15855" xr:uid="{00000000-0005-0000-0000-000058150000}"/>
    <cellStyle name="40% - Accent3 2 2 2 2 3 2 3" xfId="25178" xr:uid="{00000000-0005-0000-0000-000059150000}"/>
    <cellStyle name="40% - Accent3 2 2 2 2 3 3" xfId="11099" xr:uid="{00000000-0005-0000-0000-00005A150000}"/>
    <cellStyle name="40% - Accent3 2 2 2 2 3 4" xfId="20423" xr:uid="{00000000-0005-0000-0000-00005B150000}"/>
    <cellStyle name="40% - Accent3 2 2 2 2 4" xfId="3318" xr:uid="{00000000-0005-0000-0000-00005C150000}"/>
    <cellStyle name="40% - Accent3 2 2 2 2 4 2" xfId="7997" xr:uid="{00000000-0005-0000-0000-00005D150000}"/>
    <cellStyle name="40% - Accent3 2 2 2 2 4 2 2" xfId="17321" xr:uid="{00000000-0005-0000-0000-00005E150000}"/>
    <cellStyle name="40% - Accent3 2 2 2 2 4 2 3" xfId="26644" xr:uid="{00000000-0005-0000-0000-00005F150000}"/>
    <cellStyle name="40% - Accent3 2 2 2 2 4 3" xfId="12704" xr:uid="{00000000-0005-0000-0000-000060150000}"/>
    <cellStyle name="40% - Accent3 2 2 2 2 4 4" xfId="22030" xr:uid="{00000000-0005-0000-0000-000061150000}"/>
    <cellStyle name="40% - Accent3 2 2 2 2 5" xfId="4984" xr:uid="{00000000-0005-0000-0000-000062150000}"/>
    <cellStyle name="40% - Accent3 2 2 2 2 5 2" xfId="14308" xr:uid="{00000000-0005-0000-0000-000063150000}"/>
    <cellStyle name="40% - Accent3 2 2 2 2 5 3" xfId="23631" xr:uid="{00000000-0005-0000-0000-000064150000}"/>
    <cellStyle name="40% - Accent3 2 2 2 2 6" xfId="7062" xr:uid="{00000000-0005-0000-0000-000065150000}"/>
    <cellStyle name="40% - Accent3 2 2 2 2 6 2" xfId="16386" xr:uid="{00000000-0005-0000-0000-000066150000}"/>
    <cellStyle name="40% - Accent3 2 2 2 2 6 3" xfId="25709" xr:uid="{00000000-0005-0000-0000-000067150000}"/>
    <cellStyle name="40% - Accent3 2 2 2 2 7" xfId="9702" xr:uid="{00000000-0005-0000-0000-000068150000}"/>
    <cellStyle name="40% - Accent3 2 2 2 2 7 2" xfId="19026" xr:uid="{00000000-0005-0000-0000-000069150000}"/>
    <cellStyle name="40% - Accent3 2 2 2 2 7 3" xfId="28349" xr:uid="{00000000-0005-0000-0000-00006A150000}"/>
    <cellStyle name="40% - Accent3 2 2 2 2 8" xfId="10196" xr:uid="{00000000-0005-0000-0000-00006B150000}"/>
    <cellStyle name="40% - Accent3 2 2 2 2 9" xfId="19520" xr:uid="{00000000-0005-0000-0000-00006C150000}"/>
    <cellStyle name="40% - Accent3 2 2 2 3" xfId="839" xr:uid="{00000000-0005-0000-0000-00006D150000}"/>
    <cellStyle name="40% - Accent3 2 2 2 3 2" xfId="6915" xr:uid="{00000000-0005-0000-0000-00006E150000}"/>
    <cellStyle name="40% - Accent3 2 2 2 3 2 2" xfId="16239" xr:uid="{00000000-0005-0000-0000-00006F150000}"/>
    <cellStyle name="40% - Accent3 2 2 2 3 2 3" xfId="25562" xr:uid="{00000000-0005-0000-0000-000070150000}"/>
    <cellStyle name="40% - Accent3 2 2 2 3 3" xfId="10440" xr:uid="{00000000-0005-0000-0000-000071150000}"/>
    <cellStyle name="40% - Accent3 2 2 2 3 4" xfId="19764" xr:uid="{00000000-0005-0000-0000-000072150000}"/>
    <cellStyle name="40% - Accent3 2 2 2 4" xfId="1530" xr:uid="{00000000-0005-0000-0000-000073150000}"/>
    <cellStyle name="40% - Accent3 2 2 2 4 2" xfId="6275" xr:uid="{00000000-0005-0000-0000-000074150000}"/>
    <cellStyle name="40% - Accent3 2 2 2 4 2 2" xfId="15599" xr:uid="{00000000-0005-0000-0000-000075150000}"/>
    <cellStyle name="40% - Accent3 2 2 2 4 2 3" xfId="24922" xr:uid="{00000000-0005-0000-0000-000076150000}"/>
    <cellStyle name="40% - Accent3 2 2 2 4 3" xfId="11098" xr:uid="{00000000-0005-0000-0000-000077150000}"/>
    <cellStyle name="40% - Accent3 2 2 2 4 4" xfId="20422" xr:uid="{00000000-0005-0000-0000-000078150000}"/>
    <cellStyle name="40% - Accent3 2 2 2 5" xfId="3317" xr:uid="{00000000-0005-0000-0000-000079150000}"/>
    <cellStyle name="40% - Accent3 2 2 2 5 2" xfId="7996" xr:uid="{00000000-0005-0000-0000-00007A150000}"/>
    <cellStyle name="40% - Accent3 2 2 2 5 2 2" xfId="17320" xr:uid="{00000000-0005-0000-0000-00007B150000}"/>
    <cellStyle name="40% - Accent3 2 2 2 5 2 3" xfId="26643" xr:uid="{00000000-0005-0000-0000-00007C150000}"/>
    <cellStyle name="40% - Accent3 2 2 2 5 3" xfId="12703" xr:uid="{00000000-0005-0000-0000-00007D150000}"/>
    <cellStyle name="40% - Accent3 2 2 2 5 4" xfId="22029" xr:uid="{00000000-0005-0000-0000-00007E150000}"/>
    <cellStyle name="40% - Accent3 2 2 2 6" xfId="4983" xr:uid="{00000000-0005-0000-0000-00007F150000}"/>
    <cellStyle name="40% - Accent3 2 2 2 6 2" xfId="14307" xr:uid="{00000000-0005-0000-0000-000080150000}"/>
    <cellStyle name="40% - Accent3 2 2 2 6 3" xfId="23630" xr:uid="{00000000-0005-0000-0000-000081150000}"/>
    <cellStyle name="40% - Accent3 2 2 2 7" xfId="7199" xr:uid="{00000000-0005-0000-0000-000082150000}"/>
    <cellStyle name="40% - Accent3 2 2 2 7 2" xfId="16523" xr:uid="{00000000-0005-0000-0000-000083150000}"/>
    <cellStyle name="40% - Accent3 2 2 2 7 3" xfId="25846" xr:uid="{00000000-0005-0000-0000-000084150000}"/>
    <cellStyle name="40% - Accent3 2 2 2 8" xfId="9462" xr:uid="{00000000-0005-0000-0000-000085150000}"/>
    <cellStyle name="40% - Accent3 2 2 2 8 2" xfId="18786" xr:uid="{00000000-0005-0000-0000-000086150000}"/>
    <cellStyle name="40% - Accent3 2 2 2 8 3" xfId="28109" xr:uid="{00000000-0005-0000-0000-000087150000}"/>
    <cellStyle name="40% - Accent3 2 2 2 9" xfId="9956" xr:uid="{00000000-0005-0000-0000-000088150000}"/>
    <cellStyle name="40% - Accent3 2 2 3" xfId="469" xr:uid="{00000000-0005-0000-0000-000089150000}"/>
    <cellStyle name="40% - Accent3 2 2 3 2" xfId="957" xr:uid="{00000000-0005-0000-0000-00008A150000}"/>
    <cellStyle name="40% - Accent3 2 2 3 2 2" xfId="6822" xr:uid="{00000000-0005-0000-0000-00008B150000}"/>
    <cellStyle name="40% - Accent3 2 2 3 2 2 2" xfId="16146" xr:uid="{00000000-0005-0000-0000-00008C150000}"/>
    <cellStyle name="40% - Accent3 2 2 3 2 2 3" xfId="25469" xr:uid="{00000000-0005-0000-0000-00008D150000}"/>
    <cellStyle name="40% - Accent3 2 2 3 2 3" xfId="10558" xr:uid="{00000000-0005-0000-0000-00008E150000}"/>
    <cellStyle name="40% - Accent3 2 2 3 2 4" xfId="19882" xr:uid="{00000000-0005-0000-0000-00008F150000}"/>
    <cellStyle name="40% - Accent3 2 2 3 3" xfId="1532" xr:uid="{00000000-0005-0000-0000-000090150000}"/>
    <cellStyle name="40% - Accent3 2 2 3 3 2" xfId="6530" xr:uid="{00000000-0005-0000-0000-000091150000}"/>
    <cellStyle name="40% - Accent3 2 2 3 3 2 2" xfId="15854" xr:uid="{00000000-0005-0000-0000-000092150000}"/>
    <cellStyle name="40% - Accent3 2 2 3 3 2 3" xfId="25177" xr:uid="{00000000-0005-0000-0000-000093150000}"/>
    <cellStyle name="40% - Accent3 2 2 3 3 3" xfId="11100" xr:uid="{00000000-0005-0000-0000-000094150000}"/>
    <cellStyle name="40% - Accent3 2 2 3 3 4" xfId="20424" xr:uid="{00000000-0005-0000-0000-000095150000}"/>
    <cellStyle name="40% - Accent3 2 2 3 4" xfId="3319" xr:uid="{00000000-0005-0000-0000-000096150000}"/>
    <cellStyle name="40% - Accent3 2 2 3 4 2" xfId="7998" xr:uid="{00000000-0005-0000-0000-000097150000}"/>
    <cellStyle name="40% - Accent3 2 2 3 4 2 2" xfId="17322" xr:uid="{00000000-0005-0000-0000-000098150000}"/>
    <cellStyle name="40% - Accent3 2 2 3 4 2 3" xfId="26645" xr:uid="{00000000-0005-0000-0000-000099150000}"/>
    <cellStyle name="40% - Accent3 2 2 3 4 3" xfId="12705" xr:uid="{00000000-0005-0000-0000-00009A150000}"/>
    <cellStyle name="40% - Accent3 2 2 3 4 4" xfId="22031" xr:uid="{00000000-0005-0000-0000-00009B150000}"/>
    <cellStyle name="40% - Accent3 2 2 3 5" xfId="4985" xr:uid="{00000000-0005-0000-0000-00009C150000}"/>
    <cellStyle name="40% - Accent3 2 2 3 5 2" xfId="14309" xr:uid="{00000000-0005-0000-0000-00009D150000}"/>
    <cellStyle name="40% - Accent3 2 2 3 5 3" xfId="23632" xr:uid="{00000000-0005-0000-0000-00009E150000}"/>
    <cellStyle name="40% - Accent3 2 2 3 6" xfId="7134" xr:uid="{00000000-0005-0000-0000-00009F150000}"/>
    <cellStyle name="40% - Accent3 2 2 3 6 2" xfId="16458" xr:uid="{00000000-0005-0000-0000-0000A0150000}"/>
    <cellStyle name="40% - Accent3 2 2 3 6 3" xfId="25781" xr:uid="{00000000-0005-0000-0000-0000A1150000}"/>
    <cellStyle name="40% - Accent3 2 2 3 7" xfId="9580" xr:uid="{00000000-0005-0000-0000-0000A2150000}"/>
    <cellStyle name="40% - Accent3 2 2 3 7 2" xfId="18904" xr:uid="{00000000-0005-0000-0000-0000A3150000}"/>
    <cellStyle name="40% - Accent3 2 2 3 7 3" xfId="28227" xr:uid="{00000000-0005-0000-0000-0000A4150000}"/>
    <cellStyle name="40% - Accent3 2 2 3 8" xfId="10074" xr:uid="{00000000-0005-0000-0000-0000A5150000}"/>
    <cellStyle name="40% - Accent3 2 2 3 9" xfId="19398" xr:uid="{00000000-0005-0000-0000-0000A6150000}"/>
    <cellStyle name="40% - Accent3 2 2 4" xfId="717" xr:uid="{00000000-0005-0000-0000-0000A7150000}"/>
    <cellStyle name="40% - Accent3 2 2 4 2" xfId="6998" xr:uid="{00000000-0005-0000-0000-0000A8150000}"/>
    <cellStyle name="40% - Accent3 2 2 4 2 2" xfId="16322" xr:uid="{00000000-0005-0000-0000-0000A9150000}"/>
    <cellStyle name="40% - Accent3 2 2 4 2 3" xfId="25645" xr:uid="{00000000-0005-0000-0000-0000AA150000}"/>
    <cellStyle name="40% - Accent3 2 2 4 3" xfId="10318" xr:uid="{00000000-0005-0000-0000-0000AB150000}"/>
    <cellStyle name="40% - Accent3 2 2 4 4" xfId="19642" xr:uid="{00000000-0005-0000-0000-0000AC150000}"/>
    <cellStyle name="40% - Accent3 2 2 5" xfId="1529" xr:uid="{00000000-0005-0000-0000-0000AD150000}"/>
    <cellStyle name="40% - Accent3 2 2 5 2" xfId="6532" xr:uid="{00000000-0005-0000-0000-0000AE150000}"/>
    <cellStyle name="40% - Accent3 2 2 5 2 2" xfId="15856" xr:uid="{00000000-0005-0000-0000-0000AF150000}"/>
    <cellStyle name="40% - Accent3 2 2 5 2 3" xfId="25179" xr:uid="{00000000-0005-0000-0000-0000B0150000}"/>
    <cellStyle name="40% - Accent3 2 2 5 3" xfId="11097" xr:uid="{00000000-0005-0000-0000-0000B1150000}"/>
    <cellStyle name="40% - Accent3 2 2 5 4" xfId="20421" xr:uid="{00000000-0005-0000-0000-0000B2150000}"/>
    <cellStyle name="40% - Accent3 2 2 6" xfId="3316" xr:uid="{00000000-0005-0000-0000-0000B3150000}"/>
    <cellStyle name="40% - Accent3 2 2 6 2" xfId="7995" xr:uid="{00000000-0005-0000-0000-0000B4150000}"/>
    <cellStyle name="40% - Accent3 2 2 6 2 2" xfId="17319" xr:uid="{00000000-0005-0000-0000-0000B5150000}"/>
    <cellStyle name="40% - Accent3 2 2 6 2 3" xfId="26642" xr:uid="{00000000-0005-0000-0000-0000B6150000}"/>
    <cellStyle name="40% - Accent3 2 2 6 3" xfId="12702" xr:uid="{00000000-0005-0000-0000-0000B7150000}"/>
    <cellStyle name="40% - Accent3 2 2 6 4" xfId="22028" xr:uid="{00000000-0005-0000-0000-0000B8150000}"/>
    <cellStyle name="40% - Accent3 2 2 7" xfId="4982" xr:uid="{00000000-0005-0000-0000-0000B9150000}"/>
    <cellStyle name="40% - Accent3 2 2 7 2" xfId="14306" xr:uid="{00000000-0005-0000-0000-0000BA150000}"/>
    <cellStyle name="40% - Accent3 2 2 7 3" xfId="23629" xr:uid="{00000000-0005-0000-0000-0000BB150000}"/>
    <cellStyle name="40% - Accent3 2 2 8" xfId="7266" xr:uid="{00000000-0005-0000-0000-0000BC150000}"/>
    <cellStyle name="40% - Accent3 2 2 8 2" xfId="16590" xr:uid="{00000000-0005-0000-0000-0000BD150000}"/>
    <cellStyle name="40% - Accent3 2 2 8 3" xfId="25913" xr:uid="{00000000-0005-0000-0000-0000BE150000}"/>
    <cellStyle name="40% - Accent3 2 2 9" xfId="9339" xr:uid="{00000000-0005-0000-0000-0000BF150000}"/>
    <cellStyle name="40% - Accent3 2 2 9 2" xfId="18663" xr:uid="{00000000-0005-0000-0000-0000C0150000}"/>
    <cellStyle name="40% - Accent3 2 2 9 3" xfId="27986" xr:uid="{00000000-0005-0000-0000-0000C1150000}"/>
    <cellStyle name="40% - Accent3 2 3" xfId="265" xr:uid="{00000000-0005-0000-0000-0000C2150000}"/>
    <cellStyle name="40% - Accent3 2 3 2" xfId="519" xr:uid="{00000000-0005-0000-0000-0000C3150000}"/>
    <cellStyle name="40% - Accent3 2 3 2 2" xfId="1007" xr:uid="{00000000-0005-0000-0000-0000C4150000}"/>
    <cellStyle name="40% - Accent3 2 3 2 2 2" xfId="6792" xr:uid="{00000000-0005-0000-0000-0000C5150000}"/>
    <cellStyle name="40% - Accent3 2 3 2 2 2 2" xfId="16116" xr:uid="{00000000-0005-0000-0000-0000C6150000}"/>
    <cellStyle name="40% - Accent3 2 3 2 2 2 3" xfId="25439" xr:uid="{00000000-0005-0000-0000-0000C7150000}"/>
    <cellStyle name="40% - Accent3 2 3 2 2 3" xfId="10608" xr:uid="{00000000-0005-0000-0000-0000C8150000}"/>
    <cellStyle name="40% - Accent3 2 3 2 2 4" xfId="19932" xr:uid="{00000000-0005-0000-0000-0000C9150000}"/>
    <cellStyle name="40% - Accent3 2 3 2 3" xfId="1534" xr:uid="{00000000-0005-0000-0000-0000CA150000}"/>
    <cellStyle name="40% - Accent3 2 3 2 3 2" xfId="6330" xr:uid="{00000000-0005-0000-0000-0000CB150000}"/>
    <cellStyle name="40% - Accent3 2 3 2 3 2 2" xfId="15654" xr:uid="{00000000-0005-0000-0000-0000CC150000}"/>
    <cellStyle name="40% - Accent3 2 3 2 3 2 3" xfId="24977" xr:uid="{00000000-0005-0000-0000-0000CD150000}"/>
    <cellStyle name="40% - Accent3 2 3 2 3 3" xfId="11102" xr:uid="{00000000-0005-0000-0000-0000CE150000}"/>
    <cellStyle name="40% - Accent3 2 3 2 3 4" xfId="20426" xr:uid="{00000000-0005-0000-0000-0000CF150000}"/>
    <cellStyle name="40% - Accent3 2 3 2 4" xfId="3321" xr:uid="{00000000-0005-0000-0000-0000D0150000}"/>
    <cellStyle name="40% - Accent3 2 3 2 4 2" xfId="8000" xr:uid="{00000000-0005-0000-0000-0000D1150000}"/>
    <cellStyle name="40% - Accent3 2 3 2 4 2 2" xfId="17324" xr:uid="{00000000-0005-0000-0000-0000D2150000}"/>
    <cellStyle name="40% - Accent3 2 3 2 4 2 3" xfId="26647" xr:uid="{00000000-0005-0000-0000-0000D3150000}"/>
    <cellStyle name="40% - Accent3 2 3 2 4 3" xfId="12707" xr:uid="{00000000-0005-0000-0000-0000D4150000}"/>
    <cellStyle name="40% - Accent3 2 3 2 4 4" xfId="22033" xr:uid="{00000000-0005-0000-0000-0000D5150000}"/>
    <cellStyle name="40% - Accent3 2 3 2 5" xfId="4987" xr:uid="{00000000-0005-0000-0000-0000D6150000}"/>
    <cellStyle name="40% - Accent3 2 3 2 5 2" xfId="14311" xr:uid="{00000000-0005-0000-0000-0000D7150000}"/>
    <cellStyle name="40% - Accent3 2 3 2 5 3" xfId="23634" xr:uid="{00000000-0005-0000-0000-0000D8150000}"/>
    <cellStyle name="40% - Accent3 2 3 2 6" xfId="9630" xr:uid="{00000000-0005-0000-0000-0000D9150000}"/>
    <cellStyle name="40% - Accent3 2 3 2 6 2" xfId="18954" xr:uid="{00000000-0005-0000-0000-0000DA150000}"/>
    <cellStyle name="40% - Accent3 2 3 2 6 3" xfId="28277" xr:uid="{00000000-0005-0000-0000-0000DB150000}"/>
    <cellStyle name="40% - Accent3 2 3 2 7" xfId="10124" xr:uid="{00000000-0005-0000-0000-0000DC150000}"/>
    <cellStyle name="40% - Accent3 2 3 2 8" xfId="19448" xr:uid="{00000000-0005-0000-0000-0000DD150000}"/>
    <cellStyle name="40% - Accent3 2 3 3" xfId="767" xr:uid="{00000000-0005-0000-0000-0000DE150000}"/>
    <cellStyle name="40% - Accent3 2 3 3 2" xfId="6965" xr:uid="{00000000-0005-0000-0000-0000DF150000}"/>
    <cellStyle name="40% - Accent3 2 3 3 2 2" xfId="16289" xr:uid="{00000000-0005-0000-0000-0000E0150000}"/>
    <cellStyle name="40% - Accent3 2 3 3 2 3" xfId="25612" xr:uid="{00000000-0005-0000-0000-0000E1150000}"/>
    <cellStyle name="40% - Accent3 2 3 3 3" xfId="10368" xr:uid="{00000000-0005-0000-0000-0000E2150000}"/>
    <cellStyle name="40% - Accent3 2 3 3 4" xfId="19692" xr:uid="{00000000-0005-0000-0000-0000E3150000}"/>
    <cellStyle name="40% - Accent3 2 3 4" xfId="1533" xr:uid="{00000000-0005-0000-0000-0000E4150000}"/>
    <cellStyle name="40% - Accent3 2 3 4 2" xfId="6529" xr:uid="{00000000-0005-0000-0000-0000E5150000}"/>
    <cellStyle name="40% - Accent3 2 3 4 2 2" xfId="15853" xr:uid="{00000000-0005-0000-0000-0000E6150000}"/>
    <cellStyle name="40% - Accent3 2 3 4 2 3" xfId="25176" xr:uid="{00000000-0005-0000-0000-0000E7150000}"/>
    <cellStyle name="40% - Accent3 2 3 4 3" xfId="11101" xr:uid="{00000000-0005-0000-0000-0000E8150000}"/>
    <cellStyle name="40% - Accent3 2 3 4 4" xfId="20425" xr:uid="{00000000-0005-0000-0000-0000E9150000}"/>
    <cellStyle name="40% - Accent3 2 3 5" xfId="3320" xr:uid="{00000000-0005-0000-0000-0000EA150000}"/>
    <cellStyle name="40% - Accent3 2 3 5 2" xfId="7999" xr:uid="{00000000-0005-0000-0000-0000EB150000}"/>
    <cellStyle name="40% - Accent3 2 3 5 2 2" xfId="17323" xr:uid="{00000000-0005-0000-0000-0000EC150000}"/>
    <cellStyle name="40% - Accent3 2 3 5 2 3" xfId="26646" xr:uid="{00000000-0005-0000-0000-0000ED150000}"/>
    <cellStyle name="40% - Accent3 2 3 5 3" xfId="12706" xr:uid="{00000000-0005-0000-0000-0000EE150000}"/>
    <cellStyle name="40% - Accent3 2 3 5 4" xfId="22032" xr:uid="{00000000-0005-0000-0000-0000EF150000}"/>
    <cellStyle name="40% - Accent3 2 3 6" xfId="4986" xr:uid="{00000000-0005-0000-0000-0000F0150000}"/>
    <cellStyle name="40% - Accent3 2 3 6 2" xfId="14310" xr:uid="{00000000-0005-0000-0000-0000F1150000}"/>
    <cellStyle name="40% - Accent3 2 3 6 3" xfId="23633" xr:uid="{00000000-0005-0000-0000-0000F2150000}"/>
    <cellStyle name="40% - Accent3 2 3 7" xfId="9389" xr:uid="{00000000-0005-0000-0000-0000F3150000}"/>
    <cellStyle name="40% - Accent3 2 3 7 2" xfId="18713" xr:uid="{00000000-0005-0000-0000-0000F4150000}"/>
    <cellStyle name="40% - Accent3 2 3 7 3" xfId="28036" xr:uid="{00000000-0005-0000-0000-0000F5150000}"/>
    <cellStyle name="40% - Accent3 2 3 8" xfId="9883" xr:uid="{00000000-0005-0000-0000-0000F6150000}"/>
    <cellStyle name="40% - Accent3 2 3 9" xfId="19207" xr:uid="{00000000-0005-0000-0000-0000F7150000}"/>
    <cellStyle name="40% - Accent3 2 4" xfId="410" xr:uid="{00000000-0005-0000-0000-0000F8150000}"/>
    <cellStyle name="40% - Accent3 2 4 2" xfId="898" xr:uid="{00000000-0005-0000-0000-0000F9150000}"/>
    <cellStyle name="40% - Accent3 2 4 2 2" xfId="6866" xr:uid="{00000000-0005-0000-0000-0000FA150000}"/>
    <cellStyle name="40% - Accent3 2 4 2 2 2" xfId="16190" xr:uid="{00000000-0005-0000-0000-0000FB150000}"/>
    <cellStyle name="40% - Accent3 2 4 2 2 3" xfId="25513" xr:uid="{00000000-0005-0000-0000-0000FC150000}"/>
    <cellStyle name="40% - Accent3 2 4 2 3" xfId="10499" xr:uid="{00000000-0005-0000-0000-0000FD150000}"/>
    <cellStyle name="40% - Accent3 2 4 2 4" xfId="19823" xr:uid="{00000000-0005-0000-0000-0000FE150000}"/>
    <cellStyle name="40% - Accent3 2 4 3" xfId="1535" xr:uid="{00000000-0005-0000-0000-0000FF150000}"/>
    <cellStyle name="40% - Accent3 2 4 3 2" xfId="6528" xr:uid="{00000000-0005-0000-0000-000000160000}"/>
    <cellStyle name="40% - Accent3 2 4 3 2 2" xfId="15852" xr:uid="{00000000-0005-0000-0000-000001160000}"/>
    <cellStyle name="40% - Accent3 2 4 3 2 3" xfId="25175" xr:uid="{00000000-0005-0000-0000-000002160000}"/>
    <cellStyle name="40% - Accent3 2 4 3 3" xfId="11103" xr:uid="{00000000-0005-0000-0000-000003160000}"/>
    <cellStyle name="40% - Accent3 2 4 3 4" xfId="20427" xr:uid="{00000000-0005-0000-0000-000004160000}"/>
    <cellStyle name="40% - Accent3 2 4 4" xfId="3322" xr:uid="{00000000-0005-0000-0000-000005160000}"/>
    <cellStyle name="40% - Accent3 2 4 4 2" xfId="8001" xr:uid="{00000000-0005-0000-0000-000006160000}"/>
    <cellStyle name="40% - Accent3 2 4 4 2 2" xfId="17325" xr:uid="{00000000-0005-0000-0000-000007160000}"/>
    <cellStyle name="40% - Accent3 2 4 4 2 3" xfId="26648" xr:uid="{00000000-0005-0000-0000-000008160000}"/>
    <cellStyle name="40% - Accent3 2 4 4 3" xfId="12708" xr:uid="{00000000-0005-0000-0000-000009160000}"/>
    <cellStyle name="40% - Accent3 2 4 4 4" xfId="22034" xr:uid="{00000000-0005-0000-0000-00000A160000}"/>
    <cellStyle name="40% - Accent3 2 4 5" xfId="4988" xr:uid="{00000000-0005-0000-0000-00000B160000}"/>
    <cellStyle name="40% - Accent3 2 4 5 2" xfId="14312" xr:uid="{00000000-0005-0000-0000-00000C160000}"/>
    <cellStyle name="40% - Accent3 2 4 5 3" xfId="23635" xr:uid="{00000000-0005-0000-0000-00000D160000}"/>
    <cellStyle name="40% - Accent3 2 4 6" xfId="7172" xr:uid="{00000000-0005-0000-0000-00000E160000}"/>
    <cellStyle name="40% - Accent3 2 4 6 2" xfId="16496" xr:uid="{00000000-0005-0000-0000-00000F160000}"/>
    <cellStyle name="40% - Accent3 2 4 6 3" xfId="25819" xr:uid="{00000000-0005-0000-0000-000010160000}"/>
    <cellStyle name="40% - Accent3 2 4 7" xfId="9521" xr:uid="{00000000-0005-0000-0000-000011160000}"/>
    <cellStyle name="40% - Accent3 2 4 7 2" xfId="18845" xr:uid="{00000000-0005-0000-0000-000012160000}"/>
    <cellStyle name="40% - Accent3 2 4 7 3" xfId="28168" xr:uid="{00000000-0005-0000-0000-000013160000}"/>
    <cellStyle name="40% - Accent3 2 4 8" xfId="10015" xr:uid="{00000000-0005-0000-0000-000014160000}"/>
    <cellStyle name="40% - Accent3 2 4 9" xfId="19339" xr:uid="{00000000-0005-0000-0000-000015160000}"/>
    <cellStyle name="40% - Accent3 2 5" xfId="658" xr:uid="{00000000-0005-0000-0000-000016160000}"/>
    <cellStyle name="40% - Accent3 2 5 2" xfId="1536" xr:uid="{00000000-0005-0000-0000-000017160000}"/>
    <cellStyle name="40% - Accent3 2 5 2 2" xfId="6527" xr:uid="{00000000-0005-0000-0000-000018160000}"/>
    <cellStyle name="40% - Accent3 2 5 2 2 2" xfId="15851" xr:uid="{00000000-0005-0000-0000-000019160000}"/>
    <cellStyle name="40% - Accent3 2 5 2 2 3" xfId="25174" xr:uid="{00000000-0005-0000-0000-00001A160000}"/>
    <cellStyle name="40% - Accent3 2 5 2 3" xfId="11104" xr:uid="{00000000-0005-0000-0000-00001B160000}"/>
    <cellStyle name="40% - Accent3 2 5 2 4" xfId="20428" xr:uid="{00000000-0005-0000-0000-00001C160000}"/>
    <cellStyle name="40% - Accent3 2 5 3" xfId="3323" xr:uid="{00000000-0005-0000-0000-00001D160000}"/>
    <cellStyle name="40% - Accent3 2 5 3 2" xfId="8002" xr:uid="{00000000-0005-0000-0000-00001E160000}"/>
    <cellStyle name="40% - Accent3 2 5 3 2 2" xfId="17326" xr:uid="{00000000-0005-0000-0000-00001F160000}"/>
    <cellStyle name="40% - Accent3 2 5 3 2 3" xfId="26649" xr:uid="{00000000-0005-0000-0000-000020160000}"/>
    <cellStyle name="40% - Accent3 2 5 3 3" xfId="12709" xr:uid="{00000000-0005-0000-0000-000021160000}"/>
    <cellStyle name="40% - Accent3 2 5 3 4" xfId="22035" xr:uid="{00000000-0005-0000-0000-000022160000}"/>
    <cellStyle name="40% - Accent3 2 5 4" xfId="4989" xr:uid="{00000000-0005-0000-0000-000023160000}"/>
    <cellStyle name="40% - Accent3 2 5 4 2" xfId="14313" xr:uid="{00000000-0005-0000-0000-000024160000}"/>
    <cellStyle name="40% - Accent3 2 5 4 3" xfId="23636" xr:uid="{00000000-0005-0000-0000-000025160000}"/>
    <cellStyle name="40% - Accent3 2 5 5" xfId="10259" xr:uid="{00000000-0005-0000-0000-000026160000}"/>
    <cellStyle name="40% - Accent3 2 5 6" xfId="19583" xr:uid="{00000000-0005-0000-0000-000027160000}"/>
    <cellStyle name="40% - Accent3 2 6" xfId="1537" xr:uid="{00000000-0005-0000-0000-000028160000}"/>
    <cellStyle name="40% - Accent3 2 6 2" xfId="3324" xr:uid="{00000000-0005-0000-0000-000029160000}"/>
    <cellStyle name="40% - Accent3 2 6 2 2" xfId="8003" xr:uid="{00000000-0005-0000-0000-00002A160000}"/>
    <cellStyle name="40% - Accent3 2 6 2 2 2" xfId="17327" xr:uid="{00000000-0005-0000-0000-00002B160000}"/>
    <cellStyle name="40% - Accent3 2 6 2 2 3" xfId="26650" xr:uid="{00000000-0005-0000-0000-00002C160000}"/>
    <cellStyle name="40% - Accent3 2 6 2 3" xfId="12710" xr:uid="{00000000-0005-0000-0000-00002D160000}"/>
    <cellStyle name="40% - Accent3 2 6 2 4" xfId="22036" xr:uid="{00000000-0005-0000-0000-00002E160000}"/>
    <cellStyle name="40% - Accent3 2 6 3" xfId="4990" xr:uid="{00000000-0005-0000-0000-00002F160000}"/>
    <cellStyle name="40% - Accent3 2 6 3 2" xfId="14314" xr:uid="{00000000-0005-0000-0000-000030160000}"/>
    <cellStyle name="40% - Accent3 2 6 3 3" xfId="23637" xr:uid="{00000000-0005-0000-0000-000031160000}"/>
    <cellStyle name="40% - Accent3 2 6 4" xfId="11105" xr:uid="{00000000-0005-0000-0000-000032160000}"/>
    <cellStyle name="40% - Accent3 2 6 5" xfId="20429" xr:uid="{00000000-0005-0000-0000-000033160000}"/>
    <cellStyle name="40% - Accent3 2 7" xfId="1528" xr:uid="{00000000-0005-0000-0000-000034160000}"/>
    <cellStyle name="40% - Accent3 2 7 2" xfId="3315" xr:uid="{00000000-0005-0000-0000-000035160000}"/>
    <cellStyle name="40% - Accent3 2 7 2 2" xfId="7994" xr:uid="{00000000-0005-0000-0000-000036160000}"/>
    <cellStyle name="40% - Accent3 2 7 2 2 2" xfId="17318" xr:uid="{00000000-0005-0000-0000-000037160000}"/>
    <cellStyle name="40% - Accent3 2 7 2 2 3" xfId="26641" xr:uid="{00000000-0005-0000-0000-000038160000}"/>
    <cellStyle name="40% - Accent3 2 7 2 3" xfId="12701" xr:uid="{00000000-0005-0000-0000-000039160000}"/>
    <cellStyle name="40% - Accent3 2 7 2 4" xfId="22027" xr:uid="{00000000-0005-0000-0000-00003A160000}"/>
    <cellStyle name="40% - Accent3 2 7 3" xfId="4981" xr:uid="{00000000-0005-0000-0000-00003B160000}"/>
    <cellStyle name="40% - Accent3 2 7 3 2" xfId="14305" xr:uid="{00000000-0005-0000-0000-00003C160000}"/>
    <cellStyle name="40% - Accent3 2 7 3 3" xfId="23628" xr:uid="{00000000-0005-0000-0000-00003D160000}"/>
    <cellStyle name="40% - Accent3 2 7 4" xfId="11096" xr:uid="{00000000-0005-0000-0000-00003E160000}"/>
    <cellStyle name="40% - Accent3 2 7 5" xfId="20420" xr:uid="{00000000-0005-0000-0000-00003F160000}"/>
    <cellStyle name="40% - Accent3 2 8" xfId="1142" xr:uid="{00000000-0005-0000-0000-000040160000}"/>
    <cellStyle name="40% - Accent3 2 8 2" xfId="6707" xr:uid="{00000000-0005-0000-0000-000041160000}"/>
    <cellStyle name="40% - Accent3 2 8 2 2" xfId="16031" xr:uid="{00000000-0005-0000-0000-000042160000}"/>
    <cellStyle name="40% - Accent3 2 8 2 3" xfId="25354" xr:uid="{00000000-0005-0000-0000-000043160000}"/>
    <cellStyle name="40% - Accent3 2 8 3" xfId="10741" xr:uid="{00000000-0005-0000-0000-000044160000}"/>
    <cellStyle name="40% - Accent3 2 8 4" xfId="20065" xr:uid="{00000000-0005-0000-0000-000045160000}"/>
    <cellStyle name="40% - Accent3 2 9" xfId="2960" xr:uid="{00000000-0005-0000-0000-000046160000}"/>
    <cellStyle name="40% - Accent3 2 9 2" xfId="7639" xr:uid="{00000000-0005-0000-0000-000047160000}"/>
    <cellStyle name="40% - Accent3 2 9 2 2" xfId="16963" xr:uid="{00000000-0005-0000-0000-000048160000}"/>
    <cellStyle name="40% - Accent3 2 9 2 3" xfId="26286" xr:uid="{00000000-0005-0000-0000-000049160000}"/>
    <cellStyle name="40% - Accent3 2 9 3" xfId="12361" xr:uid="{00000000-0005-0000-0000-00004A160000}"/>
    <cellStyle name="40% - Accent3 2 9 4" xfId="21687" xr:uid="{00000000-0005-0000-0000-00004B160000}"/>
    <cellStyle name="40% - Accent3 3" xfId="74" xr:uid="{00000000-0005-0000-0000-00004C160000}"/>
    <cellStyle name="40% - Accent3 3 10" xfId="9268" xr:uid="{00000000-0005-0000-0000-00004D160000}"/>
    <cellStyle name="40% - Accent3 3 10 2" xfId="18592" xr:uid="{00000000-0005-0000-0000-00004E160000}"/>
    <cellStyle name="40% - Accent3 3 10 3" xfId="27915" xr:uid="{00000000-0005-0000-0000-00004F160000}"/>
    <cellStyle name="40% - Accent3 3 11" xfId="9762" xr:uid="{00000000-0005-0000-0000-000050160000}"/>
    <cellStyle name="40% - Accent3 3 12" xfId="19086" xr:uid="{00000000-0005-0000-0000-000051160000}"/>
    <cellStyle name="40% - Accent3 3 13" xfId="28873" xr:uid="{00000000-0005-0000-0000-000052160000}"/>
    <cellStyle name="40% - Accent3 3 2" xfId="212" xr:uid="{00000000-0005-0000-0000-000053160000}"/>
    <cellStyle name="40% - Accent3 3 2 10" xfId="9834" xr:uid="{00000000-0005-0000-0000-000054160000}"/>
    <cellStyle name="40% - Accent3 3 2 11" xfId="19158" xr:uid="{00000000-0005-0000-0000-000055160000}"/>
    <cellStyle name="40% - Accent3 3 2 2" xfId="352" xr:uid="{00000000-0005-0000-0000-000056160000}"/>
    <cellStyle name="40% - Accent3 3 2 2 10" xfId="19281" xr:uid="{00000000-0005-0000-0000-000057160000}"/>
    <cellStyle name="40% - Accent3 3 2 2 2" xfId="592" xr:uid="{00000000-0005-0000-0000-000058160000}"/>
    <cellStyle name="40% - Accent3 3 2 2 2 2" xfId="1080" xr:uid="{00000000-0005-0000-0000-000059160000}"/>
    <cellStyle name="40% - Accent3 3 2 2 2 2 2" xfId="6318" xr:uid="{00000000-0005-0000-0000-00005A160000}"/>
    <cellStyle name="40% - Accent3 3 2 2 2 2 2 2" xfId="15642" xr:uid="{00000000-0005-0000-0000-00005B160000}"/>
    <cellStyle name="40% - Accent3 3 2 2 2 2 2 3" xfId="24965" xr:uid="{00000000-0005-0000-0000-00005C160000}"/>
    <cellStyle name="40% - Accent3 3 2 2 2 2 3" xfId="10681" xr:uid="{00000000-0005-0000-0000-00005D160000}"/>
    <cellStyle name="40% - Accent3 3 2 2 2 2 4" xfId="20005" xr:uid="{00000000-0005-0000-0000-00005E160000}"/>
    <cellStyle name="40% - Accent3 3 2 2 2 3" xfId="7061" xr:uid="{00000000-0005-0000-0000-00005F160000}"/>
    <cellStyle name="40% - Accent3 3 2 2 2 3 2" xfId="16385" xr:uid="{00000000-0005-0000-0000-000060160000}"/>
    <cellStyle name="40% - Accent3 3 2 2 2 3 3" xfId="25708" xr:uid="{00000000-0005-0000-0000-000061160000}"/>
    <cellStyle name="40% - Accent3 3 2 2 2 4" xfId="9703" xr:uid="{00000000-0005-0000-0000-000062160000}"/>
    <cellStyle name="40% - Accent3 3 2 2 2 4 2" xfId="19027" xr:uid="{00000000-0005-0000-0000-000063160000}"/>
    <cellStyle name="40% - Accent3 3 2 2 2 4 3" xfId="28350" xr:uid="{00000000-0005-0000-0000-000064160000}"/>
    <cellStyle name="40% - Accent3 3 2 2 2 5" xfId="10197" xr:uid="{00000000-0005-0000-0000-000065160000}"/>
    <cellStyle name="40% - Accent3 3 2 2 2 6" xfId="19521" xr:uid="{00000000-0005-0000-0000-000066160000}"/>
    <cellStyle name="40% - Accent3 3 2 2 3" xfId="840" xr:uid="{00000000-0005-0000-0000-000067160000}"/>
    <cellStyle name="40% - Accent3 3 2 2 3 2" xfId="7350" xr:uid="{00000000-0005-0000-0000-000068160000}"/>
    <cellStyle name="40% - Accent3 3 2 2 3 2 2" xfId="16674" xr:uid="{00000000-0005-0000-0000-000069160000}"/>
    <cellStyle name="40% - Accent3 3 2 2 3 2 3" xfId="25997" xr:uid="{00000000-0005-0000-0000-00006A160000}"/>
    <cellStyle name="40% - Accent3 3 2 2 3 3" xfId="10441" xr:uid="{00000000-0005-0000-0000-00006B160000}"/>
    <cellStyle name="40% - Accent3 3 2 2 3 4" xfId="19765" xr:uid="{00000000-0005-0000-0000-00006C160000}"/>
    <cellStyle name="40% - Accent3 3 2 2 4" xfId="1540" xr:uid="{00000000-0005-0000-0000-00006D160000}"/>
    <cellStyle name="40% - Accent3 3 2 2 4 2" xfId="6525" xr:uid="{00000000-0005-0000-0000-00006E160000}"/>
    <cellStyle name="40% - Accent3 3 2 2 4 2 2" xfId="15849" xr:uid="{00000000-0005-0000-0000-00006F160000}"/>
    <cellStyle name="40% - Accent3 3 2 2 4 2 3" xfId="25172" xr:uid="{00000000-0005-0000-0000-000070160000}"/>
    <cellStyle name="40% - Accent3 3 2 2 4 3" xfId="11108" xr:uid="{00000000-0005-0000-0000-000071160000}"/>
    <cellStyle name="40% - Accent3 3 2 2 4 4" xfId="20432" xr:uid="{00000000-0005-0000-0000-000072160000}"/>
    <cellStyle name="40% - Accent3 3 2 2 5" xfId="3327" xr:uid="{00000000-0005-0000-0000-000073160000}"/>
    <cellStyle name="40% - Accent3 3 2 2 5 2" xfId="8006" xr:uid="{00000000-0005-0000-0000-000074160000}"/>
    <cellStyle name="40% - Accent3 3 2 2 5 2 2" xfId="17330" xr:uid="{00000000-0005-0000-0000-000075160000}"/>
    <cellStyle name="40% - Accent3 3 2 2 5 2 3" xfId="26653" xr:uid="{00000000-0005-0000-0000-000076160000}"/>
    <cellStyle name="40% - Accent3 3 2 2 5 3" xfId="12713" xr:uid="{00000000-0005-0000-0000-000077160000}"/>
    <cellStyle name="40% - Accent3 3 2 2 5 4" xfId="22039" xr:uid="{00000000-0005-0000-0000-000078160000}"/>
    <cellStyle name="40% - Accent3 3 2 2 6" xfId="4993" xr:uid="{00000000-0005-0000-0000-000079160000}"/>
    <cellStyle name="40% - Accent3 3 2 2 6 2" xfId="14317" xr:uid="{00000000-0005-0000-0000-00007A160000}"/>
    <cellStyle name="40% - Accent3 3 2 2 6 3" xfId="23640" xr:uid="{00000000-0005-0000-0000-00007B160000}"/>
    <cellStyle name="40% - Accent3 3 2 2 7" xfId="7198" xr:uid="{00000000-0005-0000-0000-00007C160000}"/>
    <cellStyle name="40% - Accent3 3 2 2 7 2" xfId="16522" xr:uid="{00000000-0005-0000-0000-00007D160000}"/>
    <cellStyle name="40% - Accent3 3 2 2 7 3" xfId="25845" xr:uid="{00000000-0005-0000-0000-00007E160000}"/>
    <cellStyle name="40% - Accent3 3 2 2 8" xfId="9463" xr:uid="{00000000-0005-0000-0000-00007F160000}"/>
    <cellStyle name="40% - Accent3 3 2 2 8 2" xfId="18787" xr:uid="{00000000-0005-0000-0000-000080160000}"/>
    <cellStyle name="40% - Accent3 3 2 2 8 3" xfId="28110" xr:uid="{00000000-0005-0000-0000-000081160000}"/>
    <cellStyle name="40% - Accent3 3 2 2 9" xfId="9957" xr:uid="{00000000-0005-0000-0000-000082160000}"/>
    <cellStyle name="40% - Accent3 3 2 3" xfId="470" xr:uid="{00000000-0005-0000-0000-000083160000}"/>
    <cellStyle name="40% - Accent3 3 2 3 2" xfId="958" xr:uid="{00000000-0005-0000-0000-000084160000}"/>
    <cellStyle name="40% - Accent3 3 2 3 2 2" xfId="6821" xr:uid="{00000000-0005-0000-0000-000085160000}"/>
    <cellStyle name="40% - Accent3 3 2 3 2 2 2" xfId="16145" xr:uid="{00000000-0005-0000-0000-000086160000}"/>
    <cellStyle name="40% - Accent3 3 2 3 2 2 3" xfId="25468" xr:uid="{00000000-0005-0000-0000-000087160000}"/>
    <cellStyle name="40% - Accent3 3 2 3 2 3" xfId="10559" xr:uid="{00000000-0005-0000-0000-000088160000}"/>
    <cellStyle name="40% - Accent3 3 2 3 2 4" xfId="19883" xr:uid="{00000000-0005-0000-0000-000089160000}"/>
    <cellStyle name="40% - Accent3 3 2 3 3" xfId="7133" xr:uid="{00000000-0005-0000-0000-00008A160000}"/>
    <cellStyle name="40% - Accent3 3 2 3 3 2" xfId="16457" xr:uid="{00000000-0005-0000-0000-00008B160000}"/>
    <cellStyle name="40% - Accent3 3 2 3 3 3" xfId="25780" xr:uid="{00000000-0005-0000-0000-00008C160000}"/>
    <cellStyle name="40% - Accent3 3 2 3 4" xfId="9581" xr:uid="{00000000-0005-0000-0000-00008D160000}"/>
    <cellStyle name="40% - Accent3 3 2 3 4 2" xfId="18905" xr:uid="{00000000-0005-0000-0000-00008E160000}"/>
    <cellStyle name="40% - Accent3 3 2 3 4 3" xfId="28228" xr:uid="{00000000-0005-0000-0000-00008F160000}"/>
    <cellStyle name="40% - Accent3 3 2 3 5" xfId="10075" xr:uid="{00000000-0005-0000-0000-000090160000}"/>
    <cellStyle name="40% - Accent3 3 2 3 6" xfId="19399" xr:uid="{00000000-0005-0000-0000-000091160000}"/>
    <cellStyle name="40% - Accent3 3 2 4" xfId="718" xr:uid="{00000000-0005-0000-0000-000092160000}"/>
    <cellStyle name="40% - Accent3 3 2 4 2" xfId="6999" xr:uid="{00000000-0005-0000-0000-000093160000}"/>
    <cellStyle name="40% - Accent3 3 2 4 2 2" xfId="16323" xr:uid="{00000000-0005-0000-0000-000094160000}"/>
    <cellStyle name="40% - Accent3 3 2 4 2 3" xfId="25646" xr:uid="{00000000-0005-0000-0000-000095160000}"/>
    <cellStyle name="40% - Accent3 3 2 4 3" xfId="10319" xr:uid="{00000000-0005-0000-0000-000096160000}"/>
    <cellStyle name="40% - Accent3 3 2 4 4" xfId="19643" xr:uid="{00000000-0005-0000-0000-000097160000}"/>
    <cellStyle name="40% - Accent3 3 2 5" xfId="1539" xr:uid="{00000000-0005-0000-0000-000098160000}"/>
    <cellStyle name="40% - Accent3 3 2 5 2" xfId="6526" xr:uid="{00000000-0005-0000-0000-000099160000}"/>
    <cellStyle name="40% - Accent3 3 2 5 2 2" xfId="15850" xr:uid="{00000000-0005-0000-0000-00009A160000}"/>
    <cellStyle name="40% - Accent3 3 2 5 2 3" xfId="25173" xr:uid="{00000000-0005-0000-0000-00009B160000}"/>
    <cellStyle name="40% - Accent3 3 2 5 3" xfId="11107" xr:uid="{00000000-0005-0000-0000-00009C160000}"/>
    <cellStyle name="40% - Accent3 3 2 5 4" xfId="20431" xr:uid="{00000000-0005-0000-0000-00009D160000}"/>
    <cellStyle name="40% - Accent3 3 2 6" xfId="3326" xr:uid="{00000000-0005-0000-0000-00009E160000}"/>
    <cellStyle name="40% - Accent3 3 2 6 2" xfId="8005" xr:uid="{00000000-0005-0000-0000-00009F160000}"/>
    <cellStyle name="40% - Accent3 3 2 6 2 2" xfId="17329" xr:uid="{00000000-0005-0000-0000-0000A0160000}"/>
    <cellStyle name="40% - Accent3 3 2 6 2 3" xfId="26652" xr:uid="{00000000-0005-0000-0000-0000A1160000}"/>
    <cellStyle name="40% - Accent3 3 2 6 3" xfId="12712" xr:uid="{00000000-0005-0000-0000-0000A2160000}"/>
    <cellStyle name="40% - Accent3 3 2 6 4" xfId="22038" xr:uid="{00000000-0005-0000-0000-0000A3160000}"/>
    <cellStyle name="40% - Accent3 3 2 7" xfId="4992" xr:uid="{00000000-0005-0000-0000-0000A4160000}"/>
    <cellStyle name="40% - Accent3 3 2 7 2" xfId="14316" xr:uid="{00000000-0005-0000-0000-0000A5160000}"/>
    <cellStyle name="40% - Accent3 3 2 7 3" xfId="23639" xr:uid="{00000000-0005-0000-0000-0000A6160000}"/>
    <cellStyle name="40% - Accent3 3 2 8" xfId="7265" xr:uid="{00000000-0005-0000-0000-0000A7160000}"/>
    <cellStyle name="40% - Accent3 3 2 8 2" xfId="16589" xr:uid="{00000000-0005-0000-0000-0000A8160000}"/>
    <cellStyle name="40% - Accent3 3 2 8 3" xfId="25912" xr:uid="{00000000-0005-0000-0000-0000A9160000}"/>
    <cellStyle name="40% - Accent3 3 2 9" xfId="9340" xr:uid="{00000000-0005-0000-0000-0000AA160000}"/>
    <cellStyle name="40% - Accent3 3 2 9 2" xfId="18664" xr:uid="{00000000-0005-0000-0000-0000AB160000}"/>
    <cellStyle name="40% - Accent3 3 2 9 3" xfId="27987" xr:uid="{00000000-0005-0000-0000-0000AC160000}"/>
    <cellStyle name="40% - Accent3 3 3" xfId="293" xr:uid="{00000000-0005-0000-0000-0000AD160000}"/>
    <cellStyle name="40% - Accent3 3 3 10" xfId="19227" xr:uid="{00000000-0005-0000-0000-0000AE160000}"/>
    <cellStyle name="40% - Accent3 3 3 2" xfId="539" xr:uid="{00000000-0005-0000-0000-0000AF160000}"/>
    <cellStyle name="40% - Accent3 3 3 2 2" xfId="1027" xr:uid="{00000000-0005-0000-0000-0000B0160000}"/>
    <cellStyle name="40% - Accent3 3 3 2 2 2" xfId="6777" xr:uid="{00000000-0005-0000-0000-0000B1160000}"/>
    <cellStyle name="40% - Accent3 3 3 2 2 2 2" xfId="16101" xr:uid="{00000000-0005-0000-0000-0000B2160000}"/>
    <cellStyle name="40% - Accent3 3 3 2 2 2 3" xfId="25424" xr:uid="{00000000-0005-0000-0000-0000B3160000}"/>
    <cellStyle name="40% - Accent3 3 3 2 2 3" xfId="10628" xr:uid="{00000000-0005-0000-0000-0000B4160000}"/>
    <cellStyle name="40% - Accent3 3 3 2 2 4" xfId="19952" xr:uid="{00000000-0005-0000-0000-0000B5160000}"/>
    <cellStyle name="40% - Accent3 3 3 2 3" xfId="7098" xr:uid="{00000000-0005-0000-0000-0000B6160000}"/>
    <cellStyle name="40% - Accent3 3 3 2 3 2" xfId="16422" xr:uid="{00000000-0005-0000-0000-0000B7160000}"/>
    <cellStyle name="40% - Accent3 3 3 2 3 3" xfId="25745" xr:uid="{00000000-0005-0000-0000-0000B8160000}"/>
    <cellStyle name="40% - Accent3 3 3 2 4" xfId="9650" xr:uid="{00000000-0005-0000-0000-0000B9160000}"/>
    <cellStyle name="40% - Accent3 3 3 2 4 2" xfId="18974" xr:uid="{00000000-0005-0000-0000-0000BA160000}"/>
    <cellStyle name="40% - Accent3 3 3 2 4 3" xfId="28297" xr:uid="{00000000-0005-0000-0000-0000BB160000}"/>
    <cellStyle name="40% - Accent3 3 3 2 5" xfId="10144" xr:uid="{00000000-0005-0000-0000-0000BC160000}"/>
    <cellStyle name="40% - Accent3 3 3 2 6" xfId="19468" xr:uid="{00000000-0005-0000-0000-0000BD160000}"/>
    <cellStyle name="40% - Accent3 3 3 3" xfId="787" xr:uid="{00000000-0005-0000-0000-0000BE160000}"/>
    <cellStyle name="40% - Accent3 3 3 3 2" xfId="6948" xr:uid="{00000000-0005-0000-0000-0000BF160000}"/>
    <cellStyle name="40% - Accent3 3 3 3 2 2" xfId="16272" xr:uid="{00000000-0005-0000-0000-0000C0160000}"/>
    <cellStyle name="40% - Accent3 3 3 3 2 3" xfId="25595" xr:uid="{00000000-0005-0000-0000-0000C1160000}"/>
    <cellStyle name="40% - Accent3 3 3 3 3" xfId="10388" xr:uid="{00000000-0005-0000-0000-0000C2160000}"/>
    <cellStyle name="40% - Accent3 3 3 3 4" xfId="19712" xr:uid="{00000000-0005-0000-0000-0000C3160000}"/>
    <cellStyle name="40% - Accent3 3 3 4" xfId="1541" xr:uid="{00000000-0005-0000-0000-0000C4160000}"/>
    <cellStyle name="40% - Accent3 3 3 4 2" xfId="6524" xr:uid="{00000000-0005-0000-0000-0000C5160000}"/>
    <cellStyle name="40% - Accent3 3 3 4 2 2" xfId="15848" xr:uid="{00000000-0005-0000-0000-0000C6160000}"/>
    <cellStyle name="40% - Accent3 3 3 4 2 3" xfId="25171" xr:uid="{00000000-0005-0000-0000-0000C7160000}"/>
    <cellStyle name="40% - Accent3 3 3 4 3" xfId="11109" xr:uid="{00000000-0005-0000-0000-0000C8160000}"/>
    <cellStyle name="40% - Accent3 3 3 4 4" xfId="20433" xr:uid="{00000000-0005-0000-0000-0000C9160000}"/>
    <cellStyle name="40% - Accent3 3 3 5" xfId="3328" xr:uid="{00000000-0005-0000-0000-0000CA160000}"/>
    <cellStyle name="40% - Accent3 3 3 5 2" xfId="8007" xr:uid="{00000000-0005-0000-0000-0000CB160000}"/>
    <cellStyle name="40% - Accent3 3 3 5 2 2" xfId="17331" xr:uid="{00000000-0005-0000-0000-0000CC160000}"/>
    <cellStyle name="40% - Accent3 3 3 5 2 3" xfId="26654" xr:uid="{00000000-0005-0000-0000-0000CD160000}"/>
    <cellStyle name="40% - Accent3 3 3 5 3" xfId="12714" xr:uid="{00000000-0005-0000-0000-0000CE160000}"/>
    <cellStyle name="40% - Accent3 3 3 5 4" xfId="22040" xr:uid="{00000000-0005-0000-0000-0000CF160000}"/>
    <cellStyle name="40% - Accent3 3 3 6" xfId="4994" xr:uid="{00000000-0005-0000-0000-0000D0160000}"/>
    <cellStyle name="40% - Accent3 3 3 6 2" xfId="14318" xr:uid="{00000000-0005-0000-0000-0000D1160000}"/>
    <cellStyle name="40% - Accent3 3 3 6 3" xfId="23641" xr:uid="{00000000-0005-0000-0000-0000D2160000}"/>
    <cellStyle name="40% - Accent3 3 3 7" xfId="7231" xr:uid="{00000000-0005-0000-0000-0000D3160000}"/>
    <cellStyle name="40% - Accent3 3 3 7 2" xfId="16555" xr:uid="{00000000-0005-0000-0000-0000D4160000}"/>
    <cellStyle name="40% - Accent3 3 3 7 3" xfId="25878" xr:uid="{00000000-0005-0000-0000-0000D5160000}"/>
    <cellStyle name="40% - Accent3 3 3 8" xfId="9409" xr:uid="{00000000-0005-0000-0000-0000D6160000}"/>
    <cellStyle name="40% - Accent3 3 3 8 2" xfId="18733" xr:uid="{00000000-0005-0000-0000-0000D7160000}"/>
    <cellStyle name="40% - Accent3 3 3 8 3" xfId="28056" xr:uid="{00000000-0005-0000-0000-0000D8160000}"/>
    <cellStyle name="40% - Accent3 3 3 9" xfId="9903" xr:uid="{00000000-0005-0000-0000-0000D9160000}"/>
    <cellStyle name="40% - Accent3 3 4" xfId="411" xr:uid="{00000000-0005-0000-0000-0000DA160000}"/>
    <cellStyle name="40% - Accent3 3 4 2" xfId="899" xr:uid="{00000000-0005-0000-0000-0000DB160000}"/>
    <cellStyle name="40% - Accent3 3 4 2 2" xfId="6865" xr:uid="{00000000-0005-0000-0000-0000DC160000}"/>
    <cellStyle name="40% - Accent3 3 4 2 2 2" xfId="16189" xr:uid="{00000000-0005-0000-0000-0000DD160000}"/>
    <cellStyle name="40% - Accent3 3 4 2 2 3" xfId="25512" xr:uid="{00000000-0005-0000-0000-0000DE160000}"/>
    <cellStyle name="40% - Accent3 3 4 2 3" xfId="10500" xr:uid="{00000000-0005-0000-0000-0000DF160000}"/>
    <cellStyle name="40% - Accent3 3 4 2 4" xfId="19824" xr:uid="{00000000-0005-0000-0000-0000E0160000}"/>
    <cellStyle name="40% - Accent3 3 4 3" xfId="1542" xr:uid="{00000000-0005-0000-0000-0000E1160000}"/>
    <cellStyle name="40% - Accent3 3 4 3 2" xfId="4619" xr:uid="{00000000-0005-0000-0000-0000E2160000}"/>
    <cellStyle name="40% - Accent3 3 4 3 2 2" xfId="13943" xr:uid="{00000000-0005-0000-0000-0000E3160000}"/>
    <cellStyle name="40% - Accent3 3 4 3 2 3" xfId="23266" xr:uid="{00000000-0005-0000-0000-0000E4160000}"/>
    <cellStyle name="40% - Accent3 3 4 3 3" xfId="11110" xr:uid="{00000000-0005-0000-0000-0000E5160000}"/>
    <cellStyle name="40% - Accent3 3 4 3 4" xfId="20434" xr:uid="{00000000-0005-0000-0000-0000E6160000}"/>
    <cellStyle name="40% - Accent3 3 4 4" xfId="3329" xr:uid="{00000000-0005-0000-0000-0000E7160000}"/>
    <cellStyle name="40% - Accent3 3 4 4 2" xfId="8008" xr:uid="{00000000-0005-0000-0000-0000E8160000}"/>
    <cellStyle name="40% - Accent3 3 4 4 2 2" xfId="17332" xr:uid="{00000000-0005-0000-0000-0000E9160000}"/>
    <cellStyle name="40% - Accent3 3 4 4 2 3" xfId="26655" xr:uid="{00000000-0005-0000-0000-0000EA160000}"/>
    <cellStyle name="40% - Accent3 3 4 4 3" xfId="12715" xr:uid="{00000000-0005-0000-0000-0000EB160000}"/>
    <cellStyle name="40% - Accent3 3 4 4 4" xfId="22041" xr:uid="{00000000-0005-0000-0000-0000EC160000}"/>
    <cellStyle name="40% - Accent3 3 4 5" xfId="4995" xr:uid="{00000000-0005-0000-0000-0000ED160000}"/>
    <cellStyle name="40% - Accent3 3 4 5 2" xfId="14319" xr:uid="{00000000-0005-0000-0000-0000EE160000}"/>
    <cellStyle name="40% - Accent3 3 4 5 3" xfId="23642" xr:uid="{00000000-0005-0000-0000-0000EF160000}"/>
    <cellStyle name="40% - Accent3 3 4 6" xfId="7171" xr:uid="{00000000-0005-0000-0000-0000F0160000}"/>
    <cellStyle name="40% - Accent3 3 4 6 2" xfId="16495" xr:uid="{00000000-0005-0000-0000-0000F1160000}"/>
    <cellStyle name="40% - Accent3 3 4 6 3" xfId="25818" xr:uid="{00000000-0005-0000-0000-0000F2160000}"/>
    <cellStyle name="40% - Accent3 3 4 7" xfId="9522" xr:uid="{00000000-0005-0000-0000-0000F3160000}"/>
    <cellStyle name="40% - Accent3 3 4 7 2" xfId="18846" xr:uid="{00000000-0005-0000-0000-0000F4160000}"/>
    <cellStyle name="40% - Accent3 3 4 7 3" xfId="28169" xr:uid="{00000000-0005-0000-0000-0000F5160000}"/>
    <cellStyle name="40% - Accent3 3 4 8" xfId="10016" xr:uid="{00000000-0005-0000-0000-0000F6160000}"/>
    <cellStyle name="40% - Accent3 3 4 9" xfId="19340" xr:uid="{00000000-0005-0000-0000-0000F7160000}"/>
    <cellStyle name="40% - Accent3 3 5" xfId="659" xr:uid="{00000000-0005-0000-0000-0000F8160000}"/>
    <cellStyle name="40% - Accent3 3 5 2" xfId="1543" xr:uid="{00000000-0005-0000-0000-0000F9160000}"/>
    <cellStyle name="40% - Accent3 3 5 2 2" xfId="6523" xr:uid="{00000000-0005-0000-0000-0000FA160000}"/>
    <cellStyle name="40% - Accent3 3 5 2 2 2" xfId="15847" xr:uid="{00000000-0005-0000-0000-0000FB160000}"/>
    <cellStyle name="40% - Accent3 3 5 2 2 3" xfId="25170" xr:uid="{00000000-0005-0000-0000-0000FC160000}"/>
    <cellStyle name="40% - Accent3 3 5 2 3" xfId="11111" xr:uid="{00000000-0005-0000-0000-0000FD160000}"/>
    <cellStyle name="40% - Accent3 3 5 2 4" xfId="20435" xr:uid="{00000000-0005-0000-0000-0000FE160000}"/>
    <cellStyle name="40% - Accent3 3 5 3" xfId="3330" xr:uid="{00000000-0005-0000-0000-0000FF160000}"/>
    <cellStyle name="40% - Accent3 3 5 3 2" xfId="8009" xr:uid="{00000000-0005-0000-0000-000000170000}"/>
    <cellStyle name="40% - Accent3 3 5 3 2 2" xfId="17333" xr:uid="{00000000-0005-0000-0000-000001170000}"/>
    <cellStyle name="40% - Accent3 3 5 3 2 3" xfId="26656" xr:uid="{00000000-0005-0000-0000-000002170000}"/>
    <cellStyle name="40% - Accent3 3 5 3 3" xfId="12716" xr:uid="{00000000-0005-0000-0000-000003170000}"/>
    <cellStyle name="40% - Accent3 3 5 3 4" xfId="22042" xr:uid="{00000000-0005-0000-0000-000004170000}"/>
    <cellStyle name="40% - Accent3 3 5 4" xfId="4996" xr:uid="{00000000-0005-0000-0000-000005170000}"/>
    <cellStyle name="40% - Accent3 3 5 4 2" xfId="14320" xr:uid="{00000000-0005-0000-0000-000006170000}"/>
    <cellStyle name="40% - Accent3 3 5 4 3" xfId="23643" xr:uid="{00000000-0005-0000-0000-000007170000}"/>
    <cellStyle name="40% - Accent3 3 5 5" xfId="7037" xr:uid="{00000000-0005-0000-0000-000008170000}"/>
    <cellStyle name="40% - Accent3 3 5 5 2" xfId="16361" xr:uid="{00000000-0005-0000-0000-000009170000}"/>
    <cellStyle name="40% - Accent3 3 5 5 3" xfId="25684" xr:uid="{00000000-0005-0000-0000-00000A170000}"/>
    <cellStyle name="40% - Accent3 3 5 6" xfId="10260" xr:uid="{00000000-0005-0000-0000-00000B170000}"/>
    <cellStyle name="40% - Accent3 3 5 7" xfId="19584" xr:uid="{00000000-0005-0000-0000-00000C170000}"/>
    <cellStyle name="40% - Accent3 3 6" xfId="1538" xr:uid="{00000000-0005-0000-0000-00000D170000}"/>
    <cellStyle name="40% - Accent3 3 6 2" xfId="6269" xr:uid="{00000000-0005-0000-0000-00000E170000}"/>
    <cellStyle name="40% - Accent3 3 6 2 2" xfId="15593" xr:uid="{00000000-0005-0000-0000-00000F170000}"/>
    <cellStyle name="40% - Accent3 3 6 2 3" xfId="24916" xr:uid="{00000000-0005-0000-0000-000010170000}"/>
    <cellStyle name="40% - Accent3 3 6 3" xfId="11106" xr:uid="{00000000-0005-0000-0000-000011170000}"/>
    <cellStyle name="40% - Accent3 3 6 4" xfId="20430" xr:uid="{00000000-0005-0000-0000-000012170000}"/>
    <cellStyle name="40% - Accent3 3 7" xfId="3325" xr:uid="{00000000-0005-0000-0000-000013170000}"/>
    <cellStyle name="40% - Accent3 3 7 2" xfId="8004" xr:uid="{00000000-0005-0000-0000-000014170000}"/>
    <cellStyle name="40% - Accent3 3 7 2 2" xfId="17328" xr:uid="{00000000-0005-0000-0000-000015170000}"/>
    <cellStyle name="40% - Accent3 3 7 2 3" xfId="26651" xr:uid="{00000000-0005-0000-0000-000016170000}"/>
    <cellStyle name="40% - Accent3 3 7 3" xfId="12711" xr:uid="{00000000-0005-0000-0000-000017170000}"/>
    <cellStyle name="40% - Accent3 3 7 4" xfId="22037" xr:uid="{00000000-0005-0000-0000-000018170000}"/>
    <cellStyle name="40% - Accent3 3 8" xfId="4991" xr:uid="{00000000-0005-0000-0000-000019170000}"/>
    <cellStyle name="40% - Accent3 3 8 2" xfId="14315" xr:uid="{00000000-0005-0000-0000-00001A170000}"/>
    <cellStyle name="40% - Accent3 3 8 3" xfId="23638" xr:uid="{00000000-0005-0000-0000-00001B170000}"/>
    <cellStyle name="40% - Accent3 3 9" xfId="7315" xr:uid="{00000000-0005-0000-0000-00001C170000}"/>
    <cellStyle name="40% - Accent3 3 9 2" xfId="16639" xr:uid="{00000000-0005-0000-0000-00001D170000}"/>
    <cellStyle name="40% - Accent3 3 9 3" xfId="25962" xr:uid="{00000000-0005-0000-0000-00001E170000}"/>
    <cellStyle name="40% - Accent3 4" xfId="187" xr:uid="{00000000-0005-0000-0000-00001F170000}"/>
    <cellStyle name="40% - Accent3 4 10" xfId="19133" xr:uid="{00000000-0005-0000-0000-000020170000}"/>
    <cellStyle name="40% - Accent3 4 11" xfId="28927" xr:uid="{00000000-0005-0000-0000-000021170000}"/>
    <cellStyle name="40% - Accent3 4 2" xfId="327" xr:uid="{00000000-0005-0000-0000-000022170000}"/>
    <cellStyle name="40% - Accent3 4 2 2" xfId="567" xr:uid="{00000000-0005-0000-0000-000023170000}"/>
    <cellStyle name="40% - Accent3 4 2 2 2" xfId="1055" xr:uid="{00000000-0005-0000-0000-000024170000}"/>
    <cellStyle name="40% - Accent3 4 2 2 2 2" xfId="6756" xr:uid="{00000000-0005-0000-0000-000025170000}"/>
    <cellStyle name="40% - Accent3 4 2 2 2 2 2" xfId="16080" xr:uid="{00000000-0005-0000-0000-000026170000}"/>
    <cellStyle name="40% - Accent3 4 2 2 2 2 3" xfId="25403" xr:uid="{00000000-0005-0000-0000-000027170000}"/>
    <cellStyle name="40% - Accent3 4 2 2 2 3" xfId="10656" xr:uid="{00000000-0005-0000-0000-000028170000}"/>
    <cellStyle name="40% - Accent3 4 2 2 2 4" xfId="19980" xr:uid="{00000000-0005-0000-0000-000029170000}"/>
    <cellStyle name="40% - Accent3 4 2 2 3" xfId="1546" xr:uid="{00000000-0005-0000-0000-00002A170000}"/>
    <cellStyle name="40% - Accent3 4 2 2 3 2" xfId="6272" xr:uid="{00000000-0005-0000-0000-00002B170000}"/>
    <cellStyle name="40% - Accent3 4 2 2 3 2 2" xfId="15596" xr:uid="{00000000-0005-0000-0000-00002C170000}"/>
    <cellStyle name="40% - Accent3 4 2 2 3 2 3" xfId="24919" xr:uid="{00000000-0005-0000-0000-00002D170000}"/>
    <cellStyle name="40% - Accent3 4 2 2 3 3" xfId="11114" xr:uid="{00000000-0005-0000-0000-00002E170000}"/>
    <cellStyle name="40% - Accent3 4 2 2 3 4" xfId="20438" xr:uid="{00000000-0005-0000-0000-00002F170000}"/>
    <cellStyle name="40% - Accent3 4 2 2 4" xfId="3333" xr:uid="{00000000-0005-0000-0000-000030170000}"/>
    <cellStyle name="40% - Accent3 4 2 2 4 2" xfId="8012" xr:uid="{00000000-0005-0000-0000-000031170000}"/>
    <cellStyle name="40% - Accent3 4 2 2 4 2 2" xfId="17336" xr:uid="{00000000-0005-0000-0000-000032170000}"/>
    <cellStyle name="40% - Accent3 4 2 2 4 2 3" xfId="26659" xr:uid="{00000000-0005-0000-0000-000033170000}"/>
    <cellStyle name="40% - Accent3 4 2 2 4 3" xfId="12719" xr:uid="{00000000-0005-0000-0000-000034170000}"/>
    <cellStyle name="40% - Accent3 4 2 2 4 4" xfId="22045" xr:uid="{00000000-0005-0000-0000-000035170000}"/>
    <cellStyle name="40% - Accent3 4 2 2 5" xfId="4999" xr:uid="{00000000-0005-0000-0000-000036170000}"/>
    <cellStyle name="40% - Accent3 4 2 2 5 2" xfId="14323" xr:uid="{00000000-0005-0000-0000-000037170000}"/>
    <cellStyle name="40% - Accent3 4 2 2 5 3" xfId="23646" xr:uid="{00000000-0005-0000-0000-000038170000}"/>
    <cellStyle name="40% - Accent3 4 2 2 6" xfId="9678" xr:uid="{00000000-0005-0000-0000-000039170000}"/>
    <cellStyle name="40% - Accent3 4 2 2 6 2" xfId="19002" xr:uid="{00000000-0005-0000-0000-00003A170000}"/>
    <cellStyle name="40% - Accent3 4 2 2 6 3" xfId="28325" xr:uid="{00000000-0005-0000-0000-00003B170000}"/>
    <cellStyle name="40% - Accent3 4 2 2 7" xfId="10172" xr:uid="{00000000-0005-0000-0000-00003C170000}"/>
    <cellStyle name="40% - Accent3 4 2 2 8" xfId="19496" xr:uid="{00000000-0005-0000-0000-00003D170000}"/>
    <cellStyle name="40% - Accent3 4 2 3" xfId="815" xr:uid="{00000000-0005-0000-0000-00003E170000}"/>
    <cellStyle name="40% - Accent3 4 2 3 2" xfId="6931" xr:uid="{00000000-0005-0000-0000-00003F170000}"/>
    <cellStyle name="40% - Accent3 4 2 3 2 2" xfId="16255" xr:uid="{00000000-0005-0000-0000-000040170000}"/>
    <cellStyle name="40% - Accent3 4 2 3 2 3" xfId="25578" xr:uid="{00000000-0005-0000-0000-000041170000}"/>
    <cellStyle name="40% - Accent3 4 2 3 3" xfId="10416" xr:uid="{00000000-0005-0000-0000-000042170000}"/>
    <cellStyle name="40% - Accent3 4 2 3 4" xfId="19740" xr:uid="{00000000-0005-0000-0000-000043170000}"/>
    <cellStyle name="40% - Accent3 4 2 4" xfId="1545" xr:uid="{00000000-0005-0000-0000-000044170000}"/>
    <cellStyle name="40% - Accent3 4 2 4 2" xfId="6521" xr:uid="{00000000-0005-0000-0000-000045170000}"/>
    <cellStyle name="40% - Accent3 4 2 4 2 2" xfId="15845" xr:uid="{00000000-0005-0000-0000-000046170000}"/>
    <cellStyle name="40% - Accent3 4 2 4 2 3" xfId="25168" xr:uid="{00000000-0005-0000-0000-000047170000}"/>
    <cellStyle name="40% - Accent3 4 2 4 3" xfId="11113" xr:uid="{00000000-0005-0000-0000-000048170000}"/>
    <cellStyle name="40% - Accent3 4 2 4 4" xfId="20437" xr:uid="{00000000-0005-0000-0000-000049170000}"/>
    <cellStyle name="40% - Accent3 4 2 5" xfId="3332" xr:uid="{00000000-0005-0000-0000-00004A170000}"/>
    <cellStyle name="40% - Accent3 4 2 5 2" xfId="8011" xr:uid="{00000000-0005-0000-0000-00004B170000}"/>
    <cellStyle name="40% - Accent3 4 2 5 2 2" xfId="17335" xr:uid="{00000000-0005-0000-0000-00004C170000}"/>
    <cellStyle name="40% - Accent3 4 2 5 2 3" xfId="26658" xr:uid="{00000000-0005-0000-0000-00004D170000}"/>
    <cellStyle name="40% - Accent3 4 2 5 3" xfId="12718" xr:uid="{00000000-0005-0000-0000-00004E170000}"/>
    <cellStyle name="40% - Accent3 4 2 5 4" xfId="22044" xr:uid="{00000000-0005-0000-0000-00004F170000}"/>
    <cellStyle name="40% - Accent3 4 2 6" xfId="4998" xr:uid="{00000000-0005-0000-0000-000050170000}"/>
    <cellStyle name="40% - Accent3 4 2 6 2" xfId="14322" xr:uid="{00000000-0005-0000-0000-000051170000}"/>
    <cellStyle name="40% - Accent3 4 2 6 3" xfId="23645" xr:uid="{00000000-0005-0000-0000-000052170000}"/>
    <cellStyle name="40% - Accent3 4 2 7" xfId="9438" xr:uid="{00000000-0005-0000-0000-000053170000}"/>
    <cellStyle name="40% - Accent3 4 2 7 2" xfId="18762" xr:uid="{00000000-0005-0000-0000-000054170000}"/>
    <cellStyle name="40% - Accent3 4 2 7 3" xfId="28085" xr:uid="{00000000-0005-0000-0000-000055170000}"/>
    <cellStyle name="40% - Accent3 4 2 8" xfId="9932" xr:uid="{00000000-0005-0000-0000-000056170000}"/>
    <cellStyle name="40% - Accent3 4 2 9" xfId="19256" xr:uid="{00000000-0005-0000-0000-000057170000}"/>
    <cellStyle name="40% - Accent3 4 3" xfId="445" xr:uid="{00000000-0005-0000-0000-000058170000}"/>
    <cellStyle name="40% - Accent3 4 3 2" xfId="933" xr:uid="{00000000-0005-0000-0000-000059170000}"/>
    <cellStyle name="40% - Accent3 4 3 2 2" xfId="6837" xr:uid="{00000000-0005-0000-0000-00005A170000}"/>
    <cellStyle name="40% - Accent3 4 3 2 2 2" xfId="16161" xr:uid="{00000000-0005-0000-0000-00005B170000}"/>
    <cellStyle name="40% - Accent3 4 3 2 2 3" xfId="25484" xr:uid="{00000000-0005-0000-0000-00005C170000}"/>
    <cellStyle name="40% - Accent3 4 3 2 3" xfId="10534" xr:uid="{00000000-0005-0000-0000-00005D170000}"/>
    <cellStyle name="40% - Accent3 4 3 2 4" xfId="19858" xr:uid="{00000000-0005-0000-0000-00005E170000}"/>
    <cellStyle name="40% - Accent3 4 3 3" xfId="1547" xr:uid="{00000000-0005-0000-0000-00005F170000}"/>
    <cellStyle name="40% - Accent3 4 3 3 2" xfId="6520" xr:uid="{00000000-0005-0000-0000-000060170000}"/>
    <cellStyle name="40% - Accent3 4 3 3 2 2" xfId="15844" xr:uid="{00000000-0005-0000-0000-000061170000}"/>
    <cellStyle name="40% - Accent3 4 3 3 2 3" xfId="25167" xr:uid="{00000000-0005-0000-0000-000062170000}"/>
    <cellStyle name="40% - Accent3 4 3 3 3" xfId="11115" xr:uid="{00000000-0005-0000-0000-000063170000}"/>
    <cellStyle name="40% - Accent3 4 3 3 4" xfId="20439" xr:uid="{00000000-0005-0000-0000-000064170000}"/>
    <cellStyle name="40% - Accent3 4 3 4" xfId="3334" xr:uid="{00000000-0005-0000-0000-000065170000}"/>
    <cellStyle name="40% - Accent3 4 3 4 2" xfId="8013" xr:uid="{00000000-0005-0000-0000-000066170000}"/>
    <cellStyle name="40% - Accent3 4 3 4 2 2" xfId="17337" xr:uid="{00000000-0005-0000-0000-000067170000}"/>
    <cellStyle name="40% - Accent3 4 3 4 2 3" xfId="26660" xr:uid="{00000000-0005-0000-0000-000068170000}"/>
    <cellStyle name="40% - Accent3 4 3 4 3" xfId="12720" xr:uid="{00000000-0005-0000-0000-000069170000}"/>
    <cellStyle name="40% - Accent3 4 3 4 4" xfId="22046" xr:uid="{00000000-0005-0000-0000-00006A170000}"/>
    <cellStyle name="40% - Accent3 4 3 5" xfId="5000" xr:uid="{00000000-0005-0000-0000-00006B170000}"/>
    <cellStyle name="40% - Accent3 4 3 5 2" xfId="14324" xr:uid="{00000000-0005-0000-0000-00006C170000}"/>
    <cellStyle name="40% - Accent3 4 3 5 3" xfId="23647" xr:uid="{00000000-0005-0000-0000-00006D170000}"/>
    <cellStyle name="40% - Accent3 4 3 6" xfId="9556" xr:uid="{00000000-0005-0000-0000-00006E170000}"/>
    <cellStyle name="40% - Accent3 4 3 6 2" xfId="18880" xr:uid="{00000000-0005-0000-0000-00006F170000}"/>
    <cellStyle name="40% - Accent3 4 3 6 3" xfId="28203" xr:uid="{00000000-0005-0000-0000-000070170000}"/>
    <cellStyle name="40% - Accent3 4 3 7" xfId="10050" xr:uid="{00000000-0005-0000-0000-000071170000}"/>
    <cellStyle name="40% - Accent3 4 3 8" xfId="19374" xr:uid="{00000000-0005-0000-0000-000072170000}"/>
    <cellStyle name="40% - Accent3 4 4" xfId="693" xr:uid="{00000000-0005-0000-0000-000073170000}"/>
    <cellStyle name="40% - Accent3 4 4 2" xfId="7018" xr:uid="{00000000-0005-0000-0000-000074170000}"/>
    <cellStyle name="40% - Accent3 4 4 2 2" xfId="16342" xr:uid="{00000000-0005-0000-0000-000075170000}"/>
    <cellStyle name="40% - Accent3 4 4 2 3" xfId="25665" xr:uid="{00000000-0005-0000-0000-000076170000}"/>
    <cellStyle name="40% - Accent3 4 4 3" xfId="10294" xr:uid="{00000000-0005-0000-0000-000077170000}"/>
    <cellStyle name="40% - Accent3 4 4 4" xfId="19618" xr:uid="{00000000-0005-0000-0000-000078170000}"/>
    <cellStyle name="40% - Accent3 4 5" xfId="1544" xr:uid="{00000000-0005-0000-0000-000079170000}"/>
    <cellStyle name="40% - Accent3 4 5 2" xfId="6522" xr:uid="{00000000-0005-0000-0000-00007A170000}"/>
    <cellStyle name="40% - Accent3 4 5 2 2" xfId="15846" xr:uid="{00000000-0005-0000-0000-00007B170000}"/>
    <cellStyle name="40% - Accent3 4 5 2 3" xfId="25169" xr:uid="{00000000-0005-0000-0000-00007C170000}"/>
    <cellStyle name="40% - Accent3 4 5 3" xfId="11112" xr:uid="{00000000-0005-0000-0000-00007D170000}"/>
    <cellStyle name="40% - Accent3 4 5 4" xfId="20436" xr:uid="{00000000-0005-0000-0000-00007E170000}"/>
    <cellStyle name="40% - Accent3 4 6" xfId="3331" xr:uid="{00000000-0005-0000-0000-00007F170000}"/>
    <cellStyle name="40% - Accent3 4 6 2" xfId="8010" xr:uid="{00000000-0005-0000-0000-000080170000}"/>
    <cellStyle name="40% - Accent3 4 6 2 2" xfId="17334" xr:uid="{00000000-0005-0000-0000-000081170000}"/>
    <cellStyle name="40% - Accent3 4 6 2 3" xfId="26657" xr:uid="{00000000-0005-0000-0000-000082170000}"/>
    <cellStyle name="40% - Accent3 4 6 3" xfId="12717" xr:uid="{00000000-0005-0000-0000-000083170000}"/>
    <cellStyle name="40% - Accent3 4 6 4" xfId="22043" xr:uid="{00000000-0005-0000-0000-000084170000}"/>
    <cellStyle name="40% - Accent3 4 7" xfId="4997" xr:uid="{00000000-0005-0000-0000-000085170000}"/>
    <cellStyle name="40% - Accent3 4 7 2" xfId="14321" xr:uid="{00000000-0005-0000-0000-000086170000}"/>
    <cellStyle name="40% - Accent3 4 7 3" xfId="23644" xr:uid="{00000000-0005-0000-0000-000087170000}"/>
    <cellStyle name="40% - Accent3 4 8" xfId="9315" xr:uid="{00000000-0005-0000-0000-000088170000}"/>
    <cellStyle name="40% - Accent3 4 8 2" xfId="18639" xr:uid="{00000000-0005-0000-0000-000089170000}"/>
    <cellStyle name="40% - Accent3 4 8 3" xfId="27962" xr:uid="{00000000-0005-0000-0000-00008A170000}"/>
    <cellStyle name="40% - Accent3 4 9" xfId="9809" xr:uid="{00000000-0005-0000-0000-00008B170000}"/>
    <cellStyle name="40% - Accent3 5" xfId="247" xr:uid="{00000000-0005-0000-0000-00008C170000}"/>
    <cellStyle name="40% - Accent3 5 2" xfId="505" xr:uid="{00000000-0005-0000-0000-00008D170000}"/>
    <cellStyle name="40% - Accent3 5 2 2" xfId="993" xr:uid="{00000000-0005-0000-0000-00008E170000}"/>
    <cellStyle name="40% - Accent3 5 2 2 2" xfId="6803" xr:uid="{00000000-0005-0000-0000-00008F170000}"/>
    <cellStyle name="40% - Accent3 5 2 2 2 2" xfId="16127" xr:uid="{00000000-0005-0000-0000-000090170000}"/>
    <cellStyle name="40% - Accent3 5 2 2 2 3" xfId="25450" xr:uid="{00000000-0005-0000-0000-000091170000}"/>
    <cellStyle name="40% - Accent3 5 2 2 3" xfId="10594" xr:uid="{00000000-0005-0000-0000-000092170000}"/>
    <cellStyle name="40% - Accent3 5 2 2 4" xfId="19918" xr:uid="{00000000-0005-0000-0000-000093170000}"/>
    <cellStyle name="40% - Accent3 5 2 3" xfId="1549" xr:uid="{00000000-0005-0000-0000-000094170000}"/>
    <cellStyle name="40% - Accent3 5 2 3 2" xfId="6518" xr:uid="{00000000-0005-0000-0000-000095170000}"/>
    <cellStyle name="40% - Accent3 5 2 3 2 2" xfId="15842" xr:uid="{00000000-0005-0000-0000-000096170000}"/>
    <cellStyle name="40% - Accent3 5 2 3 2 3" xfId="25165" xr:uid="{00000000-0005-0000-0000-000097170000}"/>
    <cellStyle name="40% - Accent3 5 2 3 3" xfId="11117" xr:uid="{00000000-0005-0000-0000-000098170000}"/>
    <cellStyle name="40% - Accent3 5 2 3 4" xfId="20441" xr:uid="{00000000-0005-0000-0000-000099170000}"/>
    <cellStyle name="40% - Accent3 5 2 4" xfId="3336" xr:uid="{00000000-0005-0000-0000-00009A170000}"/>
    <cellStyle name="40% - Accent3 5 2 4 2" xfId="8015" xr:uid="{00000000-0005-0000-0000-00009B170000}"/>
    <cellStyle name="40% - Accent3 5 2 4 2 2" xfId="17339" xr:uid="{00000000-0005-0000-0000-00009C170000}"/>
    <cellStyle name="40% - Accent3 5 2 4 2 3" xfId="26662" xr:uid="{00000000-0005-0000-0000-00009D170000}"/>
    <cellStyle name="40% - Accent3 5 2 4 3" xfId="12722" xr:uid="{00000000-0005-0000-0000-00009E170000}"/>
    <cellStyle name="40% - Accent3 5 2 4 4" xfId="22048" xr:uid="{00000000-0005-0000-0000-00009F170000}"/>
    <cellStyle name="40% - Accent3 5 2 5" xfId="5002" xr:uid="{00000000-0005-0000-0000-0000A0170000}"/>
    <cellStyle name="40% - Accent3 5 2 5 2" xfId="14326" xr:uid="{00000000-0005-0000-0000-0000A1170000}"/>
    <cellStyle name="40% - Accent3 5 2 5 3" xfId="23649" xr:uid="{00000000-0005-0000-0000-0000A2170000}"/>
    <cellStyle name="40% - Accent3 5 2 6" xfId="9616" xr:uid="{00000000-0005-0000-0000-0000A3170000}"/>
    <cellStyle name="40% - Accent3 5 2 6 2" xfId="18940" xr:uid="{00000000-0005-0000-0000-0000A4170000}"/>
    <cellStyle name="40% - Accent3 5 2 6 3" xfId="28263" xr:uid="{00000000-0005-0000-0000-0000A5170000}"/>
    <cellStyle name="40% - Accent3 5 2 7" xfId="10110" xr:uid="{00000000-0005-0000-0000-0000A6170000}"/>
    <cellStyle name="40% - Accent3 5 2 8" xfId="19434" xr:uid="{00000000-0005-0000-0000-0000A7170000}"/>
    <cellStyle name="40% - Accent3 5 3" xfId="753" xr:uid="{00000000-0005-0000-0000-0000A8170000}"/>
    <cellStyle name="40% - Accent3 5 3 2" xfId="6976" xr:uid="{00000000-0005-0000-0000-0000A9170000}"/>
    <cellStyle name="40% - Accent3 5 3 2 2" xfId="16300" xr:uid="{00000000-0005-0000-0000-0000AA170000}"/>
    <cellStyle name="40% - Accent3 5 3 2 3" xfId="25623" xr:uid="{00000000-0005-0000-0000-0000AB170000}"/>
    <cellStyle name="40% - Accent3 5 3 3" xfId="10354" xr:uid="{00000000-0005-0000-0000-0000AC170000}"/>
    <cellStyle name="40% - Accent3 5 3 4" xfId="19678" xr:uid="{00000000-0005-0000-0000-0000AD170000}"/>
    <cellStyle name="40% - Accent3 5 4" xfId="1548" xr:uid="{00000000-0005-0000-0000-0000AE170000}"/>
    <cellStyle name="40% - Accent3 5 4 2" xfId="6519" xr:uid="{00000000-0005-0000-0000-0000AF170000}"/>
    <cellStyle name="40% - Accent3 5 4 2 2" xfId="15843" xr:uid="{00000000-0005-0000-0000-0000B0170000}"/>
    <cellStyle name="40% - Accent3 5 4 2 3" xfId="25166" xr:uid="{00000000-0005-0000-0000-0000B1170000}"/>
    <cellStyle name="40% - Accent3 5 4 3" xfId="11116" xr:uid="{00000000-0005-0000-0000-0000B2170000}"/>
    <cellStyle name="40% - Accent3 5 4 4" xfId="20440" xr:uid="{00000000-0005-0000-0000-0000B3170000}"/>
    <cellStyle name="40% - Accent3 5 5" xfId="3335" xr:uid="{00000000-0005-0000-0000-0000B4170000}"/>
    <cellStyle name="40% - Accent3 5 5 2" xfId="8014" xr:uid="{00000000-0005-0000-0000-0000B5170000}"/>
    <cellStyle name="40% - Accent3 5 5 2 2" xfId="17338" xr:uid="{00000000-0005-0000-0000-0000B6170000}"/>
    <cellStyle name="40% - Accent3 5 5 2 3" xfId="26661" xr:uid="{00000000-0005-0000-0000-0000B7170000}"/>
    <cellStyle name="40% - Accent3 5 5 3" xfId="12721" xr:uid="{00000000-0005-0000-0000-0000B8170000}"/>
    <cellStyle name="40% - Accent3 5 5 4" xfId="22047" xr:uid="{00000000-0005-0000-0000-0000B9170000}"/>
    <cellStyle name="40% - Accent3 5 6" xfId="5001" xr:uid="{00000000-0005-0000-0000-0000BA170000}"/>
    <cellStyle name="40% - Accent3 5 6 2" xfId="14325" xr:uid="{00000000-0005-0000-0000-0000BB170000}"/>
    <cellStyle name="40% - Accent3 5 6 3" xfId="23648" xr:uid="{00000000-0005-0000-0000-0000BC170000}"/>
    <cellStyle name="40% - Accent3 5 7" xfId="9375" xr:uid="{00000000-0005-0000-0000-0000BD170000}"/>
    <cellStyle name="40% - Accent3 5 7 2" xfId="18699" xr:uid="{00000000-0005-0000-0000-0000BE170000}"/>
    <cellStyle name="40% - Accent3 5 7 3" xfId="28022" xr:uid="{00000000-0005-0000-0000-0000BF170000}"/>
    <cellStyle name="40% - Accent3 5 8" xfId="9869" xr:uid="{00000000-0005-0000-0000-0000C0170000}"/>
    <cellStyle name="40% - Accent3 5 9" xfId="19193" xr:uid="{00000000-0005-0000-0000-0000C1170000}"/>
    <cellStyle name="40% - Accent3 6" xfId="386" xr:uid="{00000000-0005-0000-0000-0000C2170000}"/>
    <cellStyle name="40% - Accent3 6 2" xfId="874" xr:uid="{00000000-0005-0000-0000-0000C3170000}"/>
    <cellStyle name="40% - Accent3 6 2 2" xfId="6889" xr:uid="{00000000-0005-0000-0000-0000C4170000}"/>
    <cellStyle name="40% - Accent3 6 2 2 2" xfId="16213" xr:uid="{00000000-0005-0000-0000-0000C5170000}"/>
    <cellStyle name="40% - Accent3 6 2 2 3" xfId="25536" xr:uid="{00000000-0005-0000-0000-0000C6170000}"/>
    <cellStyle name="40% - Accent3 6 2 3" xfId="10475" xr:uid="{00000000-0005-0000-0000-0000C7170000}"/>
    <cellStyle name="40% - Accent3 6 2 4" xfId="19799" xr:uid="{00000000-0005-0000-0000-0000C8170000}"/>
    <cellStyle name="40% - Accent3 6 3" xfId="1550" xr:uid="{00000000-0005-0000-0000-0000C9170000}"/>
    <cellStyle name="40% - Accent3 6 3 2" xfId="6331" xr:uid="{00000000-0005-0000-0000-0000CA170000}"/>
    <cellStyle name="40% - Accent3 6 3 2 2" xfId="15655" xr:uid="{00000000-0005-0000-0000-0000CB170000}"/>
    <cellStyle name="40% - Accent3 6 3 2 3" xfId="24978" xr:uid="{00000000-0005-0000-0000-0000CC170000}"/>
    <cellStyle name="40% - Accent3 6 3 3" xfId="11118" xr:uid="{00000000-0005-0000-0000-0000CD170000}"/>
    <cellStyle name="40% - Accent3 6 3 4" xfId="20442" xr:uid="{00000000-0005-0000-0000-0000CE170000}"/>
    <cellStyle name="40% - Accent3 6 4" xfId="3337" xr:uid="{00000000-0005-0000-0000-0000CF170000}"/>
    <cellStyle name="40% - Accent3 6 4 2" xfId="8016" xr:uid="{00000000-0005-0000-0000-0000D0170000}"/>
    <cellStyle name="40% - Accent3 6 4 2 2" xfId="17340" xr:uid="{00000000-0005-0000-0000-0000D1170000}"/>
    <cellStyle name="40% - Accent3 6 4 2 3" xfId="26663" xr:uid="{00000000-0005-0000-0000-0000D2170000}"/>
    <cellStyle name="40% - Accent3 6 4 3" xfId="12723" xr:uid="{00000000-0005-0000-0000-0000D3170000}"/>
    <cellStyle name="40% - Accent3 6 4 4" xfId="22049" xr:uid="{00000000-0005-0000-0000-0000D4170000}"/>
    <cellStyle name="40% - Accent3 6 5" xfId="5003" xr:uid="{00000000-0005-0000-0000-0000D5170000}"/>
    <cellStyle name="40% - Accent3 6 5 2" xfId="14327" xr:uid="{00000000-0005-0000-0000-0000D6170000}"/>
    <cellStyle name="40% - Accent3 6 5 3" xfId="23650" xr:uid="{00000000-0005-0000-0000-0000D7170000}"/>
    <cellStyle name="40% - Accent3 6 6" xfId="9497" xr:uid="{00000000-0005-0000-0000-0000D8170000}"/>
    <cellStyle name="40% - Accent3 6 6 2" xfId="18821" xr:uid="{00000000-0005-0000-0000-0000D9170000}"/>
    <cellStyle name="40% - Accent3 6 6 3" xfId="28144" xr:uid="{00000000-0005-0000-0000-0000DA170000}"/>
    <cellStyle name="40% - Accent3 6 7" xfId="9991" xr:uid="{00000000-0005-0000-0000-0000DB170000}"/>
    <cellStyle name="40% - Accent3 6 8" xfId="19315" xr:uid="{00000000-0005-0000-0000-0000DC170000}"/>
    <cellStyle name="40% - Accent3 7" xfId="630" xr:uid="{00000000-0005-0000-0000-0000DD170000}"/>
    <cellStyle name="40% - Accent3 7 2" xfId="1551" xr:uid="{00000000-0005-0000-0000-0000DE170000}"/>
    <cellStyle name="40% - Accent3 7 2 2" xfId="6517" xr:uid="{00000000-0005-0000-0000-0000DF170000}"/>
    <cellStyle name="40% - Accent3 7 2 2 2" xfId="15841" xr:uid="{00000000-0005-0000-0000-0000E0170000}"/>
    <cellStyle name="40% - Accent3 7 2 2 3" xfId="25164" xr:uid="{00000000-0005-0000-0000-0000E1170000}"/>
    <cellStyle name="40% - Accent3 7 2 3" xfId="11119" xr:uid="{00000000-0005-0000-0000-0000E2170000}"/>
    <cellStyle name="40% - Accent3 7 2 4" xfId="20443" xr:uid="{00000000-0005-0000-0000-0000E3170000}"/>
    <cellStyle name="40% - Accent3 7 3" xfId="3338" xr:uid="{00000000-0005-0000-0000-0000E4170000}"/>
    <cellStyle name="40% - Accent3 7 3 2" xfId="8017" xr:uid="{00000000-0005-0000-0000-0000E5170000}"/>
    <cellStyle name="40% - Accent3 7 3 2 2" xfId="17341" xr:uid="{00000000-0005-0000-0000-0000E6170000}"/>
    <cellStyle name="40% - Accent3 7 3 2 3" xfId="26664" xr:uid="{00000000-0005-0000-0000-0000E7170000}"/>
    <cellStyle name="40% - Accent3 7 3 3" xfId="12724" xr:uid="{00000000-0005-0000-0000-0000E8170000}"/>
    <cellStyle name="40% - Accent3 7 3 4" xfId="22050" xr:uid="{00000000-0005-0000-0000-0000E9170000}"/>
    <cellStyle name="40% - Accent3 7 4" xfId="5004" xr:uid="{00000000-0005-0000-0000-0000EA170000}"/>
    <cellStyle name="40% - Accent3 7 4 2" xfId="14328" xr:uid="{00000000-0005-0000-0000-0000EB170000}"/>
    <cellStyle name="40% - Accent3 7 4 3" xfId="23651" xr:uid="{00000000-0005-0000-0000-0000EC170000}"/>
    <cellStyle name="40% - Accent3 7 5" xfId="10234" xr:uid="{00000000-0005-0000-0000-0000ED170000}"/>
    <cellStyle name="40% - Accent3 7 6" xfId="19558" xr:uid="{00000000-0005-0000-0000-0000EE170000}"/>
    <cellStyle name="40% - Accent3 8" xfId="1552" xr:uid="{00000000-0005-0000-0000-0000EF170000}"/>
    <cellStyle name="40% - Accent3 8 2" xfId="3339" xr:uid="{00000000-0005-0000-0000-0000F0170000}"/>
    <cellStyle name="40% - Accent3 8 2 2" xfId="8018" xr:uid="{00000000-0005-0000-0000-0000F1170000}"/>
    <cellStyle name="40% - Accent3 8 2 2 2" xfId="17342" xr:uid="{00000000-0005-0000-0000-0000F2170000}"/>
    <cellStyle name="40% - Accent3 8 2 2 3" xfId="26665" xr:uid="{00000000-0005-0000-0000-0000F3170000}"/>
    <cellStyle name="40% - Accent3 8 2 3" xfId="12725" xr:uid="{00000000-0005-0000-0000-0000F4170000}"/>
    <cellStyle name="40% - Accent3 8 2 4" xfId="22051" xr:uid="{00000000-0005-0000-0000-0000F5170000}"/>
    <cellStyle name="40% - Accent3 8 3" xfId="5005" xr:uid="{00000000-0005-0000-0000-0000F6170000}"/>
    <cellStyle name="40% - Accent3 8 3 2" xfId="14329" xr:uid="{00000000-0005-0000-0000-0000F7170000}"/>
    <cellStyle name="40% - Accent3 8 3 3" xfId="23652" xr:uid="{00000000-0005-0000-0000-0000F8170000}"/>
    <cellStyle name="40% - Accent3 8 4" xfId="11120" xr:uid="{00000000-0005-0000-0000-0000F9170000}"/>
    <cellStyle name="40% - Accent3 8 5" xfId="20444" xr:uid="{00000000-0005-0000-0000-0000FA170000}"/>
    <cellStyle name="40% - Accent3 9" xfId="1128" xr:uid="{00000000-0005-0000-0000-0000FB170000}"/>
    <cellStyle name="40% - Accent3 9 2" xfId="4632" xr:uid="{00000000-0005-0000-0000-0000FC170000}"/>
    <cellStyle name="40% - Accent3 9 2 2" xfId="13956" xr:uid="{00000000-0005-0000-0000-0000FD170000}"/>
    <cellStyle name="40% - Accent3 9 2 3" xfId="23279" xr:uid="{00000000-0005-0000-0000-0000FE170000}"/>
    <cellStyle name="40% - Accent3 9 3" xfId="10727" xr:uid="{00000000-0005-0000-0000-0000FF170000}"/>
    <cellStyle name="40% - Accent3 9 4" xfId="20051" xr:uid="{00000000-0005-0000-0000-000000180000}"/>
    <cellStyle name="40% - Accent4" xfId="46" builtinId="43" customBuiltin="1"/>
    <cellStyle name="40% - Accent4 10" xfId="2944" xr:uid="{00000000-0005-0000-0000-000002180000}"/>
    <cellStyle name="40% - Accent4 10 2" xfId="7626" xr:uid="{00000000-0005-0000-0000-000003180000}"/>
    <cellStyle name="40% - Accent4 10 2 2" xfId="16950" xr:uid="{00000000-0005-0000-0000-000004180000}"/>
    <cellStyle name="40% - Accent4 10 2 3" xfId="26273" xr:uid="{00000000-0005-0000-0000-000005180000}"/>
    <cellStyle name="40% - Accent4 10 3" xfId="12349" xr:uid="{00000000-0005-0000-0000-000006180000}"/>
    <cellStyle name="40% - Accent4 10 4" xfId="21675" xr:uid="{00000000-0005-0000-0000-000007180000}"/>
    <cellStyle name="40% - Accent4 11" xfId="4585" xr:uid="{00000000-0005-0000-0000-000008180000}"/>
    <cellStyle name="40% - Accent4 11 2" xfId="13909" xr:uid="{00000000-0005-0000-0000-000009180000}"/>
    <cellStyle name="40% - Accent4 11 3" xfId="23232" xr:uid="{00000000-0005-0000-0000-00000A180000}"/>
    <cellStyle name="40% - Accent4 12" xfId="9245" xr:uid="{00000000-0005-0000-0000-00000B180000}"/>
    <cellStyle name="40% - Accent4 12 2" xfId="18569" xr:uid="{00000000-0005-0000-0000-00000C180000}"/>
    <cellStyle name="40% - Accent4 12 3" xfId="27892" xr:uid="{00000000-0005-0000-0000-00000D180000}"/>
    <cellStyle name="40% - Accent4 13" xfId="9739" xr:uid="{00000000-0005-0000-0000-00000E180000}"/>
    <cellStyle name="40% - Accent4 14" xfId="19063" xr:uid="{00000000-0005-0000-0000-00000F180000}"/>
    <cellStyle name="40% - Accent4 15" xfId="28408" xr:uid="{00000000-0005-0000-0000-000010180000}"/>
    <cellStyle name="40% - Accent4 2" xfId="75" xr:uid="{00000000-0005-0000-0000-000011180000}"/>
    <cellStyle name="40% - Accent4 2 10" xfId="4604" xr:uid="{00000000-0005-0000-0000-000012180000}"/>
    <cellStyle name="40% - Accent4 2 10 2" xfId="13928" xr:uid="{00000000-0005-0000-0000-000013180000}"/>
    <cellStyle name="40% - Accent4 2 10 3" xfId="23251" xr:uid="{00000000-0005-0000-0000-000014180000}"/>
    <cellStyle name="40% - Accent4 2 11" xfId="9269" xr:uid="{00000000-0005-0000-0000-000015180000}"/>
    <cellStyle name="40% - Accent4 2 11 2" xfId="18593" xr:uid="{00000000-0005-0000-0000-000016180000}"/>
    <cellStyle name="40% - Accent4 2 11 3" xfId="27916" xr:uid="{00000000-0005-0000-0000-000017180000}"/>
    <cellStyle name="40% - Accent4 2 12" xfId="9763" xr:uid="{00000000-0005-0000-0000-000018180000}"/>
    <cellStyle name="40% - Accent4 2 13" xfId="19087" xr:uid="{00000000-0005-0000-0000-000019180000}"/>
    <cellStyle name="40% - Accent4 2 14" xfId="28409" xr:uid="{00000000-0005-0000-0000-00001A180000}"/>
    <cellStyle name="40% - Accent4 2 2" xfId="213" xr:uid="{00000000-0005-0000-0000-00001B180000}"/>
    <cellStyle name="40% - Accent4 2 2 10" xfId="9835" xr:uid="{00000000-0005-0000-0000-00001C180000}"/>
    <cellStyle name="40% - Accent4 2 2 11" xfId="19159" xr:uid="{00000000-0005-0000-0000-00001D180000}"/>
    <cellStyle name="40% - Accent4 2 2 2" xfId="353" xr:uid="{00000000-0005-0000-0000-00001E180000}"/>
    <cellStyle name="40% - Accent4 2 2 2 10" xfId="19282" xr:uid="{00000000-0005-0000-0000-00001F180000}"/>
    <cellStyle name="40% - Accent4 2 2 2 2" xfId="593" xr:uid="{00000000-0005-0000-0000-000020180000}"/>
    <cellStyle name="40% - Accent4 2 2 2 2 2" xfId="1081" xr:uid="{00000000-0005-0000-0000-000021180000}"/>
    <cellStyle name="40% - Accent4 2 2 2 2 2 2" xfId="4709" xr:uid="{00000000-0005-0000-0000-000022180000}"/>
    <cellStyle name="40% - Accent4 2 2 2 2 2 2 2" xfId="14033" xr:uid="{00000000-0005-0000-0000-000023180000}"/>
    <cellStyle name="40% - Accent4 2 2 2 2 2 2 3" xfId="23356" xr:uid="{00000000-0005-0000-0000-000024180000}"/>
    <cellStyle name="40% - Accent4 2 2 2 2 2 3" xfId="10682" xr:uid="{00000000-0005-0000-0000-000025180000}"/>
    <cellStyle name="40% - Accent4 2 2 2 2 2 4" xfId="20006" xr:uid="{00000000-0005-0000-0000-000026180000}"/>
    <cellStyle name="40% - Accent4 2 2 2 2 3" xfId="1556" xr:uid="{00000000-0005-0000-0000-000027180000}"/>
    <cellStyle name="40% - Accent4 2 2 2 2 3 2" xfId="6515" xr:uid="{00000000-0005-0000-0000-000028180000}"/>
    <cellStyle name="40% - Accent4 2 2 2 2 3 2 2" xfId="15839" xr:uid="{00000000-0005-0000-0000-000029180000}"/>
    <cellStyle name="40% - Accent4 2 2 2 2 3 2 3" xfId="25162" xr:uid="{00000000-0005-0000-0000-00002A180000}"/>
    <cellStyle name="40% - Accent4 2 2 2 2 3 3" xfId="11124" xr:uid="{00000000-0005-0000-0000-00002B180000}"/>
    <cellStyle name="40% - Accent4 2 2 2 2 3 4" xfId="20448" xr:uid="{00000000-0005-0000-0000-00002C180000}"/>
    <cellStyle name="40% - Accent4 2 2 2 2 4" xfId="3343" xr:uid="{00000000-0005-0000-0000-00002D180000}"/>
    <cellStyle name="40% - Accent4 2 2 2 2 4 2" xfId="8022" xr:uid="{00000000-0005-0000-0000-00002E180000}"/>
    <cellStyle name="40% - Accent4 2 2 2 2 4 2 2" xfId="17346" xr:uid="{00000000-0005-0000-0000-00002F180000}"/>
    <cellStyle name="40% - Accent4 2 2 2 2 4 2 3" xfId="26669" xr:uid="{00000000-0005-0000-0000-000030180000}"/>
    <cellStyle name="40% - Accent4 2 2 2 2 4 3" xfId="12729" xr:uid="{00000000-0005-0000-0000-000031180000}"/>
    <cellStyle name="40% - Accent4 2 2 2 2 4 4" xfId="22055" xr:uid="{00000000-0005-0000-0000-000032180000}"/>
    <cellStyle name="40% - Accent4 2 2 2 2 5" xfId="5009" xr:uid="{00000000-0005-0000-0000-000033180000}"/>
    <cellStyle name="40% - Accent4 2 2 2 2 5 2" xfId="14333" xr:uid="{00000000-0005-0000-0000-000034180000}"/>
    <cellStyle name="40% - Accent4 2 2 2 2 5 3" xfId="23656" xr:uid="{00000000-0005-0000-0000-000035180000}"/>
    <cellStyle name="40% - Accent4 2 2 2 2 6" xfId="7060" xr:uid="{00000000-0005-0000-0000-000036180000}"/>
    <cellStyle name="40% - Accent4 2 2 2 2 6 2" xfId="16384" xr:uid="{00000000-0005-0000-0000-000037180000}"/>
    <cellStyle name="40% - Accent4 2 2 2 2 6 3" xfId="25707" xr:uid="{00000000-0005-0000-0000-000038180000}"/>
    <cellStyle name="40% - Accent4 2 2 2 2 7" xfId="9704" xr:uid="{00000000-0005-0000-0000-000039180000}"/>
    <cellStyle name="40% - Accent4 2 2 2 2 7 2" xfId="19028" xr:uid="{00000000-0005-0000-0000-00003A180000}"/>
    <cellStyle name="40% - Accent4 2 2 2 2 7 3" xfId="28351" xr:uid="{00000000-0005-0000-0000-00003B180000}"/>
    <cellStyle name="40% - Accent4 2 2 2 2 8" xfId="10198" xr:uid="{00000000-0005-0000-0000-00003C180000}"/>
    <cellStyle name="40% - Accent4 2 2 2 2 9" xfId="19522" xr:uid="{00000000-0005-0000-0000-00003D180000}"/>
    <cellStyle name="40% - Accent4 2 2 2 3" xfId="841" xr:uid="{00000000-0005-0000-0000-00003E180000}"/>
    <cellStyle name="40% - Accent4 2 2 2 3 2" xfId="6913" xr:uid="{00000000-0005-0000-0000-00003F180000}"/>
    <cellStyle name="40% - Accent4 2 2 2 3 2 2" xfId="16237" xr:uid="{00000000-0005-0000-0000-000040180000}"/>
    <cellStyle name="40% - Accent4 2 2 2 3 2 3" xfId="25560" xr:uid="{00000000-0005-0000-0000-000041180000}"/>
    <cellStyle name="40% - Accent4 2 2 2 3 3" xfId="10442" xr:uid="{00000000-0005-0000-0000-000042180000}"/>
    <cellStyle name="40% - Accent4 2 2 2 3 4" xfId="19766" xr:uid="{00000000-0005-0000-0000-000043180000}"/>
    <cellStyle name="40% - Accent4 2 2 2 4" xfId="1555" xr:uid="{00000000-0005-0000-0000-000044180000}"/>
    <cellStyle name="40% - Accent4 2 2 2 4 2" xfId="6516" xr:uid="{00000000-0005-0000-0000-000045180000}"/>
    <cellStyle name="40% - Accent4 2 2 2 4 2 2" xfId="15840" xr:uid="{00000000-0005-0000-0000-000046180000}"/>
    <cellStyle name="40% - Accent4 2 2 2 4 2 3" xfId="25163" xr:uid="{00000000-0005-0000-0000-000047180000}"/>
    <cellStyle name="40% - Accent4 2 2 2 4 3" xfId="11123" xr:uid="{00000000-0005-0000-0000-000048180000}"/>
    <cellStyle name="40% - Accent4 2 2 2 4 4" xfId="20447" xr:uid="{00000000-0005-0000-0000-000049180000}"/>
    <cellStyle name="40% - Accent4 2 2 2 5" xfId="3342" xr:uid="{00000000-0005-0000-0000-00004A180000}"/>
    <cellStyle name="40% - Accent4 2 2 2 5 2" xfId="8021" xr:uid="{00000000-0005-0000-0000-00004B180000}"/>
    <cellStyle name="40% - Accent4 2 2 2 5 2 2" xfId="17345" xr:uid="{00000000-0005-0000-0000-00004C180000}"/>
    <cellStyle name="40% - Accent4 2 2 2 5 2 3" xfId="26668" xr:uid="{00000000-0005-0000-0000-00004D180000}"/>
    <cellStyle name="40% - Accent4 2 2 2 5 3" xfId="12728" xr:uid="{00000000-0005-0000-0000-00004E180000}"/>
    <cellStyle name="40% - Accent4 2 2 2 5 4" xfId="22054" xr:uid="{00000000-0005-0000-0000-00004F180000}"/>
    <cellStyle name="40% - Accent4 2 2 2 6" xfId="5008" xr:uid="{00000000-0005-0000-0000-000050180000}"/>
    <cellStyle name="40% - Accent4 2 2 2 6 2" xfId="14332" xr:uid="{00000000-0005-0000-0000-000051180000}"/>
    <cellStyle name="40% - Accent4 2 2 2 6 3" xfId="23655" xr:uid="{00000000-0005-0000-0000-000052180000}"/>
    <cellStyle name="40% - Accent4 2 2 2 7" xfId="7197" xr:uid="{00000000-0005-0000-0000-000053180000}"/>
    <cellStyle name="40% - Accent4 2 2 2 7 2" xfId="16521" xr:uid="{00000000-0005-0000-0000-000054180000}"/>
    <cellStyle name="40% - Accent4 2 2 2 7 3" xfId="25844" xr:uid="{00000000-0005-0000-0000-000055180000}"/>
    <cellStyle name="40% - Accent4 2 2 2 8" xfId="9464" xr:uid="{00000000-0005-0000-0000-000056180000}"/>
    <cellStyle name="40% - Accent4 2 2 2 8 2" xfId="18788" xr:uid="{00000000-0005-0000-0000-000057180000}"/>
    <cellStyle name="40% - Accent4 2 2 2 8 3" xfId="28111" xr:uid="{00000000-0005-0000-0000-000058180000}"/>
    <cellStyle name="40% - Accent4 2 2 2 9" xfId="9958" xr:uid="{00000000-0005-0000-0000-000059180000}"/>
    <cellStyle name="40% - Accent4 2 2 3" xfId="471" xr:uid="{00000000-0005-0000-0000-00005A180000}"/>
    <cellStyle name="40% - Accent4 2 2 3 2" xfId="959" xr:uid="{00000000-0005-0000-0000-00005B180000}"/>
    <cellStyle name="40% - Accent4 2 2 3 2 2" xfId="6820" xr:uid="{00000000-0005-0000-0000-00005C180000}"/>
    <cellStyle name="40% - Accent4 2 2 3 2 2 2" xfId="16144" xr:uid="{00000000-0005-0000-0000-00005D180000}"/>
    <cellStyle name="40% - Accent4 2 2 3 2 2 3" xfId="25467" xr:uid="{00000000-0005-0000-0000-00005E180000}"/>
    <cellStyle name="40% - Accent4 2 2 3 2 3" xfId="10560" xr:uid="{00000000-0005-0000-0000-00005F180000}"/>
    <cellStyle name="40% - Accent4 2 2 3 2 4" xfId="19884" xr:uid="{00000000-0005-0000-0000-000060180000}"/>
    <cellStyle name="40% - Accent4 2 2 3 3" xfId="1557" xr:uid="{00000000-0005-0000-0000-000061180000}"/>
    <cellStyle name="40% - Accent4 2 2 3 3 2" xfId="6514" xr:uid="{00000000-0005-0000-0000-000062180000}"/>
    <cellStyle name="40% - Accent4 2 2 3 3 2 2" xfId="15838" xr:uid="{00000000-0005-0000-0000-000063180000}"/>
    <cellStyle name="40% - Accent4 2 2 3 3 2 3" xfId="25161" xr:uid="{00000000-0005-0000-0000-000064180000}"/>
    <cellStyle name="40% - Accent4 2 2 3 3 3" xfId="11125" xr:uid="{00000000-0005-0000-0000-000065180000}"/>
    <cellStyle name="40% - Accent4 2 2 3 3 4" xfId="20449" xr:uid="{00000000-0005-0000-0000-000066180000}"/>
    <cellStyle name="40% - Accent4 2 2 3 4" xfId="3344" xr:uid="{00000000-0005-0000-0000-000067180000}"/>
    <cellStyle name="40% - Accent4 2 2 3 4 2" xfId="8023" xr:uid="{00000000-0005-0000-0000-000068180000}"/>
    <cellStyle name="40% - Accent4 2 2 3 4 2 2" xfId="17347" xr:uid="{00000000-0005-0000-0000-000069180000}"/>
    <cellStyle name="40% - Accent4 2 2 3 4 2 3" xfId="26670" xr:uid="{00000000-0005-0000-0000-00006A180000}"/>
    <cellStyle name="40% - Accent4 2 2 3 4 3" xfId="12730" xr:uid="{00000000-0005-0000-0000-00006B180000}"/>
    <cellStyle name="40% - Accent4 2 2 3 4 4" xfId="22056" xr:uid="{00000000-0005-0000-0000-00006C180000}"/>
    <cellStyle name="40% - Accent4 2 2 3 5" xfId="5010" xr:uid="{00000000-0005-0000-0000-00006D180000}"/>
    <cellStyle name="40% - Accent4 2 2 3 5 2" xfId="14334" xr:uid="{00000000-0005-0000-0000-00006E180000}"/>
    <cellStyle name="40% - Accent4 2 2 3 5 3" xfId="23657" xr:uid="{00000000-0005-0000-0000-00006F180000}"/>
    <cellStyle name="40% - Accent4 2 2 3 6" xfId="7132" xr:uid="{00000000-0005-0000-0000-000070180000}"/>
    <cellStyle name="40% - Accent4 2 2 3 6 2" xfId="16456" xr:uid="{00000000-0005-0000-0000-000071180000}"/>
    <cellStyle name="40% - Accent4 2 2 3 6 3" xfId="25779" xr:uid="{00000000-0005-0000-0000-000072180000}"/>
    <cellStyle name="40% - Accent4 2 2 3 7" xfId="9582" xr:uid="{00000000-0005-0000-0000-000073180000}"/>
    <cellStyle name="40% - Accent4 2 2 3 7 2" xfId="18906" xr:uid="{00000000-0005-0000-0000-000074180000}"/>
    <cellStyle name="40% - Accent4 2 2 3 7 3" xfId="28229" xr:uid="{00000000-0005-0000-0000-000075180000}"/>
    <cellStyle name="40% - Accent4 2 2 3 8" xfId="10076" xr:uid="{00000000-0005-0000-0000-000076180000}"/>
    <cellStyle name="40% - Accent4 2 2 3 9" xfId="19400" xr:uid="{00000000-0005-0000-0000-000077180000}"/>
    <cellStyle name="40% - Accent4 2 2 4" xfId="719" xr:uid="{00000000-0005-0000-0000-000078180000}"/>
    <cellStyle name="40% - Accent4 2 2 4 2" xfId="5305" xr:uid="{00000000-0005-0000-0000-000079180000}"/>
    <cellStyle name="40% - Accent4 2 2 4 2 2" xfId="14629" xr:uid="{00000000-0005-0000-0000-00007A180000}"/>
    <cellStyle name="40% - Accent4 2 2 4 2 3" xfId="23952" xr:uid="{00000000-0005-0000-0000-00007B180000}"/>
    <cellStyle name="40% - Accent4 2 2 4 3" xfId="10320" xr:uid="{00000000-0005-0000-0000-00007C180000}"/>
    <cellStyle name="40% - Accent4 2 2 4 4" xfId="19644" xr:uid="{00000000-0005-0000-0000-00007D180000}"/>
    <cellStyle name="40% - Accent4 2 2 5" xfId="1554" xr:uid="{00000000-0005-0000-0000-00007E180000}"/>
    <cellStyle name="40% - Accent4 2 2 5 2" xfId="4796" xr:uid="{00000000-0005-0000-0000-00007F180000}"/>
    <cellStyle name="40% - Accent4 2 2 5 2 2" xfId="14120" xr:uid="{00000000-0005-0000-0000-000080180000}"/>
    <cellStyle name="40% - Accent4 2 2 5 2 3" xfId="23443" xr:uid="{00000000-0005-0000-0000-000081180000}"/>
    <cellStyle name="40% - Accent4 2 2 5 3" xfId="11122" xr:uid="{00000000-0005-0000-0000-000082180000}"/>
    <cellStyle name="40% - Accent4 2 2 5 4" xfId="20446" xr:uid="{00000000-0005-0000-0000-000083180000}"/>
    <cellStyle name="40% - Accent4 2 2 6" xfId="3341" xr:uid="{00000000-0005-0000-0000-000084180000}"/>
    <cellStyle name="40% - Accent4 2 2 6 2" xfId="8020" xr:uid="{00000000-0005-0000-0000-000085180000}"/>
    <cellStyle name="40% - Accent4 2 2 6 2 2" xfId="17344" xr:uid="{00000000-0005-0000-0000-000086180000}"/>
    <cellStyle name="40% - Accent4 2 2 6 2 3" xfId="26667" xr:uid="{00000000-0005-0000-0000-000087180000}"/>
    <cellStyle name="40% - Accent4 2 2 6 3" xfId="12727" xr:uid="{00000000-0005-0000-0000-000088180000}"/>
    <cellStyle name="40% - Accent4 2 2 6 4" xfId="22053" xr:uid="{00000000-0005-0000-0000-000089180000}"/>
    <cellStyle name="40% - Accent4 2 2 7" xfId="5007" xr:uid="{00000000-0005-0000-0000-00008A180000}"/>
    <cellStyle name="40% - Accent4 2 2 7 2" xfId="14331" xr:uid="{00000000-0005-0000-0000-00008B180000}"/>
    <cellStyle name="40% - Accent4 2 2 7 3" xfId="23654" xr:uid="{00000000-0005-0000-0000-00008C180000}"/>
    <cellStyle name="40% - Accent4 2 2 8" xfId="7264" xr:uid="{00000000-0005-0000-0000-00008D180000}"/>
    <cellStyle name="40% - Accent4 2 2 8 2" xfId="16588" xr:uid="{00000000-0005-0000-0000-00008E180000}"/>
    <cellStyle name="40% - Accent4 2 2 8 3" xfId="25911" xr:uid="{00000000-0005-0000-0000-00008F180000}"/>
    <cellStyle name="40% - Accent4 2 2 9" xfId="9341" xr:uid="{00000000-0005-0000-0000-000090180000}"/>
    <cellStyle name="40% - Accent4 2 2 9 2" xfId="18665" xr:uid="{00000000-0005-0000-0000-000091180000}"/>
    <cellStyle name="40% - Accent4 2 2 9 3" xfId="27988" xr:uid="{00000000-0005-0000-0000-000092180000}"/>
    <cellStyle name="40% - Accent4 2 3" xfId="267" xr:uid="{00000000-0005-0000-0000-000093180000}"/>
    <cellStyle name="40% - Accent4 2 3 2" xfId="521" xr:uid="{00000000-0005-0000-0000-000094180000}"/>
    <cellStyle name="40% - Accent4 2 3 2 2" xfId="1009" xr:uid="{00000000-0005-0000-0000-000095180000}"/>
    <cellStyle name="40% - Accent4 2 3 2 2 2" xfId="4555" xr:uid="{00000000-0005-0000-0000-000096180000}"/>
    <cellStyle name="40% - Accent4 2 3 2 2 2 2" xfId="13879" xr:uid="{00000000-0005-0000-0000-000097180000}"/>
    <cellStyle name="40% - Accent4 2 3 2 2 2 3" xfId="23202" xr:uid="{00000000-0005-0000-0000-000098180000}"/>
    <cellStyle name="40% - Accent4 2 3 2 2 3" xfId="10610" xr:uid="{00000000-0005-0000-0000-000099180000}"/>
    <cellStyle name="40% - Accent4 2 3 2 2 4" xfId="19934" xr:uid="{00000000-0005-0000-0000-00009A180000}"/>
    <cellStyle name="40% - Accent4 2 3 2 3" xfId="1559" xr:uid="{00000000-0005-0000-0000-00009B180000}"/>
    <cellStyle name="40% - Accent4 2 3 2 3 2" xfId="6512" xr:uid="{00000000-0005-0000-0000-00009C180000}"/>
    <cellStyle name="40% - Accent4 2 3 2 3 2 2" xfId="15836" xr:uid="{00000000-0005-0000-0000-00009D180000}"/>
    <cellStyle name="40% - Accent4 2 3 2 3 2 3" xfId="25159" xr:uid="{00000000-0005-0000-0000-00009E180000}"/>
    <cellStyle name="40% - Accent4 2 3 2 3 3" xfId="11127" xr:uid="{00000000-0005-0000-0000-00009F180000}"/>
    <cellStyle name="40% - Accent4 2 3 2 3 4" xfId="20451" xr:uid="{00000000-0005-0000-0000-0000A0180000}"/>
    <cellStyle name="40% - Accent4 2 3 2 4" xfId="3346" xr:uid="{00000000-0005-0000-0000-0000A1180000}"/>
    <cellStyle name="40% - Accent4 2 3 2 4 2" xfId="8025" xr:uid="{00000000-0005-0000-0000-0000A2180000}"/>
    <cellStyle name="40% - Accent4 2 3 2 4 2 2" xfId="17349" xr:uid="{00000000-0005-0000-0000-0000A3180000}"/>
    <cellStyle name="40% - Accent4 2 3 2 4 2 3" xfId="26672" xr:uid="{00000000-0005-0000-0000-0000A4180000}"/>
    <cellStyle name="40% - Accent4 2 3 2 4 3" xfId="12732" xr:uid="{00000000-0005-0000-0000-0000A5180000}"/>
    <cellStyle name="40% - Accent4 2 3 2 4 4" xfId="22058" xr:uid="{00000000-0005-0000-0000-0000A6180000}"/>
    <cellStyle name="40% - Accent4 2 3 2 5" xfId="5012" xr:uid="{00000000-0005-0000-0000-0000A7180000}"/>
    <cellStyle name="40% - Accent4 2 3 2 5 2" xfId="14336" xr:uid="{00000000-0005-0000-0000-0000A8180000}"/>
    <cellStyle name="40% - Accent4 2 3 2 5 3" xfId="23659" xr:uid="{00000000-0005-0000-0000-0000A9180000}"/>
    <cellStyle name="40% - Accent4 2 3 2 6" xfId="9632" xr:uid="{00000000-0005-0000-0000-0000AA180000}"/>
    <cellStyle name="40% - Accent4 2 3 2 6 2" xfId="18956" xr:uid="{00000000-0005-0000-0000-0000AB180000}"/>
    <cellStyle name="40% - Accent4 2 3 2 6 3" xfId="28279" xr:uid="{00000000-0005-0000-0000-0000AC180000}"/>
    <cellStyle name="40% - Accent4 2 3 2 7" xfId="10126" xr:uid="{00000000-0005-0000-0000-0000AD180000}"/>
    <cellStyle name="40% - Accent4 2 3 2 8" xfId="19450" xr:uid="{00000000-0005-0000-0000-0000AE180000}"/>
    <cellStyle name="40% - Accent4 2 3 3" xfId="769" xr:uid="{00000000-0005-0000-0000-0000AF180000}"/>
    <cellStyle name="40% - Accent4 2 3 3 2" xfId="6960" xr:uid="{00000000-0005-0000-0000-0000B0180000}"/>
    <cellStyle name="40% - Accent4 2 3 3 2 2" xfId="16284" xr:uid="{00000000-0005-0000-0000-0000B1180000}"/>
    <cellStyle name="40% - Accent4 2 3 3 2 3" xfId="25607" xr:uid="{00000000-0005-0000-0000-0000B2180000}"/>
    <cellStyle name="40% - Accent4 2 3 3 3" xfId="10370" xr:uid="{00000000-0005-0000-0000-0000B3180000}"/>
    <cellStyle name="40% - Accent4 2 3 3 4" xfId="19694" xr:uid="{00000000-0005-0000-0000-0000B4180000}"/>
    <cellStyle name="40% - Accent4 2 3 4" xfId="1558" xr:uid="{00000000-0005-0000-0000-0000B5180000}"/>
    <cellStyle name="40% - Accent4 2 3 4 2" xfId="6513" xr:uid="{00000000-0005-0000-0000-0000B6180000}"/>
    <cellStyle name="40% - Accent4 2 3 4 2 2" xfId="15837" xr:uid="{00000000-0005-0000-0000-0000B7180000}"/>
    <cellStyle name="40% - Accent4 2 3 4 2 3" xfId="25160" xr:uid="{00000000-0005-0000-0000-0000B8180000}"/>
    <cellStyle name="40% - Accent4 2 3 4 3" xfId="11126" xr:uid="{00000000-0005-0000-0000-0000B9180000}"/>
    <cellStyle name="40% - Accent4 2 3 4 4" xfId="20450" xr:uid="{00000000-0005-0000-0000-0000BA180000}"/>
    <cellStyle name="40% - Accent4 2 3 5" xfId="3345" xr:uid="{00000000-0005-0000-0000-0000BB180000}"/>
    <cellStyle name="40% - Accent4 2 3 5 2" xfId="8024" xr:uid="{00000000-0005-0000-0000-0000BC180000}"/>
    <cellStyle name="40% - Accent4 2 3 5 2 2" xfId="17348" xr:uid="{00000000-0005-0000-0000-0000BD180000}"/>
    <cellStyle name="40% - Accent4 2 3 5 2 3" xfId="26671" xr:uid="{00000000-0005-0000-0000-0000BE180000}"/>
    <cellStyle name="40% - Accent4 2 3 5 3" xfId="12731" xr:uid="{00000000-0005-0000-0000-0000BF180000}"/>
    <cellStyle name="40% - Accent4 2 3 5 4" xfId="22057" xr:uid="{00000000-0005-0000-0000-0000C0180000}"/>
    <cellStyle name="40% - Accent4 2 3 6" xfId="5011" xr:uid="{00000000-0005-0000-0000-0000C1180000}"/>
    <cellStyle name="40% - Accent4 2 3 6 2" xfId="14335" xr:uid="{00000000-0005-0000-0000-0000C2180000}"/>
    <cellStyle name="40% - Accent4 2 3 6 3" xfId="23658" xr:uid="{00000000-0005-0000-0000-0000C3180000}"/>
    <cellStyle name="40% - Accent4 2 3 7" xfId="9391" xr:uid="{00000000-0005-0000-0000-0000C4180000}"/>
    <cellStyle name="40% - Accent4 2 3 7 2" xfId="18715" xr:uid="{00000000-0005-0000-0000-0000C5180000}"/>
    <cellStyle name="40% - Accent4 2 3 7 3" xfId="28038" xr:uid="{00000000-0005-0000-0000-0000C6180000}"/>
    <cellStyle name="40% - Accent4 2 3 8" xfId="9885" xr:uid="{00000000-0005-0000-0000-0000C7180000}"/>
    <cellStyle name="40% - Accent4 2 3 9" xfId="19209" xr:uid="{00000000-0005-0000-0000-0000C8180000}"/>
    <cellStyle name="40% - Accent4 2 4" xfId="412" xr:uid="{00000000-0005-0000-0000-0000C9180000}"/>
    <cellStyle name="40% - Accent4 2 4 2" xfId="900" xr:uid="{00000000-0005-0000-0000-0000CA180000}"/>
    <cellStyle name="40% - Accent4 2 4 2 2" xfId="6864" xr:uid="{00000000-0005-0000-0000-0000CB180000}"/>
    <cellStyle name="40% - Accent4 2 4 2 2 2" xfId="16188" xr:uid="{00000000-0005-0000-0000-0000CC180000}"/>
    <cellStyle name="40% - Accent4 2 4 2 2 3" xfId="25511" xr:uid="{00000000-0005-0000-0000-0000CD180000}"/>
    <cellStyle name="40% - Accent4 2 4 2 3" xfId="10501" xr:uid="{00000000-0005-0000-0000-0000CE180000}"/>
    <cellStyle name="40% - Accent4 2 4 2 4" xfId="19825" xr:uid="{00000000-0005-0000-0000-0000CF180000}"/>
    <cellStyle name="40% - Accent4 2 4 3" xfId="1560" xr:uid="{00000000-0005-0000-0000-0000D0180000}"/>
    <cellStyle name="40% - Accent4 2 4 3 2" xfId="6511" xr:uid="{00000000-0005-0000-0000-0000D1180000}"/>
    <cellStyle name="40% - Accent4 2 4 3 2 2" xfId="15835" xr:uid="{00000000-0005-0000-0000-0000D2180000}"/>
    <cellStyle name="40% - Accent4 2 4 3 2 3" xfId="25158" xr:uid="{00000000-0005-0000-0000-0000D3180000}"/>
    <cellStyle name="40% - Accent4 2 4 3 3" xfId="11128" xr:uid="{00000000-0005-0000-0000-0000D4180000}"/>
    <cellStyle name="40% - Accent4 2 4 3 4" xfId="20452" xr:uid="{00000000-0005-0000-0000-0000D5180000}"/>
    <cellStyle name="40% - Accent4 2 4 4" xfId="3347" xr:uid="{00000000-0005-0000-0000-0000D6180000}"/>
    <cellStyle name="40% - Accent4 2 4 4 2" xfId="8026" xr:uid="{00000000-0005-0000-0000-0000D7180000}"/>
    <cellStyle name="40% - Accent4 2 4 4 2 2" xfId="17350" xr:uid="{00000000-0005-0000-0000-0000D8180000}"/>
    <cellStyle name="40% - Accent4 2 4 4 2 3" xfId="26673" xr:uid="{00000000-0005-0000-0000-0000D9180000}"/>
    <cellStyle name="40% - Accent4 2 4 4 3" xfId="12733" xr:uid="{00000000-0005-0000-0000-0000DA180000}"/>
    <cellStyle name="40% - Accent4 2 4 4 4" xfId="22059" xr:uid="{00000000-0005-0000-0000-0000DB180000}"/>
    <cellStyle name="40% - Accent4 2 4 5" xfId="5013" xr:uid="{00000000-0005-0000-0000-0000DC180000}"/>
    <cellStyle name="40% - Accent4 2 4 5 2" xfId="14337" xr:uid="{00000000-0005-0000-0000-0000DD180000}"/>
    <cellStyle name="40% - Accent4 2 4 5 3" xfId="23660" xr:uid="{00000000-0005-0000-0000-0000DE180000}"/>
    <cellStyle name="40% - Accent4 2 4 6" xfId="7170" xr:uid="{00000000-0005-0000-0000-0000DF180000}"/>
    <cellStyle name="40% - Accent4 2 4 6 2" xfId="16494" xr:uid="{00000000-0005-0000-0000-0000E0180000}"/>
    <cellStyle name="40% - Accent4 2 4 6 3" xfId="25817" xr:uid="{00000000-0005-0000-0000-0000E1180000}"/>
    <cellStyle name="40% - Accent4 2 4 7" xfId="9523" xr:uid="{00000000-0005-0000-0000-0000E2180000}"/>
    <cellStyle name="40% - Accent4 2 4 7 2" xfId="18847" xr:uid="{00000000-0005-0000-0000-0000E3180000}"/>
    <cellStyle name="40% - Accent4 2 4 7 3" xfId="28170" xr:uid="{00000000-0005-0000-0000-0000E4180000}"/>
    <cellStyle name="40% - Accent4 2 4 8" xfId="10017" xr:uid="{00000000-0005-0000-0000-0000E5180000}"/>
    <cellStyle name="40% - Accent4 2 4 9" xfId="19341" xr:uid="{00000000-0005-0000-0000-0000E6180000}"/>
    <cellStyle name="40% - Accent4 2 5" xfId="660" xr:uid="{00000000-0005-0000-0000-0000E7180000}"/>
    <cellStyle name="40% - Accent4 2 5 2" xfId="1561" xr:uid="{00000000-0005-0000-0000-0000E8180000}"/>
    <cellStyle name="40% - Accent4 2 5 2 2" xfId="6510" xr:uid="{00000000-0005-0000-0000-0000E9180000}"/>
    <cellStyle name="40% - Accent4 2 5 2 2 2" xfId="15834" xr:uid="{00000000-0005-0000-0000-0000EA180000}"/>
    <cellStyle name="40% - Accent4 2 5 2 2 3" xfId="25157" xr:uid="{00000000-0005-0000-0000-0000EB180000}"/>
    <cellStyle name="40% - Accent4 2 5 2 3" xfId="11129" xr:uid="{00000000-0005-0000-0000-0000EC180000}"/>
    <cellStyle name="40% - Accent4 2 5 2 4" xfId="20453" xr:uid="{00000000-0005-0000-0000-0000ED180000}"/>
    <cellStyle name="40% - Accent4 2 5 3" xfId="3348" xr:uid="{00000000-0005-0000-0000-0000EE180000}"/>
    <cellStyle name="40% - Accent4 2 5 3 2" xfId="8027" xr:uid="{00000000-0005-0000-0000-0000EF180000}"/>
    <cellStyle name="40% - Accent4 2 5 3 2 2" xfId="17351" xr:uid="{00000000-0005-0000-0000-0000F0180000}"/>
    <cellStyle name="40% - Accent4 2 5 3 2 3" xfId="26674" xr:uid="{00000000-0005-0000-0000-0000F1180000}"/>
    <cellStyle name="40% - Accent4 2 5 3 3" xfId="12734" xr:uid="{00000000-0005-0000-0000-0000F2180000}"/>
    <cellStyle name="40% - Accent4 2 5 3 4" xfId="22060" xr:uid="{00000000-0005-0000-0000-0000F3180000}"/>
    <cellStyle name="40% - Accent4 2 5 4" xfId="5014" xr:uid="{00000000-0005-0000-0000-0000F4180000}"/>
    <cellStyle name="40% - Accent4 2 5 4 2" xfId="14338" xr:uid="{00000000-0005-0000-0000-0000F5180000}"/>
    <cellStyle name="40% - Accent4 2 5 4 3" xfId="23661" xr:uid="{00000000-0005-0000-0000-0000F6180000}"/>
    <cellStyle name="40% - Accent4 2 5 5" xfId="10261" xr:uid="{00000000-0005-0000-0000-0000F7180000}"/>
    <cellStyle name="40% - Accent4 2 5 6" xfId="19585" xr:uid="{00000000-0005-0000-0000-0000F8180000}"/>
    <cellStyle name="40% - Accent4 2 6" xfId="1562" xr:uid="{00000000-0005-0000-0000-0000F9180000}"/>
    <cellStyle name="40% - Accent4 2 6 2" xfId="3349" xr:uid="{00000000-0005-0000-0000-0000FA180000}"/>
    <cellStyle name="40% - Accent4 2 6 2 2" xfId="8028" xr:uid="{00000000-0005-0000-0000-0000FB180000}"/>
    <cellStyle name="40% - Accent4 2 6 2 2 2" xfId="17352" xr:uid="{00000000-0005-0000-0000-0000FC180000}"/>
    <cellStyle name="40% - Accent4 2 6 2 2 3" xfId="26675" xr:uid="{00000000-0005-0000-0000-0000FD180000}"/>
    <cellStyle name="40% - Accent4 2 6 2 3" xfId="12735" xr:uid="{00000000-0005-0000-0000-0000FE180000}"/>
    <cellStyle name="40% - Accent4 2 6 2 4" xfId="22061" xr:uid="{00000000-0005-0000-0000-0000FF180000}"/>
    <cellStyle name="40% - Accent4 2 6 3" xfId="5015" xr:uid="{00000000-0005-0000-0000-000000190000}"/>
    <cellStyle name="40% - Accent4 2 6 3 2" xfId="14339" xr:uid="{00000000-0005-0000-0000-000001190000}"/>
    <cellStyle name="40% - Accent4 2 6 3 3" xfId="23662" xr:uid="{00000000-0005-0000-0000-000002190000}"/>
    <cellStyle name="40% - Accent4 2 6 4" xfId="11130" xr:uid="{00000000-0005-0000-0000-000003190000}"/>
    <cellStyle name="40% - Accent4 2 6 5" xfId="20454" xr:uid="{00000000-0005-0000-0000-000004190000}"/>
    <cellStyle name="40% - Accent4 2 7" xfId="1553" xr:uid="{00000000-0005-0000-0000-000005190000}"/>
    <cellStyle name="40% - Accent4 2 7 2" xfId="3340" xr:uid="{00000000-0005-0000-0000-000006190000}"/>
    <cellStyle name="40% - Accent4 2 7 2 2" xfId="8019" xr:uid="{00000000-0005-0000-0000-000007190000}"/>
    <cellStyle name="40% - Accent4 2 7 2 2 2" xfId="17343" xr:uid="{00000000-0005-0000-0000-000008190000}"/>
    <cellStyle name="40% - Accent4 2 7 2 2 3" xfId="26666" xr:uid="{00000000-0005-0000-0000-000009190000}"/>
    <cellStyle name="40% - Accent4 2 7 2 3" xfId="12726" xr:uid="{00000000-0005-0000-0000-00000A190000}"/>
    <cellStyle name="40% - Accent4 2 7 2 4" xfId="22052" xr:uid="{00000000-0005-0000-0000-00000B190000}"/>
    <cellStyle name="40% - Accent4 2 7 3" xfId="5006" xr:uid="{00000000-0005-0000-0000-00000C190000}"/>
    <cellStyle name="40% - Accent4 2 7 3 2" xfId="14330" xr:uid="{00000000-0005-0000-0000-00000D190000}"/>
    <cellStyle name="40% - Accent4 2 7 3 3" xfId="23653" xr:uid="{00000000-0005-0000-0000-00000E190000}"/>
    <cellStyle name="40% - Accent4 2 7 4" xfId="11121" xr:uid="{00000000-0005-0000-0000-00000F190000}"/>
    <cellStyle name="40% - Accent4 2 7 5" xfId="20445" xr:uid="{00000000-0005-0000-0000-000010190000}"/>
    <cellStyle name="40% - Accent4 2 8" xfId="1144" xr:uid="{00000000-0005-0000-0000-000011190000}"/>
    <cellStyle name="40% - Accent4 2 8 2" xfId="6705" xr:uid="{00000000-0005-0000-0000-000012190000}"/>
    <cellStyle name="40% - Accent4 2 8 2 2" xfId="16029" xr:uid="{00000000-0005-0000-0000-000013190000}"/>
    <cellStyle name="40% - Accent4 2 8 2 3" xfId="25352" xr:uid="{00000000-0005-0000-0000-000014190000}"/>
    <cellStyle name="40% - Accent4 2 8 3" xfId="10743" xr:uid="{00000000-0005-0000-0000-000015190000}"/>
    <cellStyle name="40% - Accent4 2 8 4" xfId="20067" xr:uid="{00000000-0005-0000-0000-000016190000}"/>
    <cellStyle name="40% - Accent4 2 9" xfId="2962" xr:uid="{00000000-0005-0000-0000-000017190000}"/>
    <cellStyle name="40% - Accent4 2 9 2" xfId="7641" xr:uid="{00000000-0005-0000-0000-000018190000}"/>
    <cellStyle name="40% - Accent4 2 9 2 2" xfId="16965" xr:uid="{00000000-0005-0000-0000-000019190000}"/>
    <cellStyle name="40% - Accent4 2 9 2 3" xfId="26288" xr:uid="{00000000-0005-0000-0000-00001A190000}"/>
    <cellStyle name="40% - Accent4 2 9 3" xfId="12363" xr:uid="{00000000-0005-0000-0000-00001B190000}"/>
    <cellStyle name="40% - Accent4 2 9 4" xfId="21689" xr:uid="{00000000-0005-0000-0000-00001C190000}"/>
    <cellStyle name="40% - Accent4 3" xfId="76" xr:uid="{00000000-0005-0000-0000-00001D190000}"/>
    <cellStyle name="40% - Accent4 3 10" xfId="9270" xr:uid="{00000000-0005-0000-0000-00001E190000}"/>
    <cellStyle name="40% - Accent4 3 10 2" xfId="18594" xr:uid="{00000000-0005-0000-0000-00001F190000}"/>
    <cellStyle name="40% - Accent4 3 10 3" xfId="27917" xr:uid="{00000000-0005-0000-0000-000020190000}"/>
    <cellStyle name="40% - Accent4 3 11" xfId="9764" xr:uid="{00000000-0005-0000-0000-000021190000}"/>
    <cellStyle name="40% - Accent4 3 12" xfId="19088" xr:uid="{00000000-0005-0000-0000-000022190000}"/>
    <cellStyle name="40% - Accent4 3 13" xfId="28882" xr:uid="{00000000-0005-0000-0000-000023190000}"/>
    <cellStyle name="40% - Accent4 3 2" xfId="214" xr:uid="{00000000-0005-0000-0000-000024190000}"/>
    <cellStyle name="40% - Accent4 3 2 10" xfId="9836" xr:uid="{00000000-0005-0000-0000-000025190000}"/>
    <cellStyle name="40% - Accent4 3 2 11" xfId="19160" xr:uid="{00000000-0005-0000-0000-000026190000}"/>
    <cellStyle name="40% - Accent4 3 2 2" xfId="354" xr:uid="{00000000-0005-0000-0000-000027190000}"/>
    <cellStyle name="40% - Accent4 3 2 2 10" xfId="19283" xr:uid="{00000000-0005-0000-0000-000028190000}"/>
    <cellStyle name="40% - Accent4 3 2 2 2" xfId="594" xr:uid="{00000000-0005-0000-0000-000029190000}"/>
    <cellStyle name="40% - Accent4 3 2 2 2 2" xfId="1082" xr:uid="{00000000-0005-0000-0000-00002A190000}"/>
    <cellStyle name="40% - Accent4 3 2 2 2 2 2" xfId="6319" xr:uid="{00000000-0005-0000-0000-00002B190000}"/>
    <cellStyle name="40% - Accent4 3 2 2 2 2 2 2" xfId="15643" xr:uid="{00000000-0005-0000-0000-00002C190000}"/>
    <cellStyle name="40% - Accent4 3 2 2 2 2 2 3" xfId="24966" xr:uid="{00000000-0005-0000-0000-00002D190000}"/>
    <cellStyle name="40% - Accent4 3 2 2 2 2 3" xfId="10683" xr:uid="{00000000-0005-0000-0000-00002E190000}"/>
    <cellStyle name="40% - Accent4 3 2 2 2 2 4" xfId="20007" xr:uid="{00000000-0005-0000-0000-00002F190000}"/>
    <cellStyle name="40% - Accent4 3 2 2 2 3" xfId="7059" xr:uid="{00000000-0005-0000-0000-000030190000}"/>
    <cellStyle name="40% - Accent4 3 2 2 2 3 2" xfId="16383" xr:uid="{00000000-0005-0000-0000-000031190000}"/>
    <cellStyle name="40% - Accent4 3 2 2 2 3 3" xfId="25706" xr:uid="{00000000-0005-0000-0000-000032190000}"/>
    <cellStyle name="40% - Accent4 3 2 2 2 4" xfId="9705" xr:uid="{00000000-0005-0000-0000-000033190000}"/>
    <cellStyle name="40% - Accent4 3 2 2 2 4 2" xfId="19029" xr:uid="{00000000-0005-0000-0000-000034190000}"/>
    <cellStyle name="40% - Accent4 3 2 2 2 4 3" xfId="28352" xr:uid="{00000000-0005-0000-0000-000035190000}"/>
    <cellStyle name="40% - Accent4 3 2 2 2 5" xfId="10199" xr:uid="{00000000-0005-0000-0000-000036190000}"/>
    <cellStyle name="40% - Accent4 3 2 2 2 6" xfId="19523" xr:uid="{00000000-0005-0000-0000-000037190000}"/>
    <cellStyle name="40% - Accent4 3 2 2 3" xfId="842" xr:uid="{00000000-0005-0000-0000-000038190000}"/>
    <cellStyle name="40% - Accent4 3 2 2 3 2" xfId="7351" xr:uid="{00000000-0005-0000-0000-000039190000}"/>
    <cellStyle name="40% - Accent4 3 2 2 3 2 2" xfId="16675" xr:uid="{00000000-0005-0000-0000-00003A190000}"/>
    <cellStyle name="40% - Accent4 3 2 2 3 2 3" xfId="25998" xr:uid="{00000000-0005-0000-0000-00003B190000}"/>
    <cellStyle name="40% - Accent4 3 2 2 3 3" xfId="10443" xr:uid="{00000000-0005-0000-0000-00003C190000}"/>
    <cellStyle name="40% - Accent4 3 2 2 3 4" xfId="19767" xr:uid="{00000000-0005-0000-0000-00003D190000}"/>
    <cellStyle name="40% - Accent4 3 2 2 4" xfId="1565" xr:uid="{00000000-0005-0000-0000-00003E190000}"/>
    <cellStyle name="40% - Accent4 3 2 2 4 2" xfId="6507" xr:uid="{00000000-0005-0000-0000-00003F190000}"/>
    <cellStyle name="40% - Accent4 3 2 2 4 2 2" xfId="15831" xr:uid="{00000000-0005-0000-0000-000040190000}"/>
    <cellStyle name="40% - Accent4 3 2 2 4 2 3" xfId="25154" xr:uid="{00000000-0005-0000-0000-000041190000}"/>
    <cellStyle name="40% - Accent4 3 2 2 4 3" xfId="11133" xr:uid="{00000000-0005-0000-0000-000042190000}"/>
    <cellStyle name="40% - Accent4 3 2 2 4 4" xfId="20457" xr:uid="{00000000-0005-0000-0000-000043190000}"/>
    <cellStyle name="40% - Accent4 3 2 2 5" xfId="3352" xr:uid="{00000000-0005-0000-0000-000044190000}"/>
    <cellStyle name="40% - Accent4 3 2 2 5 2" xfId="8031" xr:uid="{00000000-0005-0000-0000-000045190000}"/>
    <cellStyle name="40% - Accent4 3 2 2 5 2 2" xfId="17355" xr:uid="{00000000-0005-0000-0000-000046190000}"/>
    <cellStyle name="40% - Accent4 3 2 2 5 2 3" xfId="26678" xr:uid="{00000000-0005-0000-0000-000047190000}"/>
    <cellStyle name="40% - Accent4 3 2 2 5 3" xfId="12738" xr:uid="{00000000-0005-0000-0000-000048190000}"/>
    <cellStyle name="40% - Accent4 3 2 2 5 4" xfId="22064" xr:uid="{00000000-0005-0000-0000-000049190000}"/>
    <cellStyle name="40% - Accent4 3 2 2 6" xfId="5018" xr:uid="{00000000-0005-0000-0000-00004A190000}"/>
    <cellStyle name="40% - Accent4 3 2 2 6 2" xfId="14342" xr:uid="{00000000-0005-0000-0000-00004B190000}"/>
    <cellStyle name="40% - Accent4 3 2 2 6 3" xfId="23665" xr:uid="{00000000-0005-0000-0000-00004C190000}"/>
    <cellStyle name="40% - Accent4 3 2 2 7" xfId="7196" xr:uid="{00000000-0005-0000-0000-00004D190000}"/>
    <cellStyle name="40% - Accent4 3 2 2 7 2" xfId="16520" xr:uid="{00000000-0005-0000-0000-00004E190000}"/>
    <cellStyle name="40% - Accent4 3 2 2 7 3" xfId="25843" xr:uid="{00000000-0005-0000-0000-00004F190000}"/>
    <cellStyle name="40% - Accent4 3 2 2 8" xfId="9465" xr:uid="{00000000-0005-0000-0000-000050190000}"/>
    <cellStyle name="40% - Accent4 3 2 2 8 2" xfId="18789" xr:uid="{00000000-0005-0000-0000-000051190000}"/>
    <cellStyle name="40% - Accent4 3 2 2 8 3" xfId="28112" xr:uid="{00000000-0005-0000-0000-000052190000}"/>
    <cellStyle name="40% - Accent4 3 2 2 9" xfId="9959" xr:uid="{00000000-0005-0000-0000-000053190000}"/>
    <cellStyle name="40% - Accent4 3 2 3" xfId="472" xr:uid="{00000000-0005-0000-0000-000054190000}"/>
    <cellStyle name="40% - Accent4 3 2 3 2" xfId="960" xr:uid="{00000000-0005-0000-0000-000055190000}"/>
    <cellStyle name="40% - Accent4 3 2 3 2 2" xfId="6818" xr:uid="{00000000-0005-0000-0000-000056190000}"/>
    <cellStyle name="40% - Accent4 3 2 3 2 2 2" xfId="16142" xr:uid="{00000000-0005-0000-0000-000057190000}"/>
    <cellStyle name="40% - Accent4 3 2 3 2 2 3" xfId="25465" xr:uid="{00000000-0005-0000-0000-000058190000}"/>
    <cellStyle name="40% - Accent4 3 2 3 2 3" xfId="10561" xr:uid="{00000000-0005-0000-0000-000059190000}"/>
    <cellStyle name="40% - Accent4 3 2 3 2 4" xfId="19885" xr:uid="{00000000-0005-0000-0000-00005A190000}"/>
    <cellStyle name="40% - Accent4 3 2 3 3" xfId="5887" xr:uid="{00000000-0005-0000-0000-00005B190000}"/>
    <cellStyle name="40% - Accent4 3 2 3 3 2" xfId="15211" xr:uid="{00000000-0005-0000-0000-00005C190000}"/>
    <cellStyle name="40% - Accent4 3 2 3 3 3" xfId="24534" xr:uid="{00000000-0005-0000-0000-00005D190000}"/>
    <cellStyle name="40% - Accent4 3 2 3 4" xfId="9583" xr:uid="{00000000-0005-0000-0000-00005E190000}"/>
    <cellStyle name="40% - Accent4 3 2 3 4 2" xfId="18907" xr:uid="{00000000-0005-0000-0000-00005F190000}"/>
    <cellStyle name="40% - Accent4 3 2 3 4 3" xfId="28230" xr:uid="{00000000-0005-0000-0000-000060190000}"/>
    <cellStyle name="40% - Accent4 3 2 3 5" xfId="10077" xr:uid="{00000000-0005-0000-0000-000061190000}"/>
    <cellStyle name="40% - Accent4 3 2 3 6" xfId="19401" xr:uid="{00000000-0005-0000-0000-000062190000}"/>
    <cellStyle name="40% - Accent4 3 2 4" xfId="720" xr:uid="{00000000-0005-0000-0000-000063190000}"/>
    <cellStyle name="40% - Accent4 3 2 4 2" xfId="6994" xr:uid="{00000000-0005-0000-0000-000064190000}"/>
    <cellStyle name="40% - Accent4 3 2 4 2 2" xfId="16318" xr:uid="{00000000-0005-0000-0000-000065190000}"/>
    <cellStyle name="40% - Accent4 3 2 4 2 3" xfId="25641" xr:uid="{00000000-0005-0000-0000-000066190000}"/>
    <cellStyle name="40% - Accent4 3 2 4 3" xfId="10321" xr:uid="{00000000-0005-0000-0000-000067190000}"/>
    <cellStyle name="40% - Accent4 3 2 4 4" xfId="19645" xr:uid="{00000000-0005-0000-0000-000068190000}"/>
    <cellStyle name="40% - Accent4 3 2 5" xfId="1564" xr:uid="{00000000-0005-0000-0000-000069190000}"/>
    <cellStyle name="40% - Accent4 3 2 5 2" xfId="6508" xr:uid="{00000000-0005-0000-0000-00006A190000}"/>
    <cellStyle name="40% - Accent4 3 2 5 2 2" xfId="15832" xr:uid="{00000000-0005-0000-0000-00006B190000}"/>
    <cellStyle name="40% - Accent4 3 2 5 2 3" xfId="25155" xr:uid="{00000000-0005-0000-0000-00006C190000}"/>
    <cellStyle name="40% - Accent4 3 2 5 3" xfId="11132" xr:uid="{00000000-0005-0000-0000-00006D190000}"/>
    <cellStyle name="40% - Accent4 3 2 5 4" xfId="20456" xr:uid="{00000000-0005-0000-0000-00006E190000}"/>
    <cellStyle name="40% - Accent4 3 2 6" xfId="3351" xr:uid="{00000000-0005-0000-0000-00006F190000}"/>
    <cellStyle name="40% - Accent4 3 2 6 2" xfId="8030" xr:uid="{00000000-0005-0000-0000-000070190000}"/>
    <cellStyle name="40% - Accent4 3 2 6 2 2" xfId="17354" xr:uid="{00000000-0005-0000-0000-000071190000}"/>
    <cellStyle name="40% - Accent4 3 2 6 2 3" xfId="26677" xr:uid="{00000000-0005-0000-0000-000072190000}"/>
    <cellStyle name="40% - Accent4 3 2 6 3" xfId="12737" xr:uid="{00000000-0005-0000-0000-000073190000}"/>
    <cellStyle name="40% - Accent4 3 2 6 4" xfId="22063" xr:uid="{00000000-0005-0000-0000-000074190000}"/>
    <cellStyle name="40% - Accent4 3 2 7" xfId="5017" xr:uid="{00000000-0005-0000-0000-000075190000}"/>
    <cellStyle name="40% - Accent4 3 2 7 2" xfId="14341" xr:uid="{00000000-0005-0000-0000-000076190000}"/>
    <cellStyle name="40% - Accent4 3 2 7 3" xfId="23664" xr:uid="{00000000-0005-0000-0000-000077190000}"/>
    <cellStyle name="40% - Accent4 3 2 8" xfId="7263" xr:uid="{00000000-0005-0000-0000-000078190000}"/>
    <cellStyle name="40% - Accent4 3 2 8 2" xfId="16587" xr:uid="{00000000-0005-0000-0000-000079190000}"/>
    <cellStyle name="40% - Accent4 3 2 8 3" xfId="25910" xr:uid="{00000000-0005-0000-0000-00007A190000}"/>
    <cellStyle name="40% - Accent4 3 2 9" xfId="9342" xr:uid="{00000000-0005-0000-0000-00007B190000}"/>
    <cellStyle name="40% - Accent4 3 2 9 2" xfId="18666" xr:uid="{00000000-0005-0000-0000-00007C190000}"/>
    <cellStyle name="40% - Accent4 3 2 9 3" xfId="27989" xr:uid="{00000000-0005-0000-0000-00007D190000}"/>
    <cellStyle name="40% - Accent4 3 3" xfId="294" xr:uid="{00000000-0005-0000-0000-00007E190000}"/>
    <cellStyle name="40% - Accent4 3 3 10" xfId="19228" xr:uid="{00000000-0005-0000-0000-00007F190000}"/>
    <cellStyle name="40% - Accent4 3 3 2" xfId="540" xr:uid="{00000000-0005-0000-0000-000080190000}"/>
    <cellStyle name="40% - Accent4 3 3 2 2" xfId="1028" xr:uid="{00000000-0005-0000-0000-000081190000}"/>
    <cellStyle name="40% - Accent4 3 3 2 2 2" xfId="6776" xr:uid="{00000000-0005-0000-0000-000082190000}"/>
    <cellStyle name="40% - Accent4 3 3 2 2 2 2" xfId="16100" xr:uid="{00000000-0005-0000-0000-000083190000}"/>
    <cellStyle name="40% - Accent4 3 3 2 2 2 3" xfId="25423" xr:uid="{00000000-0005-0000-0000-000084190000}"/>
    <cellStyle name="40% - Accent4 3 3 2 2 3" xfId="10629" xr:uid="{00000000-0005-0000-0000-000085190000}"/>
    <cellStyle name="40% - Accent4 3 3 2 2 4" xfId="19953" xr:uid="{00000000-0005-0000-0000-000086190000}"/>
    <cellStyle name="40% - Accent4 3 3 2 3" xfId="7097" xr:uid="{00000000-0005-0000-0000-000087190000}"/>
    <cellStyle name="40% - Accent4 3 3 2 3 2" xfId="16421" xr:uid="{00000000-0005-0000-0000-000088190000}"/>
    <cellStyle name="40% - Accent4 3 3 2 3 3" xfId="25744" xr:uid="{00000000-0005-0000-0000-000089190000}"/>
    <cellStyle name="40% - Accent4 3 3 2 4" xfId="9651" xr:uid="{00000000-0005-0000-0000-00008A190000}"/>
    <cellStyle name="40% - Accent4 3 3 2 4 2" xfId="18975" xr:uid="{00000000-0005-0000-0000-00008B190000}"/>
    <cellStyle name="40% - Accent4 3 3 2 4 3" xfId="28298" xr:uid="{00000000-0005-0000-0000-00008C190000}"/>
    <cellStyle name="40% - Accent4 3 3 2 5" xfId="10145" xr:uid="{00000000-0005-0000-0000-00008D190000}"/>
    <cellStyle name="40% - Accent4 3 3 2 6" xfId="19469" xr:uid="{00000000-0005-0000-0000-00008E190000}"/>
    <cellStyle name="40% - Accent4 3 3 3" xfId="788" xr:uid="{00000000-0005-0000-0000-00008F190000}"/>
    <cellStyle name="40% - Accent4 3 3 3 2" xfId="6951" xr:uid="{00000000-0005-0000-0000-000090190000}"/>
    <cellStyle name="40% - Accent4 3 3 3 2 2" xfId="16275" xr:uid="{00000000-0005-0000-0000-000091190000}"/>
    <cellStyle name="40% - Accent4 3 3 3 2 3" xfId="25598" xr:uid="{00000000-0005-0000-0000-000092190000}"/>
    <cellStyle name="40% - Accent4 3 3 3 3" xfId="10389" xr:uid="{00000000-0005-0000-0000-000093190000}"/>
    <cellStyle name="40% - Accent4 3 3 3 4" xfId="19713" xr:uid="{00000000-0005-0000-0000-000094190000}"/>
    <cellStyle name="40% - Accent4 3 3 4" xfId="1566" xr:uid="{00000000-0005-0000-0000-000095190000}"/>
    <cellStyle name="40% - Accent4 3 3 4 2" xfId="6506" xr:uid="{00000000-0005-0000-0000-000096190000}"/>
    <cellStyle name="40% - Accent4 3 3 4 2 2" xfId="15830" xr:uid="{00000000-0005-0000-0000-000097190000}"/>
    <cellStyle name="40% - Accent4 3 3 4 2 3" xfId="25153" xr:uid="{00000000-0005-0000-0000-000098190000}"/>
    <cellStyle name="40% - Accent4 3 3 4 3" xfId="11134" xr:uid="{00000000-0005-0000-0000-000099190000}"/>
    <cellStyle name="40% - Accent4 3 3 4 4" xfId="20458" xr:uid="{00000000-0005-0000-0000-00009A190000}"/>
    <cellStyle name="40% - Accent4 3 3 5" xfId="3353" xr:uid="{00000000-0005-0000-0000-00009B190000}"/>
    <cellStyle name="40% - Accent4 3 3 5 2" xfId="8032" xr:uid="{00000000-0005-0000-0000-00009C190000}"/>
    <cellStyle name="40% - Accent4 3 3 5 2 2" xfId="17356" xr:uid="{00000000-0005-0000-0000-00009D190000}"/>
    <cellStyle name="40% - Accent4 3 3 5 2 3" xfId="26679" xr:uid="{00000000-0005-0000-0000-00009E190000}"/>
    <cellStyle name="40% - Accent4 3 3 5 3" xfId="12739" xr:uid="{00000000-0005-0000-0000-00009F190000}"/>
    <cellStyle name="40% - Accent4 3 3 5 4" xfId="22065" xr:uid="{00000000-0005-0000-0000-0000A0190000}"/>
    <cellStyle name="40% - Accent4 3 3 6" xfId="5019" xr:uid="{00000000-0005-0000-0000-0000A1190000}"/>
    <cellStyle name="40% - Accent4 3 3 6 2" xfId="14343" xr:uid="{00000000-0005-0000-0000-0000A2190000}"/>
    <cellStyle name="40% - Accent4 3 3 6 3" xfId="23666" xr:uid="{00000000-0005-0000-0000-0000A3190000}"/>
    <cellStyle name="40% - Accent4 3 3 7" xfId="7230" xr:uid="{00000000-0005-0000-0000-0000A4190000}"/>
    <cellStyle name="40% - Accent4 3 3 7 2" xfId="16554" xr:uid="{00000000-0005-0000-0000-0000A5190000}"/>
    <cellStyle name="40% - Accent4 3 3 7 3" xfId="25877" xr:uid="{00000000-0005-0000-0000-0000A6190000}"/>
    <cellStyle name="40% - Accent4 3 3 8" xfId="9410" xr:uid="{00000000-0005-0000-0000-0000A7190000}"/>
    <cellStyle name="40% - Accent4 3 3 8 2" xfId="18734" xr:uid="{00000000-0005-0000-0000-0000A8190000}"/>
    <cellStyle name="40% - Accent4 3 3 8 3" xfId="28057" xr:uid="{00000000-0005-0000-0000-0000A9190000}"/>
    <cellStyle name="40% - Accent4 3 3 9" xfId="9904" xr:uid="{00000000-0005-0000-0000-0000AA190000}"/>
    <cellStyle name="40% - Accent4 3 4" xfId="413" xr:uid="{00000000-0005-0000-0000-0000AB190000}"/>
    <cellStyle name="40% - Accent4 3 4 2" xfId="901" xr:uid="{00000000-0005-0000-0000-0000AC190000}"/>
    <cellStyle name="40% - Accent4 3 4 2 2" xfId="6863" xr:uid="{00000000-0005-0000-0000-0000AD190000}"/>
    <cellStyle name="40% - Accent4 3 4 2 2 2" xfId="16187" xr:uid="{00000000-0005-0000-0000-0000AE190000}"/>
    <cellStyle name="40% - Accent4 3 4 2 2 3" xfId="25510" xr:uid="{00000000-0005-0000-0000-0000AF190000}"/>
    <cellStyle name="40% - Accent4 3 4 2 3" xfId="10502" xr:uid="{00000000-0005-0000-0000-0000B0190000}"/>
    <cellStyle name="40% - Accent4 3 4 2 4" xfId="19826" xr:uid="{00000000-0005-0000-0000-0000B1190000}"/>
    <cellStyle name="40% - Accent4 3 4 3" xfId="1567" xr:uid="{00000000-0005-0000-0000-0000B2190000}"/>
    <cellStyle name="40% - Accent4 3 4 3 2" xfId="6505" xr:uid="{00000000-0005-0000-0000-0000B3190000}"/>
    <cellStyle name="40% - Accent4 3 4 3 2 2" xfId="15829" xr:uid="{00000000-0005-0000-0000-0000B4190000}"/>
    <cellStyle name="40% - Accent4 3 4 3 2 3" xfId="25152" xr:uid="{00000000-0005-0000-0000-0000B5190000}"/>
    <cellStyle name="40% - Accent4 3 4 3 3" xfId="11135" xr:uid="{00000000-0005-0000-0000-0000B6190000}"/>
    <cellStyle name="40% - Accent4 3 4 3 4" xfId="20459" xr:uid="{00000000-0005-0000-0000-0000B7190000}"/>
    <cellStyle name="40% - Accent4 3 4 4" xfId="3354" xr:uid="{00000000-0005-0000-0000-0000B8190000}"/>
    <cellStyle name="40% - Accent4 3 4 4 2" xfId="8033" xr:uid="{00000000-0005-0000-0000-0000B9190000}"/>
    <cellStyle name="40% - Accent4 3 4 4 2 2" xfId="17357" xr:uid="{00000000-0005-0000-0000-0000BA190000}"/>
    <cellStyle name="40% - Accent4 3 4 4 2 3" xfId="26680" xr:uid="{00000000-0005-0000-0000-0000BB190000}"/>
    <cellStyle name="40% - Accent4 3 4 4 3" xfId="12740" xr:uid="{00000000-0005-0000-0000-0000BC190000}"/>
    <cellStyle name="40% - Accent4 3 4 4 4" xfId="22066" xr:uid="{00000000-0005-0000-0000-0000BD190000}"/>
    <cellStyle name="40% - Accent4 3 4 5" xfId="5020" xr:uid="{00000000-0005-0000-0000-0000BE190000}"/>
    <cellStyle name="40% - Accent4 3 4 5 2" xfId="14344" xr:uid="{00000000-0005-0000-0000-0000BF190000}"/>
    <cellStyle name="40% - Accent4 3 4 5 3" xfId="23667" xr:uid="{00000000-0005-0000-0000-0000C0190000}"/>
    <cellStyle name="40% - Accent4 3 4 6" xfId="7169" xr:uid="{00000000-0005-0000-0000-0000C1190000}"/>
    <cellStyle name="40% - Accent4 3 4 6 2" xfId="16493" xr:uid="{00000000-0005-0000-0000-0000C2190000}"/>
    <cellStyle name="40% - Accent4 3 4 6 3" xfId="25816" xr:uid="{00000000-0005-0000-0000-0000C3190000}"/>
    <cellStyle name="40% - Accent4 3 4 7" xfId="9524" xr:uid="{00000000-0005-0000-0000-0000C4190000}"/>
    <cellStyle name="40% - Accent4 3 4 7 2" xfId="18848" xr:uid="{00000000-0005-0000-0000-0000C5190000}"/>
    <cellStyle name="40% - Accent4 3 4 7 3" xfId="28171" xr:uid="{00000000-0005-0000-0000-0000C6190000}"/>
    <cellStyle name="40% - Accent4 3 4 8" xfId="10018" xr:uid="{00000000-0005-0000-0000-0000C7190000}"/>
    <cellStyle name="40% - Accent4 3 4 9" xfId="19342" xr:uid="{00000000-0005-0000-0000-0000C8190000}"/>
    <cellStyle name="40% - Accent4 3 5" xfId="661" xr:uid="{00000000-0005-0000-0000-0000C9190000}"/>
    <cellStyle name="40% - Accent4 3 5 2" xfId="1568" xr:uid="{00000000-0005-0000-0000-0000CA190000}"/>
    <cellStyle name="40% - Accent4 3 5 2 2" xfId="6504" xr:uid="{00000000-0005-0000-0000-0000CB190000}"/>
    <cellStyle name="40% - Accent4 3 5 2 2 2" xfId="15828" xr:uid="{00000000-0005-0000-0000-0000CC190000}"/>
    <cellStyle name="40% - Accent4 3 5 2 2 3" xfId="25151" xr:uid="{00000000-0005-0000-0000-0000CD190000}"/>
    <cellStyle name="40% - Accent4 3 5 2 3" xfId="11136" xr:uid="{00000000-0005-0000-0000-0000CE190000}"/>
    <cellStyle name="40% - Accent4 3 5 2 4" xfId="20460" xr:uid="{00000000-0005-0000-0000-0000CF190000}"/>
    <cellStyle name="40% - Accent4 3 5 3" xfId="3355" xr:uid="{00000000-0005-0000-0000-0000D0190000}"/>
    <cellStyle name="40% - Accent4 3 5 3 2" xfId="8034" xr:uid="{00000000-0005-0000-0000-0000D1190000}"/>
    <cellStyle name="40% - Accent4 3 5 3 2 2" xfId="17358" xr:uid="{00000000-0005-0000-0000-0000D2190000}"/>
    <cellStyle name="40% - Accent4 3 5 3 2 3" xfId="26681" xr:uid="{00000000-0005-0000-0000-0000D3190000}"/>
    <cellStyle name="40% - Accent4 3 5 3 3" xfId="12741" xr:uid="{00000000-0005-0000-0000-0000D4190000}"/>
    <cellStyle name="40% - Accent4 3 5 3 4" xfId="22067" xr:uid="{00000000-0005-0000-0000-0000D5190000}"/>
    <cellStyle name="40% - Accent4 3 5 4" xfId="5021" xr:uid="{00000000-0005-0000-0000-0000D6190000}"/>
    <cellStyle name="40% - Accent4 3 5 4 2" xfId="14345" xr:uid="{00000000-0005-0000-0000-0000D7190000}"/>
    <cellStyle name="40% - Accent4 3 5 4 3" xfId="23668" xr:uid="{00000000-0005-0000-0000-0000D8190000}"/>
    <cellStyle name="40% - Accent4 3 5 5" xfId="7036" xr:uid="{00000000-0005-0000-0000-0000D9190000}"/>
    <cellStyle name="40% - Accent4 3 5 5 2" xfId="16360" xr:uid="{00000000-0005-0000-0000-0000DA190000}"/>
    <cellStyle name="40% - Accent4 3 5 5 3" xfId="25683" xr:uid="{00000000-0005-0000-0000-0000DB190000}"/>
    <cellStyle name="40% - Accent4 3 5 6" xfId="10262" xr:uid="{00000000-0005-0000-0000-0000DC190000}"/>
    <cellStyle name="40% - Accent4 3 5 7" xfId="19586" xr:uid="{00000000-0005-0000-0000-0000DD190000}"/>
    <cellStyle name="40% - Accent4 3 6" xfId="1563" xr:uid="{00000000-0005-0000-0000-0000DE190000}"/>
    <cellStyle name="40% - Accent4 3 6 2" xfId="6509" xr:uid="{00000000-0005-0000-0000-0000DF190000}"/>
    <cellStyle name="40% - Accent4 3 6 2 2" xfId="15833" xr:uid="{00000000-0005-0000-0000-0000E0190000}"/>
    <cellStyle name="40% - Accent4 3 6 2 3" xfId="25156" xr:uid="{00000000-0005-0000-0000-0000E1190000}"/>
    <cellStyle name="40% - Accent4 3 6 3" xfId="11131" xr:uid="{00000000-0005-0000-0000-0000E2190000}"/>
    <cellStyle name="40% - Accent4 3 6 4" xfId="20455" xr:uid="{00000000-0005-0000-0000-0000E3190000}"/>
    <cellStyle name="40% - Accent4 3 7" xfId="3350" xr:uid="{00000000-0005-0000-0000-0000E4190000}"/>
    <cellStyle name="40% - Accent4 3 7 2" xfId="8029" xr:uid="{00000000-0005-0000-0000-0000E5190000}"/>
    <cellStyle name="40% - Accent4 3 7 2 2" xfId="17353" xr:uid="{00000000-0005-0000-0000-0000E6190000}"/>
    <cellStyle name="40% - Accent4 3 7 2 3" xfId="26676" xr:uid="{00000000-0005-0000-0000-0000E7190000}"/>
    <cellStyle name="40% - Accent4 3 7 3" xfId="12736" xr:uid="{00000000-0005-0000-0000-0000E8190000}"/>
    <cellStyle name="40% - Accent4 3 7 4" xfId="22062" xr:uid="{00000000-0005-0000-0000-0000E9190000}"/>
    <cellStyle name="40% - Accent4 3 8" xfId="5016" xr:uid="{00000000-0005-0000-0000-0000EA190000}"/>
    <cellStyle name="40% - Accent4 3 8 2" xfId="14340" xr:uid="{00000000-0005-0000-0000-0000EB190000}"/>
    <cellStyle name="40% - Accent4 3 8 3" xfId="23663" xr:uid="{00000000-0005-0000-0000-0000EC190000}"/>
    <cellStyle name="40% - Accent4 3 9" xfId="7314" xr:uid="{00000000-0005-0000-0000-0000ED190000}"/>
    <cellStyle name="40% - Accent4 3 9 2" xfId="16638" xr:uid="{00000000-0005-0000-0000-0000EE190000}"/>
    <cellStyle name="40% - Accent4 3 9 3" xfId="25961" xr:uid="{00000000-0005-0000-0000-0000EF190000}"/>
    <cellStyle name="40% - Accent4 4" xfId="189" xr:uid="{00000000-0005-0000-0000-0000F0190000}"/>
    <cellStyle name="40% - Accent4 4 10" xfId="19135" xr:uid="{00000000-0005-0000-0000-0000F1190000}"/>
    <cellStyle name="40% - Accent4 4 11" xfId="28928" xr:uid="{00000000-0005-0000-0000-0000F2190000}"/>
    <cellStyle name="40% - Accent4 4 2" xfId="329" xr:uid="{00000000-0005-0000-0000-0000F3190000}"/>
    <cellStyle name="40% - Accent4 4 2 2" xfId="569" xr:uid="{00000000-0005-0000-0000-0000F4190000}"/>
    <cellStyle name="40% - Accent4 4 2 2 2" xfId="1057" xr:uid="{00000000-0005-0000-0000-0000F5190000}"/>
    <cellStyle name="40% - Accent4 4 2 2 2 2" xfId="6754" xr:uid="{00000000-0005-0000-0000-0000F6190000}"/>
    <cellStyle name="40% - Accent4 4 2 2 2 2 2" xfId="16078" xr:uid="{00000000-0005-0000-0000-0000F7190000}"/>
    <cellStyle name="40% - Accent4 4 2 2 2 2 3" xfId="25401" xr:uid="{00000000-0005-0000-0000-0000F8190000}"/>
    <cellStyle name="40% - Accent4 4 2 2 2 3" xfId="10658" xr:uid="{00000000-0005-0000-0000-0000F9190000}"/>
    <cellStyle name="40% - Accent4 4 2 2 2 4" xfId="19982" xr:uid="{00000000-0005-0000-0000-0000FA190000}"/>
    <cellStyle name="40% - Accent4 4 2 2 3" xfId="1571" xr:uid="{00000000-0005-0000-0000-0000FB190000}"/>
    <cellStyle name="40% - Accent4 4 2 2 3 2" xfId="6502" xr:uid="{00000000-0005-0000-0000-0000FC190000}"/>
    <cellStyle name="40% - Accent4 4 2 2 3 2 2" xfId="15826" xr:uid="{00000000-0005-0000-0000-0000FD190000}"/>
    <cellStyle name="40% - Accent4 4 2 2 3 2 3" xfId="25149" xr:uid="{00000000-0005-0000-0000-0000FE190000}"/>
    <cellStyle name="40% - Accent4 4 2 2 3 3" xfId="11139" xr:uid="{00000000-0005-0000-0000-0000FF190000}"/>
    <cellStyle name="40% - Accent4 4 2 2 3 4" xfId="20463" xr:uid="{00000000-0005-0000-0000-0000001A0000}"/>
    <cellStyle name="40% - Accent4 4 2 2 4" xfId="3358" xr:uid="{00000000-0005-0000-0000-0000011A0000}"/>
    <cellStyle name="40% - Accent4 4 2 2 4 2" xfId="8037" xr:uid="{00000000-0005-0000-0000-0000021A0000}"/>
    <cellStyle name="40% - Accent4 4 2 2 4 2 2" xfId="17361" xr:uid="{00000000-0005-0000-0000-0000031A0000}"/>
    <cellStyle name="40% - Accent4 4 2 2 4 2 3" xfId="26684" xr:uid="{00000000-0005-0000-0000-0000041A0000}"/>
    <cellStyle name="40% - Accent4 4 2 2 4 3" xfId="12744" xr:uid="{00000000-0005-0000-0000-0000051A0000}"/>
    <cellStyle name="40% - Accent4 4 2 2 4 4" xfId="22070" xr:uid="{00000000-0005-0000-0000-0000061A0000}"/>
    <cellStyle name="40% - Accent4 4 2 2 5" xfId="5024" xr:uid="{00000000-0005-0000-0000-0000071A0000}"/>
    <cellStyle name="40% - Accent4 4 2 2 5 2" xfId="14348" xr:uid="{00000000-0005-0000-0000-0000081A0000}"/>
    <cellStyle name="40% - Accent4 4 2 2 5 3" xfId="23671" xr:uid="{00000000-0005-0000-0000-0000091A0000}"/>
    <cellStyle name="40% - Accent4 4 2 2 6" xfId="9680" xr:uid="{00000000-0005-0000-0000-00000A1A0000}"/>
    <cellStyle name="40% - Accent4 4 2 2 6 2" xfId="19004" xr:uid="{00000000-0005-0000-0000-00000B1A0000}"/>
    <cellStyle name="40% - Accent4 4 2 2 6 3" xfId="28327" xr:uid="{00000000-0005-0000-0000-00000C1A0000}"/>
    <cellStyle name="40% - Accent4 4 2 2 7" xfId="10174" xr:uid="{00000000-0005-0000-0000-00000D1A0000}"/>
    <cellStyle name="40% - Accent4 4 2 2 8" xfId="19498" xr:uid="{00000000-0005-0000-0000-00000E1A0000}"/>
    <cellStyle name="40% - Accent4 4 2 3" xfId="817" xr:uid="{00000000-0005-0000-0000-00000F1A0000}"/>
    <cellStyle name="40% - Accent4 4 2 3 2" xfId="6929" xr:uid="{00000000-0005-0000-0000-0000101A0000}"/>
    <cellStyle name="40% - Accent4 4 2 3 2 2" xfId="16253" xr:uid="{00000000-0005-0000-0000-0000111A0000}"/>
    <cellStyle name="40% - Accent4 4 2 3 2 3" xfId="25576" xr:uid="{00000000-0005-0000-0000-0000121A0000}"/>
    <cellStyle name="40% - Accent4 4 2 3 3" xfId="10418" xr:uid="{00000000-0005-0000-0000-0000131A0000}"/>
    <cellStyle name="40% - Accent4 4 2 3 4" xfId="19742" xr:uid="{00000000-0005-0000-0000-0000141A0000}"/>
    <cellStyle name="40% - Accent4 4 2 4" xfId="1570" xr:uid="{00000000-0005-0000-0000-0000151A0000}"/>
    <cellStyle name="40% - Accent4 4 2 4 2" xfId="6495" xr:uid="{00000000-0005-0000-0000-0000161A0000}"/>
    <cellStyle name="40% - Accent4 4 2 4 2 2" xfId="15819" xr:uid="{00000000-0005-0000-0000-0000171A0000}"/>
    <cellStyle name="40% - Accent4 4 2 4 2 3" xfId="25142" xr:uid="{00000000-0005-0000-0000-0000181A0000}"/>
    <cellStyle name="40% - Accent4 4 2 4 3" xfId="11138" xr:uid="{00000000-0005-0000-0000-0000191A0000}"/>
    <cellStyle name="40% - Accent4 4 2 4 4" xfId="20462" xr:uid="{00000000-0005-0000-0000-00001A1A0000}"/>
    <cellStyle name="40% - Accent4 4 2 5" xfId="3357" xr:uid="{00000000-0005-0000-0000-00001B1A0000}"/>
    <cellStyle name="40% - Accent4 4 2 5 2" xfId="8036" xr:uid="{00000000-0005-0000-0000-00001C1A0000}"/>
    <cellStyle name="40% - Accent4 4 2 5 2 2" xfId="17360" xr:uid="{00000000-0005-0000-0000-00001D1A0000}"/>
    <cellStyle name="40% - Accent4 4 2 5 2 3" xfId="26683" xr:uid="{00000000-0005-0000-0000-00001E1A0000}"/>
    <cellStyle name="40% - Accent4 4 2 5 3" xfId="12743" xr:uid="{00000000-0005-0000-0000-00001F1A0000}"/>
    <cellStyle name="40% - Accent4 4 2 5 4" xfId="22069" xr:uid="{00000000-0005-0000-0000-0000201A0000}"/>
    <cellStyle name="40% - Accent4 4 2 6" xfId="5023" xr:uid="{00000000-0005-0000-0000-0000211A0000}"/>
    <cellStyle name="40% - Accent4 4 2 6 2" xfId="14347" xr:uid="{00000000-0005-0000-0000-0000221A0000}"/>
    <cellStyle name="40% - Accent4 4 2 6 3" xfId="23670" xr:uid="{00000000-0005-0000-0000-0000231A0000}"/>
    <cellStyle name="40% - Accent4 4 2 7" xfId="9440" xr:uid="{00000000-0005-0000-0000-0000241A0000}"/>
    <cellStyle name="40% - Accent4 4 2 7 2" xfId="18764" xr:uid="{00000000-0005-0000-0000-0000251A0000}"/>
    <cellStyle name="40% - Accent4 4 2 7 3" xfId="28087" xr:uid="{00000000-0005-0000-0000-0000261A0000}"/>
    <cellStyle name="40% - Accent4 4 2 8" xfId="9934" xr:uid="{00000000-0005-0000-0000-0000271A0000}"/>
    <cellStyle name="40% - Accent4 4 2 9" xfId="19258" xr:uid="{00000000-0005-0000-0000-0000281A0000}"/>
    <cellStyle name="40% - Accent4 4 3" xfId="447" xr:uid="{00000000-0005-0000-0000-0000291A0000}"/>
    <cellStyle name="40% - Accent4 4 3 2" xfId="935" xr:uid="{00000000-0005-0000-0000-00002A1A0000}"/>
    <cellStyle name="40% - Accent4 4 3 2 2" xfId="6835" xr:uid="{00000000-0005-0000-0000-00002B1A0000}"/>
    <cellStyle name="40% - Accent4 4 3 2 2 2" xfId="16159" xr:uid="{00000000-0005-0000-0000-00002C1A0000}"/>
    <cellStyle name="40% - Accent4 4 3 2 2 3" xfId="25482" xr:uid="{00000000-0005-0000-0000-00002D1A0000}"/>
    <cellStyle name="40% - Accent4 4 3 2 3" xfId="10536" xr:uid="{00000000-0005-0000-0000-00002E1A0000}"/>
    <cellStyle name="40% - Accent4 4 3 2 4" xfId="19860" xr:uid="{00000000-0005-0000-0000-00002F1A0000}"/>
    <cellStyle name="40% - Accent4 4 3 3" xfId="1572" xr:uid="{00000000-0005-0000-0000-0000301A0000}"/>
    <cellStyle name="40% - Accent4 4 3 3 2" xfId="6501" xr:uid="{00000000-0005-0000-0000-0000311A0000}"/>
    <cellStyle name="40% - Accent4 4 3 3 2 2" xfId="15825" xr:uid="{00000000-0005-0000-0000-0000321A0000}"/>
    <cellStyle name="40% - Accent4 4 3 3 2 3" xfId="25148" xr:uid="{00000000-0005-0000-0000-0000331A0000}"/>
    <cellStyle name="40% - Accent4 4 3 3 3" xfId="11140" xr:uid="{00000000-0005-0000-0000-0000341A0000}"/>
    <cellStyle name="40% - Accent4 4 3 3 4" xfId="20464" xr:uid="{00000000-0005-0000-0000-0000351A0000}"/>
    <cellStyle name="40% - Accent4 4 3 4" xfId="3359" xr:uid="{00000000-0005-0000-0000-0000361A0000}"/>
    <cellStyle name="40% - Accent4 4 3 4 2" xfId="8038" xr:uid="{00000000-0005-0000-0000-0000371A0000}"/>
    <cellStyle name="40% - Accent4 4 3 4 2 2" xfId="17362" xr:uid="{00000000-0005-0000-0000-0000381A0000}"/>
    <cellStyle name="40% - Accent4 4 3 4 2 3" xfId="26685" xr:uid="{00000000-0005-0000-0000-0000391A0000}"/>
    <cellStyle name="40% - Accent4 4 3 4 3" xfId="12745" xr:uid="{00000000-0005-0000-0000-00003A1A0000}"/>
    <cellStyle name="40% - Accent4 4 3 4 4" xfId="22071" xr:uid="{00000000-0005-0000-0000-00003B1A0000}"/>
    <cellStyle name="40% - Accent4 4 3 5" xfId="5025" xr:uid="{00000000-0005-0000-0000-00003C1A0000}"/>
    <cellStyle name="40% - Accent4 4 3 5 2" xfId="14349" xr:uid="{00000000-0005-0000-0000-00003D1A0000}"/>
    <cellStyle name="40% - Accent4 4 3 5 3" xfId="23672" xr:uid="{00000000-0005-0000-0000-00003E1A0000}"/>
    <cellStyle name="40% - Accent4 4 3 6" xfId="9558" xr:uid="{00000000-0005-0000-0000-00003F1A0000}"/>
    <cellStyle name="40% - Accent4 4 3 6 2" xfId="18882" xr:uid="{00000000-0005-0000-0000-0000401A0000}"/>
    <cellStyle name="40% - Accent4 4 3 6 3" xfId="28205" xr:uid="{00000000-0005-0000-0000-0000411A0000}"/>
    <cellStyle name="40% - Accent4 4 3 7" xfId="10052" xr:uid="{00000000-0005-0000-0000-0000421A0000}"/>
    <cellStyle name="40% - Accent4 4 3 8" xfId="19376" xr:uid="{00000000-0005-0000-0000-0000431A0000}"/>
    <cellStyle name="40% - Accent4 4 4" xfId="695" xr:uid="{00000000-0005-0000-0000-0000441A0000}"/>
    <cellStyle name="40% - Accent4 4 4 2" xfId="7004" xr:uid="{00000000-0005-0000-0000-0000451A0000}"/>
    <cellStyle name="40% - Accent4 4 4 2 2" xfId="16328" xr:uid="{00000000-0005-0000-0000-0000461A0000}"/>
    <cellStyle name="40% - Accent4 4 4 2 3" xfId="25651" xr:uid="{00000000-0005-0000-0000-0000471A0000}"/>
    <cellStyle name="40% - Accent4 4 4 3" xfId="10296" xr:uid="{00000000-0005-0000-0000-0000481A0000}"/>
    <cellStyle name="40% - Accent4 4 4 4" xfId="19620" xr:uid="{00000000-0005-0000-0000-0000491A0000}"/>
    <cellStyle name="40% - Accent4 4 5" xfId="1569" xr:uid="{00000000-0005-0000-0000-00004A1A0000}"/>
    <cellStyle name="40% - Accent4 4 5 2" xfId="6503" xr:uid="{00000000-0005-0000-0000-00004B1A0000}"/>
    <cellStyle name="40% - Accent4 4 5 2 2" xfId="15827" xr:uid="{00000000-0005-0000-0000-00004C1A0000}"/>
    <cellStyle name="40% - Accent4 4 5 2 3" xfId="25150" xr:uid="{00000000-0005-0000-0000-00004D1A0000}"/>
    <cellStyle name="40% - Accent4 4 5 3" xfId="11137" xr:uid="{00000000-0005-0000-0000-00004E1A0000}"/>
    <cellStyle name="40% - Accent4 4 5 4" xfId="20461" xr:uid="{00000000-0005-0000-0000-00004F1A0000}"/>
    <cellStyle name="40% - Accent4 4 6" xfId="3356" xr:uid="{00000000-0005-0000-0000-0000501A0000}"/>
    <cellStyle name="40% - Accent4 4 6 2" xfId="8035" xr:uid="{00000000-0005-0000-0000-0000511A0000}"/>
    <cellStyle name="40% - Accent4 4 6 2 2" xfId="17359" xr:uid="{00000000-0005-0000-0000-0000521A0000}"/>
    <cellStyle name="40% - Accent4 4 6 2 3" xfId="26682" xr:uid="{00000000-0005-0000-0000-0000531A0000}"/>
    <cellStyle name="40% - Accent4 4 6 3" xfId="12742" xr:uid="{00000000-0005-0000-0000-0000541A0000}"/>
    <cellStyle name="40% - Accent4 4 6 4" xfId="22068" xr:uid="{00000000-0005-0000-0000-0000551A0000}"/>
    <cellStyle name="40% - Accent4 4 7" xfId="5022" xr:uid="{00000000-0005-0000-0000-0000561A0000}"/>
    <cellStyle name="40% - Accent4 4 7 2" xfId="14346" xr:uid="{00000000-0005-0000-0000-0000571A0000}"/>
    <cellStyle name="40% - Accent4 4 7 3" xfId="23669" xr:uid="{00000000-0005-0000-0000-0000581A0000}"/>
    <cellStyle name="40% - Accent4 4 8" xfId="9317" xr:uid="{00000000-0005-0000-0000-0000591A0000}"/>
    <cellStyle name="40% - Accent4 4 8 2" xfId="18641" xr:uid="{00000000-0005-0000-0000-00005A1A0000}"/>
    <cellStyle name="40% - Accent4 4 8 3" xfId="27964" xr:uid="{00000000-0005-0000-0000-00005B1A0000}"/>
    <cellStyle name="40% - Accent4 4 9" xfId="9811" xr:uid="{00000000-0005-0000-0000-00005C1A0000}"/>
    <cellStyle name="40% - Accent4 5" xfId="249" xr:uid="{00000000-0005-0000-0000-00005D1A0000}"/>
    <cellStyle name="40% - Accent4 5 2" xfId="507" xr:uid="{00000000-0005-0000-0000-00005E1A0000}"/>
    <cellStyle name="40% - Accent4 5 2 2" xfId="995" xr:uid="{00000000-0005-0000-0000-00005F1A0000}"/>
    <cellStyle name="40% - Accent4 5 2 2 2" xfId="6801" xr:uid="{00000000-0005-0000-0000-0000601A0000}"/>
    <cellStyle name="40% - Accent4 5 2 2 2 2" xfId="16125" xr:uid="{00000000-0005-0000-0000-0000611A0000}"/>
    <cellStyle name="40% - Accent4 5 2 2 2 3" xfId="25448" xr:uid="{00000000-0005-0000-0000-0000621A0000}"/>
    <cellStyle name="40% - Accent4 5 2 2 3" xfId="10596" xr:uid="{00000000-0005-0000-0000-0000631A0000}"/>
    <cellStyle name="40% - Accent4 5 2 2 4" xfId="19920" xr:uid="{00000000-0005-0000-0000-0000641A0000}"/>
    <cellStyle name="40% - Accent4 5 2 3" xfId="1574" xr:uid="{00000000-0005-0000-0000-0000651A0000}"/>
    <cellStyle name="40% - Accent4 5 2 3 2" xfId="6499" xr:uid="{00000000-0005-0000-0000-0000661A0000}"/>
    <cellStyle name="40% - Accent4 5 2 3 2 2" xfId="15823" xr:uid="{00000000-0005-0000-0000-0000671A0000}"/>
    <cellStyle name="40% - Accent4 5 2 3 2 3" xfId="25146" xr:uid="{00000000-0005-0000-0000-0000681A0000}"/>
    <cellStyle name="40% - Accent4 5 2 3 3" xfId="11142" xr:uid="{00000000-0005-0000-0000-0000691A0000}"/>
    <cellStyle name="40% - Accent4 5 2 3 4" xfId="20466" xr:uid="{00000000-0005-0000-0000-00006A1A0000}"/>
    <cellStyle name="40% - Accent4 5 2 4" xfId="3361" xr:uid="{00000000-0005-0000-0000-00006B1A0000}"/>
    <cellStyle name="40% - Accent4 5 2 4 2" xfId="8040" xr:uid="{00000000-0005-0000-0000-00006C1A0000}"/>
    <cellStyle name="40% - Accent4 5 2 4 2 2" xfId="17364" xr:uid="{00000000-0005-0000-0000-00006D1A0000}"/>
    <cellStyle name="40% - Accent4 5 2 4 2 3" xfId="26687" xr:uid="{00000000-0005-0000-0000-00006E1A0000}"/>
    <cellStyle name="40% - Accent4 5 2 4 3" xfId="12747" xr:uid="{00000000-0005-0000-0000-00006F1A0000}"/>
    <cellStyle name="40% - Accent4 5 2 4 4" xfId="22073" xr:uid="{00000000-0005-0000-0000-0000701A0000}"/>
    <cellStyle name="40% - Accent4 5 2 5" xfId="5027" xr:uid="{00000000-0005-0000-0000-0000711A0000}"/>
    <cellStyle name="40% - Accent4 5 2 5 2" xfId="14351" xr:uid="{00000000-0005-0000-0000-0000721A0000}"/>
    <cellStyle name="40% - Accent4 5 2 5 3" xfId="23674" xr:uid="{00000000-0005-0000-0000-0000731A0000}"/>
    <cellStyle name="40% - Accent4 5 2 6" xfId="9618" xr:uid="{00000000-0005-0000-0000-0000741A0000}"/>
    <cellStyle name="40% - Accent4 5 2 6 2" xfId="18942" xr:uid="{00000000-0005-0000-0000-0000751A0000}"/>
    <cellStyle name="40% - Accent4 5 2 6 3" xfId="28265" xr:uid="{00000000-0005-0000-0000-0000761A0000}"/>
    <cellStyle name="40% - Accent4 5 2 7" xfId="10112" xr:uid="{00000000-0005-0000-0000-0000771A0000}"/>
    <cellStyle name="40% - Accent4 5 2 8" xfId="19436" xr:uid="{00000000-0005-0000-0000-0000781A0000}"/>
    <cellStyle name="40% - Accent4 5 3" xfId="755" xr:uid="{00000000-0005-0000-0000-0000791A0000}"/>
    <cellStyle name="40% - Accent4 5 3 2" xfId="6975" xr:uid="{00000000-0005-0000-0000-00007A1A0000}"/>
    <cellStyle name="40% - Accent4 5 3 2 2" xfId="16299" xr:uid="{00000000-0005-0000-0000-00007B1A0000}"/>
    <cellStyle name="40% - Accent4 5 3 2 3" xfId="25622" xr:uid="{00000000-0005-0000-0000-00007C1A0000}"/>
    <cellStyle name="40% - Accent4 5 3 3" xfId="10356" xr:uid="{00000000-0005-0000-0000-00007D1A0000}"/>
    <cellStyle name="40% - Accent4 5 3 4" xfId="19680" xr:uid="{00000000-0005-0000-0000-00007E1A0000}"/>
    <cellStyle name="40% - Accent4 5 4" xfId="1573" xr:uid="{00000000-0005-0000-0000-00007F1A0000}"/>
    <cellStyle name="40% - Accent4 5 4 2" xfId="6500" xr:uid="{00000000-0005-0000-0000-0000801A0000}"/>
    <cellStyle name="40% - Accent4 5 4 2 2" xfId="15824" xr:uid="{00000000-0005-0000-0000-0000811A0000}"/>
    <cellStyle name="40% - Accent4 5 4 2 3" xfId="25147" xr:uid="{00000000-0005-0000-0000-0000821A0000}"/>
    <cellStyle name="40% - Accent4 5 4 3" xfId="11141" xr:uid="{00000000-0005-0000-0000-0000831A0000}"/>
    <cellStyle name="40% - Accent4 5 4 4" xfId="20465" xr:uid="{00000000-0005-0000-0000-0000841A0000}"/>
    <cellStyle name="40% - Accent4 5 5" xfId="3360" xr:uid="{00000000-0005-0000-0000-0000851A0000}"/>
    <cellStyle name="40% - Accent4 5 5 2" xfId="8039" xr:uid="{00000000-0005-0000-0000-0000861A0000}"/>
    <cellStyle name="40% - Accent4 5 5 2 2" xfId="17363" xr:uid="{00000000-0005-0000-0000-0000871A0000}"/>
    <cellStyle name="40% - Accent4 5 5 2 3" xfId="26686" xr:uid="{00000000-0005-0000-0000-0000881A0000}"/>
    <cellStyle name="40% - Accent4 5 5 3" xfId="12746" xr:uid="{00000000-0005-0000-0000-0000891A0000}"/>
    <cellStyle name="40% - Accent4 5 5 4" xfId="22072" xr:uid="{00000000-0005-0000-0000-00008A1A0000}"/>
    <cellStyle name="40% - Accent4 5 6" xfId="5026" xr:uid="{00000000-0005-0000-0000-00008B1A0000}"/>
    <cellStyle name="40% - Accent4 5 6 2" xfId="14350" xr:uid="{00000000-0005-0000-0000-00008C1A0000}"/>
    <cellStyle name="40% - Accent4 5 6 3" xfId="23673" xr:uid="{00000000-0005-0000-0000-00008D1A0000}"/>
    <cellStyle name="40% - Accent4 5 7" xfId="9377" xr:uid="{00000000-0005-0000-0000-00008E1A0000}"/>
    <cellStyle name="40% - Accent4 5 7 2" xfId="18701" xr:uid="{00000000-0005-0000-0000-00008F1A0000}"/>
    <cellStyle name="40% - Accent4 5 7 3" xfId="28024" xr:uid="{00000000-0005-0000-0000-0000901A0000}"/>
    <cellStyle name="40% - Accent4 5 8" xfId="9871" xr:uid="{00000000-0005-0000-0000-0000911A0000}"/>
    <cellStyle name="40% - Accent4 5 9" xfId="19195" xr:uid="{00000000-0005-0000-0000-0000921A0000}"/>
    <cellStyle name="40% - Accent4 6" xfId="388" xr:uid="{00000000-0005-0000-0000-0000931A0000}"/>
    <cellStyle name="40% - Accent4 6 2" xfId="876" xr:uid="{00000000-0005-0000-0000-0000941A0000}"/>
    <cellStyle name="40% - Accent4 6 2 2" xfId="6887" xr:uid="{00000000-0005-0000-0000-0000951A0000}"/>
    <cellStyle name="40% - Accent4 6 2 2 2" xfId="16211" xr:uid="{00000000-0005-0000-0000-0000961A0000}"/>
    <cellStyle name="40% - Accent4 6 2 2 3" xfId="25534" xr:uid="{00000000-0005-0000-0000-0000971A0000}"/>
    <cellStyle name="40% - Accent4 6 2 3" xfId="10477" xr:uid="{00000000-0005-0000-0000-0000981A0000}"/>
    <cellStyle name="40% - Accent4 6 2 4" xfId="19801" xr:uid="{00000000-0005-0000-0000-0000991A0000}"/>
    <cellStyle name="40% - Accent4 6 3" xfId="1575" xr:uid="{00000000-0005-0000-0000-00009A1A0000}"/>
    <cellStyle name="40% - Accent4 6 3 2" xfId="6498" xr:uid="{00000000-0005-0000-0000-00009B1A0000}"/>
    <cellStyle name="40% - Accent4 6 3 2 2" xfId="15822" xr:uid="{00000000-0005-0000-0000-00009C1A0000}"/>
    <cellStyle name="40% - Accent4 6 3 2 3" xfId="25145" xr:uid="{00000000-0005-0000-0000-00009D1A0000}"/>
    <cellStyle name="40% - Accent4 6 3 3" xfId="11143" xr:uid="{00000000-0005-0000-0000-00009E1A0000}"/>
    <cellStyle name="40% - Accent4 6 3 4" xfId="20467" xr:uid="{00000000-0005-0000-0000-00009F1A0000}"/>
    <cellStyle name="40% - Accent4 6 4" xfId="3362" xr:uid="{00000000-0005-0000-0000-0000A01A0000}"/>
    <cellStyle name="40% - Accent4 6 4 2" xfId="8041" xr:uid="{00000000-0005-0000-0000-0000A11A0000}"/>
    <cellStyle name="40% - Accent4 6 4 2 2" xfId="17365" xr:uid="{00000000-0005-0000-0000-0000A21A0000}"/>
    <cellStyle name="40% - Accent4 6 4 2 3" xfId="26688" xr:uid="{00000000-0005-0000-0000-0000A31A0000}"/>
    <cellStyle name="40% - Accent4 6 4 3" xfId="12748" xr:uid="{00000000-0005-0000-0000-0000A41A0000}"/>
    <cellStyle name="40% - Accent4 6 4 4" xfId="22074" xr:uid="{00000000-0005-0000-0000-0000A51A0000}"/>
    <cellStyle name="40% - Accent4 6 5" xfId="5028" xr:uid="{00000000-0005-0000-0000-0000A61A0000}"/>
    <cellStyle name="40% - Accent4 6 5 2" xfId="14352" xr:uid="{00000000-0005-0000-0000-0000A71A0000}"/>
    <cellStyle name="40% - Accent4 6 5 3" xfId="23675" xr:uid="{00000000-0005-0000-0000-0000A81A0000}"/>
    <cellStyle name="40% - Accent4 6 6" xfId="9499" xr:uid="{00000000-0005-0000-0000-0000A91A0000}"/>
    <cellStyle name="40% - Accent4 6 6 2" xfId="18823" xr:uid="{00000000-0005-0000-0000-0000AA1A0000}"/>
    <cellStyle name="40% - Accent4 6 6 3" xfId="28146" xr:uid="{00000000-0005-0000-0000-0000AB1A0000}"/>
    <cellStyle name="40% - Accent4 6 7" xfId="9993" xr:uid="{00000000-0005-0000-0000-0000AC1A0000}"/>
    <cellStyle name="40% - Accent4 6 8" xfId="19317" xr:uid="{00000000-0005-0000-0000-0000AD1A0000}"/>
    <cellStyle name="40% - Accent4 7" xfId="632" xr:uid="{00000000-0005-0000-0000-0000AE1A0000}"/>
    <cellStyle name="40% - Accent4 7 2" xfId="1576" xr:uid="{00000000-0005-0000-0000-0000AF1A0000}"/>
    <cellStyle name="40% - Accent4 7 2 2" xfId="6497" xr:uid="{00000000-0005-0000-0000-0000B01A0000}"/>
    <cellStyle name="40% - Accent4 7 2 2 2" xfId="15821" xr:uid="{00000000-0005-0000-0000-0000B11A0000}"/>
    <cellStyle name="40% - Accent4 7 2 2 3" xfId="25144" xr:uid="{00000000-0005-0000-0000-0000B21A0000}"/>
    <cellStyle name="40% - Accent4 7 2 3" xfId="11144" xr:uid="{00000000-0005-0000-0000-0000B31A0000}"/>
    <cellStyle name="40% - Accent4 7 2 4" xfId="20468" xr:uid="{00000000-0005-0000-0000-0000B41A0000}"/>
    <cellStyle name="40% - Accent4 7 3" xfId="3363" xr:uid="{00000000-0005-0000-0000-0000B51A0000}"/>
    <cellStyle name="40% - Accent4 7 3 2" xfId="8042" xr:uid="{00000000-0005-0000-0000-0000B61A0000}"/>
    <cellStyle name="40% - Accent4 7 3 2 2" xfId="17366" xr:uid="{00000000-0005-0000-0000-0000B71A0000}"/>
    <cellStyle name="40% - Accent4 7 3 2 3" xfId="26689" xr:uid="{00000000-0005-0000-0000-0000B81A0000}"/>
    <cellStyle name="40% - Accent4 7 3 3" xfId="12749" xr:uid="{00000000-0005-0000-0000-0000B91A0000}"/>
    <cellStyle name="40% - Accent4 7 3 4" xfId="22075" xr:uid="{00000000-0005-0000-0000-0000BA1A0000}"/>
    <cellStyle name="40% - Accent4 7 4" xfId="5029" xr:uid="{00000000-0005-0000-0000-0000BB1A0000}"/>
    <cellStyle name="40% - Accent4 7 4 2" xfId="14353" xr:uid="{00000000-0005-0000-0000-0000BC1A0000}"/>
    <cellStyle name="40% - Accent4 7 4 3" xfId="23676" xr:uid="{00000000-0005-0000-0000-0000BD1A0000}"/>
    <cellStyle name="40% - Accent4 7 5" xfId="10236" xr:uid="{00000000-0005-0000-0000-0000BE1A0000}"/>
    <cellStyle name="40% - Accent4 7 6" xfId="19560" xr:uid="{00000000-0005-0000-0000-0000BF1A0000}"/>
    <cellStyle name="40% - Accent4 8" xfId="1577" xr:uid="{00000000-0005-0000-0000-0000C01A0000}"/>
    <cellStyle name="40% - Accent4 8 2" xfId="3364" xr:uid="{00000000-0005-0000-0000-0000C11A0000}"/>
    <cellStyle name="40% - Accent4 8 2 2" xfId="8043" xr:uid="{00000000-0005-0000-0000-0000C21A0000}"/>
    <cellStyle name="40% - Accent4 8 2 2 2" xfId="17367" xr:uid="{00000000-0005-0000-0000-0000C31A0000}"/>
    <cellStyle name="40% - Accent4 8 2 2 3" xfId="26690" xr:uid="{00000000-0005-0000-0000-0000C41A0000}"/>
    <cellStyle name="40% - Accent4 8 2 3" xfId="12750" xr:uid="{00000000-0005-0000-0000-0000C51A0000}"/>
    <cellStyle name="40% - Accent4 8 2 4" xfId="22076" xr:uid="{00000000-0005-0000-0000-0000C61A0000}"/>
    <cellStyle name="40% - Accent4 8 3" xfId="5030" xr:uid="{00000000-0005-0000-0000-0000C71A0000}"/>
    <cellStyle name="40% - Accent4 8 3 2" xfId="14354" xr:uid="{00000000-0005-0000-0000-0000C81A0000}"/>
    <cellStyle name="40% - Accent4 8 3 3" xfId="23677" xr:uid="{00000000-0005-0000-0000-0000C91A0000}"/>
    <cellStyle name="40% - Accent4 8 4" xfId="11145" xr:uid="{00000000-0005-0000-0000-0000CA1A0000}"/>
    <cellStyle name="40% - Accent4 8 5" xfId="20469" xr:uid="{00000000-0005-0000-0000-0000CB1A0000}"/>
    <cellStyle name="40% - Accent4 9" xfId="1130" xr:uid="{00000000-0005-0000-0000-0000CC1A0000}"/>
    <cellStyle name="40% - Accent4 9 2" xfId="5743" xr:uid="{00000000-0005-0000-0000-0000CD1A0000}"/>
    <cellStyle name="40% - Accent4 9 2 2" xfId="15067" xr:uid="{00000000-0005-0000-0000-0000CE1A0000}"/>
    <cellStyle name="40% - Accent4 9 2 3" xfId="24390" xr:uid="{00000000-0005-0000-0000-0000CF1A0000}"/>
    <cellStyle name="40% - Accent4 9 3" xfId="10729" xr:uid="{00000000-0005-0000-0000-0000D01A0000}"/>
    <cellStyle name="40% - Accent4 9 4" xfId="20053" xr:uid="{00000000-0005-0000-0000-0000D11A0000}"/>
    <cellStyle name="40% - Accent5" xfId="50" builtinId="47" customBuiltin="1"/>
    <cellStyle name="40% - Accent5 10" xfId="2946" xr:uid="{00000000-0005-0000-0000-0000D31A0000}"/>
    <cellStyle name="40% - Accent5 10 2" xfId="7628" xr:uid="{00000000-0005-0000-0000-0000D41A0000}"/>
    <cellStyle name="40% - Accent5 10 2 2" xfId="16952" xr:uid="{00000000-0005-0000-0000-0000D51A0000}"/>
    <cellStyle name="40% - Accent5 10 2 3" xfId="26275" xr:uid="{00000000-0005-0000-0000-0000D61A0000}"/>
    <cellStyle name="40% - Accent5 10 3" xfId="12351" xr:uid="{00000000-0005-0000-0000-0000D71A0000}"/>
    <cellStyle name="40% - Accent5 10 4" xfId="21677" xr:uid="{00000000-0005-0000-0000-0000D81A0000}"/>
    <cellStyle name="40% - Accent5 11" xfId="4589" xr:uid="{00000000-0005-0000-0000-0000D91A0000}"/>
    <cellStyle name="40% - Accent5 11 2" xfId="13913" xr:uid="{00000000-0005-0000-0000-0000DA1A0000}"/>
    <cellStyle name="40% - Accent5 11 3" xfId="23236" xr:uid="{00000000-0005-0000-0000-0000DB1A0000}"/>
    <cellStyle name="40% - Accent5 12" xfId="9247" xr:uid="{00000000-0005-0000-0000-0000DC1A0000}"/>
    <cellStyle name="40% - Accent5 12 2" xfId="18571" xr:uid="{00000000-0005-0000-0000-0000DD1A0000}"/>
    <cellStyle name="40% - Accent5 12 3" xfId="27894" xr:uid="{00000000-0005-0000-0000-0000DE1A0000}"/>
    <cellStyle name="40% - Accent5 13" xfId="9741" xr:uid="{00000000-0005-0000-0000-0000DF1A0000}"/>
    <cellStyle name="40% - Accent5 14" xfId="19065" xr:uid="{00000000-0005-0000-0000-0000E01A0000}"/>
    <cellStyle name="40% - Accent5 15" xfId="28410" xr:uid="{00000000-0005-0000-0000-0000E11A0000}"/>
    <cellStyle name="40% - Accent5 2" xfId="77" xr:uid="{00000000-0005-0000-0000-0000E21A0000}"/>
    <cellStyle name="40% - Accent5 2 10" xfId="4606" xr:uid="{00000000-0005-0000-0000-0000E31A0000}"/>
    <cellStyle name="40% - Accent5 2 10 2" xfId="13930" xr:uid="{00000000-0005-0000-0000-0000E41A0000}"/>
    <cellStyle name="40% - Accent5 2 10 3" xfId="23253" xr:uid="{00000000-0005-0000-0000-0000E51A0000}"/>
    <cellStyle name="40% - Accent5 2 11" xfId="9271" xr:uid="{00000000-0005-0000-0000-0000E61A0000}"/>
    <cellStyle name="40% - Accent5 2 11 2" xfId="18595" xr:uid="{00000000-0005-0000-0000-0000E71A0000}"/>
    <cellStyle name="40% - Accent5 2 11 3" xfId="27918" xr:uid="{00000000-0005-0000-0000-0000E81A0000}"/>
    <cellStyle name="40% - Accent5 2 12" xfId="9765" xr:uid="{00000000-0005-0000-0000-0000E91A0000}"/>
    <cellStyle name="40% - Accent5 2 13" xfId="19089" xr:uid="{00000000-0005-0000-0000-0000EA1A0000}"/>
    <cellStyle name="40% - Accent5 2 14" xfId="28411" xr:uid="{00000000-0005-0000-0000-0000EB1A0000}"/>
    <cellStyle name="40% - Accent5 2 2" xfId="215" xr:uid="{00000000-0005-0000-0000-0000EC1A0000}"/>
    <cellStyle name="40% - Accent5 2 2 10" xfId="9837" xr:uid="{00000000-0005-0000-0000-0000ED1A0000}"/>
    <cellStyle name="40% - Accent5 2 2 11" xfId="19161" xr:uid="{00000000-0005-0000-0000-0000EE1A0000}"/>
    <cellStyle name="40% - Accent5 2 2 2" xfId="355" xr:uid="{00000000-0005-0000-0000-0000EF1A0000}"/>
    <cellStyle name="40% - Accent5 2 2 2 10" xfId="19284" xr:uid="{00000000-0005-0000-0000-0000F01A0000}"/>
    <cellStyle name="40% - Accent5 2 2 2 2" xfId="595" xr:uid="{00000000-0005-0000-0000-0000F11A0000}"/>
    <cellStyle name="40% - Accent5 2 2 2 2 2" xfId="1083" xr:uid="{00000000-0005-0000-0000-0000F21A0000}"/>
    <cellStyle name="40% - Accent5 2 2 2 2 2 2" xfId="4710" xr:uid="{00000000-0005-0000-0000-0000F31A0000}"/>
    <cellStyle name="40% - Accent5 2 2 2 2 2 2 2" xfId="14034" xr:uid="{00000000-0005-0000-0000-0000F41A0000}"/>
    <cellStyle name="40% - Accent5 2 2 2 2 2 2 3" xfId="23357" xr:uid="{00000000-0005-0000-0000-0000F51A0000}"/>
    <cellStyle name="40% - Accent5 2 2 2 2 2 3" xfId="10684" xr:uid="{00000000-0005-0000-0000-0000F61A0000}"/>
    <cellStyle name="40% - Accent5 2 2 2 2 2 4" xfId="20008" xr:uid="{00000000-0005-0000-0000-0000F71A0000}"/>
    <cellStyle name="40% - Accent5 2 2 2 2 3" xfId="1581" xr:uid="{00000000-0005-0000-0000-0000F81A0000}"/>
    <cellStyle name="40% - Accent5 2 2 2 2 3 2" xfId="6258" xr:uid="{00000000-0005-0000-0000-0000F91A0000}"/>
    <cellStyle name="40% - Accent5 2 2 2 2 3 2 2" xfId="15582" xr:uid="{00000000-0005-0000-0000-0000FA1A0000}"/>
    <cellStyle name="40% - Accent5 2 2 2 2 3 2 3" xfId="24905" xr:uid="{00000000-0005-0000-0000-0000FB1A0000}"/>
    <cellStyle name="40% - Accent5 2 2 2 2 3 3" xfId="11149" xr:uid="{00000000-0005-0000-0000-0000FC1A0000}"/>
    <cellStyle name="40% - Accent5 2 2 2 2 3 4" xfId="20473" xr:uid="{00000000-0005-0000-0000-0000FD1A0000}"/>
    <cellStyle name="40% - Accent5 2 2 2 2 4" xfId="3368" xr:uid="{00000000-0005-0000-0000-0000FE1A0000}"/>
    <cellStyle name="40% - Accent5 2 2 2 2 4 2" xfId="8047" xr:uid="{00000000-0005-0000-0000-0000FF1A0000}"/>
    <cellStyle name="40% - Accent5 2 2 2 2 4 2 2" xfId="17371" xr:uid="{00000000-0005-0000-0000-0000001B0000}"/>
    <cellStyle name="40% - Accent5 2 2 2 2 4 2 3" xfId="26694" xr:uid="{00000000-0005-0000-0000-0000011B0000}"/>
    <cellStyle name="40% - Accent5 2 2 2 2 4 3" xfId="12754" xr:uid="{00000000-0005-0000-0000-0000021B0000}"/>
    <cellStyle name="40% - Accent5 2 2 2 2 4 4" xfId="22080" xr:uid="{00000000-0005-0000-0000-0000031B0000}"/>
    <cellStyle name="40% - Accent5 2 2 2 2 5" xfId="5034" xr:uid="{00000000-0005-0000-0000-0000041B0000}"/>
    <cellStyle name="40% - Accent5 2 2 2 2 5 2" xfId="14358" xr:uid="{00000000-0005-0000-0000-0000051B0000}"/>
    <cellStyle name="40% - Accent5 2 2 2 2 5 3" xfId="23681" xr:uid="{00000000-0005-0000-0000-0000061B0000}"/>
    <cellStyle name="40% - Accent5 2 2 2 2 6" xfId="7058" xr:uid="{00000000-0005-0000-0000-0000071B0000}"/>
    <cellStyle name="40% - Accent5 2 2 2 2 6 2" xfId="16382" xr:uid="{00000000-0005-0000-0000-0000081B0000}"/>
    <cellStyle name="40% - Accent5 2 2 2 2 6 3" xfId="25705" xr:uid="{00000000-0005-0000-0000-0000091B0000}"/>
    <cellStyle name="40% - Accent5 2 2 2 2 7" xfId="9706" xr:uid="{00000000-0005-0000-0000-00000A1B0000}"/>
    <cellStyle name="40% - Accent5 2 2 2 2 7 2" xfId="19030" xr:uid="{00000000-0005-0000-0000-00000B1B0000}"/>
    <cellStyle name="40% - Accent5 2 2 2 2 7 3" xfId="28353" xr:uid="{00000000-0005-0000-0000-00000C1B0000}"/>
    <cellStyle name="40% - Accent5 2 2 2 2 8" xfId="10200" xr:uid="{00000000-0005-0000-0000-00000D1B0000}"/>
    <cellStyle name="40% - Accent5 2 2 2 2 9" xfId="19524" xr:uid="{00000000-0005-0000-0000-00000E1B0000}"/>
    <cellStyle name="40% - Accent5 2 2 2 3" xfId="843" xr:uid="{00000000-0005-0000-0000-00000F1B0000}"/>
    <cellStyle name="40% - Accent5 2 2 2 3 2" xfId="7352" xr:uid="{00000000-0005-0000-0000-0000101B0000}"/>
    <cellStyle name="40% - Accent5 2 2 2 3 2 2" xfId="16676" xr:uid="{00000000-0005-0000-0000-0000111B0000}"/>
    <cellStyle name="40% - Accent5 2 2 2 3 2 3" xfId="25999" xr:uid="{00000000-0005-0000-0000-0000121B0000}"/>
    <cellStyle name="40% - Accent5 2 2 2 3 3" xfId="10444" xr:uid="{00000000-0005-0000-0000-0000131B0000}"/>
    <cellStyle name="40% - Accent5 2 2 2 3 4" xfId="19768" xr:uid="{00000000-0005-0000-0000-0000141B0000}"/>
    <cellStyle name="40% - Accent5 2 2 2 4" xfId="1580" xr:uid="{00000000-0005-0000-0000-0000151B0000}"/>
    <cellStyle name="40% - Accent5 2 2 2 4 2" xfId="6113" xr:uid="{00000000-0005-0000-0000-0000161B0000}"/>
    <cellStyle name="40% - Accent5 2 2 2 4 2 2" xfId="15437" xr:uid="{00000000-0005-0000-0000-0000171B0000}"/>
    <cellStyle name="40% - Accent5 2 2 2 4 2 3" xfId="24760" xr:uid="{00000000-0005-0000-0000-0000181B0000}"/>
    <cellStyle name="40% - Accent5 2 2 2 4 3" xfId="11148" xr:uid="{00000000-0005-0000-0000-0000191B0000}"/>
    <cellStyle name="40% - Accent5 2 2 2 4 4" xfId="20472" xr:uid="{00000000-0005-0000-0000-00001A1B0000}"/>
    <cellStyle name="40% - Accent5 2 2 2 5" xfId="3367" xr:uid="{00000000-0005-0000-0000-00001B1B0000}"/>
    <cellStyle name="40% - Accent5 2 2 2 5 2" xfId="8046" xr:uid="{00000000-0005-0000-0000-00001C1B0000}"/>
    <cellStyle name="40% - Accent5 2 2 2 5 2 2" xfId="17370" xr:uid="{00000000-0005-0000-0000-00001D1B0000}"/>
    <cellStyle name="40% - Accent5 2 2 2 5 2 3" xfId="26693" xr:uid="{00000000-0005-0000-0000-00001E1B0000}"/>
    <cellStyle name="40% - Accent5 2 2 2 5 3" xfId="12753" xr:uid="{00000000-0005-0000-0000-00001F1B0000}"/>
    <cellStyle name="40% - Accent5 2 2 2 5 4" xfId="22079" xr:uid="{00000000-0005-0000-0000-0000201B0000}"/>
    <cellStyle name="40% - Accent5 2 2 2 6" xfId="5033" xr:uid="{00000000-0005-0000-0000-0000211B0000}"/>
    <cellStyle name="40% - Accent5 2 2 2 6 2" xfId="14357" xr:uid="{00000000-0005-0000-0000-0000221B0000}"/>
    <cellStyle name="40% - Accent5 2 2 2 6 3" xfId="23680" xr:uid="{00000000-0005-0000-0000-0000231B0000}"/>
    <cellStyle name="40% - Accent5 2 2 2 7" xfId="7195" xr:uid="{00000000-0005-0000-0000-0000241B0000}"/>
    <cellStyle name="40% - Accent5 2 2 2 7 2" xfId="16519" xr:uid="{00000000-0005-0000-0000-0000251B0000}"/>
    <cellStyle name="40% - Accent5 2 2 2 7 3" xfId="25842" xr:uid="{00000000-0005-0000-0000-0000261B0000}"/>
    <cellStyle name="40% - Accent5 2 2 2 8" xfId="9466" xr:uid="{00000000-0005-0000-0000-0000271B0000}"/>
    <cellStyle name="40% - Accent5 2 2 2 8 2" xfId="18790" xr:uid="{00000000-0005-0000-0000-0000281B0000}"/>
    <cellStyle name="40% - Accent5 2 2 2 8 3" xfId="28113" xr:uid="{00000000-0005-0000-0000-0000291B0000}"/>
    <cellStyle name="40% - Accent5 2 2 2 9" xfId="9960" xr:uid="{00000000-0005-0000-0000-00002A1B0000}"/>
    <cellStyle name="40% - Accent5 2 2 3" xfId="473" xr:uid="{00000000-0005-0000-0000-00002B1B0000}"/>
    <cellStyle name="40% - Accent5 2 2 3 2" xfId="961" xr:uid="{00000000-0005-0000-0000-00002C1B0000}"/>
    <cellStyle name="40% - Accent5 2 2 3 2 2" xfId="6819" xr:uid="{00000000-0005-0000-0000-00002D1B0000}"/>
    <cellStyle name="40% - Accent5 2 2 3 2 2 2" xfId="16143" xr:uid="{00000000-0005-0000-0000-00002E1B0000}"/>
    <cellStyle name="40% - Accent5 2 2 3 2 2 3" xfId="25466" xr:uid="{00000000-0005-0000-0000-00002F1B0000}"/>
    <cellStyle name="40% - Accent5 2 2 3 2 3" xfId="10562" xr:uid="{00000000-0005-0000-0000-0000301B0000}"/>
    <cellStyle name="40% - Accent5 2 2 3 2 4" xfId="19886" xr:uid="{00000000-0005-0000-0000-0000311B0000}"/>
    <cellStyle name="40% - Accent5 2 2 3 3" xfId="1582" xr:uid="{00000000-0005-0000-0000-0000321B0000}"/>
    <cellStyle name="40% - Accent5 2 2 3 3 2" xfId="6494" xr:uid="{00000000-0005-0000-0000-0000331B0000}"/>
    <cellStyle name="40% - Accent5 2 2 3 3 2 2" xfId="15818" xr:uid="{00000000-0005-0000-0000-0000341B0000}"/>
    <cellStyle name="40% - Accent5 2 2 3 3 2 3" xfId="25141" xr:uid="{00000000-0005-0000-0000-0000351B0000}"/>
    <cellStyle name="40% - Accent5 2 2 3 3 3" xfId="11150" xr:uid="{00000000-0005-0000-0000-0000361B0000}"/>
    <cellStyle name="40% - Accent5 2 2 3 3 4" xfId="20474" xr:uid="{00000000-0005-0000-0000-0000371B0000}"/>
    <cellStyle name="40% - Accent5 2 2 3 4" xfId="3369" xr:uid="{00000000-0005-0000-0000-0000381B0000}"/>
    <cellStyle name="40% - Accent5 2 2 3 4 2" xfId="8048" xr:uid="{00000000-0005-0000-0000-0000391B0000}"/>
    <cellStyle name="40% - Accent5 2 2 3 4 2 2" xfId="17372" xr:uid="{00000000-0005-0000-0000-00003A1B0000}"/>
    <cellStyle name="40% - Accent5 2 2 3 4 2 3" xfId="26695" xr:uid="{00000000-0005-0000-0000-00003B1B0000}"/>
    <cellStyle name="40% - Accent5 2 2 3 4 3" xfId="12755" xr:uid="{00000000-0005-0000-0000-00003C1B0000}"/>
    <cellStyle name="40% - Accent5 2 2 3 4 4" xfId="22081" xr:uid="{00000000-0005-0000-0000-00003D1B0000}"/>
    <cellStyle name="40% - Accent5 2 2 3 5" xfId="5035" xr:uid="{00000000-0005-0000-0000-00003E1B0000}"/>
    <cellStyle name="40% - Accent5 2 2 3 5 2" xfId="14359" xr:uid="{00000000-0005-0000-0000-00003F1B0000}"/>
    <cellStyle name="40% - Accent5 2 2 3 5 3" xfId="23682" xr:uid="{00000000-0005-0000-0000-0000401B0000}"/>
    <cellStyle name="40% - Accent5 2 2 3 6" xfId="7126" xr:uid="{00000000-0005-0000-0000-0000411B0000}"/>
    <cellStyle name="40% - Accent5 2 2 3 6 2" xfId="16450" xr:uid="{00000000-0005-0000-0000-0000421B0000}"/>
    <cellStyle name="40% - Accent5 2 2 3 6 3" xfId="25773" xr:uid="{00000000-0005-0000-0000-0000431B0000}"/>
    <cellStyle name="40% - Accent5 2 2 3 7" xfId="9584" xr:uid="{00000000-0005-0000-0000-0000441B0000}"/>
    <cellStyle name="40% - Accent5 2 2 3 7 2" xfId="18908" xr:uid="{00000000-0005-0000-0000-0000451B0000}"/>
    <cellStyle name="40% - Accent5 2 2 3 7 3" xfId="28231" xr:uid="{00000000-0005-0000-0000-0000461B0000}"/>
    <cellStyle name="40% - Accent5 2 2 3 8" xfId="10078" xr:uid="{00000000-0005-0000-0000-0000471B0000}"/>
    <cellStyle name="40% - Accent5 2 2 3 9" xfId="19402" xr:uid="{00000000-0005-0000-0000-0000481B0000}"/>
    <cellStyle name="40% - Accent5 2 2 4" xfId="721" xr:uid="{00000000-0005-0000-0000-0000491B0000}"/>
    <cellStyle name="40% - Accent5 2 2 4 2" xfId="6997" xr:uid="{00000000-0005-0000-0000-00004A1B0000}"/>
    <cellStyle name="40% - Accent5 2 2 4 2 2" xfId="16321" xr:uid="{00000000-0005-0000-0000-00004B1B0000}"/>
    <cellStyle name="40% - Accent5 2 2 4 2 3" xfId="25644" xr:uid="{00000000-0005-0000-0000-00004C1B0000}"/>
    <cellStyle name="40% - Accent5 2 2 4 3" xfId="10322" xr:uid="{00000000-0005-0000-0000-00004D1B0000}"/>
    <cellStyle name="40% - Accent5 2 2 4 4" xfId="19646" xr:uid="{00000000-0005-0000-0000-00004E1B0000}"/>
    <cellStyle name="40% - Accent5 2 2 5" xfId="1579" xr:uid="{00000000-0005-0000-0000-00004F1B0000}"/>
    <cellStyle name="40% - Accent5 2 2 5 2" xfId="6496" xr:uid="{00000000-0005-0000-0000-0000501B0000}"/>
    <cellStyle name="40% - Accent5 2 2 5 2 2" xfId="15820" xr:uid="{00000000-0005-0000-0000-0000511B0000}"/>
    <cellStyle name="40% - Accent5 2 2 5 2 3" xfId="25143" xr:uid="{00000000-0005-0000-0000-0000521B0000}"/>
    <cellStyle name="40% - Accent5 2 2 5 3" xfId="11147" xr:uid="{00000000-0005-0000-0000-0000531B0000}"/>
    <cellStyle name="40% - Accent5 2 2 5 4" xfId="20471" xr:uid="{00000000-0005-0000-0000-0000541B0000}"/>
    <cellStyle name="40% - Accent5 2 2 6" xfId="3366" xr:uid="{00000000-0005-0000-0000-0000551B0000}"/>
    <cellStyle name="40% - Accent5 2 2 6 2" xfId="8045" xr:uid="{00000000-0005-0000-0000-0000561B0000}"/>
    <cellStyle name="40% - Accent5 2 2 6 2 2" xfId="17369" xr:uid="{00000000-0005-0000-0000-0000571B0000}"/>
    <cellStyle name="40% - Accent5 2 2 6 2 3" xfId="26692" xr:uid="{00000000-0005-0000-0000-0000581B0000}"/>
    <cellStyle name="40% - Accent5 2 2 6 3" xfId="12752" xr:uid="{00000000-0005-0000-0000-0000591B0000}"/>
    <cellStyle name="40% - Accent5 2 2 6 4" xfId="22078" xr:uid="{00000000-0005-0000-0000-00005A1B0000}"/>
    <cellStyle name="40% - Accent5 2 2 7" xfId="5032" xr:uid="{00000000-0005-0000-0000-00005B1B0000}"/>
    <cellStyle name="40% - Accent5 2 2 7 2" xfId="14356" xr:uid="{00000000-0005-0000-0000-00005C1B0000}"/>
    <cellStyle name="40% - Accent5 2 2 7 3" xfId="23679" xr:uid="{00000000-0005-0000-0000-00005D1B0000}"/>
    <cellStyle name="40% - Accent5 2 2 8" xfId="7262" xr:uid="{00000000-0005-0000-0000-00005E1B0000}"/>
    <cellStyle name="40% - Accent5 2 2 8 2" xfId="16586" xr:uid="{00000000-0005-0000-0000-00005F1B0000}"/>
    <cellStyle name="40% - Accent5 2 2 8 3" xfId="25909" xr:uid="{00000000-0005-0000-0000-0000601B0000}"/>
    <cellStyle name="40% - Accent5 2 2 9" xfId="9343" xr:uid="{00000000-0005-0000-0000-0000611B0000}"/>
    <cellStyle name="40% - Accent5 2 2 9 2" xfId="18667" xr:uid="{00000000-0005-0000-0000-0000621B0000}"/>
    <cellStyle name="40% - Accent5 2 2 9 3" xfId="27990" xr:uid="{00000000-0005-0000-0000-0000631B0000}"/>
    <cellStyle name="40% - Accent5 2 3" xfId="269" xr:uid="{00000000-0005-0000-0000-0000641B0000}"/>
    <cellStyle name="40% - Accent5 2 3 2" xfId="523" xr:uid="{00000000-0005-0000-0000-0000651B0000}"/>
    <cellStyle name="40% - Accent5 2 3 2 2" xfId="1011" xr:uid="{00000000-0005-0000-0000-0000661B0000}"/>
    <cellStyle name="40% - Accent5 2 3 2 2 2" xfId="6789" xr:uid="{00000000-0005-0000-0000-0000671B0000}"/>
    <cellStyle name="40% - Accent5 2 3 2 2 2 2" xfId="16113" xr:uid="{00000000-0005-0000-0000-0000681B0000}"/>
    <cellStyle name="40% - Accent5 2 3 2 2 2 3" xfId="25436" xr:uid="{00000000-0005-0000-0000-0000691B0000}"/>
    <cellStyle name="40% - Accent5 2 3 2 2 3" xfId="10612" xr:uid="{00000000-0005-0000-0000-00006A1B0000}"/>
    <cellStyle name="40% - Accent5 2 3 2 2 4" xfId="19936" xr:uid="{00000000-0005-0000-0000-00006B1B0000}"/>
    <cellStyle name="40% - Accent5 2 3 2 3" xfId="1584" xr:uid="{00000000-0005-0000-0000-00006C1B0000}"/>
    <cellStyle name="40% - Accent5 2 3 2 3 2" xfId="6492" xr:uid="{00000000-0005-0000-0000-00006D1B0000}"/>
    <cellStyle name="40% - Accent5 2 3 2 3 2 2" xfId="15816" xr:uid="{00000000-0005-0000-0000-00006E1B0000}"/>
    <cellStyle name="40% - Accent5 2 3 2 3 2 3" xfId="25139" xr:uid="{00000000-0005-0000-0000-00006F1B0000}"/>
    <cellStyle name="40% - Accent5 2 3 2 3 3" xfId="11152" xr:uid="{00000000-0005-0000-0000-0000701B0000}"/>
    <cellStyle name="40% - Accent5 2 3 2 3 4" xfId="20476" xr:uid="{00000000-0005-0000-0000-0000711B0000}"/>
    <cellStyle name="40% - Accent5 2 3 2 4" xfId="3371" xr:uid="{00000000-0005-0000-0000-0000721B0000}"/>
    <cellStyle name="40% - Accent5 2 3 2 4 2" xfId="8050" xr:uid="{00000000-0005-0000-0000-0000731B0000}"/>
    <cellStyle name="40% - Accent5 2 3 2 4 2 2" xfId="17374" xr:uid="{00000000-0005-0000-0000-0000741B0000}"/>
    <cellStyle name="40% - Accent5 2 3 2 4 2 3" xfId="26697" xr:uid="{00000000-0005-0000-0000-0000751B0000}"/>
    <cellStyle name="40% - Accent5 2 3 2 4 3" xfId="12757" xr:uid="{00000000-0005-0000-0000-0000761B0000}"/>
    <cellStyle name="40% - Accent5 2 3 2 4 4" xfId="22083" xr:uid="{00000000-0005-0000-0000-0000771B0000}"/>
    <cellStyle name="40% - Accent5 2 3 2 5" xfId="5037" xr:uid="{00000000-0005-0000-0000-0000781B0000}"/>
    <cellStyle name="40% - Accent5 2 3 2 5 2" xfId="14361" xr:uid="{00000000-0005-0000-0000-0000791B0000}"/>
    <cellStyle name="40% - Accent5 2 3 2 5 3" xfId="23684" xr:uid="{00000000-0005-0000-0000-00007A1B0000}"/>
    <cellStyle name="40% - Accent5 2 3 2 6" xfId="9634" xr:uid="{00000000-0005-0000-0000-00007B1B0000}"/>
    <cellStyle name="40% - Accent5 2 3 2 6 2" xfId="18958" xr:uid="{00000000-0005-0000-0000-00007C1B0000}"/>
    <cellStyle name="40% - Accent5 2 3 2 6 3" xfId="28281" xr:uid="{00000000-0005-0000-0000-00007D1B0000}"/>
    <cellStyle name="40% - Accent5 2 3 2 7" xfId="10128" xr:uid="{00000000-0005-0000-0000-00007E1B0000}"/>
    <cellStyle name="40% - Accent5 2 3 2 8" xfId="19452" xr:uid="{00000000-0005-0000-0000-00007F1B0000}"/>
    <cellStyle name="40% - Accent5 2 3 3" xfId="771" xr:uid="{00000000-0005-0000-0000-0000801B0000}"/>
    <cellStyle name="40% - Accent5 2 3 3 2" xfId="6961" xr:uid="{00000000-0005-0000-0000-0000811B0000}"/>
    <cellStyle name="40% - Accent5 2 3 3 2 2" xfId="16285" xr:uid="{00000000-0005-0000-0000-0000821B0000}"/>
    <cellStyle name="40% - Accent5 2 3 3 2 3" xfId="25608" xr:uid="{00000000-0005-0000-0000-0000831B0000}"/>
    <cellStyle name="40% - Accent5 2 3 3 3" xfId="10372" xr:uid="{00000000-0005-0000-0000-0000841B0000}"/>
    <cellStyle name="40% - Accent5 2 3 3 4" xfId="19696" xr:uid="{00000000-0005-0000-0000-0000851B0000}"/>
    <cellStyle name="40% - Accent5 2 3 4" xfId="1583" xr:uid="{00000000-0005-0000-0000-0000861B0000}"/>
    <cellStyle name="40% - Accent5 2 3 4 2" xfId="6493" xr:uid="{00000000-0005-0000-0000-0000871B0000}"/>
    <cellStyle name="40% - Accent5 2 3 4 2 2" xfId="15817" xr:uid="{00000000-0005-0000-0000-0000881B0000}"/>
    <cellStyle name="40% - Accent5 2 3 4 2 3" xfId="25140" xr:uid="{00000000-0005-0000-0000-0000891B0000}"/>
    <cellStyle name="40% - Accent5 2 3 4 3" xfId="11151" xr:uid="{00000000-0005-0000-0000-00008A1B0000}"/>
    <cellStyle name="40% - Accent5 2 3 4 4" xfId="20475" xr:uid="{00000000-0005-0000-0000-00008B1B0000}"/>
    <cellStyle name="40% - Accent5 2 3 5" xfId="3370" xr:uid="{00000000-0005-0000-0000-00008C1B0000}"/>
    <cellStyle name="40% - Accent5 2 3 5 2" xfId="8049" xr:uid="{00000000-0005-0000-0000-00008D1B0000}"/>
    <cellStyle name="40% - Accent5 2 3 5 2 2" xfId="17373" xr:uid="{00000000-0005-0000-0000-00008E1B0000}"/>
    <cellStyle name="40% - Accent5 2 3 5 2 3" xfId="26696" xr:uid="{00000000-0005-0000-0000-00008F1B0000}"/>
    <cellStyle name="40% - Accent5 2 3 5 3" xfId="12756" xr:uid="{00000000-0005-0000-0000-0000901B0000}"/>
    <cellStyle name="40% - Accent5 2 3 5 4" xfId="22082" xr:uid="{00000000-0005-0000-0000-0000911B0000}"/>
    <cellStyle name="40% - Accent5 2 3 6" xfId="5036" xr:uid="{00000000-0005-0000-0000-0000921B0000}"/>
    <cellStyle name="40% - Accent5 2 3 6 2" xfId="14360" xr:uid="{00000000-0005-0000-0000-0000931B0000}"/>
    <cellStyle name="40% - Accent5 2 3 6 3" xfId="23683" xr:uid="{00000000-0005-0000-0000-0000941B0000}"/>
    <cellStyle name="40% - Accent5 2 3 7" xfId="9393" xr:uid="{00000000-0005-0000-0000-0000951B0000}"/>
    <cellStyle name="40% - Accent5 2 3 7 2" xfId="18717" xr:uid="{00000000-0005-0000-0000-0000961B0000}"/>
    <cellStyle name="40% - Accent5 2 3 7 3" xfId="28040" xr:uid="{00000000-0005-0000-0000-0000971B0000}"/>
    <cellStyle name="40% - Accent5 2 3 8" xfId="9887" xr:uid="{00000000-0005-0000-0000-0000981B0000}"/>
    <cellStyle name="40% - Accent5 2 3 9" xfId="19211" xr:uid="{00000000-0005-0000-0000-0000991B0000}"/>
    <cellStyle name="40% - Accent5 2 4" xfId="414" xr:uid="{00000000-0005-0000-0000-00009A1B0000}"/>
    <cellStyle name="40% - Accent5 2 4 2" xfId="902" xr:uid="{00000000-0005-0000-0000-00009B1B0000}"/>
    <cellStyle name="40% - Accent5 2 4 2 2" xfId="6862" xr:uid="{00000000-0005-0000-0000-00009C1B0000}"/>
    <cellStyle name="40% - Accent5 2 4 2 2 2" xfId="16186" xr:uid="{00000000-0005-0000-0000-00009D1B0000}"/>
    <cellStyle name="40% - Accent5 2 4 2 2 3" xfId="25509" xr:uid="{00000000-0005-0000-0000-00009E1B0000}"/>
    <cellStyle name="40% - Accent5 2 4 2 3" xfId="10503" xr:uid="{00000000-0005-0000-0000-00009F1B0000}"/>
    <cellStyle name="40% - Accent5 2 4 2 4" xfId="19827" xr:uid="{00000000-0005-0000-0000-0000A01B0000}"/>
    <cellStyle name="40% - Accent5 2 4 3" xfId="1585" xr:uid="{00000000-0005-0000-0000-0000A11B0000}"/>
    <cellStyle name="40% - Accent5 2 4 3 2" xfId="6491" xr:uid="{00000000-0005-0000-0000-0000A21B0000}"/>
    <cellStyle name="40% - Accent5 2 4 3 2 2" xfId="15815" xr:uid="{00000000-0005-0000-0000-0000A31B0000}"/>
    <cellStyle name="40% - Accent5 2 4 3 2 3" xfId="25138" xr:uid="{00000000-0005-0000-0000-0000A41B0000}"/>
    <cellStyle name="40% - Accent5 2 4 3 3" xfId="11153" xr:uid="{00000000-0005-0000-0000-0000A51B0000}"/>
    <cellStyle name="40% - Accent5 2 4 3 4" xfId="20477" xr:uid="{00000000-0005-0000-0000-0000A61B0000}"/>
    <cellStyle name="40% - Accent5 2 4 4" xfId="3372" xr:uid="{00000000-0005-0000-0000-0000A71B0000}"/>
    <cellStyle name="40% - Accent5 2 4 4 2" xfId="8051" xr:uid="{00000000-0005-0000-0000-0000A81B0000}"/>
    <cellStyle name="40% - Accent5 2 4 4 2 2" xfId="17375" xr:uid="{00000000-0005-0000-0000-0000A91B0000}"/>
    <cellStyle name="40% - Accent5 2 4 4 2 3" xfId="26698" xr:uid="{00000000-0005-0000-0000-0000AA1B0000}"/>
    <cellStyle name="40% - Accent5 2 4 4 3" xfId="12758" xr:uid="{00000000-0005-0000-0000-0000AB1B0000}"/>
    <cellStyle name="40% - Accent5 2 4 4 4" xfId="22084" xr:uid="{00000000-0005-0000-0000-0000AC1B0000}"/>
    <cellStyle name="40% - Accent5 2 4 5" xfId="5038" xr:uid="{00000000-0005-0000-0000-0000AD1B0000}"/>
    <cellStyle name="40% - Accent5 2 4 5 2" xfId="14362" xr:uid="{00000000-0005-0000-0000-0000AE1B0000}"/>
    <cellStyle name="40% - Accent5 2 4 5 3" xfId="23685" xr:uid="{00000000-0005-0000-0000-0000AF1B0000}"/>
    <cellStyle name="40% - Accent5 2 4 6" xfId="7168" xr:uid="{00000000-0005-0000-0000-0000B01B0000}"/>
    <cellStyle name="40% - Accent5 2 4 6 2" xfId="16492" xr:uid="{00000000-0005-0000-0000-0000B11B0000}"/>
    <cellStyle name="40% - Accent5 2 4 6 3" xfId="25815" xr:uid="{00000000-0005-0000-0000-0000B21B0000}"/>
    <cellStyle name="40% - Accent5 2 4 7" xfId="9525" xr:uid="{00000000-0005-0000-0000-0000B31B0000}"/>
    <cellStyle name="40% - Accent5 2 4 7 2" xfId="18849" xr:uid="{00000000-0005-0000-0000-0000B41B0000}"/>
    <cellStyle name="40% - Accent5 2 4 7 3" xfId="28172" xr:uid="{00000000-0005-0000-0000-0000B51B0000}"/>
    <cellStyle name="40% - Accent5 2 4 8" xfId="10019" xr:uid="{00000000-0005-0000-0000-0000B61B0000}"/>
    <cellStyle name="40% - Accent5 2 4 9" xfId="19343" xr:uid="{00000000-0005-0000-0000-0000B71B0000}"/>
    <cellStyle name="40% - Accent5 2 5" xfId="662" xr:uid="{00000000-0005-0000-0000-0000B81B0000}"/>
    <cellStyle name="40% - Accent5 2 5 2" xfId="1586" xr:uid="{00000000-0005-0000-0000-0000B91B0000}"/>
    <cellStyle name="40% - Accent5 2 5 2 2" xfId="6490" xr:uid="{00000000-0005-0000-0000-0000BA1B0000}"/>
    <cellStyle name="40% - Accent5 2 5 2 2 2" xfId="15814" xr:uid="{00000000-0005-0000-0000-0000BB1B0000}"/>
    <cellStyle name="40% - Accent5 2 5 2 2 3" xfId="25137" xr:uid="{00000000-0005-0000-0000-0000BC1B0000}"/>
    <cellStyle name="40% - Accent5 2 5 2 3" xfId="11154" xr:uid="{00000000-0005-0000-0000-0000BD1B0000}"/>
    <cellStyle name="40% - Accent5 2 5 2 4" xfId="20478" xr:uid="{00000000-0005-0000-0000-0000BE1B0000}"/>
    <cellStyle name="40% - Accent5 2 5 3" xfId="3373" xr:uid="{00000000-0005-0000-0000-0000BF1B0000}"/>
    <cellStyle name="40% - Accent5 2 5 3 2" xfId="8052" xr:uid="{00000000-0005-0000-0000-0000C01B0000}"/>
    <cellStyle name="40% - Accent5 2 5 3 2 2" xfId="17376" xr:uid="{00000000-0005-0000-0000-0000C11B0000}"/>
    <cellStyle name="40% - Accent5 2 5 3 2 3" xfId="26699" xr:uid="{00000000-0005-0000-0000-0000C21B0000}"/>
    <cellStyle name="40% - Accent5 2 5 3 3" xfId="12759" xr:uid="{00000000-0005-0000-0000-0000C31B0000}"/>
    <cellStyle name="40% - Accent5 2 5 3 4" xfId="22085" xr:uid="{00000000-0005-0000-0000-0000C41B0000}"/>
    <cellStyle name="40% - Accent5 2 5 4" xfId="5039" xr:uid="{00000000-0005-0000-0000-0000C51B0000}"/>
    <cellStyle name="40% - Accent5 2 5 4 2" xfId="14363" xr:uid="{00000000-0005-0000-0000-0000C61B0000}"/>
    <cellStyle name="40% - Accent5 2 5 4 3" xfId="23686" xr:uid="{00000000-0005-0000-0000-0000C71B0000}"/>
    <cellStyle name="40% - Accent5 2 5 5" xfId="10263" xr:uid="{00000000-0005-0000-0000-0000C81B0000}"/>
    <cellStyle name="40% - Accent5 2 5 6" xfId="19587" xr:uid="{00000000-0005-0000-0000-0000C91B0000}"/>
    <cellStyle name="40% - Accent5 2 6" xfId="1587" xr:uid="{00000000-0005-0000-0000-0000CA1B0000}"/>
    <cellStyle name="40% - Accent5 2 6 2" xfId="3374" xr:uid="{00000000-0005-0000-0000-0000CB1B0000}"/>
    <cellStyle name="40% - Accent5 2 6 2 2" xfId="8053" xr:uid="{00000000-0005-0000-0000-0000CC1B0000}"/>
    <cellStyle name="40% - Accent5 2 6 2 2 2" xfId="17377" xr:uid="{00000000-0005-0000-0000-0000CD1B0000}"/>
    <cellStyle name="40% - Accent5 2 6 2 2 3" xfId="26700" xr:uid="{00000000-0005-0000-0000-0000CE1B0000}"/>
    <cellStyle name="40% - Accent5 2 6 2 3" xfId="12760" xr:uid="{00000000-0005-0000-0000-0000CF1B0000}"/>
    <cellStyle name="40% - Accent5 2 6 2 4" xfId="22086" xr:uid="{00000000-0005-0000-0000-0000D01B0000}"/>
    <cellStyle name="40% - Accent5 2 6 3" xfId="5040" xr:uid="{00000000-0005-0000-0000-0000D11B0000}"/>
    <cellStyle name="40% - Accent5 2 6 3 2" xfId="14364" xr:uid="{00000000-0005-0000-0000-0000D21B0000}"/>
    <cellStyle name="40% - Accent5 2 6 3 3" xfId="23687" xr:uid="{00000000-0005-0000-0000-0000D31B0000}"/>
    <cellStyle name="40% - Accent5 2 6 4" xfId="11155" xr:uid="{00000000-0005-0000-0000-0000D41B0000}"/>
    <cellStyle name="40% - Accent5 2 6 5" xfId="20479" xr:uid="{00000000-0005-0000-0000-0000D51B0000}"/>
    <cellStyle name="40% - Accent5 2 7" xfId="1578" xr:uid="{00000000-0005-0000-0000-0000D61B0000}"/>
    <cellStyle name="40% - Accent5 2 7 2" xfId="3365" xr:uid="{00000000-0005-0000-0000-0000D71B0000}"/>
    <cellStyle name="40% - Accent5 2 7 2 2" xfId="8044" xr:uid="{00000000-0005-0000-0000-0000D81B0000}"/>
    <cellStyle name="40% - Accent5 2 7 2 2 2" xfId="17368" xr:uid="{00000000-0005-0000-0000-0000D91B0000}"/>
    <cellStyle name="40% - Accent5 2 7 2 2 3" xfId="26691" xr:uid="{00000000-0005-0000-0000-0000DA1B0000}"/>
    <cellStyle name="40% - Accent5 2 7 2 3" xfId="12751" xr:uid="{00000000-0005-0000-0000-0000DB1B0000}"/>
    <cellStyle name="40% - Accent5 2 7 2 4" xfId="22077" xr:uid="{00000000-0005-0000-0000-0000DC1B0000}"/>
    <cellStyle name="40% - Accent5 2 7 3" xfId="5031" xr:uid="{00000000-0005-0000-0000-0000DD1B0000}"/>
    <cellStyle name="40% - Accent5 2 7 3 2" xfId="14355" xr:uid="{00000000-0005-0000-0000-0000DE1B0000}"/>
    <cellStyle name="40% - Accent5 2 7 3 3" xfId="23678" xr:uid="{00000000-0005-0000-0000-0000DF1B0000}"/>
    <cellStyle name="40% - Accent5 2 7 4" xfId="11146" xr:uid="{00000000-0005-0000-0000-0000E01B0000}"/>
    <cellStyle name="40% - Accent5 2 7 5" xfId="20470" xr:uid="{00000000-0005-0000-0000-0000E11B0000}"/>
    <cellStyle name="40% - Accent5 2 8" xfId="1146" xr:uid="{00000000-0005-0000-0000-0000E21B0000}"/>
    <cellStyle name="40% - Accent5 2 8 2" xfId="6703" xr:uid="{00000000-0005-0000-0000-0000E31B0000}"/>
    <cellStyle name="40% - Accent5 2 8 2 2" xfId="16027" xr:uid="{00000000-0005-0000-0000-0000E41B0000}"/>
    <cellStyle name="40% - Accent5 2 8 2 3" xfId="25350" xr:uid="{00000000-0005-0000-0000-0000E51B0000}"/>
    <cellStyle name="40% - Accent5 2 8 3" xfId="10745" xr:uid="{00000000-0005-0000-0000-0000E61B0000}"/>
    <cellStyle name="40% - Accent5 2 8 4" xfId="20069" xr:uid="{00000000-0005-0000-0000-0000E71B0000}"/>
    <cellStyle name="40% - Accent5 2 9" xfId="2964" xr:uid="{00000000-0005-0000-0000-0000E81B0000}"/>
    <cellStyle name="40% - Accent5 2 9 2" xfId="7643" xr:uid="{00000000-0005-0000-0000-0000E91B0000}"/>
    <cellStyle name="40% - Accent5 2 9 2 2" xfId="16967" xr:uid="{00000000-0005-0000-0000-0000EA1B0000}"/>
    <cellStyle name="40% - Accent5 2 9 2 3" xfId="26290" xr:uid="{00000000-0005-0000-0000-0000EB1B0000}"/>
    <cellStyle name="40% - Accent5 2 9 3" xfId="12365" xr:uid="{00000000-0005-0000-0000-0000EC1B0000}"/>
    <cellStyle name="40% - Accent5 2 9 4" xfId="21691" xr:uid="{00000000-0005-0000-0000-0000ED1B0000}"/>
    <cellStyle name="40% - Accent5 3" xfId="78" xr:uid="{00000000-0005-0000-0000-0000EE1B0000}"/>
    <cellStyle name="40% - Accent5 3 10" xfId="9272" xr:uid="{00000000-0005-0000-0000-0000EF1B0000}"/>
    <cellStyle name="40% - Accent5 3 10 2" xfId="18596" xr:uid="{00000000-0005-0000-0000-0000F01B0000}"/>
    <cellStyle name="40% - Accent5 3 10 3" xfId="27919" xr:uid="{00000000-0005-0000-0000-0000F11B0000}"/>
    <cellStyle name="40% - Accent5 3 11" xfId="9766" xr:uid="{00000000-0005-0000-0000-0000F21B0000}"/>
    <cellStyle name="40% - Accent5 3 12" xfId="19090" xr:uid="{00000000-0005-0000-0000-0000F31B0000}"/>
    <cellStyle name="40% - Accent5 3 13" xfId="28834" xr:uid="{00000000-0005-0000-0000-0000F41B0000}"/>
    <cellStyle name="40% - Accent5 3 2" xfId="216" xr:uid="{00000000-0005-0000-0000-0000F51B0000}"/>
    <cellStyle name="40% - Accent5 3 2 10" xfId="9838" xr:uid="{00000000-0005-0000-0000-0000F61B0000}"/>
    <cellStyle name="40% - Accent5 3 2 11" xfId="19162" xr:uid="{00000000-0005-0000-0000-0000F71B0000}"/>
    <cellStyle name="40% - Accent5 3 2 2" xfId="356" xr:uid="{00000000-0005-0000-0000-0000F81B0000}"/>
    <cellStyle name="40% - Accent5 3 2 2 10" xfId="19285" xr:uid="{00000000-0005-0000-0000-0000F91B0000}"/>
    <cellStyle name="40% - Accent5 3 2 2 2" xfId="596" xr:uid="{00000000-0005-0000-0000-0000FA1B0000}"/>
    <cellStyle name="40% - Accent5 3 2 2 2 2" xfId="1084" xr:uid="{00000000-0005-0000-0000-0000FB1B0000}"/>
    <cellStyle name="40% - Accent5 3 2 2 2 2 2" xfId="7338" xr:uid="{00000000-0005-0000-0000-0000FC1B0000}"/>
    <cellStyle name="40% - Accent5 3 2 2 2 2 2 2" xfId="16662" xr:uid="{00000000-0005-0000-0000-0000FD1B0000}"/>
    <cellStyle name="40% - Accent5 3 2 2 2 2 2 3" xfId="25985" xr:uid="{00000000-0005-0000-0000-0000FE1B0000}"/>
    <cellStyle name="40% - Accent5 3 2 2 2 2 3" xfId="10685" xr:uid="{00000000-0005-0000-0000-0000FF1B0000}"/>
    <cellStyle name="40% - Accent5 3 2 2 2 2 4" xfId="20009" xr:uid="{00000000-0005-0000-0000-0000001C0000}"/>
    <cellStyle name="40% - Accent5 3 2 2 2 3" xfId="7057" xr:uid="{00000000-0005-0000-0000-0000011C0000}"/>
    <cellStyle name="40% - Accent5 3 2 2 2 3 2" xfId="16381" xr:uid="{00000000-0005-0000-0000-0000021C0000}"/>
    <cellStyle name="40% - Accent5 3 2 2 2 3 3" xfId="25704" xr:uid="{00000000-0005-0000-0000-0000031C0000}"/>
    <cellStyle name="40% - Accent5 3 2 2 2 4" xfId="9707" xr:uid="{00000000-0005-0000-0000-0000041C0000}"/>
    <cellStyle name="40% - Accent5 3 2 2 2 4 2" xfId="19031" xr:uid="{00000000-0005-0000-0000-0000051C0000}"/>
    <cellStyle name="40% - Accent5 3 2 2 2 4 3" xfId="28354" xr:uid="{00000000-0005-0000-0000-0000061C0000}"/>
    <cellStyle name="40% - Accent5 3 2 2 2 5" xfId="10201" xr:uid="{00000000-0005-0000-0000-0000071C0000}"/>
    <cellStyle name="40% - Accent5 3 2 2 2 6" xfId="19525" xr:uid="{00000000-0005-0000-0000-0000081C0000}"/>
    <cellStyle name="40% - Accent5 3 2 2 3" xfId="844" xr:uid="{00000000-0005-0000-0000-0000091C0000}"/>
    <cellStyle name="40% - Accent5 3 2 2 3 2" xfId="6914" xr:uid="{00000000-0005-0000-0000-00000A1C0000}"/>
    <cellStyle name="40% - Accent5 3 2 2 3 2 2" xfId="16238" xr:uid="{00000000-0005-0000-0000-00000B1C0000}"/>
    <cellStyle name="40% - Accent5 3 2 2 3 2 3" xfId="25561" xr:uid="{00000000-0005-0000-0000-00000C1C0000}"/>
    <cellStyle name="40% - Accent5 3 2 2 3 3" xfId="10445" xr:uid="{00000000-0005-0000-0000-00000D1C0000}"/>
    <cellStyle name="40% - Accent5 3 2 2 3 4" xfId="19769" xr:uid="{00000000-0005-0000-0000-00000E1C0000}"/>
    <cellStyle name="40% - Accent5 3 2 2 4" xfId="1590" xr:uid="{00000000-0005-0000-0000-00000F1C0000}"/>
    <cellStyle name="40% - Accent5 3 2 2 4 2" xfId="6487" xr:uid="{00000000-0005-0000-0000-0000101C0000}"/>
    <cellStyle name="40% - Accent5 3 2 2 4 2 2" xfId="15811" xr:uid="{00000000-0005-0000-0000-0000111C0000}"/>
    <cellStyle name="40% - Accent5 3 2 2 4 2 3" xfId="25134" xr:uid="{00000000-0005-0000-0000-0000121C0000}"/>
    <cellStyle name="40% - Accent5 3 2 2 4 3" xfId="11158" xr:uid="{00000000-0005-0000-0000-0000131C0000}"/>
    <cellStyle name="40% - Accent5 3 2 2 4 4" xfId="20482" xr:uid="{00000000-0005-0000-0000-0000141C0000}"/>
    <cellStyle name="40% - Accent5 3 2 2 5" xfId="3377" xr:uid="{00000000-0005-0000-0000-0000151C0000}"/>
    <cellStyle name="40% - Accent5 3 2 2 5 2" xfId="8056" xr:uid="{00000000-0005-0000-0000-0000161C0000}"/>
    <cellStyle name="40% - Accent5 3 2 2 5 2 2" xfId="17380" xr:uid="{00000000-0005-0000-0000-0000171C0000}"/>
    <cellStyle name="40% - Accent5 3 2 2 5 2 3" xfId="26703" xr:uid="{00000000-0005-0000-0000-0000181C0000}"/>
    <cellStyle name="40% - Accent5 3 2 2 5 3" xfId="12763" xr:uid="{00000000-0005-0000-0000-0000191C0000}"/>
    <cellStyle name="40% - Accent5 3 2 2 5 4" xfId="22089" xr:uid="{00000000-0005-0000-0000-00001A1C0000}"/>
    <cellStyle name="40% - Accent5 3 2 2 6" xfId="5043" xr:uid="{00000000-0005-0000-0000-00001B1C0000}"/>
    <cellStyle name="40% - Accent5 3 2 2 6 2" xfId="14367" xr:uid="{00000000-0005-0000-0000-00001C1C0000}"/>
    <cellStyle name="40% - Accent5 3 2 2 6 3" xfId="23690" xr:uid="{00000000-0005-0000-0000-00001D1C0000}"/>
    <cellStyle name="40% - Accent5 3 2 2 7" xfId="7194" xr:uid="{00000000-0005-0000-0000-00001E1C0000}"/>
    <cellStyle name="40% - Accent5 3 2 2 7 2" xfId="16518" xr:uid="{00000000-0005-0000-0000-00001F1C0000}"/>
    <cellStyle name="40% - Accent5 3 2 2 7 3" xfId="25841" xr:uid="{00000000-0005-0000-0000-0000201C0000}"/>
    <cellStyle name="40% - Accent5 3 2 2 8" xfId="9467" xr:uid="{00000000-0005-0000-0000-0000211C0000}"/>
    <cellStyle name="40% - Accent5 3 2 2 8 2" xfId="18791" xr:uid="{00000000-0005-0000-0000-0000221C0000}"/>
    <cellStyle name="40% - Accent5 3 2 2 8 3" xfId="28114" xr:uid="{00000000-0005-0000-0000-0000231C0000}"/>
    <cellStyle name="40% - Accent5 3 2 2 9" xfId="9961" xr:uid="{00000000-0005-0000-0000-0000241C0000}"/>
    <cellStyle name="40% - Accent5 3 2 3" xfId="474" xr:uid="{00000000-0005-0000-0000-0000251C0000}"/>
    <cellStyle name="40% - Accent5 3 2 3 2" xfId="962" xr:uid="{00000000-0005-0000-0000-0000261C0000}"/>
    <cellStyle name="40% - Accent5 3 2 3 2 2" xfId="5480" xr:uid="{00000000-0005-0000-0000-0000271C0000}"/>
    <cellStyle name="40% - Accent5 3 2 3 2 2 2" xfId="14804" xr:uid="{00000000-0005-0000-0000-0000281C0000}"/>
    <cellStyle name="40% - Accent5 3 2 3 2 2 3" xfId="24127" xr:uid="{00000000-0005-0000-0000-0000291C0000}"/>
    <cellStyle name="40% - Accent5 3 2 3 2 3" xfId="10563" xr:uid="{00000000-0005-0000-0000-00002A1C0000}"/>
    <cellStyle name="40% - Accent5 3 2 3 2 4" xfId="19887" xr:uid="{00000000-0005-0000-0000-00002B1C0000}"/>
    <cellStyle name="40% - Accent5 3 2 3 3" xfId="7131" xr:uid="{00000000-0005-0000-0000-00002C1C0000}"/>
    <cellStyle name="40% - Accent5 3 2 3 3 2" xfId="16455" xr:uid="{00000000-0005-0000-0000-00002D1C0000}"/>
    <cellStyle name="40% - Accent5 3 2 3 3 3" xfId="25778" xr:uid="{00000000-0005-0000-0000-00002E1C0000}"/>
    <cellStyle name="40% - Accent5 3 2 3 4" xfId="9585" xr:uid="{00000000-0005-0000-0000-00002F1C0000}"/>
    <cellStyle name="40% - Accent5 3 2 3 4 2" xfId="18909" xr:uid="{00000000-0005-0000-0000-0000301C0000}"/>
    <cellStyle name="40% - Accent5 3 2 3 4 3" xfId="28232" xr:uid="{00000000-0005-0000-0000-0000311C0000}"/>
    <cellStyle name="40% - Accent5 3 2 3 5" xfId="10079" xr:uid="{00000000-0005-0000-0000-0000321C0000}"/>
    <cellStyle name="40% - Accent5 3 2 3 6" xfId="19403" xr:uid="{00000000-0005-0000-0000-0000331C0000}"/>
    <cellStyle name="40% - Accent5 3 2 4" xfId="722" xr:uid="{00000000-0005-0000-0000-0000341C0000}"/>
    <cellStyle name="40% - Accent5 3 2 4 2" xfId="6995" xr:uid="{00000000-0005-0000-0000-0000351C0000}"/>
    <cellStyle name="40% - Accent5 3 2 4 2 2" xfId="16319" xr:uid="{00000000-0005-0000-0000-0000361C0000}"/>
    <cellStyle name="40% - Accent5 3 2 4 2 3" xfId="25642" xr:uid="{00000000-0005-0000-0000-0000371C0000}"/>
    <cellStyle name="40% - Accent5 3 2 4 3" xfId="10323" xr:uid="{00000000-0005-0000-0000-0000381C0000}"/>
    <cellStyle name="40% - Accent5 3 2 4 4" xfId="19647" xr:uid="{00000000-0005-0000-0000-0000391C0000}"/>
    <cellStyle name="40% - Accent5 3 2 5" xfId="1589" xr:uid="{00000000-0005-0000-0000-00003A1C0000}"/>
    <cellStyle name="40% - Accent5 3 2 5 2" xfId="6488" xr:uid="{00000000-0005-0000-0000-00003B1C0000}"/>
    <cellStyle name="40% - Accent5 3 2 5 2 2" xfId="15812" xr:uid="{00000000-0005-0000-0000-00003C1C0000}"/>
    <cellStyle name="40% - Accent5 3 2 5 2 3" xfId="25135" xr:uid="{00000000-0005-0000-0000-00003D1C0000}"/>
    <cellStyle name="40% - Accent5 3 2 5 3" xfId="11157" xr:uid="{00000000-0005-0000-0000-00003E1C0000}"/>
    <cellStyle name="40% - Accent5 3 2 5 4" xfId="20481" xr:uid="{00000000-0005-0000-0000-00003F1C0000}"/>
    <cellStyle name="40% - Accent5 3 2 6" xfId="3376" xr:uid="{00000000-0005-0000-0000-0000401C0000}"/>
    <cellStyle name="40% - Accent5 3 2 6 2" xfId="8055" xr:uid="{00000000-0005-0000-0000-0000411C0000}"/>
    <cellStyle name="40% - Accent5 3 2 6 2 2" xfId="17379" xr:uid="{00000000-0005-0000-0000-0000421C0000}"/>
    <cellStyle name="40% - Accent5 3 2 6 2 3" xfId="26702" xr:uid="{00000000-0005-0000-0000-0000431C0000}"/>
    <cellStyle name="40% - Accent5 3 2 6 3" xfId="12762" xr:uid="{00000000-0005-0000-0000-0000441C0000}"/>
    <cellStyle name="40% - Accent5 3 2 6 4" xfId="22088" xr:uid="{00000000-0005-0000-0000-0000451C0000}"/>
    <cellStyle name="40% - Accent5 3 2 7" xfId="5042" xr:uid="{00000000-0005-0000-0000-0000461C0000}"/>
    <cellStyle name="40% - Accent5 3 2 7 2" xfId="14366" xr:uid="{00000000-0005-0000-0000-0000471C0000}"/>
    <cellStyle name="40% - Accent5 3 2 7 3" xfId="23689" xr:uid="{00000000-0005-0000-0000-0000481C0000}"/>
    <cellStyle name="40% - Accent5 3 2 8" xfId="7261" xr:uid="{00000000-0005-0000-0000-0000491C0000}"/>
    <cellStyle name="40% - Accent5 3 2 8 2" xfId="16585" xr:uid="{00000000-0005-0000-0000-00004A1C0000}"/>
    <cellStyle name="40% - Accent5 3 2 8 3" xfId="25908" xr:uid="{00000000-0005-0000-0000-00004B1C0000}"/>
    <cellStyle name="40% - Accent5 3 2 9" xfId="9344" xr:uid="{00000000-0005-0000-0000-00004C1C0000}"/>
    <cellStyle name="40% - Accent5 3 2 9 2" xfId="18668" xr:uid="{00000000-0005-0000-0000-00004D1C0000}"/>
    <cellStyle name="40% - Accent5 3 2 9 3" xfId="27991" xr:uid="{00000000-0005-0000-0000-00004E1C0000}"/>
    <cellStyle name="40% - Accent5 3 3" xfId="295" xr:uid="{00000000-0005-0000-0000-00004F1C0000}"/>
    <cellStyle name="40% - Accent5 3 3 10" xfId="19229" xr:uid="{00000000-0005-0000-0000-0000501C0000}"/>
    <cellStyle name="40% - Accent5 3 3 2" xfId="541" xr:uid="{00000000-0005-0000-0000-0000511C0000}"/>
    <cellStyle name="40% - Accent5 3 3 2 2" xfId="1029" xr:uid="{00000000-0005-0000-0000-0000521C0000}"/>
    <cellStyle name="40% - Accent5 3 3 2 2 2" xfId="6286" xr:uid="{00000000-0005-0000-0000-0000531C0000}"/>
    <cellStyle name="40% - Accent5 3 3 2 2 2 2" xfId="15610" xr:uid="{00000000-0005-0000-0000-0000541C0000}"/>
    <cellStyle name="40% - Accent5 3 3 2 2 2 3" xfId="24933" xr:uid="{00000000-0005-0000-0000-0000551C0000}"/>
    <cellStyle name="40% - Accent5 3 3 2 2 3" xfId="10630" xr:uid="{00000000-0005-0000-0000-0000561C0000}"/>
    <cellStyle name="40% - Accent5 3 3 2 2 4" xfId="19954" xr:uid="{00000000-0005-0000-0000-0000571C0000}"/>
    <cellStyle name="40% - Accent5 3 3 2 3" xfId="7096" xr:uid="{00000000-0005-0000-0000-0000581C0000}"/>
    <cellStyle name="40% - Accent5 3 3 2 3 2" xfId="16420" xr:uid="{00000000-0005-0000-0000-0000591C0000}"/>
    <cellStyle name="40% - Accent5 3 3 2 3 3" xfId="25743" xr:uid="{00000000-0005-0000-0000-00005A1C0000}"/>
    <cellStyle name="40% - Accent5 3 3 2 4" xfId="9652" xr:uid="{00000000-0005-0000-0000-00005B1C0000}"/>
    <cellStyle name="40% - Accent5 3 3 2 4 2" xfId="18976" xr:uid="{00000000-0005-0000-0000-00005C1C0000}"/>
    <cellStyle name="40% - Accent5 3 3 2 4 3" xfId="28299" xr:uid="{00000000-0005-0000-0000-00005D1C0000}"/>
    <cellStyle name="40% - Accent5 3 3 2 5" xfId="10146" xr:uid="{00000000-0005-0000-0000-00005E1C0000}"/>
    <cellStyle name="40% - Accent5 3 3 2 6" xfId="19470" xr:uid="{00000000-0005-0000-0000-00005F1C0000}"/>
    <cellStyle name="40% - Accent5 3 3 3" xfId="789" xr:uid="{00000000-0005-0000-0000-0000601C0000}"/>
    <cellStyle name="40% - Accent5 3 3 3 2" xfId="6949" xr:uid="{00000000-0005-0000-0000-0000611C0000}"/>
    <cellStyle name="40% - Accent5 3 3 3 2 2" xfId="16273" xr:uid="{00000000-0005-0000-0000-0000621C0000}"/>
    <cellStyle name="40% - Accent5 3 3 3 2 3" xfId="25596" xr:uid="{00000000-0005-0000-0000-0000631C0000}"/>
    <cellStyle name="40% - Accent5 3 3 3 3" xfId="10390" xr:uid="{00000000-0005-0000-0000-0000641C0000}"/>
    <cellStyle name="40% - Accent5 3 3 3 4" xfId="19714" xr:uid="{00000000-0005-0000-0000-0000651C0000}"/>
    <cellStyle name="40% - Accent5 3 3 4" xfId="1591" xr:uid="{00000000-0005-0000-0000-0000661C0000}"/>
    <cellStyle name="40% - Accent5 3 3 4 2" xfId="6486" xr:uid="{00000000-0005-0000-0000-0000671C0000}"/>
    <cellStyle name="40% - Accent5 3 3 4 2 2" xfId="15810" xr:uid="{00000000-0005-0000-0000-0000681C0000}"/>
    <cellStyle name="40% - Accent5 3 3 4 2 3" xfId="25133" xr:uid="{00000000-0005-0000-0000-0000691C0000}"/>
    <cellStyle name="40% - Accent5 3 3 4 3" xfId="11159" xr:uid="{00000000-0005-0000-0000-00006A1C0000}"/>
    <cellStyle name="40% - Accent5 3 3 4 4" xfId="20483" xr:uid="{00000000-0005-0000-0000-00006B1C0000}"/>
    <cellStyle name="40% - Accent5 3 3 5" xfId="3378" xr:uid="{00000000-0005-0000-0000-00006C1C0000}"/>
    <cellStyle name="40% - Accent5 3 3 5 2" xfId="8057" xr:uid="{00000000-0005-0000-0000-00006D1C0000}"/>
    <cellStyle name="40% - Accent5 3 3 5 2 2" xfId="17381" xr:uid="{00000000-0005-0000-0000-00006E1C0000}"/>
    <cellStyle name="40% - Accent5 3 3 5 2 3" xfId="26704" xr:uid="{00000000-0005-0000-0000-00006F1C0000}"/>
    <cellStyle name="40% - Accent5 3 3 5 3" xfId="12764" xr:uid="{00000000-0005-0000-0000-0000701C0000}"/>
    <cellStyle name="40% - Accent5 3 3 5 4" xfId="22090" xr:uid="{00000000-0005-0000-0000-0000711C0000}"/>
    <cellStyle name="40% - Accent5 3 3 6" xfId="5044" xr:uid="{00000000-0005-0000-0000-0000721C0000}"/>
    <cellStyle name="40% - Accent5 3 3 6 2" xfId="14368" xr:uid="{00000000-0005-0000-0000-0000731C0000}"/>
    <cellStyle name="40% - Accent5 3 3 6 3" xfId="23691" xr:uid="{00000000-0005-0000-0000-0000741C0000}"/>
    <cellStyle name="40% - Accent5 3 3 7" xfId="7229" xr:uid="{00000000-0005-0000-0000-0000751C0000}"/>
    <cellStyle name="40% - Accent5 3 3 7 2" xfId="16553" xr:uid="{00000000-0005-0000-0000-0000761C0000}"/>
    <cellStyle name="40% - Accent5 3 3 7 3" xfId="25876" xr:uid="{00000000-0005-0000-0000-0000771C0000}"/>
    <cellStyle name="40% - Accent5 3 3 8" xfId="9411" xr:uid="{00000000-0005-0000-0000-0000781C0000}"/>
    <cellStyle name="40% - Accent5 3 3 8 2" xfId="18735" xr:uid="{00000000-0005-0000-0000-0000791C0000}"/>
    <cellStyle name="40% - Accent5 3 3 8 3" xfId="28058" xr:uid="{00000000-0005-0000-0000-00007A1C0000}"/>
    <cellStyle name="40% - Accent5 3 3 9" xfId="9905" xr:uid="{00000000-0005-0000-0000-00007B1C0000}"/>
    <cellStyle name="40% - Accent5 3 4" xfId="415" xr:uid="{00000000-0005-0000-0000-00007C1C0000}"/>
    <cellStyle name="40% - Accent5 3 4 2" xfId="903" xr:uid="{00000000-0005-0000-0000-00007D1C0000}"/>
    <cellStyle name="40% - Accent5 3 4 2 2" xfId="6861" xr:uid="{00000000-0005-0000-0000-00007E1C0000}"/>
    <cellStyle name="40% - Accent5 3 4 2 2 2" xfId="16185" xr:uid="{00000000-0005-0000-0000-00007F1C0000}"/>
    <cellStyle name="40% - Accent5 3 4 2 2 3" xfId="25508" xr:uid="{00000000-0005-0000-0000-0000801C0000}"/>
    <cellStyle name="40% - Accent5 3 4 2 3" xfId="10504" xr:uid="{00000000-0005-0000-0000-0000811C0000}"/>
    <cellStyle name="40% - Accent5 3 4 2 4" xfId="19828" xr:uid="{00000000-0005-0000-0000-0000821C0000}"/>
    <cellStyle name="40% - Accent5 3 4 3" xfId="1592" xr:uid="{00000000-0005-0000-0000-0000831C0000}"/>
    <cellStyle name="40% - Accent5 3 4 3 2" xfId="6485" xr:uid="{00000000-0005-0000-0000-0000841C0000}"/>
    <cellStyle name="40% - Accent5 3 4 3 2 2" xfId="15809" xr:uid="{00000000-0005-0000-0000-0000851C0000}"/>
    <cellStyle name="40% - Accent5 3 4 3 2 3" xfId="25132" xr:uid="{00000000-0005-0000-0000-0000861C0000}"/>
    <cellStyle name="40% - Accent5 3 4 3 3" xfId="11160" xr:uid="{00000000-0005-0000-0000-0000871C0000}"/>
    <cellStyle name="40% - Accent5 3 4 3 4" xfId="20484" xr:uid="{00000000-0005-0000-0000-0000881C0000}"/>
    <cellStyle name="40% - Accent5 3 4 4" xfId="3379" xr:uid="{00000000-0005-0000-0000-0000891C0000}"/>
    <cellStyle name="40% - Accent5 3 4 4 2" xfId="8058" xr:uid="{00000000-0005-0000-0000-00008A1C0000}"/>
    <cellStyle name="40% - Accent5 3 4 4 2 2" xfId="17382" xr:uid="{00000000-0005-0000-0000-00008B1C0000}"/>
    <cellStyle name="40% - Accent5 3 4 4 2 3" xfId="26705" xr:uid="{00000000-0005-0000-0000-00008C1C0000}"/>
    <cellStyle name="40% - Accent5 3 4 4 3" xfId="12765" xr:uid="{00000000-0005-0000-0000-00008D1C0000}"/>
    <cellStyle name="40% - Accent5 3 4 4 4" xfId="22091" xr:uid="{00000000-0005-0000-0000-00008E1C0000}"/>
    <cellStyle name="40% - Accent5 3 4 5" xfId="5045" xr:uid="{00000000-0005-0000-0000-00008F1C0000}"/>
    <cellStyle name="40% - Accent5 3 4 5 2" xfId="14369" xr:uid="{00000000-0005-0000-0000-0000901C0000}"/>
    <cellStyle name="40% - Accent5 3 4 5 3" xfId="23692" xr:uid="{00000000-0005-0000-0000-0000911C0000}"/>
    <cellStyle name="40% - Accent5 3 4 6" xfId="7167" xr:uid="{00000000-0005-0000-0000-0000921C0000}"/>
    <cellStyle name="40% - Accent5 3 4 6 2" xfId="16491" xr:uid="{00000000-0005-0000-0000-0000931C0000}"/>
    <cellStyle name="40% - Accent5 3 4 6 3" xfId="25814" xr:uid="{00000000-0005-0000-0000-0000941C0000}"/>
    <cellStyle name="40% - Accent5 3 4 7" xfId="9526" xr:uid="{00000000-0005-0000-0000-0000951C0000}"/>
    <cellStyle name="40% - Accent5 3 4 7 2" xfId="18850" xr:uid="{00000000-0005-0000-0000-0000961C0000}"/>
    <cellStyle name="40% - Accent5 3 4 7 3" xfId="28173" xr:uid="{00000000-0005-0000-0000-0000971C0000}"/>
    <cellStyle name="40% - Accent5 3 4 8" xfId="10020" xr:uid="{00000000-0005-0000-0000-0000981C0000}"/>
    <cellStyle name="40% - Accent5 3 4 9" xfId="19344" xr:uid="{00000000-0005-0000-0000-0000991C0000}"/>
    <cellStyle name="40% - Accent5 3 5" xfId="663" xr:uid="{00000000-0005-0000-0000-00009A1C0000}"/>
    <cellStyle name="40% - Accent5 3 5 2" xfId="1593" xr:uid="{00000000-0005-0000-0000-00009B1C0000}"/>
    <cellStyle name="40% - Accent5 3 5 2 2" xfId="6484" xr:uid="{00000000-0005-0000-0000-00009C1C0000}"/>
    <cellStyle name="40% - Accent5 3 5 2 2 2" xfId="15808" xr:uid="{00000000-0005-0000-0000-00009D1C0000}"/>
    <cellStyle name="40% - Accent5 3 5 2 2 3" xfId="25131" xr:uid="{00000000-0005-0000-0000-00009E1C0000}"/>
    <cellStyle name="40% - Accent5 3 5 2 3" xfId="11161" xr:uid="{00000000-0005-0000-0000-00009F1C0000}"/>
    <cellStyle name="40% - Accent5 3 5 2 4" xfId="20485" xr:uid="{00000000-0005-0000-0000-0000A01C0000}"/>
    <cellStyle name="40% - Accent5 3 5 3" xfId="3380" xr:uid="{00000000-0005-0000-0000-0000A11C0000}"/>
    <cellStyle name="40% - Accent5 3 5 3 2" xfId="8059" xr:uid="{00000000-0005-0000-0000-0000A21C0000}"/>
    <cellStyle name="40% - Accent5 3 5 3 2 2" xfId="17383" xr:uid="{00000000-0005-0000-0000-0000A31C0000}"/>
    <cellStyle name="40% - Accent5 3 5 3 2 3" xfId="26706" xr:uid="{00000000-0005-0000-0000-0000A41C0000}"/>
    <cellStyle name="40% - Accent5 3 5 3 3" xfId="12766" xr:uid="{00000000-0005-0000-0000-0000A51C0000}"/>
    <cellStyle name="40% - Accent5 3 5 3 4" xfId="22092" xr:uid="{00000000-0005-0000-0000-0000A61C0000}"/>
    <cellStyle name="40% - Accent5 3 5 4" xfId="5046" xr:uid="{00000000-0005-0000-0000-0000A71C0000}"/>
    <cellStyle name="40% - Accent5 3 5 4 2" xfId="14370" xr:uid="{00000000-0005-0000-0000-0000A81C0000}"/>
    <cellStyle name="40% - Accent5 3 5 4 3" xfId="23693" xr:uid="{00000000-0005-0000-0000-0000A91C0000}"/>
    <cellStyle name="40% - Accent5 3 5 5" xfId="5972" xr:uid="{00000000-0005-0000-0000-0000AA1C0000}"/>
    <cellStyle name="40% - Accent5 3 5 5 2" xfId="15296" xr:uid="{00000000-0005-0000-0000-0000AB1C0000}"/>
    <cellStyle name="40% - Accent5 3 5 5 3" xfId="24619" xr:uid="{00000000-0005-0000-0000-0000AC1C0000}"/>
    <cellStyle name="40% - Accent5 3 5 6" xfId="10264" xr:uid="{00000000-0005-0000-0000-0000AD1C0000}"/>
    <cellStyle name="40% - Accent5 3 5 7" xfId="19588" xr:uid="{00000000-0005-0000-0000-0000AE1C0000}"/>
    <cellStyle name="40% - Accent5 3 6" xfId="1588" xr:uid="{00000000-0005-0000-0000-0000AF1C0000}"/>
    <cellStyle name="40% - Accent5 3 6 2" xfId="6489" xr:uid="{00000000-0005-0000-0000-0000B01C0000}"/>
    <cellStyle name="40% - Accent5 3 6 2 2" xfId="15813" xr:uid="{00000000-0005-0000-0000-0000B11C0000}"/>
    <cellStyle name="40% - Accent5 3 6 2 3" xfId="25136" xr:uid="{00000000-0005-0000-0000-0000B21C0000}"/>
    <cellStyle name="40% - Accent5 3 6 3" xfId="11156" xr:uid="{00000000-0005-0000-0000-0000B31C0000}"/>
    <cellStyle name="40% - Accent5 3 6 4" xfId="20480" xr:uid="{00000000-0005-0000-0000-0000B41C0000}"/>
    <cellStyle name="40% - Accent5 3 7" xfId="3375" xr:uid="{00000000-0005-0000-0000-0000B51C0000}"/>
    <cellStyle name="40% - Accent5 3 7 2" xfId="8054" xr:uid="{00000000-0005-0000-0000-0000B61C0000}"/>
    <cellStyle name="40% - Accent5 3 7 2 2" xfId="17378" xr:uid="{00000000-0005-0000-0000-0000B71C0000}"/>
    <cellStyle name="40% - Accent5 3 7 2 3" xfId="26701" xr:uid="{00000000-0005-0000-0000-0000B81C0000}"/>
    <cellStyle name="40% - Accent5 3 7 3" xfId="12761" xr:uid="{00000000-0005-0000-0000-0000B91C0000}"/>
    <cellStyle name="40% - Accent5 3 7 4" xfId="22087" xr:uid="{00000000-0005-0000-0000-0000BA1C0000}"/>
    <cellStyle name="40% - Accent5 3 8" xfId="5041" xr:uid="{00000000-0005-0000-0000-0000BB1C0000}"/>
    <cellStyle name="40% - Accent5 3 8 2" xfId="14365" xr:uid="{00000000-0005-0000-0000-0000BC1C0000}"/>
    <cellStyle name="40% - Accent5 3 8 3" xfId="23688" xr:uid="{00000000-0005-0000-0000-0000BD1C0000}"/>
    <cellStyle name="40% - Accent5 3 9" xfId="7313" xr:uid="{00000000-0005-0000-0000-0000BE1C0000}"/>
    <cellStyle name="40% - Accent5 3 9 2" xfId="16637" xr:uid="{00000000-0005-0000-0000-0000BF1C0000}"/>
    <cellStyle name="40% - Accent5 3 9 3" xfId="25960" xr:uid="{00000000-0005-0000-0000-0000C01C0000}"/>
    <cellStyle name="40% - Accent5 4" xfId="191" xr:uid="{00000000-0005-0000-0000-0000C11C0000}"/>
    <cellStyle name="40% - Accent5 4 10" xfId="19137" xr:uid="{00000000-0005-0000-0000-0000C21C0000}"/>
    <cellStyle name="40% - Accent5 4 11" xfId="28929" xr:uid="{00000000-0005-0000-0000-0000C31C0000}"/>
    <cellStyle name="40% - Accent5 4 2" xfId="331" xr:uid="{00000000-0005-0000-0000-0000C41C0000}"/>
    <cellStyle name="40% - Accent5 4 2 2" xfId="571" xr:uid="{00000000-0005-0000-0000-0000C51C0000}"/>
    <cellStyle name="40% - Accent5 4 2 2 2" xfId="1059" xr:uid="{00000000-0005-0000-0000-0000C61C0000}"/>
    <cellStyle name="40% - Accent5 4 2 2 2 2" xfId="6752" xr:uid="{00000000-0005-0000-0000-0000C71C0000}"/>
    <cellStyle name="40% - Accent5 4 2 2 2 2 2" xfId="16076" xr:uid="{00000000-0005-0000-0000-0000C81C0000}"/>
    <cellStyle name="40% - Accent5 4 2 2 2 2 3" xfId="25399" xr:uid="{00000000-0005-0000-0000-0000C91C0000}"/>
    <cellStyle name="40% - Accent5 4 2 2 2 3" xfId="10660" xr:uid="{00000000-0005-0000-0000-0000CA1C0000}"/>
    <cellStyle name="40% - Accent5 4 2 2 2 4" xfId="19984" xr:uid="{00000000-0005-0000-0000-0000CB1C0000}"/>
    <cellStyle name="40% - Accent5 4 2 2 3" xfId="1596" xr:uid="{00000000-0005-0000-0000-0000CC1C0000}"/>
    <cellStyle name="40% - Accent5 4 2 2 3 2" xfId="6481" xr:uid="{00000000-0005-0000-0000-0000CD1C0000}"/>
    <cellStyle name="40% - Accent5 4 2 2 3 2 2" xfId="15805" xr:uid="{00000000-0005-0000-0000-0000CE1C0000}"/>
    <cellStyle name="40% - Accent5 4 2 2 3 2 3" xfId="25128" xr:uid="{00000000-0005-0000-0000-0000CF1C0000}"/>
    <cellStyle name="40% - Accent5 4 2 2 3 3" xfId="11164" xr:uid="{00000000-0005-0000-0000-0000D01C0000}"/>
    <cellStyle name="40% - Accent5 4 2 2 3 4" xfId="20488" xr:uid="{00000000-0005-0000-0000-0000D11C0000}"/>
    <cellStyle name="40% - Accent5 4 2 2 4" xfId="3383" xr:uid="{00000000-0005-0000-0000-0000D21C0000}"/>
    <cellStyle name="40% - Accent5 4 2 2 4 2" xfId="8062" xr:uid="{00000000-0005-0000-0000-0000D31C0000}"/>
    <cellStyle name="40% - Accent5 4 2 2 4 2 2" xfId="17386" xr:uid="{00000000-0005-0000-0000-0000D41C0000}"/>
    <cellStyle name="40% - Accent5 4 2 2 4 2 3" xfId="26709" xr:uid="{00000000-0005-0000-0000-0000D51C0000}"/>
    <cellStyle name="40% - Accent5 4 2 2 4 3" xfId="12769" xr:uid="{00000000-0005-0000-0000-0000D61C0000}"/>
    <cellStyle name="40% - Accent5 4 2 2 4 4" xfId="22095" xr:uid="{00000000-0005-0000-0000-0000D71C0000}"/>
    <cellStyle name="40% - Accent5 4 2 2 5" xfId="5049" xr:uid="{00000000-0005-0000-0000-0000D81C0000}"/>
    <cellStyle name="40% - Accent5 4 2 2 5 2" xfId="14373" xr:uid="{00000000-0005-0000-0000-0000D91C0000}"/>
    <cellStyle name="40% - Accent5 4 2 2 5 3" xfId="23696" xr:uid="{00000000-0005-0000-0000-0000DA1C0000}"/>
    <cellStyle name="40% - Accent5 4 2 2 6" xfId="9682" xr:uid="{00000000-0005-0000-0000-0000DB1C0000}"/>
    <cellStyle name="40% - Accent5 4 2 2 6 2" xfId="19006" xr:uid="{00000000-0005-0000-0000-0000DC1C0000}"/>
    <cellStyle name="40% - Accent5 4 2 2 6 3" xfId="28329" xr:uid="{00000000-0005-0000-0000-0000DD1C0000}"/>
    <cellStyle name="40% - Accent5 4 2 2 7" xfId="10176" xr:uid="{00000000-0005-0000-0000-0000DE1C0000}"/>
    <cellStyle name="40% - Accent5 4 2 2 8" xfId="19500" xr:uid="{00000000-0005-0000-0000-0000DF1C0000}"/>
    <cellStyle name="40% - Accent5 4 2 3" xfId="819" xr:uid="{00000000-0005-0000-0000-0000E01C0000}"/>
    <cellStyle name="40% - Accent5 4 2 3 2" xfId="6925" xr:uid="{00000000-0005-0000-0000-0000E11C0000}"/>
    <cellStyle name="40% - Accent5 4 2 3 2 2" xfId="16249" xr:uid="{00000000-0005-0000-0000-0000E21C0000}"/>
    <cellStyle name="40% - Accent5 4 2 3 2 3" xfId="25572" xr:uid="{00000000-0005-0000-0000-0000E31C0000}"/>
    <cellStyle name="40% - Accent5 4 2 3 3" xfId="10420" xr:uid="{00000000-0005-0000-0000-0000E41C0000}"/>
    <cellStyle name="40% - Accent5 4 2 3 4" xfId="19744" xr:uid="{00000000-0005-0000-0000-0000E51C0000}"/>
    <cellStyle name="40% - Accent5 4 2 4" xfId="1595" xr:uid="{00000000-0005-0000-0000-0000E61C0000}"/>
    <cellStyle name="40% - Accent5 4 2 4 2" xfId="6482" xr:uid="{00000000-0005-0000-0000-0000E71C0000}"/>
    <cellStyle name="40% - Accent5 4 2 4 2 2" xfId="15806" xr:uid="{00000000-0005-0000-0000-0000E81C0000}"/>
    <cellStyle name="40% - Accent5 4 2 4 2 3" xfId="25129" xr:uid="{00000000-0005-0000-0000-0000E91C0000}"/>
    <cellStyle name="40% - Accent5 4 2 4 3" xfId="11163" xr:uid="{00000000-0005-0000-0000-0000EA1C0000}"/>
    <cellStyle name="40% - Accent5 4 2 4 4" xfId="20487" xr:uid="{00000000-0005-0000-0000-0000EB1C0000}"/>
    <cellStyle name="40% - Accent5 4 2 5" xfId="3382" xr:uid="{00000000-0005-0000-0000-0000EC1C0000}"/>
    <cellStyle name="40% - Accent5 4 2 5 2" xfId="8061" xr:uid="{00000000-0005-0000-0000-0000ED1C0000}"/>
    <cellStyle name="40% - Accent5 4 2 5 2 2" xfId="17385" xr:uid="{00000000-0005-0000-0000-0000EE1C0000}"/>
    <cellStyle name="40% - Accent5 4 2 5 2 3" xfId="26708" xr:uid="{00000000-0005-0000-0000-0000EF1C0000}"/>
    <cellStyle name="40% - Accent5 4 2 5 3" xfId="12768" xr:uid="{00000000-0005-0000-0000-0000F01C0000}"/>
    <cellStyle name="40% - Accent5 4 2 5 4" xfId="22094" xr:uid="{00000000-0005-0000-0000-0000F11C0000}"/>
    <cellStyle name="40% - Accent5 4 2 6" xfId="5048" xr:uid="{00000000-0005-0000-0000-0000F21C0000}"/>
    <cellStyle name="40% - Accent5 4 2 6 2" xfId="14372" xr:uid="{00000000-0005-0000-0000-0000F31C0000}"/>
    <cellStyle name="40% - Accent5 4 2 6 3" xfId="23695" xr:uid="{00000000-0005-0000-0000-0000F41C0000}"/>
    <cellStyle name="40% - Accent5 4 2 7" xfId="9442" xr:uid="{00000000-0005-0000-0000-0000F51C0000}"/>
    <cellStyle name="40% - Accent5 4 2 7 2" xfId="18766" xr:uid="{00000000-0005-0000-0000-0000F61C0000}"/>
    <cellStyle name="40% - Accent5 4 2 7 3" xfId="28089" xr:uid="{00000000-0005-0000-0000-0000F71C0000}"/>
    <cellStyle name="40% - Accent5 4 2 8" xfId="9936" xr:uid="{00000000-0005-0000-0000-0000F81C0000}"/>
    <cellStyle name="40% - Accent5 4 2 9" xfId="19260" xr:uid="{00000000-0005-0000-0000-0000F91C0000}"/>
    <cellStyle name="40% - Accent5 4 3" xfId="449" xr:uid="{00000000-0005-0000-0000-0000FA1C0000}"/>
    <cellStyle name="40% - Accent5 4 3 2" xfId="937" xr:uid="{00000000-0005-0000-0000-0000FB1C0000}"/>
    <cellStyle name="40% - Accent5 4 3 2 2" xfId="6831" xr:uid="{00000000-0005-0000-0000-0000FC1C0000}"/>
    <cellStyle name="40% - Accent5 4 3 2 2 2" xfId="16155" xr:uid="{00000000-0005-0000-0000-0000FD1C0000}"/>
    <cellStyle name="40% - Accent5 4 3 2 2 3" xfId="25478" xr:uid="{00000000-0005-0000-0000-0000FE1C0000}"/>
    <cellStyle name="40% - Accent5 4 3 2 3" xfId="10538" xr:uid="{00000000-0005-0000-0000-0000FF1C0000}"/>
    <cellStyle name="40% - Accent5 4 3 2 4" xfId="19862" xr:uid="{00000000-0005-0000-0000-0000001D0000}"/>
    <cellStyle name="40% - Accent5 4 3 3" xfId="1597" xr:uid="{00000000-0005-0000-0000-0000011D0000}"/>
    <cellStyle name="40% - Accent5 4 3 3 2" xfId="6473" xr:uid="{00000000-0005-0000-0000-0000021D0000}"/>
    <cellStyle name="40% - Accent5 4 3 3 2 2" xfId="15797" xr:uid="{00000000-0005-0000-0000-0000031D0000}"/>
    <cellStyle name="40% - Accent5 4 3 3 2 3" xfId="25120" xr:uid="{00000000-0005-0000-0000-0000041D0000}"/>
    <cellStyle name="40% - Accent5 4 3 3 3" xfId="11165" xr:uid="{00000000-0005-0000-0000-0000051D0000}"/>
    <cellStyle name="40% - Accent5 4 3 3 4" xfId="20489" xr:uid="{00000000-0005-0000-0000-0000061D0000}"/>
    <cellStyle name="40% - Accent5 4 3 4" xfId="3384" xr:uid="{00000000-0005-0000-0000-0000071D0000}"/>
    <cellStyle name="40% - Accent5 4 3 4 2" xfId="8063" xr:uid="{00000000-0005-0000-0000-0000081D0000}"/>
    <cellStyle name="40% - Accent5 4 3 4 2 2" xfId="17387" xr:uid="{00000000-0005-0000-0000-0000091D0000}"/>
    <cellStyle name="40% - Accent5 4 3 4 2 3" xfId="26710" xr:uid="{00000000-0005-0000-0000-00000A1D0000}"/>
    <cellStyle name="40% - Accent5 4 3 4 3" xfId="12770" xr:uid="{00000000-0005-0000-0000-00000B1D0000}"/>
    <cellStyle name="40% - Accent5 4 3 4 4" xfId="22096" xr:uid="{00000000-0005-0000-0000-00000C1D0000}"/>
    <cellStyle name="40% - Accent5 4 3 5" xfId="5050" xr:uid="{00000000-0005-0000-0000-00000D1D0000}"/>
    <cellStyle name="40% - Accent5 4 3 5 2" xfId="14374" xr:uid="{00000000-0005-0000-0000-00000E1D0000}"/>
    <cellStyle name="40% - Accent5 4 3 5 3" xfId="23697" xr:uid="{00000000-0005-0000-0000-00000F1D0000}"/>
    <cellStyle name="40% - Accent5 4 3 6" xfId="9560" xr:uid="{00000000-0005-0000-0000-0000101D0000}"/>
    <cellStyle name="40% - Accent5 4 3 6 2" xfId="18884" xr:uid="{00000000-0005-0000-0000-0000111D0000}"/>
    <cellStyle name="40% - Accent5 4 3 6 3" xfId="28207" xr:uid="{00000000-0005-0000-0000-0000121D0000}"/>
    <cellStyle name="40% - Accent5 4 3 7" xfId="10054" xr:uid="{00000000-0005-0000-0000-0000131D0000}"/>
    <cellStyle name="40% - Accent5 4 3 8" xfId="19378" xr:uid="{00000000-0005-0000-0000-0000141D0000}"/>
    <cellStyle name="40% - Accent5 4 4" xfId="697" xr:uid="{00000000-0005-0000-0000-0000151D0000}"/>
    <cellStyle name="40% - Accent5 4 4 2" xfId="7015" xr:uid="{00000000-0005-0000-0000-0000161D0000}"/>
    <cellStyle name="40% - Accent5 4 4 2 2" xfId="16339" xr:uid="{00000000-0005-0000-0000-0000171D0000}"/>
    <cellStyle name="40% - Accent5 4 4 2 3" xfId="25662" xr:uid="{00000000-0005-0000-0000-0000181D0000}"/>
    <cellStyle name="40% - Accent5 4 4 3" xfId="10298" xr:uid="{00000000-0005-0000-0000-0000191D0000}"/>
    <cellStyle name="40% - Accent5 4 4 4" xfId="19622" xr:uid="{00000000-0005-0000-0000-00001A1D0000}"/>
    <cellStyle name="40% - Accent5 4 5" xfId="1594" xr:uid="{00000000-0005-0000-0000-00001B1D0000}"/>
    <cellStyle name="40% - Accent5 4 5 2" xfId="6483" xr:uid="{00000000-0005-0000-0000-00001C1D0000}"/>
    <cellStyle name="40% - Accent5 4 5 2 2" xfId="15807" xr:uid="{00000000-0005-0000-0000-00001D1D0000}"/>
    <cellStyle name="40% - Accent5 4 5 2 3" xfId="25130" xr:uid="{00000000-0005-0000-0000-00001E1D0000}"/>
    <cellStyle name="40% - Accent5 4 5 3" xfId="11162" xr:uid="{00000000-0005-0000-0000-00001F1D0000}"/>
    <cellStyle name="40% - Accent5 4 5 4" xfId="20486" xr:uid="{00000000-0005-0000-0000-0000201D0000}"/>
    <cellStyle name="40% - Accent5 4 6" xfId="3381" xr:uid="{00000000-0005-0000-0000-0000211D0000}"/>
    <cellStyle name="40% - Accent5 4 6 2" xfId="8060" xr:uid="{00000000-0005-0000-0000-0000221D0000}"/>
    <cellStyle name="40% - Accent5 4 6 2 2" xfId="17384" xr:uid="{00000000-0005-0000-0000-0000231D0000}"/>
    <cellStyle name="40% - Accent5 4 6 2 3" xfId="26707" xr:uid="{00000000-0005-0000-0000-0000241D0000}"/>
    <cellStyle name="40% - Accent5 4 6 3" xfId="12767" xr:uid="{00000000-0005-0000-0000-0000251D0000}"/>
    <cellStyle name="40% - Accent5 4 6 4" xfId="22093" xr:uid="{00000000-0005-0000-0000-0000261D0000}"/>
    <cellStyle name="40% - Accent5 4 7" xfId="5047" xr:uid="{00000000-0005-0000-0000-0000271D0000}"/>
    <cellStyle name="40% - Accent5 4 7 2" xfId="14371" xr:uid="{00000000-0005-0000-0000-0000281D0000}"/>
    <cellStyle name="40% - Accent5 4 7 3" xfId="23694" xr:uid="{00000000-0005-0000-0000-0000291D0000}"/>
    <cellStyle name="40% - Accent5 4 8" xfId="9319" xr:uid="{00000000-0005-0000-0000-00002A1D0000}"/>
    <cellStyle name="40% - Accent5 4 8 2" xfId="18643" xr:uid="{00000000-0005-0000-0000-00002B1D0000}"/>
    <cellStyle name="40% - Accent5 4 8 3" xfId="27966" xr:uid="{00000000-0005-0000-0000-00002C1D0000}"/>
    <cellStyle name="40% - Accent5 4 9" xfId="9813" xr:uid="{00000000-0005-0000-0000-00002D1D0000}"/>
    <cellStyle name="40% - Accent5 5" xfId="251" xr:uid="{00000000-0005-0000-0000-00002E1D0000}"/>
    <cellStyle name="40% - Accent5 5 2" xfId="509" xr:uid="{00000000-0005-0000-0000-00002F1D0000}"/>
    <cellStyle name="40% - Accent5 5 2 2" xfId="997" xr:uid="{00000000-0005-0000-0000-0000301D0000}"/>
    <cellStyle name="40% - Accent5 5 2 2 2" xfId="6799" xr:uid="{00000000-0005-0000-0000-0000311D0000}"/>
    <cellStyle name="40% - Accent5 5 2 2 2 2" xfId="16123" xr:uid="{00000000-0005-0000-0000-0000321D0000}"/>
    <cellStyle name="40% - Accent5 5 2 2 2 3" xfId="25446" xr:uid="{00000000-0005-0000-0000-0000331D0000}"/>
    <cellStyle name="40% - Accent5 5 2 2 3" xfId="10598" xr:uid="{00000000-0005-0000-0000-0000341D0000}"/>
    <cellStyle name="40% - Accent5 5 2 2 4" xfId="19922" xr:uid="{00000000-0005-0000-0000-0000351D0000}"/>
    <cellStyle name="40% - Accent5 5 2 3" xfId="1599" xr:uid="{00000000-0005-0000-0000-0000361D0000}"/>
    <cellStyle name="40% - Accent5 5 2 3 2" xfId="6479" xr:uid="{00000000-0005-0000-0000-0000371D0000}"/>
    <cellStyle name="40% - Accent5 5 2 3 2 2" xfId="15803" xr:uid="{00000000-0005-0000-0000-0000381D0000}"/>
    <cellStyle name="40% - Accent5 5 2 3 2 3" xfId="25126" xr:uid="{00000000-0005-0000-0000-0000391D0000}"/>
    <cellStyle name="40% - Accent5 5 2 3 3" xfId="11167" xr:uid="{00000000-0005-0000-0000-00003A1D0000}"/>
    <cellStyle name="40% - Accent5 5 2 3 4" xfId="20491" xr:uid="{00000000-0005-0000-0000-00003B1D0000}"/>
    <cellStyle name="40% - Accent5 5 2 4" xfId="3386" xr:uid="{00000000-0005-0000-0000-00003C1D0000}"/>
    <cellStyle name="40% - Accent5 5 2 4 2" xfId="8065" xr:uid="{00000000-0005-0000-0000-00003D1D0000}"/>
    <cellStyle name="40% - Accent5 5 2 4 2 2" xfId="17389" xr:uid="{00000000-0005-0000-0000-00003E1D0000}"/>
    <cellStyle name="40% - Accent5 5 2 4 2 3" xfId="26712" xr:uid="{00000000-0005-0000-0000-00003F1D0000}"/>
    <cellStyle name="40% - Accent5 5 2 4 3" xfId="12772" xr:uid="{00000000-0005-0000-0000-0000401D0000}"/>
    <cellStyle name="40% - Accent5 5 2 4 4" xfId="22098" xr:uid="{00000000-0005-0000-0000-0000411D0000}"/>
    <cellStyle name="40% - Accent5 5 2 5" xfId="5052" xr:uid="{00000000-0005-0000-0000-0000421D0000}"/>
    <cellStyle name="40% - Accent5 5 2 5 2" xfId="14376" xr:uid="{00000000-0005-0000-0000-0000431D0000}"/>
    <cellStyle name="40% - Accent5 5 2 5 3" xfId="23699" xr:uid="{00000000-0005-0000-0000-0000441D0000}"/>
    <cellStyle name="40% - Accent5 5 2 6" xfId="9620" xr:uid="{00000000-0005-0000-0000-0000451D0000}"/>
    <cellStyle name="40% - Accent5 5 2 6 2" xfId="18944" xr:uid="{00000000-0005-0000-0000-0000461D0000}"/>
    <cellStyle name="40% - Accent5 5 2 6 3" xfId="28267" xr:uid="{00000000-0005-0000-0000-0000471D0000}"/>
    <cellStyle name="40% - Accent5 5 2 7" xfId="10114" xr:uid="{00000000-0005-0000-0000-0000481D0000}"/>
    <cellStyle name="40% - Accent5 5 2 8" xfId="19438" xr:uid="{00000000-0005-0000-0000-0000491D0000}"/>
    <cellStyle name="40% - Accent5 5 3" xfId="757" xr:uid="{00000000-0005-0000-0000-00004A1D0000}"/>
    <cellStyle name="40% - Accent5 5 3 2" xfId="5401" xr:uid="{00000000-0005-0000-0000-00004B1D0000}"/>
    <cellStyle name="40% - Accent5 5 3 2 2" xfId="14725" xr:uid="{00000000-0005-0000-0000-00004C1D0000}"/>
    <cellStyle name="40% - Accent5 5 3 2 3" xfId="24048" xr:uid="{00000000-0005-0000-0000-00004D1D0000}"/>
    <cellStyle name="40% - Accent5 5 3 3" xfId="10358" xr:uid="{00000000-0005-0000-0000-00004E1D0000}"/>
    <cellStyle name="40% - Accent5 5 3 4" xfId="19682" xr:uid="{00000000-0005-0000-0000-00004F1D0000}"/>
    <cellStyle name="40% - Accent5 5 4" xfId="1598" xr:uid="{00000000-0005-0000-0000-0000501D0000}"/>
    <cellStyle name="40% - Accent5 5 4 2" xfId="6480" xr:uid="{00000000-0005-0000-0000-0000511D0000}"/>
    <cellStyle name="40% - Accent5 5 4 2 2" xfId="15804" xr:uid="{00000000-0005-0000-0000-0000521D0000}"/>
    <cellStyle name="40% - Accent5 5 4 2 3" xfId="25127" xr:uid="{00000000-0005-0000-0000-0000531D0000}"/>
    <cellStyle name="40% - Accent5 5 4 3" xfId="11166" xr:uid="{00000000-0005-0000-0000-0000541D0000}"/>
    <cellStyle name="40% - Accent5 5 4 4" xfId="20490" xr:uid="{00000000-0005-0000-0000-0000551D0000}"/>
    <cellStyle name="40% - Accent5 5 5" xfId="3385" xr:uid="{00000000-0005-0000-0000-0000561D0000}"/>
    <cellStyle name="40% - Accent5 5 5 2" xfId="8064" xr:uid="{00000000-0005-0000-0000-0000571D0000}"/>
    <cellStyle name="40% - Accent5 5 5 2 2" xfId="17388" xr:uid="{00000000-0005-0000-0000-0000581D0000}"/>
    <cellStyle name="40% - Accent5 5 5 2 3" xfId="26711" xr:uid="{00000000-0005-0000-0000-0000591D0000}"/>
    <cellStyle name="40% - Accent5 5 5 3" xfId="12771" xr:uid="{00000000-0005-0000-0000-00005A1D0000}"/>
    <cellStyle name="40% - Accent5 5 5 4" xfId="22097" xr:uid="{00000000-0005-0000-0000-00005B1D0000}"/>
    <cellStyle name="40% - Accent5 5 6" xfId="5051" xr:uid="{00000000-0005-0000-0000-00005C1D0000}"/>
    <cellStyle name="40% - Accent5 5 6 2" xfId="14375" xr:uid="{00000000-0005-0000-0000-00005D1D0000}"/>
    <cellStyle name="40% - Accent5 5 6 3" xfId="23698" xr:uid="{00000000-0005-0000-0000-00005E1D0000}"/>
    <cellStyle name="40% - Accent5 5 7" xfId="9379" xr:uid="{00000000-0005-0000-0000-00005F1D0000}"/>
    <cellStyle name="40% - Accent5 5 7 2" xfId="18703" xr:uid="{00000000-0005-0000-0000-0000601D0000}"/>
    <cellStyle name="40% - Accent5 5 7 3" xfId="28026" xr:uid="{00000000-0005-0000-0000-0000611D0000}"/>
    <cellStyle name="40% - Accent5 5 8" xfId="9873" xr:uid="{00000000-0005-0000-0000-0000621D0000}"/>
    <cellStyle name="40% - Accent5 5 9" xfId="19197" xr:uid="{00000000-0005-0000-0000-0000631D0000}"/>
    <cellStyle name="40% - Accent5 6" xfId="390" xr:uid="{00000000-0005-0000-0000-0000641D0000}"/>
    <cellStyle name="40% - Accent5 6 2" xfId="878" xr:uid="{00000000-0005-0000-0000-0000651D0000}"/>
    <cellStyle name="40% - Accent5 6 2 2" xfId="6885" xr:uid="{00000000-0005-0000-0000-0000661D0000}"/>
    <cellStyle name="40% - Accent5 6 2 2 2" xfId="16209" xr:uid="{00000000-0005-0000-0000-0000671D0000}"/>
    <cellStyle name="40% - Accent5 6 2 2 3" xfId="25532" xr:uid="{00000000-0005-0000-0000-0000681D0000}"/>
    <cellStyle name="40% - Accent5 6 2 3" xfId="10479" xr:uid="{00000000-0005-0000-0000-0000691D0000}"/>
    <cellStyle name="40% - Accent5 6 2 4" xfId="19803" xr:uid="{00000000-0005-0000-0000-00006A1D0000}"/>
    <cellStyle name="40% - Accent5 6 3" xfId="1600" xr:uid="{00000000-0005-0000-0000-00006B1D0000}"/>
    <cellStyle name="40% - Accent5 6 3 2" xfId="6478" xr:uid="{00000000-0005-0000-0000-00006C1D0000}"/>
    <cellStyle name="40% - Accent5 6 3 2 2" xfId="15802" xr:uid="{00000000-0005-0000-0000-00006D1D0000}"/>
    <cellStyle name="40% - Accent5 6 3 2 3" xfId="25125" xr:uid="{00000000-0005-0000-0000-00006E1D0000}"/>
    <cellStyle name="40% - Accent5 6 3 3" xfId="11168" xr:uid="{00000000-0005-0000-0000-00006F1D0000}"/>
    <cellStyle name="40% - Accent5 6 3 4" xfId="20492" xr:uid="{00000000-0005-0000-0000-0000701D0000}"/>
    <cellStyle name="40% - Accent5 6 4" xfId="3387" xr:uid="{00000000-0005-0000-0000-0000711D0000}"/>
    <cellStyle name="40% - Accent5 6 4 2" xfId="8066" xr:uid="{00000000-0005-0000-0000-0000721D0000}"/>
    <cellStyle name="40% - Accent5 6 4 2 2" xfId="17390" xr:uid="{00000000-0005-0000-0000-0000731D0000}"/>
    <cellStyle name="40% - Accent5 6 4 2 3" xfId="26713" xr:uid="{00000000-0005-0000-0000-0000741D0000}"/>
    <cellStyle name="40% - Accent5 6 4 3" xfId="12773" xr:uid="{00000000-0005-0000-0000-0000751D0000}"/>
    <cellStyle name="40% - Accent5 6 4 4" xfId="22099" xr:uid="{00000000-0005-0000-0000-0000761D0000}"/>
    <cellStyle name="40% - Accent5 6 5" xfId="5053" xr:uid="{00000000-0005-0000-0000-0000771D0000}"/>
    <cellStyle name="40% - Accent5 6 5 2" xfId="14377" xr:uid="{00000000-0005-0000-0000-0000781D0000}"/>
    <cellStyle name="40% - Accent5 6 5 3" xfId="23700" xr:uid="{00000000-0005-0000-0000-0000791D0000}"/>
    <cellStyle name="40% - Accent5 6 6" xfId="9501" xr:uid="{00000000-0005-0000-0000-00007A1D0000}"/>
    <cellStyle name="40% - Accent5 6 6 2" xfId="18825" xr:uid="{00000000-0005-0000-0000-00007B1D0000}"/>
    <cellStyle name="40% - Accent5 6 6 3" xfId="28148" xr:uid="{00000000-0005-0000-0000-00007C1D0000}"/>
    <cellStyle name="40% - Accent5 6 7" xfId="9995" xr:uid="{00000000-0005-0000-0000-00007D1D0000}"/>
    <cellStyle name="40% - Accent5 6 8" xfId="19319" xr:uid="{00000000-0005-0000-0000-00007E1D0000}"/>
    <cellStyle name="40% - Accent5 7" xfId="634" xr:uid="{00000000-0005-0000-0000-00007F1D0000}"/>
    <cellStyle name="40% - Accent5 7 2" xfId="1601" xr:uid="{00000000-0005-0000-0000-0000801D0000}"/>
    <cellStyle name="40% - Accent5 7 2 2" xfId="6477" xr:uid="{00000000-0005-0000-0000-0000811D0000}"/>
    <cellStyle name="40% - Accent5 7 2 2 2" xfId="15801" xr:uid="{00000000-0005-0000-0000-0000821D0000}"/>
    <cellStyle name="40% - Accent5 7 2 2 3" xfId="25124" xr:uid="{00000000-0005-0000-0000-0000831D0000}"/>
    <cellStyle name="40% - Accent5 7 2 3" xfId="11169" xr:uid="{00000000-0005-0000-0000-0000841D0000}"/>
    <cellStyle name="40% - Accent5 7 2 4" xfId="20493" xr:uid="{00000000-0005-0000-0000-0000851D0000}"/>
    <cellStyle name="40% - Accent5 7 3" xfId="3388" xr:uid="{00000000-0005-0000-0000-0000861D0000}"/>
    <cellStyle name="40% - Accent5 7 3 2" xfId="8067" xr:uid="{00000000-0005-0000-0000-0000871D0000}"/>
    <cellStyle name="40% - Accent5 7 3 2 2" xfId="17391" xr:uid="{00000000-0005-0000-0000-0000881D0000}"/>
    <cellStyle name="40% - Accent5 7 3 2 3" xfId="26714" xr:uid="{00000000-0005-0000-0000-0000891D0000}"/>
    <cellStyle name="40% - Accent5 7 3 3" xfId="12774" xr:uid="{00000000-0005-0000-0000-00008A1D0000}"/>
    <cellStyle name="40% - Accent5 7 3 4" xfId="22100" xr:uid="{00000000-0005-0000-0000-00008B1D0000}"/>
    <cellStyle name="40% - Accent5 7 4" xfId="5054" xr:uid="{00000000-0005-0000-0000-00008C1D0000}"/>
    <cellStyle name="40% - Accent5 7 4 2" xfId="14378" xr:uid="{00000000-0005-0000-0000-00008D1D0000}"/>
    <cellStyle name="40% - Accent5 7 4 3" xfId="23701" xr:uid="{00000000-0005-0000-0000-00008E1D0000}"/>
    <cellStyle name="40% - Accent5 7 5" xfId="10238" xr:uid="{00000000-0005-0000-0000-00008F1D0000}"/>
    <cellStyle name="40% - Accent5 7 6" xfId="19562" xr:uid="{00000000-0005-0000-0000-0000901D0000}"/>
    <cellStyle name="40% - Accent5 8" xfId="1602" xr:uid="{00000000-0005-0000-0000-0000911D0000}"/>
    <cellStyle name="40% - Accent5 8 2" xfId="3389" xr:uid="{00000000-0005-0000-0000-0000921D0000}"/>
    <cellStyle name="40% - Accent5 8 2 2" xfId="8068" xr:uid="{00000000-0005-0000-0000-0000931D0000}"/>
    <cellStyle name="40% - Accent5 8 2 2 2" xfId="17392" xr:uid="{00000000-0005-0000-0000-0000941D0000}"/>
    <cellStyle name="40% - Accent5 8 2 2 3" xfId="26715" xr:uid="{00000000-0005-0000-0000-0000951D0000}"/>
    <cellStyle name="40% - Accent5 8 2 3" xfId="12775" xr:uid="{00000000-0005-0000-0000-0000961D0000}"/>
    <cellStyle name="40% - Accent5 8 2 4" xfId="22101" xr:uid="{00000000-0005-0000-0000-0000971D0000}"/>
    <cellStyle name="40% - Accent5 8 3" xfId="5055" xr:uid="{00000000-0005-0000-0000-0000981D0000}"/>
    <cellStyle name="40% - Accent5 8 3 2" xfId="14379" xr:uid="{00000000-0005-0000-0000-0000991D0000}"/>
    <cellStyle name="40% - Accent5 8 3 3" xfId="23702" xr:uid="{00000000-0005-0000-0000-00009A1D0000}"/>
    <cellStyle name="40% - Accent5 8 4" xfId="11170" xr:uid="{00000000-0005-0000-0000-00009B1D0000}"/>
    <cellStyle name="40% - Accent5 8 5" xfId="20494" xr:uid="{00000000-0005-0000-0000-00009C1D0000}"/>
    <cellStyle name="40% - Accent5 9" xfId="1132" xr:uid="{00000000-0005-0000-0000-00009D1D0000}"/>
    <cellStyle name="40% - Accent5 9 2" xfId="4747" xr:uid="{00000000-0005-0000-0000-00009E1D0000}"/>
    <cellStyle name="40% - Accent5 9 2 2" xfId="14071" xr:uid="{00000000-0005-0000-0000-00009F1D0000}"/>
    <cellStyle name="40% - Accent5 9 2 3" xfId="23394" xr:uid="{00000000-0005-0000-0000-0000A01D0000}"/>
    <cellStyle name="40% - Accent5 9 3" xfId="10731" xr:uid="{00000000-0005-0000-0000-0000A11D0000}"/>
    <cellStyle name="40% - Accent5 9 4" xfId="20055" xr:uid="{00000000-0005-0000-0000-0000A21D0000}"/>
    <cellStyle name="40% - Accent6" xfId="54" builtinId="51" customBuiltin="1"/>
    <cellStyle name="40% - Accent6 10" xfId="2948" xr:uid="{00000000-0005-0000-0000-0000A41D0000}"/>
    <cellStyle name="40% - Accent6 10 2" xfId="7630" xr:uid="{00000000-0005-0000-0000-0000A51D0000}"/>
    <cellStyle name="40% - Accent6 10 2 2" xfId="16954" xr:uid="{00000000-0005-0000-0000-0000A61D0000}"/>
    <cellStyle name="40% - Accent6 10 2 3" xfId="26277" xr:uid="{00000000-0005-0000-0000-0000A71D0000}"/>
    <cellStyle name="40% - Accent6 10 3" xfId="12353" xr:uid="{00000000-0005-0000-0000-0000A81D0000}"/>
    <cellStyle name="40% - Accent6 10 4" xfId="21679" xr:uid="{00000000-0005-0000-0000-0000A91D0000}"/>
    <cellStyle name="40% - Accent6 11" xfId="4593" xr:uid="{00000000-0005-0000-0000-0000AA1D0000}"/>
    <cellStyle name="40% - Accent6 11 2" xfId="13917" xr:uid="{00000000-0005-0000-0000-0000AB1D0000}"/>
    <cellStyle name="40% - Accent6 11 3" xfId="23240" xr:uid="{00000000-0005-0000-0000-0000AC1D0000}"/>
    <cellStyle name="40% - Accent6 12" xfId="9249" xr:uid="{00000000-0005-0000-0000-0000AD1D0000}"/>
    <cellStyle name="40% - Accent6 12 2" xfId="18573" xr:uid="{00000000-0005-0000-0000-0000AE1D0000}"/>
    <cellStyle name="40% - Accent6 12 3" xfId="27896" xr:uid="{00000000-0005-0000-0000-0000AF1D0000}"/>
    <cellStyle name="40% - Accent6 13" xfId="9743" xr:uid="{00000000-0005-0000-0000-0000B01D0000}"/>
    <cellStyle name="40% - Accent6 14" xfId="19067" xr:uid="{00000000-0005-0000-0000-0000B11D0000}"/>
    <cellStyle name="40% - Accent6 15" xfId="28412" xr:uid="{00000000-0005-0000-0000-0000B21D0000}"/>
    <cellStyle name="40% - Accent6 2" xfId="79" xr:uid="{00000000-0005-0000-0000-0000B31D0000}"/>
    <cellStyle name="40% - Accent6 2 10" xfId="4608" xr:uid="{00000000-0005-0000-0000-0000B41D0000}"/>
    <cellStyle name="40% - Accent6 2 10 2" xfId="13932" xr:uid="{00000000-0005-0000-0000-0000B51D0000}"/>
    <cellStyle name="40% - Accent6 2 10 3" xfId="23255" xr:uid="{00000000-0005-0000-0000-0000B61D0000}"/>
    <cellStyle name="40% - Accent6 2 11" xfId="9273" xr:uid="{00000000-0005-0000-0000-0000B71D0000}"/>
    <cellStyle name="40% - Accent6 2 11 2" xfId="18597" xr:uid="{00000000-0005-0000-0000-0000B81D0000}"/>
    <cellStyle name="40% - Accent6 2 11 3" xfId="27920" xr:uid="{00000000-0005-0000-0000-0000B91D0000}"/>
    <cellStyle name="40% - Accent6 2 12" xfId="9767" xr:uid="{00000000-0005-0000-0000-0000BA1D0000}"/>
    <cellStyle name="40% - Accent6 2 13" xfId="19091" xr:uid="{00000000-0005-0000-0000-0000BB1D0000}"/>
    <cellStyle name="40% - Accent6 2 14" xfId="28413" xr:uid="{00000000-0005-0000-0000-0000BC1D0000}"/>
    <cellStyle name="40% - Accent6 2 2" xfId="217" xr:uid="{00000000-0005-0000-0000-0000BD1D0000}"/>
    <cellStyle name="40% - Accent6 2 2 10" xfId="9839" xr:uid="{00000000-0005-0000-0000-0000BE1D0000}"/>
    <cellStyle name="40% - Accent6 2 2 11" xfId="19163" xr:uid="{00000000-0005-0000-0000-0000BF1D0000}"/>
    <cellStyle name="40% - Accent6 2 2 2" xfId="357" xr:uid="{00000000-0005-0000-0000-0000C01D0000}"/>
    <cellStyle name="40% - Accent6 2 2 2 10" xfId="19286" xr:uid="{00000000-0005-0000-0000-0000C11D0000}"/>
    <cellStyle name="40% - Accent6 2 2 2 2" xfId="597" xr:uid="{00000000-0005-0000-0000-0000C21D0000}"/>
    <cellStyle name="40% - Accent6 2 2 2 2 2" xfId="1085" xr:uid="{00000000-0005-0000-0000-0000C31D0000}"/>
    <cellStyle name="40% - Accent6 2 2 2 2 2 2" xfId="6723" xr:uid="{00000000-0005-0000-0000-0000C41D0000}"/>
    <cellStyle name="40% - Accent6 2 2 2 2 2 2 2" xfId="16047" xr:uid="{00000000-0005-0000-0000-0000C51D0000}"/>
    <cellStyle name="40% - Accent6 2 2 2 2 2 2 3" xfId="25370" xr:uid="{00000000-0005-0000-0000-0000C61D0000}"/>
    <cellStyle name="40% - Accent6 2 2 2 2 2 3" xfId="10686" xr:uid="{00000000-0005-0000-0000-0000C71D0000}"/>
    <cellStyle name="40% - Accent6 2 2 2 2 2 4" xfId="20010" xr:uid="{00000000-0005-0000-0000-0000C81D0000}"/>
    <cellStyle name="40% - Accent6 2 2 2 2 3" xfId="1606" xr:uid="{00000000-0005-0000-0000-0000C91D0000}"/>
    <cellStyle name="40% - Accent6 2 2 2 2 3 2" xfId="6474" xr:uid="{00000000-0005-0000-0000-0000CA1D0000}"/>
    <cellStyle name="40% - Accent6 2 2 2 2 3 2 2" xfId="15798" xr:uid="{00000000-0005-0000-0000-0000CB1D0000}"/>
    <cellStyle name="40% - Accent6 2 2 2 2 3 2 3" xfId="25121" xr:uid="{00000000-0005-0000-0000-0000CC1D0000}"/>
    <cellStyle name="40% - Accent6 2 2 2 2 3 3" xfId="11174" xr:uid="{00000000-0005-0000-0000-0000CD1D0000}"/>
    <cellStyle name="40% - Accent6 2 2 2 2 3 4" xfId="20498" xr:uid="{00000000-0005-0000-0000-0000CE1D0000}"/>
    <cellStyle name="40% - Accent6 2 2 2 2 4" xfId="3393" xr:uid="{00000000-0005-0000-0000-0000CF1D0000}"/>
    <cellStyle name="40% - Accent6 2 2 2 2 4 2" xfId="8072" xr:uid="{00000000-0005-0000-0000-0000D01D0000}"/>
    <cellStyle name="40% - Accent6 2 2 2 2 4 2 2" xfId="17396" xr:uid="{00000000-0005-0000-0000-0000D11D0000}"/>
    <cellStyle name="40% - Accent6 2 2 2 2 4 2 3" xfId="26719" xr:uid="{00000000-0005-0000-0000-0000D21D0000}"/>
    <cellStyle name="40% - Accent6 2 2 2 2 4 3" xfId="12779" xr:uid="{00000000-0005-0000-0000-0000D31D0000}"/>
    <cellStyle name="40% - Accent6 2 2 2 2 4 4" xfId="22105" xr:uid="{00000000-0005-0000-0000-0000D41D0000}"/>
    <cellStyle name="40% - Accent6 2 2 2 2 5" xfId="5059" xr:uid="{00000000-0005-0000-0000-0000D51D0000}"/>
    <cellStyle name="40% - Accent6 2 2 2 2 5 2" xfId="14383" xr:uid="{00000000-0005-0000-0000-0000D61D0000}"/>
    <cellStyle name="40% - Accent6 2 2 2 2 5 3" xfId="23706" xr:uid="{00000000-0005-0000-0000-0000D71D0000}"/>
    <cellStyle name="40% - Accent6 2 2 2 2 6" xfId="7054" xr:uid="{00000000-0005-0000-0000-0000D81D0000}"/>
    <cellStyle name="40% - Accent6 2 2 2 2 6 2" xfId="16378" xr:uid="{00000000-0005-0000-0000-0000D91D0000}"/>
    <cellStyle name="40% - Accent6 2 2 2 2 6 3" xfId="25701" xr:uid="{00000000-0005-0000-0000-0000DA1D0000}"/>
    <cellStyle name="40% - Accent6 2 2 2 2 7" xfId="9708" xr:uid="{00000000-0005-0000-0000-0000DB1D0000}"/>
    <cellStyle name="40% - Accent6 2 2 2 2 7 2" xfId="19032" xr:uid="{00000000-0005-0000-0000-0000DC1D0000}"/>
    <cellStyle name="40% - Accent6 2 2 2 2 7 3" xfId="28355" xr:uid="{00000000-0005-0000-0000-0000DD1D0000}"/>
    <cellStyle name="40% - Accent6 2 2 2 2 8" xfId="10202" xr:uid="{00000000-0005-0000-0000-0000DE1D0000}"/>
    <cellStyle name="40% - Accent6 2 2 2 2 9" xfId="19526" xr:uid="{00000000-0005-0000-0000-0000DF1D0000}"/>
    <cellStyle name="40% - Accent6 2 2 2 3" xfId="845" xr:uid="{00000000-0005-0000-0000-0000E01D0000}"/>
    <cellStyle name="40% - Accent6 2 2 2 3 2" xfId="5471" xr:uid="{00000000-0005-0000-0000-0000E11D0000}"/>
    <cellStyle name="40% - Accent6 2 2 2 3 2 2" xfId="14795" xr:uid="{00000000-0005-0000-0000-0000E21D0000}"/>
    <cellStyle name="40% - Accent6 2 2 2 3 2 3" xfId="24118" xr:uid="{00000000-0005-0000-0000-0000E31D0000}"/>
    <cellStyle name="40% - Accent6 2 2 2 3 3" xfId="10446" xr:uid="{00000000-0005-0000-0000-0000E41D0000}"/>
    <cellStyle name="40% - Accent6 2 2 2 3 4" xfId="19770" xr:uid="{00000000-0005-0000-0000-0000E51D0000}"/>
    <cellStyle name="40% - Accent6 2 2 2 4" xfId="1605" xr:uid="{00000000-0005-0000-0000-0000E61D0000}"/>
    <cellStyle name="40% - Accent6 2 2 2 4 2" xfId="6475" xr:uid="{00000000-0005-0000-0000-0000E71D0000}"/>
    <cellStyle name="40% - Accent6 2 2 2 4 2 2" xfId="15799" xr:uid="{00000000-0005-0000-0000-0000E81D0000}"/>
    <cellStyle name="40% - Accent6 2 2 2 4 2 3" xfId="25122" xr:uid="{00000000-0005-0000-0000-0000E91D0000}"/>
    <cellStyle name="40% - Accent6 2 2 2 4 3" xfId="11173" xr:uid="{00000000-0005-0000-0000-0000EA1D0000}"/>
    <cellStyle name="40% - Accent6 2 2 2 4 4" xfId="20497" xr:uid="{00000000-0005-0000-0000-0000EB1D0000}"/>
    <cellStyle name="40% - Accent6 2 2 2 5" xfId="3392" xr:uid="{00000000-0005-0000-0000-0000EC1D0000}"/>
    <cellStyle name="40% - Accent6 2 2 2 5 2" xfId="8071" xr:uid="{00000000-0005-0000-0000-0000ED1D0000}"/>
    <cellStyle name="40% - Accent6 2 2 2 5 2 2" xfId="17395" xr:uid="{00000000-0005-0000-0000-0000EE1D0000}"/>
    <cellStyle name="40% - Accent6 2 2 2 5 2 3" xfId="26718" xr:uid="{00000000-0005-0000-0000-0000EF1D0000}"/>
    <cellStyle name="40% - Accent6 2 2 2 5 3" xfId="12778" xr:uid="{00000000-0005-0000-0000-0000F01D0000}"/>
    <cellStyle name="40% - Accent6 2 2 2 5 4" xfId="22104" xr:uid="{00000000-0005-0000-0000-0000F11D0000}"/>
    <cellStyle name="40% - Accent6 2 2 2 6" xfId="5058" xr:uid="{00000000-0005-0000-0000-0000F21D0000}"/>
    <cellStyle name="40% - Accent6 2 2 2 6 2" xfId="14382" xr:uid="{00000000-0005-0000-0000-0000F31D0000}"/>
    <cellStyle name="40% - Accent6 2 2 2 6 3" xfId="23705" xr:uid="{00000000-0005-0000-0000-0000F41D0000}"/>
    <cellStyle name="40% - Accent6 2 2 2 7" xfId="5117" xr:uid="{00000000-0005-0000-0000-0000F51D0000}"/>
    <cellStyle name="40% - Accent6 2 2 2 7 2" xfId="14441" xr:uid="{00000000-0005-0000-0000-0000F61D0000}"/>
    <cellStyle name="40% - Accent6 2 2 2 7 3" xfId="23764" xr:uid="{00000000-0005-0000-0000-0000F71D0000}"/>
    <cellStyle name="40% - Accent6 2 2 2 8" xfId="9468" xr:uid="{00000000-0005-0000-0000-0000F81D0000}"/>
    <cellStyle name="40% - Accent6 2 2 2 8 2" xfId="18792" xr:uid="{00000000-0005-0000-0000-0000F91D0000}"/>
    <cellStyle name="40% - Accent6 2 2 2 8 3" xfId="28115" xr:uid="{00000000-0005-0000-0000-0000FA1D0000}"/>
    <cellStyle name="40% - Accent6 2 2 2 9" xfId="9962" xr:uid="{00000000-0005-0000-0000-0000FB1D0000}"/>
    <cellStyle name="40% - Accent6 2 2 3" xfId="475" xr:uid="{00000000-0005-0000-0000-0000FC1D0000}"/>
    <cellStyle name="40% - Accent6 2 2 3 2" xfId="963" xr:uid="{00000000-0005-0000-0000-0000FD1D0000}"/>
    <cellStyle name="40% - Accent6 2 2 3 2 2" xfId="6815" xr:uid="{00000000-0005-0000-0000-0000FE1D0000}"/>
    <cellStyle name="40% - Accent6 2 2 3 2 2 2" xfId="16139" xr:uid="{00000000-0005-0000-0000-0000FF1D0000}"/>
    <cellStyle name="40% - Accent6 2 2 3 2 2 3" xfId="25462" xr:uid="{00000000-0005-0000-0000-0000001E0000}"/>
    <cellStyle name="40% - Accent6 2 2 3 2 3" xfId="10564" xr:uid="{00000000-0005-0000-0000-0000011E0000}"/>
    <cellStyle name="40% - Accent6 2 2 3 2 4" xfId="19888" xr:uid="{00000000-0005-0000-0000-0000021E0000}"/>
    <cellStyle name="40% - Accent6 2 2 3 3" xfId="1607" xr:uid="{00000000-0005-0000-0000-0000031E0000}"/>
    <cellStyle name="40% - Accent6 2 2 3 3 2" xfId="6169" xr:uid="{00000000-0005-0000-0000-0000041E0000}"/>
    <cellStyle name="40% - Accent6 2 2 3 3 2 2" xfId="15493" xr:uid="{00000000-0005-0000-0000-0000051E0000}"/>
    <cellStyle name="40% - Accent6 2 2 3 3 2 3" xfId="24816" xr:uid="{00000000-0005-0000-0000-0000061E0000}"/>
    <cellStyle name="40% - Accent6 2 2 3 3 3" xfId="11175" xr:uid="{00000000-0005-0000-0000-0000071E0000}"/>
    <cellStyle name="40% - Accent6 2 2 3 3 4" xfId="20499" xr:uid="{00000000-0005-0000-0000-0000081E0000}"/>
    <cellStyle name="40% - Accent6 2 2 3 4" xfId="3394" xr:uid="{00000000-0005-0000-0000-0000091E0000}"/>
    <cellStyle name="40% - Accent6 2 2 3 4 2" xfId="8073" xr:uid="{00000000-0005-0000-0000-00000A1E0000}"/>
    <cellStyle name="40% - Accent6 2 2 3 4 2 2" xfId="17397" xr:uid="{00000000-0005-0000-0000-00000B1E0000}"/>
    <cellStyle name="40% - Accent6 2 2 3 4 2 3" xfId="26720" xr:uid="{00000000-0005-0000-0000-00000C1E0000}"/>
    <cellStyle name="40% - Accent6 2 2 3 4 3" xfId="12780" xr:uid="{00000000-0005-0000-0000-00000D1E0000}"/>
    <cellStyle name="40% - Accent6 2 2 3 4 4" xfId="22106" xr:uid="{00000000-0005-0000-0000-00000E1E0000}"/>
    <cellStyle name="40% - Accent6 2 2 3 5" xfId="5060" xr:uid="{00000000-0005-0000-0000-00000F1E0000}"/>
    <cellStyle name="40% - Accent6 2 2 3 5 2" xfId="14384" xr:uid="{00000000-0005-0000-0000-0000101E0000}"/>
    <cellStyle name="40% - Accent6 2 2 3 5 3" xfId="23707" xr:uid="{00000000-0005-0000-0000-0000111E0000}"/>
    <cellStyle name="40% - Accent6 2 2 3 6" xfId="7130" xr:uid="{00000000-0005-0000-0000-0000121E0000}"/>
    <cellStyle name="40% - Accent6 2 2 3 6 2" xfId="16454" xr:uid="{00000000-0005-0000-0000-0000131E0000}"/>
    <cellStyle name="40% - Accent6 2 2 3 6 3" xfId="25777" xr:uid="{00000000-0005-0000-0000-0000141E0000}"/>
    <cellStyle name="40% - Accent6 2 2 3 7" xfId="9586" xr:uid="{00000000-0005-0000-0000-0000151E0000}"/>
    <cellStyle name="40% - Accent6 2 2 3 7 2" xfId="18910" xr:uid="{00000000-0005-0000-0000-0000161E0000}"/>
    <cellStyle name="40% - Accent6 2 2 3 7 3" xfId="28233" xr:uid="{00000000-0005-0000-0000-0000171E0000}"/>
    <cellStyle name="40% - Accent6 2 2 3 8" xfId="10080" xr:uid="{00000000-0005-0000-0000-0000181E0000}"/>
    <cellStyle name="40% - Accent6 2 2 3 9" xfId="19404" xr:uid="{00000000-0005-0000-0000-0000191E0000}"/>
    <cellStyle name="40% - Accent6 2 2 4" xfId="723" xr:uid="{00000000-0005-0000-0000-00001A1E0000}"/>
    <cellStyle name="40% - Accent6 2 2 4 2" xfId="6996" xr:uid="{00000000-0005-0000-0000-00001B1E0000}"/>
    <cellStyle name="40% - Accent6 2 2 4 2 2" xfId="16320" xr:uid="{00000000-0005-0000-0000-00001C1E0000}"/>
    <cellStyle name="40% - Accent6 2 2 4 2 3" xfId="25643" xr:uid="{00000000-0005-0000-0000-00001D1E0000}"/>
    <cellStyle name="40% - Accent6 2 2 4 3" xfId="10324" xr:uid="{00000000-0005-0000-0000-00001E1E0000}"/>
    <cellStyle name="40% - Accent6 2 2 4 4" xfId="19648" xr:uid="{00000000-0005-0000-0000-00001F1E0000}"/>
    <cellStyle name="40% - Accent6 2 2 5" xfId="1604" xr:uid="{00000000-0005-0000-0000-0000201E0000}"/>
    <cellStyle name="40% - Accent6 2 2 5 2" xfId="6476" xr:uid="{00000000-0005-0000-0000-0000211E0000}"/>
    <cellStyle name="40% - Accent6 2 2 5 2 2" xfId="15800" xr:uid="{00000000-0005-0000-0000-0000221E0000}"/>
    <cellStyle name="40% - Accent6 2 2 5 2 3" xfId="25123" xr:uid="{00000000-0005-0000-0000-0000231E0000}"/>
    <cellStyle name="40% - Accent6 2 2 5 3" xfId="11172" xr:uid="{00000000-0005-0000-0000-0000241E0000}"/>
    <cellStyle name="40% - Accent6 2 2 5 4" xfId="20496" xr:uid="{00000000-0005-0000-0000-0000251E0000}"/>
    <cellStyle name="40% - Accent6 2 2 6" xfId="3391" xr:uid="{00000000-0005-0000-0000-0000261E0000}"/>
    <cellStyle name="40% - Accent6 2 2 6 2" xfId="8070" xr:uid="{00000000-0005-0000-0000-0000271E0000}"/>
    <cellStyle name="40% - Accent6 2 2 6 2 2" xfId="17394" xr:uid="{00000000-0005-0000-0000-0000281E0000}"/>
    <cellStyle name="40% - Accent6 2 2 6 2 3" xfId="26717" xr:uid="{00000000-0005-0000-0000-0000291E0000}"/>
    <cellStyle name="40% - Accent6 2 2 6 3" xfId="12777" xr:uid="{00000000-0005-0000-0000-00002A1E0000}"/>
    <cellStyle name="40% - Accent6 2 2 6 4" xfId="22103" xr:uid="{00000000-0005-0000-0000-00002B1E0000}"/>
    <cellStyle name="40% - Accent6 2 2 7" xfId="5057" xr:uid="{00000000-0005-0000-0000-00002C1E0000}"/>
    <cellStyle name="40% - Accent6 2 2 7 2" xfId="14381" xr:uid="{00000000-0005-0000-0000-00002D1E0000}"/>
    <cellStyle name="40% - Accent6 2 2 7 3" xfId="23704" xr:uid="{00000000-0005-0000-0000-00002E1E0000}"/>
    <cellStyle name="40% - Accent6 2 2 8" xfId="7260" xr:uid="{00000000-0005-0000-0000-00002F1E0000}"/>
    <cellStyle name="40% - Accent6 2 2 8 2" xfId="16584" xr:uid="{00000000-0005-0000-0000-0000301E0000}"/>
    <cellStyle name="40% - Accent6 2 2 8 3" xfId="25907" xr:uid="{00000000-0005-0000-0000-0000311E0000}"/>
    <cellStyle name="40% - Accent6 2 2 9" xfId="9345" xr:uid="{00000000-0005-0000-0000-0000321E0000}"/>
    <cellStyle name="40% - Accent6 2 2 9 2" xfId="18669" xr:uid="{00000000-0005-0000-0000-0000331E0000}"/>
    <cellStyle name="40% - Accent6 2 2 9 3" xfId="27992" xr:uid="{00000000-0005-0000-0000-0000341E0000}"/>
    <cellStyle name="40% - Accent6 2 3" xfId="271" xr:uid="{00000000-0005-0000-0000-0000351E0000}"/>
    <cellStyle name="40% - Accent6 2 3 2" xfId="525" xr:uid="{00000000-0005-0000-0000-0000361E0000}"/>
    <cellStyle name="40% - Accent6 2 3 2 2" xfId="1013" xr:uid="{00000000-0005-0000-0000-0000371E0000}"/>
    <cellStyle name="40% - Accent6 2 3 2 2 2" xfId="4570" xr:uid="{00000000-0005-0000-0000-0000381E0000}"/>
    <cellStyle name="40% - Accent6 2 3 2 2 2 2" xfId="13894" xr:uid="{00000000-0005-0000-0000-0000391E0000}"/>
    <cellStyle name="40% - Accent6 2 3 2 2 2 3" xfId="23217" xr:uid="{00000000-0005-0000-0000-00003A1E0000}"/>
    <cellStyle name="40% - Accent6 2 3 2 2 3" xfId="10614" xr:uid="{00000000-0005-0000-0000-00003B1E0000}"/>
    <cellStyle name="40% - Accent6 2 3 2 2 4" xfId="19938" xr:uid="{00000000-0005-0000-0000-00003C1E0000}"/>
    <cellStyle name="40% - Accent6 2 3 2 3" xfId="1609" xr:uid="{00000000-0005-0000-0000-00003D1E0000}"/>
    <cellStyle name="40% - Accent6 2 3 2 3 2" xfId="6472" xr:uid="{00000000-0005-0000-0000-00003E1E0000}"/>
    <cellStyle name="40% - Accent6 2 3 2 3 2 2" xfId="15796" xr:uid="{00000000-0005-0000-0000-00003F1E0000}"/>
    <cellStyle name="40% - Accent6 2 3 2 3 2 3" xfId="25119" xr:uid="{00000000-0005-0000-0000-0000401E0000}"/>
    <cellStyle name="40% - Accent6 2 3 2 3 3" xfId="11177" xr:uid="{00000000-0005-0000-0000-0000411E0000}"/>
    <cellStyle name="40% - Accent6 2 3 2 3 4" xfId="20501" xr:uid="{00000000-0005-0000-0000-0000421E0000}"/>
    <cellStyle name="40% - Accent6 2 3 2 4" xfId="3396" xr:uid="{00000000-0005-0000-0000-0000431E0000}"/>
    <cellStyle name="40% - Accent6 2 3 2 4 2" xfId="8075" xr:uid="{00000000-0005-0000-0000-0000441E0000}"/>
    <cellStyle name="40% - Accent6 2 3 2 4 2 2" xfId="17399" xr:uid="{00000000-0005-0000-0000-0000451E0000}"/>
    <cellStyle name="40% - Accent6 2 3 2 4 2 3" xfId="26722" xr:uid="{00000000-0005-0000-0000-0000461E0000}"/>
    <cellStyle name="40% - Accent6 2 3 2 4 3" xfId="12782" xr:uid="{00000000-0005-0000-0000-0000471E0000}"/>
    <cellStyle name="40% - Accent6 2 3 2 4 4" xfId="22108" xr:uid="{00000000-0005-0000-0000-0000481E0000}"/>
    <cellStyle name="40% - Accent6 2 3 2 5" xfId="5062" xr:uid="{00000000-0005-0000-0000-0000491E0000}"/>
    <cellStyle name="40% - Accent6 2 3 2 5 2" xfId="14386" xr:uid="{00000000-0005-0000-0000-00004A1E0000}"/>
    <cellStyle name="40% - Accent6 2 3 2 5 3" xfId="23709" xr:uid="{00000000-0005-0000-0000-00004B1E0000}"/>
    <cellStyle name="40% - Accent6 2 3 2 6" xfId="9636" xr:uid="{00000000-0005-0000-0000-00004C1E0000}"/>
    <cellStyle name="40% - Accent6 2 3 2 6 2" xfId="18960" xr:uid="{00000000-0005-0000-0000-00004D1E0000}"/>
    <cellStyle name="40% - Accent6 2 3 2 6 3" xfId="28283" xr:uid="{00000000-0005-0000-0000-00004E1E0000}"/>
    <cellStyle name="40% - Accent6 2 3 2 7" xfId="10130" xr:uid="{00000000-0005-0000-0000-00004F1E0000}"/>
    <cellStyle name="40% - Accent6 2 3 2 8" xfId="19454" xr:uid="{00000000-0005-0000-0000-0000501E0000}"/>
    <cellStyle name="40% - Accent6 2 3 3" xfId="773" xr:uid="{00000000-0005-0000-0000-0000511E0000}"/>
    <cellStyle name="40% - Accent6 2 3 3 2" xfId="5412" xr:uid="{00000000-0005-0000-0000-0000521E0000}"/>
    <cellStyle name="40% - Accent6 2 3 3 2 2" xfId="14736" xr:uid="{00000000-0005-0000-0000-0000531E0000}"/>
    <cellStyle name="40% - Accent6 2 3 3 2 3" xfId="24059" xr:uid="{00000000-0005-0000-0000-0000541E0000}"/>
    <cellStyle name="40% - Accent6 2 3 3 3" xfId="10374" xr:uid="{00000000-0005-0000-0000-0000551E0000}"/>
    <cellStyle name="40% - Accent6 2 3 3 4" xfId="19698" xr:uid="{00000000-0005-0000-0000-0000561E0000}"/>
    <cellStyle name="40% - Accent6 2 3 4" xfId="1608" xr:uid="{00000000-0005-0000-0000-0000571E0000}"/>
    <cellStyle name="40% - Accent6 2 3 4 2" xfId="6270" xr:uid="{00000000-0005-0000-0000-0000581E0000}"/>
    <cellStyle name="40% - Accent6 2 3 4 2 2" xfId="15594" xr:uid="{00000000-0005-0000-0000-0000591E0000}"/>
    <cellStyle name="40% - Accent6 2 3 4 2 3" xfId="24917" xr:uid="{00000000-0005-0000-0000-00005A1E0000}"/>
    <cellStyle name="40% - Accent6 2 3 4 3" xfId="11176" xr:uid="{00000000-0005-0000-0000-00005B1E0000}"/>
    <cellStyle name="40% - Accent6 2 3 4 4" xfId="20500" xr:uid="{00000000-0005-0000-0000-00005C1E0000}"/>
    <cellStyle name="40% - Accent6 2 3 5" xfId="3395" xr:uid="{00000000-0005-0000-0000-00005D1E0000}"/>
    <cellStyle name="40% - Accent6 2 3 5 2" xfId="8074" xr:uid="{00000000-0005-0000-0000-00005E1E0000}"/>
    <cellStyle name="40% - Accent6 2 3 5 2 2" xfId="17398" xr:uid="{00000000-0005-0000-0000-00005F1E0000}"/>
    <cellStyle name="40% - Accent6 2 3 5 2 3" xfId="26721" xr:uid="{00000000-0005-0000-0000-0000601E0000}"/>
    <cellStyle name="40% - Accent6 2 3 5 3" xfId="12781" xr:uid="{00000000-0005-0000-0000-0000611E0000}"/>
    <cellStyle name="40% - Accent6 2 3 5 4" xfId="22107" xr:uid="{00000000-0005-0000-0000-0000621E0000}"/>
    <cellStyle name="40% - Accent6 2 3 6" xfId="5061" xr:uid="{00000000-0005-0000-0000-0000631E0000}"/>
    <cellStyle name="40% - Accent6 2 3 6 2" xfId="14385" xr:uid="{00000000-0005-0000-0000-0000641E0000}"/>
    <cellStyle name="40% - Accent6 2 3 6 3" xfId="23708" xr:uid="{00000000-0005-0000-0000-0000651E0000}"/>
    <cellStyle name="40% - Accent6 2 3 7" xfId="9395" xr:uid="{00000000-0005-0000-0000-0000661E0000}"/>
    <cellStyle name="40% - Accent6 2 3 7 2" xfId="18719" xr:uid="{00000000-0005-0000-0000-0000671E0000}"/>
    <cellStyle name="40% - Accent6 2 3 7 3" xfId="28042" xr:uid="{00000000-0005-0000-0000-0000681E0000}"/>
    <cellStyle name="40% - Accent6 2 3 8" xfId="9889" xr:uid="{00000000-0005-0000-0000-0000691E0000}"/>
    <cellStyle name="40% - Accent6 2 3 9" xfId="19213" xr:uid="{00000000-0005-0000-0000-00006A1E0000}"/>
    <cellStyle name="40% - Accent6 2 4" xfId="416" xr:uid="{00000000-0005-0000-0000-00006B1E0000}"/>
    <cellStyle name="40% - Accent6 2 4 2" xfId="904" xr:uid="{00000000-0005-0000-0000-00006C1E0000}"/>
    <cellStyle name="40% - Accent6 2 4 2 2" xfId="6860" xr:uid="{00000000-0005-0000-0000-00006D1E0000}"/>
    <cellStyle name="40% - Accent6 2 4 2 2 2" xfId="16184" xr:uid="{00000000-0005-0000-0000-00006E1E0000}"/>
    <cellStyle name="40% - Accent6 2 4 2 2 3" xfId="25507" xr:uid="{00000000-0005-0000-0000-00006F1E0000}"/>
    <cellStyle name="40% - Accent6 2 4 2 3" xfId="10505" xr:uid="{00000000-0005-0000-0000-0000701E0000}"/>
    <cellStyle name="40% - Accent6 2 4 2 4" xfId="19829" xr:uid="{00000000-0005-0000-0000-0000711E0000}"/>
    <cellStyle name="40% - Accent6 2 4 3" xfId="1610" xr:uid="{00000000-0005-0000-0000-0000721E0000}"/>
    <cellStyle name="40% - Accent6 2 4 3 2" xfId="6471" xr:uid="{00000000-0005-0000-0000-0000731E0000}"/>
    <cellStyle name="40% - Accent6 2 4 3 2 2" xfId="15795" xr:uid="{00000000-0005-0000-0000-0000741E0000}"/>
    <cellStyle name="40% - Accent6 2 4 3 2 3" xfId="25118" xr:uid="{00000000-0005-0000-0000-0000751E0000}"/>
    <cellStyle name="40% - Accent6 2 4 3 3" xfId="11178" xr:uid="{00000000-0005-0000-0000-0000761E0000}"/>
    <cellStyle name="40% - Accent6 2 4 3 4" xfId="20502" xr:uid="{00000000-0005-0000-0000-0000771E0000}"/>
    <cellStyle name="40% - Accent6 2 4 4" xfId="3397" xr:uid="{00000000-0005-0000-0000-0000781E0000}"/>
    <cellStyle name="40% - Accent6 2 4 4 2" xfId="8076" xr:uid="{00000000-0005-0000-0000-0000791E0000}"/>
    <cellStyle name="40% - Accent6 2 4 4 2 2" xfId="17400" xr:uid="{00000000-0005-0000-0000-00007A1E0000}"/>
    <cellStyle name="40% - Accent6 2 4 4 2 3" xfId="26723" xr:uid="{00000000-0005-0000-0000-00007B1E0000}"/>
    <cellStyle name="40% - Accent6 2 4 4 3" xfId="12783" xr:uid="{00000000-0005-0000-0000-00007C1E0000}"/>
    <cellStyle name="40% - Accent6 2 4 4 4" xfId="22109" xr:uid="{00000000-0005-0000-0000-00007D1E0000}"/>
    <cellStyle name="40% - Accent6 2 4 5" xfId="5063" xr:uid="{00000000-0005-0000-0000-00007E1E0000}"/>
    <cellStyle name="40% - Accent6 2 4 5 2" xfId="14387" xr:uid="{00000000-0005-0000-0000-00007F1E0000}"/>
    <cellStyle name="40% - Accent6 2 4 5 3" xfId="23710" xr:uid="{00000000-0005-0000-0000-0000801E0000}"/>
    <cellStyle name="40% - Accent6 2 4 6" xfId="7166" xr:uid="{00000000-0005-0000-0000-0000811E0000}"/>
    <cellStyle name="40% - Accent6 2 4 6 2" xfId="16490" xr:uid="{00000000-0005-0000-0000-0000821E0000}"/>
    <cellStyle name="40% - Accent6 2 4 6 3" xfId="25813" xr:uid="{00000000-0005-0000-0000-0000831E0000}"/>
    <cellStyle name="40% - Accent6 2 4 7" xfId="9527" xr:uid="{00000000-0005-0000-0000-0000841E0000}"/>
    <cellStyle name="40% - Accent6 2 4 7 2" xfId="18851" xr:uid="{00000000-0005-0000-0000-0000851E0000}"/>
    <cellStyle name="40% - Accent6 2 4 7 3" xfId="28174" xr:uid="{00000000-0005-0000-0000-0000861E0000}"/>
    <cellStyle name="40% - Accent6 2 4 8" xfId="10021" xr:uid="{00000000-0005-0000-0000-0000871E0000}"/>
    <cellStyle name="40% - Accent6 2 4 9" xfId="19345" xr:uid="{00000000-0005-0000-0000-0000881E0000}"/>
    <cellStyle name="40% - Accent6 2 5" xfId="664" xr:uid="{00000000-0005-0000-0000-0000891E0000}"/>
    <cellStyle name="40% - Accent6 2 5 2" xfId="1611" xr:uid="{00000000-0005-0000-0000-00008A1E0000}"/>
    <cellStyle name="40% - Accent6 2 5 2 2" xfId="6470" xr:uid="{00000000-0005-0000-0000-00008B1E0000}"/>
    <cellStyle name="40% - Accent6 2 5 2 2 2" xfId="15794" xr:uid="{00000000-0005-0000-0000-00008C1E0000}"/>
    <cellStyle name="40% - Accent6 2 5 2 2 3" xfId="25117" xr:uid="{00000000-0005-0000-0000-00008D1E0000}"/>
    <cellStyle name="40% - Accent6 2 5 2 3" xfId="11179" xr:uid="{00000000-0005-0000-0000-00008E1E0000}"/>
    <cellStyle name="40% - Accent6 2 5 2 4" xfId="20503" xr:uid="{00000000-0005-0000-0000-00008F1E0000}"/>
    <cellStyle name="40% - Accent6 2 5 3" xfId="3398" xr:uid="{00000000-0005-0000-0000-0000901E0000}"/>
    <cellStyle name="40% - Accent6 2 5 3 2" xfId="8077" xr:uid="{00000000-0005-0000-0000-0000911E0000}"/>
    <cellStyle name="40% - Accent6 2 5 3 2 2" xfId="17401" xr:uid="{00000000-0005-0000-0000-0000921E0000}"/>
    <cellStyle name="40% - Accent6 2 5 3 2 3" xfId="26724" xr:uid="{00000000-0005-0000-0000-0000931E0000}"/>
    <cellStyle name="40% - Accent6 2 5 3 3" xfId="12784" xr:uid="{00000000-0005-0000-0000-0000941E0000}"/>
    <cellStyle name="40% - Accent6 2 5 3 4" xfId="22110" xr:uid="{00000000-0005-0000-0000-0000951E0000}"/>
    <cellStyle name="40% - Accent6 2 5 4" xfId="5064" xr:uid="{00000000-0005-0000-0000-0000961E0000}"/>
    <cellStyle name="40% - Accent6 2 5 4 2" xfId="14388" xr:uid="{00000000-0005-0000-0000-0000971E0000}"/>
    <cellStyle name="40% - Accent6 2 5 4 3" xfId="23711" xr:uid="{00000000-0005-0000-0000-0000981E0000}"/>
    <cellStyle name="40% - Accent6 2 5 5" xfId="10265" xr:uid="{00000000-0005-0000-0000-0000991E0000}"/>
    <cellStyle name="40% - Accent6 2 5 6" xfId="19589" xr:uid="{00000000-0005-0000-0000-00009A1E0000}"/>
    <cellStyle name="40% - Accent6 2 6" xfId="1612" xr:uid="{00000000-0005-0000-0000-00009B1E0000}"/>
    <cellStyle name="40% - Accent6 2 6 2" xfId="3399" xr:uid="{00000000-0005-0000-0000-00009C1E0000}"/>
    <cellStyle name="40% - Accent6 2 6 2 2" xfId="8078" xr:uid="{00000000-0005-0000-0000-00009D1E0000}"/>
    <cellStyle name="40% - Accent6 2 6 2 2 2" xfId="17402" xr:uid="{00000000-0005-0000-0000-00009E1E0000}"/>
    <cellStyle name="40% - Accent6 2 6 2 2 3" xfId="26725" xr:uid="{00000000-0005-0000-0000-00009F1E0000}"/>
    <cellStyle name="40% - Accent6 2 6 2 3" xfId="12785" xr:uid="{00000000-0005-0000-0000-0000A01E0000}"/>
    <cellStyle name="40% - Accent6 2 6 2 4" xfId="22111" xr:uid="{00000000-0005-0000-0000-0000A11E0000}"/>
    <cellStyle name="40% - Accent6 2 6 3" xfId="5065" xr:uid="{00000000-0005-0000-0000-0000A21E0000}"/>
    <cellStyle name="40% - Accent6 2 6 3 2" xfId="14389" xr:uid="{00000000-0005-0000-0000-0000A31E0000}"/>
    <cellStyle name="40% - Accent6 2 6 3 3" xfId="23712" xr:uid="{00000000-0005-0000-0000-0000A41E0000}"/>
    <cellStyle name="40% - Accent6 2 6 4" xfId="11180" xr:uid="{00000000-0005-0000-0000-0000A51E0000}"/>
    <cellStyle name="40% - Accent6 2 6 5" xfId="20504" xr:uid="{00000000-0005-0000-0000-0000A61E0000}"/>
    <cellStyle name="40% - Accent6 2 7" xfId="1603" xr:uid="{00000000-0005-0000-0000-0000A71E0000}"/>
    <cellStyle name="40% - Accent6 2 7 2" xfId="3390" xr:uid="{00000000-0005-0000-0000-0000A81E0000}"/>
    <cellStyle name="40% - Accent6 2 7 2 2" xfId="8069" xr:uid="{00000000-0005-0000-0000-0000A91E0000}"/>
    <cellStyle name="40% - Accent6 2 7 2 2 2" xfId="17393" xr:uid="{00000000-0005-0000-0000-0000AA1E0000}"/>
    <cellStyle name="40% - Accent6 2 7 2 2 3" xfId="26716" xr:uid="{00000000-0005-0000-0000-0000AB1E0000}"/>
    <cellStyle name="40% - Accent6 2 7 2 3" xfId="12776" xr:uid="{00000000-0005-0000-0000-0000AC1E0000}"/>
    <cellStyle name="40% - Accent6 2 7 2 4" xfId="22102" xr:uid="{00000000-0005-0000-0000-0000AD1E0000}"/>
    <cellStyle name="40% - Accent6 2 7 3" xfId="5056" xr:uid="{00000000-0005-0000-0000-0000AE1E0000}"/>
    <cellStyle name="40% - Accent6 2 7 3 2" xfId="14380" xr:uid="{00000000-0005-0000-0000-0000AF1E0000}"/>
    <cellStyle name="40% - Accent6 2 7 3 3" xfId="23703" xr:uid="{00000000-0005-0000-0000-0000B01E0000}"/>
    <cellStyle name="40% - Accent6 2 7 4" xfId="11171" xr:uid="{00000000-0005-0000-0000-0000B11E0000}"/>
    <cellStyle name="40% - Accent6 2 7 5" xfId="20495" xr:uid="{00000000-0005-0000-0000-0000B21E0000}"/>
    <cellStyle name="40% - Accent6 2 8" xfId="1148" xr:uid="{00000000-0005-0000-0000-0000B31E0000}"/>
    <cellStyle name="40% - Accent6 2 8 2" xfId="6701" xr:uid="{00000000-0005-0000-0000-0000B41E0000}"/>
    <cellStyle name="40% - Accent6 2 8 2 2" xfId="16025" xr:uid="{00000000-0005-0000-0000-0000B51E0000}"/>
    <cellStyle name="40% - Accent6 2 8 2 3" xfId="25348" xr:uid="{00000000-0005-0000-0000-0000B61E0000}"/>
    <cellStyle name="40% - Accent6 2 8 3" xfId="10747" xr:uid="{00000000-0005-0000-0000-0000B71E0000}"/>
    <cellStyle name="40% - Accent6 2 8 4" xfId="20071" xr:uid="{00000000-0005-0000-0000-0000B81E0000}"/>
    <cellStyle name="40% - Accent6 2 9" xfId="2966" xr:uid="{00000000-0005-0000-0000-0000B91E0000}"/>
    <cellStyle name="40% - Accent6 2 9 2" xfId="7645" xr:uid="{00000000-0005-0000-0000-0000BA1E0000}"/>
    <cellStyle name="40% - Accent6 2 9 2 2" xfId="16969" xr:uid="{00000000-0005-0000-0000-0000BB1E0000}"/>
    <cellStyle name="40% - Accent6 2 9 2 3" xfId="26292" xr:uid="{00000000-0005-0000-0000-0000BC1E0000}"/>
    <cellStyle name="40% - Accent6 2 9 3" xfId="12367" xr:uid="{00000000-0005-0000-0000-0000BD1E0000}"/>
    <cellStyle name="40% - Accent6 2 9 4" xfId="21693" xr:uid="{00000000-0005-0000-0000-0000BE1E0000}"/>
    <cellStyle name="40% - Accent6 3" xfId="80" xr:uid="{00000000-0005-0000-0000-0000BF1E0000}"/>
    <cellStyle name="40% - Accent6 3 10" xfId="9274" xr:uid="{00000000-0005-0000-0000-0000C01E0000}"/>
    <cellStyle name="40% - Accent6 3 10 2" xfId="18598" xr:uid="{00000000-0005-0000-0000-0000C11E0000}"/>
    <cellStyle name="40% - Accent6 3 10 3" xfId="27921" xr:uid="{00000000-0005-0000-0000-0000C21E0000}"/>
    <cellStyle name="40% - Accent6 3 11" xfId="9768" xr:uid="{00000000-0005-0000-0000-0000C31E0000}"/>
    <cellStyle name="40% - Accent6 3 12" xfId="19092" xr:uid="{00000000-0005-0000-0000-0000C41E0000}"/>
    <cellStyle name="40% - Accent6 3 13" xfId="28852" xr:uid="{00000000-0005-0000-0000-0000C51E0000}"/>
    <cellStyle name="40% - Accent6 3 2" xfId="218" xr:uid="{00000000-0005-0000-0000-0000C61E0000}"/>
    <cellStyle name="40% - Accent6 3 2 10" xfId="9840" xr:uid="{00000000-0005-0000-0000-0000C71E0000}"/>
    <cellStyle name="40% - Accent6 3 2 11" xfId="19164" xr:uid="{00000000-0005-0000-0000-0000C81E0000}"/>
    <cellStyle name="40% - Accent6 3 2 2" xfId="358" xr:uid="{00000000-0005-0000-0000-0000C91E0000}"/>
    <cellStyle name="40% - Accent6 3 2 2 10" xfId="19287" xr:uid="{00000000-0005-0000-0000-0000CA1E0000}"/>
    <cellStyle name="40% - Accent6 3 2 2 2" xfId="598" xr:uid="{00000000-0005-0000-0000-0000CB1E0000}"/>
    <cellStyle name="40% - Accent6 3 2 2 2 2" xfId="1086" xr:uid="{00000000-0005-0000-0000-0000CC1E0000}"/>
    <cellStyle name="40% - Accent6 3 2 2 2 2 2" xfId="6736" xr:uid="{00000000-0005-0000-0000-0000CD1E0000}"/>
    <cellStyle name="40% - Accent6 3 2 2 2 2 2 2" xfId="16060" xr:uid="{00000000-0005-0000-0000-0000CE1E0000}"/>
    <cellStyle name="40% - Accent6 3 2 2 2 2 2 3" xfId="25383" xr:uid="{00000000-0005-0000-0000-0000CF1E0000}"/>
    <cellStyle name="40% - Accent6 3 2 2 2 2 3" xfId="10687" xr:uid="{00000000-0005-0000-0000-0000D01E0000}"/>
    <cellStyle name="40% - Accent6 3 2 2 2 2 4" xfId="20011" xr:uid="{00000000-0005-0000-0000-0000D11E0000}"/>
    <cellStyle name="40% - Accent6 3 2 2 2 3" xfId="7056" xr:uid="{00000000-0005-0000-0000-0000D21E0000}"/>
    <cellStyle name="40% - Accent6 3 2 2 2 3 2" xfId="16380" xr:uid="{00000000-0005-0000-0000-0000D31E0000}"/>
    <cellStyle name="40% - Accent6 3 2 2 2 3 3" xfId="25703" xr:uid="{00000000-0005-0000-0000-0000D41E0000}"/>
    <cellStyle name="40% - Accent6 3 2 2 2 4" xfId="9709" xr:uid="{00000000-0005-0000-0000-0000D51E0000}"/>
    <cellStyle name="40% - Accent6 3 2 2 2 4 2" xfId="19033" xr:uid="{00000000-0005-0000-0000-0000D61E0000}"/>
    <cellStyle name="40% - Accent6 3 2 2 2 4 3" xfId="28356" xr:uid="{00000000-0005-0000-0000-0000D71E0000}"/>
    <cellStyle name="40% - Accent6 3 2 2 2 5" xfId="10203" xr:uid="{00000000-0005-0000-0000-0000D81E0000}"/>
    <cellStyle name="40% - Accent6 3 2 2 2 6" xfId="19527" xr:uid="{00000000-0005-0000-0000-0000D91E0000}"/>
    <cellStyle name="40% - Accent6 3 2 2 3" xfId="846" xr:uid="{00000000-0005-0000-0000-0000DA1E0000}"/>
    <cellStyle name="40% - Accent6 3 2 2 3 2" xfId="4556" xr:uid="{00000000-0005-0000-0000-0000DB1E0000}"/>
    <cellStyle name="40% - Accent6 3 2 2 3 2 2" xfId="13880" xr:uid="{00000000-0005-0000-0000-0000DC1E0000}"/>
    <cellStyle name="40% - Accent6 3 2 2 3 2 3" xfId="23203" xr:uid="{00000000-0005-0000-0000-0000DD1E0000}"/>
    <cellStyle name="40% - Accent6 3 2 2 3 3" xfId="10447" xr:uid="{00000000-0005-0000-0000-0000DE1E0000}"/>
    <cellStyle name="40% - Accent6 3 2 2 3 4" xfId="19771" xr:uid="{00000000-0005-0000-0000-0000DF1E0000}"/>
    <cellStyle name="40% - Accent6 3 2 2 4" xfId="1615" xr:uid="{00000000-0005-0000-0000-0000E01E0000}"/>
    <cellStyle name="40% - Accent6 3 2 2 4 2" xfId="6467" xr:uid="{00000000-0005-0000-0000-0000E11E0000}"/>
    <cellStyle name="40% - Accent6 3 2 2 4 2 2" xfId="15791" xr:uid="{00000000-0005-0000-0000-0000E21E0000}"/>
    <cellStyle name="40% - Accent6 3 2 2 4 2 3" xfId="25114" xr:uid="{00000000-0005-0000-0000-0000E31E0000}"/>
    <cellStyle name="40% - Accent6 3 2 2 4 3" xfId="11183" xr:uid="{00000000-0005-0000-0000-0000E41E0000}"/>
    <cellStyle name="40% - Accent6 3 2 2 4 4" xfId="20507" xr:uid="{00000000-0005-0000-0000-0000E51E0000}"/>
    <cellStyle name="40% - Accent6 3 2 2 5" xfId="3402" xr:uid="{00000000-0005-0000-0000-0000E61E0000}"/>
    <cellStyle name="40% - Accent6 3 2 2 5 2" xfId="8081" xr:uid="{00000000-0005-0000-0000-0000E71E0000}"/>
    <cellStyle name="40% - Accent6 3 2 2 5 2 2" xfId="17405" xr:uid="{00000000-0005-0000-0000-0000E81E0000}"/>
    <cellStyle name="40% - Accent6 3 2 2 5 2 3" xfId="26728" xr:uid="{00000000-0005-0000-0000-0000E91E0000}"/>
    <cellStyle name="40% - Accent6 3 2 2 5 3" xfId="12788" xr:uid="{00000000-0005-0000-0000-0000EA1E0000}"/>
    <cellStyle name="40% - Accent6 3 2 2 5 4" xfId="22114" xr:uid="{00000000-0005-0000-0000-0000EB1E0000}"/>
    <cellStyle name="40% - Accent6 3 2 2 6" xfId="5068" xr:uid="{00000000-0005-0000-0000-0000EC1E0000}"/>
    <cellStyle name="40% - Accent6 3 2 2 6 2" xfId="14392" xr:uid="{00000000-0005-0000-0000-0000ED1E0000}"/>
    <cellStyle name="40% - Accent6 3 2 2 6 3" xfId="23715" xr:uid="{00000000-0005-0000-0000-0000EE1E0000}"/>
    <cellStyle name="40% - Accent6 3 2 2 7" xfId="5118" xr:uid="{00000000-0005-0000-0000-0000EF1E0000}"/>
    <cellStyle name="40% - Accent6 3 2 2 7 2" xfId="14442" xr:uid="{00000000-0005-0000-0000-0000F01E0000}"/>
    <cellStyle name="40% - Accent6 3 2 2 7 3" xfId="23765" xr:uid="{00000000-0005-0000-0000-0000F11E0000}"/>
    <cellStyle name="40% - Accent6 3 2 2 8" xfId="9469" xr:uid="{00000000-0005-0000-0000-0000F21E0000}"/>
    <cellStyle name="40% - Accent6 3 2 2 8 2" xfId="18793" xr:uid="{00000000-0005-0000-0000-0000F31E0000}"/>
    <cellStyle name="40% - Accent6 3 2 2 8 3" xfId="28116" xr:uid="{00000000-0005-0000-0000-0000F41E0000}"/>
    <cellStyle name="40% - Accent6 3 2 2 9" xfId="9963" xr:uid="{00000000-0005-0000-0000-0000F51E0000}"/>
    <cellStyle name="40% - Accent6 3 2 3" xfId="476" xr:uid="{00000000-0005-0000-0000-0000F61E0000}"/>
    <cellStyle name="40% - Accent6 3 2 3 2" xfId="964" xr:uid="{00000000-0005-0000-0000-0000F71E0000}"/>
    <cellStyle name="40% - Accent6 3 2 3 2 2" xfId="6817" xr:uid="{00000000-0005-0000-0000-0000F81E0000}"/>
    <cellStyle name="40% - Accent6 3 2 3 2 2 2" xfId="16141" xr:uid="{00000000-0005-0000-0000-0000F91E0000}"/>
    <cellStyle name="40% - Accent6 3 2 3 2 2 3" xfId="25464" xr:uid="{00000000-0005-0000-0000-0000FA1E0000}"/>
    <cellStyle name="40% - Accent6 3 2 3 2 3" xfId="10565" xr:uid="{00000000-0005-0000-0000-0000FB1E0000}"/>
    <cellStyle name="40% - Accent6 3 2 3 2 4" xfId="19889" xr:uid="{00000000-0005-0000-0000-0000FC1E0000}"/>
    <cellStyle name="40% - Accent6 3 2 3 3" xfId="7129" xr:uid="{00000000-0005-0000-0000-0000FD1E0000}"/>
    <cellStyle name="40% - Accent6 3 2 3 3 2" xfId="16453" xr:uid="{00000000-0005-0000-0000-0000FE1E0000}"/>
    <cellStyle name="40% - Accent6 3 2 3 3 3" xfId="25776" xr:uid="{00000000-0005-0000-0000-0000FF1E0000}"/>
    <cellStyle name="40% - Accent6 3 2 3 4" xfId="9587" xr:uid="{00000000-0005-0000-0000-0000001F0000}"/>
    <cellStyle name="40% - Accent6 3 2 3 4 2" xfId="18911" xr:uid="{00000000-0005-0000-0000-0000011F0000}"/>
    <cellStyle name="40% - Accent6 3 2 3 4 3" xfId="28234" xr:uid="{00000000-0005-0000-0000-0000021F0000}"/>
    <cellStyle name="40% - Accent6 3 2 3 5" xfId="10081" xr:uid="{00000000-0005-0000-0000-0000031F0000}"/>
    <cellStyle name="40% - Accent6 3 2 3 6" xfId="19405" xr:uid="{00000000-0005-0000-0000-0000041F0000}"/>
    <cellStyle name="40% - Accent6 3 2 4" xfId="724" xr:uid="{00000000-0005-0000-0000-0000051F0000}"/>
    <cellStyle name="40% - Accent6 3 2 4 2" xfId="4625" xr:uid="{00000000-0005-0000-0000-0000061F0000}"/>
    <cellStyle name="40% - Accent6 3 2 4 2 2" xfId="13949" xr:uid="{00000000-0005-0000-0000-0000071F0000}"/>
    <cellStyle name="40% - Accent6 3 2 4 2 3" xfId="23272" xr:uid="{00000000-0005-0000-0000-0000081F0000}"/>
    <cellStyle name="40% - Accent6 3 2 4 3" xfId="10325" xr:uid="{00000000-0005-0000-0000-0000091F0000}"/>
    <cellStyle name="40% - Accent6 3 2 4 4" xfId="19649" xr:uid="{00000000-0005-0000-0000-00000A1F0000}"/>
    <cellStyle name="40% - Accent6 3 2 5" xfId="1614" xr:uid="{00000000-0005-0000-0000-00000B1F0000}"/>
    <cellStyle name="40% - Accent6 3 2 5 2" xfId="6468" xr:uid="{00000000-0005-0000-0000-00000C1F0000}"/>
    <cellStyle name="40% - Accent6 3 2 5 2 2" xfId="15792" xr:uid="{00000000-0005-0000-0000-00000D1F0000}"/>
    <cellStyle name="40% - Accent6 3 2 5 2 3" xfId="25115" xr:uid="{00000000-0005-0000-0000-00000E1F0000}"/>
    <cellStyle name="40% - Accent6 3 2 5 3" xfId="11182" xr:uid="{00000000-0005-0000-0000-00000F1F0000}"/>
    <cellStyle name="40% - Accent6 3 2 5 4" xfId="20506" xr:uid="{00000000-0005-0000-0000-0000101F0000}"/>
    <cellStyle name="40% - Accent6 3 2 6" xfId="3401" xr:uid="{00000000-0005-0000-0000-0000111F0000}"/>
    <cellStyle name="40% - Accent6 3 2 6 2" xfId="8080" xr:uid="{00000000-0005-0000-0000-0000121F0000}"/>
    <cellStyle name="40% - Accent6 3 2 6 2 2" xfId="17404" xr:uid="{00000000-0005-0000-0000-0000131F0000}"/>
    <cellStyle name="40% - Accent6 3 2 6 2 3" xfId="26727" xr:uid="{00000000-0005-0000-0000-0000141F0000}"/>
    <cellStyle name="40% - Accent6 3 2 6 3" xfId="12787" xr:uid="{00000000-0005-0000-0000-0000151F0000}"/>
    <cellStyle name="40% - Accent6 3 2 6 4" xfId="22113" xr:uid="{00000000-0005-0000-0000-0000161F0000}"/>
    <cellStyle name="40% - Accent6 3 2 7" xfId="5067" xr:uid="{00000000-0005-0000-0000-0000171F0000}"/>
    <cellStyle name="40% - Accent6 3 2 7 2" xfId="14391" xr:uid="{00000000-0005-0000-0000-0000181F0000}"/>
    <cellStyle name="40% - Accent6 3 2 7 3" xfId="23714" xr:uid="{00000000-0005-0000-0000-0000191F0000}"/>
    <cellStyle name="40% - Accent6 3 2 8" xfId="7259" xr:uid="{00000000-0005-0000-0000-00001A1F0000}"/>
    <cellStyle name="40% - Accent6 3 2 8 2" xfId="16583" xr:uid="{00000000-0005-0000-0000-00001B1F0000}"/>
    <cellStyle name="40% - Accent6 3 2 8 3" xfId="25906" xr:uid="{00000000-0005-0000-0000-00001C1F0000}"/>
    <cellStyle name="40% - Accent6 3 2 9" xfId="9346" xr:uid="{00000000-0005-0000-0000-00001D1F0000}"/>
    <cellStyle name="40% - Accent6 3 2 9 2" xfId="18670" xr:uid="{00000000-0005-0000-0000-00001E1F0000}"/>
    <cellStyle name="40% - Accent6 3 2 9 3" xfId="27993" xr:uid="{00000000-0005-0000-0000-00001F1F0000}"/>
    <cellStyle name="40% - Accent6 3 3" xfId="296" xr:uid="{00000000-0005-0000-0000-0000201F0000}"/>
    <cellStyle name="40% - Accent6 3 3 10" xfId="19230" xr:uid="{00000000-0005-0000-0000-0000211F0000}"/>
    <cellStyle name="40% - Accent6 3 3 2" xfId="542" xr:uid="{00000000-0005-0000-0000-0000221F0000}"/>
    <cellStyle name="40% - Accent6 3 3 2 2" xfId="1030" xr:uid="{00000000-0005-0000-0000-0000231F0000}"/>
    <cellStyle name="40% - Accent6 3 3 2 2 2" xfId="6775" xr:uid="{00000000-0005-0000-0000-0000241F0000}"/>
    <cellStyle name="40% - Accent6 3 3 2 2 2 2" xfId="16099" xr:uid="{00000000-0005-0000-0000-0000251F0000}"/>
    <cellStyle name="40% - Accent6 3 3 2 2 2 3" xfId="25422" xr:uid="{00000000-0005-0000-0000-0000261F0000}"/>
    <cellStyle name="40% - Accent6 3 3 2 2 3" xfId="10631" xr:uid="{00000000-0005-0000-0000-0000271F0000}"/>
    <cellStyle name="40% - Accent6 3 3 2 2 4" xfId="19955" xr:uid="{00000000-0005-0000-0000-0000281F0000}"/>
    <cellStyle name="40% - Accent6 3 3 2 3" xfId="7095" xr:uid="{00000000-0005-0000-0000-0000291F0000}"/>
    <cellStyle name="40% - Accent6 3 3 2 3 2" xfId="16419" xr:uid="{00000000-0005-0000-0000-00002A1F0000}"/>
    <cellStyle name="40% - Accent6 3 3 2 3 3" xfId="25742" xr:uid="{00000000-0005-0000-0000-00002B1F0000}"/>
    <cellStyle name="40% - Accent6 3 3 2 4" xfId="9653" xr:uid="{00000000-0005-0000-0000-00002C1F0000}"/>
    <cellStyle name="40% - Accent6 3 3 2 4 2" xfId="18977" xr:uid="{00000000-0005-0000-0000-00002D1F0000}"/>
    <cellStyle name="40% - Accent6 3 3 2 4 3" xfId="28300" xr:uid="{00000000-0005-0000-0000-00002E1F0000}"/>
    <cellStyle name="40% - Accent6 3 3 2 5" xfId="10147" xr:uid="{00000000-0005-0000-0000-00002F1F0000}"/>
    <cellStyle name="40% - Accent6 3 3 2 6" xfId="19471" xr:uid="{00000000-0005-0000-0000-0000301F0000}"/>
    <cellStyle name="40% - Accent6 3 3 3" xfId="790" xr:uid="{00000000-0005-0000-0000-0000311F0000}"/>
    <cellStyle name="40% - Accent6 3 3 3 2" xfId="6950" xr:uid="{00000000-0005-0000-0000-0000321F0000}"/>
    <cellStyle name="40% - Accent6 3 3 3 2 2" xfId="16274" xr:uid="{00000000-0005-0000-0000-0000331F0000}"/>
    <cellStyle name="40% - Accent6 3 3 3 2 3" xfId="25597" xr:uid="{00000000-0005-0000-0000-0000341F0000}"/>
    <cellStyle name="40% - Accent6 3 3 3 3" xfId="10391" xr:uid="{00000000-0005-0000-0000-0000351F0000}"/>
    <cellStyle name="40% - Accent6 3 3 3 4" xfId="19715" xr:uid="{00000000-0005-0000-0000-0000361F0000}"/>
    <cellStyle name="40% - Accent6 3 3 4" xfId="1616" xr:uid="{00000000-0005-0000-0000-0000371F0000}"/>
    <cellStyle name="40% - Accent6 3 3 4 2" xfId="6466" xr:uid="{00000000-0005-0000-0000-0000381F0000}"/>
    <cellStyle name="40% - Accent6 3 3 4 2 2" xfId="15790" xr:uid="{00000000-0005-0000-0000-0000391F0000}"/>
    <cellStyle name="40% - Accent6 3 3 4 2 3" xfId="25113" xr:uid="{00000000-0005-0000-0000-00003A1F0000}"/>
    <cellStyle name="40% - Accent6 3 3 4 3" xfId="11184" xr:uid="{00000000-0005-0000-0000-00003B1F0000}"/>
    <cellStyle name="40% - Accent6 3 3 4 4" xfId="20508" xr:uid="{00000000-0005-0000-0000-00003C1F0000}"/>
    <cellStyle name="40% - Accent6 3 3 5" xfId="3403" xr:uid="{00000000-0005-0000-0000-00003D1F0000}"/>
    <cellStyle name="40% - Accent6 3 3 5 2" xfId="8082" xr:uid="{00000000-0005-0000-0000-00003E1F0000}"/>
    <cellStyle name="40% - Accent6 3 3 5 2 2" xfId="17406" xr:uid="{00000000-0005-0000-0000-00003F1F0000}"/>
    <cellStyle name="40% - Accent6 3 3 5 2 3" xfId="26729" xr:uid="{00000000-0005-0000-0000-0000401F0000}"/>
    <cellStyle name="40% - Accent6 3 3 5 3" xfId="12789" xr:uid="{00000000-0005-0000-0000-0000411F0000}"/>
    <cellStyle name="40% - Accent6 3 3 5 4" xfId="22115" xr:uid="{00000000-0005-0000-0000-0000421F0000}"/>
    <cellStyle name="40% - Accent6 3 3 6" xfId="5069" xr:uid="{00000000-0005-0000-0000-0000431F0000}"/>
    <cellStyle name="40% - Accent6 3 3 6 2" xfId="14393" xr:uid="{00000000-0005-0000-0000-0000441F0000}"/>
    <cellStyle name="40% - Accent6 3 3 6 3" xfId="23716" xr:uid="{00000000-0005-0000-0000-0000451F0000}"/>
    <cellStyle name="40% - Accent6 3 3 7" xfId="7228" xr:uid="{00000000-0005-0000-0000-0000461F0000}"/>
    <cellStyle name="40% - Accent6 3 3 7 2" xfId="16552" xr:uid="{00000000-0005-0000-0000-0000471F0000}"/>
    <cellStyle name="40% - Accent6 3 3 7 3" xfId="25875" xr:uid="{00000000-0005-0000-0000-0000481F0000}"/>
    <cellStyle name="40% - Accent6 3 3 8" xfId="9412" xr:uid="{00000000-0005-0000-0000-0000491F0000}"/>
    <cellStyle name="40% - Accent6 3 3 8 2" xfId="18736" xr:uid="{00000000-0005-0000-0000-00004A1F0000}"/>
    <cellStyle name="40% - Accent6 3 3 8 3" xfId="28059" xr:uid="{00000000-0005-0000-0000-00004B1F0000}"/>
    <cellStyle name="40% - Accent6 3 3 9" xfId="9906" xr:uid="{00000000-0005-0000-0000-00004C1F0000}"/>
    <cellStyle name="40% - Accent6 3 4" xfId="417" xr:uid="{00000000-0005-0000-0000-00004D1F0000}"/>
    <cellStyle name="40% - Accent6 3 4 2" xfId="905" xr:uid="{00000000-0005-0000-0000-00004E1F0000}"/>
    <cellStyle name="40% - Accent6 3 4 2 2" xfId="6859" xr:uid="{00000000-0005-0000-0000-00004F1F0000}"/>
    <cellStyle name="40% - Accent6 3 4 2 2 2" xfId="16183" xr:uid="{00000000-0005-0000-0000-0000501F0000}"/>
    <cellStyle name="40% - Accent6 3 4 2 2 3" xfId="25506" xr:uid="{00000000-0005-0000-0000-0000511F0000}"/>
    <cellStyle name="40% - Accent6 3 4 2 3" xfId="10506" xr:uid="{00000000-0005-0000-0000-0000521F0000}"/>
    <cellStyle name="40% - Accent6 3 4 2 4" xfId="19830" xr:uid="{00000000-0005-0000-0000-0000531F0000}"/>
    <cellStyle name="40% - Accent6 3 4 3" xfId="1617" xr:uid="{00000000-0005-0000-0000-0000541F0000}"/>
    <cellStyle name="40% - Accent6 3 4 3 2" xfId="6465" xr:uid="{00000000-0005-0000-0000-0000551F0000}"/>
    <cellStyle name="40% - Accent6 3 4 3 2 2" xfId="15789" xr:uid="{00000000-0005-0000-0000-0000561F0000}"/>
    <cellStyle name="40% - Accent6 3 4 3 2 3" xfId="25112" xr:uid="{00000000-0005-0000-0000-0000571F0000}"/>
    <cellStyle name="40% - Accent6 3 4 3 3" xfId="11185" xr:uid="{00000000-0005-0000-0000-0000581F0000}"/>
    <cellStyle name="40% - Accent6 3 4 3 4" xfId="20509" xr:uid="{00000000-0005-0000-0000-0000591F0000}"/>
    <cellStyle name="40% - Accent6 3 4 4" xfId="3404" xr:uid="{00000000-0005-0000-0000-00005A1F0000}"/>
    <cellStyle name="40% - Accent6 3 4 4 2" xfId="8083" xr:uid="{00000000-0005-0000-0000-00005B1F0000}"/>
    <cellStyle name="40% - Accent6 3 4 4 2 2" xfId="17407" xr:uid="{00000000-0005-0000-0000-00005C1F0000}"/>
    <cellStyle name="40% - Accent6 3 4 4 2 3" xfId="26730" xr:uid="{00000000-0005-0000-0000-00005D1F0000}"/>
    <cellStyle name="40% - Accent6 3 4 4 3" xfId="12790" xr:uid="{00000000-0005-0000-0000-00005E1F0000}"/>
    <cellStyle name="40% - Accent6 3 4 4 4" xfId="22116" xr:uid="{00000000-0005-0000-0000-00005F1F0000}"/>
    <cellStyle name="40% - Accent6 3 4 5" xfId="5070" xr:uid="{00000000-0005-0000-0000-0000601F0000}"/>
    <cellStyle name="40% - Accent6 3 4 5 2" xfId="14394" xr:uid="{00000000-0005-0000-0000-0000611F0000}"/>
    <cellStyle name="40% - Accent6 3 4 5 3" xfId="23717" xr:uid="{00000000-0005-0000-0000-0000621F0000}"/>
    <cellStyle name="40% - Accent6 3 4 6" xfId="7165" xr:uid="{00000000-0005-0000-0000-0000631F0000}"/>
    <cellStyle name="40% - Accent6 3 4 6 2" xfId="16489" xr:uid="{00000000-0005-0000-0000-0000641F0000}"/>
    <cellStyle name="40% - Accent6 3 4 6 3" xfId="25812" xr:uid="{00000000-0005-0000-0000-0000651F0000}"/>
    <cellStyle name="40% - Accent6 3 4 7" xfId="9528" xr:uid="{00000000-0005-0000-0000-0000661F0000}"/>
    <cellStyle name="40% - Accent6 3 4 7 2" xfId="18852" xr:uid="{00000000-0005-0000-0000-0000671F0000}"/>
    <cellStyle name="40% - Accent6 3 4 7 3" xfId="28175" xr:uid="{00000000-0005-0000-0000-0000681F0000}"/>
    <cellStyle name="40% - Accent6 3 4 8" xfId="10022" xr:uid="{00000000-0005-0000-0000-0000691F0000}"/>
    <cellStyle name="40% - Accent6 3 4 9" xfId="19346" xr:uid="{00000000-0005-0000-0000-00006A1F0000}"/>
    <cellStyle name="40% - Accent6 3 5" xfId="665" xr:uid="{00000000-0005-0000-0000-00006B1F0000}"/>
    <cellStyle name="40% - Accent6 3 5 2" xfId="1618" xr:uid="{00000000-0005-0000-0000-00006C1F0000}"/>
    <cellStyle name="40% - Accent6 3 5 2 2" xfId="6464" xr:uid="{00000000-0005-0000-0000-00006D1F0000}"/>
    <cellStyle name="40% - Accent6 3 5 2 2 2" xfId="15788" xr:uid="{00000000-0005-0000-0000-00006E1F0000}"/>
    <cellStyle name="40% - Accent6 3 5 2 2 3" xfId="25111" xr:uid="{00000000-0005-0000-0000-00006F1F0000}"/>
    <cellStyle name="40% - Accent6 3 5 2 3" xfId="11186" xr:uid="{00000000-0005-0000-0000-0000701F0000}"/>
    <cellStyle name="40% - Accent6 3 5 2 4" xfId="20510" xr:uid="{00000000-0005-0000-0000-0000711F0000}"/>
    <cellStyle name="40% - Accent6 3 5 3" xfId="3405" xr:uid="{00000000-0005-0000-0000-0000721F0000}"/>
    <cellStyle name="40% - Accent6 3 5 3 2" xfId="8084" xr:uid="{00000000-0005-0000-0000-0000731F0000}"/>
    <cellStyle name="40% - Accent6 3 5 3 2 2" xfId="17408" xr:uid="{00000000-0005-0000-0000-0000741F0000}"/>
    <cellStyle name="40% - Accent6 3 5 3 2 3" xfId="26731" xr:uid="{00000000-0005-0000-0000-0000751F0000}"/>
    <cellStyle name="40% - Accent6 3 5 3 3" xfId="12791" xr:uid="{00000000-0005-0000-0000-0000761F0000}"/>
    <cellStyle name="40% - Accent6 3 5 3 4" xfId="22117" xr:uid="{00000000-0005-0000-0000-0000771F0000}"/>
    <cellStyle name="40% - Accent6 3 5 4" xfId="5071" xr:uid="{00000000-0005-0000-0000-0000781F0000}"/>
    <cellStyle name="40% - Accent6 3 5 4 2" xfId="14395" xr:uid="{00000000-0005-0000-0000-0000791F0000}"/>
    <cellStyle name="40% - Accent6 3 5 4 3" xfId="23718" xr:uid="{00000000-0005-0000-0000-00007A1F0000}"/>
    <cellStyle name="40% - Accent6 3 5 5" xfId="7031" xr:uid="{00000000-0005-0000-0000-00007B1F0000}"/>
    <cellStyle name="40% - Accent6 3 5 5 2" xfId="16355" xr:uid="{00000000-0005-0000-0000-00007C1F0000}"/>
    <cellStyle name="40% - Accent6 3 5 5 3" xfId="25678" xr:uid="{00000000-0005-0000-0000-00007D1F0000}"/>
    <cellStyle name="40% - Accent6 3 5 6" xfId="10266" xr:uid="{00000000-0005-0000-0000-00007E1F0000}"/>
    <cellStyle name="40% - Accent6 3 5 7" xfId="19590" xr:uid="{00000000-0005-0000-0000-00007F1F0000}"/>
    <cellStyle name="40% - Accent6 3 6" xfId="1613" xr:uid="{00000000-0005-0000-0000-0000801F0000}"/>
    <cellStyle name="40% - Accent6 3 6 2" xfId="6469" xr:uid="{00000000-0005-0000-0000-0000811F0000}"/>
    <cellStyle name="40% - Accent6 3 6 2 2" xfId="15793" xr:uid="{00000000-0005-0000-0000-0000821F0000}"/>
    <cellStyle name="40% - Accent6 3 6 2 3" xfId="25116" xr:uid="{00000000-0005-0000-0000-0000831F0000}"/>
    <cellStyle name="40% - Accent6 3 6 3" xfId="11181" xr:uid="{00000000-0005-0000-0000-0000841F0000}"/>
    <cellStyle name="40% - Accent6 3 6 4" xfId="20505" xr:uid="{00000000-0005-0000-0000-0000851F0000}"/>
    <cellStyle name="40% - Accent6 3 7" xfId="3400" xr:uid="{00000000-0005-0000-0000-0000861F0000}"/>
    <cellStyle name="40% - Accent6 3 7 2" xfId="8079" xr:uid="{00000000-0005-0000-0000-0000871F0000}"/>
    <cellStyle name="40% - Accent6 3 7 2 2" xfId="17403" xr:uid="{00000000-0005-0000-0000-0000881F0000}"/>
    <cellStyle name="40% - Accent6 3 7 2 3" xfId="26726" xr:uid="{00000000-0005-0000-0000-0000891F0000}"/>
    <cellStyle name="40% - Accent6 3 7 3" xfId="12786" xr:uid="{00000000-0005-0000-0000-00008A1F0000}"/>
    <cellStyle name="40% - Accent6 3 7 4" xfId="22112" xr:uid="{00000000-0005-0000-0000-00008B1F0000}"/>
    <cellStyle name="40% - Accent6 3 8" xfId="5066" xr:uid="{00000000-0005-0000-0000-00008C1F0000}"/>
    <cellStyle name="40% - Accent6 3 8 2" xfId="14390" xr:uid="{00000000-0005-0000-0000-00008D1F0000}"/>
    <cellStyle name="40% - Accent6 3 8 3" xfId="23713" xr:uid="{00000000-0005-0000-0000-00008E1F0000}"/>
    <cellStyle name="40% - Accent6 3 9" xfId="7312" xr:uid="{00000000-0005-0000-0000-00008F1F0000}"/>
    <cellStyle name="40% - Accent6 3 9 2" xfId="16636" xr:uid="{00000000-0005-0000-0000-0000901F0000}"/>
    <cellStyle name="40% - Accent6 3 9 3" xfId="25959" xr:uid="{00000000-0005-0000-0000-0000911F0000}"/>
    <cellStyle name="40% - Accent6 4" xfId="193" xr:uid="{00000000-0005-0000-0000-0000921F0000}"/>
    <cellStyle name="40% - Accent6 4 10" xfId="19139" xr:uid="{00000000-0005-0000-0000-0000931F0000}"/>
    <cellStyle name="40% - Accent6 4 11" xfId="28930" xr:uid="{00000000-0005-0000-0000-0000941F0000}"/>
    <cellStyle name="40% - Accent6 4 2" xfId="333" xr:uid="{00000000-0005-0000-0000-0000951F0000}"/>
    <cellStyle name="40% - Accent6 4 2 2" xfId="573" xr:uid="{00000000-0005-0000-0000-0000961F0000}"/>
    <cellStyle name="40% - Accent6 4 2 2 2" xfId="1061" xr:uid="{00000000-0005-0000-0000-0000971F0000}"/>
    <cellStyle name="40% - Accent6 4 2 2 2 2" xfId="6737" xr:uid="{00000000-0005-0000-0000-0000981F0000}"/>
    <cellStyle name="40% - Accent6 4 2 2 2 2 2" xfId="16061" xr:uid="{00000000-0005-0000-0000-0000991F0000}"/>
    <cellStyle name="40% - Accent6 4 2 2 2 2 3" xfId="25384" xr:uid="{00000000-0005-0000-0000-00009A1F0000}"/>
    <cellStyle name="40% - Accent6 4 2 2 2 3" xfId="10662" xr:uid="{00000000-0005-0000-0000-00009B1F0000}"/>
    <cellStyle name="40% - Accent6 4 2 2 2 4" xfId="19986" xr:uid="{00000000-0005-0000-0000-00009C1F0000}"/>
    <cellStyle name="40% - Accent6 4 2 2 3" xfId="1621" xr:uid="{00000000-0005-0000-0000-00009D1F0000}"/>
    <cellStyle name="40% - Accent6 4 2 2 3 2" xfId="6461" xr:uid="{00000000-0005-0000-0000-00009E1F0000}"/>
    <cellStyle name="40% - Accent6 4 2 2 3 2 2" xfId="15785" xr:uid="{00000000-0005-0000-0000-00009F1F0000}"/>
    <cellStyle name="40% - Accent6 4 2 2 3 2 3" xfId="25108" xr:uid="{00000000-0005-0000-0000-0000A01F0000}"/>
    <cellStyle name="40% - Accent6 4 2 2 3 3" xfId="11189" xr:uid="{00000000-0005-0000-0000-0000A11F0000}"/>
    <cellStyle name="40% - Accent6 4 2 2 3 4" xfId="20513" xr:uid="{00000000-0005-0000-0000-0000A21F0000}"/>
    <cellStyle name="40% - Accent6 4 2 2 4" xfId="3408" xr:uid="{00000000-0005-0000-0000-0000A31F0000}"/>
    <cellStyle name="40% - Accent6 4 2 2 4 2" xfId="8087" xr:uid="{00000000-0005-0000-0000-0000A41F0000}"/>
    <cellStyle name="40% - Accent6 4 2 2 4 2 2" xfId="17411" xr:uid="{00000000-0005-0000-0000-0000A51F0000}"/>
    <cellStyle name="40% - Accent6 4 2 2 4 2 3" xfId="26734" xr:uid="{00000000-0005-0000-0000-0000A61F0000}"/>
    <cellStyle name="40% - Accent6 4 2 2 4 3" xfId="12794" xr:uid="{00000000-0005-0000-0000-0000A71F0000}"/>
    <cellStyle name="40% - Accent6 4 2 2 4 4" xfId="22120" xr:uid="{00000000-0005-0000-0000-0000A81F0000}"/>
    <cellStyle name="40% - Accent6 4 2 2 5" xfId="5074" xr:uid="{00000000-0005-0000-0000-0000A91F0000}"/>
    <cellStyle name="40% - Accent6 4 2 2 5 2" xfId="14398" xr:uid="{00000000-0005-0000-0000-0000AA1F0000}"/>
    <cellStyle name="40% - Accent6 4 2 2 5 3" xfId="23721" xr:uid="{00000000-0005-0000-0000-0000AB1F0000}"/>
    <cellStyle name="40% - Accent6 4 2 2 6" xfId="9684" xr:uid="{00000000-0005-0000-0000-0000AC1F0000}"/>
    <cellStyle name="40% - Accent6 4 2 2 6 2" xfId="19008" xr:uid="{00000000-0005-0000-0000-0000AD1F0000}"/>
    <cellStyle name="40% - Accent6 4 2 2 6 3" xfId="28331" xr:uid="{00000000-0005-0000-0000-0000AE1F0000}"/>
    <cellStyle name="40% - Accent6 4 2 2 7" xfId="10178" xr:uid="{00000000-0005-0000-0000-0000AF1F0000}"/>
    <cellStyle name="40% - Accent6 4 2 2 8" xfId="19502" xr:uid="{00000000-0005-0000-0000-0000B01F0000}"/>
    <cellStyle name="40% - Accent6 4 2 3" xfId="821" xr:uid="{00000000-0005-0000-0000-0000B11F0000}"/>
    <cellStyle name="40% - Accent6 4 2 3 2" xfId="6926" xr:uid="{00000000-0005-0000-0000-0000B21F0000}"/>
    <cellStyle name="40% - Accent6 4 2 3 2 2" xfId="16250" xr:uid="{00000000-0005-0000-0000-0000B31F0000}"/>
    <cellStyle name="40% - Accent6 4 2 3 2 3" xfId="25573" xr:uid="{00000000-0005-0000-0000-0000B41F0000}"/>
    <cellStyle name="40% - Accent6 4 2 3 3" xfId="10422" xr:uid="{00000000-0005-0000-0000-0000B51F0000}"/>
    <cellStyle name="40% - Accent6 4 2 3 4" xfId="19746" xr:uid="{00000000-0005-0000-0000-0000B61F0000}"/>
    <cellStyle name="40% - Accent6 4 2 4" xfId="1620" xr:uid="{00000000-0005-0000-0000-0000B71F0000}"/>
    <cellStyle name="40% - Accent6 4 2 4 2" xfId="6462" xr:uid="{00000000-0005-0000-0000-0000B81F0000}"/>
    <cellStyle name="40% - Accent6 4 2 4 2 2" xfId="15786" xr:uid="{00000000-0005-0000-0000-0000B91F0000}"/>
    <cellStyle name="40% - Accent6 4 2 4 2 3" xfId="25109" xr:uid="{00000000-0005-0000-0000-0000BA1F0000}"/>
    <cellStyle name="40% - Accent6 4 2 4 3" xfId="11188" xr:uid="{00000000-0005-0000-0000-0000BB1F0000}"/>
    <cellStyle name="40% - Accent6 4 2 4 4" xfId="20512" xr:uid="{00000000-0005-0000-0000-0000BC1F0000}"/>
    <cellStyle name="40% - Accent6 4 2 5" xfId="3407" xr:uid="{00000000-0005-0000-0000-0000BD1F0000}"/>
    <cellStyle name="40% - Accent6 4 2 5 2" xfId="8086" xr:uid="{00000000-0005-0000-0000-0000BE1F0000}"/>
    <cellStyle name="40% - Accent6 4 2 5 2 2" xfId="17410" xr:uid="{00000000-0005-0000-0000-0000BF1F0000}"/>
    <cellStyle name="40% - Accent6 4 2 5 2 3" xfId="26733" xr:uid="{00000000-0005-0000-0000-0000C01F0000}"/>
    <cellStyle name="40% - Accent6 4 2 5 3" xfId="12793" xr:uid="{00000000-0005-0000-0000-0000C11F0000}"/>
    <cellStyle name="40% - Accent6 4 2 5 4" xfId="22119" xr:uid="{00000000-0005-0000-0000-0000C21F0000}"/>
    <cellStyle name="40% - Accent6 4 2 6" xfId="5073" xr:uid="{00000000-0005-0000-0000-0000C31F0000}"/>
    <cellStyle name="40% - Accent6 4 2 6 2" xfId="14397" xr:uid="{00000000-0005-0000-0000-0000C41F0000}"/>
    <cellStyle name="40% - Accent6 4 2 6 3" xfId="23720" xr:uid="{00000000-0005-0000-0000-0000C51F0000}"/>
    <cellStyle name="40% - Accent6 4 2 7" xfId="9444" xr:uid="{00000000-0005-0000-0000-0000C61F0000}"/>
    <cellStyle name="40% - Accent6 4 2 7 2" xfId="18768" xr:uid="{00000000-0005-0000-0000-0000C71F0000}"/>
    <cellStyle name="40% - Accent6 4 2 7 3" xfId="28091" xr:uid="{00000000-0005-0000-0000-0000C81F0000}"/>
    <cellStyle name="40% - Accent6 4 2 8" xfId="9938" xr:uid="{00000000-0005-0000-0000-0000C91F0000}"/>
    <cellStyle name="40% - Accent6 4 2 9" xfId="19262" xr:uid="{00000000-0005-0000-0000-0000CA1F0000}"/>
    <cellStyle name="40% - Accent6 4 3" xfId="451" xr:uid="{00000000-0005-0000-0000-0000CB1F0000}"/>
    <cellStyle name="40% - Accent6 4 3 2" xfId="939" xr:uid="{00000000-0005-0000-0000-0000CC1F0000}"/>
    <cellStyle name="40% - Accent6 4 3 2 2" xfId="6832" xr:uid="{00000000-0005-0000-0000-0000CD1F0000}"/>
    <cellStyle name="40% - Accent6 4 3 2 2 2" xfId="16156" xr:uid="{00000000-0005-0000-0000-0000CE1F0000}"/>
    <cellStyle name="40% - Accent6 4 3 2 2 3" xfId="25479" xr:uid="{00000000-0005-0000-0000-0000CF1F0000}"/>
    <cellStyle name="40% - Accent6 4 3 2 3" xfId="10540" xr:uid="{00000000-0005-0000-0000-0000D01F0000}"/>
    <cellStyle name="40% - Accent6 4 3 2 4" xfId="19864" xr:uid="{00000000-0005-0000-0000-0000D11F0000}"/>
    <cellStyle name="40% - Accent6 4 3 3" xfId="1622" xr:uid="{00000000-0005-0000-0000-0000D21F0000}"/>
    <cellStyle name="40% - Accent6 4 3 3 2" xfId="6460" xr:uid="{00000000-0005-0000-0000-0000D31F0000}"/>
    <cellStyle name="40% - Accent6 4 3 3 2 2" xfId="15784" xr:uid="{00000000-0005-0000-0000-0000D41F0000}"/>
    <cellStyle name="40% - Accent6 4 3 3 2 3" xfId="25107" xr:uid="{00000000-0005-0000-0000-0000D51F0000}"/>
    <cellStyle name="40% - Accent6 4 3 3 3" xfId="11190" xr:uid="{00000000-0005-0000-0000-0000D61F0000}"/>
    <cellStyle name="40% - Accent6 4 3 3 4" xfId="20514" xr:uid="{00000000-0005-0000-0000-0000D71F0000}"/>
    <cellStyle name="40% - Accent6 4 3 4" xfId="3409" xr:uid="{00000000-0005-0000-0000-0000D81F0000}"/>
    <cellStyle name="40% - Accent6 4 3 4 2" xfId="8088" xr:uid="{00000000-0005-0000-0000-0000D91F0000}"/>
    <cellStyle name="40% - Accent6 4 3 4 2 2" xfId="17412" xr:uid="{00000000-0005-0000-0000-0000DA1F0000}"/>
    <cellStyle name="40% - Accent6 4 3 4 2 3" xfId="26735" xr:uid="{00000000-0005-0000-0000-0000DB1F0000}"/>
    <cellStyle name="40% - Accent6 4 3 4 3" xfId="12795" xr:uid="{00000000-0005-0000-0000-0000DC1F0000}"/>
    <cellStyle name="40% - Accent6 4 3 4 4" xfId="22121" xr:uid="{00000000-0005-0000-0000-0000DD1F0000}"/>
    <cellStyle name="40% - Accent6 4 3 5" xfId="5075" xr:uid="{00000000-0005-0000-0000-0000DE1F0000}"/>
    <cellStyle name="40% - Accent6 4 3 5 2" xfId="14399" xr:uid="{00000000-0005-0000-0000-0000DF1F0000}"/>
    <cellStyle name="40% - Accent6 4 3 5 3" xfId="23722" xr:uid="{00000000-0005-0000-0000-0000E01F0000}"/>
    <cellStyle name="40% - Accent6 4 3 6" xfId="9562" xr:uid="{00000000-0005-0000-0000-0000E11F0000}"/>
    <cellStyle name="40% - Accent6 4 3 6 2" xfId="18886" xr:uid="{00000000-0005-0000-0000-0000E21F0000}"/>
    <cellStyle name="40% - Accent6 4 3 6 3" xfId="28209" xr:uid="{00000000-0005-0000-0000-0000E31F0000}"/>
    <cellStyle name="40% - Accent6 4 3 7" xfId="10056" xr:uid="{00000000-0005-0000-0000-0000E41F0000}"/>
    <cellStyle name="40% - Accent6 4 3 8" xfId="19380" xr:uid="{00000000-0005-0000-0000-0000E51F0000}"/>
    <cellStyle name="40% - Accent6 4 4" xfId="699" xr:uid="{00000000-0005-0000-0000-0000E61F0000}"/>
    <cellStyle name="40% - Accent6 4 4 2" xfId="7013" xr:uid="{00000000-0005-0000-0000-0000E71F0000}"/>
    <cellStyle name="40% - Accent6 4 4 2 2" xfId="16337" xr:uid="{00000000-0005-0000-0000-0000E81F0000}"/>
    <cellStyle name="40% - Accent6 4 4 2 3" xfId="25660" xr:uid="{00000000-0005-0000-0000-0000E91F0000}"/>
    <cellStyle name="40% - Accent6 4 4 3" xfId="10300" xr:uid="{00000000-0005-0000-0000-0000EA1F0000}"/>
    <cellStyle name="40% - Accent6 4 4 4" xfId="19624" xr:uid="{00000000-0005-0000-0000-0000EB1F0000}"/>
    <cellStyle name="40% - Accent6 4 5" xfId="1619" xr:uid="{00000000-0005-0000-0000-0000EC1F0000}"/>
    <cellStyle name="40% - Accent6 4 5 2" xfId="6463" xr:uid="{00000000-0005-0000-0000-0000ED1F0000}"/>
    <cellStyle name="40% - Accent6 4 5 2 2" xfId="15787" xr:uid="{00000000-0005-0000-0000-0000EE1F0000}"/>
    <cellStyle name="40% - Accent6 4 5 2 3" xfId="25110" xr:uid="{00000000-0005-0000-0000-0000EF1F0000}"/>
    <cellStyle name="40% - Accent6 4 5 3" xfId="11187" xr:uid="{00000000-0005-0000-0000-0000F01F0000}"/>
    <cellStyle name="40% - Accent6 4 5 4" xfId="20511" xr:uid="{00000000-0005-0000-0000-0000F11F0000}"/>
    <cellStyle name="40% - Accent6 4 6" xfId="3406" xr:uid="{00000000-0005-0000-0000-0000F21F0000}"/>
    <cellStyle name="40% - Accent6 4 6 2" xfId="8085" xr:uid="{00000000-0005-0000-0000-0000F31F0000}"/>
    <cellStyle name="40% - Accent6 4 6 2 2" xfId="17409" xr:uid="{00000000-0005-0000-0000-0000F41F0000}"/>
    <cellStyle name="40% - Accent6 4 6 2 3" xfId="26732" xr:uid="{00000000-0005-0000-0000-0000F51F0000}"/>
    <cellStyle name="40% - Accent6 4 6 3" xfId="12792" xr:uid="{00000000-0005-0000-0000-0000F61F0000}"/>
    <cellStyle name="40% - Accent6 4 6 4" xfId="22118" xr:uid="{00000000-0005-0000-0000-0000F71F0000}"/>
    <cellStyle name="40% - Accent6 4 7" xfId="5072" xr:uid="{00000000-0005-0000-0000-0000F81F0000}"/>
    <cellStyle name="40% - Accent6 4 7 2" xfId="14396" xr:uid="{00000000-0005-0000-0000-0000F91F0000}"/>
    <cellStyle name="40% - Accent6 4 7 3" xfId="23719" xr:uid="{00000000-0005-0000-0000-0000FA1F0000}"/>
    <cellStyle name="40% - Accent6 4 8" xfId="9321" xr:uid="{00000000-0005-0000-0000-0000FB1F0000}"/>
    <cellStyle name="40% - Accent6 4 8 2" xfId="18645" xr:uid="{00000000-0005-0000-0000-0000FC1F0000}"/>
    <cellStyle name="40% - Accent6 4 8 3" xfId="27968" xr:uid="{00000000-0005-0000-0000-0000FD1F0000}"/>
    <cellStyle name="40% - Accent6 4 9" xfId="9815" xr:uid="{00000000-0005-0000-0000-0000FE1F0000}"/>
    <cellStyle name="40% - Accent6 5" xfId="253" xr:uid="{00000000-0005-0000-0000-0000FF1F0000}"/>
    <cellStyle name="40% - Accent6 5 2" xfId="511" xr:uid="{00000000-0005-0000-0000-000000200000}"/>
    <cellStyle name="40% - Accent6 5 2 2" xfId="999" xr:uid="{00000000-0005-0000-0000-000001200000}"/>
    <cellStyle name="40% - Accent6 5 2 2 2" xfId="6797" xr:uid="{00000000-0005-0000-0000-000002200000}"/>
    <cellStyle name="40% - Accent6 5 2 2 2 2" xfId="16121" xr:uid="{00000000-0005-0000-0000-000003200000}"/>
    <cellStyle name="40% - Accent6 5 2 2 2 3" xfId="25444" xr:uid="{00000000-0005-0000-0000-000004200000}"/>
    <cellStyle name="40% - Accent6 5 2 2 3" xfId="10600" xr:uid="{00000000-0005-0000-0000-000005200000}"/>
    <cellStyle name="40% - Accent6 5 2 2 4" xfId="19924" xr:uid="{00000000-0005-0000-0000-000006200000}"/>
    <cellStyle name="40% - Accent6 5 2 3" xfId="1624" xr:uid="{00000000-0005-0000-0000-000007200000}"/>
    <cellStyle name="40% - Accent6 5 2 3 2" xfId="6456" xr:uid="{00000000-0005-0000-0000-000008200000}"/>
    <cellStyle name="40% - Accent6 5 2 3 2 2" xfId="15780" xr:uid="{00000000-0005-0000-0000-000009200000}"/>
    <cellStyle name="40% - Accent6 5 2 3 2 3" xfId="25103" xr:uid="{00000000-0005-0000-0000-00000A200000}"/>
    <cellStyle name="40% - Accent6 5 2 3 3" xfId="11192" xr:uid="{00000000-0005-0000-0000-00000B200000}"/>
    <cellStyle name="40% - Accent6 5 2 3 4" xfId="20516" xr:uid="{00000000-0005-0000-0000-00000C200000}"/>
    <cellStyle name="40% - Accent6 5 2 4" xfId="3411" xr:uid="{00000000-0005-0000-0000-00000D200000}"/>
    <cellStyle name="40% - Accent6 5 2 4 2" xfId="8090" xr:uid="{00000000-0005-0000-0000-00000E200000}"/>
    <cellStyle name="40% - Accent6 5 2 4 2 2" xfId="17414" xr:uid="{00000000-0005-0000-0000-00000F200000}"/>
    <cellStyle name="40% - Accent6 5 2 4 2 3" xfId="26737" xr:uid="{00000000-0005-0000-0000-000010200000}"/>
    <cellStyle name="40% - Accent6 5 2 4 3" xfId="12797" xr:uid="{00000000-0005-0000-0000-000011200000}"/>
    <cellStyle name="40% - Accent6 5 2 4 4" xfId="22123" xr:uid="{00000000-0005-0000-0000-000012200000}"/>
    <cellStyle name="40% - Accent6 5 2 5" xfId="5077" xr:uid="{00000000-0005-0000-0000-000013200000}"/>
    <cellStyle name="40% - Accent6 5 2 5 2" xfId="14401" xr:uid="{00000000-0005-0000-0000-000014200000}"/>
    <cellStyle name="40% - Accent6 5 2 5 3" xfId="23724" xr:uid="{00000000-0005-0000-0000-000015200000}"/>
    <cellStyle name="40% - Accent6 5 2 6" xfId="9622" xr:uid="{00000000-0005-0000-0000-000016200000}"/>
    <cellStyle name="40% - Accent6 5 2 6 2" xfId="18946" xr:uid="{00000000-0005-0000-0000-000017200000}"/>
    <cellStyle name="40% - Accent6 5 2 6 3" xfId="28269" xr:uid="{00000000-0005-0000-0000-000018200000}"/>
    <cellStyle name="40% - Accent6 5 2 7" xfId="10116" xr:uid="{00000000-0005-0000-0000-000019200000}"/>
    <cellStyle name="40% - Accent6 5 2 8" xfId="19440" xr:uid="{00000000-0005-0000-0000-00001A200000}"/>
    <cellStyle name="40% - Accent6 5 3" xfId="759" xr:uid="{00000000-0005-0000-0000-00001B200000}"/>
    <cellStyle name="40% - Accent6 5 3 2" xfId="6972" xr:uid="{00000000-0005-0000-0000-00001C200000}"/>
    <cellStyle name="40% - Accent6 5 3 2 2" xfId="16296" xr:uid="{00000000-0005-0000-0000-00001D200000}"/>
    <cellStyle name="40% - Accent6 5 3 2 3" xfId="25619" xr:uid="{00000000-0005-0000-0000-00001E200000}"/>
    <cellStyle name="40% - Accent6 5 3 3" xfId="10360" xr:uid="{00000000-0005-0000-0000-00001F200000}"/>
    <cellStyle name="40% - Accent6 5 3 4" xfId="19684" xr:uid="{00000000-0005-0000-0000-000020200000}"/>
    <cellStyle name="40% - Accent6 5 4" xfId="1623" xr:uid="{00000000-0005-0000-0000-000021200000}"/>
    <cellStyle name="40% - Accent6 5 4 2" xfId="6459" xr:uid="{00000000-0005-0000-0000-000022200000}"/>
    <cellStyle name="40% - Accent6 5 4 2 2" xfId="15783" xr:uid="{00000000-0005-0000-0000-000023200000}"/>
    <cellStyle name="40% - Accent6 5 4 2 3" xfId="25106" xr:uid="{00000000-0005-0000-0000-000024200000}"/>
    <cellStyle name="40% - Accent6 5 4 3" xfId="11191" xr:uid="{00000000-0005-0000-0000-000025200000}"/>
    <cellStyle name="40% - Accent6 5 4 4" xfId="20515" xr:uid="{00000000-0005-0000-0000-000026200000}"/>
    <cellStyle name="40% - Accent6 5 5" xfId="3410" xr:uid="{00000000-0005-0000-0000-000027200000}"/>
    <cellStyle name="40% - Accent6 5 5 2" xfId="8089" xr:uid="{00000000-0005-0000-0000-000028200000}"/>
    <cellStyle name="40% - Accent6 5 5 2 2" xfId="17413" xr:uid="{00000000-0005-0000-0000-000029200000}"/>
    <cellStyle name="40% - Accent6 5 5 2 3" xfId="26736" xr:uid="{00000000-0005-0000-0000-00002A200000}"/>
    <cellStyle name="40% - Accent6 5 5 3" xfId="12796" xr:uid="{00000000-0005-0000-0000-00002B200000}"/>
    <cellStyle name="40% - Accent6 5 5 4" xfId="22122" xr:uid="{00000000-0005-0000-0000-00002C200000}"/>
    <cellStyle name="40% - Accent6 5 6" xfId="5076" xr:uid="{00000000-0005-0000-0000-00002D200000}"/>
    <cellStyle name="40% - Accent6 5 6 2" xfId="14400" xr:uid="{00000000-0005-0000-0000-00002E200000}"/>
    <cellStyle name="40% - Accent6 5 6 3" xfId="23723" xr:uid="{00000000-0005-0000-0000-00002F200000}"/>
    <cellStyle name="40% - Accent6 5 7" xfId="9381" xr:uid="{00000000-0005-0000-0000-000030200000}"/>
    <cellStyle name="40% - Accent6 5 7 2" xfId="18705" xr:uid="{00000000-0005-0000-0000-000031200000}"/>
    <cellStyle name="40% - Accent6 5 7 3" xfId="28028" xr:uid="{00000000-0005-0000-0000-000032200000}"/>
    <cellStyle name="40% - Accent6 5 8" xfId="9875" xr:uid="{00000000-0005-0000-0000-000033200000}"/>
    <cellStyle name="40% - Accent6 5 9" xfId="19199" xr:uid="{00000000-0005-0000-0000-000034200000}"/>
    <cellStyle name="40% - Accent6 6" xfId="392" xr:uid="{00000000-0005-0000-0000-000035200000}"/>
    <cellStyle name="40% - Accent6 6 2" xfId="880" xr:uid="{00000000-0005-0000-0000-000036200000}"/>
    <cellStyle name="40% - Accent6 6 2 2" xfId="6883" xr:uid="{00000000-0005-0000-0000-000037200000}"/>
    <cellStyle name="40% - Accent6 6 2 2 2" xfId="16207" xr:uid="{00000000-0005-0000-0000-000038200000}"/>
    <cellStyle name="40% - Accent6 6 2 2 3" xfId="25530" xr:uid="{00000000-0005-0000-0000-000039200000}"/>
    <cellStyle name="40% - Accent6 6 2 3" xfId="10481" xr:uid="{00000000-0005-0000-0000-00003A200000}"/>
    <cellStyle name="40% - Accent6 6 2 4" xfId="19805" xr:uid="{00000000-0005-0000-0000-00003B200000}"/>
    <cellStyle name="40% - Accent6 6 3" xfId="1625" xr:uid="{00000000-0005-0000-0000-00003C200000}"/>
    <cellStyle name="40% - Accent6 6 3 2" xfId="6458" xr:uid="{00000000-0005-0000-0000-00003D200000}"/>
    <cellStyle name="40% - Accent6 6 3 2 2" xfId="15782" xr:uid="{00000000-0005-0000-0000-00003E200000}"/>
    <cellStyle name="40% - Accent6 6 3 2 3" xfId="25105" xr:uid="{00000000-0005-0000-0000-00003F200000}"/>
    <cellStyle name="40% - Accent6 6 3 3" xfId="11193" xr:uid="{00000000-0005-0000-0000-000040200000}"/>
    <cellStyle name="40% - Accent6 6 3 4" xfId="20517" xr:uid="{00000000-0005-0000-0000-000041200000}"/>
    <cellStyle name="40% - Accent6 6 4" xfId="3412" xr:uid="{00000000-0005-0000-0000-000042200000}"/>
    <cellStyle name="40% - Accent6 6 4 2" xfId="8091" xr:uid="{00000000-0005-0000-0000-000043200000}"/>
    <cellStyle name="40% - Accent6 6 4 2 2" xfId="17415" xr:uid="{00000000-0005-0000-0000-000044200000}"/>
    <cellStyle name="40% - Accent6 6 4 2 3" xfId="26738" xr:uid="{00000000-0005-0000-0000-000045200000}"/>
    <cellStyle name="40% - Accent6 6 4 3" xfId="12798" xr:uid="{00000000-0005-0000-0000-000046200000}"/>
    <cellStyle name="40% - Accent6 6 4 4" xfId="22124" xr:uid="{00000000-0005-0000-0000-000047200000}"/>
    <cellStyle name="40% - Accent6 6 5" xfId="5078" xr:uid="{00000000-0005-0000-0000-000048200000}"/>
    <cellStyle name="40% - Accent6 6 5 2" xfId="14402" xr:uid="{00000000-0005-0000-0000-000049200000}"/>
    <cellStyle name="40% - Accent6 6 5 3" xfId="23725" xr:uid="{00000000-0005-0000-0000-00004A200000}"/>
    <cellStyle name="40% - Accent6 6 6" xfId="9503" xr:uid="{00000000-0005-0000-0000-00004B200000}"/>
    <cellStyle name="40% - Accent6 6 6 2" xfId="18827" xr:uid="{00000000-0005-0000-0000-00004C200000}"/>
    <cellStyle name="40% - Accent6 6 6 3" xfId="28150" xr:uid="{00000000-0005-0000-0000-00004D200000}"/>
    <cellStyle name="40% - Accent6 6 7" xfId="9997" xr:uid="{00000000-0005-0000-0000-00004E200000}"/>
    <cellStyle name="40% - Accent6 6 8" xfId="19321" xr:uid="{00000000-0005-0000-0000-00004F200000}"/>
    <cellStyle name="40% - Accent6 7" xfId="636" xr:uid="{00000000-0005-0000-0000-000050200000}"/>
    <cellStyle name="40% - Accent6 7 2" xfId="1626" xr:uid="{00000000-0005-0000-0000-000051200000}"/>
    <cellStyle name="40% - Accent6 7 2 2" xfId="6457" xr:uid="{00000000-0005-0000-0000-000052200000}"/>
    <cellStyle name="40% - Accent6 7 2 2 2" xfId="15781" xr:uid="{00000000-0005-0000-0000-000053200000}"/>
    <cellStyle name="40% - Accent6 7 2 2 3" xfId="25104" xr:uid="{00000000-0005-0000-0000-000054200000}"/>
    <cellStyle name="40% - Accent6 7 2 3" xfId="11194" xr:uid="{00000000-0005-0000-0000-000055200000}"/>
    <cellStyle name="40% - Accent6 7 2 4" xfId="20518" xr:uid="{00000000-0005-0000-0000-000056200000}"/>
    <cellStyle name="40% - Accent6 7 3" xfId="3413" xr:uid="{00000000-0005-0000-0000-000057200000}"/>
    <cellStyle name="40% - Accent6 7 3 2" xfId="8092" xr:uid="{00000000-0005-0000-0000-000058200000}"/>
    <cellStyle name="40% - Accent6 7 3 2 2" xfId="17416" xr:uid="{00000000-0005-0000-0000-000059200000}"/>
    <cellStyle name="40% - Accent6 7 3 2 3" xfId="26739" xr:uid="{00000000-0005-0000-0000-00005A200000}"/>
    <cellStyle name="40% - Accent6 7 3 3" xfId="12799" xr:uid="{00000000-0005-0000-0000-00005B200000}"/>
    <cellStyle name="40% - Accent6 7 3 4" xfId="22125" xr:uid="{00000000-0005-0000-0000-00005C200000}"/>
    <cellStyle name="40% - Accent6 7 4" xfId="5079" xr:uid="{00000000-0005-0000-0000-00005D200000}"/>
    <cellStyle name="40% - Accent6 7 4 2" xfId="14403" xr:uid="{00000000-0005-0000-0000-00005E200000}"/>
    <cellStyle name="40% - Accent6 7 4 3" xfId="23726" xr:uid="{00000000-0005-0000-0000-00005F200000}"/>
    <cellStyle name="40% - Accent6 7 5" xfId="10240" xr:uid="{00000000-0005-0000-0000-000060200000}"/>
    <cellStyle name="40% - Accent6 7 6" xfId="19564" xr:uid="{00000000-0005-0000-0000-000061200000}"/>
    <cellStyle name="40% - Accent6 8" xfId="1627" xr:uid="{00000000-0005-0000-0000-000062200000}"/>
    <cellStyle name="40% - Accent6 8 2" xfId="3414" xr:uid="{00000000-0005-0000-0000-000063200000}"/>
    <cellStyle name="40% - Accent6 8 2 2" xfId="8093" xr:uid="{00000000-0005-0000-0000-000064200000}"/>
    <cellStyle name="40% - Accent6 8 2 2 2" xfId="17417" xr:uid="{00000000-0005-0000-0000-000065200000}"/>
    <cellStyle name="40% - Accent6 8 2 2 3" xfId="26740" xr:uid="{00000000-0005-0000-0000-000066200000}"/>
    <cellStyle name="40% - Accent6 8 2 3" xfId="12800" xr:uid="{00000000-0005-0000-0000-000067200000}"/>
    <cellStyle name="40% - Accent6 8 2 4" xfId="22126" xr:uid="{00000000-0005-0000-0000-000068200000}"/>
    <cellStyle name="40% - Accent6 8 3" xfId="5080" xr:uid="{00000000-0005-0000-0000-000069200000}"/>
    <cellStyle name="40% - Accent6 8 3 2" xfId="14404" xr:uid="{00000000-0005-0000-0000-00006A200000}"/>
    <cellStyle name="40% - Accent6 8 3 3" xfId="23727" xr:uid="{00000000-0005-0000-0000-00006B200000}"/>
    <cellStyle name="40% - Accent6 8 4" xfId="11195" xr:uid="{00000000-0005-0000-0000-00006C200000}"/>
    <cellStyle name="40% - Accent6 8 5" xfId="20519" xr:uid="{00000000-0005-0000-0000-00006D200000}"/>
    <cellStyle name="40% - Accent6 9" xfId="1134" xr:uid="{00000000-0005-0000-0000-00006E200000}"/>
    <cellStyle name="40% - Accent6 9 2" xfId="4627" xr:uid="{00000000-0005-0000-0000-00006F200000}"/>
    <cellStyle name="40% - Accent6 9 2 2" xfId="13951" xr:uid="{00000000-0005-0000-0000-000070200000}"/>
    <cellStyle name="40% - Accent6 9 2 3" xfId="23274" xr:uid="{00000000-0005-0000-0000-000071200000}"/>
    <cellStyle name="40% - Accent6 9 3" xfId="10733" xr:uid="{00000000-0005-0000-0000-000072200000}"/>
    <cellStyle name="40% - Accent6 9 4" xfId="20057" xr:uid="{00000000-0005-0000-0000-000073200000}"/>
    <cellStyle name="40% - Énfasis1" xfId="28498" xr:uid="{00000000-0005-0000-0000-000074200000}"/>
    <cellStyle name="40% - Énfasis2" xfId="28499" xr:uid="{00000000-0005-0000-0000-000075200000}"/>
    <cellStyle name="40% - Énfasis3" xfId="28500" xr:uid="{00000000-0005-0000-0000-000076200000}"/>
    <cellStyle name="40% - Énfasis4" xfId="28501" xr:uid="{00000000-0005-0000-0000-000077200000}"/>
    <cellStyle name="40% - Énfasis5" xfId="28502" xr:uid="{00000000-0005-0000-0000-000078200000}"/>
    <cellStyle name="40% - Énfasis6" xfId="28503" xr:uid="{00000000-0005-0000-0000-000079200000}"/>
    <cellStyle name="5 indents" xfId="28414" xr:uid="{00000000-0005-0000-0000-00007A200000}"/>
    <cellStyle name="60% - Accent1" xfId="35" builtinId="32" customBuiltin="1"/>
    <cellStyle name="60% - Accent1 2" xfId="1628" xr:uid="{00000000-0005-0000-0000-00007C200000}"/>
    <cellStyle name="60% - Accent1 2 2" xfId="28504" xr:uid="{00000000-0005-0000-0000-00007D200000}"/>
    <cellStyle name="60% - Accent1 3" xfId="1629" xr:uid="{00000000-0005-0000-0000-00007E200000}"/>
    <cellStyle name="60% - Accent1 3 2" xfId="28866" xr:uid="{00000000-0005-0000-0000-00007F200000}"/>
    <cellStyle name="60% - Accent1 4" xfId="1630" xr:uid="{00000000-0005-0000-0000-000080200000}"/>
    <cellStyle name="60% - Accent1 5" xfId="28415" xr:uid="{00000000-0005-0000-0000-000081200000}"/>
    <cellStyle name="60% - Accent2" xfId="39" builtinId="36" customBuiltin="1"/>
    <cellStyle name="60% - Accent2 2" xfId="1631" xr:uid="{00000000-0005-0000-0000-000083200000}"/>
    <cellStyle name="60% - Accent2 2 2" xfId="28505" xr:uid="{00000000-0005-0000-0000-000084200000}"/>
    <cellStyle name="60% - Accent2 3" xfId="1632" xr:uid="{00000000-0005-0000-0000-000085200000}"/>
    <cellStyle name="60% - Accent2 3 2" xfId="28825" xr:uid="{00000000-0005-0000-0000-000086200000}"/>
    <cellStyle name="60% - Accent2 4" xfId="1633" xr:uid="{00000000-0005-0000-0000-000087200000}"/>
    <cellStyle name="60% - Accent2 5" xfId="28416" xr:uid="{00000000-0005-0000-0000-000088200000}"/>
    <cellStyle name="60% - Accent3" xfId="43" builtinId="40" customBuiltin="1"/>
    <cellStyle name="60% - Accent3 2" xfId="1634" xr:uid="{00000000-0005-0000-0000-00008A200000}"/>
    <cellStyle name="60% - Accent3 2 2" xfId="28506" xr:uid="{00000000-0005-0000-0000-00008B200000}"/>
    <cellStyle name="60% - Accent3 3" xfId="1635" xr:uid="{00000000-0005-0000-0000-00008C200000}"/>
    <cellStyle name="60% - Accent3 3 2" xfId="28867" xr:uid="{00000000-0005-0000-0000-00008D200000}"/>
    <cellStyle name="60% - Accent3 4" xfId="1636" xr:uid="{00000000-0005-0000-0000-00008E200000}"/>
    <cellStyle name="60% - Accent3 5" xfId="28417" xr:uid="{00000000-0005-0000-0000-00008F200000}"/>
    <cellStyle name="60% - Accent4" xfId="47" builtinId="44" customBuiltin="1"/>
    <cellStyle name="60% - Accent4 2" xfId="1637" xr:uid="{00000000-0005-0000-0000-000091200000}"/>
    <cellStyle name="60% - Accent4 2 2" xfId="28507" xr:uid="{00000000-0005-0000-0000-000092200000}"/>
    <cellStyle name="60% - Accent4 3" xfId="1638" xr:uid="{00000000-0005-0000-0000-000093200000}"/>
    <cellStyle name="60% - Accent4 3 2" xfId="28858" xr:uid="{00000000-0005-0000-0000-000094200000}"/>
    <cellStyle name="60% - Accent4 4" xfId="1639" xr:uid="{00000000-0005-0000-0000-000095200000}"/>
    <cellStyle name="60% - Accent4 5" xfId="28418" xr:uid="{00000000-0005-0000-0000-000096200000}"/>
    <cellStyle name="60% - Accent5" xfId="51" builtinId="48" customBuiltin="1"/>
    <cellStyle name="60% - Accent5 2" xfId="1640" xr:uid="{00000000-0005-0000-0000-000098200000}"/>
    <cellStyle name="60% - Accent5 2 2" xfId="28508" xr:uid="{00000000-0005-0000-0000-000099200000}"/>
    <cellStyle name="60% - Accent5 3" xfId="1641" xr:uid="{00000000-0005-0000-0000-00009A200000}"/>
    <cellStyle name="60% - Accent5 3 2" xfId="28884" xr:uid="{00000000-0005-0000-0000-00009B200000}"/>
    <cellStyle name="60% - Accent5 4" xfId="1642" xr:uid="{00000000-0005-0000-0000-00009C200000}"/>
    <cellStyle name="60% - Accent5 5" xfId="28419" xr:uid="{00000000-0005-0000-0000-00009D200000}"/>
    <cellStyle name="60% - Accent6" xfId="55" builtinId="52" customBuiltin="1"/>
    <cellStyle name="60% - Accent6 2" xfId="1643" xr:uid="{00000000-0005-0000-0000-00009F200000}"/>
    <cellStyle name="60% - Accent6 2 2" xfId="28509" xr:uid="{00000000-0005-0000-0000-0000A0200000}"/>
    <cellStyle name="60% - Accent6 3" xfId="1644" xr:uid="{00000000-0005-0000-0000-0000A1200000}"/>
    <cellStyle name="60% - Accent6 3 2" xfId="28908" xr:uid="{00000000-0005-0000-0000-0000A2200000}"/>
    <cellStyle name="60% - Accent6 4" xfId="1645" xr:uid="{00000000-0005-0000-0000-0000A3200000}"/>
    <cellStyle name="60% - Accent6 5" xfId="28420" xr:uid="{00000000-0005-0000-0000-0000A4200000}"/>
    <cellStyle name="60% - Énfasis1" xfId="28510" xr:uid="{00000000-0005-0000-0000-0000A5200000}"/>
    <cellStyle name="60% - Énfasis2" xfId="28511" xr:uid="{00000000-0005-0000-0000-0000A6200000}"/>
    <cellStyle name="60% - Énfasis3" xfId="28512" xr:uid="{00000000-0005-0000-0000-0000A7200000}"/>
    <cellStyle name="60% - Énfasis4" xfId="28513" xr:uid="{00000000-0005-0000-0000-0000A8200000}"/>
    <cellStyle name="60% - Énfasis5" xfId="28514" xr:uid="{00000000-0005-0000-0000-0000A9200000}"/>
    <cellStyle name="60% - Énfasis6" xfId="28515" xr:uid="{00000000-0005-0000-0000-0000AA200000}"/>
    <cellStyle name="Accent1" xfId="32" builtinId="29" customBuiltin="1"/>
    <cellStyle name="Accent1 2" xfId="1646" xr:uid="{00000000-0005-0000-0000-0000AC200000}"/>
    <cellStyle name="Accent1 2 2" xfId="28516" xr:uid="{00000000-0005-0000-0000-0000AD200000}"/>
    <cellStyle name="Accent1 3" xfId="1647" xr:uid="{00000000-0005-0000-0000-0000AE200000}"/>
    <cellStyle name="Accent1 3 2" xfId="28828" xr:uid="{00000000-0005-0000-0000-0000AF200000}"/>
    <cellStyle name="Accent1 4" xfId="1648" xr:uid="{00000000-0005-0000-0000-0000B0200000}"/>
    <cellStyle name="Accent1 5" xfId="28421" xr:uid="{00000000-0005-0000-0000-0000B1200000}"/>
    <cellStyle name="Accent2" xfId="36" builtinId="33" customBuiltin="1"/>
    <cellStyle name="Accent2 2" xfId="1649" xr:uid="{00000000-0005-0000-0000-0000B3200000}"/>
    <cellStyle name="Accent2 2 2" xfId="28517" xr:uid="{00000000-0005-0000-0000-0000B4200000}"/>
    <cellStyle name="Accent2 3" xfId="1650" xr:uid="{00000000-0005-0000-0000-0000B5200000}"/>
    <cellStyle name="Accent2 3 2" xfId="28829" xr:uid="{00000000-0005-0000-0000-0000B6200000}"/>
    <cellStyle name="Accent2 4" xfId="1651" xr:uid="{00000000-0005-0000-0000-0000B7200000}"/>
    <cellStyle name="Accent2 5" xfId="28422" xr:uid="{00000000-0005-0000-0000-0000B8200000}"/>
    <cellStyle name="Accent3" xfId="40" builtinId="37" customBuiltin="1"/>
    <cellStyle name="Accent3 2" xfId="1652" xr:uid="{00000000-0005-0000-0000-0000BA200000}"/>
    <cellStyle name="Accent3 2 2" xfId="28518" xr:uid="{00000000-0005-0000-0000-0000BB200000}"/>
    <cellStyle name="Accent3 3" xfId="1653" xr:uid="{00000000-0005-0000-0000-0000BC200000}"/>
    <cellStyle name="Accent3 3 2" xfId="28870" xr:uid="{00000000-0005-0000-0000-0000BD200000}"/>
    <cellStyle name="Accent3 4" xfId="1654" xr:uid="{00000000-0005-0000-0000-0000BE200000}"/>
    <cellStyle name="Accent3 5" xfId="28423" xr:uid="{00000000-0005-0000-0000-0000BF200000}"/>
    <cellStyle name="Accent4" xfId="44" builtinId="41" customBuiltin="1"/>
    <cellStyle name="Accent4 2" xfId="1655" xr:uid="{00000000-0005-0000-0000-0000C1200000}"/>
    <cellStyle name="Accent4 2 2" xfId="28519" xr:uid="{00000000-0005-0000-0000-0000C2200000}"/>
    <cellStyle name="Accent4 3" xfId="1656" xr:uid="{00000000-0005-0000-0000-0000C3200000}"/>
    <cellStyle name="Accent4 3 2" xfId="28846" xr:uid="{00000000-0005-0000-0000-0000C4200000}"/>
    <cellStyle name="Accent4 4" xfId="1657" xr:uid="{00000000-0005-0000-0000-0000C5200000}"/>
    <cellStyle name="Accent4 5" xfId="28424" xr:uid="{00000000-0005-0000-0000-0000C6200000}"/>
    <cellStyle name="Accent5" xfId="48" builtinId="45" customBuiltin="1"/>
    <cellStyle name="Accent5 2" xfId="1658" xr:uid="{00000000-0005-0000-0000-0000C8200000}"/>
    <cellStyle name="Accent5 2 2" xfId="28520" xr:uid="{00000000-0005-0000-0000-0000C9200000}"/>
    <cellStyle name="Accent5 3" xfId="28425" xr:uid="{00000000-0005-0000-0000-0000CA200000}"/>
    <cellStyle name="Accent5 4" xfId="28931" xr:uid="{00000000-0005-0000-0000-0000CB200000}"/>
    <cellStyle name="Accent6" xfId="52" builtinId="49" customBuiltin="1"/>
    <cellStyle name="Accent6 2" xfId="1659" xr:uid="{00000000-0005-0000-0000-0000CD200000}"/>
    <cellStyle name="Accent6 2 2" xfId="28521" xr:uid="{00000000-0005-0000-0000-0000CE200000}"/>
    <cellStyle name="Accent6 3" xfId="1660" xr:uid="{00000000-0005-0000-0000-0000CF200000}"/>
    <cellStyle name="Accent6 3 2" xfId="28830" xr:uid="{00000000-0005-0000-0000-0000D0200000}"/>
    <cellStyle name="Accent6 4" xfId="1661" xr:uid="{00000000-0005-0000-0000-0000D1200000}"/>
    <cellStyle name="Accent6 5" xfId="28426" xr:uid="{00000000-0005-0000-0000-0000D2200000}"/>
    <cellStyle name="Bad" xfId="22" builtinId="27" customBuiltin="1"/>
    <cellStyle name="Bad 2" xfId="1662" xr:uid="{00000000-0005-0000-0000-0000D4200000}"/>
    <cellStyle name="Bad 2 2" xfId="28522" xr:uid="{00000000-0005-0000-0000-0000D5200000}"/>
    <cellStyle name="Bad 3" xfId="1663" xr:uid="{00000000-0005-0000-0000-0000D6200000}"/>
    <cellStyle name="Bad 3 2" xfId="28589" xr:uid="{00000000-0005-0000-0000-0000D7200000}"/>
    <cellStyle name="Bad 4" xfId="1664" xr:uid="{00000000-0005-0000-0000-0000D8200000}"/>
    <cellStyle name="Bad 4 2" xfId="28831" xr:uid="{00000000-0005-0000-0000-0000D9200000}"/>
    <cellStyle name="Bad 5" xfId="28427" xr:uid="{00000000-0005-0000-0000-0000DA200000}"/>
    <cellStyle name="Bad 5 2" xfId="28932" xr:uid="{00000000-0005-0000-0000-0000DB200000}"/>
    <cellStyle name="Buena" xfId="28523" xr:uid="{00000000-0005-0000-0000-0000DC200000}"/>
    <cellStyle name="Cabe‡alho 1" xfId="28590" xr:uid="{00000000-0005-0000-0000-0000DD200000}"/>
    <cellStyle name="Cabe‡alho 2" xfId="28591" xr:uid="{00000000-0005-0000-0000-0000DE200000}"/>
    <cellStyle name="Cabecera 1" xfId="28592" xr:uid="{00000000-0005-0000-0000-0000DF200000}"/>
    <cellStyle name="Cabecera 2" xfId="28593" xr:uid="{00000000-0005-0000-0000-0000E0200000}"/>
    <cellStyle name="Calculation" xfId="26" builtinId="22" customBuiltin="1"/>
    <cellStyle name="Calculation 2" xfId="1665" xr:uid="{00000000-0005-0000-0000-0000E2200000}"/>
    <cellStyle name="Calculation 2 2" xfId="28524" xr:uid="{00000000-0005-0000-0000-0000E3200000}"/>
    <cellStyle name="Calculation 3" xfId="1666" xr:uid="{00000000-0005-0000-0000-0000E4200000}"/>
    <cellStyle name="Calculation 3 2" xfId="28594" xr:uid="{00000000-0005-0000-0000-0000E5200000}"/>
    <cellStyle name="Calculation 4" xfId="1667" xr:uid="{00000000-0005-0000-0000-0000E6200000}"/>
    <cellStyle name="Calculation 4 2" xfId="28832" xr:uid="{00000000-0005-0000-0000-0000E7200000}"/>
    <cellStyle name="Calculation 5" xfId="28428" xr:uid="{00000000-0005-0000-0000-0000E8200000}"/>
    <cellStyle name="Calculation 5 2" xfId="28933" xr:uid="{00000000-0005-0000-0000-0000E9200000}"/>
    <cellStyle name="Cálculo" xfId="28525" xr:uid="{00000000-0005-0000-0000-0000EA200000}"/>
    <cellStyle name="Celda de comprobación" xfId="28526" xr:uid="{00000000-0005-0000-0000-0000EB200000}"/>
    <cellStyle name="Celda vinculada" xfId="28527" xr:uid="{00000000-0005-0000-0000-0000EC200000}"/>
    <cellStyle name="Check Cell" xfId="28" builtinId="23" customBuiltin="1"/>
    <cellStyle name="Check Cell 2" xfId="1668" xr:uid="{00000000-0005-0000-0000-0000EE200000}"/>
    <cellStyle name="Check Cell 2 2" xfId="28528" xr:uid="{00000000-0005-0000-0000-0000EF200000}"/>
    <cellStyle name="Check Cell 3" xfId="28595" xr:uid="{00000000-0005-0000-0000-0000F0200000}"/>
    <cellStyle name="Check Cell 4" xfId="28429" xr:uid="{00000000-0005-0000-0000-0000F1200000}"/>
    <cellStyle name="Check Cell 5" xfId="28934" xr:uid="{00000000-0005-0000-0000-0000F2200000}"/>
    <cellStyle name="Clive" xfId="28596" xr:uid="{00000000-0005-0000-0000-0000F3200000}"/>
    <cellStyle name="clsAltData" xfId="28430" xr:uid="{00000000-0005-0000-0000-0000F4200000}"/>
    <cellStyle name="clsAltMRVData" xfId="28431" xr:uid="{00000000-0005-0000-0000-0000F5200000}"/>
    <cellStyle name="clsBlank" xfId="28432" xr:uid="{00000000-0005-0000-0000-0000F6200000}"/>
    <cellStyle name="clsColumnHeader" xfId="28433" xr:uid="{00000000-0005-0000-0000-0000F7200000}"/>
    <cellStyle name="clsData" xfId="28434" xr:uid="{00000000-0005-0000-0000-0000F8200000}"/>
    <cellStyle name="clsDefault" xfId="28435" xr:uid="{00000000-0005-0000-0000-0000F9200000}"/>
    <cellStyle name="clsFooter" xfId="28436" xr:uid="{00000000-0005-0000-0000-0000FA200000}"/>
    <cellStyle name="clsIndexTableData" xfId="28597" xr:uid="{00000000-0005-0000-0000-0000FB200000}"/>
    <cellStyle name="clsIndexTableHdr" xfId="28598" xr:uid="{00000000-0005-0000-0000-0000FC200000}"/>
    <cellStyle name="clsIndexTableTitle" xfId="28437" xr:uid="{00000000-0005-0000-0000-0000FD200000}"/>
    <cellStyle name="clsMRVData" xfId="28438" xr:uid="{00000000-0005-0000-0000-0000FE200000}"/>
    <cellStyle name="clsReportFooter" xfId="28439" xr:uid="{00000000-0005-0000-0000-0000FF200000}"/>
    <cellStyle name="clsReportHeader" xfId="28440" xr:uid="{00000000-0005-0000-0000-000000210000}"/>
    <cellStyle name="clsRowHeader" xfId="28441" xr:uid="{00000000-0005-0000-0000-000001210000}"/>
    <cellStyle name="clsScale" xfId="28442" xr:uid="{00000000-0005-0000-0000-000002210000}"/>
    <cellStyle name="clsSection" xfId="28443" xr:uid="{00000000-0005-0000-0000-000003210000}"/>
    <cellStyle name="Comma" xfId="1" builtinId="3"/>
    <cellStyle name="Comma 10" xfId="1115" xr:uid="{00000000-0005-0000-0000-000005210000}"/>
    <cellStyle name="Comma 10 10" xfId="10714" xr:uid="{00000000-0005-0000-0000-000006210000}"/>
    <cellStyle name="Comma 10 11" xfId="20038" xr:uid="{00000000-0005-0000-0000-000007210000}"/>
    <cellStyle name="Comma 10 2" xfId="1171" xr:uid="{00000000-0005-0000-0000-000008210000}"/>
    <cellStyle name="Comma 10 2 2" xfId="1172" xr:uid="{00000000-0005-0000-0000-000009210000}"/>
    <cellStyle name="Comma 10 2 2 2" xfId="2983" xr:uid="{00000000-0005-0000-0000-00000A210000}"/>
    <cellStyle name="Comma 10 2 2 2 2" xfId="7662" xr:uid="{00000000-0005-0000-0000-00000B210000}"/>
    <cellStyle name="Comma 10 2 2 2 2 2" xfId="16986" xr:uid="{00000000-0005-0000-0000-00000C210000}"/>
    <cellStyle name="Comma 10 2 2 2 2 3" xfId="26309" xr:uid="{00000000-0005-0000-0000-00000D210000}"/>
    <cellStyle name="Comma 10 2 2 2 3" xfId="12376" xr:uid="{00000000-0005-0000-0000-00000E210000}"/>
    <cellStyle name="Comma 10 2 2 2 4" xfId="21702" xr:uid="{00000000-0005-0000-0000-00000F210000}"/>
    <cellStyle name="Comma 10 2 2 3" xfId="4636" xr:uid="{00000000-0005-0000-0000-000010210000}"/>
    <cellStyle name="Comma 10 2 2 3 2" xfId="13960" xr:uid="{00000000-0005-0000-0000-000011210000}"/>
    <cellStyle name="Comma 10 2 2 3 3" xfId="23283" xr:uid="{00000000-0005-0000-0000-000012210000}"/>
    <cellStyle name="Comma 10 2 2 4" xfId="10764" xr:uid="{00000000-0005-0000-0000-000013210000}"/>
    <cellStyle name="Comma 10 2 2 5" xfId="20088" xr:uid="{00000000-0005-0000-0000-000014210000}"/>
    <cellStyle name="Comma 10 2 3" xfId="1670" xr:uid="{00000000-0005-0000-0000-000015210000}"/>
    <cellStyle name="Comma 10 2 3 2" xfId="3416" xr:uid="{00000000-0005-0000-0000-000016210000}"/>
    <cellStyle name="Comma 10 2 3 2 2" xfId="8095" xr:uid="{00000000-0005-0000-0000-000017210000}"/>
    <cellStyle name="Comma 10 2 3 2 2 2" xfId="17419" xr:uid="{00000000-0005-0000-0000-000018210000}"/>
    <cellStyle name="Comma 10 2 3 2 2 3" xfId="26742" xr:uid="{00000000-0005-0000-0000-000019210000}"/>
    <cellStyle name="Comma 10 2 3 3" xfId="6454" xr:uid="{00000000-0005-0000-0000-00001A210000}"/>
    <cellStyle name="Comma 10 2 3 3 2" xfId="15778" xr:uid="{00000000-0005-0000-0000-00001B210000}"/>
    <cellStyle name="Comma 10 2 3 3 3" xfId="25101" xr:uid="{00000000-0005-0000-0000-00001C210000}"/>
    <cellStyle name="Comma 10 2 3 4" xfId="11197" xr:uid="{00000000-0005-0000-0000-00001D210000}"/>
    <cellStyle name="Comma 10 2 3 5" xfId="20521" xr:uid="{00000000-0005-0000-0000-00001E210000}"/>
    <cellStyle name="Comma 10 2 4" xfId="2982" xr:uid="{00000000-0005-0000-0000-00001F210000}"/>
    <cellStyle name="Comma 10 2 4 2" xfId="7661" xr:uid="{00000000-0005-0000-0000-000020210000}"/>
    <cellStyle name="Comma 10 2 4 2 2" xfId="16985" xr:uid="{00000000-0005-0000-0000-000021210000}"/>
    <cellStyle name="Comma 10 2 4 2 3" xfId="26308" xr:uid="{00000000-0005-0000-0000-000022210000}"/>
    <cellStyle name="Comma 10 2 4 3" xfId="12375" xr:uid="{00000000-0005-0000-0000-000023210000}"/>
    <cellStyle name="Comma 10 2 4 4" xfId="21701" xr:uid="{00000000-0005-0000-0000-000024210000}"/>
    <cellStyle name="Comma 10 2 5" xfId="4635" xr:uid="{00000000-0005-0000-0000-000025210000}"/>
    <cellStyle name="Comma 10 2 5 2" xfId="13959" xr:uid="{00000000-0005-0000-0000-000026210000}"/>
    <cellStyle name="Comma 10 2 5 3" xfId="23282" xr:uid="{00000000-0005-0000-0000-000027210000}"/>
    <cellStyle name="Comma 10 2 6" xfId="10763" xr:uid="{00000000-0005-0000-0000-000028210000}"/>
    <cellStyle name="Comma 10 2 7" xfId="20087" xr:uid="{00000000-0005-0000-0000-000029210000}"/>
    <cellStyle name="Comma 10 3" xfId="1173" xr:uid="{00000000-0005-0000-0000-00002A210000}"/>
    <cellStyle name="Comma 10 3 2" xfId="2984" xr:uid="{00000000-0005-0000-0000-00002B210000}"/>
    <cellStyle name="Comma 10 3 2 2" xfId="7663" xr:uid="{00000000-0005-0000-0000-00002C210000}"/>
    <cellStyle name="Comma 10 3 2 2 2" xfId="16987" xr:uid="{00000000-0005-0000-0000-00002D210000}"/>
    <cellStyle name="Comma 10 3 2 2 3" xfId="26310" xr:uid="{00000000-0005-0000-0000-00002E210000}"/>
    <cellStyle name="Comma 10 3 2 3" xfId="12377" xr:uid="{00000000-0005-0000-0000-00002F210000}"/>
    <cellStyle name="Comma 10 3 2 4" xfId="21703" xr:uid="{00000000-0005-0000-0000-000030210000}"/>
    <cellStyle name="Comma 10 3 3" xfId="4637" xr:uid="{00000000-0005-0000-0000-000031210000}"/>
    <cellStyle name="Comma 10 3 3 2" xfId="13961" xr:uid="{00000000-0005-0000-0000-000032210000}"/>
    <cellStyle name="Comma 10 3 3 3" xfId="23284" xr:uid="{00000000-0005-0000-0000-000033210000}"/>
    <cellStyle name="Comma 10 3 4" xfId="10765" xr:uid="{00000000-0005-0000-0000-000034210000}"/>
    <cellStyle name="Comma 10 3 5" xfId="20089" xr:uid="{00000000-0005-0000-0000-000035210000}"/>
    <cellStyle name="Comma 10 4" xfId="1669" xr:uid="{00000000-0005-0000-0000-000036210000}"/>
    <cellStyle name="Comma 10 4 2" xfId="3415" xr:uid="{00000000-0005-0000-0000-000037210000}"/>
    <cellStyle name="Comma 10 4 2 2" xfId="8094" xr:uid="{00000000-0005-0000-0000-000038210000}"/>
    <cellStyle name="Comma 10 4 2 2 2" xfId="17418" xr:uid="{00000000-0005-0000-0000-000039210000}"/>
    <cellStyle name="Comma 10 4 2 2 3" xfId="26741" xr:uid="{00000000-0005-0000-0000-00003A210000}"/>
    <cellStyle name="Comma 10 4 3" xfId="6455" xr:uid="{00000000-0005-0000-0000-00003B210000}"/>
    <cellStyle name="Comma 10 4 3 2" xfId="15779" xr:uid="{00000000-0005-0000-0000-00003C210000}"/>
    <cellStyle name="Comma 10 4 3 3" xfId="25102" xr:uid="{00000000-0005-0000-0000-00003D210000}"/>
    <cellStyle name="Comma 10 4 4" xfId="11196" xr:uid="{00000000-0005-0000-0000-00003E210000}"/>
    <cellStyle name="Comma 10 4 5" xfId="20520" xr:uid="{00000000-0005-0000-0000-00003F210000}"/>
    <cellStyle name="Comma 10 5" xfId="2890" xr:uid="{00000000-0005-0000-0000-000040210000}"/>
    <cellStyle name="Comma 10 5 2" xfId="4538" xr:uid="{00000000-0005-0000-0000-000041210000}"/>
    <cellStyle name="Comma 10 5 2 2" xfId="9215" xr:uid="{00000000-0005-0000-0000-000042210000}"/>
    <cellStyle name="Comma 10 5 2 2 2" xfId="18539" xr:uid="{00000000-0005-0000-0000-000043210000}"/>
    <cellStyle name="Comma 10 5 2 2 3" xfId="27862" xr:uid="{00000000-0005-0000-0000-000044210000}"/>
    <cellStyle name="Comma 10 5 3" xfId="7596" xr:uid="{00000000-0005-0000-0000-000045210000}"/>
    <cellStyle name="Comma 10 5 3 2" xfId="16920" xr:uid="{00000000-0005-0000-0000-000046210000}"/>
    <cellStyle name="Comma 10 5 3 3" xfId="26243" xr:uid="{00000000-0005-0000-0000-000047210000}"/>
    <cellStyle name="Comma 10 5 4" xfId="12316" xr:uid="{00000000-0005-0000-0000-000048210000}"/>
    <cellStyle name="Comma 10 5 5" xfId="21642" xr:uid="{00000000-0005-0000-0000-000049210000}"/>
    <cellStyle name="Comma 10 6" xfId="1170" xr:uid="{00000000-0005-0000-0000-00004A210000}"/>
    <cellStyle name="Comma 10 6 2" xfId="6693" xr:uid="{00000000-0005-0000-0000-00004B210000}"/>
    <cellStyle name="Comma 10 6 2 2" xfId="16017" xr:uid="{00000000-0005-0000-0000-00004C210000}"/>
    <cellStyle name="Comma 10 6 2 3" xfId="25340" xr:uid="{00000000-0005-0000-0000-00004D210000}"/>
    <cellStyle name="Comma 10 6 3" xfId="10762" xr:uid="{00000000-0005-0000-0000-00004E210000}"/>
    <cellStyle name="Comma 10 6 4" xfId="20086" xr:uid="{00000000-0005-0000-0000-00004F210000}"/>
    <cellStyle name="Comma 10 7" xfId="2981" xr:uid="{00000000-0005-0000-0000-000050210000}"/>
    <cellStyle name="Comma 10 7 2" xfId="7660" xr:uid="{00000000-0005-0000-0000-000051210000}"/>
    <cellStyle name="Comma 10 7 2 2" xfId="16984" xr:uid="{00000000-0005-0000-0000-000052210000}"/>
    <cellStyle name="Comma 10 7 2 3" xfId="26307" xr:uid="{00000000-0005-0000-0000-000053210000}"/>
    <cellStyle name="Comma 10 7 3" xfId="12374" xr:uid="{00000000-0005-0000-0000-000054210000}"/>
    <cellStyle name="Comma 10 7 4" xfId="21700" xr:uid="{00000000-0005-0000-0000-000055210000}"/>
    <cellStyle name="Comma 10 8" xfId="4634" xr:uid="{00000000-0005-0000-0000-000056210000}"/>
    <cellStyle name="Comma 10 8 2" xfId="13958" xr:uid="{00000000-0005-0000-0000-000057210000}"/>
    <cellStyle name="Comma 10 8 3" xfId="23281" xr:uid="{00000000-0005-0000-0000-000058210000}"/>
    <cellStyle name="Comma 10 9" xfId="6324" xr:uid="{00000000-0005-0000-0000-000059210000}"/>
    <cellStyle name="Comma 10 9 2" xfId="15648" xr:uid="{00000000-0005-0000-0000-00005A210000}"/>
    <cellStyle name="Comma 10 9 3" xfId="24971" xr:uid="{00000000-0005-0000-0000-00005B210000}"/>
    <cellStyle name="Comma 11" xfId="1117" xr:uid="{00000000-0005-0000-0000-00005C210000}"/>
    <cellStyle name="Comma 11 10" xfId="6718" xr:uid="{00000000-0005-0000-0000-00005D210000}"/>
    <cellStyle name="Comma 11 10 2" xfId="16042" xr:uid="{00000000-0005-0000-0000-00005E210000}"/>
    <cellStyle name="Comma 11 10 3" xfId="25365" xr:uid="{00000000-0005-0000-0000-00005F210000}"/>
    <cellStyle name="Comma 11 11" xfId="10716" xr:uid="{00000000-0005-0000-0000-000060210000}"/>
    <cellStyle name="Comma 11 12" xfId="20040" xr:uid="{00000000-0005-0000-0000-000061210000}"/>
    <cellStyle name="Comma 11 2" xfId="1175" xr:uid="{00000000-0005-0000-0000-000062210000}"/>
    <cellStyle name="Comma 11 2 10" xfId="20091" xr:uid="{00000000-0005-0000-0000-000063210000}"/>
    <cellStyle name="Comma 11 2 11" xfId="28819" xr:uid="{00000000-0005-0000-0000-000064210000}"/>
    <cellStyle name="Comma 11 2 2" xfId="1176" xr:uid="{00000000-0005-0000-0000-000065210000}"/>
    <cellStyle name="Comma 11 2 2 2" xfId="1673" xr:uid="{00000000-0005-0000-0000-000066210000}"/>
    <cellStyle name="Comma 11 2 2 2 2" xfId="1674" xr:uid="{00000000-0005-0000-0000-000067210000}"/>
    <cellStyle name="Comma 11 2 2 2 2 2" xfId="3420" xr:uid="{00000000-0005-0000-0000-000068210000}"/>
    <cellStyle name="Comma 11 2 2 2 2 2 2" xfId="8099" xr:uid="{00000000-0005-0000-0000-000069210000}"/>
    <cellStyle name="Comma 11 2 2 2 2 2 2 2" xfId="17423" xr:uid="{00000000-0005-0000-0000-00006A210000}"/>
    <cellStyle name="Comma 11 2 2 2 2 2 2 3" xfId="26746" xr:uid="{00000000-0005-0000-0000-00006B210000}"/>
    <cellStyle name="Comma 11 2 2 2 2 2 3" xfId="12804" xr:uid="{00000000-0005-0000-0000-00006C210000}"/>
    <cellStyle name="Comma 11 2 2 2 2 2 4" xfId="22130" xr:uid="{00000000-0005-0000-0000-00006D210000}"/>
    <cellStyle name="Comma 11 2 2 2 2 3" xfId="5122" xr:uid="{00000000-0005-0000-0000-00006E210000}"/>
    <cellStyle name="Comma 11 2 2 2 2 3 2" xfId="14446" xr:uid="{00000000-0005-0000-0000-00006F210000}"/>
    <cellStyle name="Comma 11 2 2 2 2 3 3" xfId="23769" xr:uid="{00000000-0005-0000-0000-000070210000}"/>
    <cellStyle name="Comma 11 2 2 2 2 4" xfId="6451" xr:uid="{00000000-0005-0000-0000-000071210000}"/>
    <cellStyle name="Comma 11 2 2 2 2 4 2" xfId="15775" xr:uid="{00000000-0005-0000-0000-000072210000}"/>
    <cellStyle name="Comma 11 2 2 2 2 4 3" xfId="25098" xr:uid="{00000000-0005-0000-0000-000073210000}"/>
    <cellStyle name="Comma 11 2 2 2 2 5" xfId="11201" xr:uid="{00000000-0005-0000-0000-000074210000}"/>
    <cellStyle name="Comma 11 2 2 2 2 6" xfId="20525" xr:uid="{00000000-0005-0000-0000-000075210000}"/>
    <cellStyle name="Comma 11 2 2 2 3" xfId="3419" xr:uid="{00000000-0005-0000-0000-000076210000}"/>
    <cellStyle name="Comma 11 2 2 2 3 2" xfId="8098" xr:uid="{00000000-0005-0000-0000-000077210000}"/>
    <cellStyle name="Comma 11 2 2 2 3 2 2" xfId="17422" xr:uid="{00000000-0005-0000-0000-000078210000}"/>
    <cellStyle name="Comma 11 2 2 2 3 2 3" xfId="26745" xr:uid="{00000000-0005-0000-0000-000079210000}"/>
    <cellStyle name="Comma 11 2 2 2 3 3" xfId="12803" xr:uid="{00000000-0005-0000-0000-00007A210000}"/>
    <cellStyle name="Comma 11 2 2 2 3 4" xfId="22129" xr:uid="{00000000-0005-0000-0000-00007B210000}"/>
    <cellStyle name="Comma 11 2 2 2 4" xfId="5121" xr:uid="{00000000-0005-0000-0000-00007C210000}"/>
    <cellStyle name="Comma 11 2 2 2 4 2" xfId="14445" xr:uid="{00000000-0005-0000-0000-00007D210000}"/>
    <cellStyle name="Comma 11 2 2 2 4 3" xfId="23768" xr:uid="{00000000-0005-0000-0000-00007E210000}"/>
    <cellStyle name="Comma 11 2 2 2 5" xfId="6452" xr:uid="{00000000-0005-0000-0000-00007F210000}"/>
    <cellStyle name="Comma 11 2 2 2 5 2" xfId="15776" xr:uid="{00000000-0005-0000-0000-000080210000}"/>
    <cellStyle name="Comma 11 2 2 2 5 3" xfId="25099" xr:uid="{00000000-0005-0000-0000-000081210000}"/>
    <cellStyle name="Comma 11 2 2 2 6" xfId="11200" xr:uid="{00000000-0005-0000-0000-000082210000}"/>
    <cellStyle name="Comma 11 2 2 2 7" xfId="20524" xr:uid="{00000000-0005-0000-0000-000083210000}"/>
    <cellStyle name="Comma 11 2 2 3" xfId="1675" xr:uid="{00000000-0005-0000-0000-000084210000}"/>
    <cellStyle name="Comma 11 2 2 3 2" xfId="3421" xr:uid="{00000000-0005-0000-0000-000085210000}"/>
    <cellStyle name="Comma 11 2 2 3 2 2" xfId="8100" xr:uid="{00000000-0005-0000-0000-000086210000}"/>
    <cellStyle name="Comma 11 2 2 3 2 2 2" xfId="17424" xr:uid="{00000000-0005-0000-0000-000087210000}"/>
    <cellStyle name="Comma 11 2 2 3 2 2 3" xfId="26747" xr:uid="{00000000-0005-0000-0000-000088210000}"/>
    <cellStyle name="Comma 11 2 2 3 2 3" xfId="12805" xr:uid="{00000000-0005-0000-0000-000089210000}"/>
    <cellStyle name="Comma 11 2 2 3 2 4" xfId="22131" xr:uid="{00000000-0005-0000-0000-00008A210000}"/>
    <cellStyle name="Comma 11 2 2 3 3" xfId="5123" xr:uid="{00000000-0005-0000-0000-00008B210000}"/>
    <cellStyle name="Comma 11 2 2 3 3 2" xfId="14447" xr:uid="{00000000-0005-0000-0000-00008C210000}"/>
    <cellStyle name="Comma 11 2 2 3 3 3" xfId="23770" xr:uid="{00000000-0005-0000-0000-00008D210000}"/>
    <cellStyle name="Comma 11 2 2 3 4" xfId="6450" xr:uid="{00000000-0005-0000-0000-00008E210000}"/>
    <cellStyle name="Comma 11 2 2 3 4 2" xfId="15774" xr:uid="{00000000-0005-0000-0000-00008F210000}"/>
    <cellStyle name="Comma 11 2 2 3 4 3" xfId="25097" xr:uid="{00000000-0005-0000-0000-000090210000}"/>
    <cellStyle name="Comma 11 2 2 3 5" xfId="11202" xr:uid="{00000000-0005-0000-0000-000091210000}"/>
    <cellStyle name="Comma 11 2 2 3 6" xfId="20526" xr:uid="{00000000-0005-0000-0000-000092210000}"/>
    <cellStyle name="Comma 11 2 2 4" xfId="1676" xr:uid="{00000000-0005-0000-0000-000093210000}"/>
    <cellStyle name="Comma 11 2 2 4 2" xfId="3422" xr:uid="{00000000-0005-0000-0000-000094210000}"/>
    <cellStyle name="Comma 11 2 2 4 2 2" xfId="8101" xr:uid="{00000000-0005-0000-0000-000095210000}"/>
    <cellStyle name="Comma 11 2 2 4 2 2 2" xfId="17425" xr:uid="{00000000-0005-0000-0000-000096210000}"/>
    <cellStyle name="Comma 11 2 2 4 2 2 3" xfId="26748" xr:uid="{00000000-0005-0000-0000-000097210000}"/>
    <cellStyle name="Comma 11 2 2 4 2 3" xfId="12806" xr:uid="{00000000-0005-0000-0000-000098210000}"/>
    <cellStyle name="Comma 11 2 2 4 2 4" xfId="22132" xr:uid="{00000000-0005-0000-0000-000099210000}"/>
    <cellStyle name="Comma 11 2 2 4 3" xfId="5124" xr:uid="{00000000-0005-0000-0000-00009A210000}"/>
    <cellStyle name="Comma 11 2 2 4 3 2" xfId="14448" xr:uid="{00000000-0005-0000-0000-00009B210000}"/>
    <cellStyle name="Comma 11 2 2 4 3 3" xfId="23771" xr:uid="{00000000-0005-0000-0000-00009C210000}"/>
    <cellStyle name="Comma 11 2 2 4 4" xfId="4792" xr:uid="{00000000-0005-0000-0000-00009D210000}"/>
    <cellStyle name="Comma 11 2 2 4 4 2" xfId="14116" xr:uid="{00000000-0005-0000-0000-00009E210000}"/>
    <cellStyle name="Comma 11 2 2 4 4 3" xfId="23439" xr:uid="{00000000-0005-0000-0000-00009F210000}"/>
    <cellStyle name="Comma 11 2 2 4 5" xfId="11203" xr:uid="{00000000-0005-0000-0000-0000A0210000}"/>
    <cellStyle name="Comma 11 2 2 4 6" xfId="20527" xr:uid="{00000000-0005-0000-0000-0000A1210000}"/>
    <cellStyle name="Comma 11 2 2 5" xfId="1672" xr:uid="{00000000-0005-0000-0000-0000A2210000}"/>
    <cellStyle name="Comma 11 2 2 5 2" xfId="3418" xr:uid="{00000000-0005-0000-0000-0000A3210000}"/>
    <cellStyle name="Comma 11 2 2 5 2 2" xfId="8097" xr:uid="{00000000-0005-0000-0000-0000A4210000}"/>
    <cellStyle name="Comma 11 2 2 5 2 2 2" xfId="17421" xr:uid="{00000000-0005-0000-0000-0000A5210000}"/>
    <cellStyle name="Comma 11 2 2 5 2 2 3" xfId="26744" xr:uid="{00000000-0005-0000-0000-0000A6210000}"/>
    <cellStyle name="Comma 11 2 2 5 2 3" xfId="12802" xr:uid="{00000000-0005-0000-0000-0000A7210000}"/>
    <cellStyle name="Comma 11 2 2 5 2 4" xfId="22128" xr:uid="{00000000-0005-0000-0000-0000A8210000}"/>
    <cellStyle name="Comma 11 2 2 5 3" xfId="5120" xr:uid="{00000000-0005-0000-0000-0000A9210000}"/>
    <cellStyle name="Comma 11 2 2 5 3 2" xfId="14444" xr:uid="{00000000-0005-0000-0000-0000AA210000}"/>
    <cellStyle name="Comma 11 2 2 5 3 3" xfId="23767" xr:uid="{00000000-0005-0000-0000-0000AB210000}"/>
    <cellStyle name="Comma 11 2 2 5 4" xfId="6449" xr:uid="{00000000-0005-0000-0000-0000AC210000}"/>
    <cellStyle name="Comma 11 2 2 5 4 2" xfId="15773" xr:uid="{00000000-0005-0000-0000-0000AD210000}"/>
    <cellStyle name="Comma 11 2 2 5 4 3" xfId="25096" xr:uid="{00000000-0005-0000-0000-0000AE210000}"/>
    <cellStyle name="Comma 11 2 2 5 5" xfId="11199" xr:uid="{00000000-0005-0000-0000-0000AF210000}"/>
    <cellStyle name="Comma 11 2 2 5 6" xfId="20523" xr:uid="{00000000-0005-0000-0000-0000B0210000}"/>
    <cellStyle name="Comma 11 2 2 6" xfId="2987" xr:uid="{00000000-0005-0000-0000-0000B1210000}"/>
    <cellStyle name="Comma 11 2 2 6 2" xfId="7666" xr:uid="{00000000-0005-0000-0000-0000B2210000}"/>
    <cellStyle name="Comma 11 2 2 6 2 2" xfId="16990" xr:uid="{00000000-0005-0000-0000-0000B3210000}"/>
    <cellStyle name="Comma 11 2 2 6 2 3" xfId="26313" xr:uid="{00000000-0005-0000-0000-0000B4210000}"/>
    <cellStyle name="Comma 11 2 2 6 3" xfId="12380" xr:uid="{00000000-0005-0000-0000-0000B5210000}"/>
    <cellStyle name="Comma 11 2 2 6 4" xfId="21706" xr:uid="{00000000-0005-0000-0000-0000B6210000}"/>
    <cellStyle name="Comma 11 2 2 7" xfId="4640" xr:uid="{00000000-0005-0000-0000-0000B7210000}"/>
    <cellStyle name="Comma 11 2 2 7 2" xfId="13964" xr:uid="{00000000-0005-0000-0000-0000B8210000}"/>
    <cellStyle name="Comma 11 2 2 7 3" xfId="23287" xr:uid="{00000000-0005-0000-0000-0000B9210000}"/>
    <cellStyle name="Comma 11 2 2 8" xfId="10768" xr:uid="{00000000-0005-0000-0000-0000BA210000}"/>
    <cellStyle name="Comma 11 2 2 9" xfId="20092" xr:uid="{00000000-0005-0000-0000-0000BB210000}"/>
    <cellStyle name="Comma 11 2 3" xfId="1677" xr:uid="{00000000-0005-0000-0000-0000BC210000}"/>
    <cellStyle name="Comma 11 2 3 2" xfId="1678" xr:uid="{00000000-0005-0000-0000-0000BD210000}"/>
    <cellStyle name="Comma 11 2 3 2 2" xfId="3424" xr:uid="{00000000-0005-0000-0000-0000BE210000}"/>
    <cellStyle name="Comma 11 2 3 2 2 2" xfId="8103" xr:uid="{00000000-0005-0000-0000-0000BF210000}"/>
    <cellStyle name="Comma 11 2 3 2 2 2 2" xfId="17427" xr:uid="{00000000-0005-0000-0000-0000C0210000}"/>
    <cellStyle name="Comma 11 2 3 2 2 2 3" xfId="26750" xr:uid="{00000000-0005-0000-0000-0000C1210000}"/>
    <cellStyle name="Comma 11 2 3 2 2 3" xfId="12808" xr:uid="{00000000-0005-0000-0000-0000C2210000}"/>
    <cellStyle name="Comma 11 2 3 2 2 4" xfId="22134" xr:uid="{00000000-0005-0000-0000-0000C3210000}"/>
    <cellStyle name="Comma 11 2 3 2 3" xfId="5126" xr:uid="{00000000-0005-0000-0000-0000C4210000}"/>
    <cellStyle name="Comma 11 2 3 2 3 2" xfId="14450" xr:uid="{00000000-0005-0000-0000-0000C5210000}"/>
    <cellStyle name="Comma 11 2 3 2 3 3" xfId="23773" xr:uid="{00000000-0005-0000-0000-0000C6210000}"/>
    <cellStyle name="Comma 11 2 3 2 4" xfId="6448" xr:uid="{00000000-0005-0000-0000-0000C7210000}"/>
    <cellStyle name="Comma 11 2 3 2 4 2" xfId="15772" xr:uid="{00000000-0005-0000-0000-0000C8210000}"/>
    <cellStyle name="Comma 11 2 3 2 4 3" xfId="25095" xr:uid="{00000000-0005-0000-0000-0000C9210000}"/>
    <cellStyle name="Comma 11 2 3 2 5" xfId="11205" xr:uid="{00000000-0005-0000-0000-0000CA210000}"/>
    <cellStyle name="Comma 11 2 3 2 6" xfId="20529" xr:uid="{00000000-0005-0000-0000-0000CB210000}"/>
    <cellStyle name="Comma 11 2 3 3" xfId="3423" xr:uid="{00000000-0005-0000-0000-0000CC210000}"/>
    <cellStyle name="Comma 11 2 3 3 2" xfId="8102" xr:uid="{00000000-0005-0000-0000-0000CD210000}"/>
    <cellStyle name="Comma 11 2 3 3 2 2" xfId="17426" xr:uid="{00000000-0005-0000-0000-0000CE210000}"/>
    <cellStyle name="Comma 11 2 3 3 2 3" xfId="26749" xr:uid="{00000000-0005-0000-0000-0000CF210000}"/>
    <cellStyle name="Comma 11 2 3 3 3" xfId="12807" xr:uid="{00000000-0005-0000-0000-0000D0210000}"/>
    <cellStyle name="Comma 11 2 3 3 4" xfId="22133" xr:uid="{00000000-0005-0000-0000-0000D1210000}"/>
    <cellStyle name="Comma 11 2 3 4" xfId="5125" xr:uid="{00000000-0005-0000-0000-0000D2210000}"/>
    <cellStyle name="Comma 11 2 3 4 2" xfId="14449" xr:uid="{00000000-0005-0000-0000-0000D3210000}"/>
    <cellStyle name="Comma 11 2 3 4 3" xfId="23772" xr:uid="{00000000-0005-0000-0000-0000D4210000}"/>
    <cellStyle name="Comma 11 2 3 5" xfId="6332" xr:uid="{00000000-0005-0000-0000-0000D5210000}"/>
    <cellStyle name="Comma 11 2 3 5 2" xfId="15656" xr:uid="{00000000-0005-0000-0000-0000D6210000}"/>
    <cellStyle name="Comma 11 2 3 5 3" xfId="24979" xr:uid="{00000000-0005-0000-0000-0000D7210000}"/>
    <cellStyle name="Comma 11 2 3 6" xfId="11204" xr:uid="{00000000-0005-0000-0000-0000D8210000}"/>
    <cellStyle name="Comma 11 2 3 7" xfId="20528" xr:uid="{00000000-0005-0000-0000-0000D9210000}"/>
    <cellStyle name="Comma 11 2 4" xfId="1679" xr:uid="{00000000-0005-0000-0000-0000DA210000}"/>
    <cellStyle name="Comma 11 2 4 2" xfId="3425" xr:uid="{00000000-0005-0000-0000-0000DB210000}"/>
    <cellStyle name="Comma 11 2 4 2 2" xfId="8104" xr:uid="{00000000-0005-0000-0000-0000DC210000}"/>
    <cellStyle name="Comma 11 2 4 2 2 2" xfId="17428" xr:uid="{00000000-0005-0000-0000-0000DD210000}"/>
    <cellStyle name="Comma 11 2 4 2 2 3" xfId="26751" xr:uid="{00000000-0005-0000-0000-0000DE210000}"/>
    <cellStyle name="Comma 11 2 4 2 3" xfId="12809" xr:uid="{00000000-0005-0000-0000-0000DF210000}"/>
    <cellStyle name="Comma 11 2 4 2 4" xfId="22135" xr:uid="{00000000-0005-0000-0000-0000E0210000}"/>
    <cellStyle name="Comma 11 2 4 3" xfId="5127" xr:uid="{00000000-0005-0000-0000-0000E1210000}"/>
    <cellStyle name="Comma 11 2 4 3 2" xfId="14451" xr:uid="{00000000-0005-0000-0000-0000E2210000}"/>
    <cellStyle name="Comma 11 2 4 3 3" xfId="23774" xr:uid="{00000000-0005-0000-0000-0000E3210000}"/>
    <cellStyle name="Comma 11 2 4 4" xfId="6447" xr:uid="{00000000-0005-0000-0000-0000E4210000}"/>
    <cellStyle name="Comma 11 2 4 4 2" xfId="15771" xr:uid="{00000000-0005-0000-0000-0000E5210000}"/>
    <cellStyle name="Comma 11 2 4 4 3" xfId="25094" xr:uid="{00000000-0005-0000-0000-0000E6210000}"/>
    <cellStyle name="Comma 11 2 4 5" xfId="11206" xr:uid="{00000000-0005-0000-0000-0000E7210000}"/>
    <cellStyle name="Comma 11 2 4 6" xfId="20530" xr:uid="{00000000-0005-0000-0000-0000E8210000}"/>
    <cellStyle name="Comma 11 2 5" xfId="1680" xr:uid="{00000000-0005-0000-0000-0000E9210000}"/>
    <cellStyle name="Comma 11 2 5 2" xfId="3426" xr:uid="{00000000-0005-0000-0000-0000EA210000}"/>
    <cellStyle name="Comma 11 2 5 2 2" xfId="8105" xr:uid="{00000000-0005-0000-0000-0000EB210000}"/>
    <cellStyle name="Comma 11 2 5 2 2 2" xfId="17429" xr:uid="{00000000-0005-0000-0000-0000EC210000}"/>
    <cellStyle name="Comma 11 2 5 2 2 3" xfId="26752" xr:uid="{00000000-0005-0000-0000-0000ED210000}"/>
    <cellStyle name="Comma 11 2 5 2 3" xfId="12810" xr:uid="{00000000-0005-0000-0000-0000EE210000}"/>
    <cellStyle name="Comma 11 2 5 2 4" xfId="22136" xr:uid="{00000000-0005-0000-0000-0000EF210000}"/>
    <cellStyle name="Comma 11 2 5 3" xfId="5128" xr:uid="{00000000-0005-0000-0000-0000F0210000}"/>
    <cellStyle name="Comma 11 2 5 3 2" xfId="14452" xr:uid="{00000000-0005-0000-0000-0000F1210000}"/>
    <cellStyle name="Comma 11 2 5 3 3" xfId="23775" xr:uid="{00000000-0005-0000-0000-0000F2210000}"/>
    <cellStyle name="Comma 11 2 5 4" xfId="6446" xr:uid="{00000000-0005-0000-0000-0000F3210000}"/>
    <cellStyle name="Comma 11 2 5 4 2" xfId="15770" xr:uid="{00000000-0005-0000-0000-0000F4210000}"/>
    <cellStyle name="Comma 11 2 5 4 3" xfId="25093" xr:uid="{00000000-0005-0000-0000-0000F5210000}"/>
    <cellStyle name="Comma 11 2 5 5" xfId="11207" xr:uid="{00000000-0005-0000-0000-0000F6210000}"/>
    <cellStyle name="Comma 11 2 5 6" xfId="20531" xr:uid="{00000000-0005-0000-0000-0000F7210000}"/>
    <cellStyle name="Comma 11 2 6" xfId="1671" xr:uid="{00000000-0005-0000-0000-0000F8210000}"/>
    <cellStyle name="Comma 11 2 6 2" xfId="3417" xr:uid="{00000000-0005-0000-0000-0000F9210000}"/>
    <cellStyle name="Comma 11 2 6 2 2" xfId="8096" xr:uid="{00000000-0005-0000-0000-0000FA210000}"/>
    <cellStyle name="Comma 11 2 6 2 2 2" xfId="17420" xr:uid="{00000000-0005-0000-0000-0000FB210000}"/>
    <cellStyle name="Comma 11 2 6 2 2 3" xfId="26743" xr:uid="{00000000-0005-0000-0000-0000FC210000}"/>
    <cellStyle name="Comma 11 2 6 2 3" xfId="12801" xr:uid="{00000000-0005-0000-0000-0000FD210000}"/>
    <cellStyle name="Comma 11 2 6 2 4" xfId="22127" xr:uid="{00000000-0005-0000-0000-0000FE210000}"/>
    <cellStyle name="Comma 11 2 6 3" xfId="5119" xr:uid="{00000000-0005-0000-0000-0000FF210000}"/>
    <cellStyle name="Comma 11 2 6 3 2" xfId="14443" xr:uid="{00000000-0005-0000-0000-000000220000}"/>
    <cellStyle name="Comma 11 2 6 3 3" xfId="23766" xr:uid="{00000000-0005-0000-0000-000001220000}"/>
    <cellStyle name="Comma 11 2 6 4" xfId="6453" xr:uid="{00000000-0005-0000-0000-000002220000}"/>
    <cellStyle name="Comma 11 2 6 4 2" xfId="15777" xr:uid="{00000000-0005-0000-0000-000003220000}"/>
    <cellStyle name="Comma 11 2 6 4 3" xfId="25100" xr:uid="{00000000-0005-0000-0000-000004220000}"/>
    <cellStyle name="Comma 11 2 6 5" xfId="11198" xr:uid="{00000000-0005-0000-0000-000005220000}"/>
    <cellStyle name="Comma 11 2 6 6" xfId="20522" xr:uid="{00000000-0005-0000-0000-000006220000}"/>
    <cellStyle name="Comma 11 2 7" xfId="2986" xr:uid="{00000000-0005-0000-0000-000007220000}"/>
    <cellStyle name="Comma 11 2 7 2" xfId="7665" xr:uid="{00000000-0005-0000-0000-000008220000}"/>
    <cellStyle name="Comma 11 2 7 2 2" xfId="16989" xr:uid="{00000000-0005-0000-0000-000009220000}"/>
    <cellStyle name="Comma 11 2 7 2 3" xfId="26312" xr:uid="{00000000-0005-0000-0000-00000A220000}"/>
    <cellStyle name="Comma 11 2 7 3" xfId="12379" xr:uid="{00000000-0005-0000-0000-00000B220000}"/>
    <cellStyle name="Comma 11 2 7 4" xfId="21705" xr:uid="{00000000-0005-0000-0000-00000C220000}"/>
    <cellStyle name="Comma 11 2 8" xfId="4639" xr:uid="{00000000-0005-0000-0000-00000D220000}"/>
    <cellStyle name="Comma 11 2 8 2" xfId="13963" xr:uid="{00000000-0005-0000-0000-00000E220000}"/>
    <cellStyle name="Comma 11 2 8 3" xfId="23286" xr:uid="{00000000-0005-0000-0000-00000F220000}"/>
    <cellStyle name="Comma 11 2 9" xfId="10767" xr:uid="{00000000-0005-0000-0000-000010220000}"/>
    <cellStyle name="Comma 11 3" xfId="1177" xr:uid="{00000000-0005-0000-0000-000011220000}"/>
    <cellStyle name="Comma 11 3 2" xfId="1681" xr:uid="{00000000-0005-0000-0000-000012220000}"/>
    <cellStyle name="Comma 11 3 2 2" xfId="3427" xr:uid="{00000000-0005-0000-0000-000013220000}"/>
    <cellStyle name="Comma 11 3 2 2 2" xfId="8106" xr:uid="{00000000-0005-0000-0000-000014220000}"/>
    <cellStyle name="Comma 11 3 2 2 2 2" xfId="17430" xr:uid="{00000000-0005-0000-0000-000015220000}"/>
    <cellStyle name="Comma 11 3 2 2 2 3" xfId="26753" xr:uid="{00000000-0005-0000-0000-000016220000}"/>
    <cellStyle name="Comma 11 3 2 3" xfId="6445" xr:uid="{00000000-0005-0000-0000-000017220000}"/>
    <cellStyle name="Comma 11 3 2 3 2" xfId="15769" xr:uid="{00000000-0005-0000-0000-000018220000}"/>
    <cellStyle name="Comma 11 3 2 3 3" xfId="25092" xr:uid="{00000000-0005-0000-0000-000019220000}"/>
    <cellStyle name="Comma 11 3 2 4" xfId="11208" xr:uid="{00000000-0005-0000-0000-00001A220000}"/>
    <cellStyle name="Comma 11 3 2 5" xfId="20532" xr:uid="{00000000-0005-0000-0000-00001B220000}"/>
    <cellStyle name="Comma 11 3 3" xfId="2988" xr:uid="{00000000-0005-0000-0000-00001C220000}"/>
    <cellStyle name="Comma 11 3 3 2" xfId="7667" xr:uid="{00000000-0005-0000-0000-00001D220000}"/>
    <cellStyle name="Comma 11 3 3 2 2" xfId="16991" xr:uid="{00000000-0005-0000-0000-00001E220000}"/>
    <cellStyle name="Comma 11 3 3 2 3" xfId="26314" xr:uid="{00000000-0005-0000-0000-00001F220000}"/>
    <cellStyle name="Comma 11 3 3 3" xfId="12381" xr:uid="{00000000-0005-0000-0000-000020220000}"/>
    <cellStyle name="Comma 11 3 3 4" xfId="21707" xr:uid="{00000000-0005-0000-0000-000021220000}"/>
    <cellStyle name="Comma 11 3 4" xfId="4641" xr:uid="{00000000-0005-0000-0000-000022220000}"/>
    <cellStyle name="Comma 11 3 4 2" xfId="13965" xr:uid="{00000000-0005-0000-0000-000023220000}"/>
    <cellStyle name="Comma 11 3 4 3" xfId="23288" xr:uid="{00000000-0005-0000-0000-000024220000}"/>
    <cellStyle name="Comma 11 3 5" xfId="10769" xr:uid="{00000000-0005-0000-0000-000025220000}"/>
    <cellStyle name="Comma 11 3 6" xfId="20093" xr:uid="{00000000-0005-0000-0000-000026220000}"/>
    <cellStyle name="Comma 11 4" xfId="1682" xr:uid="{00000000-0005-0000-0000-000027220000}"/>
    <cellStyle name="Comma 11 4 2" xfId="1683" xr:uid="{00000000-0005-0000-0000-000028220000}"/>
    <cellStyle name="Comma 11 4 2 2" xfId="3429" xr:uid="{00000000-0005-0000-0000-000029220000}"/>
    <cellStyle name="Comma 11 4 2 2 2" xfId="8108" xr:uid="{00000000-0005-0000-0000-00002A220000}"/>
    <cellStyle name="Comma 11 4 2 2 2 2" xfId="17432" xr:uid="{00000000-0005-0000-0000-00002B220000}"/>
    <cellStyle name="Comma 11 4 2 2 2 3" xfId="26755" xr:uid="{00000000-0005-0000-0000-00002C220000}"/>
    <cellStyle name="Comma 11 4 2 2 3" xfId="12812" xr:uid="{00000000-0005-0000-0000-00002D220000}"/>
    <cellStyle name="Comma 11 4 2 2 4" xfId="22138" xr:uid="{00000000-0005-0000-0000-00002E220000}"/>
    <cellStyle name="Comma 11 4 2 3" xfId="5130" xr:uid="{00000000-0005-0000-0000-00002F220000}"/>
    <cellStyle name="Comma 11 4 2 3 2" xfId="14454" xr:uid="{00000000-0005-0000-0000-000030220000}"/>
    <cellStyle name="Comma 11 4 2 3 3" xfId="23777" xr:uid="{00000000-0005-0000-0000-000031220000}"/>
    <cellStyle name="Comma 11 4 2 4" xfId="6443" xr:uid="{00000000-0005-0000-0000-000032220000}"/>
    <cellStyle name="Comma 11 4 2 4 2" xfId="15767" xr:uid="{00000000-0005-0000-0000-000033220000}"/>
    <cellStyle name="Comma 11 4 2 4 3" xfId="25090" xr:uid="{00000000-0005-0000-0000-000034220000}"/>
    <cellStyle name="Comma 11 4 2 5" xfId="11210" xr:uid="{00000000-0005-0000-0000-000035220000}"/>
    <cellStyle name="Comma 11 4 2 6" xfId="20534" xr:uid="{00000000-0005-0000-0000-000036220000}"/>
    <cellStyle name="Comma 11 4 3" xfId="3428" xr:uid="{00000000-0005-0000-0000-000037220000}"/>
    <cellStyle name="Comma 11 4 3 2" xfId="8107" xr:uid="{00000000-0005-0000-0000-000038220000}"/>
    <cellStyle name="Comma 11 4 3 2 2" xfId="17431" xr:uid="{00000000-0005-0000-0000-000039220000}"/>
    <cellStyle name="Comma 11 4 3 2 3" xfId="26754" xr:uid="{00000000-0005-0000-0000-00003A220000}"/>
    <cellStyle name="Comma 11 4 3 3" xfId="12811" xr:uid="{00000000-0005-0000-0000-00003B220000}"/>
    <cellStyle name="Comma 11 4 3 4" xfId="22137" xr:uid="{00000000-0005-0000-0000-00003C220000}"/>
    <cellStyle name="Comma 11 4 4" xfId="5129" xr:uid="{00000000-0005-0000-0000-00003D220000}"/>
    <cellStyle name="Comma 11 4 4 2" xfId="14453" xr:uid="{00000000-0005-0000-0000-00003E220000}"/>
    <cellStyle name="Comma 11 4 4 3" xfId="23776" xr:uid="{00000000-0005-0000-0000-00003F220000}"/>
    <cellStyle name="Comma 11 4 5" xfId="6444" xr:uid="{00000000-0005-0000-0000-000040220000}"/>
    <cellStyle name="Comma 11 4 5 2" xfId="15768" xr:uid="{00000000-0005-0000-0000-000041220000}"/>
    <cellStyle name="Comma 11 4 5 3" xfId="25091" xr:uid="{00000000-0005-0000-0000-000042220000}"/>
    <cellStyle name="Comma 11 4 6" xfId="11209" xr:uid="{00000000-0005-0000-0000-000043220000}"/>
    <cellStyle name="Comma 11 4 7" xfId="20533" xr:uid="{00000000-0005-0000-0000-000044220000}"/>
    <cellStyle name="Comma 11 5" xfId="1684" xr:uid="{00000000-0005-0000-0000-000045220000}"/>
    <cellStyle name="Comma 11 5 2" xfId="3430" xr:uid="{00000000-0005-0000-0000-000046220000}"/>
    <cellStyle name="Comma 11 5 2 2" xfId="8109" xr:uid="{00000000-0005-0000-0000-000047220000}"/>
    <cellStyle name="Comma 11 5 2 2 2" xfId="17433" xr:uid="{00000000-0005-0000-0000-000048220000}"/>
    <cellStyle name="Comma 11 5 2 2 3" xfId="26756" xr:uid="{00000000-0005-0000-0000-000049220000}"/>
    <cellStyle name="Comma 11 5 2 3" xfId="12813" xr:uid="{00000000-0005-0000-0000-00004A220000}"/>
    <cellStyle name="Comma 11 5 2 4" xfId="22139" xr:uid="{00000000-0005-0000-0000-00004B220000}"/>
    <cellStyle name="Comma 11 5 3" xfId="5131" xr:uid="{00000000-0005-0000-0000-00004C220000}"/>
    <cellStyle name="Comma 11 5 3 2" xfId="14455" xr:uid="{00000000-0005-0000-0000-00004D220000}"/>
    <cellStyle name="Comma 11 5 3 3" xfId="23778" xr:uid="{00000000-0005-0000-0000-00004E220000}"/>
    <cellStyle name="Comma 11 5 4" xfId="6442" xr:uid="{00000000-0005-0000-0000-00004F220000}"/>
    <cellStyle name="Comma 11 5 4 2" xfId="15766" xr:uid="{00000000-0005-0000-0000-000050220000}"/>
    <cellStyle name="Comma 11 5 4 3" xfId="25089" xr:uid="{00000000-0005-0000-0000-000051220000}"/>
    <cellStyle name="Comma 11 5 5" xfId="11211" xr:uid="{00000000-0005-0000-0000-000052220000}"/>
    <cellStyle name="Comma 11 5 6" xfId="20535" xr:uid="{00000000-0005-0000-0000-000053220000}"/>
    <cellStyle name="Comma 11 6" xfId="1346" xr:uid="{00000000-0005-0000-0000-000054220000}"/>
    <cellStyle name="Comma 11 6 2" xfId="3136" xr:uid="{00000000-0005-0000-0000-000055220000}"/>
    <cellStyle name="Comma 11 6 2 2" xfId="7815" xr:uid="{00000000-0005-0000-0000-000056220000}"/>
    <cellStyle name="Comma 11 6 2 2 2" xfId="17139" xr:uid="{00000000-0005-0000-0000-000057220000}"/>
    <cellStyle name="Comma 11 6 2 2 3" xfId="26462" xr:uid="{00000000-0005-0000-0000-000058220000}"/>
    <cellStyle name="Comma 11 6 2 3" xfId="12522" xr:uid="{00000000-0005-0000-0000-000059220000}"/>
    <cellStyle name="Comma 11 6 2 4" xfId="21848" xr:uid="{00000000-0005-0000-0000-00005A220000}"/>
    <cellStyle name="Comma 11 6 3" xfId="4799" xr:uid="{00000000-0005-0000-0000-00005B220000}"/>
    <cellStyle name="Comma 11 6 3 2" xfId="14123" xr:uid="{00000000-0005-0000-0000-00005C220000}"/>
    <cellStyle name="Comma 11 6 3 3" xfId="23446" xr:uid="{00000000-0005-0000-0000-00005D220000}"/>
    <cellStyle name="Comma 11 6 4" xfId="6659" xr:uid="{00000000-0005-0000-0000-00005E220000}"/>
    <cellStyle name="Comma 11 6 4 2" xfId="15983" xr:uid="{00000000-0005-0000-0000-00005F220000}"/>
    <cellStyle name="Comma 11 6 4 3" xfId="25306" xr:uid="{00000000-0005-0000-0000-000060220000}"/>
    <cellStyle name="Comma 11 6 5" xfId="10917" xr:uid="{00000000-0005-0000-0000-000061220000}"/>
    <cellStyle name="Comma 11 6 6" xfId="20241" xr:uid="{00000000-0005-0000-0000-000062220000}"/>
    <cellStyle name="Comma 11 7" xfId="1174" xr:uid="{00000000-0005-0000-0000-000063220000}"/>
    <cellStyle name="Comma 11 7 2" xfId="6692" xr:uid="{00000000-0005-0000-0000-000064220000}"/>
    <cellStyle name="Comma 11 7 2 2" xfId="16016" xr:uid="{00000000-0005-0000-0000-000065220000}"/>
    <cellStyle name="Comma 11 7 2 3" xfId="25339" xr:uid="{00000000-0005-0000-0000-000066220000}"/>
    <cellStyle name="Comma 11 7 3" xfId="10766" xr:uid="{00000000-0005-0000-0000-000067220000}"/>
    <cellStyle name="Comma 11 7 4" xfId="20090" xr:uid="{00000000-0005-0000-0000-000068220000}"/>
    <cellStyle name="Comma 11 8" xfId="2985" xr:uid="{00000000-0005-0000-0000-000069220000}"/>
    <cellStyle name="Comma 11 8 2" xfId="7664" xr:uid="{00000000-0005-0000-0000-00006A220000}"/>
    <cellStyle name="Comma 11 8 2 2" xfId="16988" xr:uid="{00000000-0005-0000-0000-00006B220000}"/>
    <cellStyle name="Comma 11 8 2 3" xfId="26311" xr:uid="{00000000-0005-0000-0000-00006C220000}"/>
    <cellStyle name="Comma 11 8 3" xfId="12378" xr:uid="{00000000-0005-0000-0000-00006D220000}"/>
    <cellStyle name="Comma 11 8 4" xfId="21704" xr:uid="{00000000-0005-0000-0000-00006E220000}"/>
    <cellStyle name="Comma 11 9" xfId="4638" xr:uid="{00000000-0005-0000-0000-00006F220000}"/>
    <cellStyle name="Comma 11 9 2" xfId="13962" xr:uid="{00000000-0005-0000-0000-000070220000}"/>
    <cellStyle name="Comma 11 9 3" xfId="23285" xr:uid="{00000000-0005-0000-0000-000071220000}"/>
    <cellStyle name="Comma 12" xfId="1178" xr:uid="{00000000-0005-0000-0000-000072220000}"/>
    <cellStyle name="Comma 12 10" xfId="20094" xr:uid="{00000000-0005-0000-0000-000073220000}"/>
    <cellStyle name="Comma 12 2" xfId="1686" xr:uid="{00000000-0005-0000-0000-000074220000}"/>
    <cellStyle name="Comma 12 2 10" xfId="11213" xr:uid="{00000000-0005-0000-0000-000075220000}"/>
    <cellStyle name="Comma 12 2 11" xfId="20537" xr:uid="{00000000-0005-0000-0000-000076220000}"/>
    <cellStyle name="Comma 12 2 2" xfId="1687" xr:uid="{00000000-0005-0000-0000-000077220000}"/>
    <cellStyle name="Comma 12 2 2 2" xfId="1688" xr:uid="{00000000-0005-0000-0000-000078220000}"/>
    <cellStyle name="Comma 12 2 2 2 2" xfId="1689" xr:uid="{00000000-0005-0000-0000-000079220000}"/>
    <cellStyle name="Comma 12 2 2 2 2 2" xfId="3435" xr:uid="{00000000-0005-0000-0000-00007A220000}"/>
    <cellStyle name="Comma 12 2 2 2 2 2 2" xfId="8114" xr:uid="{00000000-0005-0000-0000-00007B220000}"/>
    <cellStyle name="Comma 12 2 2 2 2 2 2 2" xfId="17438" xr:uid="{00000000-0005-0000-0000-00007C220000}"/>
    <cellStyle name="Comma 12 2 2 2 2 2 2 3" xfId="26761" xr:uid="{00000000-0005-0000-0000-00007D220000}"/>
    <cellStyle name="Comma 12 2 2 2 2 2 3" xfId="12818" xr:uid="{00000000-0005-0000-0000-00007E220000}"/>
    <cellStyle name="Comma 12 2 2 2 2 2 4" xfId="22144" xr:uid="{00000000-0005-0000-0000-00007F220000}"/>
    <cellStyle name="Comma 12 2 2 2 2 3" xfId="5136" xr:uid="{00000000-0005-0000-0000-000080220000}"/>
    <cellStyle name="Comma 12 2 2 2 2 3 2" xfId="14460" xr:uid="{00000000-0005-0000-0000-000081220000}"/>
    <cellStyle name="Comma 12 2 2 2 2 3 3" xfId="23783" xr:uid="{00000000-0005-0000-0000-000082220000}"/>
    <cellStyle name="Comma 12 2 2 2 2 4" xfId="6437" xr:uid="{00000000-0005-0000-0000-000083220000}"/>
    <cellStyle name="Comma 12 2 2 2 2 4 2" xfId="15761" xr:uid="{00000000-0005-0000-0000-000084220000}"/>
    <cellStyle name="Comma 12 2 2 2 2 4 3" xfId="25084" xr:uid="{00000000-0005-0000-0000-000085220000}"/>
    <cellStyle name="Comma 12 2 2 2 2 5" xfId="11216" xr:uid="{00000000-0005-0000-0000-000086220000}"/>
    <cellStyle name="Comma 12 2 2 2 2 6" xfId="20540" xr:uid="{00000000-0005-0000-0000-000087220000}"/>
    <cellStyle name="Comma 12 2 2 2 3" xfId="3434" xr:uid="{00000000-0005-0000-0000-000088220000}"/>
    <cellStyle name="Comma 12 2 2 2 3 2" xfId="8113" xr:uid="{00000000-0005-0000-0000-000089220000}"/>
    <cellStyle name="Comma 12 2 2 2 3 2 2" xfId="17437" xr:uid="{00000000-0005-0000-0000-00008A220000}"/>
    <cellStyle name="Comma 12 2 2 2 3 2 3" xfId="26760" xr:uid="{00000000-0005-0000-0000-00008B220000}"/>
    <cellStyle name="Comma 12 2 2 2 3 3" xfId="12817" xr:uid="{00000000-0005-0000-0000-00008C220000}"/>
    <cellStyle name="Comma 12 2 2 2 3 4" xfId="22143" xr:uid="{00000000-0005-0000-0000-00008D220000}"/>
    <cellStyle name="Comma 12 2 2 2 4" xfId="5135" xr:uid="{00000000-0005-0000-0000-00008E220000}"/>
    <cellStyle name="Comma 12 2 2 2 4 2" xfId="14459" xr:uid="{00000000-0005-0000-0000-00008F220000}"/>
    <cellStyle name="Comma 12 2 2 2 4 3" xfId="23782" xr:uid="{00000000-0005-0000-0000-000090220000}"/>
    <cellStyle name="Comma 12 2 2 2 5" xfId="6438" xr:uid="{00000000-0005-0000-0000-000091220000}"/>
    <cellStyle name="Comma 12 2 2 2 5 2" xfId="15762" xr:uid="{00000000-0005-0000-0000-000092220000}"/>
    <cellStyle name="Comma 12 2 2 2 5 3" xfId="25085" xr:uid="{00000000-0005-0000-0000-000093220000}"/>
    <cellStyle name="Comma 12 2 2 2 6" xfId="11215" xr:uid="{00000000-0005-0000-0000-000094220000}"/>
    <cellStyle name="Comma 12 2 2 2 7" xfId="20539" xr:uid="{00000000-0005-0000-0000-000095220000}"/>
    <cellStyle name="Comma 12 2 2 3" xfId="1690" xr:uid="{00000000-0005-0000-0000-000096220000}"/>
    <cellStyle name="Comma 12 2 2 3 2" xfId="3436" xr:uid="{00000000-0005-0000-0000-000097220000}"/>
    <cellStyle name="Comma 12 2 2 3 2 2" xfId="8115" xr:uid="{00000000-0005-0000-0000-000098220000}"/>
    <cellStyle name="Comma 12 2 2 3 2 2 2" xfId="17439" xr:uid="{00000000-0005-0000-0000-000099220000}"/>
    <cellStyle name="Comma 12 2 2 3 2 2 3" xfId="26762" xr:uid="{00000000-0005-0000-0000-00009A220000}"/>
    <cellStyle name="Comma 12 2 2 3 2 3" xfId="12819" xr:uid="{00000000-0005-0000-0000-00009B220000}"/>
    <cellStyle name="Comma 12 2 2 3 2 4" xfId="22145" xr:uid="{00000000-0005-0000-0000-00009C220000}"/>
    <cellStyle name="Comma 12 2 2 3 3" xfId="5137" xr:uid="{00000000-0005-0000-0000-00009D220000}"/>
    <cellStyle name="Comma 12 2 2 3 3 2" xfId="14461" xr:uid="{00000000-0005-0000-0000-00009E220000}"/>
    <cellStyle name="Comma 12 2 2 3 3 3" xfId="23784" xr:uid="{00000000-0005-0000-0000-00009F220000}"/>
    <cellStyle name="Comma 12 2 2 3 4" xfId="6436" xr:uid="{00000000-0005-0000-0000-0000A0220000}"/>
    <cellStyle name="Comma 12 2 2 3 4 2" xfId="15760" xr:uid="{00000000-0005-0000-0000-0000A1220000}"/>
    <cellStyle name="Comma 12 2 2 3 4 3" xfId="25083" xr:uid="{00000000-0005-0000-0000-0000A2220000}"/>
    <cellStyle name="Comma 12 2 2 3 5" xfId="11217" xr:uid="{00000000-0005-0000-0000-0000A3220000}"/>
    <cellStyle name="Comma 12 2 2 3 6" xfId="20541" xr:uid="{00000000-0005-0000-0000-0000A4220000}"/>
    <cellStyle name="Comma 12 2 2 4" xfId="3433" xr:uid="{00000000-0005-0000-0000-0000A5220000}"/>
    <cellStyle name="Comma 12 2 2 4 2" xfId="8112" xr:uid="{00000000-0005-0000-0000-0000A6220000}"/>
    <cellStyle name="Comma 12 2 2 4 2 2" xfId="17436" xr:uid="{00000000-0005-0000-0000-0000A7220000}"/>
    <cellStyle name="Comma 12 2 2 4 2 3" xfId="26759" xr:uid="{00000000-0005-0000-0000-0000A8220000}"/>
    <cellStyle name="Comma 12 2 2 4 3" xfId="12816" xr:uid="{00000000-0005-0000-0000-0000A9220000}"/>
    <cellStyle name="Comma 12 2 2 4 4" xfId="22142" xr:uid="{00000000-0005-0000-0000-0000AA220000}"/>
    <cellStyle name="Comma 12 2 2 5" xfId="5134" xr:uid="{00000000-0005-0000-0000-0000AB220000}"/>
    <cellStyle name="Comma 12 2 2 5 2" xfId="14458" xr:uid="{00000000-0005-0000-0000-0000AC220000}"/>
    <cellStyle name="Comma 12 2 2 5 3" xfId="23781" xr:uid="{00000000-0005-0000-0000-0000AD220000}"/>
    <cellStyle name="Comma 12 2 2 6" xfId="6439" xr:uid="{00000000-0005-0000-0000-0000AE220000}"/>
    <cellStyle name="Comma 12 2 2 6 2" xfId="15763" xr:uid="{00000000-0005-0000-0000-0000AF220000}"/>
    <cellStyle name="Comma 12 2 2 6 3" xfId="25086" xr:uid="{00000000-0005-0000-0000-0000B0220000}"/>
    <cellStyle name="Comma 12 2 2 7" xfId="11214" xr:uid="{00000000-0005-0000-0000-0000B1220000}"/>
    <cellStyle name="Comma 12 2 2 8" xfId="20538" xr:uid="{00000000-0005-0000-0000-0000B2220000}"/>
    <cellStyle name="Comma 12 2 3" xfId="1691" xr:uid="{00000000-0005-0000-0000-0000B3220000}"/>
    <cellStyle name="Comma 12 2 3 2" xfId="1692" xr:uid="{00000000-0005-0000-0000-0000B4220000}"/>
    <cellStyle name="Comma 12 2 3 2 2" xfId="3438" xr:uid="{00000000-0005-0000-0000-0000B5220000}"/>
    <cellStyle name="Comma 12 2 3 2 2 2" xfId="8117" xr:uid="{00000000-0005-0000-0000-0000B6220000}"/>
    <cellStyle name="Comma 12 2 3 2 2 2 2" xfId="17441" xr:uid="{00000000-0005-0000-0000-0000B7220000}"/>
    <cellStyle name="Comma 12 2 3 2 2 2 3" xfId="26764" xr:uid="{00000000-0005-0000-0000-0000B8220000}"/>
    <cellStyle name="Comma 12 2 3 2 2 3" xfId="12821" xr:uid="{00000000-0005-0000-0000-0000B9220000}"/>
    <cellStyle name="Comma 12 2 3 2 2 4" xfId="22147" xr:uid="{00000000-0005-0000-0000-0000BA220000}"/>
    <cellStyle name="Comma 12 2 3 2 3" xfId="5139" xr:uid="{00000000-0005-0000-0000-0000BB220000}"/>
    <cellStyle name="Comma 12 2 3 2 3 2" xfId="14463" xr:uid="{00000000-0005-0000-0000-0000BC220000}"/>
    <cellStyle name="Comma 12 2 3 2 3 3" xfId="23786" xr:uid="{00000000-0005-0000-0000-0000BD220000}"/>
    <cellStyle name="Comma 12 2 3 2 4" xfId="6434" xr:uid="{00000000-0005-0000-0000-0000BE220000}"/>
    <cellStyle name="Comma 12 2 3 2 4 2" xfId="15758" xr:uid="{00000000-0005-0000-0000-0000BF220000}"/>
    <cellStyle name="Comma 12 2 3 2 4 3" xfId="25081" xr:uid="{00000000-0005-0000-0000-0000C0220000}"/>
    <cellStyle name="Comma 12 2 3 2 5" xfId="11219" xr:uid="{00000000-0005-0000-0000-0000C1220000}"/>
    <cellStyle name="Comma 12 2 3 2 6" xfId="20543" xr:uid="{00000000-0005-0000-0000-0000C2220000}"/>
    <cellStyle name="Comma 12 2 3 3" xfId="3437" xr:uid="{00000000-0005-0000-0000-0000C3220000}"/>
    <cellStyle name="Comma 12 2 3 3 2" xfId="8116" xr:uid="{00000000-0005-0000-0000-0000C4220000}"/>
    <cellStyle name="Comma 12 2 3 3 2 2" xfId="17440" xr:uid="{00000000-0005-0000-0000-0000C5220000}"/>
    <cellStyle name="Comma 12 2 3 3 2 3" xfId="26763" xr:uid="{00000000-0005-0000-0000-0000C6220000}"/>
    <cellStyle name="Comma 12 2 3 3 3" xfId="12820" xr:uid="{00000000-0005-0000-0000-0000C7220000}"/>
    <cellStyle name="Comma 12 2 3 3 4" xfId="22146" xr:uid="{00000000-0005-0000-0000-0000C8220000}"/>
    <cellStyle name="Comma 12 2 3 4" xfId="5138" xr:uid="{00000000-0005-0000-0000-0000C9220000}"/>
    <cellStyle name="Comma 12 2 3 4 2" xfId="14462" xr:uid="{00000000-0005-0000-0000-0000CA220000}"/>
    <cellStyle name="Comma 12 2 3 4 3" xfId="23785" xr:uid="{00000000-0005-0000-0000-0000CB220000}"/>
    <cellStyle name="Comma 12 2 3 5" xfId="6435" xr:uid="{00000000-0005-0000-0000-0000CC220000}"/>
    <cellStyle name="Comma 12 2 3 5 2" xfId="15759" xr:uid="{00000000-0005-0000-0000-0000CD220000}"/>
    <cellStyle name="Comma 12 2 3 5 3" xfId="25082" xr:uid="{00000000-0005-0000-0000-0000CE220000}"/>
    <cellStyle name="Comma 12 2 3 6" xfId="11218" xr:uid="{00000000-0005-0000-0000-0000CF220000}"/>
    <cellStyle name="Comma 12 2 3 7" xfId="20542" xr:uid="{00000000-0005-0000-0000-0000D0220000}"/>
    <cellStyle name="Comma 12 2 4" xfId="1693" xr:uid="{00000000-0005-0000-0000-0000D1220000}"/>
    <cellStyle name="Comma 12 2 4 2" xfId="3439" xr:uid="{00000000-0005-0000-0000-0000D2220000}"/>
    <cellStyle name="Comma 12 2 4 2 2" xfId="8118" xr:uid="{00000000-0005-0000-0000-0000D3220000}"/>
    <cellStyle name="Comma 12 2 4 2 2 2" xfId="17442" xr:uid="{00000000-0005-0000-0000-0000D4220000}"/>
    <cellStyle name="Comma 12 2 4 2 2 3" xfId="26765" xr:uid="{00000000-0005-0000-0000-0000D5220000}"/>
    <cellStyle name="Comma 12 2 4 2 3" xfId="12822" xr:uid="{00000000-0005-0000-0000-0000D6220000}"/>
    <cellStyle name="Comma 12 2 4 2 4" xfId="22148" xr:uid="{00000000-0005-0000-0000-0000D7220000}"/>
    <cellStyle name="Comma 12 2 4 3" xfId="5140" xr:uid="{00000000-0005-0000-0000-0000D8220000}"/>
    <cellStyle name="Comma 12 2 4 3 2" xfId="14464" xr:uid="{00000000-0005-0000-0000-0000D9220000}"/>
    <cellStyle name="Comma 12 2 4 3 3" xfId="23787" xr:uid="{00000000-0005-0000-0000-0000DA220000}"/>
    <cellStyle name="Comma 12 2 4 4" xfId="6424" xr:uid="{00000000-0005-0000-0000-0000DB220000}"/>
    <cellStyle name="Comma 12 2 4 4 2" xfId="15748" xr:uid="{00000000-0005-0000-0000-0000DC220000}"/>
    <cellStyle name="Comma 12 2 4 4 3" xfId="25071" xr:uid="{00000000-0005-0000-0000-0000DD220000}"/>
    <cellStyle name="Comma 12 2 4 5" xfId="11220" xr:uid="{00000000-0005-0000-0000-0000DE220000}"/>
    <cellStyle name="Comma 12 2 4 6" xfId="20544" xr:uid="{00000000-0005-0000-0000-0000DF220000}"/>
    <cellStyle name="Comma 12 2 5" xfId="1694" xr:uid="{00000000-0005-0000-0000-0000E0220000}"/>
    <cellStyle name="Comma 12 2 5 2" xfId="3440" xr:uid="{00000000-0005-0000-0000-0000E1220000}"/>
    <cellStyle name="Comma 12 2 5 2 2" xfId="8119" xr:uid="{00000000-0005-0000-0000-0000E2220000}"/>
    <cellStyle name="Comma 12 2 5 2 2 2" xfId="17443" xr:uid="{00000000-0005-0000-0000-0000E3220000}"/>
    <cellStyle name="Comma 12 2 5 2 2 3" xfId="26766" xr:uid="{00000000-0005-0000-0000-0000E4220000}"/>
    <cellStyle name="Comma 12 2 5 2 3" xfId="12823" xr:uid="{00000000-0005-0000-0000-0000E5220000}"/>
    <cellStyle name="Comma 12 2 5 2 4" xfId="22149" xr:uid="{00000000-0005-0000-0000-0000E6220000}"/>
    <cellStyle name="Comma 12 2 5 3" xfId="5141" xr:uid="{00000000-0005-0000-0000-0000E7220000}"/>
    <cellStyle name="Comma 12 2 5 3 2" xfId="14465" xr:uid="{00000000-0005-0000-0000-0000E8220000}"/>
    <cellStyle name="Comma 12 2 5 3 3" xfId="23788" xr:uid="{00000000-0005-0000-0000-0000E9220000}"/>
    <cellStyle name="Comma 12 2 5 4" xfId="6433" xr:uid="{00000000-0005-0000-0000-0000EA220000}"/>
    <cellStyle name="Comma 12 2 5 4 2" xfId="15757" xr:uid="{00000000-0005-0000-0000-0000EB220000}"/>
    <cellStyle name="Comma 12 2 5 4 3" xfId="25080" xr:uid="{00000000-0005-0000-0000-0000EC220000}"/>
    <cellStyle name="Comma 12 2 5 5" xfId="11221" xr:uid="{00000000-0005-0000-0000-0000ED220000}"/>
    <cellStyle name="Comma 12 2 5 6" xfId="20545" xr:uid="{00000000-0005-0000-0000-0000EE220000}"/>
    <cellStyle name="Comma 12 2 6" xfId="1695" xr:uid="{00000000-0005-0000-0000-0000EF220000}"/>
    <cellStyle name="Comma 12 2 6 2" xfId="3441" xr:uid="{00000000-0005-0000-0000-0000F0220000}"/>
    <cellStyle name="Comma 12 2 6 2 2" xfId="8120" xr:uid="{00000000-0005-0000-0000-0000F1220000}"/>
    <cellStyle name="Comma 12 2 6 2 2 2" xfId="17444" xr:uid="{00000000-0005-0000-0000-0000F2220000}"/>
    <cellStyle name="Comma 12 2 6 2 2 3" xfId="26767" xr:uid="{00000000-0005-0000-0000-0000F3220000}"/>
    <cellStyle name="Comma 12 2 6 2 3" xfId="12824" xr:uid="{00000000-0005-0000-0000-0000F4220000}"/>
    <cellStyle name="Comma 12 2 6 2 4" xfId="22150" xr:uid="{00000000-0005-0000-0000-0000F5220000}"/>
    <cellStyle name="Comma 12 2 6 3" xfId="5142" xr:uid="{00000000-0005-0000-0000-0000F6220000}"/>
    <cellStyle name="Comma 12 2 6 3 2" xfId="14466" xr:uid="{00000000-0005-0000-0000-0000F7220000}"/>
    <cellStyle name="Comma 12 2 6 3 3" xfId="23789" xr:uid="{00000000-0005-0000-0000-0000F8220000}"/>
    <cellStyle name="Comma 12 2 6 4" xfId="6432" xr:uid="{00000000-0005-0000-0000-0000F9220000}"/>
    <cellStyle name="Comma 12 2 6 4 2" xfId="15756" xr:uid="{00000000-0005-0000-0000-0000FA220000}"/>
    <cellStyle name="Comma 12 2 6 4 3" xfId="25079" xr:uid="{00000000-0005-0000-0000-0000FB220000}"/>
    <cellStyle name="Comma 12 2 6 5" xfId="11222" xr:uid="{00000000-0005-0000-0000-0000FC220000}"/>
    <cellStyle name="Comma 12 2 6 6" xfId="20546" xr:uid="{00000000-0005-0000-0000-0000FD220000}"/>
    <cellStyle name="Comma 12 2 7" xfId="3432" xr:uid="{00000000-0005-0000-0000-0000FE220000}"/>
    <cellStyle name="Comma 12 2 7 2" xfId="8111" xr:uid="{00000000-0005-0000-0000-0000FF220000}"/>
    <cellStyle name="Comma 12 2 7 2 2" xfId="17435" xr:uid="{00000000-0005-0000-0000-000000230000}"/>
    <cellStyle name="Comma 12 2 7 2 3" xfId="26758" xr:uid="{00000000-0005-0000-0000-000001230000}"/>
    <cellStyle name="Comma 12 2 7 3" xfId="12815" xr:uid="{00000000-0005-0000-0000-000002230000}"/>
    <cellStyle name="Comma 12 2 7 4" xfId="22141" xr:uid="{00000000-0005-0000-0000-000003230000}"/>
    <cellStyle name="Comma 12 2 8" xfId="5133" xr:uid="{00000000-0005-0000-0000-000004230000}"/>
    <cellStyle name="Comma 12 2 8 2" xfId="14457" xr:uid="{00000000-0005-0000-0000-000005230000}"/>
    <cellStyle name="Comma 12 2 8 3" xfId="23780" xr:uid="{00000000-0005-0000-0000-000006230000}"/>
    <cellStyle name="Comma 12 2 9" xfId="6440" xr:uid="{00000000-0005-0000-0000-000007230000}"/>
    <cellStyle name="Comma 12 2 9 2" xfId="15764" xr:uid="{00000000-0005-0000-0000-000008230000}"/>
    <cellStyle name="Comma 12 2 9 3" xfId="25087" xr:uid="{00000000-0005-0000-0000-000009230000}"/>
    <cellStyle name="Comma 12 3" xfId="1696" xr:uid="{00000000-0005-0000-0000-00000A230000}"/>
    <cellStyle name="Comma 12 3 2" xfId="3442" xr:uid="{00000000-0005-0000-0000-00000B230000}"/>
    <cellStyle name="Comma 12 3 2 2" xfId="8121" xr:uid="{00000000-0005-0000-0000-00000C230000}"/>
    <cellStyle name="Comma 12 3 2 2 2" xfId="17445" xr:uid="{00000000-0005-0000-0000-00000D230000}"/>
    <cellStyle name="Comma 12 3 2 2 3" xfId="26768" xr:uid="{00000000-0005-0000-0000-00000E230000}"/>
    <cellStyle name="Comma 12 3 3" xfId="6431" xr:uid="{00000000-0005-0000-0000-00000F230000}"/>
    <cellStyle name="Comma 12 3 3 2" xfId="15755" xr:uid="{00000000-0005-0000-0000-000010230000}"/>
    <cellStyle name="Comma 12 3 3 3" xfId="25078" xr:uid="{00000000-0005-0000-0000-000011230000}"/>
    <cellStyle name="Comma 12 3 4" xfId="11223" xr:uid="{00000000-0005-0000-0000-000012230000}"/>
    <cellStyle name="Comma 12 3 5" xfId="20547" xr:uid="{00000000-0005-0000-0000-000013230000}"/>
    <cellStyle name="Comma 12 4" xfId="1697" xr:uid="{00000000-0005-0000-0000-000014230000}"/>
    <cellStyle name="Comma 12 4 2" xfId="1698" xr:uid="{00000000-0005-0000-0000-000015230000}"/>
    <cellStyle name="Comma 12 4 2 2" xfId="3444" xr:uid="{00000000-0005-0000-0000-000016230000}"/>
    <cellStyle name="Comma 12 4 2 2 2" xfId="8123" xr:uid="{00000000-0005-0000-0000-000017230000}"/>
    <cellStyle name="Comma 12 4 2 2 2 2" xfId="17447" xr:uid="{00000000-0005-0000-0000-000018230000}"/>
    <cellStyle name="Comma 12 4 2 2 2 3" xfId="26770" xr:uid="{00000000-0005-0000-0000-000019230000}"/>
    <cellStyle name="Comma 12 4 2 2 3" xfId="12826" xr:uid="{00000000-0005-0000-0000-00001A230000}"/>
    <cellStyle name="Comma 12 4 2 2 4" xfId="22152" xr:uid="{00000000-0005-0000-0000-00001B230000}"/>
    <cellStyle name="Comma 12 4 2 3" xfId="5144" xr:uid="{00000000-0005-0000-0000-00001C230000}"/>
    <cellStyle name="Comma 12 4 2 3 2" xfId="14468" xr:uid="{00000000-0005-0000-0000-00001D230000}"/>
    <cellStyle name="Comma 12 4 2 3 3" xfId="23791" xr:uid="{00000000-0005-0000-0000-00001E230000}"/>
    <cellStyle name="Comma 12 4 2 4" xfId="6429" xr:uid="{00000000-0005-0000-0000-00001F230000}"/>
    <cellStyle name="Comma 12 4 2 4 2" xfId="15753" xr:uid="{00000000-0005-0000-0000-000020230000}"/>
    <cellStyle name="Comma 12 4 2 4 3" xfId="25076" xr:uid="{00000000-0005-0000-0000-000021230000}"/>
    <cellStyle name="Comma 12 4 2 5" xfId="11225" xr:uid="{00000000-0005-0000-0000-000022230000}"/>
    <cellStyle name="Comma 12 4 2 6" xfId="20549" xr:uid="{00000000-0005-0000-0000-000023230000}"/>
    <cellStyle name="Comma 12 4 3" xfId="3443" xr:uid="{00000000-0005-0000-0000-000024230000}"/>
    <cellStyle name="Comma 12 4 3 2" xfId="8122" xr:uid="{00000000-0005-0000-0000-000025230000}"/>
    <cellStyle name="Comma 12 4 3 2 2" xfId="17446" xr:uid="{00000000-0005-0000-0000-000026230000}"/>
    <cellStyle name="Comma 12 4 3 2 3" xfId="26769" xr:uid="{00000000-0005-0000-0000-000027230000}"/>
    <cellStyle name="Comma 12 4 3 3" xfId="12825" xr:uid="{00000000-0005-0000-0000-000028230000}"/>
    <cellStyle name="Comma 12 4 3 4" xfId="22151" xr:uid="{00000000-0005-0000-0000-000029230000}"/>
    <cellStyle name="Comma 12 4 4" xfId="5143" xr:uid="{00000000-0005-0000-0000-00002A230000}"/>
    <cellStyle name="Comma 12 4 4 2" xfId="14467" xr:uid="{00000000-0005-0000-0000-00002B230000}"/>
    <cellStyle name="Comma 12 4 4 3" xfId="23790" xr:uid="{00000000-0005-0000-0000-00002C230000}"/>
    <cellStyle name="Comma 12 4 5" xfId="6430" xr:uid="{00000000-0005-0000-0000-00002D230000}"/>
    <cellStyle name="Comma 12 4 5 2" xfId="15754" xr:uid="{00000000-0005-0000-0000-00002E230000}"/>
    <cellStyle name="Comma 12 4 5 3" xfId="25077" xr:uid="{00000000-0005-0000-0000-00002F230000}"/>
    <cellStyle name="Comma 12 4 6" xfId="11224" xr:uid="{00000000-0005-0000-0000-000030230000}"/>
    <cellStyle name="Comma 12 4 7" xfId="20548" xr:uid="{00000000-0005-0000-0000-000031230000}"/>
    <cellStyle name="Comma 12 5" xfId="1699" xr:uid="{00000000-0005-0000-0000-000032230000}"/>
    <cellStyle name="Comma 12 5 2" xfId="3445" xr:uid="{00000000-0005-0000-0000-000033230000}"/>
    <cellStyle name="Comma 12 5 2 2" xfId="8124" xr:uid="{00000000-0005-0000-0000-000034230000}"/>
    <cellStyle name="Comma 12 5 2 2 2" xfId="17448" xr:uid="{00000000-0005-0000-0000-000035230000}"/>
    <cellStyle name="Comma 12 5 2 2 3" xfId="26771" xr:uid="{00000000-0005-0000-0000-000036230000}"/>
    <cellStyle name="Comma 12 5 2 3" xfId="12827" xr:uid="{00000000-0005-0000-0000-000037230000}"/>
    <cellStyle name="Comma 12 5 2 4" xfId="22153" xr:uid="{00000000-0005-0000-0000-000038230000}"/>
    <cellStyle name="Comma 12 5 3" xfId="5145" xr:uid="{00000000-0005-0000-0000-000039230000}"/>
    <cellStyle name="Comma 12 5 3 2" xfId="14469" xr:uid="{00000000-0005-0000-0000-00003A230000}"/>
    <cellStyle name="Comma 12 5 3 3" xfId="23792" xr:uid="{00000000-0005-0000-0000-00003B230000}"/>
    <cellStyle name="Comma 12 5 4" xfId="6428" xr:uid="{00000000-0005-0000-0000-00003C230000}"/>
    <cellStyle name="Comma 12 5 4 2" xfId="15752" xr:uid="{00000000-0005-0000-0000-00003D230000}"/>
    <cellStyle name="Comma 12 5 4 3" xfId="25075" xr:uid="{00000000-0005-0000-0000-00003E230000}"/>
    <cellStyle name="Comma 12 5 5" xfId="11226" xr:uid="{00000000-0005-0000-0000-00003F230000}"/>
    <cellStyle name="Comma 12 5 6" xfId="20550" xr:uid="{00000000-0005-0000-0000-000040230000}"/>
    <cellStyle name="Comma 12 6" xfId="1685" xr:uid="{00000000-0005-0000-0000-000041230000}"/>
    <cellStyle name="Comma 12 6 2" xfId="3431" xr:uid="{00000000-0005-0000-0000-000042230000}"/>
    <cellStyle name="Comma 12 6 2 2" xfId="8110" xr:uid="{00000000-0005-0000-0000-000043230000}"/>
    <cellStyle name="Comma 12 6 2 2 2" xfId="17434" xr:uid="{00000000-0005-0000-0000-000044230000}"/>
    <cellStyle name="Comma 12 6 2 2 3" xfId="26757" xr:uid="{00000000-0005-0000-0000-000045230000}"/>
    <cellStyle name="Comma 12 6 2 3" xfId="12814" xr:uid="{00000000-0005-0000-0000-000046230000}"/>
    <cellStyle name="Comma 12 6 2 4" xfId="22140" xr:uid="{00000000-0005-0000-0000-000047230000}"/>
    <cellStyle name="Comma 12 6 3" xfId="5132" xr:uid="{00000000-0005-0000-0000-000048230000}"/>
    <cellStyle name="Comma 12 6 3 2" xfId="14456" xr:uid="{00000000-0005-0000-0000-000049230000}"/>
    <cellStyle name="Comma 12 6 3 3" xfId="23779" xr:uid="{00000000-0005-0000-0000-00004A230000}"/>
    <cellStyle name="Comma 12 6 4" xfId="6441" xr:uid="{00000000-0005-0000-0000-00004B230000}"/>
    <cellStyle name="Comma 12 6 4 2" xfId="15765" xr:uid="{00000000-0005-0000-0000-00004C230000}"/>
    <cellStyle name="Comma 12 6 4 3" xfId="25088" xr:uid="{00000000-0005-0000-0000-00004D230000}"/>
    <cellStyle name="Comma 12 6 5" xfId="11212" xr:uid="{00000000-0005-0000-0000-00004E230000}"/>
    <cellStyle name="Comma 12 6 6" xfId="20536" xr:uid="{00000000-0005-0000-0000-00004F230000}"/>
    <cellStyle name="Comma 12 7" xfId="2989" xr:uid="{00000000-0005-0000-0000-000050230000}"/>
    <cellStyle name="Comma 12 7 2" xfId="7668" xr:uid="{00000000-0005-0000-0000-000051230000}"/>
    <cellStyle name="Comma 12 7 2 2" xfId="16992" xr:uid="{00000000-0005-0000-0000-000052230000}"/>
    <cellStyle name="Comma 12 7 2 3" xfId="26315" xr:uid="{00000000-0005-0000-0000-000053230000}"/>
    <cellStyle name="Comma 12 8" xfId="4614" xr:uid="{00000000-0005-0000-0000-000054230000}"/>
    <cellStyle name="Comma 12 8 2" xfId="13938" xr:uid="{00000000-0005-0000-0000-000055230000}"/>
    <cellStyle name="Comma 12 8 3" xfId="23261" xr:uid="{00000000-0005-0000-0000-000056230000}"/>
    <cellStyle name="Comma 12 9" xfId="10770" xr:uid="{00000000-0005-0000-0000-000057230000}"/>
    <cellStyle name="Comma 13" xfId="1179" xr:uid="{00000000-0005-0000-0000-000058230000}"/>
    <cellStyle name="Comma 13 2" xfId="1180" xr:uid="{00000000-0005-0000-0000-000059230000}"/>
    <cellStyle name="Comma 13 2 2" xfId="2991" xr:uid="{00000000-0005-0000-0000-00005A230000}"/>
    <cellStyle name="Comma 13 2 2 2" xfId="7670" xr:uid="{00000000-0005-0000-0000-00005B230000}"/>
    <cellStyle name="Comma 13 2 2 2 2" xfId="16994" xr:uid="{00000000-0005-0000-0000-00005C230000}"/>
    <cellStyle name="Comma 13 2 2 2 3" xfId="26317" xr:uid="{00000000-0005-0000-0000-00005D230000}"/>
    <cellStyle name="Comma 13 2 2 3" xfId="12383" xr:uid="{00000000-0005-0000-0000-00005E230000}"/>
    <cellStyle name="Comma 13 2 2 4" xfId="21709" xr:uid="{00000000-0005-0000-0000-00005F230000}"/>
    <cellStyle name="Comma 13 2 3" xfId="4643" xr:uid="{00000000-0005-0000-0000-000060230000}"/>
    <cellStyle name="Comma 13 2 3 2" xfId="13967" xr:uid="{00000000-0005-0000-0000-000061230000}"/>
    <cellStyle name="Comma 13 2 3 3" xfId="23290" xr:uid="{00000000-0005-0000-0000-000062230000}"/>
    <cellStyle name="Comma 13 2 4" xfId="10772" xr:uid="{00000000-0005-0000-0000-000063230000}"/>
    <cellStyle name="Comma 13 2 5" xfId="20096" xr:uid="{00000000-0005-0000-0000-000064230000}"/>
    <cellStyle name="Comma 13 3" xfId="1700" xr:uid="{00000000-0005-0000-0000-000065230000}"/>
    <cellStyle name="Comma 13 3 2" xfId="3446" xr:uid="{00000000-0005-0000-0000-000066230000}"/>
    <cellStyle name="Comma 13 3 2 2" xfId="8125" xr:uid="{00000000-0005-0000-0000-000067230000}"/>
    <cellStyle name="Comma 13 3 2 2 2" xfId="17449" xr:uid="{00000000-0005-0000-0000-000068230000}"/>
    <cellStyle name="Comma 13 3 2 2 3" xfId="26772" xr:uid="{00000000-0005-0000-0000-000069230000}"/>
    <cellStyle name="Comma 13 3 3" xfId="6427" xr:uid="{00000000-0005-0000-0000-00006A230000}"/>
    <cellStyle name="Comma 13 3 3 2" xfId="15751" xr:uid="{00000000-0005-0000-0000-00006B230000}"/>
    <cellStyle name="Comma 13 3 3 3" xfId="25074" xr:uid="{00000000-0005-0000-0000-00006C230000}"/>
    <cellStyle name="Comma 13 3 4" xfId="11227" xr:uid="{00000000-0005-0000-0000-00006D230000}"/>
    <cellStyle name="Comma 13 3 5" xfId="20551" xr:uid="{00000000-0005-0000-0000-00006E230000}"/>
    <cellStyle name="Comma 13 4" xfId="2990" xr:uid="{00000000-0005-0000-0000-00006F230000}"/>
    <cellStyle name="Comma 13 4 2" xfId="7669" xr:uid="{00000000-0005-0000-0000-000070230000}"/>
    <cellStyle name="Comma 13 4 2 2" xfId="16993" xr:uid="{00000000-0005-0000-0000-000071230000}"/>
    <cellStyle name="Comma 13 4 2 3" xfId="26316" xr:uid="{00000000-0005-0000-0000-000072230000}"/>
    <cellStyle name="Comma 13 4 3" xfId="12382" xr:uid="{00000000-0005-0000-0000-000073230000}"/>
    <cellStyle name="Comma 13 4 4" xfId="21708" xr:uid="{00000000-0005-0000-0000-000074230000}"/>
    <cellStyle name="Comma 13 5" xfId="4642" xr:uid="{00000000-0005-0000-0000-000075230000}"/>
    <cellStyle name="Comma 13 5 2" xfId="13966" xr:uid="{00000000-0005-0000-0000-000076230000}"/>
    <cellStyle name="Comma 13 5 3" xfId="23289" xr:uid="{00000000-0005-0000-0000-000077230000}"/>
    <cellStyle name="Comma 13 6" xfId="10771" xr:uid="{00000000-0005-0000-0000-000078230000}"/>
    <cellStyle name="Comma 13 7" xfId="20095" xr:uid="{00000000-0005-0000-0000-000079230000}"/>
    <cellStyle name="Comma 14" xfId="1181" xr:uid="{00000000-0005-0000-0000-00007A230000}"/>
    <cellStyle name="Comma 14 10" xfId="10773" xr:uid="{00000000-0005-0000-0000-00007B230000}"/>
    <cellStyle name="Comma 14 11" xfId="20097" xr:uid="{00000000-0005-0000-0000-00007C230000}"/>
    <cellStyle name="Comma 14 2" xfId="1702" xr:uid="{00000000-0005-0000-0000-00007D230000}"/>
    <cellStyle name="Comma 14 2 10" xfId="6425" xr:uid="{00000000-0005-0000-0000-00007E230000}"/>
    <cellStyle name="Comma 14 2 10 2" xfId="15749" xr:uid="{00000000-0005-0000-0000-00007F230000}"/>
    <cellStyle name="Comma 14 2 10 3" xfId="25072" xr:uid="{00000000-0005-0000-0000-000080230000}"/>
    <cellStyle name="Comma 14 2 11" xfId="11229" xr:uid="{00000000-0005-0000-0000-000081230000}"/>
    <cellStyle name="Comma 14 2 12" xfId="20553" xr:uid="{00000000-0005-0000-0000-000082230000}"/>
    <cellStyle name="Comma 14 2 2" xfId="1703" xr:uid="{00000000-0005-0000-0000-000083230000}"/>
    <cellStyle name="Comma 14 2 2 2" xfId="1704" xr:uid="{00000000-0005-0000-0000-000084230000}"/>
    <cellStyle name="Comma 14 2 2 2 2" xfId="1705" xr:uid="{00000000-0005-0000-0000-000085230000}"/>
    <cellStyle name="Comma 14 2 2 2 2 2" xfId="3451" xr:uid="{00000000-0005-0000-0000-000086230000}"/>
    <cellStyle name="Comma 14 2 2 2 2 2 2" xfId="8130" xr:uid="{00000000-0005-0000-0000-000087230000}"/>
    <cellStyle name="Comma 14 2 2 2 2 2 2 2" xfId="17454" xr:uid="{00000000-0005-0000-0000-000088230000}"/>
    <cellStyle name="Comma 14 2 2 2 2 2 2 3" xfId="26777" xr:uid="{00000000-0005-0000-0000-000089230000}"/>
    <cellStyle name="Comma 14 2 2 2 2 2 3" xfId="12832" xr:uid="{00000000-0005-0000-0000-00008A230000}"/>
    <cellStyle name="Comma 14 2 2 2 2 2 4" xfId="22158" xr:uid="{00000000-0005-0000-0000-00008B230000}"/>
    <cellStyle name="Comma 14 2 2 2 2 3" xfId="5150" xr:uid="{00000000-0005-0000-0000-00008C230000}"/>
    <cellStyle name="Comma 14 2 2 2 2 3 2" xfId="14474" xr:uid="{00000000-0005-0000-0000-00008D230000}"/>
    <cellStyle name="Comma 14 2 2 2 2 3 3" xfId="23797" xr:uid="{00000000-0005-0000-0000-00008E230000}"/>
    <cellStyle name="Comma 14 2 2 2 2 4" xfId="6423" xr:uid="{00000000-0005-0000-0000-00008F230000}"/>
    <cellStyle name="Comma 14 2 2 2 2 4 2" xfId="15747" xr:uid="{00000000-0005-0000-0000-000090230000}"/>
    <cellStyle name="Comma 14 2 2 2 2 4 3" xfId="25070" xr:uid="{00000000-0005-0000-0000-000091230000}"/>
    <cellStyle name="Comma 14 2 2 2 2 5" xfId="11232" xr:uid="{00000000-0005-0000-0000-000092230000}"/>
    <cellStyle name="Comma 14 2 2 2 2 6" xfId="20556" xr:uid="{00000000-0005-0000-0000-000093230000}"/>
    <cellStyle name="Comma 14 2 2 2 3" xfId="3450" xr:uid="{00000000-0005-0000-0000-000094230000}"/>
    <cellStyle name="Comma 14 2 2 2 3 2" xfId="8129" xr:uid="{00000000-0005-0000-0000-000095230000}"/>
    <cellStyle name="Comma 14 2 2 2 3 2 2" xfId="17453" xr:uid="{00000000-0005-0000-0000-000096230000}"/>
    <cellStyle name="Comma 14 2 2 2 3 2 3" xfId="26776" xr:uid="{00000000-0005-0000-0000-000097230000}"/>
    <cellStyle name="Comma 14 2 2 2 3 3" xfId="12831" xr:uid="{00000000-0005-0000-0000-000098230000}"/>
    <cellStyle name="Comma 14 2 2 2 3 4" xfId="22157" xr:uid="{00000000-0005-0000-0000-000099230000}"/>
    <cellStyle name="Comma 14 2 2 2 4" xfId="5149" xr:uid="{00000000-0005-0000-0000-00009A230000}"/>
    <cellStyle name="Comma 14 2 2 2 4 2" xfId="14473" xr:uid="{00000000-0005-0000-0000-00009B230000}"/>
    <cellStyle name="Comma 14 2 2 2 4 3" xfId="23796" xr:uid="{00000000-0005-0000-0000-00009C230000}"/>
    <cellStyle name="Comma 14 2 2 2 5" xfId="6274" xr:uid="{00000000-0005-0000-0000-00009D230000}"/>
    <cellStyle name="Comma 14 2 2 2 5 2" xfId="15598" xr:uid="{00000000-0005-0000-0000-00009E230000}"/>
    <cellStyle name="Comma 14 2 2 2 5 3" xfId="24921" xr:uid="{00000000-0005-0000-0000-00009F230000}"/>
    <cellStyle name="Comma 14 2 2 2 6" xfId="11231" xr:uid="{00000000-0005-0000-0000-0000A0230000}"/>
    <cellStyle name="Comma 14 2 2 2 7" xfId="20555" xr:uid="{00000000-0005-0000-0000-0000A1230000}"/>
    <cellStyle name="Comma 14 2 2 3" xfId="1706" xr:uid="{00000000-0005-0000-0000-0000A2230000}"/>
    <cellStyle name="Comma 14 2 2 3 2" xfId="3452" xr:uid="{00000000-0005-0000-0000-0000A3230000}"/>
    <cellStyle name="Comma 14 2 2 3 2 2" xfId="8131" xr:uid="{00000000-0005-0000-0000-0000A4230000}"/>
    <cellStyle name="Comma 14 2 2 3 2 2 2" xfId="17455" xr:uid="{00000000-0005-0000-0000-0000A5230000}"/>
    <cellStyle name="Comma 14 2 2 3 2 2 3" xfId="26778" xr:uid="{00000000-0005-0000-0000-0000A6230000}"/>
    <cellStyle name="Comma 14 2 2 3 2 3" xfId="12833" xr:uid="{00000000-0005-0000-0000-0000A7230000}"/>
    <cellStyle name="Comma 14 2 2 3 2 4" xfId="22159" xr:uid="{00000000-0005-0000-0000-0000A8230000}"/>
    <cellStyle name="Comma 14 2 2 3 3" xfId="5151" xr:uid="{00000000-0005-0000-0000-0000A9230000}"/>
    <cellStyle name="Comma 14 2 2 3 3 2" xfId="14475" xr:uid="{00000000-0005-0000-0000-0000AA230000}"/>
    <cellStyle name="Comma 14 2 2 3 3 3" xfId="23798" xr:uid="{00000000-0005-0000-0000-0000AB230000}"/>
    <cellStyle name="Comma 14 2 2 3 4" xfId="6422" xr:uid="{00000000-0005-0000-0000-0000AC230000}"/>
    <cellStyle name="Comma 14 2 2 3 4 2" xfId="15746" xr:uid="{00000000-0005-0000-0000-0000AD230000}"/>
    <cellStyle name="Comma 14 2 2 3 4 3" xfId="25069" xr:uid="{00000000-0005-0000-0000-0000AE230000}"/>
    <cellStyle name="Comma 14 2 2 3 5" xfId="11233" xr:uid="{00000000-0005-0000-0000-0000AF230000}"/>
    <cellStyle name="Comma 14 2 2 3 6" xfId="20557" xr:uid="{00000000-0005-0000-0000-0000B0230000}"/>
    <cellStyle name="Comma 14 2 2 4" xfId="3449" xr:uid="{00000000-0005-0000-0000-0000B1230000}"/>
    <cellStyle name="Comma 14 2 2 4 2" xfId="8128" xr:uid="{00000000-0005-0000-0000-0000B2230000}"/>
    <cellStyle name="Comma 14 2 2 4 2 2" xfId="17452" xr:uid="{00000000-0005-0000-0000-0000B3230000}"/>
    <cellStyle name="Comma 14 2 2 4 2 3" xfId="26775" xr:uid="{00000000-0005-0000-0000-0000B4230000}"/>
    <cellStyle name="Comma 14 2 2 4 3" xfId="12830" xr:uid="{00000000-0005-0000-0000-0000B5230000}"/>
    <cellStyle name="Comma 14 2 2 4 4" xfId="22156" xr:uid="{00000000-0005-0000-0000-0000B6230000}"/>
    <cellStyle name="Comma 14 2 2 5" xfId="5148" xr:uid="{00000000-0005-0000-0000-0000B7230000}"/>
    <cellStyle name="Comma 14 2 2 5 2" xfId="14472" xr:uid="{00000000-0005-0000-0000-0000B8230000}"/>
    <cellStyle name="Comma 14 2 2 5 3" xfId="23795" xr:uid="{00000000-0005-0000-0000-0000B9230000}"/>
    <cellStyle name="Comma 14 2 2 6" xfId="4793" xr:uid="{00000000-0005-0000-0000-0000BA230000}"/>
    <cellStyle name="Comma 14 2 2 6 2" xfId="14117" xr:uid="{00000000-0005-0000-0000-0000BB230000}"/>
    <cellStyle name="Comma 14 2 2 6 3" xfId="23440" xr:uid="{00000000-0005-0000-0000-0000BC230000}"/>
    <cellStyle name="Comma 14 2 2 7" xfId="11230" xr:uid="{00000000-0005-0000-0000-0000BD230000}"/>
    <cellStyle name="Comma 14 2 2 8" xfId="20554" xr:uid="{00000000-0005-0000-0000-0000BE230000}"/>
    <cellStyle name="Comma 14 2 3" xfId="1707" xr:uid="{00000000-0005-0000-0000-0000BF230000}"/>
    <cellStyle name="Comma 14 2 3 2" xfId="1708" xr:uid="{00000000-0005-0000-0000-0000C0230000}"/>
    <cellStyle name="Comma 14 2 3 2 2" xfId="1709" xr:uid="{00000000-0005-0000-0000-0000C1230000}"/>
    <cellStyle name="Comma 14 2 3 2 2 2" xfId="3455" xr:uid="{00000000-0005-0000-0000-0000C2230000}"/>
    <cellStyle name="Comma 14 2 3 2 2 2 2" xfId="8134" xr:uid="{00000000-0005-0000-0000-0000C3230000}"/>
    <cellStyle name="Comma 14 2 3 2 2 2 2 2" xfId="17458" xr:uid="{00000000-0005-0000-0000-0000C4230000}"/>
    <cellStyle name="Comma 14 2 3 2 2 2 2 3" xfId="26781" xr:uid="{00000000-0005-0000-0000-0000C5230000}"/>
    <cellStyle name="Comma 14 2 3 2 2 2 3" xfId="12836" xr:uid="{00000000-0005-0000-0000-0000C6230000}"/>
    <cellStyle name="Comma 14 2 3 2 2 2 4" xfId="22162" xr:uid="{00000000-0005-0000-0000-0000C7230000}"/>
    <cellStyle name="Comma 14 2 3 2 2 3" xfId="5154" xr:uid="{00000000-0005-0000-0000-0000C8230000}"/>
    <cellStyle name="Comma 14 2 3 2 2 3 2" xfId="14478" xr:uid="{00000000-0005-0000-0000-0000C9230000}"/>
    <cellStyle name="Comma 14 2 3 2 2 3 3" xfId="23801" xr:uid="{00000000-0005-0000-0000-0000CA230000}"/>
    <cellStyle name="Comma 14 2 3 2 2 4" xfId="6419" xr:uid="{00000000-0005-0000-0000-0000CB230000}"/>
    <cellStyle name="Comma 14 2 3 2 2 4 2" xfId="15743" xr:uid="{00000000-0005-0000-0000-0000CC230000}"/>
    <cellStyle name="Comma 14 2 3 2 2 4 3" xfId="25066" xr:uid="{00000000-0005-0000-0000-0000CD230000}"/>
    <cellStyle name="Comma 14 2 3 2 2 5" xfId="11236" xr:uid="{00000000-0005-0000-0000-0000CE230000}"/>
    <cellStyle name="Comma 14 2 3 2 2 6" xfId="20560" xr:uid="{00000000-0005-0000-0000-0000CF230000}"/>
    <cellStyle name="Comma 14 2 3 2 3" xfId="3454" xr:uid="{00000000-0005-0000-0000-0000D0230000}"/>
    <cellStyle name="Comma 14 2 3 2 3 2" xfId="8133" xr:uid="{00000000-0005-0000-0000-0000D1230000}"/>
    <cellStyle name="Comma 14 2 3 2 3 2 2" xfId="17457" xr:uid="{00000000-0005-0000-0000-0000D2230000}"/>
    <cellStyle name="Comma 14 2 3 2 3 2 3" xfId="26780" xr:uid="{00000000-0005-0000-0000-0000D3230000}"/>
    <cellStyle name="Comma 14 2 3 2 3 3" xfId="12835" xr:uid="{00000000-0005-0000-0000-0000D4230000}"/>
    <cellStyle name="Comma 14 2 3 2 3 4" xfId="22161" xr:uid="{00000000-0005-0000-0000-0000D5230000}"/>
    <cellStyle name="Comma 14 2 3 2 4" xfId="5153" xr:uid="{00000000-0005-0000-0000-0000D6230000}"/>
    <cellStyle name="Comma 14 2 3 2 4 2" xfId="14477" xr:uid="{00000000-0005-0000-0000-0000D7230000}"/>
    <cellStyle name="Comma 14 2 3 2 4 3" xfId="23800" xr:uid="{00000000-0005-0000-0000-0000D8230000}"/>
    <cellStyle name="Comma 14 2 3 2 5" xfId="6420" xr:uid="{00000000-0005-0000-0000-0000D9230000}"/>
    <cellStyle name="Comma 14 2 3 2 5 2" xfId="15744" xr:uid="{00000000-0005-0000-0000-0000DA230000}"/>
    <cellStyle name="Comma 14 2 3 2 5 3" xfId="25067" xr:uid="{00000000-0005-0000-0000-0000DB230000}"/>
    <cellStyle name="Comma 14 2 3 2 6" xfId="11235" xr:uid="{00000000-0005-0000-0000-0000DC230000}"/>
    <cellStyle name="Comma 14 2 3 2 7" xfId="20559" xr:uid="{00000000-0005-0000-0000-0000DD230000}"/>
    <cellStyle name="Comma 14 2 3 3" xfId="1710" xr:uid="{00000000-0005-0000-0000-0000DE230000}"/>
    <cellStyle name="Comma 14 2 3 3 2" xfId="3456" xr:uid="{00000000-0005-0000-0000-0000DF230000}"/>
    <cellStyle name="Comma 14 2 3 3 2 2" xfId="8135" xr:uid="{00000000-0005-0000-0000-0000E0230000}"/>
    <cellStyle name="Comma 14 2 3 3 2 2 2" xfId="17459" xr:uid="{00000000-0005-0000-0000-0000E1230000}"/>
    <cellStyle name="Comma 14 2 3 3 2 2 3" xfId="26782" xr:uid="{00000000-0005-0000-0000-0000E2230000}"/>
    <cellStyle name="Comma 14 2 3 3 2 3" xfId="12837" xr:uid="{00000000-0005-0000-0000-0000E3230000}"/>
    <cellStyle name="Comma 14 2 3 3 2 4" xfId="22163" xr:uid="{00000000-0005-0000-0000-0000E4230000}"/>
    <cellStyle name="Comma 14 2 3 3 3" xfId="5155" xr:uid="{00000000-0005-0000-0000-0000E5230000}"/>
    <cellStyle name="Comma 14 2 3 3 3 2" xfId="14479" xr:uid="{00000000-0005-0000-0000-0000E6230000}"/>
    <cellStyle name="Comma 14 2 3 3 3 3" xfId="23802" xr:uid="{00000000-0005-0000-0000-0000E7230000}"/>
    <cellStyle name="Comma 14 2 3 3 4" xfId="6418" xr:uid="{00000000-0005-0000-0000-0000E8230000}"/>
    <cellStyle name="Comma 14 2 3 3 4 2" xfId="15742" xr:uid="{00000000-0005-0000-0000-0000E9230000}"/>
    <cellStyle name="Comma 14 2 3 3 4 3" xfId="25065" xr:uid="{00000000-0005-0000-0000-0000EA230000}"/>
    <cellStyle name="Comma 14 2 3 3 5" xfId="11237" xr:uid="{00000000-0005-0000-0000-0000EB230000}"/>
    <cellStyle name="Comma 14 2 3 3 6" xfId="20561" xr:uid="{00000000-0005-0000-0000-0000EC230000}"/>
    <cellStyle name="Comma 14 2 3 4" xfId="3453" xr:uid="{00000000-0005-0000-0000-0000ED230000}"/>
    <cellStyle name="Comma 14 2 3 4 2" xfId="8132" xr:uid="{00000000-0005-0000-0000-0000EE230000}"/>
    <cellStyle name="Comma 14 2 3 4 2 2" xfId="17456" xr:uid="{00000000-0005-0000-0000-0000EF230000}"/>
    <cellStyle name="Comma 14 2 3 4 2 3" xfId="26779" xr:uid="{00000000-0005-0000-0000-0000F0230000}"/>
    <cellStyle name="Comma 14 2 3 4 3" xfId="12834" xr:uid="{00000000-0005-0000-0000-0000F1230000}"/>
    <cellStyle name="Comma 14 2 3 4 4" xfId="22160" xr:uid="{00000000-0005-0000-0000-0000F2230000}"/>
    <cellStyle name="Comma 14 2 3 5" xfId="5152" xr:uid="{00000000-0005-0000-0000-0000F3230000}"/>
    <cellStyle name="Comma 14 2 3 5 2" xfId="14476" xr:uid="{00000000-0005-0000-0000-0000F4230000}"/>
    <cellStyle name="Comma 14 2 3 5 3" xfId="23799" xr:uid="{00000000-0005-0000-0000-0000F5230000}"/>
    <cellStyle name="Comma 14 2 3 6" xfId="6421" xr:uid="{00000000-0005-0000-0000-0000F6230000}"/>
    <cellStyle name="Comma 14 2 3 6 2" xfId="15745" xr:uid="{00000000-0005-0000-0000-0000F7230000}"/>
    <cellStyle name="Comma 14 2 3 6 3" xfId="25068" xr:uid="{00000000-0005-0000-0000-0000F8230000}"/>
    <cellStyle name="Comma 14 2 3 7" xfId="11234" xr:uid="{00000000-0005-0000-0000-0000F9230000}"/>
    <cellStyle name="Comma 14 2 3 8" xfId="20558" xr:uid="{00000000-0005-0000-0000-0000FA230000}"/>
    <cellStyle name="Comma 14 2 4" xfId="1711" xr:uid="{00000000-0005-0000-0000-0000FB230000}"/>
    <cellStyle name="Comma 14 2 4 2" xfId="1712" xr:uid="{00000000-0005-0000-0000-0000FC230000}"/>
    <cellStyle name="Comma 14 2 4 2 2" xfId="3458" xr:uid="{00000000-0005-0000-0000-0000FD230000}"/>
    <cellStyle name="Comma 14 2 4 2 2 2" xfId="8137" xr:uid="{00000000-0005-0000-0000-0000FE230000}"/>
    <cellStyle name="Comma 14 2 4 2 2 2 2" xfId="17461" xr:uid="{00000000-0005-0000-0000-0000FF230000}"/>
    <cellStyle name="Comma 14 2 4 2 2 2 3" xfId="26784" xr:uid="{00000000-0005-0000-0000-000000240000}"/>
    <cellStyle name="Comma 14 2 4 2 2 3" xfId="12839" xr:uid="{00000000-0005-0000-0000-000001240000}"/>
    <cellStyle name="Comma 14 2 4 2 2 4" xfId="22165" xr:uid="{00000000-0005-0000-0000-000002240000}"/>
    <cellStyle name="Comma 14 2 4 2 3" xfId="5157" xr:uid="{00000000-0005-0000-0000-000003240000}"/>
    <cellStyle name="Comma 14 2 4 2 3 2" xfId="14481" xr:uid="{00000000-0005-0000-0000-000004240000}"/>
    <cellStyle name="Comma 14 2 4 2 3 3" xfId="23804" xr:uid="{00000000-0005-0000-0000-000005240000}"/>
    <cellStyle name="Comma 14 2 4 2 4" xfId="6416" xr:uid="{00000000-0005-0000-0000-000006240000}"/>
    <cellStyle name="Comma 14 2 4 2 4 2" xfId="15740" xr:uid="{00000000-0005-0000-0000-000007240000}"/>
    <cellStyle name="Comma 14 2 4 2 4 3" xfId="25063" xr:uid="{00000000-0005-0000-0000-000008240000}"/>
    <cellStyle name="Comma 14 2 4 2 5" xfId="11239" xr:uid="{00000000-0005-0000-0000-000009240000}"/>
    <cellStyle name="Comma 14 2 4 2 6" xfId="20563" xr:uid="{00000000-0005-0000-0000-00000A240000}"/>
    <cellStyle name="Comma 14 2 4 3" xfId="3457" xr:uid="{00000000-0005-0000-0000-00000B240000}"/>
    <cellStyle name="Comma 14 2 4 3 2" xfId="8136" xr:uid="{00000000-0005-0000-0000-00000C240000}"/>
    <cellStyle name="Comma 14 2 4 3 2 2" xfId="17460" xr:uid="{00000000-0005-0000-0000-00000D240000}"/>
    <cellStyle name="Comma 14 2 4 3 2 3" xfId="26783" xr:uid="{00000000-0005-0000-0000-00000E240000}"/>
    <cellStyle name="Comma 14 2 4 3 3" xfId="12838" xr:uid="{00000000-0005-0000-0000-00000F240000}"/>
    <cellStyle name="Comma 14 2 4 3 4" xfId="22164" xr:uid="{00000000-0005-0000-0000-000010240000}"/>
    <cellStyle name="Comma 14 2 4 4" xfId="5156" xr:uid="{00000000-0005-0000-0000-000011240000}"/>
    <cellStyle name="Comma 14 2 4 4 2" xfId="14480" xr:uid="{00000000-0005-0000-0000-000012240000}"/>
    <cellStyle name="Comma 14 2 4 4 3" xfId="23803" xr:uid="{00000000-0005-0000-0000-000013240000}"/>
    <cellStyle name="Comma 14 2 4 5" xfId="6417" xr:uid="{00000000-0005-0000-0000-000014240000}"/>
    <cellStyle name="Comma 14 2 4 5 2" xfId="15741" xr:uid="{00000000-0005-0000-0000-000015240000}"/>
    <cellStyle name="Comma 14 2 4 5 3" xfId="25064" xr:uid="{00000000-0005-0000-0000-000016240000}"/>
    <cellStyle name="Comma 14 2 4 6" xfId="11238" xr:uid="{00000000-0005-0000-0000-000017240000}"/>
    <cellStyle name="Comma 14 2 4 7" xfId="20562" xr:uid="{00000000-0005-0000-0000-000018240000}"/>
    <cellStyle name="Comma 14 2 5" xfId="1713" xr:uid="{00000000-0005-0000-0000-000019240000}"/>
    <cellStyle name="Comma 14 2 5 2" xfId="3459" xr:uid="{00000000-0005-0000-0000-00001A240000}"/>
    <cellStyle name="Comma 14 2 5 2 2" xfId="8138" xr:uid="{00000000-0005-0000-0000-00001B240000}"/>
    <cellStyle name="Comma 14 2 5 2 2 2" xfId="17462" xr:uid="{00000000-0005-0000-0000-00001C240000}"/>
    <cellStyle name="Comma 14 2 5 2 2 3" xfId="26785" xr:uid="{00000000-0005-0000-0000-00001D240000}"/>
    <cellStyle name="Comma 14 2 5 2 3" xfId="12840" xr:uid="{00000000-0005-0000-0000-00001E240000}"/>
    <cellStyle name="Comma 14 2 5 2 4" xfId="22166" xr:uid="{00000000-0005-0000-0000-00001F240000}"/>
    <cellStyle name="Comma 14 2 5 3" xfId="5158" xr:uid="{00000000-0005-0000-0000-000020240000}"/>
    <cellStyle name="Comma 14 2 5 3 2" xfId="14482" xr:uid="{00000000-0005-0000-0000-000021240000}"/>
    <cellStyle name="Comma 14 2 5 3 3" xfId="23805" xr:uid="{00000000-0005-0000-0000-000022240000}"/>
    <cellStyle name="Comma 14 2 5 4" xfId="6415" xr:uid="{00000000-0005-0000-0000-000023240000}"/>
    <cellStyle name="Comma 14 2 5 4 2" xfId="15739" xr:uid="{00000000-0005-0000-0000-000024240000}"/>
    <cellStyle name="Comma 14 2 5 4 3" xfId="25062" xr:uid="{00000000-0005-0000-0000-000025240000}"/>
    <cellStyle name="Comma 14 2 5 5" xfId="11240" xr:uid="{00000000-0005-0000-0000-000026240000}"/>
    <cellStyle name="Comma 14 2 5 6" xfId="20564" xr:uid="{00000000-0005-0000-0000-000027240000}"/>
    <cellStyle name="Comma 14 2 6" xfId="1714" xr:uid="{00000000-0005-0000-0000-000028240000}"/>
    <cellStyle name="Comma 14 2 6 2" xfId="3460" xr:uid="{00000000-0005-0000-0000-000029240000}"/>
    <cellStyle name="Comma 14 2 6 2 2" xfId="8139" xr:uid="{00000000-0005-0000-0000-00002A240000}"/>
    <cellStyle name="Comma 14 2 6 2 2 2" xfId="17463" xr:uid="{00000000-0005-0000-0000-00002B240000}"/>
    <cellStyle name="Comma 14 2 6 2 2 3" xfId="26786" xr:uid="{00000000-0005-0000-0000-00002C240000}"/>
    <cellStyle name="Comma 14 2 6 2 3" xfId="12841" xr:uid="{00000000-0005-0000-0000-00002D240000}"/>
    <cellStyle name="Comma 14 2 6 2 4" xfId="22167" xr:uid="{00000000-0005-0000-0000-00002E240000}"/>
    <cellStyle name="Comma 14 2 6 3" xfId="5159" xr:uid="{00000000-0005-0000-0000-00002F240000}"/>
    <cellStyle name="Comma 14 2 6 3 2" xfId="14483" xr:uid="{00000000-0005-0000-0000-000030240000}"/>
    <cellStyle name="Comma 14 2 6 3 3" xfId="23806" xr:uid="{00000000-0005-0000-0000-000031240000}"/>
    <cellStyle name="Comma 14 2 6 4" xfId="6414" xr:uid="{00000000-0005-0000-0000-000032240000}"/>
    <cellStyle name="Comma 14 2 6 4 2" xfId="15738" xr:uid="{00000000-0005-0000-0000-000033240000}"/>
    <cellStyle name="Comma 14 2 6 4 3" xfId="25061" xr:uid="{00000000-0005-0000-0000-000034240000}"/>
    <cellStyle name="Comma 14 2 6 5" xfId="11241" xr:uid="{00000000-0005-0000-0000-000035240000}"/>
    <cellStyle name="Comma 14 2 6 6" xfId="20565" xr:uid="{00000000-0005-0000-0000-000036240000}"/>
    <cellStyle name="Comma 14 2 7" xfId="1715" xr:uid="{00000000-0005-0000-0000-000037240000}"/>
    <cellStyle name="Comma 14 2 7 2" xfId="3461" xr:uid="{00000000-0005-0000-0000-000038240000}"/>
    <cellStyle name="Comma 14 2 7 2 2" xfId="8140" xr:uid="{00000000-0005-0000-0000-000039240000}"/>
    <cellStyle name="Comma 14 2 7 2 2 2" xfId="17464" xr:uid="{00000000-0005-0000-0000-00003A240000}"/>
    <cellStyle name="Comma 14 2 7 2 2 3" xfId="26787" xr:uid="{00000000-0005-0000-0000-00003B240000}"/>
    <cellStyle name="Comma 14 2 7 2 3" xfId="12842" xr:uid="{00000000-0005-0000-0000-00003C240000}"/>
    <cellStyle name="Comma 14 2 7 2 4" xfId="22168" xr:uid="{00000000-0005-0000-0000-00003D240000}"/>
    <cellStyle name="Comma 14 2 7 3" xfId="5160" xr:uid="{00000000-0005-0000-0000-00003E240000}"/>
    <cellStyle name="Comma 14 2 7 3 2" xfId="14484" xr:uid="{00000000-0005-0000-0000-00003F240000}"/>
    <cellStyle name="Comma 14 2 7 3 3" xfId="23807" xr:uid="{00000000-0005-0000-0000-000040240000}"/>
    <cellStyle name="Comma 14 2 7 4" xfId="6413" xr:uid="{00000000-0005-0000-0000-000041240000}"/>
    <cellStyle name="Comma 14 2 7 4 2" xfId="15737" xr:uid="{00000000-0005-0000-0000-000042240000}"/>
    <cellStyle name="Comma 14 2 7 4 3" xfId="25060" xr:uid="{00000000-0005-0000-0000-000043240000}"/>
    <cellStyle name="Comma 14 2 7 5" xfId="11242" xr:uid="{00000000-0005-0000-0000-000044240000}"/>
    <cellStyle name="Comma 14 2 7 6" xfId="20566" xr:uid="{00000000-0005-0000-0000-000045240000}"/>
    <cellStyle name="Comma 14 2 8" xfId="3448" xr:uid="{00000000-0005-0000-0000-000046240000}"/>
    <cellStyle name="Comma 14 2 8 2" xfId="8127" xr:uid="{00000000-0005-0000-0000-000047240000}"/>
    <cellStyle name="Comma 14 2 8 2 2" xfId="17451" xr:uid="{00000000-0005-0000-0000-000048240000}"/>
    <cellStyle name="Comma 14 2 8 2 3" xfId="26774" xr:uid="{00000000-0005-0000-0000-000049240000}"/>
    <cellStyle name="Comma 14 2 8 3" xfId="12829" xr:uid="{00000000-0005-0000-0000-00004A240000}"/>
    <cellStyle name="Comma 14 2 8 4" xfId="22155" xr:uid="{00000000-0005-0000-0000-00004B240000}"/>
    <cellStyle name="Comma 14 2 9" xfId="5147" xr:uid="{00000000-0005-0000-0000-00004C240000}"/>
    <cellStyle name="Comma 14 2 9 2" xfId="14471" xr:uid="{00000000-0005-0000-0000-00004D240000}"/>
    <cellStyle name="Comma 14 2 9 3" xfId="23794" xr:uid="{00000000-0005-0000-0000-00004E240000}"/>
    <cellStyle name="Comma 14 3" xfId="1716" xr:uid="{00000000-0005-0000-0000-00004F240000}"/>
    <cellStyle name="Comma 14 3 2" xfId="1717" xr:uid="{00000000-0005-0000-0000-000050240000}"/>
    <cellStyle name="Comma 14 3 2 2" xfId="1718" xr:uid="{00000000-0005-0000-0000-000051240000}"/>
    <cellStyle name="Comma 14 3 2 2 2" xfId="3464" xr:uid="{00000000-0005-0000-0000-000052240000}"/>
    <cellStyle name="Comma 14 3 2 2 2 2" xfId="8143" xr:uid="{00000000-0005-0000-0000-000053240000}"/>
    <cellStyle name="Comma 14 3 2 2 2 2 2" xfId="17467" xr:uid="{00000000-0005-0000-0000-000054240000}"/>
    <cellStyle name="Comma 14 3 2 2 2 2 3" xfId="26790" xr:uid="{00000000-0005-0000-0000-000055240000}"/>
    <cellStyle name="Comma 14 3 2 2 2 3" xfId="12845" xr:uid="{00000000-0005-0000-0000-000056240000}"/>
    <cellStyle name="Comma 14 3 2 2 2 4" xfId="22171" xr:uid="{00000000-0005-0000-0000-000057240000}"/>
    <cellStyle name="Comma 14 3 2 2 3" xfId="5163" xr:uid="{00000000-0005-0000-0000-000058240000}"/>
    <cellStyle name="Comma 14 3 2 2 3 2" xfId="14487" xr:uid="{00000000-0005-0000-0000-000059240000}"/>
    <cellStyle name="Comma 14 3 2 2 3 3" xfId="23810" xr:uid="{00000000-0005-0000-0000-00005A240000}"/>
    <cellStyle name="Comma 14 3 2 2 4" xfId="6410" xr:uid="{00000000-0005-0000-0000-00005B240000}"/>
    <cellStyle name="Comma 14 3 2 2 4 2" xfId="15734" xr:uid="{00000000-0005-0000-0000-00005C240000}"/>
    <cellStyle name="Comma 14 3 2 2 4 3" xfId="25057" xr:uid="{00000000-0005-0000-0000-00005D240000}"/>
    <cellStyle name="Comma 14 3 2 2 5" xfId="11245" xr:uid="{00000000-0005-0000-0000-00005E240000}"/>
    <cellStyle name="Comma 14 3 2 2 6" xfId="20569" xr:uid="{00000000-0005-0000-0000-00005F240000}"/>
    <cellStyle name="Comma 14 3 2 3" xfId="3463" xr:uid="{00000000-0005-0000-0000-000060240000}"/>
    <cellStyle name="Comma 14 3 2 3 2" xfId="8142" xr:uid="{00000000-0005-0000-0000-000061240000}"/>
    <cellStyle name="Comma 14 3 2 3 2 2" xfId="17466" xr:uid="{00000000-0005-0000-0000-000062240000}"/>
    <cellStyle name="Comma 14 3 2 3 2 3" xfId="26789" xr:uid="{00000000-0005-0000-0000-000063240000}"/>
    <cellStyle name="Comma 14 3 2 3 3" xfId="12844" xr:uid="{00000000-0005-0000-0000-000064240000}"/>
    <cellStyle name="Comma 14 3 2 3 4" xfId="22170" xr:uid="{00000000-0005-0000-0000-000065240000}"/>
    <cellStyle name="Comma 14 3 2 4" xfId="5162" xr:uid="{00000000-0005-0000-0000-000066240000}"/>
    <cellStyle name="Comma 14 3 2 4 2" xfId="14486" xr:uid="{00000000-0005-0000-0000-000067240000}"/>
    <cellStyle name="Comma 14 3 2 4 3" xfId="23809" xr:uid="{00000000-0005-0000-0000-000068240000}"/>
    <cellStyle name="Comma 14 3 2 5" xfId="6411" xr:uid="{00000000-0005-0000-0000-000069240000}"/>
    <cellStyle name="Comma 14 3 2 5 2" xfId="15735" xr:uid="{00000000-0005-0000-0000-00006A240000}"/>
    <cellStyle name="Comma 14 3 2 5 3" xfId="25058" xr:uid="{00000000-0005-0000-0000-00006B240000}"/>
    <cellStyle name="Comma 14 3 2 6" xfId="11244" xr:uid="{00000000-0005-0000-0000-00006C240000}"/>
    <cellStyle name="Comma 14 3 2 7" xfId="20568" xr:uid="{00000000-0005-0000-0000-00006D240000}"/>
    <cellStyle name="Comma 14 3 3" xfId="1719" xr:uid="{00000000-0005-0000-0000-00006E240000}"/>
    <cellStyle name="Comma 14 3 3 2" xfId="3465" xr:uid="{00000000-0005-0000-0000-00006F240000}"/>
    <cellStyle name="Comma 14 3 3 2 2" xfId="8144" xr:uid="{00000000-0005-0000-0000-000070240000}"/>
    <cellStyle name="Comma 14 3 3 2 2 2" xfId="17468" xr:uid="{00000000-0005-0000-0000-000071240000}"/>
    <cellStyle name="Comma 14 3 3 2 2 3" xfId="26791" xr:uid="{00000000-0005-0000-0000-000072240000}"/>
    <cellStyle name="Comma 14 3 3 2 3" xfId="12846" xr:uid="{00000000-0005-0000-0000-000073240000}"/>
    <cellStyle name="Comma 14 3 3 2 4" xfId="22172" xr:uid="{00000000-0005-0000-0000-000074240000}"/>
    <cellStyle name="Comma 14 3 3 3" xfId="5164" xr:uid="{00000000-0005-0000-0000-000075240000}"/>
    <cellStyle name="Comma 14 3 3 3 2" xfId="14488" xr:uid="{00000000-0005-0000-0000-000076240000}"/>
    <cellStyle name="Comma 14 3 3 3 3" xfId="23811" xr:uid="{00000000-0005-0000-0000-000077240000}"/>
    <cellStyle name="Comma 14 3 3 4" xfId="6409" xr:uid="{00000000-0005-0000-0000-000078240000}"/>
    <cellStyle name="Comma 14 3 3 4 2" xfId="15733" xr:uid="{00000000-0005-0000-0000-000079240000}"/>
    <cellStyle name="Comma 14 3 3 4 3" xfId="25056" xr:uid="{00000000-0005-0000-0000-00007A240000}"/>
    <cellStyle name="Comma 14 3 3 5" xfId="11246" xr:uid="{00000000-0005-0000-0000-00007B240000}"/>
    <cellStyle name="Comma 14 3 3 6" xfId="20570" xr:uid="{00000000-0005-0000-0000-00007C240000}"/>
    <cellStyle name="Comma 14 3 4" xfId="3462" xr:uid="{00000000-0005-0000-0000-00007D240000}"/>
    <cellStyle name="Comma 14 3 4 2" xfId="8141" xr:uid="{00000000-0005-0000-0000-00007E240000}"/>
    <cellStyle name="Comma 14 3 4 2 2" xfId="17465" xr:uid="{00000000-0005-0000-0000-00007F240000}"/>
    <cellStyle name="Comma 14 3 4 2 3" xfId="26788" xr:uid="{00000000-0005-0000-0000-000080240000}"/>
    <cellStyle name="Comma 14 3 4 3" xfId="12843" xr:uid="{00000000-0005-0000-0000-000081240000}"/>
    <cellStyle name="Comma 14 3 4 4" xfId="22169" xr:uid="{00000000-0005-0000-0000-000082240000}"/>
    <cellStyle name="Comma 14 3 5" xfId="5161" xr:uid="{00000000-0005-0000-0000-000083240000}"/>
    <cellStyle name="Comma 14 3 5 2" xfId="14485" xr:uid="{00000000-0005-0000-0000-000084240000}"/>
    <cellStyle name="Comma 14 3 5 3" xfId="23808" xr:uid="{00000000-0005-0000-0000-000085240000}"/>
    <cellStyle name="Comma 14 3 6" xfId="6412" xr:uid="{00000000-0005-0000-0000-000086240000}"/>
    <cellStyle name="Comma 14 3 6 2" xfId="15736" xr:uid="{00000000-0005-0000-0000-000087240000}"/>
    <cellStyle name="Comma 14 3 6 3" xfId="25059" xr:uid="{00000000-0005-0000-0000-000088240000}"/>
    <cellStyle name="Comma 14 3 7" xfId="11243" xr:uid="{00000000-0005-0000-0000-000089240000}"/>
    <cellStyle name="Comma 14 3 8" xfId="20567" xr:uid="{00000000-0005-0000-0000-00008A240000}"/>
    <cellStyle name="Comma 14 4" xfId="1720" xr:uid="{00000000-0005-0000-0000-00008B240000}"/>
    <cellStyle name="Comma 14 4 2" xfId="3466" xr:uid="{00000000-0005-0000-0000-00008C240000}"/>
    <cellStyle name="Comma 14 4 2 2" xfId="8145" xr:uid="{00000000-0005-0000-0000-00008D240000}"/>
    <cellStyle name="Comma 14 4 2 2 2" xfId="17469" xr:uid="{00000000-0005-0000-0000-00008E240000}"/>
    <cellStyle name="Comma 14 4 2 2 3" xfId="26792" xr:uid="{00000000-0005-0000-0000-00008F240000}"/>
    <cellStyle name="Comma 14 4 3" xfId="6399" xr:uid="{00000000-0005-0000-0000-000090240000}"/>
    <cellStyle name="Comma 14 4 3 2" xfId="15723" xr:uid="{00000000-0005-0000-0000-000091240000}"/>
    <cellStyle name="Comma 14 4 3 3" xfId="25046" xr:uid="{00000000-0005-0000-0000-000092240000}"/>
    <cellStyle name="Comma 14 4 4" xfId="11247" xr:uid="{00000000-0005-0000-0000-000093240000}"/>
    <cellStyle name="Comma 14 4 5" xfId="20571" xr:uid="{00000000-0005-0000-0000-000094240000}"/>
    <cellStyle name="Comma 14 5" xfId="1721" xr:uid="{00000000-0005-0000-0000-000095240000}"/>
    <cellStyle name="Comma 14 5 2" xfId="1722" xr:uid="{00000000-0005-0000-0000-000096240000}"/>
    <cellStyle name="Comma 14 5 2 2" xfId="3468" xr:uid="{00000000-0005-0000-0000-000097240000}"/>
    <cellStyle name="Comma 14 5 2 2 2" xfId="8147" xr:uid="{00000000-0005-0000-0000-000098240000}"/>
    <cellStyle name="Comma 14 5 2 2 2 2" xfId="17471" xr:uid="{00000000-0005-0000-0000-000099240000}"/>
    <cellStyle name="Comma 14 5 2 2 2 3" xfId="26794" xr:uid="{00000000-0005-0000-0000-00009A240000}"/>
    <cellStyle name="Comma 14 5 2 2 3" xfId="12848" xr:uid="{00000000-0005-0000-0000-00009B240000}"/>
    <cellStyle name="Comma 14 5 2 2 4" xfId="22174" xr:uid="{00000000-0005-0000-0000-00009C240000}"/>
    <cellStyle name="Comma 14 5 2 3" xfId="5167" xr:uid="{00000000-0005-0000-0000-00009D240000}"/>
    <cellStyle name="Comma 14 5 2 3 2" xfId="14491" xr:uid="{00000000-0005-0000-0000-00009E240000}"/>
    <cellStyle name="Comma 14 5 2 3 3" xfId="23814" xr:uid="{00000000-0005-0000-0000-00009F240000}"/>
    <cellStyle name="Comma 14 5 2 4" xfId="6407" xr:uid="{00000000-0005-0000-0000-0000A0240000}"/>
    <cellStyle name="Comma 14 5 2 4 2" xfId="15731" xr:uid="{00000000-0005-0000-0000-0000A1240000}"/>
    <cellStyle name="Comma 14 5 2 4 3" xfId="25054" xr:uid="{00000000-0005-0000-0000-0000A2240000}"/>
    <cellStyle name="Comma 14 5 2 5" xfId="11249" xr:uid="{00000000-0005-0000-0000-0000A3240000}"/>
    <cellStyle name="Comma 14 5 2 6" xfId="20573" xr:uid="{00000000-0005-0000-0000-0000A4240000}"/>
    <cellStyle name="Comma 14 5 3" xfId="3467" xr:uid="{00000000-0005-0000-0000-0000A5240000}"/>
    <cellStyle name="Comma 14 5 3 2" xfId="8146" xr:uid="{00000000-0005-0000-0000-0000A6240000}"/>
    <cellStyle name="Comma 14 5 3 2 2" xfId="17470" xr:uid="{00000000-0005-0000-0000-0000A7240000}"/>
    <cellStyle name="Comma 14 5 3 2 3" xfId="26793" xr:uid="{00000000-0005-0000-0000-0000A8240000}"/>
    <cellStyle name="Comma 14 5 3 3" xfId="12847" xr:uid="{00000000-0005-0000-0000-0000A9240000}"/>
    <cellStyle name="Comma 14 5 3 4" xfId="22173" xr:uid="{00000000-0005-0000-0000-0000AA240000}"/>
    <cellStyle name="Comma 14 5 4" xfId="5166" xr:uid="{00000000-0005-0000-0000-0000AB240000}"/>
    <cellStyle name="Comma 14 5 4 2" xfId="14490" xr:uid="{00000000-0005-0000-0000-0000AC240000}"/>
    <cellStyle name="Comma 14 5 4 3" xfId="23813" xr:uid="{00000000-0005-0000-0000-0000AD240000}"/>
    <cellStyle name="Comma 14 5 5" xfId="6408" xr:uid="{00000000-0005-0000-0000-0000AE240000}"/>
    <cellStyle name="Comma 14 5 5 2" xfId="15732" xr:uid="{00000000-0005-0000-0000-0000AF240000}"/>
    <cellStyle name="Comma 14 5 5 3" xfId="25055" xr:uid="{00000000-0005-0000-0000-0000B0240000}"/>
    <cellStyle name="Comma 14 5 6" xfId="11248" xr:uid="{00000000-0005-0000-0000-0000B1240000}"/>
    <cellStyle name="Comma 14 5 7" xfId="20572" xr:uid="{00000000-0005-0000-0000-0000B2240000}"/>
    <cellStyle name="Comma 14 6" xfId="1723" xr:uid="{00000000-0005-0000-0000-0000B3240000}"/>
    <cellStyle name="Comma 14 6 2" xfId="3469" xr:uid="{00000000-0005-0000-0000-0000B4240000}"/>
    <cellStyle name="Comma 14 6 2 2" xfId="8148" xr:uid="{00000000-0005-0000-0000-0000B5240000}"/>
    <cellStyle name="Comma 14 6 2 2 2" xfId="17472" xr:uid="{00000000-0005-0000-0000-0000B6240000}"/>
    <cellStyle name="Comma 14 6 2 2 3" xfId="26795" xr:uid="{00000000-0005-0000-0000-0000B7240000}"/>
    <cellStyle name="Comma 14 6 2 3" xfId="12849" xr:uid="{00000000-0005-0000-0000-0000B8240000}"/>
    <cellStyle name="Comma 14 6 2 4" xfId="22175" xr:uid="{00000000-0005-0000-0000-0000B9240000}"/>
    <cellStyle name="Comma 14 6 3" xfId="5168" xr:uid="{00000000-0005-0000-0000-0000BA240000}"/>
    <cellStyle name="Comma 14 6 3 2" xfId="14492" xr:uid="{00000000-0005-0000-0000-0000BB240000}"/>
    <cellStyle name="Comma 14 6 3 3" xfId="23815" xr:uid="{00000000-0005-0000-0000-0000BC240000}"/>
    <cellStyle name="Comma 14 6 4" xfId="6406" xr:uid="{00000000-0005-0000-0000-0000BD240000}"/>
    <cellStyle name="Comma 14 6 4 2" xfId="15730" xr:uid="{00000000-0005-0000-0000-0000BE240000}"/>
    <cellStyle name="Comma 14 6 4 3" xfId="25053" xr:uid="{00000000-0005-0000-0000-0000BF240000}"/>
    <cellStyle name="Comma 14 6 5" xfId="11250" xr:uid="{00000000-0005-0000-0000-0000C0240000}"/>
    <cellStyle name="Comma 14 6 6" xfId="20574" xr:uid="{00000000-0005-0000-0000-0000C1240000}"/>
    <cellStyle name="Comma 14 7" xfId="1701" xr:uid="{00000000-0005-0000-0000-0000C2240000}"/>
    <cellStyle name="Comma 14 7 2" xfId="3447" xr:uid="{00000000-0005-0000-0000-0000C3240000}"/>
    <cellStyle name="Comma 14 7 2 2" xfId="8126" xr:uid="{00000000-0005-0000-0000-0000C4240000}"/>
    <cellStyle name="Comma 14 7 2 2 2" xfId="17450" xr:uid="{00000000-0005-0000-0000-0000C5240000}"/>
    <cellStyle name="Comma 14 7 2 2 3" xfId="26773" xr:uid="{00000000-0005-0000-0000-0000C6240000}"/>
    <cellStyle name="Comma 14 7 2 3" xfId="12828" xr:uid="{00000000-0005-0000-0000-0000C7240000}"/>
    <cellStyle name="Comma 14 7 2 4" xfId="22154" xr:uid="{00000000-0005-0000-0000-0000C8240000}"/>
    <cellStyle name="Comma 14 7 3" xfId="5146" xr:uid="{00000000-0005-0000-0000-0000C9240000}"/>
    <cellStyle name="Comma 14 7 3 2" xfId="14470" xr:uid="{00000000-0005-0000-0000-0000CA240000}"/>
    <cellStyle name="Comma 14 7 3 3" xfId="23793" xr:uid="{00000000-0005-0000-0000-0000CB240000}"/>
    <cellStyle name="Comma 14 7 4" xfId="6426" xr:uid="{00000000-0005-0000-0000-0000CC240000}"/>
    <cellStyle name="Comma 14 7 4 2" xfId="15750" xr:uid="{00000000-0005-0000-0000-0000CD240000}"/>
    <cellStyle name="Comma 14 7 4 3" xfId="25073" xr:uid="{00000000-0005-0000-0000-0000CE240000}"/>
    <cellStyle name="Comma 14 7 5" xfId="11228" xr:uid="{00000000-0005-0000-0000-0000CF240000}"/>
    <cellStyle name="Comma 14 7 6" xfId="20552" xr:uid="{00000000-0005-0000-0000-0000D0240000}"/>
    <cellStyle name="Comma 14 8" xfId="2992" xr:uid="{00000000-0005-0000-0000-0000D1240000}"/>
    <cellStyle name="Comma 14 8 2" xfId="7671" xr:uid="{00000000-0005-0000-0000-0000D2240000}"/>
    <cellStyle name="Comma 14 8 2 2" xfId="16995" xr:uid="{00000000-0005-0000-0000-0000D3240000}"/>
    <cellStyle name="Comma 14 8 2 3" xfId="26318" xr:uid="{00000000-0005-0000-0000-0000D4240000}"/>
    <cellStyle name="Comma 14 9" xfId="6691" xr:uid="{00000000-0005-0000-0000-0000D5240000}"/>
    <cellStyle name="Comma 14 9 2" xfId="16015" xr:uid="{00000000-0005-0000-0000-0000D6240000}"/>
    <cellStyle name="Comma 14 9 3" xfId="25338" xr:uid="{00000000-0005-0000-0000-0000D7240000}"/>
    <cellStyle name="Comma 15" xfId="1182" xr:uid="{00000000-0005-0000-0000-0000D8240000}"/>
    <cellStyle name="Comma 15 10" xfId="2993" xr:uid="{00000000-0005-0000-0000-0000D9240000}"/>
    <cellStyle name="Comma 15 10 2" xfId="7672" xr:uid="{00000000-0005-0000-0000-0000DA240000}"/>
    <cellStyle name="Comma 15 10 2 2" xfId="16996" xr:uid="{00000000-0005-0000-0000-0000DB240000}"/>
    <cellStyle name="Comma 15 10 2 3" xfId="26319" xr:uid="{00000000-0005-0000-0000-0000DC240000}"/>
    <cellStyle name="Comma 15 10 3" xfId="12384" xr:uid="{00000000-0005-0000-0000-0000DD240000}"/>
    <cellStyle name="Comma 15 10 4" xfId="21710" xr:uid="{00000000-0005-0000-0000-0000DE240000}"/>
    <cellStyle name="Comma 15 11" xfId="4644" xr:uid="{00000000-0005-0000-0000-0000DF240000}"/>
    <cellStyle name="Comma 15 11 2" xfId="13968" xr:uid="{00000000-0005-0000-0000-0000E0240000}"/>
    <cellStyle name="Comma 15 11 3" xfId="23291" xr:uid="{00000000-0005-0000-0000-0000E1240000}"/>
    <cellStyle name="Comma 15 12" xfId="10774" xr:uid="{00000000-0005-0000-0000-0000E2240000}"/>
    <cellStyle name="Comma 15 13" xfId="20098" xr:uid="{00000000-0005-0000-0000-0000E3240000}"/>
    <cellStyle name="Comma 15 2" xfId="1725" xr:uid="{00000000-0005-0000-0000-0000E4240000}"/>
    <cellStyle name="Comma 15 2 2" xfId="1726" xr:uid="{00000000-0005-0000-0000-0000E5240000}"/>
    <cellStyle name="Comma 15 2 2 2" xfId="1727" xr:uid="{00000000-0005-0000-0000-0000E6240000}"/>
    <cellStyle name="Comma 15 2 2 2 2" xfId="3473" xr:uid="{00000000-0005-0000-0000-0000E7240000}"/>
    <cellStyle name="Comma 15 2 2 2 2 2" xfId="8152" xr:uid="{00000000-0005-0000-0000-0000E8240000}"/>
    <cellStyle name="Comma 15 2 2 2 2 2 2" xfId="17476" xr:uid="{00000000-0005-0000-0000-0000E9240000}"/>
    <cellStyle name="Comma 15 2 2 2 2 2 3" xfId="26799" xr:uid="{00000000-0005-0000-0000-0000EA240000}"/>
    <cellStyle name="Comma 15 2 2 2 2 3" xfId="12853" xr:uid="{00000000-0005-0000-0000-0000EB240000}"/>
    <cellStyle name="Comma 15 2 2 2 2 4" xfId="22179" xr:uid="{00000000-0005-0000-0000-0000EC240000}"/>
    <cellStyle name="Comma 15 2 2 2 3" xfId="5172" xr:uid="{00000000-0005-0000-0000-0000ED240000}"/>
    <cellStyle name="Comma 15 2 2 2 3 2" xfId="14496" xr:uid="{00000000-0005-0000-0000-0000EE240000}"/>
    <cellStyle name="Comma 15 2 2 2 3 3" xfId="23819" xr:uid="{00000000-0005-0000-0000-0000EF240000}"/>
    <cellStyle name="Comma 15 2 2 2 4" xfId="6402" xr:uid="{00000000-0005-0000-0000-0000F0240000}"/>
    <cellStyle name="Comma 15 2 2 2 4 2" xfId="15726" xr:uid="{00000000-0005-0000-0000-0000F1240000}"/>
    <cellStyle name="Comma 15 2 2 2 4 3" xfId="25049" xr:uid="{00000000-0005-0000-0000-0000F2240000}"/>
    <cellStyle name="Comma 15 2 2 2 5" xfId="11254" xr:uid="{00000000-0005-0000-0000-0000F3240000}"/>
    <cellStyle name="Comma 15 2 2 2 6" xfId="20578" xr:uid="{00000000-0005-0000-0000-0000F4240000}"/>
    <cellStyle name="Comma 15 2 2 3" xfId="3472" xr:uid="{00000000-0005-0000-0000-0000F5240000}"/>
    <cellStyle name="Comma 15 2 2 3 2" xfId="8151" xr:uid="{00000000-0005-0000-0000-0000F6240000}"/>
    <cellStyle name="Comma 15 2 2 3 2 2" xfId="17475" xr:uid="{00000000-0005-0000-0000-0000F7240000}"/>
    <cellStyle name="Comma 15 2 2 3 2 3" xfId="26798" xr:uid="{00000000-0005-0000-0000-0000F8240000}"/>
    <cellStyle name="Comma 15 2 2 3 3" xfId="12852" xr:uid="{00000000-0005-0000-0000-0000F9240000}"/>
    <cellStyle name="Comma 15 2 2 3 4" xfId="22178" xr:uid="{00000000-0005-0000-0000-0000FA240000}"/>
    <cellStyle name="Comma 15 2 2 4" xfId="5171" xr:uid="{00000000-0005-0000-0000-0000FB240000}"/>
    <cellStyle name="Comma 15 2 2 4 2" xfId="14495" xr:uid="{00000000-0005-0000-0000-0000FC240000}"/>
    <cellStyle name="Comma 15 2 2 4 3" xfId="23818" xr:uid="{00000000-0005-0000-0000-0000FD240000}"/>
    <cellStyle name="Comma 15 2 2 5" xfId="6403" xr:uid="{00000000-0005-0000-0000-0000FE240000}"/>
    <cellStyle name="Comma 15 2 2 5 2" xfId="15727" xr:uid="{00000000-0005-0000-0000-0000FF240000}"/>
    <cellStyle name="Comma 15 2 2 5 3" xfId="25050" xr:uid="{00000000-0005-0000-0000-000000250000}"/>
    <cellStyle name="Comma 15 2 2 6" xfId="11253" xr:uid="{00000000-0005-0000-0000-000001250000}"/>
    <cellStyle name="Comma 15 2 2 7" xfId="20577" xr:uid="{00000000-0005-0000-0000-000002250000}"/>
    <cellStyle name="Comma 15 2 3" xfId="1728" xr:uid="{00000000-0005-0000-0000-000003250000}"/>
    <cellStyle name="Comma 15 2 3 2" xfId="3474" xr:uid="{00000000-0005-0000-0000-000004250000}"/>
    <cellStyle name="Comma 15 2 3 2 2" xfId="8153" xr:uid="{00000000-0005-0000-0000-000005250000}"/>
    <cellStyle name="Comma 15 2 3 2 2 2" xfId="17477" xr:uid="{00000000-0005-0000-0000-000006250000}"/>
    <cellStyle name="Comma 15 2 3 2 2 3" xfId="26800" xr:uid="{00000000-0005-0000-0000-000007250000}"/>
    <cellStyle name="Comma 15 2 3 2 3" xfId="12854" xr:uid="{00000000-0005-0000-0000-000008250000}"/>
    <cellStyle name="Comma 15 2 3 2 4" xfId="22180" xr:uid="{00000000-0005-0000-0000-000009250000}"/>
    <cellStyle name="Comma 15 2 3 3" xfId="5173" xr:uid="{00000000-0005-0000-0000-00000A250000}"/>
    <cellStyle name="Comma 15 2 3 3 2" xfId="14497" xr:uid="{00000000-0005-0000-0000-00000B250000}"/>
    <cellStyle name="Comma 15 2 3 3 3" xfId="23820" xr:uid="{00000000-0005-0000-0000-00000C250000}"/>
    <cellStyle name="Comma 15 2 3 4" xfId="6401" xr:uid="{00000000-0005-0000-0000-00000D250000}"/>
    <cellStyle name="Comma 15 2 3 4 2" xfId="15725" xr:uid="{00000000-0005-0000-0000-00000E250000}"/>
    <cellStyle name="Comma 15 2 3 4 3" xfId="25048" xr:uid="{00000000-0005-0000-0000-00000F250000}"/>
    <cellStyle name="Comma 15 2 3 5" xfId="11255" xr:uid="{00000000-0005-0000-0000-000010250000}"/>
    <cellStyle name="Comma 15 2 3 6" xfId="20579" xr:uid="{00000000-0005-0000-0000-000011250000}"/>
    <cellStyle name="Comma 15 2 4" xfId="3471" xr:uid="{00000000-0005-0000-0000-000012250000}"/>
    <cellStyle name="Comma 15 2 4 2" xfId="8150" xr:uid="{00000000-0005-0000-0000-000013250000}"/>
    <cellStyle name="Comma 15 2 4 2 2" xfId="17474" xr:uid="{00000000-0005-0000-0000-000014250000}"/>
    <cellStyle name="Comma 15 2 4 2 3" xfId="26797" xr:uid="{00000000-0005-0000-0000-000015250000}"/>
    <cellStyle name="Comma 15 2 4 3" xfId="12851" xr:uid="{00000000-0005-0000-0000-000016250000}"/>
    <cellStyle name="Comma 15 2 4 4" xfId="22177" xr:uid="{00000000-0005-0000-0000-000017250000}"/>
    <cellStyle name="Comma 15 2 5" xfId="5170" xr:uid="{00000000-0005-0000-0000-000018250000}"/>
    <cellStyle name="Comma 15 2 5 2" xfId="14494" xr:uid="{00000000-0005-0000-0000-000019250000}"/>
    <cellStyle name="Comma 15 2 5 3" xfId="23817" xr:uid="{00000000-0005-0000-0000-00001A250000}"/>
    <cellStyle name="Comma 15 2 6" xfId="6404" xr:uid="{00000000-0005-0000-0000-00001B250000}"/>
    <cellStyle name="Comma 15 2 6 2" xfId="15728" xr:uid="{00000000-0005-0000-0000-00001C250000}"/>
    <cellStyle name="Comma 15 2 6 3" xfId="25051" xr:uid="{00000000-0005-0000-0000-00001D250000}"/>
    <cellStyle name="Comma 15 2 7" xfId="11252" xr:uid="{00000000-0005-0000-0000-00001E250000}"/>
    <cellStyle name="Comma 15 2 8" xfId="20576" xr:uid="{00000000-0005-0000-0000-00001F250000}"/>
    <cellStyle name="Comma 15 3" xfId="1729" xr:uid="{00000000-0005-0000-0000-000020250000}"/>
    <cellStyle name="Comma 15 3 2" xfId="1730" xr:uid="{00000000-0005-0000-0000-000021250000}"/>
    <cellStyle name="Comma 15 3 2 2" xfId="1731" xr:uid="{00000000-0005-0000-0000-000022250000}"/>
    <cellStyle name="Comma 15 3 2 2 2" xfId="3477" xr:uid="{00000000-0005-0000-0000-000023250000}"/>
    <cellStyle name="Comma 15 3 2 2 2 2" xfId="8156" xr:uid="{00000000-0005-0000-0000-000024250000}"/>
    <cellStyle name="Comma 15 3 2 2 2 2 2" xfId="17480" xr:uid="{00000000-0005-0000-0000-000025250000}"/>
    <cellStyle name="Comma 15 3 2 2 2 2 3" xfId="26803" xr:uid="{00000000-0005-0000-0000-000026250000}"/>
    <cellStyle name="Comma 15 3 2 2 2 3" xfId="12857" xr:uid="{00000000-0005-0000-0000-000027250000}"/>
    <cellStyle name="Comma 15 3 2 2 2 4" xfId="22183" xr:uid="{00000000-0005-0000-0000-000028250000}"/>
    <cellStyle name="Comma 15 3 2 2 3" xfId="5176" xr:uid="{00000000-0005-0000-0000-000029250000}"/>
    <cellStyle name="Comma 15 3 2 2 3 2" xfId="14500" xr:uid="{00000000-0005-0000-0000-00002A250000}"/>
    <cellStyle name="Comma 15 3 2 2 3 3" xfId="23823" xr:uid="{00000000-0005-0000-0000-00002B250000}"/>
    <cellStyle name="Comma 15 3 2 2 4" xfId="6265" xr:uid="{00000000-0005-0000-0000-00002C250000}"/>
    <cellStyle name="Comma 15 3 2 2 4 2" xfId="15589" xr:uid="{00000000-0005-0000-0000-00002D250000}"/>
    <cellStyle name="Comma 15 3 2 2 4 3" xfId="24912" xr:uid="{00000000-0005-0000-0000-00002E250000}"/>
    <cellStyle name="Comma 15 3 2 2 5" xfId="11258" xr:uid="{00000000-0005-0000-0000-00002F250000}"/>
    <cellStyle name="Comma 15 3 2 2 6" xfId="20582" xr:uid="{00000000-0005-0000-0000-000030250000}"/>
    <cellStyle name="Comma 15 3 2 3" xfId="3476" xr:uid="{00000000-0005-0000-0000-000031250000}"/>
    <cellStyle name="Comma 15 3 2 3 2" xfId="8155" xr:uid="{00000000-0005-0000-0000-000032250000}"/>
    <cellStyle name="Comma 15 3 2 3 2 2" xfId="17479" xr:uid="{00000000-0005-0000-0000-000033250000}"/>
    <cellStyle name="Comma 15 3 2 3 2 3" xfId="26802" xr:uid="{00000000-0005-0000-0000-000034250000}"/>
    <cellStyle name="Comma 15 3 2 3 3" xfId="12856" xr:uid="{00000000-0005-0000-0000-000035250000}"/>
    <cellStyle name="Comma 15 3 2 3 4" xfId="22182" xr:uid="{00000000-0005-0000-0000-000036250000}"/>
    <cellStyle name="Comma 15 3 2 4" xfId="5175" xr:uid="{00000000-0005-0000-0000-000037250000}"/>
    <cellStyle name="Comma 15 3 2 4 2" xfId="14499" xr:uid="{00000000-0005-0000-0000-000038250000}"/>
    <cellStyle name="Comma 15 3 2 4 3" xfId="23822" xr:uid="{00000000-0005-0000-0000-000039250000}"/>
    <cellStyle name="Comma 15 3 2 5" xfId="6141" xr:uid="{00000000-0005-0000-0000-00003A250000}"/>
    <cellStyle name="Comma 15 3 2 5 2" xfId="15465" xr:uid="{00000000-0005-0000-0000-00003B250000}"/>
    <cellStyle name="Comma 15 3 2 5 3" xfId="24788" xr:uid="{00000000-0005-0000-0000-00003C250000}"/>
    <cellStyle name="Comma 15 3 2 6" xfId="11257" xr:uid="{00000000-0005-0000-0000-00003D250000}"/>
    <cellStyle name="Comma 15 3 2 7" xfId="20581" xr:uid="{00000000-0005-0000-0000-00003E250000}"/>
    <cellStyle name="Comma 15 3 3" xfId="1732" xr:uid="{00000000-0005-0000-0000-00003F250000}"/>
    <cellStyle name="Comma 15 3 3 2" xfId="3478" xr:uid="{00000000-0005-0000-0000-000040250000}"/>
    <cellStyle name="Comma 15 3 3 2 2" xfId="8157" xr:uid="{00000000-0005-0000-0000-000041250000}"/>
    <cellStyle name="Comma 15 3 3 2 2 2" xfId="17481" xr:uid="{00000000-0005-0000-0000-000042250000}"/>
    <cellStyle name="Comma 15 3 3 2 2 3" xfId="26804" xr:uid="{00000000-0005-0000-0000-000043250000}"/>
    <cellStyle name="Comma 15 3 3 2 3" xfId="12858" xr:uid="{00000000-0005-0000-0000-000044250000}"/>
    <cellStyle name="Comma 15 3 3 2 4" xfId="22184" xr:uid="{00000000-0005-0000-0000-000045250000}"/>
    <cellStyle name="Comma 15 3 3 3" xfId="5177" xr:uid="{00000000-0005-0000-0000-000046250000}"/>
    <cellStyle name="Comma 15 3 3 3 2" xfId="14501" xr:uid="{00000000-0005-0000-0000-000047250000}"/>
    <cellStyle name="Comma 15 3 3 3 3" xfId="23824" xr:uid="{00000000-0005-0000-0000-000048250000}"/>
    <cellStyle name="Comma 15 3 3 4" xfId="6398" xr:uid="{00000000-0005-0000-0000-000049250000}"/>
    <cellStyle name="Comma 15 3 3 4 2" xfId="15722" xr:uid="{00000000-0005-0000-0000-00004A250000}"/>
    <cellStyle name="Comma 15 3 3 4 3" xfId="25045" xr:uid="{00000000-0005-0000-0000-00004B250000}"/>
    <cellStyle name="Comma 15 3 3 5" xfId="11259" xr:uid="{00000000-0005-0000-0000-00004C250000}"/>
    <cellStyle name="Comma 15 3 3 6" xfId="20583" xr:uid="{00000000-0005-0000-0000-00004D250000}"/>
    <cellStyle name="Comma 15 3 4" xfId="3475" xr:uid="{00000000-0005-0000-0000-00004E250000}"/>
    <cellStyle name="Comma 15 3 4 2" xfId="8154" xr:uid="{00000000-0005-0000-0000-00004F250000}"/>
    <cellStyle name="Comma 15 3 4 2 2" xfId="17478" xr:uid="{00000000-0005-0000-0000-000050250000}"/>
    <cellStyle name="Comma 15 3 4 2 3" xfId="26801" xr:uid="{00000000-0005-0000-0000-000051250000}"/>
    <cellStyle name="Comma 15 3 4 3" xfId="12855" xr:uid="{00000000-0005-0000-0000-000052250000}"/>
    <cellStyle name="Comma 15 3 4 4" xfId="22181" xr:uid="{00000000-0005-0000-0000-000053250000}"/>
    <cellStyle name="Comma 15 3 5" xfId="5174" xr:uid="{00000000-0005-0000-0000-000054250000}"/>
    <cellStyle name="Comma 15 3 5 2" xfId="14498" xr:uid="{00000000-0005-0000-0000-000055250000}"/>
    <cellStyle name="Comma 15 3 5 3" xfId="23821" xr:uid="{00000000-0005-0000-0000-000056250000}"/>
    <cellStyle name="Comma 15 3 6" xfId="6400" xr:uid="{00000000-0005-0000-0000-000057250000}"/>
    <cellStyle name="Comma 15 3 6 2" xfId="15724" xr:uid="{00000000-0005-0000-0000-000058250000}"/>
    <cellStyle name="Comma 15 3 6 3" xfId="25047" xr:uid="{00000000-0005-0000-0000-000059250000}"/>
    <cellStyle name="Comma 15 3 7" xfId="11256" xr:uid="{00000000-0005-0000-0000-00005A250000}"/>
    <cellStyle name="Comma 15 3 8" xfId="20580" xr:uid="{00000000-0005-0000-0000-00005B250000}"/>
    <cellStyle name="Comma 15 4" xfId="1733" xr:uid="{00000000-0005-0000-0000-00005C250000}"/>
    <cellStyle name="Comma 15 4 2" xfId="1734" xr:uid="{00000000-0005-0000-0000-00005D250000}"/>
    <cellStyle name="Comma 15 4 2 2" xfId="3480" xr:uid="{00000000-0005-0000-0000-00005E250000}"/>
    <cellStyle name="Comma 15 4 2 2 2" xfId="8159" xr:uid="{00000000-0005-0000-0000-00005F250000}"/>
    <cellStyle name="Comma 15 4 2 2 2 2" xfId="17483" xr:uid="{00000000-0005-0000-0000-000060250000}"/>
    <cellStyle name="Comma 15 4 2 2 2 3" xfId="26806" xr:uid="{00000000-0005-0000-0000-000061250000}"/>
    <cellStyle name="Comma 15 4 2 2 3" xfId="12860" xr:uid="{00000000-0005-0000-0000-000062250000}"/>
    <cellStyle name="Comma 15 4 2 2 4" xfId="22186" xr:uid="{00000000-0005-0000-0000-000063250000}"/>
    <cellStyle name="Comma 15 4 2 3" xfId="5179" xr:uid="{00000000-0005-0000-0000-000064250000}"/>
    <cellStyle name="Comma 15 4 2 3 2" xfId="14503" xr:uid="{00000000-0005-0000-0000-000065250000}"/>
    <cellStyle name="Comma 15 4 2 3 3" xfId="23826" xr:uid="{00000000-0005-0000-0000-000066250000}"/>
    <cellStyle name="Comma 15 4 2 4" xfId="6396" xr:uid="{00000000-0005-0000-0000-000067250000}"/>
    <cellStyle name="Comma 15 4 2 4 2" xfId="15720" xr:uid="{00000000-0005-0000-0000-000068250000}"/>
    <cellStyle name="Comma 15 4 2 4 3" xfId="25043" xr:uid="{00000000-0005-0000-0000-000069250000}"/>
    <cellStyle name="Comma 15 4 2 5" xfId="11261" xr:uid="{00000000-0005-0000-0000-00006A250000}"/>
    <cellStyle name="Comma 15 4 2 6" xfId="20585" xr:uid="{00000000-0005-0000-0000-00006B250000}"/>
    <cellStyle name="Comma 15 4 3" xfId="3479" xr:uid="{00000000-0005-0000-0000-00006C250000}"/>
    <cellStyle name="Comma 15 4 3 2" xfId="8158" xr:uid="{00000000-0005-0000-0000-00006D250000}"/>
    <cellStyle name="Comma 15 4 3 2 2" xfId="17482" xr:uid="{00000000-0005-0000-0000-00006E250000}"/>
    <cellStyle name="Comma 15 4 3 2 3" xfId="26805" xr:uid="{00000000-0005-0000-0000-00006F250000}"/>
    <cellStyle name="Comma 15 4 3 3" xfId="12859" xr:uid="{00000000-0005-0000-0000-000070250000}"/>
    <cellStyle name="Comma 15 4 3 4" xfId="22185" xr:uid="{00000000-0005-0000-0000-000071250000}"/>
    <cellStyle name="Comma 15 4 4" xfId="5178" xr:uid="{00000000-0005-0000-0000-000072250000}"/>
    <cellStyle name="Comma 15 4 4 2" xfId="14502" xr:uid="{00000000-0005-0000-0000-000073250000}"/>
    <cellStyle name="Comma 15 4 4 3" xfId="23825" xr:uid="{00000000-0005-0000-0000-000074250000}"/>
    <cellStyle name="Comma 15 4 5" xfId="6397" xr:uid="{00000000-0005-0000-0000-000075250000}"/>
    <cellStyle name="Comma 15 4 5 2" xfId="15721" xr:uid="{00000000-0005-0000-0000-000076250000}"/>
    <cellStyle name="Comma 15 4 5 3" xfId="25044" xr:uid="{00000000-0005-0000-0000-000077250000}"/>
    <cellStyle name="Comma 15 4 6" xfId="11260" xr:uid="{00000000-0005-0000-0000-000078250000}"/>
    <cellStyle name="Comma 15 4 7" xfId="20584" xr:uid="{00000000-0005-0000-0000-000079250000}"/>
    <cellStyle name="Comma 15 5" xfId="1735" xr:uid="{00000000-0005-0000-0000-00007A250000}"/>
    <cellStyle name="Comma 15 5 2" xfId="3481" xr:uid="{00000000-0005-0000-0000-00007B250000}"/>
    <cellStyle name="Comma 15 5 2 2" xfId="8160" xr:uid="{00000000-0005-0000-0000-00007C250000}"/>
    <cellStyle name="Comma 15 5 2 2 2" xfId="17484" xr:uid="{00000000-0005-0000-0000-00007D250000}"/>
    <cellStyle name="Comma 15 5 2 2 3" xfId="26807" xr:uid="{00000000-0005-0000-0000-00007E250000}"/>
    <cellStyle name="Comma 15 5 2 3" xfId="12861" xr:uid="{00000000-0005-0000-0000-00007F250000}"/>
    <cellStyle name="Comma 15 5 2 4" xfId="22187" xr:uid="{00000000-0005-0000-0000-000080250000}"/>
    <cellStyle name="Comma 15 5 3" xfId="5180" xr:uid="{00000000-0005-0000-0000-000081250000}"/>
    <cellStyle name="Comma 15 5 3 2" xfId="14504" xr:uid="{00000000-0005-0000-0000-000082250000}"/>
    <cellStyle name="Comma 15 5 3 3" xfId="23827" xr:uid="{00000000-0005-0000-0000-000083250000}"/>
    <cellStyle name="Comma 15 5 4" xfId="6395" xr:uid="{00000000-0005-0000-0000-000084250000}"/>
    <cellStyle name="Comma 15 5 4 2" xfId="15719" xr:uid="{00000000-0005-0000-0000-000085250000}"/>
    <cellStyle name="Comma 15 5 4 3" xfId="25042" xr:uid="{00000000-0005-0000-0000-000086250000}"/>
    <cellStyle name="Comma 15 5 5" xfId="11262" xr:uid="{00000000-0005-0000-0000-000087250000}"/>
    <cellStyle name="Comma 15 5 6" xfId="20586" xr:uid="{00000000-0005-0000-0000-000088250000}"/>
    <cellStyle name="Comma 15 6" xfId="1736" xr:uid="{00000000-0005-0000-0000-000089250000}"/>
    <cellStyle name="Comma 15 6 2" xfId="3482" xr:uid="{00000000-0005-0000-0000-00008A250000}"/>
    <cellStyle name="Comma 15 6 2 2" xfId="8161" xr:uid="{00000000-0005-0000-0000-00008B250000}"/>
    <cellStyle name="Comma 15 6 2 2 2" xfId="17485" xr:uid="{00000000-0005-0000-0000-00008C250000}"/>
    <cellStyle name="Comma 15 6 2 2 3" xfId="26808" xr:uid="{00000000-0005-0000-0000-00008D250000}"/>
    <cellStyle name="Comma 15 6 2 3" xfId="12862" xr:uid="{00000000-0005-0000-0000-00008E250000}"/>
    <cellStyle name="Comma 15 6 2 4" xfId="22188" xr:uid="{00000000-0005-0000-0000-00008F250000}"/>
    <cellStyle name="Comma 15 6 3" xfId="5181" xr:uid="{00000000-0005-0000-0000-000090250000}"/>
    <cellStyle name="Comma 15 6 3 2" xfId="14505" xr:uid="{00000000-0005-0000-0000-000091250000}"/>
    <cellStyle name="Comma 15 6 3 3" xfId="23828" xr:uid="{00000000-0005-0000-0000-000092250000}"/>
    <cellStyle name="Comma 15 6 4" xfId="6394" xr:uid="{00000000-0005-0000-0000-000093250000}"/>
    <cellStyle name="Comma 15 6 4 2" xfId="15718" xr:uid="{00000000-0005-0000-0000-000094250000}"/>
    <cellStyle name="Comma 15 6 4 3" xfId="25041" xr:uid="{00000000-0005-0000-0000-000095250000}"/>
    <cellStyle name="Comma 15 6 5" xfId="11263" xr:uid="{00000000-0005-0000-0000-000096250000}"/>
    <cellStyle name="Comma 15 6 6" xfId="20587" xr:uid="{00000000-0005-0000-0000-000097250000}"/>
    <cellStyle name="Comma 15 7" xfId="1737" xr:uid="{00000000-0005-0000-0000-000098250000}"/>
    <cellStyle name="Comma 15 7 2" xfId="3483" xr:uid="{00000000-0005-0000-0000-000099250000}"/>
    <cellStyle name="Comma 15 7 2 2" xfId="8162" xr:uid="{00000000-0005-0000-0000-00009A250000}"/>
    <cellStyle name="Comma 15 7 2 2 2" xfId="17486" xr:uid="{00000000-0005-0000-0000-00009B250000}"/>
    <cellStyle name="Comma 15 7 2 2 3" xfId="26809" xr:uid="{00000000-0005-0000-0000-00009C250000}"/>
    <cellStyle name="Comma 15 7 2 3" xfId="12863" xr:uid="{00000000-0005-0000-0000-00009D250000}"/>
    <cellStyle name="Comma 15 7 2 4" xfId="22189" xr:uid="{00000000-0005-0000-0000-00009E250000}"/>
    <cellStyle name="Comma 15 7 3" xfId="5182" xr:uid="{00000000-0005-0000-0000-00009F250000}"/>
    <cellStyle name="Comma 15 7 3 2" xfId="14506" xr:uid="{00000000-0005-0000-0000-0000A0250000}"/>
    <cellStyle name="Comma 15 7 3 3" xfId="23829" xr:uid="{00000000-0005-0000-0000-0000A1250000}"/>
    <cellStyle name="Comma 15 7 4" xfId="6393" xr:uid="{00000000-0005-0000-0000-0000A2250000}"/>
    <cellStyle name="Comma 15 7 4 2" xfId="15717" xr:uid="{00000000-0005-0000-0000-0000A3250000}"/>
    <cellStyle name="Comma 15 7 4 3" xfId="25040" xr:uid="{00000000-0005-0000-0000-0000A4250000}"/>
    <cellStyle name="Comma 15 7 5" xfId="11264" xr:uid="{00000000-0005-0000-0000-0000A5250000}"/>
    <cellStyle name="Comma 15 7 6" xfId="20588" xr:uid="{00000000-0005-0000-0000-0000A6250000}"/>
    <cellStyle name="Comma 15 8" xfId="1724" xr:uid="{00000000-0005-0000-0000-0000A7250000}"/>
    <cellStyle name="Comma 15 8 2" xfId="3470" xr:uid="{00000000-0005-0000-0000-0000A8250000}"/>
    <cellStyle name="Comma 15 8 2 2" xfId="8149" xr:uid="{00000000-0005-0000-0000-0000A9250000}"/>
    <cellStyle name="Comma 15 8 2 2 2" xfId="17473" xr:uid="{00000000-0005-0000-0000-0000AA250000}"/>
    <cellStyle name="Comma 15 8 2 2 3" xfId="26796" xr:uid="{00000000-0005-0000-0000-0000AB250000}"/>
    <cellStyle name="Comma 15 8 2 3" xfId="12850" xr:uid="{00000000-0005-0000-0000-0000AC250000}"/>
    <cellStyle name="Comma 15 8 2 4" xfId="22176" xr:uid="{00000000-0005-0000-0000-0000AD250000}"/>
    <cellStyle name="Comma 15 8 3" xfId="5169" xr:uid="{00000000-0005-0000-0000-0000AE250000}"/>
    <cellStyle name="Comma 15 8 3 2" xfId="14493" xr:uid="{00000000-0005-0000-0000-0000AF250000}"/>
    <cellStyle name="Comma 15 8 3 3" xfId="23816" xr:uid="{00000000-0005-0000-0000-0000B0250000}"/>
    <cellStyle name="Comma 15 8 4" xfId="6405" xr:uid="{00000000-0005-0000-0000-0000B1250000}"/>
    <cellStyle name="Comma 15 8 4 2" xfId="15729" xr:uid="{00000000-0005-0000-0000-0000B2250000}"/>
    <cellStyle name="Comma 15 8 4 3" xfId="25052" xr:uid="{00000000-0005-0000-0000-0000B3250000}"/>
    <cellStyle name="Comma 15 8 5" xfId="11251" xr:uid="{00000000-0005-0000-0000-0000B4250000}"/>
    <cellStyle name="Comma 15 8 6" xfId="20575" xr:uid="{00000000-0005-0000-0000-0000B5250000}"/>
    <cellStyle name="Comma 15 9" xfId="2891" xr:uid="{00000000-0005-0000-0000-0000B6250000}"/>
    <cellStyle name="Comma 15 9 2" xfId="4539" xr:uid="{00000000-0005-0000-0000-0000B7250000}"/>
    <cellStyle name="Comma 15 9 2 2" xfId="9216" xr:uid="{00000000-0005-0000-0000-0000B8250000}"/>
    <cellStyle name="Comma 15 9 2 2 2" xfId="18540" xr:uid="{00000000-0005-0000-0000-0000B9250000}"/>
    <cellStyle name="Comma 15 9 2 2 3" xfId="27863" xr:uid="{00000000-0005-0000-0000-0000BA250000}"/>
    <cellStyle name="Comma 15 9 3" xfId="7597" xr:uid="{00000000-0005-0000-0000-0000BB250000}"/>
    <cellStyle name="Comma 15 9 3 2" xfId="16921" xr:uid="{00000000-0005-0000-0000-0000BC250000}"/>
    <cellStyle name="Comma 15 9 3 3" xfId="26244" xr:uid="{00000000-0005-0000-0000-0000BD250000}"/>
    <cellStyle name="Comma 15 9 4" xfId="12317" xr:uid="{00000000-0005-0000-0000-0000BE250000}"/>
    <cellStyle name="Comma 15 9 5" xfId="21643" xr:uid="{00000000-0005-0000-0000-0000BF250000}"/>
    <cellStyle name="Comma 16" xfId="1183" xr:uid="{00000000-0005-0000-0000-0000C0250000}"/>
    <cellStyle name="Comma 16 10" xfId="4645" xr:uid="{00000000-0005-0000-0000-0000C1250000}"/>
    <cellStyle name="Comma 16 10 2" xfId="13969" xr:uid="{00000000-0005-0000-0000-0000C2250000}"/>
    <cellStyle name="Comma 16 10 3" xfId="23292" xr:uid="{00000000-0005-0000-0000-0000C3250000}"/>
    <cellStyle name="Comma 16 11" xfId="10775" xr:uid="{00000000-0005-0000-0000-0000C4250000}"/>
    <cellStyle name="Comma 16 12" xfId="20099" xr:uid="{00000000-0005-0000-0000-0000C5250000}"/>
    <cellStyle name="Comma 16 2" xfId="1739" xr:uid="{00000000-0005-0000-0000-0000C6250000}"/>
    <cellStyle name="Comma 16 2 2" xfId="1740" xr:uid="{00000000-0005-0000-0000-0000C7250000}"/>
    <cellStyle name="Comma 16 2 2 2" xfId="1741" xr:uid="{00000000-0005-0000-0000-0000C8250000}"/>
    <cellStyle name="Comma 16 2 2 2 2" xfId="3487" xr:uid="{00000000-0005-0000-0000-0000C9250000}"/>
    <cellStyle name="Comma 16 2 2 2 2 2" xfId="8166" xr:uid="{00000000-0005-0000-0000-0000CA250000}"/>
    <cellStyle name="Comma 16 2 2 2 2 2 2" xfId="17490" xr:uid="{00000000-0005-0000-0000-0000CB250000}"/>
    <cellStyle name="Comma 16 2 2 2 2 2 3" xfId="26813" xr:uid="{00000000-0005-0000-0000-0000CC250000}"/>
    <cellStyle name="Comma 16 2 2 2 2 3" xfId="12866" xr:uid="{00000000-0005-0000-0000-0000CD250000}"/>
    <cellStyle name="Comma 16 2 2 2 2 4" xfId="22192" xr:uid="{00000000-0005-0000-0000-0000CE250000}"/>
    <cellStyle name="Comma 16 2 2 2 3" xfId="5185" xr:uid="{00000000-0005-0000-0000-0000CF250000}"/>
    <cellStyle name="Comma 16 2 2 2 3 2" xfId="14509" xr:uid="{00000000-0005-0000-0000-0000D0250000}"/>
    <cellStyle name="Comma 16 2 2 2 3 3" xfId="23832" xr:uid="{00000000-0005-0000-0000-0000D1250000}"/>
    <cellStyle name="Comma 16 2 2 2 4" xfId="6386" xr:uid="{00000000-0005-0000-0000-0000D2250000}"/>
    <cellStyle name="Comma 16 2 2 2 4 2" xfId="15710" xr:uid="{00000000-0005-0000-0000-0000D3250000}"/>
    <cellStyle name="Comma 16 2 2 2 4 3" xfId="25033" xr:uid="{00000000-0005-0000-0000-0000D4250000}"/>
    <cellStyle name="Comma 16 2 2 2 5" xfId="11268" xr:uid="{00000000-0005-0000-0000-0000D5250000}"/>
    <cellStyle name="Comma 16 2 2 2 6" xfId="20592" xr:uid="{00000000-0005-0000-0000-0000D6250000}"/>
    <cellStyle name="Comma 16 2 2 3" xfId="3486" xr:uid="{00000000-0005-0000-0000-0000D7250000}"/>
    <cellStyle name="Comma 16 2 2 3 2" xfId="8165" xr:uid="{00000000-0005-0000-0000-0000D8250000}"/>
    <cellStyle name="Comma 16 2 2 3 2 2" xfId="17489" xr:uid="{00000000-0005-0000-0000-0000D9250000}"/>
    <cellStyle name="Comma 16 2 2 3 2 3" xfId="26812" xr:uid="{00000000-0005-0000-0000-0000DA250000}"/>
    <cellStyle name="Comma 16 2 2 3 3" xfId="12865" xr:uid="{00000000-0005-0000-0000-0000DB250000}"/>
    <cellStyle name="Comma 16 2 2 3 4" xfId="22191" xr:uid="{00000000-0005-0000-0000-0000DC250000}"/>
    <cellStyle name="Comma 16 2 2 4" xfId="5184" xr:uid="{00000000-0005-0000-0000-0000DD250000}"/>
    <cellStyle name="Comma 16 2 2 4 2" xfId="14508" xr:uid="{00000000-0005-0000-0000-0000DE250000}"/>
    <cellStyle name="Comma 16 2 2 4 3" xfId="23831" xr:uid="{00000000-0005-0000-0000-0000DF250000}"/>
    <cellStyle name="Comma 16 2 2 5" xfId="6390" xr:uid="{00000000-0005-0000-0000-0000E0250000}"/>
    <cellStyle name="Comma 16 2 2 5 2" xfId="15714" xr:uid="{00000000-0005-0000-0000-0000E1250000}"/>
    <cellStyle name="Comma 16 2 2 5 3" xfId="25037" xr:uid="{00000000-0005-0000-0000-0000E2250000}"/>
    <cellStyle name="Comma 16 2 2 6" xfId="11267" xr:uid="{00000000-0005-0000-0000-0000E3250000}"/>
    <cellStyle name="Comma 16 2 2 7" xfId="20591" xr:uid="{00000000-0005-0000-0000-0000E4250000}"/>
    <cellStyle name="Comma 16 2 3" xfId="1742" xr:uid="{00000000-0005-0000-0000-0000E5250000}"/>
    <cellStyle name="Comma 16 2 3 2" xfId="3488" xr:uid="{00000000-0005-0000-0000-0000E6250000}"/>
    <cellStyle name="Comma 16 2 3 2 2" xfId="8167" xr:uid="{00000000-0005-0000-0000-0000E7250000}"/>
    <cellStyle name="Comma 16 2 3 2 2 2" xfId="17491" xr:uid="{00000000-0005-0000-0000-0000E8250000}"/>
    <cellStyle name="Comma 16 2 3 2 2 3" xfId="26814" xr:uid="{00000000-0005-0000-0000-0000E9250000}"/>
    <cellStyle name="Comma 16 2 3 2 3" xfId="12867" xr:uid="{00000000-0005-0000-0000-0000EA250000}"/>
    <cellStyle name="Comma 16 2 3 2 4" xfId="22193" xr:uid="{00000000-0005-0000-0000-0000EB250000}"/>
    <cellStyle name="Comma 16 2 3 3" xfId="5186" xr:uid="{00000000-0005-0000-0000-0000EC250000}"/>
    <cellStyle name="Comma 16 2 3 3 2" xfId="14510" xr:uid="{00000000-0005-0000-0000-0000ED250000}"/>
    <cellStyle name="Comma 16 2 3 3 3" xfId="23833" xr:uid="{00000000-0005-0000-0000-0000EE250000}"/>
    <cellStyle name="Comma 16 2 3 4" xfId="6389" xr:uid="{00000000-0005-0000-0000-0000EF250000}"/>
    <cellStyle name="Comma 16 2 3 4 2" xfId="15713" xr:uid="{00000000-0005-0000-0000-0000F0250000}"/>
    <cellStyle name="Comma 16 2 3 4 3" xfId="25036" xr:uid="{00000000-0005-0000-0000-0000F1250000}"/>
    <cellStyle name="Comma 16 2 3 5" xfId="11269" xr:uid="{00000000-0005-0000-0000-0000F2250000}"/>
    <cellStyle name="Comma 16 2 3 6" xfId="20593" xr:uid="{00000000-0005-0000-0000-0000F3250000}"/>
    <cellStyle name="Comma 16 2 4" xfId="3485" xr:uid="{00000000-0005-0000-0000-0000F4250000}"/>
    <cellStyle name="Comma 16 2 4 2" xfId="8164" xr:uid="{00000000-0005-0000-0000-0000F5250000}"/>
    <cellStyle name="Comma 16 2 4 2 2" xfId="17488" xr:uid="{00000000-0005-0000-0000-0000F6250000}"/>
    <cellStyle name="Comma 16 2 4 2 3" xfId="26811" xr:uid="{00000000-0005-0000-0000-0000F7250000}"/>
    <cellStyle name="Comma 16 2 4 3" xfId="12864" xr:uid="{00000000-0005-0000-0000-0000F8250000}"/>
    <cellStyle name="Comma 16 2 4 4" xfId="22190" xr:uid="{00000000-0005-0000-0000-0000F9250000}"/>
    <cellStyle name="Comma 16 2 5" xfId="5183" xr:uid="{00000000-0005-0000-0000-0000FA250000}"/>
    <cellStyle name="Comma 16 2 5 2" xfId="14507" xr:uid="{00000000-0005-0000-0000-0000FB250000}"/>
    <cellStyle name="Comma 16 2 5 3" xfId="23830" xr:uid="{00000000-0005-0000-0000-0000FC250000}"/>
    <cellStyle name="Comma 16 2 6" xfId="6391" xr:uid="{00000000-0005-0000-0000-0000FD250000}"/>
    <cellStyle name="Comma 16 2 6 2" xfId="15715" xr:uid="{00000000-0005-0000-0000-0000FE250000}"/>
    <cellStyle name="Comma 16 2 6 3" xfId="25038" xr:uid="{00000000-0005-0000-0000-0000FF250000}"/>
    <cellStyle name="Comma 16 2 7" xfId="11266" xr:uid="{00000000-0005-0000-0000-000000260000}"/>
    <cellStyle name="Comma 16 2 8" xfId="20590" xr:uid="{00000000-0005-0000-0000-000001260000}"/>
    <cellStyle name="Comma 16 3" xfId="1743" xr:uid="{00000000-0005-0000-0000-000002260000}"/>
    <cellStyle name="Comma 16 3 2" xfId="1744" xr:uid="{00000000-0005-0000-0000-000003260000}"/>
    <cellStyle name="Comma 16 3 2 2" xfId="1745" xr:uid="{00000000-0005-0000-0000-000004260000}"/>
    <cellStyle name="Comma 16 3 2 2 2" xfId="3491" xr:uid="{00000000-0005-0000-0000-000005260000}"/>
    <cellStyle name="Comma 16 3 2 2 2 2" xfId="8170" xr:uid="{00000000-0005-0000-0000-000006260000}"/>
    <cellStyle name="Comma 16 3 2 2 2 2 2" xfId="17494" xr:uid="{00000000-0005-0000-0000-000007260000}"/>
    <cellStyle name="Comma 16 3 2 2 2 2 3" xfId="26817" xr:uid="{00000000-0005-0000-0000-000008260000}"/>
    <cellStyle name="Comma 16 3 2 2 2 3" xfId="12870" xr:uid="{00000000-0005-0000-0000-000009260000}"/>
    <cellStyle name="Comma 16 3 2 2 2 4" xfId="22196" xr:uid="{00000000-0005-0000-0000-00000A260000}"/>
    <cellStyle name="Comma 16 3 2 2 3" xfId="5189" xr:uid="{00000000-0005-0000-0000-00000B260000}"/>
    <cellStyle name="Comma 16 3 2 2 3 2" xfId="14513" xr:uid="{00000000-0005-0000-0000-00000C260000}"/>
    <cellStyle name="Comma 16 3 2 2 3 3" xfId="23836" xr:uid="{00000000-0005-0000-0000-00000D260000}"/>
    <cellStyle name="Comma 16 3 2 2 4" xfId="6294" xr:uid="{00000000-0005-0000-0000-00000E260000}"/>
    <cellStyle name="Comma 16 3 2 2 4 2" xfId="15618" xr:uid="{00000000-0005-0000-0000-00000F260000}"/>
    <cellStyle name="Comma 16 3 2 2 4 3" xfId="24941" xr:uid="{00000000-0005-0000-0000-000010260000}"/>
    <cellStyle name="Comma 16 3 2 2 5" xfId="11272" xr:uid="{00000000-0005-0000-0000-000011260000}"/>
    <cellStyle name="Comma 16 3 2 2 6" xfId="20596" xr:uid="{00000000-0005-0000-0000-000012260000}"/>
    <cellStyle name="Comma 16 3 2 3" xfId="3490" xr:uid="{00000000-0005-0000-0000-000013260000}"/>
    <cellStyle name="Comma 16 3 2 3 2" xfId="8169" xr:uid="{00000000-0005-0000-0000-000014260000}"/>
    <cellStyle name="Comma 16 3 2 3 2 2" xfId="17493" xr:uid="{00000000-0005-0000-0000-000015260000}"/>
    <cellStyle name="Comma 16 3 2 3 2 3" xfId="26816" xr:uid="{00000000-0005-0000-0000-000016260000}"/>
    <cellStyle name="Comma 16 3 2 3 3" xfId="12869" xr:uid="{00000000-0005-0000-0000-000017260000}"/>
    <cellStyle name="Comma 16 3 2 3 4" xfId="22195" xr:uid="{00000000-0005-0000-0000-000018260000}"/>
    <cellStyle name="Comma 16 3 2 4" xfId="5188" xr:uid="{00000000-0005-0000-0000-000019260000}"/>
    <cellStyle name="Comma 16 3 2 4 2" xfId="14512" xr:uid="{00000000-0005-0000-0000-00001A260000}"/>
    <cellStyle name="Comma 16 3 2 4 3" xfId="23835" xr:uid="{00000000-0005-0000-0000-00001B260000}"/>
    <cellStyle name="Comma 16 3 2 5" xfId="6387" xr:uid="{00000000-0005-0000-0000-00001C260000}"/>
    <cellStyle name="Comma 16 3 2 5 2" xfId="15711" xr:uid="{00000000-0005-0000-0000-00001D260000}"/>
    <cellStyle name="Comma 16 3 2 5 3" xfId="25034" xr:uid="{00000000-0005-0000-0000-00001E260000}"/>
    <cellStyle name="Comma 16 3 2 6" xfId="11271" xr:uid="{00000000-0005-0000-0000-00001F260000}"/>
    <cellStyle name="Comma 16 3 2 7" xfId="20595" xr:uid="{00000000-0005-0000-0000-000020260000}"/>
    <cellStyle name="Comma 16 3 3" xfId="1746" xr:uid="{00000000-0005-0000-0000-000021260000}"/>
    <cellStyle name="Comma 16 3 3 2" xfId="3492" xr:uid="{00000000-0005-0000-0000-000022260000}"/>
    <cellStyle name="Comma 16 3 3 2 2" xfId="8171" xr:uid="{00000000-0005-0000-0000-000023260000}"/>
    <cellStyle name="Comma 16 3 3 2 2 2" xfId="17495" xr:uid="{00000000-0005-0000-0000-000024260000}"/>
    <cellStyle name="Comma 16 3 3 2 2 3" xfId="26818" xr:uid="{00000000-0005-0000-0000-000025260000}"/>
    <cellStyle name="Comma 16 3 3 2 3" xfId="12871" xr:uid="{00000000-0005-0000-0000-000026260000}"/>
    <cellStyle name="Comma 16 3 3 2 4" xfId="22197" xr:uid="{00000000-0005-0000-0000-000027260000}"/>
    <cellStyle name="Comma 16 3 3 3" xfId="5190" xr:uid="{00000000-0005-0000-0000-000028260000}"/>
    <cellStyle name="Comma 16 3 3 3 2" xfId="14514" xr:uid="{00000000-0005-0000-0000-000029260000}"/>
    <cellStyle name="Comma 16 3 3 3 3" xfId="23837" xr:uid="{00000000-0005-0000-0000-00002A260000}"/>
    <cellStyle name="Comma 16 3 3 4" xfId="6271" xr:uid="{00000000-0005-0000-0000-00002B260000}"/>
    <cellStyle name="Comma 16 3 3 4 2" xfId="15595" xr:uid="{00000000-0005-0000-0000-00002C260000}"/>
    <cellStyle name="Comma 16 3 3 4 3" xfId="24918" xr:uid="{00000000-0005-0000-0000-00002D260000}"/>
    <cellStyle name="Comma 16 3 3 5" xfId="11273" xr:uid="{00000000-0005-0000-0000-00002E260000}"/>
    <cellStyle name="Comma 16 3 3 6" xfId="20597" xr:uid="{00000000-0005-0000-0000-00002F260000}"/>
    <cellStyle name="Comma 16 3 4" xfId="3489" xr:uid="{00000000-0005-0000-0000-000030260000}"/>
    <cellStyle name="Comma 16 3 4 2" xfId="8168" xr:uid="{00000000-0005-0000-0000-000031260000}"/>
    <cellStyle name="Comma 16 3 4 2 2" xfId="17492" xr:uid="{00000000-0005-0000-0000-000032260000}"/>
    <cellStyle name="Comma 16 3 4 2 3" xfId="26815" xr:uid="{00000000-0005-0000-0000-000033260000}"/>
    <cellStyle name="Comma 16 3 4 3" xfId="12868" xr:uid="{00000000-0005-0000-0000-000034260000}"/>
    <cellStyle name="Comma 16 3 4 4" xfId="22194" xr:uid="{00000000-0005-0000-0000-000035260000}"/>
    <cellStyle name="Comma 16 3 5" xfId="5187" xr:uid="{00000000-0005-0000-0000-000036260000}"/>
    <cellStyle name="Comma 16 3 5 2" xfId="14511" xr:uid="{00000000-0005-0000-0000-000037260000}"/>
    <cellStyle name="Comma 16 3 5 3" xfId="23834" xr:uid="{00000000-0005-0000-0000-000038260000}"/>
    <cellStyle name="Comma 16 3 6" xfId="6388" xr:uid="{00000000-0005-0000-0000-000039260000}"/>
    <cellStyle name="Comma 16 3 6 2" xfId="15712" xr:uid="{00000000-0005-0000-0000-00003A260000}"/>
    <cellStyle name="Comma 16 3 6 3" xfId="25035" xr:uid="{00000000-0005-0000-0000-00003B260000}"/>
    <cellStyle name="Comma 16 3 7" xfId="11270" xr:uid="{00000000-0005-0000-0000-00003C260000}"/>
    <cellStyle name="Comma 16 3 8" xfId="20594" xr:uid="{00000000-0005-0000-0000-00003D260000}"/>
    <cellStyle name="Comma 16 4" xfId="1747" xr:uid="{00000000-0005-0000-0000-00003E260000}"/>
    <cellStyle name="Comma 16 4 2" xfId="1748" xr:uid="{00000000-0005-0000-0000-00003F260000}"/>
    <cellStyle name="Comma 16 4 2 2" xfId="3494" xr:uid="{00000000-0005-0000-0000-000040260000}"/>
    <cellStyle name="Comma 16 4 2 2 2" xfId="8173" xr:uid="{00000000-0005-0000-0000-000041260000}"/>
    <cellStyle name="Comma 16 4 2 2 2 2" xfId="17497" xr:uid="{00000000-0005-0000-0000-000042260000}"/>
    <cellStyle name="Comma 16 4 2 2 2 3" xfId="26820" xr:uid="{00000000-0005-0000-0000-000043260000}"/>
    <cellStyle name="Comma 16 4 2 2 3" xfId="12872" xr:uid="{00000000-0005-0000-0000-000044260000}"/>
    <cellStyle name="Comma 16 4 2 2 4" xfId="22198" xr:uid="{00000000-0005-0000-0000-000045260000}"/>
    <cellStyle name="Comma 16 4 2 3" xfId="5191" xr:uid="{00000000-0005-0000-0000-000046260000}"/>
    <cellStyle name="Comma 16 4 2 3 2" xfId="14515" xr:uid="{00000000-0005-0000-0000-000047260000}"/>
    <cellStyle name="Comma 16 4 2 3 3" xfId="23838" xr:uid="{00000000-0005-0000-0000-000048260000}"/>
    <cellStyle name="Comma 16 4 2 4" xfId="6384" xr:uid="{00000000-0005-0000-0000-000049260000}"/>
    <cellStyle name="Comma 16 4 2 4 2" xfId="15708" xr:uid="{00000000-0005-0000-0000-00004A260000}"/>
    <cellStyle name="Comma 16 4 2 4 3" xfId="25031" xr:uid="{00000000-0005-0000-0000-00004B260000}"/>
    <cellStyle name="Comma 16 4 2 5" xfId="11275" xr:uid="{00000000-0005-0000-0000-00004C260000}"/>
    <cellStyle name="Comma 16 4 2 6" xfId="20599" xr:uid="{00000000-0005-0000-0000-00004D260000}"/>
    <cellStyle name="Comma 16 4 3" xfId="1749" xr:uid="{00000000-0005-0000-0000-00004E260000}"/>
    <cellStyle name="Comma 16 4 3 2" xfId="3495" xr:uid="{00000000-0005-0000-0000-00004F260000}"/>
    <cellStyle name="Comma 16 4 3 2 2" xfId="8174" xr:uid="{00000000-0005-0000-0000-000050260000}"/>
    <cellStyle name="Comma 16 4 3 2 2 2" xfId="17498" xr:uid="{00000000-0005-0000-0000-000051260000}"/>
    <cellStyle name="Comma 16 4 3 2 2 3" xfId="26821" xr:uid="{00000000-0005-0000-0000-000052260000}"/>
    <cellStyle name="Comma 16 4 3 3" xfId="6383" xr:uid="{00000000-0005-0000-0000-000053260000}"/>
    <cellStyle name="Comma 16 4 3 3 2" xfId="15707" xr:uid="{00000000-0005-0000-0000-000054260000}"/>
    <cellStyle name="Comma 16 4 3 3 3" xfId="25030" xr:uid="{00000000-0005-0000-0000-000055260000}"/>
    <cellStyle name="Comma 16 4 3 4" xfId="11276" xr:uid="{00000000-0005-0000-0000-000056260000}"/>
    <cellStyle name="Comma 16 4 3 5" xfId="20600" xr:uid="{00000000-0005-0000-0000-000057260000}"/>
    <cellStyle name="Comma 16 4 4" xfId="3493" xr:uid="{00000000-0005-0000-0000-000058260000}"/>
    <cellStyle name="Comma 16 4 4 2" xfId="8172" xr:uid="{00000000-0005-0000-0000-000059260000}"/>
    <cellStyle name="Comma 16 4 4 2 2" xfId="17496" xr:uid="{00000000-0005-0000-0000-00005A260000}"/>
    <cellStyle name="Comma 16 4 4 2 3" xfId="26819" xr:uid="{00000000-0005-0000-0000-00005B260000}"/>
    <cellStyle name="Comma 16 4 5" xfId="6385" xr:uid="{00000000-0005-0000-0000-00005C260000}"/>
    <cellStyle name="Comma 16 4 5 2" xfId="15709" xr:uid="{00000000-0005-0000-0000-00005D260000}"/>
    <cellStyle name="Comma 16 4 5 3" xfId="25032" xr:uid="{00000000-0005-0000-0000-00005E260000}"/>
    <cellStyle name="Comma 16 4 6" xfId="11274" xr:uid="{00000000-0005-0000-0000-00005F260000}"/>
    <cellStyle name="Comma 16 4 7" xfId="20598" xr:uid="{00000000-0005-0000-0000-000060260000}"/>
    <cellStyle name="Comma 16 5" xfId="1750" xr:uid="{00000000-0005-0000-0000-000061260000}"/>
    <cellStyle name="Comma 16 5 2" xfId="3496" xr:uid="{00000000-0005-0000-0000-000062260000}"/>
    <cellStyle name="Comma 16 5 2 2" xfId="8175" xr:uid="{00000000-0005-0000-0000-000063260000}"/>
    <cellStyle name="Comma 16 5 2 2 2" xfId="17499" xr:uid="{00000000-0005-0000-0000-000064260000}"/>
    <cellStyle name="Comma 16 5 2 2 3" xfId="26822" xr:uid="{00000000-0005-0000-0000-000065260000}"/>
    <cellStyle name="Comma 16 5 2 3" xfId="12873" xr:uid="{00000000-0005-0000-0000-000066260000}"/>
    <cellStyle name="Comma 16 5 2 4" xfId="22199" xr:uid="{00000000-0005-0000-0000-000067260000}"/>
    <cellStyle name="Comma 16 5 3" xfId="5192" xr:uid="{00000000-0005-0000-0000-000068260000}"/>
    <cellStyle name="Comma 16 5 3 2" xfId="14516" xr:uid="{00000000-0005-0000-0000-000069260000}"/>
    <cellStyle name="Comma 16 5 3 3" xfId="23839" xr:uid="{00000000-0005-0000-0000-00006A260000}"/>
    <cellStyle name="Comma 16 5 4" xfId="6382" xr:uid="{00000000-0005-0000-0000-00006B260000}"/>
    <cellStyle name="Comma 16 5 4 2" xfId="15706" xr:uid="{00000000-0005-0000-0000-00006C260000}"/>
    <cellStyle name="Comma 16 5 4 3" xfId="25029" xr:uid="{00000000-0005-0000-0000-00006D260000}"/>
    <cellStyle name="Comma 16 5 5" xfId="11277" xr:uid="{00000000-0005-0000-0000-00006E260000}"/>
    <cellStyle name="Comma 16 5 6" xfId="20601" xr:uid="{00000000-0005-0000-0000-00006F260000}"/>
    <cellStyle name="Comma 16 6" xfId="1751" xr:uid="{00000000-0005-0000-0000-000070260000}"/>
    <cellStyle name="Comma 16 6 2" xfId="3497" xr:uid="{00000000-0005-0000-0000-000071260000}"/>
    <cellStyle name="Comma 16 6 2 2" xfId="8176" xr:uid="{00000000-0005-0000-0000-000072260000}"/>
    <cellStyle name="Comma 16 6 2 2 2" xfId="17500" xr:uid="{00000000-0005-0000-0000-000073260000}"/>
    <cellStyle name="Comma 16 6 2 2 3" xfId="26823" xr:uid="{00000000-0005-0000-0000-000074260000}"/>
    <cellStyle name="Comma 16 6 2 3" xfId="12874" xr:uid="{00000000-0005-0000-0000-000075260000}"/>
    <cellStyle name="Comma 16 6 2 4" xfId="22200" xr:uid="{00000000-0005-0000-0000-000076260000}"/>
    <cellStyle name="Comma 16 6 3" xfId="5193" xr:uid="{00000000-0005-0000-0000-000077260000}"/>
    <cellStyle name="Comma 16 6 3 2" xfId="14517" xr:uid="{00000000-0005-0000-0000-000078260000}"/>
    <cellStyle name="Comma 16 6 3 3" xfId="23840" xr:uid="{00000000-0005-0000-0000-000079260000}"/>
    <cellStyle name="Comma 16 6 4" xfId="6381" xr:uid="{00000000-0005-0000-0000-00007A260000}"/>
    <cellStyle name="Comma 16 6 4 2" xfId="15705" xr:uid="{00000000-0005-0000-0000-00007B260000}"/>
    <cellStyle name="Comma 16 6 4 3" xfId="25028" xr:uid="{00000000-0005-0000-0000-00007C260000}"/>
    <cellStyle name="Comma 16 6 5" xfId="11278" xr:uid="{00000000-0005-0000-0000-00007D260000}"/>
    <cellStyle name="Comma 16 6 6" xfId="20602" xr:uid="{00000000-0005-0000-0000-00007E260000}"/>
    <cellStyle name="Comma 16 7" xfId="1752" xr:uid="{00000000-0005-0000-0000-00007F260000}"/>
    <cellStyle name="Comma 16 7 2" xfId="1753" xr:uid="{00000000-0005-0000-0000-000080260000}"/>
    <cellStyle name="Comma 16 7 2 2" xfId="3499" xr:uid="{00000000-0005-0000-0000-000081260000}"/>
    <cellStyle name="Comma 16 7 2 2 2" xfId="8178" xr:uid="{00000000-0005-0000-0000-000082260000}"/>
    <cellStyle name="Comma 16 7 2 2 2 2" xfId="17502" xr:uid="{00000000-0005-0000-0000-000083260000}"/>
    <cellStyle name="Comma 16 7 2 2 2 3" xfId="26825" xr:uid="{00000000-0005-0000-0000-000084260000}"/>
    <cellStyle name="Comma 16 7 2 2 3" xfId="12875" xr:uid="{00000000-0005-0000-0000-000085260000}"/>
    <cellStyle name="Comma 16 7 2 2 4" xfId="22201" xr:uid="{00000000-0005-0000-0000-000086260000}"/>
    <cellStyle name="Comma 16 7 2 3" xfId="5194" xr:uid="{00000000-0005-0000-0000-000087260000}"/>
    <cellStyle name="Comma 16 7 2 3 2" xfId="14518" xr:uid="{00000000-0005-0000-0000-000088260000}"/>
    <cellStyle name="Comma 16 7 2 3 3" xfId="23841" xr:uid="{00000000-0005-0000-0000-000089260000}"/>
    <cellStyle name="Comma 16 7 2 4" xfId="6379" xr:uid="{00000000-0005-0000-0000-00008A260000}"/>
    <cellStyle name="Comma 16 7 2 4 2" xfId="15703" xr:uid="{00000000-0005-0000-0000-00008B260000}"/>
    <cellStyle name="Comma 16 7 2 4 3" xfId="25026" xr:uid="{00000000-0005-0000-0000-00008C260000}"/>
    <cellStyle name="Comma 16 7 2 5" xfId="11280" xr:uid="{00000000-0005-0000-0000-00008D260000}"/>
    <cellStyle name="Comma 16 7 2 6" xfId="20604" xr:uid="{00000000-0005-0000-0000-00008E260000}"/>
    <cellStyle name="Comma 16 7 3" xfId="3498" xr:uid="{00000000-0005-0000-0000-00008F260000}"/>
    <cellStyle name="Comma 16 7 3 2" xfId="8177" xr:uid="{00000000-0005-0000-0000-000090260000}"/>
    <cellStyle name="Comma 16 7 3 2 2" xfId="17501" xr:uid="{00000000-0005-0000-0000-000091260000}"/>
    <cellStyle name="Comma 16 7 3 2 3" xfId="26824" xr:uid="{00000000-0005-0000-0000-000092260000}"/>
    <cellStyle name="Comma 16 7 4" xfId="6380" xr:uid="{00000000-0005-0000-0000-000093260000}"/>
    <cellStyle name="Comma 16 7 4 2" xfId="15704" xr:uid="{00000000-0005-0000-0000-000094260000}"/>
    <cellStyle name="Comma 16 7 4 3" xfId="25027" xr:uid="{00000000-0005-0000-0000-000095260000}"/>
    <cellStyle name="Comma 16 7 5" xfId="11279" xr:uid="{00000000-0005-0000-0000-000096260000}"/>
    <cellStyle name="Comma 16 7 6" xfId="20603" xr:uid="{00000000-0005-0000-0000-000097260000}"/>
    <cellStyle name="Comma 16 8" xfId="1738" xr:uid="{00000000-0005-0000-0000-000098260000}"/>
    <cellStyle name="Comma 16 8 2" xfId="3484" xr:uid="{00000000-0005-0000-0000-000099260000}"/>
    <cellStyle name="Comma 16 8 2 2" xfId="8163" xr:uid="{00000000-0005-0000-0000-00009A260000}"/>
    <cellStyle name="Comma 16 8 2 2 2" xfId="17487" xr:uid="{00000000-0005-0000-0000-00009B260000}"/>
    <cellStyle name="Comma 16 8 2 2 3" xfId="26810" xr:uid="{00000000-0005-0000-0000-00009C260000}"/>
    <cellStyle name="Comma 16 8 3" xfId="6392" xr:uid="{00000000-0005-0000-0000-00009D260000}"/>
    <cellStyle name="Comma 16 8 3 2" xfId="15716" xr:uid="{00000000-0005-0000-0000-00009E260000}"/>
    <cellStyle name="Comma 16 8 3 3" xfId="25039" xr:uid="{00000000-0005-0000-0000-00009F260000}"/>
    <cellStyle name="Comma 16 8 4" xfId="11265" xr:uid="{00000000-0005-0000-0000-0000A0260000}"/>
    <cellStyle name="Comma 16 8 5" xfId="20589" xr:uid="{00000000-0005-0000-0000-0000A1260000}"/>
    <cellStyle name="Comma 16 9" xfId="2994" xr:uid="{00000000-0005-0000-0000-0000A2260000}"/>
    <cellStyle name="Comma 16 9 2" xfId="7673" xr:uid="{00000000-0005-0000-0000-0000A3260000}"/>
    <cellStyle name="Comma 16 9 2 2" xfId="16997" xr:uid="{00000000-0005-0000-0000-0000A4260000}"/>
    <cellStyle name="Comma 16 9 2 3" xfId="26320" xr:uid="{00000000-0005-0000-0000-0000A5260000}"/>
    <cellStyle name="Comma 16 9 3" xfId="12385" xr:uid="{00000000-0005-0000-0000-0000A6260000}"/>
    <cellStyle name="Comma 16 9 4" xfId="21711" xr:uid="{00000000-0005-0000-0000-0000A7260000}"/>
    <cellStyle name="Comma 17" xfId="1184" xr:uid="{00000000-0005-0000-0000-0000A8260000}"/>
    <cellStyle name="Comma 17 10" xfId="2995" xr:uid="{00000000-0005-0000-0000-0000A9260000}"/>
    <cellStyle name="Comma 17 10 2" xfId="7674" xr:uid="{00000000-0005-0000-0000-0000AA260000}"/>
    <cellStyle name="Comma 17 10 2 2" xfId="16998" xr:uid="{00000000-0005-0000-0000-0000AB260000}"/>
    <cellStyle name="Comma 17 10 2 3" xfId="26321" xr:uid="{00000000-0005-0000-0000-0000AC260000}"/>
    <cellStyle name="Comma 17 10 3" xfId="12386" xr:uid="{00000000-0005-0000-0000-0000AD260000}"/>
    <cellStyle name="Comma 17 10 4" xfId="21712" xr:uid="{00000000-0005-0000-0000-0000AE260000}"/>
    <cellStyle name="Comma 17 11" xfId="4646" xr:uid="{00000000-0005-0000-0000-0000AF260000}"/>
    <cellStyle name="Comma 17 11 2" xfId="13970" xr:uid="{00000000-0005-0000-0000-0000B0260000}"/>
    <cellStyle name="Comma 17 11 3" xfId="23293" xr:uid="{00000000-0005-0000-0000-0000B1260000}"/>
    <cellStyle name="Comma 17 12" xfId="10776" xr:uid="{00000000-0005-0000-0000-0000B2260000}"/>
    <cellStyle name="Comma 17 13" xfId="20100" xr:uid="{00000000-0005-0000-0000-0000B3260000}"/>
    <cellStyle name="Comma 17 2" xfId="1755" xr:uid="{00000000-0005-0000-0000-0000B4260000}"/>
    <cellStyle name="Comma 17 2 2" xfId="1756" xr:uid="{00000000-0005-0000-0000-0000B5260000}"/>
    <cellStyle name="Comma 17 2 2 2" xfId="1757" xr:uid="{00000000-0005-0000-0000-0000B6260000}"/>
    <cellStyle name="Comma 17 2 2 2 2" xfId="3503" xr:uid="{00000000-0005-0000-0000-0000B7260000}"/>
    <cellStyle name="Comma 17 2 2 2 2 2" xfId="8182" xr:uid="{00000000-0005-0000-0000-0000B8260000}"/>
    <cellStyle name="Comma 17 2 2 2 2 2 2" xfId="17506" xr:uid="{00000000-0005-0000-0000-0000B9260000}"/>
    <cellStyle name="Comma 17 2 2 2 2 2 3" xfId="26829" xr:uid="{00000000-0005-0000-0000-0000BA260000}"/>
    <cellStyle name="Comma 17 2 2 2 2 3" xfId="12879" xr:uid="{00000000-0005-0000-0000-0000BB260000}"/>
    <cellStyle name="Comma 17 2 2 2 2 4" xfId="22205" xr:uid="{00000000-0005-0000-0000-0000BC260000}"/>
    <cellStyle name="Comma 17 2 2 2 3" xfId="5198" xr:uid="{00000000-0005-0000-0000-0000BD260000}"/>
    <cellStyle name="Comma 17 2 2 2 3 2" xfId="14522" xr:uid="{00000000-0005-0000-0000-0000BE260000}"/>
    <cellStyle name="Comma 17 2 2 2 3 3" xfId="23845" xr:uid="{00000000-0005-0000-0000-0000BF260000}"/>
    <cellStyle name="Comma 17 2 2 2 4" xfId="6375" xr:uid="{00000000-0005-0000-0000-0000C0260000}"/>
    <cellStyle name="Comma 17 2 2 2 4 2" xfId="15699" xr:uid="{00000000-0005-0000-0000-0000C1260000}"/>
    <cellStyle name="Comma 17 2 2 2 4 3" xfId="25022" xr:uid="{00000000-0005-0000-0000-0000C2260000}"/>
    <cellStyle name="Comma 17 2 2 2 5" xfId="11284" xr:uid="{00000000-0005-0000-0000-0000C3260000}"/>
    <cellStyle name="Comma 17 2 2 2 6" xfId="20608" xr:uid="{00000000-0005-0000-0000-0000C4260000}"/>
    <cellStyle name="Comma 17 2 2 3" xfId="3502" xr:uid="{00000000-0005-0000-0000-0000C5260000}"/>
    <cellStyle name="Comma 17 2 2 3 2" xfId="8181" xr:uid="{00000000-0005-0000-0000-0000C6260000}"/>
    <cellStyle name="Comma 17 2 2 3 2 2" xfId="17505" xr:uid="{00000000-0005-0000-0000-0000C7260000}"/>
    <cellStyle name="Comma 17 2 2 3 2 3" xfId="26828" xr:uid="{00000000-0005-0000-0000-0000C8260000}"/>
    <cellStyle name="Comma 17 2 2 3 3" xfId="12878" xr:uid="{00000000-0005-0000-0000-0000C9260000}"/>
    <cellStyle name="Comma 17 2 2 3 4" xfId="22204" xr:uid="{00000000-0005-0000-0000-0000CA260000}"/>
    <cellStyle name="Comma 17 2 2 4" xfId="5197" xr:uid="{00000000-0005-0000-0000-0000CB260000}"/>
    <cellStyle name="Comma 17 2 2 4 2" xfId="14521" xr:uid="{00000000-0005-0000-0000-0000CC260000}"/>
    <cellStyle name="Comma 17 2 2 4 3" xfId="23844" xr:uid="{00000000-0005-0000-0000-0000CD260000}"/>
    <cellStyle name="Comma 17 2 2 5" xfId="6376" xr:uid="{00000000-0005-0000-0000-0000CE260000}"/>
    <cellStyle name="Comma 17 2 2 5 2" xfId="15700" xr:uid="{00000000-0005-0000-0000-0000CF260000}"/>
    <cellStyle name="Comma 17 2 2 5 3" xfId="25023" xr:uid="{00000000-0005-0000-0000-0000D0260000}"/>
    <cellStyle name="Comma 17 2 2 6" xfId="11283" xr:uid="{00000000-0005-0000-0000-0000D1260000}"/>
    <cellStyle name="Comma 17 2 2 7" xfId="20607" xr:uid="{00000000-0005-0000-0000-0000D2260000}"/>
    <cellStyle name="Comma 17 2 3" xfId="1758" xr:uid="{00000000-0005-0000-0000-0000D3260000}"/>
    <cellStyle name="Comma 17 2 3 2" xfId="3504" xr:uid="{00000000-0005-0000-0000-0000D4260000}"/>
    <cellStyle name="Comma 17 2 3 2 2" xfId="8183" xr:uid="{00000000-0005-0000-0000-0000D5260000}"/>
    <cellStyle name="Comma 17 2 3 2 2 2" xfId="17507" xr:uid="{00000000-0005-0000-0000-0000D6260000}"/>
    <cellStyle name="Comma 17 2 3 2 2 3" xfId="26830" xr:uid="{00000000-0005-0000-0000-0000D7260000}"/>
    <cellStyle name="Comma 17 2 3 2 3" xfId="12880" xr:uid="{00000000-0005-0000-0000-0000D8260000}"/>
    <cellStyle name="Comma 17 2 3 2 4" xfId="22206" xr:uid="{00000000-0005-0000-0000-0000D9260000}"/>
    <cellStyle name="Comma 17 2 3 3" xfId="5199" xr:uid="{00000000-0005-0000-0000-0000DA260000}"/>
    <cellStyle name="Comma 17 2 3 3 2" xfId="14523" xr:uid="{00000000-0005-0000-0000-0000DB260000}"/>
    <cellStyle name="Comma 17 2 3 3 3" xfId="23846" xr:uid="{00000000-0005-0000-0000-0000DC260000}"/>
    <cellStyle name="Comma 17 2 3 4" xfId="6374" xr:uid="{00000000-0005-0000-0000-0000DD260000}"/>
    <cellStyle name="Comma 17 2 3 4 2" xfId="15698" xr:uid="{00000000-0005-0000-0000-0000DE260000}"/>
    <cellStyle name="Comma 17 2 3 4 3" xfId="25021" xr:uid="{00000000-0005-0000-0000-0000DF260000}"/>
    <cellStyle name="Comma 17 2 3 5" xfId="11285" xr:uid="{00000000-0005-0000-0000-0000E0260000}"/>
    <cellStyle name="Comma 17 2 3 6" xfId="20609" xr:uid="{00000000-0005-0000-0000-0000E1260000}"/>
    <cellStyle name="Comma 17 2 4" xfId="3501" xr:uid="{00000000-0005-0000-0000-0000E2260000}"/>
    <cellStyle name="Comma 17 2 4 2" xfId="8180" xr:uid="{00000000-0005-0000-0000-0000E3260000}"/>
    <cellStyle name="Comma 17 2 4 2 2" xfId="17504" xr:uid="{00000000-0005-0000-0000-0000E4260000}"/>
    <cellStyle name="Comma 17 2 4 2 3" xfId="26827" xr:uid="{00000000-0005-0000-0000-0000E5260000}"/>
    <cellStyle name="Comma 17 2 4 3" xfId="12877" xr:uid="{00000000-0005-0000-0000-0000E6260000}"/>
    <cellStyle name="Comma 17 2 4 4" xfId="22203" xr:uid="{00000000-0005-0000-0000-0000E7260000}"/>
    <cellStyle name="Comma 17 2 5" xfId="5196" xr:uid="{00000000-0005-0000-0000-0000E8260000}"/>
    <cellStyle name="Comma 17 2 5 2" xfId="14520" xr:uid="{00000000-0005-0000-0000-0000E9260000}"/>
    <cellStyle name="Comma 17 2 5 3" xfId="23843" xr:uid="{00000000-0005-0000-0000-0000EA260000}"/>
    <cellStyle name="Comma 17 2 6" xfId="6377" xr:uid="{00000000-0005-0000-0000-0000EB260000}"/>
    <cellStyle name="Comma 17 2 6 2" xfId="15701" xr:uid="{00000000-0005-0000-0000-0000EC260000}"/>
    <cellStyle name="Comma 17 2 6 3" xfId="25024" xr:uid="{00000000-0005-0000-0000-0000ED260000}"/>
    <cellStyle name="Comma 17 2 7" xfId="11282" xr:uid="{00000000-0005-0000-0000-0000EE260000}"/>
    <cellStyle name="Comma 17 2 8" xfId="20606" xr:uid="{00000000-0005-0000-0000-0000EF260000}"/>
    <cellStyle name="Comma 17 3" xfId="1759" xr:uid="{00000000-0005-0000-0000-0000F0260000}"/>
    <cellStyle name="Comma 17 3 2" xfId="1760" xr:uid="{00000000-0005-0000-0000-0000F1260000}"/>
    <cellStyle name="Comma 17 3 2 2" xfId="1761" xr:uid="{00000000-0005-0000-0000-0000F2260000}"/>
    <cellStyle name="Comma 17 3 2 2 2" xfId="3507" xr:uid="{00000000-0005-0000-0000-0000F3260000}"/>
    <cellStyle name="Comma 17 3 2 2 2 2" xfId="8186" xr:uid="{00000000-0005-0000-0000-0000F4260000}"/>
    <cellStyle name="Comma 17 3 2 2 2 2 2" xfId="17510" xr:uid="{00000000-0005-0000-0000-0000F5260000}"/>
    <cellStyle name="Comma 17 3 2 2 2 2 3" xfId="26833" xr:uid="{00000000-0005-0000-0000-0000F6260000}"/>
    <cellStyle name="Comma 17 3 2 2 2 3" xfId="12883" xr:uid="{00000000-0005-0000-0000-0000F7260000}"/>
    <cellStyle name="Comma 17 3 2 2 2 4" xfId="22209" xr:uid="{00000000-0005-0000-0000-0000F8260000}"/>
    <cellStyle name="Comma 17 3 2 2 3" xfId="5202" xr:uid="{00000000-0005-0000-0000-0000F9260000}"/>
    <cellStyle name="Comma 17 3 2 2 3 2" xfId="14526" xr:uid="{00000000-0005-0000-0000-0000FA260000}"/>
    <cellStyle name="Comma 17 3 2 2 3 3" xfId="23849" xr:uid="{00000000-0005-0000-0000-0000FB260000}"/>
    <cellStyle name="Comma 17 3 2 2 4" xfId="6371" xr:uid="{00000000-0005-0000-0000-0000FC260000}"/>
    <cellStyle name="Comma 17 3 2 2 4 2" xfId="15695" xr:uid="{00000000-0005-0000-0000-0000FD260000}"/>
    <cellStyle name="Comma 17 3 2 2 4 3" xfId="25018" xr:uid="{00000000-0005-0000-0000-0000FE260000}"/>
    <cellStyle name="Comma 17 3 2 2 5" xfId="11288" xr:uid="{00000000-0005-0000-0000-0000FF260000}"/>
    <cellStyle name="Comma 17 3 2 2 6" xfId="20612" xr:uid="{00000000-0005-0000-0000-000000270000}"/>
    <cellStyle name="Comma 17 3 2 3" xfId="3506" xr:uid="{00000000-0005-0000-0000-000001270000}"/>
    <cellStyle name="Comma 17 3 2 3 2" xfId="8185" xr:uid="{00000000-0005-0000-0000-000002270000}"/>
    <cellStyle name="Comma 17 3 2 3 2 2" xfId="17509" xr:uid="{00000000-0005-0000-0000-000003270000}"/>
    <cellStyle name="Comma 17 3 2 3 2 3" xfId="26832" xr:uid="{00000000-0005-0000-0000-000004270000}"/>
    <cellStyle name="Comma 17 3 2 3 3" xfId="12882" xr:uid="{00000000-0005-0000-0000-000005270000}"/>
    <cellStyle name="Comma 17 3 2 3 4" xfId="22208" xr:uid="{00000000-0005-0000-0000-000006270000}"/>
    <cellStyle name="Comma 17 3 2 4" xfId="5201" xr:uid="{00000000-0005-0000-0000-000007270000}"/>
    <cellStyle name="Comma 17 3 2 4 2" xfId="14525" xr:uid="{00000000-0005-0000-0000-000008270000}"/>
    <cellStyle name="Comma 17 3 2 4 3" xfId="23848" xr:uid="{00000000-0005-0000-0000-000009270000}"/>
    <cellStyle name="Comma 17 3 2 5" xfId="6372" xr:uid="{00000000-0005-0000-0000-00000A270000}"/>
    <cellStyle name="Comma 17 3 2 5 2" xfId="15696" xr:uid="{00000000-0005-0000-0000-00000B270000}"/>
    <cellStyle name="Comma 17 3 2 5 3" xfId="25019" xr:uid="{00000000-0005-0000-0000-00000C270000}"/>
    <cellStyle name="Comma 17 3 2 6" xfId="11287" xr:uid="{00000000-0005-0000-0000-00000D270000}"/>
    <cellStyle name="Comma 17 3 2 7" xfId="20611" xr:uid="{00000000-0005-0000-0000-00000E270000}"/>
    <cellStyle name="Comma 17 3 3" xfId="1762" xr:uid="{00000000-0005-0000-0000-00000F270000}"/>
    <cellStyle name="Comma 17 3 3 2" xfId="3508" xr:uid="{00000000-0005-0000-0000-000010270000}"/>
    <cellStyle name="Comma 17 3 3 2 2" xfId="8187" xr:uid="{00000000-0005-0000-0000-000011270000}"/>
    <cellStyle name="Comma 17 3 3 2 2 2" xfId="17511" xr:uid="{00000000-0005-0000-0000-000012270000}"/>
    <cellStyle name="Comma 17 3 3 2 2 3" xfId="26834" xr:uid="{00000000-0005-0000-0000-000013270000}"/>
    <cellStyle name="Comma 17 3 3 2 3" xfId="12884" xr:uid="{00000000-0005-0000-0000-000014270000}"/>
    <cellStyle name="Comma 17 3 3 2 4" xfId="22210" xr:uid="{00000000-0005-0000-0000-000015270000}"/>
    <cellStyle name="Comma 17 3 3 3" xfId="5203" xr:uid="{00000000-0005-0000-0000-000016270000}"/>
    <cellStyle name="Comma 17 3 3 3 2" xfId="14527" xr:uid="{00000000-0005-0000-0000-000017270000}"/>
    <cellStyle name="Comma 17 3 3 3 3" xfId="23850" xr:uid="{00000000-0005-0000-0000-000018270000}"/>
    <cellStyle name="Comma 17 3 3 4" xfId="6361" xr:uid="{00000000-0005-0000-0000-000019270000}"/>
    <cellStyle name="Comma 17 3 3 4 2" xfId="15685" xr:uid="{00000000-0005-0000-0000-00001A270000}"/>
    <cellStyle name="Comma 17 3 3 4 3" xfId="25008" xr:uid="{00000000-0005-0000-0000-00001B270000}"/>
    <cellStyle name="Comma 17 3 3 5" xfId="11289" xr:uid="{00000000-0005-0000-0000-00001C270000}"/>
    <cellStyle name="Comma 17 3 3 6" xfId="20613" xr:uid="{00000000-0005-0000-0000-00001D270000}"/>
    <cellStyle name="Comma 17 3 4" xfId="3505" xr:uid="{00000000-0005-0000-0000-00001E270000}"/>
    <cellStyle name="Comma 17 3 4 2" xfId="8184" xr:uid="{00000000-0005-0000-0000-00001F270000}"/>
    <cellStyle name="Comma 17 3 4 2 2" xfId="17508" xr:uid="{00000000-0005-0000-0000-000020270000}"/>
    <cellStyle name="Comma 17 3 4 2 3" xfId="26831" xr:uid="{00000000-0005-0000-0000-000021270000}"/>
    <cellStyle name="Comma 17 3 4 3" xfId="12881" xr:uid="{00000000-0005-0000-0000-000022270000}"/>
    <cellStyle name="Comma 17 3 4 4" xfId="22207" xr:uid="{00000000-0005-0000-0000-000023270000}"/>
    <cellStyle name="Comma 17 3 5" xfId="5200" xr:uid="{00000000-0005-0000-0000-000024270000}"/>
    <cellStyle name="Comma 17 3 5 2" xfId="14524" xr:uid="{00000000-0005-0000-0000-000025270000}"/>
    <cellStyle name="Comma 17 3 5 3" xfId="23847" xr:uid="{00000000-0005-0000-0000-000026270000}"/>
    <cellStyle name="Comma 17 3 6" xfId="6373" xr:uid="{00000000-0005-0000-0000-000027270000}"/>
    <cellStyle name="Comma 17 3 6 2" xfId="15697" xr:uid="{00000000-0005-0000-0000-000028270000}"/>
    <cellStyle name="Comma 17 3 6 3" xfId="25020" xr:uid="{00000000-0005-0000-0000-000029270000}"/>
    <cellStyle name="Comma 17 3 7" xfId="11286" xr:uid="{00000000-0005-0000-0000-00002A270000}"/>
    <cellStyle name="Comma 17 3 8" xfId="20610" xr:uid="{00000000-0005-0000-0000-00002B270000}"/>
    <cellStyle name="Comma 17 4" xfId="1763" xr:uid="{00000000-0005-0000-0000-00002C270000}"/>
    <cellStyle name="Comma 17 4 2" xfId="1764" xr:uid="{00000000-0005-0000-0000-00002D270000}"/>
    <cellStyle name="Comma 17 4 2 2" xfId="3510" xr:uid="{00000000-0005-0000-0000-00002E270000}"/>
    <cellStyle name="Comma 17 4 2 2 2" xfId="8189" xr:uid="{00000000-0005-0000-0000-00002F270000}"/>
    <cellStyle name="Comma 17 4 2 2 2 2" xfId="17513" xr:uid="{00000000-0005-0000-0000-000030270000}"/>
    <cellStyle name="Comma 17 4 2 2 2 3" xfId="26836" xr:uid="{00000000-0005-0000-0000-000031270000}"/>
    <cellStyle name="Comma 17 4 2 2 3" xfId="12886" xr:uid="{00000000-0005-0000-0000-000032270000}"/>
    <cellStyle name="Comma 17 4 2 2 4" xfId="22212" xr:uid="{00000000-0005-0000-0000-000033270000}"/>
    <cellStyle name="Comma 17 4 2 3" xfId="5205" xr:uid="{00000000-0005-0000-0000-000034270000}"/>
    <cellStyle name="Comma 17 4 2 3 2" xfId="14529" xr:uid="{00000000-0005-0000-0000-000035270000}"/>
    <cellStyle name="Comma 17 4 2 3 3" xfId="23852" xr:uid="{00000000-0005-0000-0000-000036270000}"/>
    <cellStyle name="Comma 17 4 2 4" xfId="6369" xr:uid="{00000000-0005-0000-0000-000037270000}"/>
    <cellStyle name="Comma 17 4 2 4 2" xfId="15693" xr:uid="{00000000-0005-0000-0000-000038270000}"/>
    <cellStyle name="Comma 17 4 2 4 3" xfId="25016" xr:uid="{00000000-0005-0000-0000-000039270000}"/>
    <cellStyle name="Comma 17 4 2 5" xfId="11291" xr:uid="{00000000-0005-0000-0000-00003A270000}"/>
    <cellStyle name="Comma 17 4 2 6" xfId="20615" xr:uid="{00000000-0005-0000-0000-00003B270000}"/>
    <cellStyle name="Comma 17 4 3" xfId="3509" xr:uid="{00000000-0005-0000-0000-00003C270000}"/>
    <cellStyle name="Comma 17 4 3 2" xfId="8188" xr:uid="{00000000-0005-0000-0000-00003D270000}"/>
    <cellStyle name="Comma 17 4 3 2 2" xfId="17512" xr:uid="{00000000-0005-0000-0000-00003E270000}"/>
    <cellStyle name="Comma 17 4 3 2 3" xfId="26835" xr:uid="{00000000-0005-0000-0000-00003F270000}"/>
    <cellStyle name="Comma 17 4 3 3" xfId="12885" xr:uid="{00000000-0005-0000-0000-000040270000}"/>
    <cellStyle name="Comma 17 4 3 4" xfId="22211" xr:uid="{00000000-0005-0000-0000-000041270000}"/>
    <cellStyle name="Comma 17 4 4" xfId="5204" xr:uid="{00000000-0005-0000-0000-000042270000}"/>
    <cellStyle name="Comma 17 4 4 2" xfId="14528" xr:uid="{00000000-0005-0000-0000-000043270000}"/>
    <cellStyle name="Comma 17 4 4 3" xfId="23851" xr:uid="{00000000-0005-0000-0000-000044270000}"/>
    <cellStyle name="Comma 17 4 5" xfId="6370" xr:uid="{00000000-0005-0000-0000-000045270000}"/>
    <cellStyle name="Comma 17 4 5 2" xfId="15694" xr:uid="{00000000-0005-0000-0000-000046270000}"/>
    <cellStyle name="Comma 17 4 5 3" xfId="25017" xr:uid="{00000000-0005-0000-0000-000047270000}"/>
    <cellStyle name="Comma 17 4 6" xfId="11290" xr:uid="{00000000-0005-0000-0000-000048270000}"/>
    <cellStyle name="Comma 17 4 7" xfId="20614" xr:uid="{00000000-0005-0000-0000-000049270000}"/>
    <cellStyle name="Comma 17 5" xfId="1765" xr:uid="{00000000-0005-0000-0000-00004A270000}"/>
    <cellStyle name="Comma 17 5 2" xfId="3511" xr:uid="{00000000-0005-0000-0000-00004B270000}"/>
    <cellStyle name="Comma 17 5 2 2" xfId="8190" xr:uid="{00000000-0005-0000-0000-00004C270000}"/>
    <cellStyle name="Comma 17 5 2 2 2" xfId="17514" xr:uid="{00000000-0005-0000-0000-00004D270000}"/>
    <cellStyle name="Comma 17 5 2 2 3" xfId="26837" xr:uid="{00000000-0005-0000-0000-00004E270000}"/>
    <cellStyle name="Comma 17 5 2 3" xfId="12887" xr:uid="{00000000-0005-0000-0000-00004F270000}"/>
    <cellStyle name="Comma 17 5 2 4" xfId="22213" xr:uid="{00000000-0005-0000-0000-000050270000}"/>
    <cellStyle name="Comma 17 5 3" xfId="5206" xr:uid="{00000000-0005-0000-0000-000051270000}"/>
    <cellStyle name="Comma 17 5 3 2" xfId="14530" xr:uid="{00000000-0005-0000-0000-000052270000}"/>
    <cellStyle name="Comma 17 5 3 3" xfId="23853" xr:uid="{00000000-0005-0000-0000-000053270000}"/>
    <cellStyle name="Comma 17 5 4" xfId="6368" xr:uid="{00000000-0005-0000-0000-000054270000}"/>
    <cellStyle name="Comma 17 5 4 2" xfId="15692" xr:uid="{00000000-0005-0000-0000-000055270000}"/>
    <cellStyle name="Comma 17 5 4 3" xfId="25015" xr:uid="{00000000-0005-0000-0000-000056270000}"/>
    <cellStyle name="Comma 17 5 5" xfId="11292" xr:uid="{00000000-0005-0000-0000-000057270000}"/>
    <cellStyle name="Comma 17 5 6" xfId="20616" xr:uid="{00000000-0005-0000-0000-000058270000}"/>
    <cellStyle name="Comma 17 6" xfId="1766" xr:uid="{00000000-0005-0000-0000-000059270000}"/>
    <cellStyle name="Comma 17 6 2" xfId="3512" xr:uid="{00000000-0005-0000-0000-00005A270000}"/>
    <cellStyle name="Comma 17 6 2 2" xfId="8191" xr:uid="{00000000-0005-0000-0000-00005B270000}"/>
    <cellStyle name="Comma 17 6 2 2 2" xfId="17515" xr:uid="{00000000-0005-0000-0000-00005C270000}"/>
    <cellStyle name="Comma 17 6 2 2 3" xfId="26838" xr:uid="{00000000-0005-0000-0000-00005D270000}"/>
    <cellStyle name="Comma 17 6 2 3" xfId="12888" xr:uid="{00000000-0005-0000-0000-00005E270000}"/>
    <cellStyle name="Comma 17 6 2 4" xfId="22214" xr:uid="{00000000-0005-0000-0000-00005F270000}"/>
    <cellStyle name="Comma 17 6 3" xfId="5207" xr:uid="{00000000-0005-0000-0000-000060270000}"/>
    <cellStyle name="Comma 17 6 3 2" xfId="14531" xr:uid="{00000000-0005-0000-0000-000061270000}"/>
    <cellStyle name="Comma 17 6 3 3" xfId="23854" xr:uid="{00000000-0005-0000-0000-000062270000}"/>
    <cellStyle name="Comma 17 6 4" xfId="6367" xr:uid="{00000000-0005-0000-0000-000063270000}"/>
    <cellStyle name="Comma 17 6 4 2" xfId="15691" xr:uid="{00000000-0005-0000-0000-000064270000}"/>
    <cellStyle name="Comma 17 6 4 3" xfId="25014" xr:uid="{00000000-0005-0000-0000-000065270000}"/>
    <cellStyle name="Comma 17 6 5" xfId="11293" xr:uid="{00000000-0005-0000-0000-000066270000}"/>
    <cellStyle name="Comma 17 6 6" xfId="20617" xr:uid="{00000000-0005-0000-0000-000067270000}"/>
    <cellStyle name="Comma 17 7" xfId="1767" xr:uid="{00000000-0005-0000-0000-000068270000}"/>
    <cellStyle name="Comma 17 7 2" xfId="3513" xr:uid="{00000000-0005-0000-0000-000069270000}"/>
    <cellStyle name="Comma 17 7 2 2" xfId="8192" xr:uid="{00000000-0005-0000-0000-00006A270000}"/>
    <cellStyle name="Comma 17 7 2 2 2" xfId="17516" xr:uid="{00000000-0005-0000-0000-00006B270000}"/>
    <cellStyle name="Comma 17 7 2 2 3" xfId="26839" xr:uid="{00000000-0005-0000-0000-00006C270000}"/>
    <cellStyle name="Comma 17 7 2 3" xfId="12889" xr:uid="{00000000-0005-0000-0000-00006D270000}"/>
    <cellStyle name="Comma 17 7 2 4" xfId="22215" xr:uid="{00000000-0005-0000-0000-00006E270000}"/>
    <cellStyle name="Comma 17 7 3" xfId="5208" xr:uid="{00000000-0005-0000-0000-00006F270000}"/>
    <cellStyle name="Comma 17 7 3 2" xfId="14532" xr:uid="{00000000-0005-0000-0000-000070270000}"/>
    <cellStyle name="Comma 17 7 3 3" xfId="23855" xr:uid="{00000000-0005-0000-0000-000071270000}"/>
    <cellStyle name="Comma 17 7 4" xfId="6366" xr:uid="{00000000-0005-0000-0000-000072270000}"/>
    <cellStyle name="Comma 17 7 4 2" xfId="15690" xr:uid="{00000000-0005-0000-0000-000073270000}"/>
    <cellStyle name="Comma 17 7 4 3" xfId="25013" xr:uid="{00000000-0005-0000-0000-000074270000}"/>
    <cellStyle name="Comma 17 7 5" xfId="11294" xr:uid="{00000000-0005-0000-0000-000075270000}"/>
    <cellStyle name="Comma 17 7 6" xfId="20618" xr:uid="{00000000-0005-0000-0000-000076270000}"/>
    <cellStyle name="Comma 17 8" xfId="1754" xr:uid="{00000000-0005-0000-0000-000077270000}"/>
    <cellStyle name="Comma 17 8 2" xfId="3500" xr:uid="{00000000-0005-0000-0000-000078270000}"/>
    <cellStyle name="Comma 17 8 2 2" xfId="8179" xr:uid="{00000000-0005-0000-0000-000079270000}"/>
    <cellStyle name="Comma 17 8 2 2 2" xfId="17503" xr:uid="{00000000-0005-0000-0000-00007A270000}"/>
    <cellStyle name="Comma 17 8 2 2 3" xfId="26826" xr:uid="{00000000-0005-0000-0000-00007B270000}"/>
    <cellStyle name="Comma 17 8 2 3" xfId="12876" xr:uid="{00000000-0005-0000-0000-00007C270000}"/>
    <cellStyle name="Comma 17 8 2 4" xfId="22202" xr:uid="{00000000-0005-0000-0000-00007D270000}"/>
    <cellStyle name="Comma 17 8 3" xfId="5195" xr:uid="{00000000-0005-0000-0000-00007E270000}"/>
    <cellStyle name="Comma 17 8 3 2" xfId="14519" xr:uid="{00000000-0005-0000-0000-00007F270000}"/>
    <cellStyle name="Comma 17 8 3 3" xfId="23842" xr:uid="{00000000-0005-0000-0000-000080270000}"/>
    <cellStyle name="Comma 17 8 4" xfId="6378" xr:uid="{00000000-0005-0000-0000-000081270000}"/>
    <cellStyle name="Comma 17 8 4 2" xfId="15702" xr:uid="{00000000-0005-0000-0000-000082270000}"/>
    <cellStyle name="Comma 17 8 4 3" xfId="25025" xr:uid="{00000000-0005-0000-0000-000083270000}"/>
    <cellStyle name="Comma 17 8 5" xfId="11281" xr:uid="{00000000-0005-0000-0000-000084270000}"/>
    <cellStyle name="Comma 17 8 6" xfId="20605" xr:uid="{00000000-0005-0000-0000-000085270000}"/>
    <cellStyle name="Comma 17 9" xfId="2892" xr:uid="{00000000-0005-0000-0000-000086270000}"/>
    <cellStyle name="Comma 17 9 2" xfId="4540" xr:uid="{00000000-0005-0000-0000-000087270000}"/>
    <cellStyle name="Comma 17 9 2 2" xfId="9217" xr:uid="{00000000-0005-0000-0000-000088270000}"/>
    <cellStyle name="Comma 17 9 2 2 2" xfId="18541" xr:uid="{00000000-0005-0000-0000-000089270000}"/>
    <cellStyle name="Comma 17 9 2 2 3" xfId="27864" xr:uid="{00000000-0005-0000-0000-00008A270000}"/>
    <cellStyle name="Comma 17 9 3" xfId="7598" xr:uid="{00000000-0005-0000-0000-00008B270000}"/>
    <cellStyle name="Comma 17 9 3 2" xfId="16922" xr:uid="{00000000-0005-0000-0000-00008C270000}"/>
    <cellStyle name="Comma 17 9 3 3" xfId="26245" xr:uid="{00000000-0005-0000-0000-00008D270000}"/>
    <cellStyle name="Comma 17 9 4" xfId="12318" xr:uid="{00000000-0005-0000-0000-00008E270000}"/>
    <cellStyle name="Comma 17 9 5" xfId="21644" xr:uid="{00000000-0005-0000-0000-00008F270000}"/>
    <cellStyle name="Comma 18" xfId="1185" xr:uid="{00000000-0005-0000-0000-000090270000}"/>
    <cellStyle name="Comma 18 10" xfId="20101" xr:uid="{00000000-0005-0000-0000-000091270000}"/>
    <cellStyle name="Comma 18 2" xfId="1769" xr:uid="{00000000-0005-0000-0000-000092270000}"/>
    <cellStyle name="Comma 18 2 2" xfId="1770" xr:uid="{00000000-0005-0000-0000-000093270000}"/>
    <cellStyle name="Comma 18 2 2 2" xfId="1771" xr:uid="{00000000-0005-0000-0000-000094270000}"/>
    <cellStyle name="Comma 18 2 2 2 2" xfId="2896" xr:uid="{00000000-0005-0000-0000-000095270000}"/>
    <cellStyle name="Comma 18 2 2 2 2 2" xfId="2897" xr:uid="{00000000-0005-0000-0000-000096270000}"/>
    <cellStyle name="Comma 18 2 2 2 2 2 2" xfId="4545" xr:uid="{00000000-0005-0000-0000-000097270000}"/>
    <cellStyle name="Comma 18 2 2 2 2 2 2 2" xfId="9222" xr:uid="{00000000-0005-0000-0000-000098270000}"/>
    <cellStyle name="Comma 18 2 2 2 2 2 2 2 2" xfId="18546" xr:uid="{00000000-0005-0000-0000-000099270000}"/>
    <cellStyle name="Comma 18 2 2 2 2 2 2 2 3" xfId="27869" xr:uid="{00000000-0005-0000-0000-00009A270000}"/>
    <cellStyle name="Comma 18 2 2 2 2 2 3" xfId="7603" xr:uid="{00000000-0005-0000-0000-00009B270000}"/>
    <cellStyle name="Comma 18 2 2 2 2 2 3 2" xfId="16927" xr:uid="{00000000-0005-0000-0000-00009C270000}"/>
    <cellStyle name="Comma 18 2 2 2 2 2 3 3" xfId="26250" xr:uid="{00000000-0005-0000-0000-00009D270000}"/>
    <cellStyle name="Comma 18 2 2 2 2 2 4" xfId="12323" xr:uid="{00000000-0005-0000-0000-00009E270000}"/>
    <cellStyle name="Comma 18 2 2 2 2 2 5" xfId="21649" xr:uid="{00000000-0005-0000-0000-00009F270000}"/>
    <cellStyle name="Comma 18 2 2 2 2 3" xfId="4544" xr:uid="{00000000-0005-0000-0000-0000A0270000}"/>
    <cellStyle name="Comma 18 2 2 2 2 3 2" xfId="9221" xr:uid="{00000000-0005-0000-0000-0000A1270000}"/>
    <cellStyle name="Comma 18 2 2 2 2 3 2 2" xfId="18545" xr:uid="{00000000-0005-0000-0000-0000A2270000}"/>
    <cellStyle name="Comma 18 2 2 2 2 3 2 3" xfId="27868" xr:uid="{00000000-0005-0000-0000-0000A3270000}"/>
    <cellStyle name="Comma 18 2 2 2 2 4" xfId="7602" xr:uid="{00000000-0005-0000-0000-0000A4270000}"/>
    <cellStyle name="Comma 18 2 2 2 2 4 2" xfId="16926" xr:uid="{00000000-0005-0000-0000-0000A5270000}"/>
    <cellStyle name="Comma 18 2 2 2 2 4 3" xfId="26249" xr:uid="{00000000-0005-0000-0000-0000A6270000}"/>
    <cellStyle name="Comma 18 2 2 2 2 5" xfId="12322" xr:uid="{00000000-0005-0000-0000-0000A7270000}"/>
    <cellStyle name="Comma 18 2 2 2 2 6" xfId="21648" xr:uid="{00000000-0005-0000-0000-0000A8270000}"/>
    <cellStyle name="Comma 18 2 2 2 3" xfId="2895" xr:uid="{00000000-0005-0000-0000-0000A9270000}"/>
    <cellStyle name="Comma 18 2 2 2 3 2" xfId="4543" xr:uid="{00000000-0005-0000-0000-0000AA270000}"/>
    <cellStyle name="Comma 18 2 2 2 3 2 2" xfId="9220" xr:uid="{00000000-0005-0000-0000-0000AB270000}"/>
    <cellStyle name="Comma 18 2 2 2 3 2 2 2" xfId="18544" xr:uid="{00000000-0005-0000-0000-0000AC270000}"/>
    <cellStyle name="Comma 18 2 2 2 3 2 2 3" xfId="27867" xr:uid="{00000000-0005-0000-0000-0000AD270000}"/>
    <cellStyle name="Comma 18 2 2 2 3 3" xfId="7601" xr:uid="{00000000-0005-0000-0000-0000AE270000}"/>
    <cellStyle name="Comma 18 2 2 2 3 3 2" xfId="16925" xr:uid="{00000000-0005-0000-0000-0000AF270000}"/>
    <cellStyle name="Comma 18 2 2 2 3 3 3" xfId="26248" xr:uid="{00000000-0005-0000-0000-0000B0270000}"/>
    <cellStyle name="Comma 18 2 2 2 3 4" xfId="12321" xr:uid="{00000000-0005-0000-0000-0000B1270000}"/>
    <cellStyle name="Comma 18 2 2 2 3 5" xfId="21647" xr:uid="{00000000-0005-0000-0000-0000B2270000}"/>
    <cellStyle name="Comma 18 2 2 2 4" xfId="3517" xr:uid="{00000000-0005-0000-0000-0000B3270000}"/>
    <cellStyle name="Comma 18 2 2 2 4 2" xfId="8196" xr:uid="{00000000-0005-0000-0000-0000B4270000}"/>
    <cellStyle name="Comma 18 2 2 2 4 2 2" xfId="17520" xr:uid="{00000000-0005-0000-0000-0000B5270000}"/>
    <cellStyle name="Comma 18 2 2 2 4 2 3" xfId="26843" xr:uid="{00000000-0005-0000-0000-0000B6270000}"/>
    <cellStyle name="Comma 18 2 2 2 4 3" xfId="12892" xr:uid="{00000000-0005-0000-0000-0000B7270000}"/>
    <cellStyle name="Comma 18 2 2 2 4 4" xfId="22218" xr:uid="{00000000-0005-0000-0000-0000B8270000}"/>
    <cellStyle name="Comma 18 2 2 2 5" xfId="5212" xr:uid="{00000000-0005-0000-0000-0000B9270000}"/>
    <cellStyle name="Comma 18 2 2 2 5 2" xfId="14536" xr:uid="{00000000-0005-0000-0000-0000BA270000}"/>
    <cellStyle name="Comma 18 2 2 2 5 3" xfId="23859" xr:uid="{00000000-0005-0000-0000-0000BB270000}"/>
    <cellStyle name="Comma 18 2 2 2 6" xfId="6362" xr:uid="{00000000-0005-0000-0000-0000BC270000}"/>
    <cellStyle name="Comma 18 2 2 2 6 2" xfId="15686" xr:uid="{00000000-0005-0000-0000-0000BD270000}"/>
    <cellStyle name="Comma 18 2 2 2 6 3" xfId="25009" xr:uid="{00000000-0005-0000-0000-0000BE270000}"/>
    <cellStyle name="Comma 18 2 2 2 7" xfId="11298" xr:uid="{00000000-0005-0000-0000-0000BF270000}"/>
    <cellStyle name="Comma 18 2 2 2 8" xfId="20622" xr:uid="{00000000-0005-0000-0000-0000C0270000}"/>
    <cellStyle name="Comma 18 2 2 3" xfId="2894" xr:uid="{00000000-0005-0000-0000-0000C1270000}"/>
    <cellStyle name="Comma 18 2 2 3 2" xfId="4542" xr:uid="{00000000-0005-0000-0000-0000C2270000}"/>
    <cellStyle name="Comma 18 2 2 3 2 2" xfId="9219" xr:uid="{00000000-0005-0000-0000-0000C3270000}"/>
    <cellStyle name="Comma 18 2 2 3 2 2 2" xfId="18543" xr:uid="{00000000-0005-0000-0000-0000C4270000}"/>
    <cellStyle name="Comma 18 2 2 3 2 2 3" xfId="27866" xr:uid="{00000000-0005-0000-0000-0000C5270000}"/>
    <cellStyle name="Comma 18 2 2 3 3" xfId="7600" xr:uid="{00000000-0005-0000-0000-0000C6270000}"/>
    <cellStyle name="Comma 18 2 2 3 3 2" xfId="16924" xr:uid="{00000000-0005-0000-0000-0000C7270000}"/>
    <cellStyle name="Comma 18 2 2 3 3 3" xfId="26247" xr:uid="{00000000-0005-0000-0000-0000C8270000}"/>
    <cellStyle name="Comma 18 2 2 3 4" xfId="12320" xr:uid="{00000000-0005-0000-0000-0000C9270000}"/>
    <cellStyle name="Comma 18 2 2 3 5" xfId="21646" xr:uid="{00000000-0005-0000-0000-0000CA270000}"/>
    <cellStyle name="Comma 18 2 2 4" xfId="3516" xr:uid="{00000000-0005-0000-0000-0000CB270000}"/>
    <cellStyle name="Comma 18 2 2 4 2" xfId="8195" xr:uid="{00000000-0005-0000-0000-0000CC270000}"/>
    <cellStyle name="Comma 18 2 2 4 2 2" xfId="17519" xr:uid="{00000000-0005-0000-0000-0000CD270000}"/>
    <cellStyle name="Comma 18 2 2 4 2 3" xfId="26842" xr:uid="{00000000-0005-0000-0000-0000CE270000}"/>
    <cellStyle name="Comma 18 2 2 4 3" xfId="12891" xr:uid="{00000000-0005-0000-0000-0000CF270000}"/>
    <cellStyle name="Comma 18 2 2 4 4" xfId="22217" xr:uid="{00000000-0005-0000-0000-0000D0270000}"/>
    <cellStyle name="Comma 18 2 2 5" xfId="5211" xr:uid="{00000000-0005-0000-0000-0000D1270000}"/>
    <cellStyle name="Comma 18 2 2 5 2" xfId="14535" xr:uid="{00000000-0005-0000-0000-0000D2270000}"/>
    <cellStyle name="Comma 18 2 2 5 3" xfId="23858" xr:uid="{00000000-0005-0000-0000-0000D3270000}"/>
    <cellStyle name="Comma 18 2 2 6" xfId="6363" xr:uid="{00000000-0005-0000-0000-0000D4270000}"/>
    <cellStyle name="Comma 18 2 2 6 2" xfId="15687" xr:uid="{00000000-0005-0000-0000-0000D5270000}"/>
    <cellStyle name="Comma 18 2 2 6 3" xfId="25010" xr:uid="{00000000-0005-0000-0000-0000D6270000}"/>
    <cellStyle name="Comma 18 2 2 7" xfId="11297" xr:uid="{00000000-0005-0000-0000-0000D7270000}"/>
    <cellStyle name="Comma 18 2 2 8" xfId="20621" xr:uid="{00000000-0005-0000-0000-0000D8270000}"/>
    <cellStyle name="Comma 18 2 3" xfId="1772" xr:uid="{00000000-0005-0000-0000-0000D9270000}"/>
    <cellStyle name="Comma 18 2 3 2" xfId="3518" xr:uid="{00000000-0005-0000-0000-0000DA270000}"/>
    <cellStyle name="Comma 18 2 3 2 2" xfId="8197" xr:uid="{00000000-0005-0000-0000-0000DB270000}"/>
    <cellStyle name="Comma 18 2 3 2 2 2" xfId="17521" xr:uid="{00000000-0005-0000-0000-0000DC270000}"/>
    <cellStyle name="Comma 18 2 3 2 2 3" xfId="26844" xr:uid="{00000000-0005-0000-0000-0000DD270000}"/>
    <cellStyle name="Comma 18 2 3 2 3" xfId="12893" xr:uid="{00000000-0005-0000-0000-0000DE270000}"/>
    <cellStyle name="Comma 18 2 3 2 4" xfId="22219" xr:uid="{00000000-0005-0000-0000-0000DF270000}"/>
    <cellStyle name="Comma 18 2 3 3" xfId="5213" xr:uid="{00000000-0005-0000-0000-0000E0270000}"/>
    <cellStyle name="Comma 18 2 3 3 2" xfId="14537" xr:uid="{00000000-0005-0000-0000-0000E1270000}"/>
    <cellStyle name="Comma 18 2 3 3 3" xfId="23860" xr:uid="{00000000-0005-0000-0000-0000E2270000}"/>
    <cellStyle name="Comma 18 2 3 4" xfId="4791" xr:uid="{00000000-0005-0000-0000-0000E3270000}"/>
    <cellStyle name="Comma 18 2 3 4 2" xfId="14115" xr:uid="{00000000-0005-0000-0000-0000E4270000}"/>
    <cellStyle name="Comma 18 2 3 4 3" xfId="23438" xr:uid="{00000000-0005-0000-0000-0000E5270000}"/>
    <cellStyle name="Comma 18 2 3 5" xfId="11299" xr:uid="{00000000-0005-0000-0000-0000E6270000}"/>
    <cellStyle name="Comma 18 2 3 6" xfId="20623" xr:uid="{00000000-0005-0000-0000-0000E7270000}"/>
    <cellStyle name="Comma 18 2 4" xfId="2893" xr:uid="{00000000-0005-0000-0000-0000E8270000}"/>
    <cellStyle name="Comma 18 2 4 2" xfId="4541" xr:uid="{00000000-0005-0000-0000-0000E9270000}"/>
    <cellStyle name="Comma 18 2 4 2 2" xfId="9218" xr:uid="{00000000-0005-0000-0000-0000EA270000}"/>
    <cellStyle name="Comma 18 2 4 2 2 2" xfId="18542" xr:uid="{00000000-0005-0000-0000-0000EB270000}"/>
    <cellStyle name="Comma 18 2 4 2 2 3" xfId="27865" xr:uid="{00000000-0005-0000-0000-0000EC270000}"/>
    <cellStyle name="Comma 18 2 4 3" xfId="7599" xr:uid="{00000000-0005-0000-0000-0000ED270000}"/>
    <cellStyle name="Comma 18 2 4 3 2" xfId="16923" xr:uid="{00000000-0005-0000-0000-0000EE270000}"/>
    <cellStyle name="Comma 18 2 4 3 3" xfId="26246" xr:uid="{00000000-0005-0000-0000-0000EF270000}"/>
    <cellStyle name="Comma 18 2 4 4" xfId="12319" xr:uid="{00000000-0005-0000-0000-0000F0270000}"/>
    <cellStyle name="Comma 18 2 4 5" xfId="21645" xr:uid="{00000000-0005-0000-0000-0000F1270000}"/>
    <cellStyle name="Comma 18 2 5" xfId="3515" xr:uid="{00000000-0005-0000-0000-0000F2270000}"/>
    <cellStyle name="Comma 18 2 5 2" xfId="8194" xr:uid="{00000000-0005-0000-0000-0000F3270000}"/>
    <cellStyle name="Comma 18 2 5 2 2" xfId="17518" xr:uid="{00000000-0005-0000-0000-0000F4270000}"/>
    <cellStyle name="Comma 18 2 5 2 3" xfId="26841" xr:uid="{00000000-0005-0000-0000-0000F5270000}"/>
    <cellStyle name="Comma 18 2 5 3" xfId="12890" xr:uid="{00000000-0005-0000-0000-0000F6270000}"/>
    <cellStyle name="Comma 18 2 5 4" xfId="22216" xr:uid="{00000000-0005-0000-0000-0000F7270000}"/>
    <cellStyle name="Comma 18 2 6" xfId="5210" xr:uid="{00000000-0005-0000-0000-0000F8270000}"/>
    <cellStyle name="Comma 18 2 6 2" xfId="14534" xr:uid="{00000000-0005-0000-0000-0000F9270000}"/>
    <cellStyle name="Comma 18 2 6 3" xfId="23857" xr:uid="{00000000-0005-0000-0000-0000FA270000}"/>
    <cellStyle name="Comma 18 2 7" xfId="6364" xr:uid="{00000000-0005-0000-0000-0000FB270000}"/>
    <cellStyle name="Comma 18 2 7 2" xfId="15688" xr:uid="{00000000-0005-0000-0000-0000FC270000}"/>
    <cellStyle name="Comma 18 2 7 3" xfId="25011" xr:uid="{00000000-0005-0000-0000-0000FD270000}"/>
    <cellStyle name="Comma 18 2 8" xfId="11296" xr:uid="{00000000-0005-0000-0000-0000FE270000}"/>
    <cellStyle name="Comma 18 2 9" xfId="20620" xr:uid="{00000000-0005-0000-0000-0000FF270000}"/>
    <cellStyle name="Comma 18 3" xfId="1773" xr:uid="{00000000-0005-0000-0000-000000280000}"/>
    <cellStyle name="Comma 18 3 2" xfId="1774" xr:uid="{00000000-0005-0000-0000-000001280000}"/>
    <cellStyle name="Comma 18 3 2 2" xfId="3520" xr:uid="{00000000-0005-0000-0000-000002280000}"/>
    <cellStyle name="Comma 18 3 2 2 2" xfId="8199" xr:uid="{00000000-0005-0000-0000-000003280000}"/>
    <cellStyle name="Comma 18 3 2 2 2 2" xfId="17523" xr:uid="{00000000-0005-0000-0000-000004280000}"/>
    <cellStyle name="Comma 18 3 2 2 2 3" xfId="26846" xr:uid="{00000000-0005-0000-0000-000005280000}"/>
    <cellStyle name="Comma 18 3 2 2 3" xfId="12894" xr:uid="{00000000-0005-0000-0000-000006280000}"/>
    <cellStyle name="Comma 18 3 2 2 4" xfId="22220" xr:uid="{00000000-0005-0000-0000-000007280000}"/>
    <cellStyle name="Comma 18 3 2 3" xfId="5215" xr:uid="{00000000-0005-0000-0000-000008280000}"/>
    <cellStyle name="Comma 18 3 2 3 2" xfId="14539" xr:uid="{00000000-0005-0000-0000-000009280000}"/>
    <cellStyle name="Comma 18 3 2 3 3" xfId="23862" xr:uid="{00000000-0005-0000-0000-00000A280000}"/>
    <cellStyle name="Comma 18 3 2 4" xfId="6360" xr:uid="{00000000-0005-0000-0000-00000B280000}"/>
    <cellStyle name="Comma 18 3 2 4 2" xfId="15684" xr:uid="{00000000-0005-0000-0000-00000C280000}"/>
    <cellStyle name="Comma 18 3 2 4 3" xfId="25007" xr:uid="{00000000-0005-0000-0000-00000D280000}"/>
    <cellStyle name="Comma 18 3 2 5" xfId="11301" xr:uid="{00000000-0005-0000-0000-00000E280000}"/>
    <cellStyle name="Comma 18 3 2 6" xfId="20625" xr:uid="{00000000-0005-0000-0000-00000F280000}"/>
    <cellStyle name="Comma 18 3 3" xfId="1775" xr:uid="{00000000-0005-0000-0000-000010280000}"/>
    <cellStyle name="Comma 18 3 3 2" xfId="3521" xr:uid="{00000000-0005-0000-0000-000011280000}"/>
    <cellStyle name="Comma 18 3 3 2 2" xfId="8200" xr:uid="{00000000-0005-0000-0000-000012280000}"/>
    <cellStyle name="Comma 18 3 3 2 2 2" xfId="17524" xr:uid="{00000000-0005-0000-0000-000013280000}"/>
    <cellStyle name="Comma 18 3 3 2 2 3" xfId="26847" xr:uid="{00000000-0005-0000-0000-000014280000}"/>
    <cellStyle name="Comma 18 3 3 3" xfId="6359" xr:uid="{00000000-0005-0000-0000-000015280000}"/>
    <cellStyle name="Comma 18 3 3 3 2" xfId="15683" xr:uid="{00000000-0005-0000-0000-000016280000}"/>
    <cellStyle name="Comma 18 3 3 3 3" xfId="25006" xr:uid="{00000000-0005-0000-0000-000017280000}"/>
    <cellStyle name="Comma 18 3 3 4" xfId="11302" xr:uid="{00000000-0005-0000-0000-000018280000}"/>
    <cellStyle name="Comma 18 3 3 5" xfId="20626" xr:uid="{00000000-0005-0000-0000-000019280000}"/>
    <cellStyle name="Comma 18 3 4" xfId="3519" xr:uid="{00000000-0005-0000-0000-00001A280000}"/>
    <cellStyle name="Comma 18 3 4 2" xfId="8198" xr:uid="{00000000-0005-0000-0000-00001B280000}"/>
    <cellStyle name="Comma 18 3 4 2 2" xfId="17522" xr:uid="{00000000-0005-0000-0000-00001C280000}"/>
    <cellStyle name="Comma 18 3 4 2 3" xfId="26845" xr:uid="{00000000-0005-0000-0000-00001D280000}"/>
    <cellStyle name="Comma 18 3 5" xfId="4630" xr:uid="{00000000-0005-0000-0000-00001E280000}"/>
    <cellStyle name="Comma 18 3 5 2" xfId="13954" xr:uid="{00000000-0005-0000-0000-00001F280000}"/>
    <cellStyle name="Comma 18 3 5 3" xfId="23277" xr:uid="{00000000-0005-0000-0000-000020280000}"/>
    <cellStyle name="Comma 18 3 6" xfId="11300" xr:uid="{00000000-0005-0000-0000-000021280000}"/>
    <cellStyle name="Comma 18 3 7" xfId="20624" xr:uid="{00000000-0005-0000-0000-000022280000}"/>
    <cellStyle name="Comma 18 4" xfId="1776" xr:uid="{00000000-0005-0000-0000-000023280000}"/>
    <cellStyle name="Comma 18 4 2" xfId="3522" xr:uid="{00000000-0005-0000-0000-000024280000}"/>
    <cellStyle name="Comma 18 4 2 2" xfId="8201" xr:uid="{00000000-0005-0000-0000-000025280000}"/>
    <cellStyle name="Comma 18 4 2 2 2" xfId="17525" xr:uid="{00000000-0005-0000-0000-000026280000}"/>
    <cellStyle name="Comma 18 4 2 2 3" xfId="26848" xr:uid="{00000000-0005-0000-0000-000027280000}"/>
    <cellStyle name="Comma 18 4 2 3" xfId="12895" xr:uid="{00000000-0005-0000-0000-000028280000}"/>
    <cellStyle name="Comma 18 4 2 4" xfId="22221" xr:uid="{00000000-0005-0000-0000-000029280000}"/>
    <cellStyle name="Comma 18 4 3" xfId="5217" xr:uid="{00000000-0005-0000-0000-00002A280000}"/>
    <cellStyle name="Comma 18 4 3 2" xfId="14541" xr:uid="{00000000-0005-0000-0000-00002B280000}"/>
    <cellStyle name="Comma 18 4 3 3" xfId="23864" xr:uid="{00000000-0005-0000-0000-00002C280000}"/>
    <cellStyle name="Comma 18 4 4" xfId="6358" xr:uid="{00000000-0005-0000-0000-00002D280000}"/>
    <cellStyle name="Comma 18 4 4 2" xfId="15682" xr:uid="{00000000-0005-0000-0000-00002E280000}"/>
    <cellStyle name="Comma 18 4 4 3" xfId="25005" xr:uid="{00000000-0005-0000-0000-00002F280000}"/>
    <cellStyle name="Comma 18 4 5" xfId="11303" xr:uid="{00000000-0005-0000-0000-000030280000}"/>
    <cellStyle name="Comma 18 4 6" xfId="20627" xr:uid="{00000000-0005-0000-0000-000031280000}"/>
    <cellStyle name="Comma 18 5" xfId="1777" xr:uid="{00000000-0005-0000-0000-000032280000}"/>
    <cellStyle name="Comma 18 5 2" xfId="3523" xr:uid="{00000000-0005-0000-0000-000033280000}"/>
    <cellStyle name="Comma 18 5 2 2" xfId="8202" xr:uid="{00000000-0005-0000-0000-000034280000}"/>
    <cellStyle name="Comma 18 5 2 2 2" xfId="17526" xr:uid="{00000000-0005-0000-0000-000035280000}"/>
    <cellStyle name="Comma 18 5 2 2 3" xfId="26849" xr:uid="{00000000-0005-0000-0000-000036280000}"/>
    <cellStyle name="Comma 18 5 3" xfId="6357" xr:uid="{00000000-0005-0000-0000-000037280000}"/>
    <cellStyle name="Comma 18 5 3 2" xfId="15681" xr:uid="{00000000-0005-0000-0000-000038280000}"/>
    <cellStyle name="Comma 18 5 3 3" xfId="25004" xr:uid="{00000000-0005-0000-0000-000039280000}"/>
    <cellStyle name="Comma 18 5 4" xfId="11304" xr:uid="{00000000-0005-0000-0000-00003A280000}"/>
    <cellStyle name="Comma 18 5 5" xfId="20628" xr:uid="{00000000-0005-0000-0000-00003B280000}"/>
    <cellStyle name="Comma 18 6" xfId="1768" xr:uid="{00000000-0005-0000-0000-00003C280000}"/>
    <cellStyle name="Comma 18 6 2" xfId="3514" xr:uid="{00000000-0005-0000-0000-00003D280000}"/>
    <cellStyle name="Comma 18 6 2 2" xfId="8193" xr:uid="{00000000-0005-0000-0000-00003E280000}"/>
    <cellStyle name="Comma 18 6 2 2 2" xfId="17517" xr:uid="{00000000-0005-0000-0000-00003F280000}"/>
    <cellStyle name="Comma 18 6 2 2 3" xfId="26840" xr:uid="{00000000-0005-0000-0000-000040280000}"/>
    <cellStyle name="Comma 18 6 3" xfId="6365" xr:uid="{00000000-0005-0000-0000-000041280000}"/>
    <cellStyle name="Comma 18 6 3 2" xfId="15689" xr:uid="{00000000-0005-0000-0000-000042280000}"/>
    <cellStyle name="Comma 18 6 3 3" xfId="25012" xr:uid="{00000000-0005-0000-0000-000043280000}"/>
    <cellStyle name="Comma 18 6 4" xfId="11295" xr:uid="{00000000-0005-0000-0000-000044280000}"/>
    <cellStyle name="Comma 18 6 5" xfId="20619" xr:uid="{00000000-0005-0000-0000-000045280000}"/>
    <cellStyle name="Comma 18 7" xfId="2996" xr:uid="{00000000-0005-0000-0000-000046280000}"/>
    <cellStyle name="Comma 18 7 2" xfId="7675" xr:uid="{00000000-0005-0000-0000-000047280000}"/>
    <cellStyle name="Comma 18 7 2 2" xfId="16999" xr:uid="{00000000-0005-0000-0000-000048280000}"/>
    <cellStyle name="Comma 18 7 2 3" xfId="26322" xr:uid="{00000000-0005-0000-0000-000049280000}"/>
    <cellStyle name="Comma 18 7 3" xfId="12387" xr:uid="{00000000-0005-0000-0000-00004A280000}"/>
    <cellStyle name="Comma 18 7 4" xfId="21713" xr:uid="{00000000-0005-0000-0000-00004B280000}"/>
    <cellStyle name="Comma 18 8" xfId="4647" xr:uid="{00000000-0005-0000-0000-00004C280000}"/>
    <cellStyle name="Comma 18 8 2" xfId="13971" xr:uid="{00000000-0005-0000-0000-00004D280000}"/>
    <cellStyle name="Comma 18 8 3" xfId="23294" xr:uid="{00000000-0005-0000-0000-00004E280000}"/>
    <cellStyle name="Comma 18 9" xfId="10777" xr:uid="{00000000-0005-0000-0000-00004F280000}"/>
    <cellStyle name="Comma 19" xfId="1186" xr:uid="{00000000-0005-0000-0000-000050280000}"/>
    <cellStyle name="Comma 19 2" xfId="1779" xr:uid="{00000000-0005-0000-0000-000051280000}"/>
    <cellStyle name="Comma 19 2 2" xfId="1780" xr:uid="{00000000-0005-0000-0000-000052280000}"/>
    <cellStyle name="Comma 19 2 2 2" xfId="3526" xr:uid="{00000000-0005-0000-0000-000053280000}"/>
    <cellStyle name="Comma 19 2 2 2 2" xfId="8205" xr:uid="{00000000-0005-0000-0000-000054280000}"/>
    <cellStyle name="Comma 19 2 2 2 2 2" xfId="17529" xr:uid="{00000000-0005-0000-0000-000055280000}"/>
    <cellStyle name="Comma 19 2 2 2 2 3" xfId="26852" xr:uid="{00000000-0005-0000-0000-000056280000}"/>
    <cellStyle name="Comma 19 2 2 2 3" xfId="12896" xr:uid="{00000000-0005-0000-0000-000057280000}"/>
    <cellStyle name="Comma 19 2 2 2 4" xfId="22222" xr:uid="{00000000-0005-0000-0000-000058280000}"/>
    <cellStyle name="Comma 19 2 2 3" xfId="5220" xr:uid="{00000000-0005-0000-0000-000059280000}"/>
    <cellStyle name="Comma 19 2 2 3 2" xfId="14544" xr:uid="{00000000-0005-0000-0000-00005A280000}"/>
    <cellStyle name="Comma 19 2 2 3 3" xfId="23867" xr:uid="{00000000-0005-0000-0000-00005B280000}"/>
    <cellStyle name="Comma 19 2 2 4" xfId="6354" xr:uid="{00000000-0005-0000-0000-00005C280000}"/>
    <cellStyle name="Comma 19 2 2 4 2" xfId="15678" xr:uid="{00000000-0005-0000-0000-00005D280000}"/>
    <cellStyle name="Comma 19 2 2 4 3" xfId="25001" xr:uid="{00000000-0005-0000-0000-00005E280000}"/>
    <cellStyle name="Comma 19 2 2 5" xfId="11307" xr:uid="{00000000-0005-0000-0000-00005F280000}"/>
    <cellStyle name="Comma 19 2 2 6" xfId="20631" xr:uid="{00000000-0005-0000-0000-000060280000}"/>
    <cellStyle name="Comma 19 2 3" xfId="1781" xr:uid="{00000000-0005-0000-0000-000061280000}"/>
    <cellStyle name="Comma 19 2 3 2" xfId="3527" xr:uid="{00000000-0005-0000-0000-000062280000}"/>
    <cellStyle name="Comma 19 2 3 2 2" xfId="8206" xr:uid="{00000000-0005-0000-0000-000063280000}"/>
    <cellStyle name="Comma 19 2 3 2 2 2" xfId="17530" xr:uid="{00000000-0005-0000-0000-000064280000}"/>
    <cellStyle name="Comma 19 2 3 2 2 3" xfId="26853" xr:uid="{00000000-0005-0000-0000-000065280000}"/>
    <cellStyle name="Comma 19 2 3 3" xfId="6353" xr:uid="{00000000-0005-0000-0000-000066280000}"/>
    <cellStyle name="Comma 19 2 3 3 2" xfId="15677" xr:uid="{00000000-0005-0000-0000-000067280000}"/>
    <cellStyle name="Comma 19 2 3 3 3" xfId="25000" xr:uid="{00000000-0005-0000-0000-000068280000}"/>
    <cellStyle name="Comma 19 2 3 4" xfId="11308" xr:uid="{00000000-0005-0000-0000-000069280000}"/>
    <cellStyle name="Comma 19 2 3 5" xfId="20632" xr:uid="{00000000-0005-0000-0000-00006A280000}"/>
    <cellStyle name="Comma 19 2 4" xfId="3525" xr:uid="{00000000-0005-0000-0000-00006B280000}"/>
    <cellStyle name="Comma 19 2 4 2" xfId="8204" xr:uid="{00000000-0005-0000-0000-00006C280000}"/>
    <cellStyle name="Comma 19 2 4 2 2" xfId="17528" xr:uid="{00000000-0005-0000-0000-00006D280000}"/>
    <cellStyle name="Comma 19 2 4 2 3" xfId="26851" xr:uid="{00000000-0005-0000-0000-00006E280000}"/>
    <cellStyle name="Comma 19 2 5" xfId="6355" xr:uid="{00000000-0005-0000-0000-00006F280000}"/>
    <cellStyle name="Comma 19 2 5 2" xfId="15679" xr:uid="{00000000-0005-0000-0000-000070280000}"/>
    <cellStyle name="Comma 19 2 5 3" xfId="25002" xr:uid="{00000000-0005-0000-0000-000071280000}"/>
    <cellStyle name="Comma 19 2 6" xfId="11306" xr:uid="{00000000-0005-0000-0000-000072280000}"/>
    <cellStyle name="Comma 19 2 7" xfId="20630" xr:uid="{00000000-0005-0000-0000-000073280000}"/>
    <cellStyle name="Comma 19 3" xfId="1782" xr:uid="{00000000-0005-0000-0000-000074280000}"/>
    <cellStyle name="Comma 19 3 2" xfId="3528" xr:uid="{00000000-0005-0000-0000-000075280000}"/>
    <cellStyle name="Comma 19 3 2 2" xfId="8207" xr:uid="{00000000-0005-0000-0000-000076280000}"/>
    <cellStyle name="Comma 19 3 2 2 2" xfId="17531" xr:uid="{00000000-0005-0000-0000-000077280000}"/>
    <cellStyle name="Comma 19 3 2 2 3" xfId="26854" xr:uid="{00000000-0005-0000-0000-000078280000}"/>
    <cellStyle name="Comma 19 3 2 3" xfId="12897" xr:uid="{00000000-0005-0000-0000-000079280000}"/>
    <cellStyle name="Comma 19 3 2 4" xfId="22223" xr:uid="{00000000-0005-0000-0000-00007A280000}"/>
    <cellStyle name="Comma 19 3 3" xfId="5222" xr:uid="{00000000-0005-0000-0000-00007B280000}"/>
    <cellStyle name="Comma 19 3 3 2" xfId="14546" xr:uid="{00000000-0005-0000-0000-00007C280000}"/>
    <cellStyle name="Comma 19 3 3 3" xfId="23869" xr:uid="{00000000-0005-0000-0000-00007D280000}"/>
    <cellStyle name="Comma 19 3 4" xfId="6352" xr:uid="{00000000-0005-0000-0000-00007E280000}"/>
    <cellStyle name="Comma 19 3 4 2" xfId="15676" xr:uid="{00000000-0005-0000-0000-00007F280000}"/>
    <cellStyle name="Comma 19 3 4 3" xfId="24999" xr:uid="{00000000-0005-0000-0000-000080280000}"/>
    <cellStyle name="Comma 19 3 5" xfId="11309" xr:uid="{00000000-0005-0000-0000-000081280000}"/>
    <cellStyle name="Comma 19 3 6" xfId="20633" xr:uid="{00000000-0005-0000-0000-000082280000}"/>
    <cellStyle name="Comma 19 4" xfId="1783" xr:uid="{00000000-0005-0000-0000-000083280000}"/>
    <cellStyle name="Comma 19 4 2" xfId="3529" xr:uid="{00000000-0005-0000-0000-000084280000}"/>
    <cellStyle name="Comma 19 4 2 2" xfId="8208" xr:uid="{00000000-0005-0000-0000-000085280000}"/>
    <cellStyle name="Comma 19 4 2 2 2" xfId="17532" xr:uid="{00000000-0005-0000-0000-000086280000}"/>
    <cellStyle name="Comma 19 4 2 2 3" xfId="26855" xr:uid="{00000000-0005-0000-0000-000087280000}"/>
    <cellStyle name="Comma 19 4 3" xfId="6351" xr:uid="{00000000-0005-0000-0000-000088280000}"/>
    <cellStyle name="Comma 19 4 3 2" xfId="15675" xr:uid="{00000000-0005-0000-0000-000089280000}"/>
    <cellStyle name="Comma 19 4 3 3" xfId="24998" xr:uid="{00000000-0005-0000-0000-00008A280000}"/>
    <cellStyle name="Comma 19 4 4" xfId="11310" xr:uid="{00000000-0005-0000-0000-00008B280000}"/>
    <cellStyle name="Comma 19 4 5" xfId="20634" xr:uid="{00000000-0005-0000-0000-00008C280000}"/>
    <cellStyle name="Comma 19 5" xfId="1778" xr:uid="{00000000-0005-0000-0000-00008D280000}"/>
    <cellStyle name="Comma 19 5 2" xfId="3524" xr:uid="{00000000-0005-0000-0000-00008E280000}"/>
    <cellStyle name="Comma 19 5 2 2" xfId="8203" xr:uid="{00000000-0005-0000-0000-00008F280000}"/>
    <cellStyle name="Comma 19 5 2 2 2" xfId="17527" xr:uid="{00000000-0005-0000-0000-000090280000}"/>
    <cellStyle name="Comma 19 5 2 2 3" xfId="26850" xr:uid="{00000000-0005-0000-0000-000091280000}"/>
    <cellStyle name="Comma 19 5 3" xfId="6356" xr:uid="{00000000-0005-0000-0000-000092280000}"/>
    <cellStyle name="Comma 19 5 3 2" xfId="15680" xr:uid="{00000000-0005-0000-0000-000093280000}"/>
    <cellStyle name="Comma 19 5 3 3" xfId="25003" xr:uid="{00000000-0005-0000-0000-000094280000}"/>
    <cellStyle name="Comma 19 5 4" xfId="11305" xr:uid="{00000000-0005-0000-0000-000095280000}"/>
    <cellStyle name="Comma 19 5 5" xfId="20629" xr:uid="{00000000-0005-0000-0000-000096280000}"/>
    <cellStyle name="Comma 19 6" xfId="2997" xr:uid="{00000000-0005-0000-0000-000097280000}"/>
    <cellStyle name="Comma 19 6 2" xfId="7676" xr:uid="{00000000-0005-0000-0000-000098280000}"/>
    <cellStyle name="Comma 19 6 2 2" xfId="17000" xr:uid="{00000000-0005-0000-0000-000099280000}"/>
    <cellStyle name="Comma 19 6 2 3" xfId="26323" xr:uid="{00000000-0005-0000-0000-00009A280000}"/>
    <cellStyle name="Comma 19 6 3" xfId="12388" xr:uid="{00000000-0005-0000-0000-00009B280000}"/>
    <cellStyle name="Comma 19 6 4" xfId="21714" xr:uid="{00000000-0005-0000-0000-00009C280000}"/>
    <cellStyle name="Comma 19 7" xfId="4648" xr:uid="{00000000-0005-0000-0000-00009D280000}"/>
    <cellStyle name="Comma 19 7 2" xfId="13972" xr:uid="{00000000-0005-0000-0000-00009E280000}"/>
    <cellStyle name="Comma 19 7 3" xfId="23295" xr:uid="{00000000-0005-0000-0000-00009F280000}"/>
    <cellStyle name="Comma 19 8" xfId="10778" xr:uid="{00000000-0005-0000-0000-0000A0280000}"/>
    <cellStyle name="Comma 19 9" xfId="20102" xr:uid="{00000000-0005-0000-0000-0000A1280000}"/>
    <cellStyle name="Comma 2" xfId="2" xr:uid="{00000000-0005-0000-0000-0000A2280000}"/>
    <cellStyle name="Comma 2 10" xfId="83" xr:uid="{00000000-0005-0000-0000-0000A3280000}"/>
    <cellStyle name="Comma 2 10 2" xfId="1187" xr:uid="{00000000-0005-0000-0000-0000A4280000}"/>
    <cellStyle name="Comma 2 10 2 2" xfId="6690" xr:uid="{00000000-0005-0000-0000-0000A5280000}"/>
    <cellStyle name="Comma 2 10 2 2 2" xfId="16014" xr:uid="{00000000-0005-0000-0000-0000A6280000}"/>
    <cellStyle name="Comma 2 10 2 2 3" xfId="25337" xr:uid="{00000000-0005-0000-0000-0000A7280000}"/>
    <cellStyle name="Comma 2 10 2 3" xfId="10779" xr:uid="{00000000-0005-0000-0000-0000A8280000}"/>
    <cellStyle name="Comma 2 10 2 4" xfId="20103" xr:uid="{00000000-0005-0000-0000-0000A9280000}"/>
    <cellStyle name="Comma 2 10 3" xfId="2998" xr:uid="{00000000-0005-0000-0000-0000AA280000}"/>
    <cellStyle name="Comma 2 10 3 2" xfId="7677" xr:uid="{00000000-0005-0000-0000-0000AB280000}"/>
    <cellStyle name="Comma 2 10 3 2 2" xfId="17001" xr:uid="{00000000-0005-0000-0000-0000AC280000}"/>
    <cellStyle name="Comma 2 10 3 2 3" xfId="26324" xr:uid="{00000000-0005-0000-0000-0000AD280000}"/>
    <cellStyle name="Comma 2 11" xfId="84" xr:uid="{00000000-0005-0000-0000-0000AE280000}"/>
    <cellStyle name="Comma 2 12" xfId="82" xr:uid="{00000000-0005-0000-0000-0000AF280000}"/>
    <cellStyle name="Comma 2 12 2" xfId="7311" xr:uid="{00000000-0005-0000-0000-0000B0280000}"/>
    <cellStyle name="Comma 2 12 2 2" xfId="16635" xr:uid="{00000000-0005-0000-0000-0000B1280000}"/>
    <cellStyle name="Comma 2 12 2 3" xfId="25958" xr:uid="{00000000-0005-0000-0000-0000B2280000}"/>
    <cellStyle name="Comma 2 12 3" xfId="9276" xr:uid="{00000000-0005-0000-0000-0000B3280000}"/>
    <cellStyle name="Comma 2 12 3 2" xfId="18600" xr:uid="{00000000-0005-0000-0000-0000B4280000}"/>
    <cellStyle name="Comma 2 12 3 3" xfId="27923" xr:uid="{00000000-0005-0000-0000-0000B5280000}"/>
    <cellStyle name="Comma 2 12 4" xfId="9770" xr:uid="{00000000-0005-0000-0000-0000B6280000}"/>
    <cellStyle name="Comma 2 12 5" xfId="19094" xr:uid="{00000000-0005-0000-0000-0000B7280000}"/>
    <cellStyle name="Comma 2 13" xfId="277" xr:uid="{00000000-0005-0000-0000-0000B8280000}"/>
    <cellStyle name="Comma 2 13 2" xfId="528" xr:uid="{00000000-0005-0000-0000-0000B9280000}"/>
    <cellStyle name="Comma 2 13 2 2" xfId="1016" xr:uid="{00000000-0005-0000-0000-0000BA280000}"/>
    <cellStyle name="Comma 2 13 2 2 2" xfId="6785" xr:uid="{00000000-0005-0000-0000-0000BB280000}"/>
    <cellStyle name="Comma 2 13 2 2 2 2" xfId="16109" xr:uid="{00000000-0005-0000-0000-0000BC280000}"/>
    <cellStyle name="Comma 2 13 2 2 2 3" xfId="25432" xr:uid="{00000000-0005-0000-0000-0000BD280000}"/>
    <cellStyle name="Comma 2 13 2 2 3" xfId="10617" xr:uid="{00000000-0005-0000-0000-0000BE280000}"/>
    <cellStyle name="Comma 2 13 2 2 4" xfId="19941" xr:uid="{00000000-0005-0000-0000-0000BF280000}"/>
    <cellStyle name="Comma 2 13 2 3" xfId="7106" xr:uid="{00000000-0005-0000-0000-0000C0280000}"/>
    <cellStyle name="Comma 2 13 2 3 2" xfId="16430" xr:uid="{00000000-0005-0000-0000-0000C1280000}"/>
    <cellStyle name="Comma 2 13 2 3 3" xfId="25753" xr:uid="{00000000-0005-0000-0000-0000C2280000}"/>
    <cellStyle name="Comma 2 13 2 4" xfId="9639" xr:uid="{00000000-0005-0000-0000-0000C3280000}"/>
    <cellStyle name="Comma 2 13 2 4 2" xfId="18963" xr:uid="{00000000-0005-0000-0000-0000C4280000}"/>
    <cellStyle name="Comma 2 13 2 4 3" xfId="28286" xr:uid="{00000000-0005-0000-0000-0000C5280000}"/>
    <cellStyle name="Comma 2 13 2 5" xfId="10133" xr:uid="{00000000-0005-0000-0000-0000C6280000}"/>
    <cellStyle name="Comma 2 13 2 6" xfId="19457" xr:uid="{00000000-0005-0000-0000-0000C7280000}"/>
    <cellStyle name="Comma 2 13 3" xfId="776" xr:uid="{00000000-0005-0000-0000-0000C8280000}"/>
    <cellStyle name="Comma 2 13 3 2" xfId="6957" xr:uid="{00000000-0005-0000-0000-0000C9280000}"/>
    <cellStyle name="Comma 2 13 3 2 2" xfId="16281" xr:uid="{00000000-0005-0000-0000-0000CA280000}"/>
    <cellStyle name="Comma 2 13 3 2 3" xfId="25604" xr:uid="{00000000-0005-0000-0000-0000CB280000}"/>
    <cellStyle name="Comma 2 13 3 3" xfId="10377" xr:uid="{00000000-0005-0000-0000-0000CC280000}"/>
    <cellStyle name="Comma 2 13 3 4" xfId="19701" xr:uid="{00000000-0005-0000-0000-0000CD280000}"/>
    <cellStyle name="Comma 2 13 4" xfId="7240" xr:uid="{00000000-0005-0000-0000-0000CE280000}"/>
    <cellStyle name="Comma 2 13 4 2" xfId="16564" xr:uid="{00000000-0005-0000-0000-0000CF280000}"/>
    <cellStyle name="Comma 2 13 4 3" xfId="25887" xr:uid="{00000000-0005-0000-0000-0000D0280000}"/>
    <cellStyle name="Comma 2 13 5" xfId="9398" xr:uid="{00000000-0005-0000-0000-0000D1280000}"/>
    <cellStyle name="Comma 2 13 5 2" xfId="18722" xr:uid="{00000000-0005-0000-0000-0000D2280000}"/>
    <cellStyle name="Comma 2 13 5 3" xfId="28045" xr:uid="{00000000-0005-0000-0000-0000D3280000}"/>
    <cellStyle name="Comma 2 13 6" xfId="9892" xr:uid="{00000000-0005-0000-0000-0000D4280000}"/>
    <cellStyle name="Comma 2 13 7" xfId="19216" xr:uid="{00000000-0005-0000-0000-0000D5280000}"/>
    <cellStyle name="Comma 2 14" xfId="1152" xr:uid="{00000000-0005-0000-0000-0000D6280000}"/>
    <cellStyle name="Comma 2 14 2" xfId="6697" xr:uid="{00000000-0005-0000-0000-0000D7280000}"/>
    <cellStyle name="Comma 2 14 2 2" xfId="16021" xr:uid="{00000000-0005-0000-0000-0000D8280000}"/>
    <cellStyle name="Comma 2 14 2 3" xfId="25344" xr:uid="{00000000-0005-0000-0000-0000D9280000}"/>
    <cellStyle name="Comma 2 14 3" xfId="10751" xr:uid="{00000000-0005-0000-0000-0000DA280000}"/>
    <cellStyle name="Comma 2 14 4" xfId="20075" xr:uid="{00000000-0005-0000-0000-0000DB280000}"/>
    <cellStyle name="Comma 2 15" xfId="2969" xr:uid="{00000000-0005-0000-0000-0000DC280000}"/>
    <cellStyle name="Comma 2 15 2" xfId="7648" xr:uid="{00000000-0005-0000-0000-0000DD280000}"/>
    <cellStyle name="Comma 2 15 2 2" xfId="16972" xr:uid="{00000000-0005-0000-0000-0000DE280000}"/>
    <cellStyle name="Comma 2 15 2 3" xfId="26295" xr:uid="{00000000-0005-0000-0000-0000DF280000}"/>
    <cellStyle name="Comma 2 15 3" xfId="12370" xr:uid="{00000000-0005-0000-0000-0000E0280000}"/>
    <cellStyle name="Comma 2 15 4" xfId="21696" xr:uid="{00000000-0005-0000-0000-0000E1280000}"/>
    <cellStyle name="Comma 2 16" xfId="4616" xr:uid="{00000000-0005-0000-0000-0000E2280000}"/>
    <cellStyle name="Comma 2 16 2" xfId="13940" xr:uid="{00000000-0005-0000-0000-0000E3280000}"/>
    <cellStyle name="Comma 2 16 3" xfId="23263" xr:uid="{00000000-0005-0000-0000-0000E4280000}"/>
    <cellStyle name="Comma 2 17" xfId="28483" xr:uid="{00000000-0005-0000-0000-0000E5280000}"/>
    <cellStyle name="Comma 2 18" xfId="28772" xr:uid="{00000000-0005-0000-0000-0000E6280000}"/>
    <cellStyle name="Comma 2 2" xfId="85" xr:uid="{00000000-0005-0000-0000-0000E7280000}"/>
    <cellStyle name="Comma 2 2 10" xfId="28820" xr:uid="{00000000-0005-0000-0000-0000E8280000}"/>
    <cellStyle name="Comma 2 2 2" xfId="86" xr:uid="{00000000-0005-0000-0000-0000E9280000}"/>
    <cellStyle name="Comma 2 2 2 10" xfId="7291" xr:uid="{00000000-0005-0000-0000-0000EA280000}"/>
    <cellStyle name="Comma 2 2 2 10 2" xfId="16615" xr:uid="{00000000-0005-0000-0000-0000EB280000}"/>
    <cellStyle name="Comma 2 2 2 10 3" xfId="25938" xr:uid="{00000000-0005-0000-0000-0000EC280000}"/>
    <cellStyle name="Comma 2 2 2 11" xfId="9277" xr:uid="{00000000-0005-0000-0000-0000ED280000}"/>
    <cellStyle name="Comma 2 2 2 11 2" xfId="18601" xr:uid="{00000000-0005-0000-0000-0000EE280000}"/>
    <cellStyle name="Comma 2 2 2 11 3" xfId="27924" xr:uid="{00000000-0005-0000-0000-0000EF280000}"/>
    <cellStyle name="Comma 2 2 2 12" xfId="9771" xr:uid="{00000000-0005-0000-0000-0000F0280000}"/>
    <cellStyle name="Comma 2 2 2 13" xfId="19095" xr:uid="{00000000-0005-0000-0000-0000F1280000}"/>
    <cellStyle name="Comma 2 2 2 14" xfId="28912" xr:uid="{00000000-0005-0000-0000-0000F2280000}"/>
    <cellStyle name="Comma 2 2 2 2" xfId="87" xr:uid="{00000000-0005-0000-0000-0000F3280000}"/>
    <cellStyle name="Comma 2 2 2 2 2" xfId="2898" xr:uid="{00000000-0005-0000-0000-0000F4280000}"/>
    <cellStyle name="Comma 2 2 2 2 2 2" xfId="7604" xr:uid="{00000000-0005-0000-0000-0000F5280000}"/>
    <cellStyle name="Comma 2 2 2 2 2 2 2" xfId="16928" xr:uid="{00000000-0005-0000-0000-0000F6280000}"/>
    <cellStyle name="Comma 2 2 2 2 2 2 3" xfId="26251" xr:uid="{00000000-0005-0000-0000-0000F7280000}"/>
    <cellStyle name="Comma 2 2 2 2 2 3" xfId="12324" xr:uid="{00000000-0005-0000-0000-0000F8280000}"/>
    <cellStyle name="Comma 2 2 2 2 2 4" xfId="21650" xr:uid="{00000000-0005-0000-0000-0000F9280000}"/>
    <cellStyle name="Comma 2 2 2 2 3" xfId="4546" xr:uid="{00000000-0005-0000-0000-0000FA280000}"/>
    <cellStyle name="Comma 2 2 2 2 3 2" xfId="9223" xr:uid="{00000000-0005-0000-0000-0000FB280000}"/>
    <cellStyle name="Comma 2 2 2 2 3 2 2" xfId="18547" xr:uid="{00000000-0005-0000-0000-0000FC280000}"/>
    <cellStyle name="Comma 2 2 2 2 3 2 3" xfId="27870" xr:uid="{00000000-0005-0000-0000-0000FD280000}"/>
    <cellStyle name="Comma 2 2 2 2 3 3" xfId="13872" xr:uid="{00000000-0005-0000-0000-0000FE280000}"/>
    <cellStyle name="Comma 2 2 2 2 3 4" xfId="23196" xr:uid="{00000000-0005-0000-0000-0000FF280000}"/>
    <cellStyle name="Comma 2 2 2 2 4" xfId="6309" xr:uid="{00000000-0005-0000-0000-000000290000}"/>
    <cellStyle name="Comma 2 2 2 2 4 2" xfId="15633" xr:uid="{00000000-0005-0000-0000-000001290000}"/>
    <cellStyle name="Comma 2 2 2 2 4 3" xfId="24956" xr:uid="{00000000-0005-0000-0000-000002290000}"/>
    <cellStyle name="Comma 2 2 2 2 5" xfId="7310" xr:uid="{00000000-0005-0000-0000-000003290000}"/>
    <cellStyle name="Comma 2 2 2 2 5 2" xfId="16634" xr:uid="{00000000-0005-0000-0000-000004290000}"/>
    <cellStyle name="Comma 2 2 2 2 5 3" xfId="25957" xr:uid="{00000000-0005-0000-0000-000005290000}"/>
    <cellStyle name="Comma 2 2 2 3" xfId="88" xr:uid="{00000000-0005-0000-0000-000006290000}"/>
    <cellStyle name="Comma 2 2 2 3 2" xfId="7309" xr:uid="{00000000-0005-0000-0000-000007290000}"/>
    <cellStyle name="Comma 2 2 2 3 2 2" xfId="16633" xr:uid="{00000000-0005-0000-0000-000008290000}"/>
    <cellStyle name="Comma 2 2 2 3 2 3" xfId="25956" xr:uid="{00000000-0005-0000-0000-000009290000}"/>
    <cellStyle name="Comma 2 2 2 4" xfId="89" xr:uid="{00000000-0005-0000-0000-00000A290000}"/>
    <cellStyle name="Comma 2 2 2 4 2" xfId="7308" xr:uid="{00000000-0005-0000-0000-00000B290000}"/>
    <cellStyle name="Comma 2 2 2 4 2 2" xfId="16632" xr:uid="{00000000-0005-0000-0000-00000C290000}"/>
    <cellStyle name="Comma 2 2 2 4 2 3" xfId="25955" xr:uid="{00000000-0005-0000-0000-00000D290000}"/>
    <cellStyle name="Comma 2 2 2 5" xfId="90" xr:uid="{00000000-0005-0000-0000-00000E290000}"/>
    <cellStyle name="Comma 2 2 2 5 2" xfId="7307" xr:uid="{00000000-0005-0000-0000-00000F290000}"/>
    <cellStyle name="Comma 2 2 2 5 2 2" xfId="16631" xr:uid="{00000000-0005-0000-0000-000010290000}"/>
    <cellStyle name="Comma 2 2 2 5 2 3" xfId="25954" xr:uid="{00000000-0005-0000-0000-000011290000}"/>
    <cellStyle name="Comma 2 2 2 6" xfId="91" xr:uid="{00000000-0005-0000-0000-000012290000}"/>
    <cellStyle name="Comma 2 2 2 6 2" xfId="7306" xr:uid="{00000000-0005-0000-0000-000013290000}"/>
    <cellStyle name="Comma 2 2 2 6 2 2" xfId="16630" xr:uid="{00000000-0005-0000-0000-000014290000}"/>
    <cellStyle name="Comma 2 2 2 6 2 3" xfId="25953" xr:uid="{00000000-0005-0000-0000-000015290000}"/>
    <cellStyle name="Comma 2 2 2 7" xfId="92" xr:uid="{00000000-0005-0000-0000-000016290000}"/>
    <cellStyle name="Comma 2 2 2 7 2" xfId="7305" xr:uid="{00000000-0005-0000-0000-000017290000}"/>
    <cellStyle name="Comma 2 2 2 7 2 2" xfId="16629" xr:uid="{00000000-0005-0000-0000-000018290000}"/>
    <cellStyle name="Comma 2 2 2 7 2 3" xfId="25952" xr:uid="{00000000-0005-0000-0000-000019290000}"/>
    <cellStyle name="Comma 2 2 2 8" xfId="93" xr:uid="{00000000-0005-0000-0000-00001A290000}"/>
    <cellStyle name="Comma 2 2 2 8 2" xfId="7304" xr:uid="{00000000-0005-0000-0000-00001B290000}"/>
    <cellStyle name="Comma 2 2 2 8 2 2" xfId="16628" xr:uid="{00000000-0005-0000-0000-00001C290000}"/>
    <cellStyle name="Comma 2 2 2 8 2 3" xfId="25951" xr:uid="{00000000-0005-0000-0000-00001D290000}"/>
    <cellStyle name="Comma 2 2 2 9" xfId="1784" xr:uid="{00000000-0005-0000-0000-00001E290000}"/>
    <cellStyle name="Comma 2 2 2 9 2" xfId="6350" xr:uid="{00000000-0005-0000-0000-00001F290000}"/>
    <cellStyle name="Comma 2 2 2 9 2 2" xfId="15674" xr:uid="{00000000-0005-0000-0000-000020290000}"/>
    <cellStyle name="Comma 2 2 2 9 2 3" xfId="24997" xr:uid="{00000000-0005-0000-0000-000021290000}"/>
    <cellStyle name="Comma 2 2 2 9 3" xfId="11311" xr:uid="{00000000-0005-0000-0000-000022290000}"/>
    <cellStyle name="Comma 2 2 2 9 4" xfId="20635" xr:uid="{00000000-0005-0000-0000-000023290000}"/>
    <cellStyle name="Comma 2 2 3" xfId="94" xr:uid="{00000000-0005-0000-0000-000024290000}"/>
    <cellStyle name="Comma 2 2 3 2" xfId="3531" xr:uid="{00000000-0005-0000-0000-000025290000}"/>
    <cellStyle name="Comma 2 2 3 2 2" xfId="8210" xr:uid="{00000000-0005-0000-0000-000026290000}"/>
    <cellStyle name="Comma 2 2 3 2 2 2" xfId="17534" xr:uid="{00000000-0005-0000-0000-000027290000}"/>
    <cellStyle name="Comma 2 2 3 2 2 3" xfId="26857" xr:uid="{00000000-0005-0000-0000-000028290000}"/>
    <cellStyle name="Comma 2 2 3 3" xfId="7303" xr:uid="{00000000-0005-0000-0000-000029290000}"/>
    <cellStyle name="Comma 2 2 3 3 2" xfId="16627" xr:uid="{00000000-0005-0000-0000-00002A290000}"/>
    <cellStyle name="Comma 2 2 3 3 3" xfId="25950" xr:uid="{00000000-0005-0000-0000-00002B290000}"/>
    <cellStyle name="Comma 2 2 3 4" xfId="9278" xr:uid="{00000000-0005-0000-0000-00002C290000}"/>
    <cellStyle name="Comma 2 2 3 4 2" xfId="18602" xr:uid="{00000000-0005-0000-0000-00002D290000}"/>
    <cellStyle name="Comma 2 2 3 4 3" xfId="27925" xr:uid="{00000000-0005-0000-0000-00002E290000}"/>
    <cellStyle name="Comma 2 2 3 5" xfId="9772" xr:uid="{00000000-0005-0000-0000-00002F290000}"/>
    <cellStyle name="Comma 2 2 3 6" xfId="19096" xr:uid="{00000000-0005-0000-0000-000030290000}"/>
    <cellStyle name="Comma 2 2 4" xfId="95" xr:uid="{00000000-0005-0000-0000-000031290000}"/>
    <cellStyle name="Comma 2 2 4 2" xfId="2881" xr:uid="{00000000-0005-0000-0000-000032290000}"/>
    <cellStyle name="Comma 2 2 4 2 2" xfId="4531" xr:uid="{00000000-0005-0000-0000-000033290000}"/>
    <cellStyle name="Comma 2 2 4 2 2 2" xfId="9208" xr:uid="{00000000-0005-0000-0000-000034290000}"/>
    <cellStyle name="Comma 2 2 4 2 2 2 2" xfId="18532" xr:uid="{00000000-0005-0000-0000-000035290000}"/>
    <cellStyle name="Comma 2 2 4 2 2 2 3" xfId="27855" xr:uid="{00000000-0005-0000-0000-000036290000}"/>
    <cellStyle name="Comma 2 2 4 2 2 3" xfId="13865" xr:uid="{00000000-0005-0000-0000-000037290000}"/>
    <cellStyle name="Comma 2 2 4 2 2 4" xfId="23189" xr:uid="{00000000-0005-0000-0000-000038290000}"/>
    <cellStyle name="Comma 2 2 4 2 3" xfId="6295" xr:uid="{00000000-0005-0000-0000-000039290000}"/>
    <cellStyle name="Comma 2 2 4 2 3 2" xfId="15619" xr:uid="{00000000-0005-0000-0000-00003A290000}"/>
    <cellStyle name="Comma 2 2 4 2 3 3" xfId="24942" xr:uid="{00000000-0005-0000-0000-00003B290000}"/>
    <cellStyle name="Comma 2 2 4 2 4" xfId="7592" xr:uid="{00000000-0005-0000-0000-00003C290000}"/>
    <cellStyle name="Comma 2 2 4 2 4 2" xfId="16916" xr:uid="{00000000-0005-0000-0000-00003D290000}"/>
    <cellStyle name="Comma 2 2 4 2 4 3" xfId="26239" xr:uid="{00000000-0005-0000-0000-00003E290000}"/>
    <cellStyle name="Comma 2 2 4 2 5" xfId="12309" xr:uid="{00000000-0005-0000-0000-00003F290000}"/>
    <cellStyle name="Comma 2 2 4 2 6" xfId="21635" xr:uid="{00000000-0005-0000-0000-000040290000}"/>
    <cellStyle name="Comma 2 2 4 3" xfId="1785" xr:uid="{00000000-0005-0000-0000-000041290000}"/>
    <cellStyle name="Comma 2 2 4 3 2" xfId="6349" xr:uid="{00000000-0005-0000-0000-000042290000}"/>
    <cellStyle name="Comma 2 2 4 3 2 2" xfId="15673" xr:uid="{00000000-0005-0000-0000-000043290000}"/>
    <cellStyle name="Comma 2 2 4 3 2 3" xfId="24996" xr:uid="{00000000-0005-0000-0000-000044290000}"/>
    <cellStyle name="Comma 2 2 4 3 3" xfId="11312" xr:uid="{00000000-0005-0000-0000-000045290000}"/>
    <cellStyle name="Comma 2 2 4 3 4" xfId="20636" xr:uid="{00000000-0005-0000-0000-000046290000}"/>
    <cellStyle name="Comma 2 2 4 4" xfId="3532" xr:uid="{00000000-0005-0000-0000-000047290000}"/>
    <cellStyle name="Comma 2 2 4 4 2" xfId="8211" xr:uid="{00000000-0005-0000-0000-000048290000}"/>
    <cellStyle name="Comma 2 2 4 4 2 2" xfId="17535" xr:uid="{00000000-0005-0000-0000-000049290000}"/>
    <cellStyle name="Comma 2 2 4 4 2 3" xfId="26858" xr:uid="{00000000-0005-0000-0000-00004A290000}"/>
    <cellStyle name="Comma 2 2 4 4 3" xfId="12898" xr:uid="{00000000-0005-0000-0000-00004B290000}"/>
    <cellStyle name="Comma 2 2 4 4 4" xfId="22224" xr:uid="{00000000-0005-0000-0000-00004C290000}"/>
    <cellStyle name="Comma 2 2 4 5" xfId="5227" xr:uid="{00000000-0005-0000-0000-00004D290000}"/>
    <cellStyle name="Comma 2 2 4 5 2" xfId="14551" xr:uid="{00000000-0005-0000-0000-00004E290000}"/>
    <cellStyle name="Comma 2 2 4 5 3" xfId="23874" xr:uid="{00000000-0005-0000-0000-00004F290000}"/>
    <cellStyle name="Comma 2 2 4 6" xfId="7302" xr:uid="{00000000-0005-0000-0000-000050290000}"/>
    <cellStyle name="Comma 2 2 4 6 2" xfId="16626" xr:uid="{00000000-0005-0000-0000-000051290000}"/>
    <cellStyle name="Comma 2 2 4 6 3" xfId="25949" xr:uid="{00000000-0005-0000-0000-000052290000}"/>
    <cellStyle name="Comma 2 2 4 7" xfId="9279" xr:uid="{00000000-0005-0000-0000-000053290000}"/>
    <cellStyle name="Comma 2 2 4 7 2" xfId="18603" xr:uid="{00000000-0005-0000-0000-000054290000}"/>
    <cellStyle name="Comma 2 2 4 7 3" xfId="27926" xr:uid="{00000000-0005-0000-0000-000055290000}"/>
    <cellStyle name="Comma 2 2 4 8" xfId="9773" xr:uid="{00000000-0005-0000-0000-000056290000}"/>
    <cellStyle name="Comma 2 2 4 9" xfId="19097" xr:uid="{00000000-0005-0000-0000-000057290000}"/>
    <cellStyle name="Comma 2 2 5" xfId="96" xr:uid="{00000000-0005-0000-0000-000058290000}"/>
    <cellStyle name="Comma 2 2 5 2" xfId="7301" xr:uid="{00000000-0005-0000-0000-000059290000}"/>
    <cellStyle name="Comma 2 2 5 2 2" xfId="16625" xr:uid="{00000000-0005-0000-0000-00005A290000}"/>
    <cellStyle name="Comma 2 2 5 2 3" xfId="25948" xr:uid="{00000000-0005-0000-0000-00005B290000}"/>
    <cellStyle name="Comma 2 2 5 3" xfId="9280" xr:uid="{00000000-0005-0000-0000-00005C290000}"/>
    <cellStyle name="Comma 2 2 5 3 2" xfId="18604" xr:uid="{00000000-0005-0000-0000-00005D290000}"/>
    <cellStyle name="Comma 2 2 5 3 3" xfId="27927" xr:uid="{00000000-0005-0000-0000-00005E290000}"/>
    <cellStyle name="Comma 2 2 5 4" xfId="9774" xr:uid="{00000000-0005-0000-0000-00005F290000}"/>
    <cellStyle name="Comma 2 2 5 5" xfId="19098" xr:uid="{00000000-0005-0000-0000-000060290000}"/>
    <cellStyle name="Comma 2 2 6" xfId="97" xr:uid="{00000000-0005-0000-0000-000061290000}"/>
    <cellStyle name="Comma 2 2 6 2" xfId="7300" xr:uid="{00000000-0005-0000-0000-000062290000}"/>
    <cellStyle name="Comma 2 2 6 2 2" xfId="16624" xr:uid="{00000000-0005-0000-0000-000063290000}"/>
    <cellStyle name="Comma 2 2 6 2 3" xfId="25947" xr:uid="{00000000-0005-0000-0000-000064290000}"/>
    <cellStyle name="Comma 2 2 6 3" xfId="9281" xr:uid="{00000000-0005-0000-0000-000065290000}"/>
    <cellStyle name="Comma 2 2 6 3 2" xfId="18605" xr:uid="{00000000-0005-0000-0000-000066290000}"/>
    <cellStyle name="Comma 2 2 6 3 3" xfId="27928" xr:uid="{00000000-0005-0000-0000-000067290000}"/>
    <cellStyle name="Comma 2 2 6 4" xfId="9775" xr:uid="{00000000-0005-0000-0000-000068290000}"/>
    <cellStyle name="Comma 2 2 6 5" xfId="19099" xr:uid="{00000000-0005-0000-0000-000069290000}"/>
    <cellStyle name="Comma 2 2 7" xfId="98" xr:uid="{00000000-0005-0000-0000-00006A290000}"/>
    <cellStyle name="Comma 2 2 7 2" xfId="7299" xr:uid="{00000000-0005-0000-0000-00006B290000}"/>
    <cellStyle name="Comma 2 2 7 2 2" xfId="16623" xr:uid="{00000000-0005-0000-0000-00006C290000}"/>
    <cellStyle name="Comma 2 2 7 2 3" xfId="25946" xr:uid="{00000000-0005-0000-0000-00006D290000}"/>
    <cellStyle name="Comma 2 2 7 3" xfId="9282" xr:uid="{00000000-0005-0000-0000-00006E290000}"/>
    <cellStyle name="Comma 2 2 7 3 2" xfId="18606" xr:uid="{00000000-0005-0000-0000-00006F290000}"/>
    <cellStyle name="Comma 2 2 7 3 3" xfId="27929" xr:uid="{00000000-0005-0000-0000-000070290000}"/>
    <cellStyle name="Comma 2 2 7 4" xfId="9776" xr:uid="{00000000-0005-0000-0000-000071290000}"/>
    <cellStyle name="Comma 2 2 7 5" xfId="19100" xr:uid="{00000000-0005-0000-0000-000072290000}"/>
    <cellStyle name="Comma 2 2 8" xfId="99" xr:uid="{00000000-0005-0000-0000-000073290000}"/>
    <cellStyle name="Comma 2 2 8 2" xfId="7298" xr:uid="{00000000-0005-0000-0000-000074290000}"/>
    <cellStyle name="Comma 2 2 8 2 2" xfId="16622" xr:uid="{00000000-0005-0000-0000-000075290000}"/>
    <cellStyle name="Comma 2 2 8 2 3" xfId="25945" xr:uid="{00000000-0005-0000-0000-000076290000}"/>
    <cellStyle name="Comma 2 2 8 3" xfId="9283" xr:uid="{00000000-0005-0000-0000-000077290000}"/>
    <cellStyle name="Comma 2 2 8 3 2" xfId="18607" xr:uid="{00000000-0005-0000-0000-000078290000}"/>
    <cellStyle name="Comma 2 2 8 3 3" xfId="27930" xr:uid="{00000000-0005-0000-0000-000079290000}"/>
    <cellStyle name="Comma 2 2 8 4" xfId="9777" xr:uid="{00000000-0005-0000-0000-00007A290000}"/>
    <cellStyle name="Comma 2 2 8 5" xfId="19101" xr:uid="{00000000-0005-0000-0000-00007B290000}"/>
    <cellStyle name="Comma 2 2 9" xfId="3530" xr:uid="{00000000-0005-0000-0000-00007C290000}"/>
    <cellStyle name="Comma 2 2 9 2" xfId="8209" xr:uid="{00000000-0005-0000-0000-00007D290000}"/>
    <cellStyle name="Comma 2 2 9 2 2" xfId="17533" xr:uid="{00000000-0005-0000-0000-00007E290000}"/>
    <cellStyle name="Comma 2 2 9 2 3" xfId="26856" xr:uid="{00000000-0005-0000-0000-00007F290000}"/>
    <cellStyle name="Comma 2 3" xfId="100" xr:uid="{00000000-0005-0000-0000-000080290000}"/>
    <cellStyle name="Comma 2 3 2" xfId="1787" xr:uid="{00000000-0005-0000-0000-000081290000}"/>
    <cellStyle name="Comma 2 3 2 2" xfId="1788" xr:uid="{00000000-0005-0000-0000-000082290000}"/>
    <cellStyle name="Comma 2 3 2 2 2" xfId="1789" xr:uid="{00000000-0005-0000-0000-000083290000}"/>
    <cellStyle name="Comma 2 3 2 2 2 2" xfId="1790" xr:uid="{00000000-0005-0000-0000-000084290000}"/>
    <cellStyle name="Comma 2 3 2 2 2 2 2" xfId="3537" xr:uid="{00000000-0005-0000-0000-000085290000}"/>
    <cellStyle name="Comma 2 3 2 2 2 2 2 2" xfId="8216" xr:uid="{00000000-0005-0000-0000-000086290000}"/>
    <cellStyle name="Comma 2 3 2 2 2 2 2 2 2" xfId="17540" xr:uid="{00000000-0005-0000-0000-000087290000}"/>
    <cellStyle name="Comma 2 3 2 2 2 2 2 2 3" xfId="26863" xr:uid="{00000000-0005-0000-0000-000088290000}"/>
    <cellStyle name="Comma 2 3 2 2 2 2 2 3" xfId="12902" xr:uid="{00000000-0005-0000-0000-000089290000}"/>
    <cellStyle name="Comma 2 3 2 2 2 2 2 4" xfId="22228" xr:uid="{00000000-0005-0000-0000-00008A290000}"/>
    <cellStyle name="Comma 2 3 2 2 2 2 3" xfId="5232" xr:uid="{00000000-0005-0000-0000-00008B290000}"/>
    <cellStyle name="Comma 2 3 2 2 2 2 3 2" xfId="14556" xr:uid="{00000000-0005-0000-0000-00008C290000}"/>
    <cellStyle name="Comma 2 3 2 2 2 2 3 3" xfId="23879" xr:uid="{00000000-0005-0000-0000-00008D290000}"/>
    <cellStyle name="Comma 2 3 2 2 2 2 4" xfId="6345" xr:uid="{00000000-0005-0000-0000-00008E290000}"/>
    <cellStyle name="Comma 2 3 2 2 2 2 4 2" xfId="15669" xr:uid="{00000000-0005-0000-0000-00008F290000}"/>
    <cellStyle name="Comma 2 3 2 2 2 2 4 3" xfId="24992" xr:uid="{00000000-0005-0000-0000-000090290000}"/>
    <cellStyle name="Comma 2 3 2 2 2 2 5" xfId="11317" xr:uid="{00000000-0005-0000-0000-000091290000}"/>
    <cellStyle name="Comma 2 3 2 2 2 2 6" xfId="20641" xr:uid="{00000000-0005-0000-0000-000092290000}"/>
    <cellStyle name="Comma 2 3 2 2 2 3" xfId="3536" xr:uid="{00000000-0005-0000-0000-000093290000}"/>
    <cellStyle name="Comma 2 3 2 2 2 3 2" xfId="8215" xr:uid="{00000000-0005-0000-0000-000094290000}"/>
    <cellStyle name="Comma 2 3 2 2 2 3 2 2" xfId="17539" xr:uid="{00000000-0005-0000-0000-000095290000}"/>
    <cellStyle name="Comma 2 3 2 2 2 3 2 3" xfId="26862" xr:uid="{00000000-0005-0000-0000-000096290000}"/>
    <cellStyle name="Comma 2 3 2 2 2 3 3" xfId="12901" xr:uid="{00000000-0005-0000-0000-000097290000}"/>
    <cellStyle name="Comma 2 3 2 2 2 3 4" xfId="22227" xr:uid="{00000000-0005-0000-0000-000098290000}"/>
    <cellStyle name="Comma 2 3 2 2 2 4" xfId="5231" xr:uid="{00000000-0005-0000-0000-000099290000}"/>
    <cellStyle name="Comma 2 3 2 2 2 4 2" xfId="14555" xr:uid="{00000000-0005-0000-0000-00009A290000}"/>
    <cellStyle name="Comma 2 3 2 2 2 4 3" xfId="23878" xr:uid="{00000000-0005-0000-0000-00009B290000}"/>
    <cellStyle name="Comma 2 3 2 2 2 5" xfId="6336" xr:uid="{00000000-0005-0000-0000-00009C290000}"/>
    <cellStyle name="Comma 2 3 2 2 2 5 2" xfId="15660" xr:uid="{00000000-0005-0000-0000-00009D290000}"/>
    <cellStyle name="Comma 2 3 2 2 2 5 3" xfId="24983" xr:uid="{00000000-0005-0000-0000-00009E290000}"/>
    <cellStyle name="Comma 2 3 2 2 2 6" xfId="11316" xr:uid="{00000000-0005-0000-0000-00009F290000}"/>
    <cellStyle name="Comma 2 3 2 2 2 7" xfId="20640" xr:uid="{00000000-0005-0000-0000-0000A0290000}"/>
    <cellStyle name="Comma 2 3 2 2 3" xfId="3535" xr:uid="{00000000-0005-0000-0000-0000A1290000}"/>
    <cellStyle name="Comma 2 3 2 2 3 2" xfId="8214" xr:uid="{00000000-0005-0000-0000-0000A2290000}"/>
    <cellStyle name="Comma 2 3 2 2 3 2 2" xfId="17538" xr:uid="{00000000-0005-0000-0000-0000A3290000}"/>
    <cellStyle name="Comma 2 3 2 2 3 2 3" xfId="26861" xr:uid="{00000000-0005-0000-0000-0000A4290000}"/>
    <cellStyle name="Comma 2 3 2 2 3 3" xfId="12900" xr:uid="{00000000-0005-0000-0000-0000A5290000}"/>
    <cellStyle name="Comma 2 3 2 2 3 4" xfId="22226" xr:uid="{00000000-0005-0000-0000-0000A6290000}"/>
    <cellStyle name="Comma 2 3 2 2 4" xfId="5230" xr:uid="{00000000-0005-0000-0000-0000A7290000}"/>
    <cellStyle name="Comma 2 3 2 2 4 2" xfId="14554" xr:uid="{00000000-0005-0000-0000-0000A8290000}"/>
    <cellStyle name="Comma 2 3 2 2 4 3" xfId="23877" xr:uid="{00000000-0005-0000-0000-0000A9290000}"/>
    <cellStyle name="Comma 2 3 2 2 5" xfId="6346" xr:uid="{00000000-0005-0000-0000-0000AA290000}"/>
    <cellStyle name="Comma 2 3 2 2 5 2" xfId="15670" xr:uid="{00000000-0005-0000-0000-0000AB290000}"/>
    <cellStyle name="Comma 2 3 2 2 5 3" xfId="24993" xr:uid="{00000000-0005-0000-0000-0000AC290000}"/>
    <cellStyle name="Comma 2 3 2 2 6" xfId="11315" xr:uid="{00000000-0005-0000-0000-0000AD290000}"/>
    <cellStyle name="Comma 2 3 2 2 7" xfId="20639" xr:uid="{00000000-0005-0000-0000-0000AE290000}"/>
    <cellStyle name="Comma 2 3 2 3" xfId="3534" xr:uid="{00000000-0005-0000-0000-0000AF290000}"/>
    <cellStyle name="Comma 2 3 2 3 2" xfId="8213" xr:uid="{00000000-0005-0000-0000-0000B0290000}"/>
    <cellStyle name="Comma 2 3 2 3 2 2" xfId="17537" xr:uid="{00000000-0005-0000-0000-0000B1290000}"/>
    <cellStyle name="Comma 2 3 2 3 2 3" xfId="26860" xr:uid="{00000000-0005-0000-0000-0000B2290000}"/>
    <cellStyle name="Comma 2 3 2 3 3" xfId="12899" xr:uid="{00000000-0005-0000-0000-0000B3290000}"/>
    <cellStyle name="Comma 2 3 2 3 4" xfId="22225" xr:uid="{00000000-0005-0000-0000-0000B4290000}"/>
    <cellStyle name="Comma 2 3 2 4" xfId="5229" xr:uid="{00000000-0005-0000-0000-0000B5290000}"/>
    <cellStyle name="Comma 2 3 2 4 2" xfId="14553" xr:uid="{00000000-0005-0000-0000-0000B6290000}"/>
    <cellStyle name="Comma 2 3 2 4 3" xfId="23876" xr:uid="{00000000-0005-0000-0000-0000B7290000}"/>
    <cellStyle name="Comma 2 3 2 5" xfId="6347" xr:uid="{00000000-0005-0000-0000-0000B8290000}"/>
    <cellStyle name="Comma 2 3 2 5 2" xfId="15671" xr:uid="{00000000-0005-0000-0000-0000B9290000}"/>
    <cellStyle name="Comma 2 3 2 5 3" xfId="24994" xr:uid="{00000000-0005-0000-0000-0000BA290000}"/>
    <cellStyle name="Comma 2 3 2 6" xfId="11314" xr:uid="{00000000-0005-0000-0000-0000BB290000}"/>
    <cellStyle name="Comma 2 3 2 7" xfId="20638" xr:uid="{00000000-0005-0000-0000-0000BC290000}"/>
    <cellStyle name="Comma 2 3 3" xfId="1791" xr:uid="{00000000-0005-0000-0000-0000BD290000}"/>
    <cellStyle name="Comma 2 3 3 2" xfId="3538" xr:uid="{00000000-0005-0000-0000-0000BE290000}"/>
    <cellStyle name="Comma 2 3 3 2 2" xfId="8217" xr:uid="{00000000-0005-0000-0000-0000BF290000}"/>
    <cellStyle name="Comma 2 3 3 2 2 2" xfId="17541" xr:uid="{00000000-0005-0000-0000-0000C0290000}"/>
    <cellStyle name="Comma 2 3 3 2 2 3" xfId="26864" xr:uid="{00000000-0005-0000-0000-0000C1290000}"/>
    <cellStyle name="Comma 2 3 3 2 3" xfId="12903" xr:uid="{00000000-0005-0000-0000-0000C2290000}"/>
    <cellStyle name="Comma 2 3 3 2 4" xfId="22229" xr:uid="{00000000-0005-0000-0000-0000C3290000}"/>
    <cellStyle name="Comma 2 3 3 3" xfId="5233" xr:uid="{00000000-0005-0000-0000-0000C4290000}"/>
    <cellStyle name="Comma 2 3 3 3 2" xfId="14557" xr:uid="{00000000-0005-0000-0000-0000C5290000}"/>
    <cellStyle name="Comma 2 3 3 3 3" xfId="23880" xr:uid="{00000000-0005-0000-0000-0000C6290000}"/>
    <cellStyle name="Comma 2 3 3 4" xfId="6344" xr:uid="{00000000-0005-0000-0000-0000C7290000}"/>
    <cellStyle name="Comma 2 3 3 4 2" xfId="15668" xr:uid="{00000000-0005-0000-0000-0000C8290000}"/>
    <cellStyle name="Comma 2 3 3 4 3" xfId="24991" xr:uid="{00000000-0005-0000-0000-0000C9290000}"/>
    <cellStyle name="Comma 2 3 3 5" xfId="11318" xr:uid="{00000000-0005-0000-0000-0000CA290000}"/>
    <cellStyle name="Comma 2 3 3 6" xfId="20642" xr:uid="{00000000-0005-0000-0000-0000CB290000}"/>
    <cellStyle name="Comma 2 3 4" xfId="1792" xr:uid="{00000000-0005-0000-0000-0000CC290000}"/>
    <cellStyle name="Comma 2 3 4 2" xfId="3539" xr:uid="{00000000-0005-0000-0000-0000CD290000}"/>
    <cellStyle name="Comma 2 3 4 2 2" xfId="8218" xr:uid="{00000000-0005-0000-0000-0000CE290000}"/>
    <cellStyle name="Comma 2 3 4 2 2 2" xfId="17542" xr:uid="{00000000-0005-0000-0000-0000CF290000}"/>
    <cellStyle name="Comma 2 3 4 2 2 3" xfId="26865" xr:uid="{00000000-0005-0000-0000-0000D0290000}"/>
    <cellStyle name="Comma 2 3 4 2 3" xfId="12904" xr:uid="{00000000-0005-0000-0000-0000D1290000}"/>
    <cellStyle name="Comma 2 3 4 2 4" xfId="22230" xr:uid="{00000000-0005-0000-0000-0000D2290000}"/>
    <cellStyle name="Comma 2 3 4 3" xfId="5234" xr:uid="{00000000-0005-0000-0000-0000D3290000}"/>
    <cellStyle name="Comma 2 3 4 3 2" xfId="14558" xr:uid="{00000000-0005-0000-0000-0000D4290000}"/>
    <cellStyle name="Comma 2 3 4 3 3" xfId="23881" xr:uid="{00000000-0005-0000-0000-0000D5290000}"/>
    <cellStyle name="Comma 2 3 4 4" xfId="6343" xr:uid="{00000000-0005-0000-0000-0000D6290000}"/>
    <cellStyle name="Comma 2 3 4 4 2" xfId="15667" xr:uid="{00000000-0005-0000-0000-0000D7290000}"/>
    <cellStyle name="Comma 2 3 4 4 3" xfId="24990" xr:uid="{00000000-0005-0000-0000-0000D8290000}"/>
    <cellStyle name="Comma 2 3 4 5" xfId="11319" xr:uid="{00000000-0005-0000-0000-0000D9290000}"/>
    <cellStyle name="Comma 2 3 4 6" xfId="20643" xr:uid="{00000000-0005-0000-0000-0000DA290000}"/>
    <cellStyle name="Comma 2 3 5" xfId="1793" xr:uid="{00000000-0005-0000-0000-0000DB290000}"/>
    <cellStyle name="Comma 2 3 5 2" xfId="3540" xr:uid="{00000000-0005-0000-0000-0000DC290000}"/>
    <cellStyle name="Comma 2 3 5 2 2" xfId="8219" xr:uid="{00000000-0005-0000-0000-0000DD290000}"/>
    <cellStyle name="Comma 2 3 5 2 2 2" xfId="17543" xr:uid="{00000000-0005-0000-0000-0000DE290000}"/>
    <cellStyle name="Comma 2 3 5 2 2 3" xfId="26866" xr:uid="{00000000-0005-0000-0000-0000DF290000}"/>
    <cellStyle name="Comma 2 3 5 3" xfId="6342" xr:uid="{00000000-0005-0000-0000-0000E0290000}"/>
    <cellStyle name="Comma 2 3 5 3 2" xfId="15666" xr:uid="{00000000-0005-0000-0000-0000E1290000}"/>
    <cellStyle name="Comma 2 3 5 3 3" xfId="24989" xr:uid="{00000000-0005-0000-0000-0000E2290000}"/>
    <cellStyle name="Comma 2 3 5 4" xfId="11320" xr:uid="{00000000-0005-0000-0000-0000E3290000}"/>
    <cellStyle name="Comma 2 3 5 5" xfId="20644" xr:uid="{00000000-0005-0000-0000-0000E4290000}"/>
    <cellStyle name="Comma 2 3 6" xfId="1786" xr:uid="{00000000-0005-0000-0000-0000E5290000}"/>
    <cellStyle name="Comma 2 3 6 2" xfId="6348" xr:uid="{00000000-0005-0000-0000-0000E6290000}"/>
    <cellStyle name="Comma 2 3 6 2 2" xfId="15672" xr:uid="{00000000-0005-0000-0000-0000E7290000}"/>
    <cellStyle name="Comma 2 3 6 2 3" xfId="24995" xr:uid="{00000000-0005-0000-0000-0000E8290000}"/>
    <cellStyle name="Comma 2 3 6 3" xfId="11313" xr:uid="{00000000-0005-0000-0000-0000E9290000}"/>
    <cellStyle name="Comma 2 3 6 4" xfId="20637" xr:uid="{00000000-0005-0000-0000-0000EA290000}"/>
    <cellStyle name="Comma 2 3 7" xfId="3533" xr:uid="{00000000-0005-0000-0000-0000EB290000}"/>
    <cellStyle name="Comma 2 3 7 2" xfId="8212" xr:uid="{00000000-0005-0000-0000-0000EC290000}"/>
    <cellStyle name="Comma 2 3 7 2 2" xfId="17536" xr:uid="{00000000-0005-0000-0000-0000ED290000}"/>
    <cellStyle name="Comma 2 3 7 2 3" xfId="26859" xr:uid="{00000000-0005-0000-0000-0000EE290000}"/>
    <cellStyle name="Comma 2 3 8" xfId="7297" xr:uid="{00000000-0005-0000-0000-0000EF290000}"/>
    <cellStyle name="Comma 2 3 8 2" xfId="16621" xr:uid="{00000000-0005-0000-0000-0000F0290000}"/>
    <cellStyle name="Comma 2 3 8 3" xfId="25944" xr:uid="{00000000-0005-0000-0000-0000F1290000}"/>
    <cellStyle name="Comma 2 3 9" xfId="28896" xr:uid="{00000000-0005-0000-0000-0000F2290000}"/>
    <cellStyle name="Comma 2 4" xfId="101" xr:uid="{00000000-0005-0000-0000-0000F3290000}"/>
    <cellStyle name="Comma 2 4 2" xfId="1794" xr:uid="{00000000-0005-0000-0000-0000F4290000}"/>
    <cellStyle name="Comma 2 4 2 2" xfId="3542" xr:uid="{00000000-0005-0000-0000-0000F5290000}"/>
    <cellStyle name="Comma 2 4 2 2 2" xfId="8221" xr:uid="{00000000-0005-0000-0000-0000F6290000}"/>
    <cellStyle name="Comma 2 4 2 2 2 2" xfId="17545" xr:uid="{00000000-0005-0000-0000-0000F7290000}"/>
    <cellStyle name="Comma 2 4 2 2 2 3" xfId="26868" xr:uid="{00000000-0005-0000-0000-0000F8290000}"/>
    <cellStyle name="Comma 2 4 2 2 3" xfId="12905" xr:uid="{00000000-0005-0000-0000-0000F9290000}"/>
    <cellStyle name="Comma 2 4 2 2 4" xfId="22231" xr:uid="{00000000-0005-0000-0000-0000FA290000}"/>
    <cellStyle name="Comma 2 4 2 3" xfId="5237" xr:uid="{00000000-0005-0000-0000-0000FB290000}"/>
    <cellStyle name="Comma 2 4 2 3 2" xfId="14561" xr:uid="{00000000-0005-0000-0000-0000FC290000}"/>
    <cellStyle name="Comma 2 4 2 3 3" xfId="23884" xr:uid="{00000000-0005-0000-0000-0000FD290000}"/>
    <cellStyle name="Comma 2 4 2 4" xfId="6341" xr:uid="{00000000-0005-0000-0000-0000FE290000}"/>
    <cellStyle name="Comma 2 4 2 4 2" xfId="15665" xr:uid="{00000000-0005-0000-0000-0000FF290000}"/>
    <cellStyle name="Comma 2 4 2 4 3" xfId="24988" xr:uid="{00000000-0005-0000-0000-0000002A0000}"/>
    <cellStyle name="Comma 2 4 2 5" xfId="11321" xr:uid="{00000000-0005-0000-0000-0000012A0000}"/>
    <cellStyle name="Comma 2 4 2 6" xfId="20645" xr:uid="{00000000-0005-0000-0000-0000022A0000}"/>
    <cellStyle name="Comma 2 4 3" xfId="1795" xr:uid="{00000000-0005-0000-0000-0000032A0000}"/>
    <cellStyle name="Comma 2 4 3 2" xfId="3543" xr:uid="{00000000-0005-0000-0000-0000042A0000}"/>
    <cellStyle name="Comma 2 4 3 2 2" xfId="8222" xr:uid="{00000000-0005-0000-0000-0000052A0000}"/>
    <cellStyle name="Comma 2 4 3 2 2 2" xfId="17546" xr:uid="{00000000-0005-0000-0000-0000062A0000}"/>
    <cellStyle name="Comma 2 4 3 2 2 3" xfId="26869" xr:uid="{00000000-0005-0000-0000-0000072A0000}"/>
    <cellStyle name="Comma 2 4 3 3" xfId="6340" xr:uid="{00000000-0005-0000-0000-0000082A0000}"/>
    <cellStyle name="Comma 2 4 3 3 2" xfId="15664" xr:uid="{00000000-0005-0000-0000-0000092A0000}"/>
    <cellStyle name="Comma 2 4 3 3 3" xfId="24987" xr:uid="{00000000-0005-0000-0000-00000A2A0000}"/>
    <cellStyle name="Comma 2 4 3 4" xfId="11322" xr:uid="{00000000-0005-0000-0000-00000B2A0000}"/>
    <cellStyle name="Comma 2 4 3 5" xfId="20646" xr:uid="{00000000-0005-0000-0000-00000C2A0000}"/>
    <cellStyle name="Comma 2 4 4" xfId="3541" xr:uid="{00000000-0005-0000-0000-00000D2A0000}"/>
    <cellStyle name="Comma 2 4 4 2" xfId="8220" xr:uid="{00000000-0005-0000-0000-00000E2A0000}"/>
    <cellStyle name="Comma 2 4 4 2 2" xfId="17544" xr:uid="{00000000-0005-0000-0000-00000F2A0000}"/>
    <cellStyle name="Comma 2 4 4 2 3" xfId="26867" xr:uid="{00000000-0005-0000-0000-0000102A0000}"/>
    <cellStyle name="Comma 2 4 5" xfId="7296" xr:uid="{00000000-0005-0000-0000-0000112A0000}"/>
    <cellStyle name="Comma 2 4 5 2" xfId="16620" xr:uid="{00000000-0005-0000-0000-0000122A0000}"/>
    <cellStyle name="Comma 2 4 5 3" xfId="25943" xr:uid="{00000000-0005-0000-0000-0000132A0000}"/>
    <cellStyle name="Comma 2 4 6" xfId="9284" xr:uid="{00000000-0005-0000-0000-0000142A0000}"/>
    <cellStyle name="Comma 2 4 6 2" xfId="18608" xr:uid="{00000000-0005-0000-0000-0000152A0000}"/>
    <cellStyle name="Comma 2 4 6 3" xfId="27931" xr:uid="{00000000-0005-0000-0000-0000162A0000}"/>
    <cellStyle name="Comma 2 4 7" xfId="9778" xr:uid="{00000000-0005-0000-0000-0000172A0000}"/>
    <cellStyle name="Comma 2 4 8" xfId="19102" xr:uid="{00000000-0005-0000-0000-0000182A0000}"/>
    <cellStyle name="Comma 2 4 9" xfId="28871" xr:uid="{00000000-0005-0000-0000-0000192A0000}"/>
    <cellStyle name="Comma 2 5" xfId="102" xr:uid="{00000000-0005-0000-0000-00001A2A0000}"/>
    <cellStyle name="Comma 2 5 2" xfId="1797" xr:uid="{00000000-0005-0000-0000-00001B2A0000}"/>
    <cellStyle name="Comma 2 5 2 2" xfId="3545" xr:uid="{00000000-0005-0000-0000-00001C2A0000}"/>
    <cellStyle name="Comma 2 5 2 2 2" xfId="8224" xr:uid="{00000000-0005-0000-0000-00001D2A0000}"/>
    <cellStyle name="Comma 2 5 2 2 2 2" xfId="17548" xr:uid="{00000000-0005-0000-0000-00001E2A0000}"/>
    <cellStyle name="Comma 2 5 2 2 2 3" xfId="26871" xr:uid="{00000000-0005-0000-0000-00001F2A0000}"/>
    <cellStyle name="Comma 2 5 2 2 3" xfId="12906" xr:uid="{00000000-0005-0000-0000-0000202A0000}"/>
    <cellStyle name="Comma 2 5 2 2 4" xfId="22232" xr:uid="{00000000-0005-0000-0000-0000212A0000}"/>
    <cellStyle name="Comma 2 5 2 3" xfId="5240" xr:uid="{00000000-0005-0000-0000-0000222A0000}"/>
    <cellStyle name="Comma 2 5 2 3 2" xfId="14564" xr:uid="{00000000-0005-0000-0000-0000232A0000}"/>
    <cellStyle name="Comma 2 5 2 3 3" xfId="23887" xr:uid="{00000000-0005-0000-0000-0000242A0000}"/>
    <cellStyle name="Comma 2 5 2 4" xfId="6338" xr:uid="{00000000-0005-0000-0000-0000252A0000}"/>
    <cellStyle name="Comma 2 5 2 4 2" xfId="15662" xr:uid="{00000000-0005-0000-0000-0000262A0000}"/>
    <cellStyle name="Comma 2 5 2 4 3" xfId="24985" xr:uid="{00000000-0005-0000-0000-0000272A0000}"/>
    <cellStyle name="Comma 2 5 2 5" xfId="11324" xr:uid="{00000000-0005-0000-0000-0000282A0000}"/>
    <cellStyle name="Comma 2 5 2 6" xfId="20648" xr:uid="{00000000-0005-0000-0000-0000292A0000}"/>
    <cellStyle name="Comma 2 5 3" xfId="1796" xr:uid="{00000000-0005-0000-0000-00002A2A0000}"/>
    <cellStyle name="Comma 2 5 3 2" xfId="6339" xr:uid="{00000000-0005-0000-0000-00002B2A0000}"/>
    <cellStyle name="Comma 2 5 3 2 2" xfId="15663" xr:uid="{00000000-0005-0000-0000-00002C2A0000}"/>
    <cellStyle name="Comma 2 5 3 2 3" xfId="24986" xr:uid="{00000000-0005-0000-0000-00002D2A0000}"/>
    <cellStyle name="Comma 2 5 3 3" xfId="11323" xr:uid="{00000000-0005-0000-0000-00002E2A0000}"/>
    <cellStyle name="Comma 2 5 3 4" xfId="20647" xr:uid="{00000000-0005-0000-0000-00002F2A0000}"/>
    <cellStyle name="Comma 2 5 4" xfId="3544" xr:uid="{00000000-0005-0000-0000-0000302A0000}"/>
    <cellStyle name="Comma 2 5 4 2" xfId="8223" xr:uid="{00000000-0005-0000-0000-0000312A0000}"/>
    <cellStyle name="Comma 2 5 4 2 2" xfId="17547" xr:uid="{00000000-0005-0000-0000-0000322A0000}"/>
    <cellStyle name="Comma 2 5 4 2 3" xfId="26870" xr:uid="{00000000-0005-0000-0000-0000332A0000}"/>
    <cellStyle name="Comma 2 6" xfId="103" xr:uid="{00000000-0005-0000-0000-0000342A0000}"/>
    <cellStyle name="Comma 2 7" xfId="104" xr:uid="{00000000-0005-0000-0000-0000352A0000}"/>
    <cellStyle name="Comma 2 8" xfId="105" xr:uid="{00000000-0005-0000-0000-0000362A0000}"/>
    <cellStyle name="Comma 2 8 2" xfId="298" xr:uid="{00000000-0005-0000-0000-0000372A0000}"/>
    <cellStyle name="Comma 2 8 3" xfId="275" xr:uid="{00000000-0005-0000-0000-0000382A0000}"/>
    <cellStyle name="Comma 2 8 3 2" xfId="7241" xr:uid="{00000000-0005-0000-0000-0000392A0000}"/>
    <cellStyle name="Comma 2 8 3 2 2" xfId="16565" xr:uid="{00000000-0005-0000-0000-00003A2A0000}"/>
    <cellStyle name="Comma 2 8 3 2 3" xfId="25888" xr:uid="{00000000-0005-0000-0000-00003B2A0000}"/>
    <cellStyle name="Comma 2 8 4" xfId="1151" xr:uid="{00000000-0005-0000-0000-00003C2A0000}"/>
    <cellStyle name="Comma 2 8 4 2" xfId="6698" xr:uid="{00000000-0005-0000-0000-00003D2A0000}"/>
    <cellStyle name="Comma 2 8 4 2 2" xfId="16022" xr:uid="{00000000-0005-0000-0000-00003E2A0000}"/>
    <cellStyle name="Comma 2 8 4 2 3" xfId="25345" xr:uid="{00000000-0005-0000-0000-00003F2A0000}"/>
    <cellStyle name="Comma 2 8 4 3" xfId="10750" xr:uid="{00000000-0005-0000-0000-0000402A0000}"/>
    <cellStyle name="Comma 2 8 4 4" xfId="20074" xr:uid="{00000000-0005-0000-0000-0000412A0000}"/>
    <cellStyle name="Comma 2 9" xfId="106" xr:uid="{00000000-0005-0000-0000-0000422A0000}"/>
    <cellStyle name="Comma 20" xfId="1188" xr:uid="{00000000-0005-0000-0000-0000432A0000}"/>
    <cellStyle name="Comma 20 2" xfId="1799" xr:uid="{00000000-0005-0000-0000-0000442A0000}"/>
    <cellStyle name="Comma 20 2 2" xfId="1800" xr:uid="{00000000-0005-0000-0000-0000452A0000}"/>
    <cellStyle name="Comma 20 2 2 2" xfId="3548" xr:uid="{00000000-0005-0000-0000-0000462A0000}"/>
    <cellStyle name="Comma 20 2 2 2 2" xfId="8227" xr:uid="{00000000-0005-0000-0000-0000472A0000}"/>
    <cellStyle name="Comma 20 2 2 2 2 2" xfId="17551" xr:uid="{00000000-0005-0000-0000-0000482A0000}"/>
    <cellStyle name="Comma 20 2 2 2 2 3" xfId="26874" xr:uid="{00000000-0005-0000-0000-0000492A0000}"/>
    <cellStyle name="Comma 20 2 2 2 3" xfId="12907" xr:uid="{00000000-0005-0000-0000-00004A2A0000}"/>
    <cellStyle name="Comma 20 2 2 2 4" xfId="22233" xr:uid="{00000000-0005-0000-0000-00004B2A0000}"/>
    <cellStyle name="Comma 20 2 2 3" xfId="5242" xr:uid="{00000000-0005-0000-0000-00004C2A0000}"/>
    <cellStyle name="Comma 20 2 2 3 2" xfId="14566" xr:uid="{00000000-0005-0000-0000-00004D2A0000}"/>
    <cellStyle name="Comma 20 2 2 3 3" xfId="23889" xr:uid="{00000000-0005-0000-0000-00004E2A0000}"/>
    <cellStyle name="Comma 20 2 2 4" xfId="4795" xr:uid="{00000000-0005-0000-0000-00004F2A0000}"/>
    <cellStyle name="Comma 20 2 2 4 2" xfId="14119" xr:uid="{00000000-0005-0000-0000-0000502A0000}"/>
    <cellStyle name="Comma 20 2 2 4 3" xfId="23442" xr:uid="{00000000-0005-0000-0000-0000512A0000}"/>
    <cellStyle name="Comma 20 2 2 5" xfId="11327" xr:uid="{00000000-0005-0000-0000-0000522A0000}"/>
    <cellStyle name="Comma 20 2 2 6" xfId="20651" xr:uid="{00000000-0005-0000-0000-0000532A0000}"/>
    <cellStyle name="Comma 20 2 3" xfId="1801" xr:uid="{00000000-0005-0000-0000-0000542A0000}"/>
    <cellStyle name="Comma 20 2 3 2" xfId="3549" xr:uid="{00000000-0005-0000-0000-0000552A0000}"/>
    <cellStyle name="Comma 20 2 3 2 2" xfId="8228" xr:uid="{00000000-0005-0000-0000-0000562A0000}"/>
    <cellStyle name="Comma 20 2 3 2 2 2" xfId="17552" xr:uid="{00000000-0005-0000-0000-0000572A0000}"/>
    <cellStyle name="Comma 20 2 3 2 2 3" xfId="26875" xr:uid="{00000000-0005-0000-0000-0000582A0000}"/>
    <cellStyle name="Comma 20 2 3 3" xfId="6335" xr:uid="{00000000-0005-0000-0000-0000592A0000}"/>
    <cellStyle name="Comma 20 2 3 3 2" xfId="15659" xr:uid="{00000000-0005-0000-0000-00005A2A0000}"/>
    <cellStyle name="Comma 20 2 3 3 3" xfId="24982" xr:uid="{00000000-0005-0000-0000-00005B2A0000}"/>
    <cellStyle name="Comma 20 2 3 4" xfId="11328" xr:uid="{00000000-0005-0000-0000-00005C2A0000}"/>
    <cellStyle name="Comma 20 2 3 5" xfId="20652" xr:uid="{00000000-0005-0000-0000-00005D2A0000}"/>
    <cellStyle name="Comma 20 2 4" xfId="3547" xr:uid="{00000000-0005-0000-0000-00005E2A0000}"/>
    <cellStyle name="Comma 20 2 4 2" xfId="8226" xr:uid="{00000000-0005-0000-0000-00005F2A0000}"/>
    <cellStyle name="Comma 20 2 4 2 2" xfId="17550" xr:uid="{00000000-0005-0000-0000-0000602A0000}"/>
    <cellStyle name="Comma 20 2 4 2 3" xfId="26873" xr:uid="{00000000-0005-0000-0000-0000612A0000}"/>
    <cellStyle name="Comma 20 2 5" xfId="4802" xr:uid="{00000000-0005-0000-0000-0000622A0000}"/>
    <cellStyle name="Comma 20 2 5 2" xfId="14126" xr:uid="{00000000-0005-0000-0000-0000632A0000}"/>
    <cellStyle name="Comma 20 2 5 3" xfId="23449" xr:uid="{00000000-0005-0000-0000-0000642A0000}"/>
    <cellStyle name="Comma 20 2 6" xfId="11326" xr:uid="{00000000-0005-0000-0000-0000652A0000}"/>
    <cellStyle name="Comma 20 2 7" xfId="20650" xr:uid="{00000000-0005-0000-0000-0000662A0000}"/>
    <cellStyle name="Comma 20 3" xfId="1802" xr:uid="{00000000-0005-0000-0000-0000672A0000}"/>
    <cellStyle name="Comma 20 3 2" xfId="3550" xr:uid="{00000000-0005-0000-0000-0000682A0000}"/>
    <cellStyle name="Comma 20 3 2 2" xfId="8229" xr:uid="{00000000-0005-0000-0000-0000692A0000}"/>
    <cellStyle name="Comma 20 3 2 2 2" xfId="17553" xr:uid="{00000000-0005-0000-0000-00006A2A0000}"/>
    <cellStyle name="Comma 20 3 2 2 3" xfId="26876" xr:uid="{00000000-0005-0000-0000-00006B2A0000}"/>
    <cellStyle name="Comma 20 3 2 3" xfId="12908" xr:uid="{00000000-0005-0000-0000-00006C2A0000}"/>
    <cellStyle name="Comma 20 3 2 4" xfId="22234" xr:uid="{00000000-0005-0000-0000-00006D2A0000}"/>
    <cellStyle name="Comma 20 3 3" xfId="5243" xr:uid="{00000000-0005-0000-0000-00006E2A0000}"/>
    <cellStyle name="Comma 20 3 3 2" xfId="14567" xr:uid="{00000000-0005-0000-0000-00006F2A0000}"/>
    <cellStyle name="Comma 20 3 3 3" xfId="23890" xr:uid="{00000000-0005-0000-0000-0000702A0000}"/>
    <cellStyle name="Comma 20 3 4" xfId="4574" xr:uid="{00000000-0005-0000-0000-0000712A0000}"/>
    <cellStyle name="Comma 20 3 4 2" xfId="13898" xr:uid="{00000000-0005-0000-0000-0000722A0000}"/>
    <cellStyle name="Comma 20 3 4 3" xfId="23221" xr:uid="{00000000-0005-0000-0000-0000732A0000}"/>
    <cellStyle name="Comma 20 3 5" xfId="11329" xr:uid="{00000000-0005-0000-0000-0000742A0000}"/>
    <cellStyle name="Comma 20 3 6" xfId="20653" xr:uid="{00000000-0005-0000-0000-0000752A0000}"/>
    <cellStyle name="Comma 20 4" xfId="1803" xr:uid="{00000000-0005-0000-0000-0000762A0000}"/>
    <cellStyle name="Comma 20 4 2" xfId="3551" xr:uid="{00000000-0005-0000-0000-0000772A0000}"/>
    <cellStyle name="Comma 20 4 2 2" xfId="8230" xr:uid="{00000000-0005-0000-0000-0000782A0000}"/>
    <cellStyle name="Comma 20 4 2 2 2" xfId="17554" xr:uid="{00000000-0005-0000-0000-0000792A0000}"/>
    <cellStyle name="Comma 20 4 2 2 3" xfId="26877" xr:uid="{00000000-0005-0000-0000-00007A2A0000}"/>
    <cellStyle name="Comma 20 4 3" xfId="5081" xr:uid="{00000000-0005-0000-0000-00007B2A0000}"/>
    <cellStyle name="Comma 20 4 3 2" xfId="14405" xr:uid="{00000000-0005-0000-0000-00007C2A0000}"/>
    <cellStyle name="Comma 20 4 3 3" xfId="23728" xr:uid="{00000000-0005-0000-0000-00007D2A0000}"/>
    <cellStyle name="Comma 20 4 4" xfId="11330" xr:uid="{00000000-0005-0000-0000-00007E2A0000}"/>
    <cellStyle name="Comma 20 4 5" xfId="20654" xr:uid="{00000000-0005-0000-0000-00007F2A0000}"/>
    <cellStyle name="Comma 20 5" xfId="1798" xr:uid="{00000000-0005-0000-0000-0000802A0000}"/>
    <cellStyle name="Comma 20 5 2" xfId="3546" xr:uid="{00000000-0005-0000-0000-0000812A0000}"/>
    <cellStyle name="Comma 20 5 2 2" xfId="8225" xr:uid="{00000000-0005-0000-0000-0000822A0000}"/>
    <cellStyle name="Comma 20 5 2 2 2" xfId="17549" xr:uid="{00000000-0005-0000-0000-0000832A0000}"/>
    <cellStyle name="Comma 20 5 2 2 3" xfId="26872" xr:uid="{00000000-0005-0000-0000-0000842A0000}"/>
    <cellStyle name="Comma 20 5 3" xfId="6337" xr:uid="{00000000-0005-0000-0000-0000852A0000}"/>
    <cellStyle name="Comma 20 5 3 2" xfId="15661" xr:uid="{00000000-0005-0000-0000-0000862A0000}"/>
    <cellStyle name="Comma 20 5 3 3" xfId="24984" xr:uid="{00000000-0005-0000-0000-0000872A0000}"/>
    <cellStyle name="Comma 20 5 4" xfId="11325" xr:uid="{00000000-0005-0000-0000-0000882A0000}"/>
    <cellStyle name="Comma 20 5 5" xfId="20649" xr:uid="{00000000-0005-0000-0000-0000892A0000}"/>
    <cellStyle name="Comma 20 6" xfId="2999" xr:uid="{00000000-0005-0000-0000-00008A2A0000}"/>
    <cellStyle name="Comma 20 6 2" xfId="7678" xr:uid="{00000000-0005-0000-0000-00008B2A0000}"/>
    <cellStyle name="Comma 20 6 2 2" xfId="17002" xr:uid="{00000000-0005-0000-0000-00008C2A0000}"/>
    <cellStyle name="Comma 20 6 2 3" xfId="26325" xr:uid="{00000000-0005-0000-0000-00008D2A0000}"/>
    <cellStyle name="Comma 20 6 3" xfId="12389" xr:uid="{00000000-0005-0000-0000-00008E2A0000}"/>
    <cellStyle name="Comma 20 6 4" xfId="21715" xr:uid="{00000000-0005-0000-0000-00008F2A0000}"/>
    <cellStyle name="Comma 20 7" xfId="4649" xr:uid="{00000000-0005-0000-0000-0000902A0000}"/>
    <cellStyle name="Comma 20 7 2" xfId="13973" xr:uid="{00000000-0005-0000-0000-0000912A0000}"/>
    <cellStyle name="Comma 20 7 3" xfId="23296" xr:uid="{00000000-0005-0000-0000-0000922A0000}"/>
    <cellStyle name="Comma 20 8" xfId="10780" xr:uid="{00000000-0005-0000-0000-0000932A0000}"/>
    <cellStyle name="Comma 20 9" xfId="20104" xr:uid="{00000000-0005-0000-0000-0000942A0000}"/>
    <cellStyle name="Comma 21" xfId="1189" xr:uid="{00000000-0005-0000-0000-0000952A0000}"/>
    <cellStyle name="Comma 21 2" xfId="1805" xr:uid="{00000000-0005-0000-0000-0000962A0000}"/>
    <cellStyle name="Comma 21 2 2" xfId="1806" xr:uid="{00000000-0005-0000-0000-0000972A0000}"/>
    <cellStyle name="Comma 21 2 2 2" xfId="3554" xr:uid="{00000000-0005-0000-0000-0000982A0000}"/>
    <cellStyle name="Comma 21 2 2 2 2" xfId="8233" xr:uid="{00000000-0005-0000-0000-0000992A0000}"/>
    <cellStyle name="Comma 21 2 2 2 2 2" xfId="17557" xr:uid="{00000000-0005-0000-0000-00009A2A0000}"/>
    <cellStyle name="Comma 21 2 2 2 2 3" xfId="26880" xr:uid="{00000000-0005-0000-0000-00009B2A0000}"/>
    <cellStyle name="Comma 21 2 2 2 3" xfId="12911" xr:uid="{00000000-0005-0000-0000-00009C2A0000}"/>
    <cellStyle name="Comma 21 2 2 2 4" xfId="22237" xr:uid="{00000000-0005-0000-0000-00009D2A0000}"/>
    <cellStyle name="Comma 21 2 2 3" xfId="5246" xr:uid="{00000000-0005-0000-0000-00009E2A0000}"/>
    <cellStyle name="Comma 21 2 2 3 2" xfId="14570" xr:uid="{00000000-0005-0000-0000-00009F2A0000}"/>
    <cellStyle name="Comma 21 2 2 3 3" xfId="23893" xr:uid="{00000000-0005-0000-0000-0000A02A0000}"/>
    <cellStyle name="Comma 21 2 2 4" xfId="4578" xr:uid="{00000000-0005-0000-0000-0000A12A0000}"/>
    <cellStyle name="Comma 21 2 2 4 2" xfId="13902" xr:uid="{00000000-0005-0000-0000-0000A22A0000}"/>
    <cellStyle name="Comma 21 2 2 4 3" xfId="23225" xr:uid="{00000000-0005-0000-0000-0000A32A0000}"/>
    <cellStyle name="Comma 21 2 2 5" xfId="11333" xr:uid="{00000000-0005-0000-0000-0000A42A0000}"/>
    <cellStyle name="Comma 21 2 2 6" xfId="20657" xr:uid="{00000000-0005-0000-0000-0000A52A0000}"/>
    <cellStyle name="Comma 21 2 3" xfId="3553" xr:uid="{00000000-0005-0000-0000-0000A62A0000}"/>
    <cellStyle name="Comma 21 2 3 2" xfId="8232" xr:uid="{00000000-0005-0000-0000-0000A72A0000}"/>
    <cellStyle name="Comma 21 2 3 2 2" xfId="17556" xr:uid="{00000000-0005-0000-0000-0000A82A0000}"/>
    <cellStyle name="Comma 21 2 3 2 3" xfId="26879" xr:uid="{00000000-0005-0000-0000-0000A92A0000}"/>
    <cellStyle name="Comma 21 2 3 3" xfId="12910" xr:uid="{00000000-0005-0000-0000-0000AA2A0000}"/>
    <cellStyle name="Comma 21 2 3 4" xfId="22236" xr:uid="{00000000-0005-0000-0000-0000AB2A0000}"/>
    <cellStyle name="Comma 21 2 4" xfId="5245" xr:uid="{00000000-0005-0000-0000-0000AC2A0000}"/>
    <cellStyle name="Comma 21 2 4 2" xfId="14569" xr:uid="{00000000-0005-0000-0000-0000AD2A0000}"/>
    <cellStyle name="Comma 21 2 4 3" xfId="23892" xr:uid="{00000000-0005-0000-0000-0000AE2A0000}"/>
    <cellStyle name="Comma 21 2 5" xfId="5083" xr:uid="{00000000-0005-0000-0000-0000AF2A0000}"/>
    <cellStyle name="Comma 21 2 5 2" xfId="14407" xr:uid="{00000000-0005-0000-0000-0000B02A0000}"/>
    <cellStyle name="Comma 21 2 5 3" xfId="23730" xr:uid="{00000000-0005-0000-0000-0000B12A0000}"/>
    <cellStyle name="Comma 21 2 6" xfId="11332" xr:uid="{00000000-0005-0000-0000-0000B22A0000}"/>
    <cellStyle name="Comma 21 2 7" xfId="20656" xr:uid="{00000000-0005-0000-0000-0000B32A0000}"/>
    <cellStyle name="Comma 21 3" xfId="1807" xr:uid="{00000000-0005-0000-0000-0000B42A0000}"/>
    <cellStyle name="Comma 21 3 2" xfId="3555" xr:uid="{00000000-0005-0000-0000-0000B52A0000}"/>
    <cellStyle name="Comma 21 3 2 2" xfId="8234" xr:uid="{00000000-0005-0000-0000-0000B62A0000}"/>
    <cellStyle name="Comma 21 3 2 2 2" xfId="17558" xr:uid="{00000000-0005-0000-0000-0000B72A0000}"/>
    <cellStyle name="Comma 21 3 2 2 3" xfId="26881" xr:uid="{00000000-0005-0000-0000-0000B82A0000}"/>
    <cellStyle name="Comma 21 3 2 3" xfId="12912" xr:uid="{00000000-0005-0000-0000-0000B92A0000}"/>
    <cellStyle name="Comma 21 3 2 4" xfId="22238" xr:uid="{00000000-0005-0000-0000-0000BA2A0000}"/>
    <cellStyle name="Comma 21 3 3" xfId="5247" xr:uid="{00000000-0005-0000-0000-0000BB2A0000}"/>
    <cellStyle name="Comma 21 3 3 2" xfId="14571" xr:uid="{00000000-0005-0000-0000-0000BC2A0000}"/>
    <cellStyle name="Comma 21 3 3 3" xfId="23894" xr:uid="{00000000-0005-0000-0000-0000BD2A0000}"/>
    <cellStyle name="Comma 21 3 4" xfId="5084" xr:uid="{00000000-0005-0000-0000-0000BE2A0000}"/>
    <cellStyle name="Comma 21 3 4 2" xfId="14408" xr:uid="{00000000-0005-0000-0000-0000BF2A0000}"/>
    <cellStyle name="Comma 21 3 4 3" xfId="23731" xr:uid="{00000000-0005-0000-0000-0000C02A0000}"/>
    <cellStyle name="Comma 21 3 5" xfId="11334" xr:uid="{00000000-0005-0000-0000-0000C12A0000}"/>
    <cellStyle name="Comma 21 3 6" xfId="20658" xr:uid="{00000000-0005-0000-0000-0000C22A0000}"/>
    <cellStyle name="Comma 21 4" xfId="1804" xr:uid="{00000000-0005-0000-0000-0000C32A0000}"/>
    <cellStyle name="Comma 21 4 2" xfId="3552" xr:uid="{00000000-0005-0000-0000-0000C42A0000}"/>
    <cellStyle name="Comma 21 4 2 2" xfId="8231" xr:uid="{00000000-0005-0000-0000-0000C52A0000}"/>
    <cellStyle name="Comma 21 4 2 2 2" xfId="17555" xr:uid="{00000000-0005-0000-0000-0000C62A0000}"/>
    <cellStyle name="Comma 21 4 2 2 3" xfId="26878" xr:uid="{00000000-0005-0000-0000-0000C72A0000}"/>
    <cellStyle name="Comma 21 4 2 3" xfId="12909" xr:uid="{00000000-0005-0000-0000-0000C82A0000}"/>
    <cellStyle name="Comma 21 4 2 4" xfId="22235" xr:uid="{00000000-0005-0000-0000-0000C92A0000}"/>
    <cellStyle name="Comma 21 4 3" xfId="5244" xr:uid="{00000000-0005-0000-0000-0000CA2A0000}"/>
    <cellStyle name="Comma 21 4 3 2" xfId="14568" xr:uid="{00000000-0005-0000-0000-0000CB2A0000}"/>
    <cellStyle name="Comma 21 4 3 3" xfId="23891" xr:uid="{00000000-0005-0000-0000-0000CC2A0000}"/>
    <cellStyle name="Comma 21 4 4" xfId="5082" xr:uid="{00000000-0005-0000-0000-0000CD2A0000}"/>
    <cellStyle name="Comma 21 4 4 2" xfId="14406" xr:uid="{00000000-0005-0000-0000-0000CE2A0000}"/>
    <cellStyle name="Comma 21 4 4 3" xfId="23729" xr:uid="{00000000-0005-0000-0000-0000CF2A0000}"/>
    <cellStyle name="Comma 21 4 5" xfId="11331" xr:uid="{00000000-0005-0000-0000-0000D02A0000}"/>
    <cellStyle name="Comma 21 4 6" xfId="20655" xr:uid="{00000000-0005-0000-0000-0000D12A0000}"/>
    <cellStyle name="Comma 21 5" xfId="3000" xr:uid="{00000000-0005-0000-0000-0000D22A0000}"/>
    <cellStyle name="Comma 21 5 2" xfId="7679" xr:uid="{00000000-0005-0000-0000-0000D32A0000}"/>
    <cellStyle name="Comma 21 5 2 2" xfId="17003" xr:uid="{00000000-0005-0000-0000-0000D42A0000}"/>
    <cellStyle name="Comma 21 5 2 3" xfId="26326" xr:uid="{00000000-0005-0000-0000-0000D52A0000}"/>
    <cellStyle name="Comma 21 5 3" xfId="12390" xr:uid="{00000000-0005-0000-0000-0000D62A0000}"/>
    <cellStyle name="Comma 21 5 4" xfId="21716" xr:uid="{00000000-0005-0000-0000-0000D72A0000}"/>
    <cellStyle name="Comma 21 6" xfId="4650" xr:uid="{00000000-0005-0000-0000-0000D82A0000}"/>
    <cellStyle name="Comma 21 6 2" xfId="13974" xr:uid="{00000000-0005-0000-0000-0000D92A0000}"/>
    <cellStyle name="Comma 21 6 3" xfId="23297" xr:uid="{00000000-0005-0000-0000-0000DA2A0000}"/>
    <cellStyle name="Comma 21 7" xfId="10781" xr:uid="{00000000-0005-0000-0000-0000DB2A0000}"/>
    <cellStyle name="Comma 21 8" xfId="20105" xr:uid="{00000000-0005-0000-0000-0000DC2A0000}"/>
    <cellStyle name="Comma 22" xfId="1190" xr:uid="{00000000-0005-0000-0000-0000DD2A0000}"/>
    <cellStyle name="Comma 22 2" xfId="1809" xr:uid="{00000000-0005-0000-0000-0000DE2A0000}"/>
    <cellStyle name="Comma 22 2 2" xfId="1810" xr:uid="{00000000-0005-0000-0000-0000DF2A0000}"/>
    <cellStyle name="Comma 22 2 2 2" xfId="3558" xr:uid="{00000000-0005-0000-0000-0000E02A0000}"/>
    <cellStyle name="Comma 22 2 2 2 2" xfId="8237" xr:uid="{00000000-0005-0000-0000-0000E12A0000}"/>
    <cellStyle name="Comma 22 2 2 2 2 2" xfId="17561" xr:uid="{00000000-0005-0000-0000-0000E22A0000}"/>
    <cellStyle name="Comma 22 2 2 2 2 3" xfId="26884" xr:uid="{00000000-0005-0000-0000-0000E32A0000}"/>
    <cellStyle name="Comma 22 2 2 2 3" xfId="12915" xr:uid="{00000000-0005-0000-0000-0000E42A0000}"/>
    <cellStyle name="Comma 22 2 2 2 4" xfId="22241" xr:uid="{00000000-0005-0000-0000-0000E52A0000}"/>
    <cellStyle name="Comma 22 2 2 3" xfId="5250" xr:uid="{00000000-0005-0000-0000-0000E62A0000}"/>
    <cellStyle name="Comma 22 2 2 3 2" xfId="14574" xr:uid="{00000000-0005-0000-0000-0000E72A0000}"/>
    <cellStyle name="Comma 22 2 2 3 3" xfId="23897" xr:uid="{00000000-0005-0000-0000-0000E82A0000}"/>
    <cellStyle name="Comma 22 2 2 4" xfId="4582" xr:uid="{00000000-0005-0000-0000-0000E92A0000}"/>
    <cellStyle name="Comma 22 2 2 4 2" xfId="13906" xr:uid="{00000000-0005-0000-0000-0000EA2A0000}"/>
    <cellStyle name="Comma 22 2 2 4 3" xfId="23229" xr:uid="{00000000-0005-0000-0000-0000EB2A0000}"/>
    <cellStyle name="Comma 22 2 2 5" xfId="11337" xr:uid="{00000000-0005-0000-0000-0000EC2A0000}"/>
    <cellStyle name="Comma 22 2 2 6" xfId="20661" xr:uid="{00000000-0005-0000-0000-0000ED2A0000}"/>
    <cellStyle name="Comma 22 2 3" xfId="3557" xr:uid="{00000000-0005-0000-0000-0000EE2A0000}"/>
    <cellStyle name="Comma 22 2 3 2" xfId="8236" xr:uid="{00000000-0005-0000-0000-0000EF2A0000}"/>
    <cellStyle name="Comma 22 2 3 2 2" xfId="17560" xr:uid="{00000000-0005-0000-0000-0000F02A0000}"/>
    <cellStyle name="Comma 22 2 3 2 3" xfId="26883" xr:uid="{00000000-0005-0000-0000-0000F12A0000}"/>
    <cellStyle name="Comma 22 2 3 3" xfId="12914" xr:uid="{00000000-0005-0000-0000-0000F22A0000}"/>
    <cellStyle name="Comma 22 2 3 4" xfId="22240" xr:uid="{00000000-0005-0000-0000-0000F32A0000}"/>
    <cellStyle name="Comma 22 2 4" xfId="5249" xr:uid="{00000000-0005-0000-0000-0000F42A0000}"/>
    <cellStyle name="Comma 22 2 4 2" xfId="14573" xr:uid="{00000000-0005-0000-0000-0000F52A0000}"/>
    <cellStyle name="Comma 22 2 4 3" xfId="23896" xr:uid="{00000000-0005-0000-0000-0000F62A0000}"/>
    <cellStyle name="Comma 22 2 5" xfId="5086" xr:uid="{00000000-0005-0000-0000-0000F72A0000}"/>
    <cellStyle name="Comma 22 2 5 2" xfId="14410" xr:uid="{00000000-0005-0000-0000-0000F82A0000}"/>
    <cellStyle name="Comma 22 2 5 3" xfId="23733" xr:uid="{00000000-0005-0000-0000-0000F92A0000}"/>
    <cellStyle name="Comma 22 2 6" xfId="11336" xr:uid="{00000000-0005-0000-0000-0000FA2A0000}"/>
    <cellStyle name="Comma 22 2 7" xfId="20660" xr:uid="{00000000-0005-0000-0000-0000FB2A0000}"/>
    <cellStyle name="Comma 22 3" xfId="1811" xr:uid="{00000000-0005-0000-0000-0000FC2A0000}"/>
    <cellStyle name="Comma 22 3 2" xfId="3559" xr:uid="{00000000-0005-0000-0000-0000FD2A0000}"/>
    <cellStyle name="Comma 22 3 2 2" xfId="8238" xr:uid="{00000000-0005-0000-0000-0000FE2A0000}"/>
    <cellStyle name="Comma 22 3 2 2 2" xfId="17562" xr:uid="{00000000-0005-0000-0000-0000FF2A0000}"/>
    <cellStyle name="Comma 22 3 2 2 3" xfId="26885" xr:uid="{00000000-0005-0000-0000-0000002B0000}"/>
    <cellStyle name="Comma 22 3 2 3" xfId="12916" xr:uid="{00000000-0005-0000-0000-0000012B0000}"/>
    <cellStyle name="Comma 22 3 2 4" xfId="22242" xr:uid="{00000000-0005-0000-0000-0000022B0000}"/>
    <cellStyle name="Comma 22 3 3" xfId="5251" xr:uid="{00000000-0005-0000-0000-0000032B0000}"/>
    <cellStyle name="Comma 22 3 3 2" xfId="14575" xr:uid="{00000000-0005-0000-0000-0000042B0000}"/>
    <cellStyle name="Comma 22 3 3 3" xfId="23898" xr:uid="{00000000-0005-0000-0000-0000052B0000}"/>
    <cellStyle name="Comma 22 3 4" xfId="5087" xr:uid="{00000000-0005-0000-0000-0000062B0000}"/>
    <cellStyle name="Comma 22 3 4 2" xfId="14411" xr:uid="{00000000-0005-0000-0000-0000072B0000}"/>
    <cellStyle name="Comma 22 3 4 3" xfId="23734" xr:uid="{00000000-0005-0000-0000-0000082B0000}"/>
    <cellStyle name="Comma 22 3 5" xfId="11338" xr:uid="{00000000-0005-0000-0000-0000092B0000}"/>
    <cellStyle name="Comma 22 3 6" xfId="20662" xr:uid="{00000000-0005-0000-0000-00000A2B0000}"/>
    <cellStyle name="Comma 22 4" xfId="1808" xr:uid="{00000000-0005-0000-0000-00000B2B0000}"/>
    <cellStyle name="Comma 22 4 2" xfId="3556" xr:uid="{00000000-0005-0000-0000-00000C2B0000}"/>
    <cellStyle name="Comma 22 4 2 2" xfId="8235" xr:uid="{00000000-0005-0000-0000-00000D2B0000}"/>
    <cellStyle name="Comma 22 4 2 2 2" xfId="17559" xr:uid="{00000000-0005-0000-0000-00000E2B0000}"/>
    <cellStyle name="Comma 22 4 2 2 3" xfId="26882" xr:uid="{00000000-0005-0000-0000-00000F2B0000}"/>
    <cellStyle name="Comma 22 4 2 3" xfId="12913" xr:uid="{00000000-0005-0000-0000-0000102B0000}"/>
    <cellStyle name="Comma 22 4 2 4" xfId="22239" xr:uid="{00000000-0005-0000-0000-0000112B0000}"/>
    <cellStyle name="Comma 22 4 3" xfId="5248" xr:uid="{00000000-0005-0000-0000-0000122B0000}"/>
    <cellStyle name="Comma 22 4 3 2" xfId="14572" xr:uid="{00000000-0005-0000-0000-0000132B0000}"/>
    <cellStyle name="Comma 22 4 3 3" xfId="23895" xr:uid="{00000000-0005-0000-0000-0000142B0000}"/>
    <cellStyle name="Comma 22 4 4" xfId="5085" xr:uid="{00000000-0005-0000-0000-0000152B0000}"/>
    <cellStyle name="Comma 22 4 4 2" xfId="14409" xr:uid="{00000000-0005-0000-0000-0000162B0000}"/>
    <cellStyle name="Comma 22 4 4 3" xfId="23732" xr:uid="{00000000-0005-0000-0000-0000172B0000}"/>
    <cellStyle name="Comma 22 4 5" xfId="11335" xr:uid="{00000000-0005-0000-0000-0000182B0000}"/>
    <cellStyle name="Comma 22 4 6" xfId="20659" xr:uid="{00000000-0005-0000-0000-0000192B0000}"/>
    <cellStyle name="Comma 22 5" xfId="3001" xr:uid="{00000000-0005-0000-0000-00001A2B0000}"/>
    <cellStyle name="Comma 22 5 2" xfId="7680" xr:uid="{00000000-0005-0000-0000-00001B2B0000}"/>
    <cellStyle name="Comma 22 5 2 2" xfId="17004" xr:uid="{00000000-0005-0000-0000-00001C2B0000}"/>
    <cellStyle name="Comma 22 5 2 3" xfId="26327" xr:uid="{00000000-0005-0000-0000-00001D2B0000}"/>
    <cellStyle name="Comma 22 6" xfId="6689" xr:uid="{00000000-0005-0000-0000-00001E2B0000}"/>
    <cellStyle name="Comma 22 6 2" xfId="16013" xr:uid="{00000000-0005-0000-0000-00001F2B0000}"/>
    <cellStyle name="Comma 22 6 3" xfId="25336" xr:uid="{00000000-0005-0000-0000-0000202B0000}"/>
    <cellStyle name="Comma 22 7" xfId="10782" xr:uid="{00000000-0005-0000-0000-0000212B0000}"/>
    <cellStyle name="Comma 22 8" xfId="20106" xr:uid="{00000000-0005-0000-0000-0000222B0000}"/>
    <cellStyle name="Comma 23" xfId="1191" xr:uid="{00000000-0005-0000-0000-0000232B0000}"/>
    <cellStyle name="Comma 23 2" xfId="1813" xr:uid="{00000000-0005-0000-0000-0000242B0000}"/>
    <cellStyle name="Comma 23 2 2" xfId="1814" xr:uid="{00000000-0005-0000-0000-0000252B0000}"/>
    <cellStyle name="Comma 23 2 2 2" xfId="3562" xr:uid="{00000000-0005-0000-0000-0000262B0000}"/>
    <cellStyle name="Comma 23 2 2 2 2" xfId="8241" xr:uid="{00000000-0005-0000-0000-0000272B0000}"/>
    <cellStyle name="Comma 23 2 2 2 2 2" xfId="17565" xr:uid="{00000000-0005-0000-0000-0000282B0000}"/>
    <cellStyle name="Comma 23 2 2 2 2 3" xfId="26888" xr:uid="{00000000-0005-0000-0000-0000292B0000}"/>
    <cellStyle name="Comma 23 2 2 2 3" xfId="12919" xr:uid="{00000000-0005-0000-0000-00002A2B0000}"/>
    <cellStyle name="Comma 23 2 2 2 4" xfId="22245" xr:uid="{00000000-0005-0000-0000-00002B2B0000}"/>
    <cellStyle name="Comma 23 2 2 3" xfId="5254" xr:uid="{00000000-0005-0000-0000-00002C2B0000}"/>
    <cellStyle name="Comma 23 2 2 3 2" xfId="14578" xr:uid="{00000000-0005-0000-0000-00002D2B0000}"/>
    <cellStyle name="Comma 23 2 2 3 3" xfId="23901" xr:uid="{00000000-0005-0000-0000-00002E2B0000}"/>
    <cellStyle name="Comma 23 2 2 4" xfId="4586" xr:uid="{00000000-0005-0000-0000-00002F2B0000}"/>
    <cellStyle name="Comma 23 2 2 4 2" xfId="13910" xr:uid="{00000000-0005-0000-0000-0000302B0000}"/>
    <cellStyle name="Comma 23 2 2 4 3" xfId="23233" xr:uid="{00000000-0005-0000-0000-0000312B0000}"/>
    <cellStyle name="Comma 23 2 2 5" xfId="11341" xr:uid="{00000000-0005-0000-0000-0000322B0000}"/>
    <cellStyle name="Comma 23 2 2 6" xfId="20665" xr:uid="{00000000-0005-0000-0000-0000332B0000}"/>
    <cellStyle name="Comma 23 2 3" xfId="3561" xr:uid="{00000000-0005-0000-0000-0000342B0000}"/>
    <cellStyle name="Comma 23 2 3 2" xfId="8240" xr:uid="{00000000-0005-0000-0000-0000352B0000}"/>
    <cellStyle name="Comma 23 2 3 2 2" xfId="17564" xr:uid="{00000000-0005-0000-0000-0000362B0000}"/>
    <cellStyle name="Comma 23 2 3 2 3" xfId="26887" xr:uid="{00000000-0005-0000-0000-0000372B0000}"/>
    <cellStyle name="Comma 23 2 3 3" xfId="12918" xr:uid="{00000000-0005-0000-0000-0000382B0000}"/>
    <cellStyle name="Comma 23 2 3 4" xfId="22244" xr:uid="{00000000-0005-0000-0000-0000392B0000}"/>
    <cellStyle name="Comma 23 2 4" xfId="5253" xr:uid="{00000000-0005-0000-0000-00003A2B0000}"/>
    <cellStyle name="Comma 23 2 4 2" xfId="14577" xr:uid="{00000000-0005-0000-0000-00003B2B0000}"/>
    <cellStyle name="Comma 23 2 4 3" xfId="23900" xr:uid="{00000000-0005-0000-0000-00003C2B0000}"/>
    <cellStyle name="Comma 23 2 5" xfId="5089" xr:uid="{00000000-0005-0000-0000-00003D2B0000}"/>
    <cellStyle name="Comma 23 2 5 2" xfId="14413" xr:uid="{00000000-0005-0000-0000-00003E2B0000}"/>
    <cellStyle name="Comma 23 2 5 3" xfId="23736" xr:uid="{00000000-0005-0000-0000-00003F2B0000}"/>
    <cellStyle name="Comma 23 2 6" xfId="11340" xr:uid="{00000000-0005-0000-0000-0000402B0000}"/>
    <cellStyle name="Comma 23 2 7" xfId="20664" xr:uid="{00000000-0005-0000-0000-0000412B0000}"/>
    <cellStyle name="Comma 23 3" xfId="1815" xr:uid="{00000000-0005-0000-0000-0000422B0000}"/>
    <cellStyle name="Comma 23 3 2" xfId="3563" xr:uid="{00000000-0005-0000-0000-0000432B0000}"/>
    <cellStyle name="Comma 23 3 2 2" xfId="8242" xr:uid="{00000000-0005-0000-0000-0000442B0000}"/>
    <cellStyle name="Comma 23 3 2 2 2" xfId="17566" xr:uid="{00000000-0005-0000-0000-0000452B0000}"/>
    <cellStyle name="Comma 23 3 2 2 3" xfId="26889" xr:uid="{00000000-0005-0000-0000-0000462B0000}"/>
    <cellStyle name="Comma 23 3 2 3" xfId="12920" xr:uid="{00000000-0005-0000-0000-0000472B0000}"/>
    <cellStyle name="Comma 23 3 2 4" xfId="22246" xr:uid="{00000000-0005-0000-0000-0000482B0000}"/>
    <cellStyle name="Comma 23 3 3" xfId="5255" xr:uid="{00000000-0005-0000-0000-0000492B0000}"/>
    <cellStyle name="Comma 23 3 3 2" xfId="14579" xr:uid="{00000000-0005-0000-0000-00004A2B0000}"/>
    <cellStyle name="Comma 23 3 3 3" xfId="23902" xr:uid="{00000000-0005-0000-0000-00004B2B0000}"/>
    <cellStyle name="Comma 23 3 4" xfId="5090" xr:uid="{00000000-0005-0000-0000-00004C2B0000}"/>
    <cellStyle name="Comma 23 3 4 2" xfId="14414" xr:uid="{00000000-0005-0000-0000-00004D2B0000}"/>
    <cellStyle name="Comma 23 3 4 3" xfId="23737" xr:uid="{00000000-0005-0000-0000-00004E2B0000}"/>
    <cellStyle name="Comma 23 3 5" xfId="11342" xr:uid="{00000000-0005-0000-0000-00004F2B0000}"/>
    <cellStyle name="Comma 23 3 6" xfId="20666" xr:uid="{00000000-0005-0000-0000-0000502B0000}"/>
    <cellStyle name="Comma 23 4" xfId="1812" xr:uid="{00000000-0005-0000-0000-0000512B0000}"/>
    <cellStyle name="Comma 23 4 2" xfId="3560" xr:uid="{00000000-0005-0000-0000-0000522B0000}"/>
    <cellStyle name="Comma 23 4 2 2" xfId="8239" xr:uid="{00000000-0005-0000-0000-0000532B0000}"/>
    <cellStyle name="Comma 23 4 2 2 2" xfId="17563" xr:uid="{00000000-0005-0000-0000-0000542B0000}"/>
    <cellStyle name="Comma 23 4 2 2 3" xfId="26886" xr:uid="{00000000-0005-0000-0000-0000552B0000}"/>
    <cellStyle name="Comma 23 4 2 3" xfId="12917" xr:uid="{00000000-0005-0000-0000-0000562B0000}"/>
    <cellStyle name="Comma 23 4 2 4" xfId="22243" xr:uid="{00000000-0005-0000-0000-0000572B0000}"/>
    <cellStyle name="Comma 23 4 3" xfId="5252" xr:uid="{00000000-0005-0000-0000-0000582B0000}"/>
    <cellStyle name="Comma 23 4 3 2" xfId="14576" xr:uid="{00000000-0005-0000-0000-0000592B0000}"/>
    <cellStyle name="Comma 23 4 3 3" xfId="23899" xr:uid="{00000000-0005-0000-0000-00005A2B0000}"/>
    <cellStyle name="Comma 23 4 4" xfId="5088" xr:uid="{00000000-0005-0000-0000-00005B2B0000}"/>
    <cellStyle name="Comma 23 4 4 2" xfId="14412" xr:uid="{00000000-0005-0000-0000-00005C2B0000}"/>
    <cellStyle name="Comma 23 4 4 3" xfId="23735" xr:uid="{00000000-0005-0000-0000-00005D2B0000}"/>
    <cellStyle name="Comma 23 4 5" xfId="11339" xr:uid="{00000000-0005-0000-0000-00005E2B0000}"/>
    <cellStyle name="Comma 23 4 6" xfId="20663" xr:uid="{00000000-0005-0000-0000-00005F2B0000}"/>
    <cellStyle name="Comma 23 5" xfId="3002" xr:uid="{00000000-0005-0000-0000-0000602B0000}"/>
    <cellStyle name="Comma 23 5 2" xfId="7681" xr:uid="{00000000-0005-0000-0000-0000612B0000}"/>
    <cellStyle name="Comma 23 5 2 2" xfId="17005" xr:uid="{00000000-0005-0000-0000-0000622B0000}"/>
    <cellStyle name="Comma 23 5 2 3" xfId="26328" xr:uid="{00000000-0005-0000-0000-0000632B0000}"/>
    <cellStyle name="Comma 23 6" xfId="6688" xr:uid="{00000000-0005-0000-0000-0000642B0000}"/>
    <cellStyle name="Comma 23 6 2" xfId="16012" xr:uid="{00000000-0005-0000-0000-0000652B0000}"/>
    <cellStyle name="Comma 23 6 3" xfId="25335" xr:uid="{00000000-0005-0000-0000-0000662B0000}"/>
    <cellStyle name="Comma 23 7" xfId="10783" xr:uid="{00000000-0005-0000-0000-0000672B0000}"/>
    <cellStyle name="Comma 23 8" xfId="20107" xr:uid="{00000000-0005-0000-0000-0000682B0000}"/>
    <cellStyle name="Comma 24" xfId="1154" xr:uid="{00000000-0005-0000-0000-0000692B0000}"/>
    <cellStyle name="Comma 24 2" xfId="1817" xr:uid="{00000000-0005-0000-0000-00006A2B0000}"/>
    <cellStyle name="Comma 24 2 2" xfId="1818" xr:uid="{00000000-0005-0000-0000-00006B2B0000}"/>
    <cellStyle name="Comma 24 2 2 2" xfId="3566" xr:uid="{00000000-0005-0000-0000-00006C2B0000}"/>
    <cellStyle name="Comma 24 2 2 2 2" xfId="8245" xr:uid="{00000000-0005-0000-0000-00006D2B0000}"/>
    <cellStyle name="Comma 24 2 2 2 2 2" xfId="17569" xr:uid="{00000000-0005-0000-0000-00006E2B0000}"/>
    <cellStyle name="Comma 24 2 2 2 2 3" xfId="26892" xr:uid="{00000000-0005-0000-0000-00006F2B0000}"/>
    <cellStyle name="Comma 24 2 2 2 3" xfId="12923" xr:uid="{00000000-0005-0000-0000-0000702B0000}"/>
    <cellStyle name="Comma 24 2 2 2 4" xfId="22249" xr:uid="{00000000-0005-0000-0000-0000712B0000}"/>
    <cellStyle name="Comma 24 2 2 3" xfId="5258" xr:uid="{00000000-0005-0000-0000-0000722B0000}"/>
    <cellStyle name="Comma 24 2 2 3 2" xfId="14582" xr:uid="{00000000-0005-0000-0000-0000732B0000}"/>
    <cellStyle name="Comma 24 2 2 3 3" xfId="23905" xr:uid="{00000000-0005-0000-0000-0000742B0000}"/>
    <cellStyle name="Comma 24 2 2 4" xfId="5092" xr:uid="{00000000-0005-0000-0000-0000752B0000}"/>
    <cellStyle name="Comma 24 2 2 4 2" xfId="14416" xr:uid="{00000000-0005-0000-0000-0000762B0000}"/>
    <cellStyle name="Comma 24 2 2 4 3" xfId="23739" xr:uid="{00000000-0005-0000-0000-0000772B0000}"/>
    <cellStyle name="Comma 24 2 2 5" xfId="11345" xr:uid="{00000000-0005-0000-0000-0000782B0000}"/>
    <cellStyle name="Comma 24 2 2 6" xfId="20669" xr:uid="{00000000-0005-0000-0000-0000792B0000}"/>
    <cellStyle name="Comma 24 2 3" xfId="3565" xr:uid="{00000000-0005-0000-0000-00007A2B0000}"/>
    <cellStyle name="Comma 24 2 3 2" xfId="8244" xr:uid="{00000000-0005-0000-0000-00007B2B0000}"/>
    <cellStyle name="Comma 24 2 3 2 2" xfId="17568" xr:uid="{00000000-0005-0000-0000-00007C2B0000}"/>
    <cellStyle name="Comma 24 2 3 2 3" xfId="26891" xr:uid="{00000000-0005-0000-0000-00007D2B0000}"/>
    <cellStyle name="Comma 24 2 3 3" xfId="12922" xr:uid="{00000000-0005-0000-0000-00007E2B0000}"/>
    <cellStyle name="Comma 24 2 3 4" xfId="22248" xr:uid="{00000000-0005-0000-0000-00007F2B0000}"/>
    <cellStyle name="Comma 24 2 4" xfId="5257" xr:uid="{00000000-0005-0000-0000-0000802B0000}"/>
    <cellStyle name="Comma 24 2 4 2" xfId="14581" xr:uid="{00000000-0005-0000-0000-0000812B0000}"/>
    <cellStyle name="Comma 24 2 4 3" xfId="23904" xr:uid="{00000000-0005-0000-0000-0000822B0000}"/>
    <cellStyle name="Comma 24 2 5" xfId="5091" xr:uid="{00000000-0005-0000-0000-0000832B0000}"/>
    <cellStyle name="Comma 24 2 5 2" xfId="14415" xr:uid="{00000000-0005-0000-0000-0000842B0000}"/>
    <cellStyle name="Comma 24 2 5 3" xfId="23738" xr:uid="{00000000-0005-0000-0000-0000852B0000}"/>
    <cellStyle name="Comma 24 2 6" xfId="11344" xr:uid="{00000000-0005-0000-0000-0000862B0000}"/>
    <cellStyle name="Comma 24 2 7" xfId="20668" xr:uid="{00000000-0005-0000-0000-0000872B0000}"/>
    <cellStyle name="Comma 24 3" xfId="1819" xr:uid="{00000000-0005-0000-0000-0000882B0000}"/>
    <cellStyle name="Comma 24 3 2" xfId="3567" xr:uid="{00000000-0005-0000-0000-0000892B0000}"/>
    <cellStyle name="Comma 24 3 2 2" xfId="8246" xr:uid="{00000000-0005-0000-0000-00008A2B0000}"/>
    <cellStyle name="Comma 24 3 2 2 2" xfId="17570" xr:uid="{00000000-0005-0000-0000-00008B2B0000}"/>
    <cellStyle name="Comma 24 3 2 2 3" xfId="26893" xr:uid="{00000000-0005-0000-0000-00008C2B0000}"/>
    <cellStyle name="Comma 24 3 2 3" xfId="12924" xr:uid="{00000000-0005-0000-0000-00008D2B0000}"/>
    <cellStyle name="Comma 24 3 2 4" xfId="22250" xr:uid="{00000000-0005-0000-0000-00008E2B0000}"/>
    <cellStyle name="Comma 24 3 3" xfId="5259" xr:uid="{00000000-0005-0000-0000-00008F2B0000}"/>
    <cellStyle name="Comma 24 3 3 2" xfId="14583" xr:uid="{00000000-0005-0000-0000-0000902B0000}"/>
    <cellStyle name="Comma 24 3 3 3" xfId="23906" xr:uid="{00000000-0005-0000-0000-0000912B0000}"/>
    <cellStyle name="Comma 24 3 4" xfId="4590" xr:uid="{00000000-0005-0000-0000-0000922B0000}"/>
    <cellStyle name="Comma 24 3 4 2" xfId="13914" xr:uid="{00000000-0005-0000-0000-0000932B0000}"/>
    <cellStyle name="Comma 24 3 4 3" xfId="23237" xr:uid="{00000000-0005-0000-0000-0000942B0000}"/>
    <cellStyle name="Comma 24 3 5" xfId="11346" xr:uid="{00000000-0005-0000-0000-0000952B0000}"/>
    <cellStyle name="Comma 24 3 6" xfId="20670" xr:uid="{00000000-0005-0000-0000-0000962B0000}"/>
    <cellStyle name="Comma 24 4" xfId="1816" xr:uid="{00000000-0005-0000-0000-0000972B0000}"/>
    <cellStyle name="Comma 24 4 2" xfId="3564" xr:uid="{00000000-0005-0000-0000-0000982B0000}"/>
    <cellStyle name="Comma 24 4 2 2" xfId="8243" xr:uid="{00000000-0005-0000-0000-0000992B0000}"/>
    <cellStyle name="Comma 24 4 2 2 2" xfId="17567" xr:uid="{00000000-0005-0000-0000-00009A2B0000}"/>
    <cellStyle name="Comma 24 4 2 2 3" xfId="26890" xr:uid="{00000000-0005-0000-0000-00009B2B0000}"/>
    <cellStyle name="Comma 24 4 2 3" xfId="12921" xr:uid="{00000000-0005-0000-0000-00009C2B0000}"/>
    <cellStyle name="Comma 24 4 2 4" xfId="22247" xr:uid="{00000000-0005-0000-0000-00009D2B0000}"/>
    <cellStyle name="Comma 24 4 3" xfId="5256" xr:uid="{00000000-0005-0000-0000-00009E2B0000}"/>
    <cellStyle name="Comma 24 4 3 2" xfId="14580" xr:uid="{00000000-0005-0000-0000-00009F2B0000}"/>
    <cellStyle name="Comma 24 4 3 3" xfId="23903" xr:uid="{00000000-0005-0000-0000-0000A02B0000}"/>
    <cellStyle name="Comma 24 4 4" xfId="5098" xr:uid="{00000000-0005-0000-0000-0000A12B0000}"/>
    <cellStyle name="Comma 24 4 4 2" xfId="14422" xr:uid="{00000000-0005-0000-0000-0000A22B0000}"/>
    <cellStyle name="Comma 24 4 4 3" xfId="23745" xr:uid="{00000000-0005-0000-0000-0000A32B0000}"/>
    <cellStyle name="Comma 24 4 5" xfId="11343" xr:uid="{00000000-0005-0000-0000-0000A42B0000}"/>
    <cellStyle name="Comma 24 4 6" xfId="20667" xr:uid="{00000000-0005-0000-0000-0000A52B0000}"/>
    <cellStyle name="Comma 24 5" xfId="2971" xr:uid="{00000000-0005-0000-0000-0000A62B0000}"/>
    <cellStyle name="Comma 24 5 2" xfId="7650" xr:uid="{00000000-0005-0000-0000-0000A72B0000}"/>
    <cellStyle name="Comma 24 5 2 2" xfId="16974" xr:uid="{00000000-0005-0000-0000-0000A82B0000}"/>
    <cellStyle name="Comma 24 5 2 3" xfId="26297" xr:uid="{00000000-0005-0000-0000-0000A92B0000}"/>
    <cellStyle name="Comma 24 6" xfId="7327" xr:uid="{00000000-0005-0000-0000-0000AA2B0000}"/>
    <cellStyle name="Comma 24 6 2" xfId="16651" xr:uid="{00000000-0005-0000-0000-0000AB2B0000}"/>
    <cellStyle name="Comma 24 6 3" xfId="25974" xr:uid="{00000000-0005-0000-0000-0000AC2B0000}"/>
    <cellStyle name="Comma 24 7" xfId="10753" xr:uid="{00000000-0005-0000-0000-0000AD2B0000}"/>
    <cellStyle name="Comma 24 8" xfId="20077" xr:uid="{00000000-0005-0000-0000-0000AE2B0000}"/>
    <cellStyle name="Comma 25" xfId="1820" xr:uid="{00000000-0005-0000-0000-0000AF2B0000}"/>
    <cellStyle name="Comma 25 2" xfId="1821" xr:uid="{00000000-0005-0000-0000-0000B02B0000}"/>
    <cellStyle name="Comma 25 2 2" xfId="1822" xr:uid="{00000000-0005-0000-0000-0000B12B0000}"/>
    <cellStyle name="Comma 25 2 2 2" xfId="3570" xr:uid="{00000000-0005-0000-0000-0000B22B0000}"/>
    <cellStyle name="Comma 25 2 2 2 2" xfId="8249" xr:uid="{00000000-0005-0000-0000-0000B32B0000}"/>
    <cellStyle name="Comma 25 2 2 2 2 2" xfId="17573" xr:uid="{00000000-0005-0000-0000-0000B42B0000}"/>
    <cellStyle name="Comma 25 2 2 2 2 3" xfId="26896" xr:uid="{00000000-0005-0000-0000-0000B52B0000}"/>
    <cellStyle name="Comma 25 2 2 2 3" xfId="12927" xr:uid="{00000000-0005-0000-0000-0000B62B0000}"/>
    <cellStyle name="Comma 25 2 2 2 4" xfId="22253" xr:uid="{00000000-0005-0000-0000-0000B72B0000}"/>
    <cellStyle name="Comma 25 2 2 3" xfId="5262" xr:uid="{00000000-0005-0000-0000-0000B82B0000}"/>
    <cellStyle name="Comma 25 2 2 3 2" xfId="14586" xr:uid="{00000000-0005-0000-0000-0000B92B0000}"/>
    <cellStyle name="Comma 25 2 2 3 3" xfId="23909" xr:uid="{00000000-0005-0000-0000-0000BA2B0000}"/>
    <cellStyle name="Comma 25 2 2 4" xfId="5095" xr:uid="{00000000-0005-0000-0000-0000BB2B0000}"/>
    <cellStyle name="Comma 25 2 2 4 2" xfId="14419" xr:uid="{00000000-0005-0000-0000-0000BC2B0000}"/>
    <cellStyle name="Comma 25 2 2 4 3" xfId="23742" xr:uid="{00000000-0005-0000-0000-0000BD2B0000}"/>
    <cellStyle name="Comma 25 2 2 5" xfId="11349" xr:uid="{00000000-0005-0000-0000-0000BE2B0000}"/>
    <cellStyle name="Comma 25 2 2 6" xfId="20673" xr:uid="{00000000-0005-0000-0000-0000BF2B0000}"/>
    <cellStyle name="Comma 25 2 3" xfId="3569" xr:uid="{00000000-0005-0000-0000-0000C02B0000}"/>
    <cellStyle name="Comma 25 2 3 2" xfId="8248" xr:uid="{00000000-0005-0000-0000-0000C12B0000}"/>
    <cellStyle name="Comma 25 2 3 2 2" xfId="17572" xr:uid="{00000000-0005-0000-0000-0000C22B0000}"/>
    <cellStyle name="Comma 25 2 3 2 3" xfId="26895" xr:uid="{00000000-0005-0000-0000-0000C32B0000}"/>
    <cellStyle name="Comma 25 2 3 3" xfId="12926" xr:uid="{00000000-0005-0000-0000-0000C42B0000}"/>
    <cellStyle name="Comma 25 2 3 4" xfId="22252" xr:uid="{00000000-0005-0000-0000-0000C52B0000}"/>
    <cellStyle name="Comma 25 2 4" xfId="5261" xr:uid="{00000000-0005-0000-0000-0000C62B0000}"/>
    <cellStyle name="Comma 25 2 4 2" xfId="14585" xr:uid="{00000000-0005-0000-0000-0000C72B0000}"/>
    <cellStyle name="Comma 25 2 4 3" xfId="23908" xr:uid="{00000000-0005-0000-0000-0000C82B0000}"/>
    <cellStyle name="Comma 25 2 5" xfId="5094" xr:uid="{00000000-0005-0000-0000-0000C92B0000}"/>
    <cellStyle name="Comma 25 2 5 2" xfId="14418" xr:uid="{00000000-0005-0000-0000-0000CA2B0000}"/>
    <cellStyle name="Comma 25 2 5 3" xfId="23741" xr:uid="{00000000-0005-0000-0000-0000CB2B0000}"/>
    <cellStyle name="Comma 25 2 6" xfId="11348" xr:uid="{00000000-0005-0000-0000-0000CC2B0000}"/>
    <cellStyle name="Comma 25 2 7" xfId="20672" xr:uid="{00000000-0005-0000-0000-0000CD2B0000}"/>
    <cellStyle name="Comma 25 3" xfId="1823" xr:uid="{00000000-0005-0000-0000-0000CE2B0000}"/>
    <cellStyle name="Comma 25 3 2" xfId="3571" xr:uid="{00000000-0005-0000-0000-0000CF2B0000}"/>
    <cellStyle name="Comma 25 3 2 2" xfId="8250" xr:uid="{00000000-0005-0000-0000-0000D02B0000}"/>
    <cellStyle name="Comma 25 3 2 2 2" xfId="17574" xr:uid="{00000000-0005-0000-0000-0000D12B0000}"/>
    <cellStyle name="Comma 25 3 2 2 3" xfId="26897" xr:uid="{00000000-0005-0000-0000-0000D22B0000}"/>
    <cellStyle name="Comma 25 3 2 3" xfId="12928" xr:uid="{00000000-0005-0000-0000-0000D32B0000}"/>
    <cellStyle name="Comma 25 3 2 4" xfId="22254" xr:uid="{00000000-0005-0000-0000-0000D42B0000}"/>
    <cellStyle name="Comma 25 3 3" xfId="5263" xr:uid="{00000000-0005-0000-0000-0000D52B0000}"/>
    <cellStyle name="Comma 25 3 3 2" xfId="14587" xr:uid="{00000000-0005-0000-0000-0000D62B0000}"/>
    <cellStyle name="Comma 25 3 3 3" xfId="23910" xr:uid="{00000000-0005-0000-0000-0000D72B0000}"/>
    <cellStyle name="Comma 25 3 4" xfId="4594" xr:uid="{00000000-0005-0000-0000-0000D82B0000}"/>
    <cellStyle name="Comma 25 3 4 2" xfId="13918" xr:uid="{00000000-0005-0000-0000-0000D92B0000}"/>
    <cellStyle name="Comma 25 3 4 3" xfId="23241" xr:uid="{00000000-0005-0000-0000-0000DA2B0000}"/>
    <cellStyle name="Comma 25 3 5" xfId="11350" xr:uid="{00000000-0005-0000-0000-0000DB2B0000}"/>
    <cellStyle name="Comma 25 3 6" xfId="20674" xr:uid="{00000000-0005-0000-0000-0000DC2B0000}"/>
    <cellStyle name="Comma 25 4" xfId="3568" xr:uid="{00000000-0005-0000-0000-0000DD2B0000}"/>
    <cellStyle name="Comma 25 4 2" xfId="8247" xr:uid="{00000000-0005-0000-0000-0000DE2B0000}"/>
    <cellStyle name="Comma 25 4 2 2" xfId="17571" xr:uid="{00000000-0005-0000-0000-0000DF2B0000}"/>
    <cellStyle name="Comma 25 4 2 3" xfId="26894" xr:uid="{00000000-0005-0000-0000-0000E02B0000}"/>
    <cellStyle name="Comma 25 4 3" xfId="12925" xr:uid="{00000000-0005-0000-0000-0000E12B0000}"/>
    <cellStyle name="Comma 25 4 4" xfId="22251" xr:uid="{00000000-0005-0000-0000-0000E22B0000}"/>
    <cellStyle name="Comma 25 5" xfId="5260" xr:uid="{00000000-0005-0000-0000-0000E32B0000}"/>
    <cellStyle name="Comma 25 5 2" xfId="14584" xr:uid="{00000000-0005-0000-0000-0000E42B0000}"/>
    <cellStyle name="Comma 25 5 3" xfId="23907" xr:uid="{00000000-0005-0000-0000-0000E52B0000}"/>
    <cellStyle name="Comma 25 6" xfId="5093" xr:uid="{00000000-0005-0000-0000-0000E62B0000}"/>
    <cellStyle name="Comma 25 6 2" xfId="14417" xr:uid="{00000000-0005-0000-0000-0000E72B0000}"/>
    <cellStyle name="Comma 25 6 3" xfId="23740" xr:uid="{00000000-0005-0000-0000-0000E82B0000}"/>
    <cellStyle name="Comma 25 7" xfId="11347" xr:uid="{00000000-0005-0000-0000-0000E92B0000}"/>
    <cellStyle name="Comma 25 8" xfId="20671" xr:uid="{00000000-0005-0000-0000-0000EA2B0000}"/>
    <cellStyle name="Comma 26" xfId="1824" xr:uid="{00000000-0005-0000-0000-0000EB2B0000}"/>
    <cellStyle name="Comma 26 2" xfId="1825" xr:uid="{00000000-0005-0000-0000-0000EC2B0000}"/>
    <cellStyle name="Comma 26 2 2" xfId="1826" xr:uid="{00000000-0005-0000-0000-0000ED2B0000}"/>
    <cellStyle name="Comma 26 2 2 2" xfId="3574" xr:uid="{00000000-0005-0000-0000-0000EE2B0000}"/>
    <cellStyle name="Comma 26 2 2 2 2" xfId="8253" xr:uid="{00000000-0005-0000-0000-0000EF2B0000}"/>
    <cellStyle name="Comma 26 2 2 2 2 2" xfId="17577" xr:uid="{00000000-0005-0000-0000-0000F02B0000}"/>
    <cellStyle name="Comma 26 2 2 2 2 3" xfId="26900" xr:uid="{00000000-0005-0000-0000-0000F12B0000}"/>
    <cellStyle name="Comma 26 2 2 2 3" xfId="12931" xr:uid="{00000000-0005-0000-0000-0000F22B0000}"/>
    <cellStyle name="Comma 26 2 2 2 4" xfId="22257" xr:uid="{00000000-0005-0000-0000-0000F32B0000}"/>
    <cellStyle name="Comma 26 2 2 3" xfId="5266" xr:uid="{00000000-0005-0000-0000-0000F42B0000}"/>
    <cellStyle name="Comma 26 2 2 3 2" xfId="14590" xr:uid="{00000000-0005-0000-0000-0000F52B0000}"/>
    <cellStyle name="Comma 26 2 2 3 3" xfId="23913" xr:uid="{00000000-0005-0000-0000-0000F62B0000}"/>
    <cellStyle name="Comma 26 2 2 4" xfId="6196" xr:uid="{00000000-0005-0000-0000-0000F72B0000}"/>
    <cellStyle name="Comma 26 2 2 4 2" xfId="15520" xr:uid="{00000000-0005-0000-0000-0000F82B0000}"/>
    <cellStyle name="Comma 26 2 2 4 3" xfId="24843" xr:uid="{00000000-0005-0000-0000-0000F92B0000}"/>
    <cellStyle name="Comma 26 2 2 5" xfId="11353" xr:uid="{00000000-0005-0000-0000-0000FA2B0000}"/>
    <cellStyle name="Comma 26 2 2 6" xfId="20677" xr:uid="{00000000-0005-0000-0000-0000FB2B0000}"/>
    <cellStyle name="Comma 26 2 3" xfId="3573" xr:uid="{00000000-0005-0000-0000-0000FC2B0000}"/>
    <cellStyle name="Comma 26 2 3 2" xfId="8252" xr:uid="{00000000-0005-0000-0000-0000FD2B0000}"/>
    <cellStyle name="Comma 26 2 3 2 2" xfId="17576" xr:uid="{00000000-0005-0000-0000-0000FE2B0000}"/>
    <cellStyle name="Comma 26 2 3 2 3" xfId="26899" xr:uid="{00000000-0005-0000-0000-0000FF2B0000}"/>
    <cellStyle name="Comma 26 2 3 3" xfId="12930" xr:uid="{00000000-0005-0000-0000-0000002C0000}"/>
    <cellStyle name="Comma 26 2 3 4" xfId="22256" xr:uid="{00000000-0005-0000-0000-0000012C0000}"/>
    <cellStyle name="Comma 26 2 4" xfId="5265" xr:uid="{00000000-0005-0000-0000-0000022C0000}"/>
    <cellStyle name="Comma 26 2 4 2" xfId="14589" xr:uid="{00000000-0005-0000-0000-0000032C0000}"/>
    <cellStyle name="Comma 26 2 4 3" xfId="23912" xr:uid="{00000000-0005-0000-0000-0000042C0000}"/>
    <cellStyle name="Comma 26 2 5" xfId="5097" xr:uid="{00000000-0005-0000-0000-0000052C0000}"/>
    <cellStyle name="Comma 26 2 5 2" xfId="14421" xr:uid="{00000000-0005-0000-0000-0000062C0000}"/>
    <cellStyle name="Comma 26 2 5 3" xfId="23744" xr:uid="{00000000-0005-0000-0000-0000072C0000}"/>
    <cellStyle name="Comma 26 2 6" xfId="11352" xr:uid="{00000000-0005-0000-0000-0000082C0000}"/>
    <cellStyle name="Comma 26 2 7" xfId="20676" xr:uid="{00000000-0005-0000-0000-0000092C0000}"/>
    <cellStyle name="Comma 26 3" xfId="1827" xr:uid="{00000000-0005-0000-0000-00000A2C0000}"/>
    <cellStyle name="Comma 26 3 2" xfId="3575" xr:uid="{00000000-0005-0000-0000-00000B2C0000}"/>
    <cellStyle name="Comma 26 3 2 2" xfId="8254" xr:uid="{00000000-0005-0000-0000-00000C2C0000}"/>
    <cellStyle name="Comma 26 3 2 2 2" xfId="17578" xr:uid="{00000000-0005-0000-0000-00000D2C0000}"/>
    <cellStyle name="Comma 26 3 2 2 3" xfId="26901" xr:uid="{00000000-0005-0000-0000-00000E2C0000}"/>
    <cellStyle name="Comma 26 3 2 3" xfId="12932" xr:uid="{00000000-0005-0000-0000-00000F2C0000}"/>
    <cellStyle name="Comma 26 3 2 4" xfId="22258" xr:uid="{00000000-0005-0000-0000-0000102C0000}"/>
    <cellStyle name="Comma 26 3 3" xfId="5267" xr:uid="{00000000-0005-0000-0000-0000112C0000}"/>
    <cellStyle name="Comma 26 3 3 2" xfId="14591" xr:uid="{00000000-0005-0000-0000-0000122C0000}"/>
    <cellStyle name="Comma 26 3 3 3" xfId="23914" xr:uid="{00000000-0005-0000-0000-0000132C0000}"/>
    <cellStyle name="Comma 26 3 4" xfId="6333" xr:uid="{00000000-0005-0000-0000-0000142C0000}"/>
    <cellStyle name="Comma 26 3 4 2" xfId="15657" xr:uid="{00000000-0005-0000-0000-0000152C0000}"/>
    <cellStyle name="Comma 26 3 4 3" xfId="24980" xr:uid="{00000000-0005-0000-0000-0000162C0000}"/>
    <cellStyle name="Comma 26 3 5" xfId="11354" xr:uid="{00000000-0005-0000-0000-0000172C0000}"/>
    <cellStyle name="Comma 26 3 6" xfId="20678" xr:uid="{00000000-0005-0000-0000-0000182C0000}"/>
    <cellStyle name="Comma 26 4" xfId="3572" xr:uid="{00000000-0005-0000-0000-0000192C0000}"/>
    <cellStyle name="Comma 26 4 2" xfId="8251" xr:uid="{00000000-0005-0000-0000-00001A2C0000}"/>
    <cellStyle name="Comma 26 4 2 2" xfId="17575" xr:uid="{00000000-0005-0000-0000-00001B2C0000}"/>
    <cellStyle name="Comma 26 4 2 3" xfId="26898" xr:uid="{00000000-0005-0000-0000-00001C2C0000}"/>
    <cellStyle name="Comma 26 4 3" xfId="12929" xr:uid="{00000000-0005-0000-0000-00001D2C0000}"/>
    <cellStyle name="Comma 26 4 4" xfId="22255" xr:uid="{00000000-0005-0000-0000-00001E2C0000}"/>
    <cellStyle name="Comma 26 5" xfId="5264" xr:uid="{00000000-0005-0000-0000-00001F2C0000}"/>
    <cellStyle name="Comma 26 5 2" xfId="14588" xr:uid="{00000000-0005-0000-0000-0000202C0000}"/>
    <cellStyle name="Comma 26 5 3" xfId="23911" xr:uid="{00000000-0005-0000-0000-0000212C0000}"/>
    <cellStyle name="Comma 26 6" xfId="5096" xr:uid="{00000000-0005-0000-0000-0000222C0000}"/>
    <cellStyle name="Comma 26 6 2" xfId="14420" xr:uid="{00000000-0005-0000-0000-0000232C0000}"/>
    <cellStyle name="Comma 26 6 3" xfId="23743" xr:uid="{00000000-0005-0000-0000-0000242C0000}"/>
    <cellStyle name="Comma 26 7" xfId="11351" xr:uid="{00000000-0005-0000-0000-0000252C0000}"/>
    <cellStyle name="Comma 26 8" xfId="20675" xr:uid="{00000000-0005-0000-0000-0000262C0000}"/>
    <cellStyle name="Comma 27" xfId="1828" xr:uid="{00000000-0005-0000-0000-0000272C0000}"/>
    <cellStyle name="Comma 27 2" xfId="1829" xr:uid="{00000000-0005-0000-0000-0000282C0000}"/>
    <cellStyle name="Comma 27 2 2" xfId="1830" xr:uid="{00000000-0005-0000-0000-0000292C0000}"/>
    <cellStyle name="Comma 27 2 2 2" xfId="3578" xr:uid="{00000000-0005-0000-0000-00002A2C0000}"/>
    <cellStyle name="Comma 27 2 2 2 2" xfId="8257" xr:uid="{00000000-0005-0000-0000-00002B2C0000}"/>
    <cellStyle name="Comma 27 2 2 2 2 2" xfId="17581" xr:uid="{00000000-0005-0000-0000-00002C2C0000}"/>
    <cellStyle name="Comma 27 2 2 2 2 3" xfId="26904" xr:uid="{00000000-0005-0000-0000-00002D2C0000}"/>
    <cellStyle name="Comma 27 2 2 2 3" xfId="12935" xr:uid="{00000000-0005-0000-0000-00002E2C0000}"/>
    <cellStyle name="Comma 27 2 2 2 4" xfId="22261" xr:uid="{00000000-0005-0000-0000-00002F2C0000}"/>
    <cellStyle name="Comma 27 2 2 3" xfId="5270" xr:uid="{00000000-0005-0000-0000-0000302C0000}"/>
    <cellStyle name="Comma 27 2 2 3 2" xfId="14594" xr:uid="{00000000-0005-0000-0000-0000312C0000}"/>
    <cellStyle name="Comma 27 2 2 3 3" xfId="23917" xr:uid="{00000000-0005-0000-0000-0000322C0000}"/>
    <cellStyle name="Comma 27 2 2 4" xfId="5100" xr:uid="{00000000-0005-0000-0000-0000332C0000}"/>
    <cellStyle name="Comma 27 2 2 4 2" xfId="14424" xr:uid="{00000000-0005-0000-0000-0000342C0000}"/>
    <cellStyle name="Comma 27 2 2 4 3" xfId="23747" xr:uid="{00000000-0005-0000-0000-0000352C0000}"/>
    <cellStyle name="Comma 27 2 2 5" xfId="11357" xr:uid="{00000000-0005-0000-0000-0000362C0000}"/>
    <cellStyle name="Comma 27 2 2 6" xfId="20681" xr:uid="{00000000-0005-0000-0000-0000372C0000}"/>
    <cellStyle name="Comma 27 2 3" xfId="3577" xr:uid="{00000000-0005-0000-0000-0000382C0000}"/>
    <cellStyle name="Comma 27 2 3 2" xfId="8256" xr:uid="{00000000-0005-0000-0000-0000392C0000}"/>
    <cellStyle name="Comma 27 2 3 2 2" xfId="17580" xr:uid="{00000000-0005-0000-0000-00003A2C0000}"/>
    <cellStyle name="Comma 27 2 3 2 3" xfId="26903" xr:uid="{00000000-0005-0000-0000-00003B2C0000}"/>
    <cellStyle name="Comma 27 2 3 3" xfId="12934" xr:uid="{00000000-0005-0000-0000-00003C2C0000}"/>
    <cellStyle name="Comma 27 2 3 4" xfId="22260" xr:uid="{00000000-0005-0000-0000-00003D2C0000}"/>
    <cellStyle name="Comma 27 2 4" xfId="5269" xr:uid="{00000000-0005-0000-0000-00003E2C0000}"/>
    <cellStyle name="Comma 27 2 4 2" xfId="14593" xr:uid="{00000000-0005-0000-0000-00003F2C0000}"/>
    <cellStyle name="Comma 27 2 4 3" xfId="23916" xr:uid="{00000000-0005-0000-0000-0000402C0000}"/>
    <cellStyle name="Comma 27 2 5" xfId="5099" xr:uid="{00000000-0005-0000-0000-0000412C0000}"/>
    <cellStyle name="Comma 27 2 5 2" xfId="14423" xr:uid="{00000000-0005-0000-0000-0000422C0000}"/>
    <cellStyle name="Comma 27 2 5 3" xfId="23746" xr:uid="{00000000-0005-0000-0000-0000432C0000}"/>
    <cellStyle name="Comma 27 2 6" xfId="11356" xr:uid="{00000000-0005-0000-0000-0000442C0000}"/>
    <cellStyle name="Comma 27 2 7" xfId="20680" xr:uid="{00000000-0005-0000-0000-0000452C0000}"/>
    <cellStyle name="Comma 27 3" xfId="1831" xr:uid="{00000000-0005-0000-0000-0000462C0000}"/>
    <cellStyle name="Comma 27 3 2" xfId="3579" xr:uid="{00000000-0005-0000-0000-0000472C0000}"/>
    <cellStyle name="Comma 27 3 2 2" xfId="8258" xr:uid="{00000000-0005-0000-0000-0000482C0000}"/>
    <cellStyle name="Comma 27 3 2 2 2" xfId="17582" xr:uid="{00000000-0005-0000-0000-0000492C0000}"/>
    <cellStyle name="Comma 27 3 2 2 3" xfId="26905" xr:uid="{00000000-0005-0000-0000-00004A2C0000}"/>
    <cellStyle name="Comma 27 3 2 3" xfId="12936" xr:uid="{00000000-0005-0000-0000-00004B2C0000}"/>
    <cellStyle name="Comma 27 3 2 4" xfId="22262" xr:uid="{00000000-0005-0000-0000-00004C2C0000}"/>
    <cellStyle name="Comma 27 3 3" xfId="5271" xr:uid="{00000000-0005-0000-0000-00004D2C0000}"/>
    <cellStyle name="Comma 27 3 3 2" xfId="14595" xr:uid="{00000000-0005-0000-0000-00004E2C0000}"/>
    <cellStyle name="Comma 27 3 3 3" xfId="23918" xr:uid="{00000000-0005-0000-0000-00004F2C0000}"/>
    <cellStyle name="Comma 27 3 4" xfId="5101" xr:uid="{00000000-0005-0000-0000-0000502C0000}"/>
    <cellStyle name="Comma 27 3 4 2" xfId="14425" xr:uid="{00000000-0005-0000-0000-0000512C0000}"/>
    <cellStyle name="Comma 27 3 4 3" xfId="23748" xr:uid="{00000000-0005-0000-0000-0000522C0000}"/>
    <cellStyle name="Comma 27 3 5" xfId="11358" xr:uid="{00000000-0005-0000-0000-0000532C0000}"/>
    <cellStyle name="Comma 27 3 6" xfId="20682" xr:uid="{00000000-0005-0000-0000-0000542C0000}"/>
    <cellStyle name="Comma 27 4" xfId="3576" xr:uid="{00000000-0005-0000-0000-0000552C0000}"/>
    <cellStyle name="Comma 27 4 2" xfId="8255" xr:uid="{00000000-0005-0000-0000-0000562C0000}"/>
    <cellStyle name="Comma 27 4 2 2" xfId="17579" xr:uid="{00000000-0005-0000-0000-0000572C0000}"/>
    <cellStyle name="Comma 27 4 2 3" xfId="26902" xr:uid="{00000000-0005-0000-0000-0000582C0000}"/>
    <cellStyle name="Comma 27 4 3" xfId="12933" xr:uid="{00000000-0005-0000-0000-0000592C0000}"/>
    <cellStyle name="Comma 27 4 4" xfId="22259" xr:uid="{00000000-0005-0000-0000-00005A2C0000}"/>
    <cellStyle name="Comma 27 5" xfId="5268" xr:uid="{00000000-0005-0000-0000-00005B2C0000}"/>
    <cellStyle name="Comma 27 5 2" xfId="14592" xr:uid="{00000000-0005-0000-0000-00005C2C0000}"/>
    <cellStyle name="Comma 27 5 3" xfId="23915" xr:uid="{00000000-0005-0000-0000-00005D2C0000}"/>
    <cellStyle name="Comma 27 6" xfId="4571" xr:uid="{00000000-0005-0000-0000-00005E2C0000}"/>
    <cellStyle name="Comma 27 6 2" xfId="13895" xr:uid="{00000000-0005-0000-0000-00005F2C0000}"/>
    <cellStyle name="Comma 27 6 3" xfId="23218" xr:uid="{00000000-0005-0000-0000-0000602C0000}"/>
    <cellStyle name="Comma 27 7" xfId="11355" xr:uid="{00000000-0005-0000-0000-0000612C0000}"/>
    <cellStyle name="Comma 27 8" xfId="20679" xr:uid="{00000000-0005-0000-0000-0000622C0000}"/>
    <cellStyle name="Comma 28" xfId="1832" xr:uid="{00000000-0005-0000-0000-0000632C0000}"/>
    <cellStyle name="Comma 28 2" xfId="1833" xr:uid="{00000000-0005-0000-0000-0000642C0000}"/>
    <cellStyle name="Comma 28 2 2" xfId="3581" xr:uid="{00000000-0005-0000-0000-0000652C0000}"/>
    <cellStyle name="Comma 28 2 2 2" xfId="8260" xr:uid="{00000000-0005-0000-0000-0000662C0000}"/>
    <cellStyle name="Comma 28 2 2 2 2" xfId="17584" xr:uid="{00000000-0005-0000-0000-0000672C0000}"/>
    <cellStyle name="Comma 28 2 2 2 3" xfId="26907" xr:uid="{00000000-0005-0000-0000-0000682C0000}"/>
    <cellStyle name="Comma 28 2 3" xfId="5102" xr:uid="{00000000-0005-0000-0000-0000692C0000}"/>
    <cellStyle name="Comma 28 2 3 2" xfId="14426" xr:uid="{00000000-0005-0000-0000-00006A2C0000}"/>
    <cellStyle name="Comma 28 2 3 3" xfId="23749" xr:uid="{00000000-0005-0000-0000-00006B2C0000}"/>
    <cellStyle name="Comma 28 2 4" xfId="11360" xr:uid="{00000000-0005-0000-0000-00006C2C0000}"/>
    <cellStyle name="Comma 28 2 5" xfId="20684" xr:uid="{00000000-0005-0000-0000-00006D2C0000}"/>
    <cellStyle name="Comma 28 3" xfId="3580" xr:uid="{00000000-0005-0000-0000-00006E2C0000}"/>
    <cellStyle name="Comma 28 3 2" xfId="8259" xr:uid="{00000000-0005-0000-0000-00006F2C0000}"/>
    <cellStyle name="Comma 28 3 2 2" xfId="17583" xr:uid="{00000000-0005-0000-0000-0000702C0000}"/>
    <cellStyle name="Comma 28 3 2 3" xfId="26906" xr:uid="{00000000-0005-0000-0000-0000712C0000}"/>
    <cellStyle name="Comma 28 4" xfId="4575" xr:uid="{00000000-0005-0000-0000-0000722C0000}"/>
    <cellStyle name="Comma 28 4 2" xfId="13899" xr:uid="{00000000-0005-0000-0000-0000732C0000}"/>
    <cellStyle name="Comma 28 4 3" xfId="23222" xr:uid="{00000000-0005-0000-0000-0000742C0000}"/>
    <cellStyle name="Comma 28 5" xfId="11359" xr:uid="{00000000-0005-0000-0000-0000752C0000}"/>
    <cellStyle name="Comma 28 6" xfId="20683" xr:uid="{00000000-0005-0000-0000-0000762C0000}"/>
    <cellStyle name="Comma 29" xfId="1834" xr:uid="{00000000-0005-0000-0000-0000772C0000}"/>
    <cellStyle name="Comma 29 2" xfId="1835" xr:uid="{00000000-0005-0000-0000-0000782C0000}"/>
    <cellStyle name="Comma 29 2 2" xfId="3583" xr:uid="{00000000-0005-0000-0000-0000792C0000}"/>
    <cellStyle name="Comma 29 2 2 2" xfId="8262" xr:uid="{00000000-0005-0000-0000-00007A2C0000}"/>
    <cellStyle name="Comma 29 2 2 2 2" xfId="17586" xr:uid="{00000000-0005-0000-0000-00007B2C0000}"/>
    <cellStyle name="Comma 29 2 2 2 3" xfId="26909" xr:uid="{00000000-0005-0000-0000-00007C2C0000}"/>
    <cellStyle name="Comma 29 2 2 3" xfId="12937" xr:uid="{00000000-0005-0000-0000-00007D2C0000}"/>
    <cellStyle name="Comma 29 2 2 4" xfId="22263" xr:uid="{00000000-0005-0000-0000-00007E2C0000}"/>
    <cellStyle name="Comma 29 2 3" xfId="5274" xr:uid="{00000000-0005-0000-0000-00007F2C0000}"/>
    <cellStyle name="Comma 29 2 3 2" xfId="14598" xr:uid="{00000000-0005-0000-0000-0000802C0000}"/>
    <cellStyle name="Comma 29 2 3 3" xfId="23921" xr:uid="{00000000-0005-0000-0000-0000812C0000}"/>
    <cellStyle name="Comma 29 2 4" xfId="5104" xr:uid="{00000000-0005-0000-0000-0000822C0000}"/>
    <cellStyle name="Comma 29 2 4 2" xfId="14428" xr:uid="{00000000-0005-0000-0000-0000832C0000}"/>
    <cellStyle name="Comma 29 2 4 3" xfId="23751" xr:uid="{00000000-0005-0000-0000-0000842C0000}"/>
    <cellStyle name="Comma 29 2 5" xfId="11362" xr:uid="{00000000-0005-0000-0000-0000852C0000}"/>
    <cellStyle name="Comma 29 2 6" xfId="20686" xr:uid="{00000000-0005-0000-0000-0000862C0000}"/>
    <cellStyle name="Comma 29 3" xfId="1836" xr:uid="{00000000-0005-0000-0000-0000872C0000}"/>
    <cellStyle name="Comma 29 3 2" xfId="3584" xr:uid="{00000000-0005-0000-0000-0000882C0000}"/>
    <cellStyle name="Comma 29 3 2 2" xfId="8263" xr:uid="{00000000-0005-0000-0000-0000892C0000}"/>
    <cellStyle name="Comma 29 3 2 2 2" xfId="17587" xr:uid="{00000000-0005-0000-0000-00008A2C0000}"/>
    <cellStyle name="Comma 29 3 2 2 3" xfId="26910" xr:uid="{00000000-0005-0000-0000-00008B2C0000}"/>
    <cellStyle name="Comma 29 3 3" xfId="4579" xr:uid="{00000000-0005-0000-0000-00008C2C0000}"/>
    <cellStyle name="Comma 29 3 3 2" xfId="13903" xr:uid="{00000000-0005-0000-0000-00008D2C0000}"/>
    <cellStyle name="Comma 29 3 3 3" xfId="23226" xr:uid="{00000000-0005-0000-0000-00008E2C0000}"/>
    <cellStyle name="Comma 29 3 4" xfId="11363" xr:uid="{00000000-0005-0000-0000-00008F2C0000}"/>
    <cellStyle name="Comma 29 3 5" xfId="20687" xr:uid="{00000000-0005-0000-0000-0000902C0000}"/>
    <cellStyle name="Comma 29 4" xfId="3582" xr:uid="{00000000-0005-0000-0000-0000912C0000}"/>
    <cellStyle name="Comma 29 4 2" xfId="8261" xr:uid="{00000000-0005-0000-0000-0000922C0000}"/>
    <cellStyle name="Comma 29 4 2 2" xfId="17585" xr:uid="{00000000-0005-0000-0000-0000932C0000}"/>
    <cellStyle name="Comma 29 4 2 3" xfId="26908" xr:uid="{00000000-0005-0000-0000-0000942C0000}"/>
    <cellStyle name="Comma 29 5" xfId="5103" xr:uid="{00000000-0005-0000-0000-0000952C0000}"/>
    <cellStyle name="Comma 29 5 2" xfId="14427" xr:uid="{00000000-0005-0000-0000-0000962C0000}"/>
    <cellStyle name="Comma 29 5 3" xfId="23750" xr:uid="{00000000-0005-0000-0000-0000972C0000}"/>
    <cellStyle name="Comma 29 6" xfId="11361" xr:uid="{00000000-0005-0000-0000-0000982C0000}"/>
    <cellStyle name="Comma 29 7" xfId="20685" xr:uid="{00000000-0005-0000-0000-0000992C0000}"/>
    <cellStyle name="Comma 3" xfId="107" xr:uid="{00000000-0005-0000-0000-00009A2C0000}"/>
    <cellStyle name="Comma 3 10" xfId="28757" xr:uid="{00000000-0005-0000-0000-00009B2C0000}"/>
    <cellStyle name="Comma 3 11" xfId="28777" xr:uid="{00000000-0005-0000-0000-00009C2C0000}"/>
    <cellStyle name="Comma 3 2" xfId="108" xr:uid="{00000000-0005-0000-0000-00009D2C0000}"/>
    <cellStyle name="Comma 3 2 2" xfId="1837" xr:uid="{00000000-0005-0000-0000-00009E2C0000}"/>
    <cellStyle name="Comma 3 2 2 2" xfId="3585" xr:uid="{00000000-0005-0000-0000-00009F2C0000}"/>
    <cellStyle name="Comma 3 2 2 2 2" xfId="8264" xr:uid="{00000000-0005-0000-0000-0000A02C0000}"/>
    <cellStyle name="Comma 3 2 2 2 2 2" xfId="17588" xr:uid="{00000000-0005-0000-0000-0000A12C0000}"/>
    <cellStyle name="Comma 3 2 2 2 2 3" xfId="26911" xr:uid="{00000000-0005-0000-0000-0000A22C0000}"/>
    <cellStyle name="Comma 3 2 2 3" xfId="5105" xr:uid="{00000000-0005-0000-0000-0000A32C0000}"/>
    <cellStyle name="Comma 3 2 2 3 2" xfId="14429" xr:uid="{00000000-0005-0000-0000-0000A42C0000}"/>
    <cellStyle name="Comma 3 2 2 3 3" xfId="23752" xr:uid="{00000000-0005-0000-0000-0000A52C0000}"/>
    <cellStyle name="Comma 3 2 2 4" xfId="11364" xr:uid="{00000000-0005-0000-0000-0000A62C0000}"/>
    <cellStyle name="Comma 3 2 2 5" xfId="20688" xr:uid="{00000000-0005-0000-0000-0000A72C0000}"/>
    <cellStyle name="Comma 3 2 3" xfId="2972" xr:uid="{00000000-0005-0000-0000-0000A82C0000}"/>
    <cellStyle name="Comma 3 2 3 2" xfId="7651" xr:uid="{00000000-0005-0000-0000-0000A92C0000}"/>
    <cellStyle name="Comma 3 2 3 2 2" xfId="16975" xr:uid="{00000000-0005-0000-0000-0000AA2C0000}"/>
    <cellStyle name="Comma 3 2 3 2 3" xfId="26298" xr:uid="{00000000-0005-0000-0000-0000AB2C0000}"/>
    <cellStyle name="Comma 3 2 4" xfId="7294" xr:uid="{00000000-0005-0000-0000-0000AC2C0000}"/>
    <cellStyle name="Comma 3 2 4 2" xfId="16618" xr:uid="{00000000-0005-0000-0000-0000AD2C0000}"/>
    <cellStyle name="Comma 3 2 4 3" xfId="25941" xr:uid="{00000000-0005-0000-0000-0000AE2C0000}"/>
    <cellStyle name="Comma 3 2 5" xfId="9286" xr:uid="{00000000-0005-0000-0000-0000AF2C0000}"/>
    <cellStyle name="Comma 3 2 5 2" xfId="18610" xr:uid="{00000000-0005-0000-0000-0000B02C0000}"/>
    <cellStyle name="Comma 3 2 5 3" xfId="27933" xr:uid="{00000000-0005-0000-0000-0000B12C0000}"/>
    <cellStyle name="Comma 3 2 6" xfId="9780" xr:uid="{00000000-0005-0000-0000-0000B22C0000}"/>
    <cellStyle name="Comma 3 2 7" xfId="19104" xr:uid="{00000000-0005-0000-0000-0000B32C0000}"/>
    <cellStyle name="Comma 3 3" xfId="299" xr:uid="{00000000-0005-0000-0000-0000B42C0000}"/>
    <cellStyle name="Comma 3 3 2" xfId="1838" xr:uid="{00000000-0005-0000-0000-0000B52C0000}"/>
    <cellStyle name="Comma 3 3 2 2" xfId="5106" xr:uid="{00000000-0005-0000-0000-0000B62C0000}"/>
    <cellStyle name="Comma 3 3 2 2 2" xfId="14430" xr:uid="{00000000-0005-0000-0000-0000B72C0000}"/>
    <cellStyle name="Comma 3 3 2 2 3" xfId="23753" xr:uid="{00000000-0005-0000-0000-0000B82C0000}"/>
    <cellStyle name="Comma 3 3 2 3" xfId="11365" xr:uid="{00000000-0005-0000-0000-0000B92C0000}"/>
    <cellStyle name="Comma 3 3 2 4" xfId="20689" xr:uid="{00000000-0005-0000-0000-0000BA2C0000}"/>
    <cellStyle name="Comma 3 3 3" xfId="3586" xr:uid="{00000000-0005-0000-0000-0000BB2C0000}"/>
    <cellStyle name="Comma 3 3 3 2" xfId="8265" xr:uid="{00000000-0005-0000-0000-0000BC2C0000}"/>
    <cellStyle name="Comma 3 3 3 2 2" xfId="17589" xr:uid="{00000000-0005-0000-0000-0000BD2C0000}"/>
    <cellStyle name="Comma 3 3 3 2 3" xfId="26912" xr:uid="{00000000-0005-0000-0000-0000BE2C0000}"/>
    <cellStyle name="Comma 3 3 4" xfId="7227" xr:uid="{00000000-0005-0000-0000-0000BF2C0000}"/>
    <cellStyle name="Comma 3 3 4 2" xfId="16551" xr:uid="{00000000-0005-0000-0000-0000C02C0000}"/>
    <cellStyle name="Comma 3 3 4 3" xfId="25874" xr:uid="{00000000-0005-0000-0000-0000C12C0000}"/>
    <cellStyle name="Comma 3 3 5" xfId="9414" xr:uid="{00000000-0005-0000-0000-0000C22C0000}"/>
    <cellStyle name="Comma 3 3 5 2" xfId="18738" xr:uid="{00000000-0005-0000-0000-0000C32C0000}"/>
    <cellStyle name="Comma 3 3 5 3" xfId="28061" xr:uid="{00000000-0005-0000-0000-0000C42C0000}"/>
    <cellStyle name="Comma 3 3 6" xfId="9908" xr:uid="{00000000-0005-0000-0000-0000C52C0000}"/>
    <cellStyle name="Comma 3 3 7" xfId="19232" xr:uid="{00000000-0005-0000-0000-0000C62C0000}"/>
    <cellStyle name="Comma 3 3 8" xfId="28821" xr:uid="{00000000-0005-0000-0000-0000C72C0000}"/>
    <cellStyle name="Comma 3 4" xfId="255" xr:uid="{00000000-0005-0000-0000-0000C82C0000}"/>
    <cellStyle name="Comma 3 4 2" xfId="7244" xr:uid="{00000000-0005-0000-0000-0000C92C0000}"/>
    <cellStyle name="Comma 3 4 2 2" xfId="16568" xr:uid="{00000000-0005-0000-0000-0000CA2C0000}"/>
    <cellStyle name="Comma 3 4 2 3" xfId="25891" xr:uid="{00000000-0005-0000-0000-0000CB2C0000}"/>
    <cellStyle name="Comma 3 4 3" xfId="28895" xr:uid="{00000000-0005-0000-0000-0000CC2C0000}"/>
    <cellStyle name="Comma 3 5" xfId="7295" xr:uid="{00000000-0005-0000-0000-0000CD2C0000}"/>
    <cellStyle name="Comma 3 5 2" xfId="16619" xr:uid="{00000000-0005-0000-0000-0000CE2C0000}"/>
    <cellStyle name="Comma 3 5 3" xfId="25942" xr:uid="{00000000-0005-0000-0000-0000CF2C0000}"/>
    <cellStyle name="Comma 3 5 4" xfId="28810" xr:uid="{00000000-0005-0000-0000-0000D02C0000}"/>
    <cellStyle name="Comma 3 6" xfId="9285" xr:uid="{00000000-0005-0000-0000-0000D12C0000}"/>
    <cellStyle name="Comma 3 6 2" xfId="18609" xr:uid="{00000000-0005-0000-0000-0000D22C0000}"/>
    <cellStyle name="Comma 3 6 3" xfId="27932" xr:uid="{00000000-0005-0000-0000-0000D32C0000}"/>
    <cellStyle name="Comma 3 7" xfId="9779" xr:uid="{00000000-0005-0000-0000-0000D42C0000}"/>
    <cellStyle name="Comma 3 8" xfId="19103" xr:uid="{00000000-0005-0000-0000-0000D52C0000}"/>
    <cellStyle name="Comma 3 9" xfId="28384" xr:uid="{00000000-0005-0000-0000-0000D62C0000}"/>
    <cellStyle name="Comma 30" xfId="1839" xr:uid="{00000000-0005-0000-0000-0000D72C0000}"/>
    <cellStyle name="Comma 30 2" xfId="1840" xr:uid="{00000000-0005-0000-0000-0000D82C0000}"/>
    <cellStyle name="Comma 30 2 2" xfId="3588" xr:uid="{00000000-0005-0000-0000-0000D92C0000}"/>
    <cellStyle name="Comma 30 2 2 2" xfId="8267" xr:uid="{00000000-0005-0000-0000-0000DA2C0000}"/>
    <cellStyle name="Comma 30 2 2 2 2" xfId="17591" xr:uid="{00000000-0005-0000-0000-0000DB2C0000}"/>
    <cellStyle name="Comma 30 2 2 2 3" xfId="26914" xr:uid="{00000000-0005-0000-0000-0000DC2C0000}"/>
    <cellStyle name="Comma 30 2 3" xfId="4583" xr:uid="{00000000-0005-0000-0000-0000DD2C0000}"/>
    <cellStyle name="Comma 30 2 3 2" xfId="13907" xr:uid="{00000000-0005-0000-0000-0000DE2C0000}"/>
    <cellStyle name="Comma 30 2 3 3" xfId="23230" xr:uid="{00000000-0005-0000-0000-0000DF2C0000}"/>
    <cellStyle name="Comma 30 2 4" xfId="11367" xr:uid="{00000000-0005-0000-0000-0000E02C0000}"/>
    <cellStyle name="Comma 30 2 5" xfId="20691" xr:uid="{00000000-0005-0000-0000-0000E12C0000}"/>
    <cellStyle name="Comma 30 3" xfId="3587" xr:uid="{00000000-0005-0000-0000-0000E22C0000}"/>
    <cellStyle name="Comma 30 3 2" xfId="8266" xr:uid="{00000000-0005-0000-0000-0000E32C0000}"/>
    <cellStyle name="Comma 30 3 2 2" xfId="17590" xr:uid="{00000000-0005-0000-0000-0000E42C0000}"/>
    <cellStyle name="Comma 30 3 2 3" xfId="26913" xr:uid="{00000000-0005-0000-0000-0000E52C0000}"/>
    <cellStyle name="Comma 30 4" xfId="5107" xr:uid="{00000000-0005-0000-0000-0000E62C0000}"/>
    <cellStyle name="Comma 30 4 2" xfId="14431" xr:uid="{00000000-0005-0000-0000-0000E72C0000}"/>
    <cellStyle name="Comma 30 4 3" xfId="23754" xr:uid="{00000000-0005-0000-0000-0000E82C0000}"/>
    <cellStyle name="Comma 30 5" xfId="11366" xr:uid="{00000000-0005-0000-0000-0000E92C0000}"/>
    <cellStyle name="Comma 30 6" xfId="20690" xr:uid="{00000000-0005-0000-0000-0000EA2C0000}"/>
    <cellStyle name="Comma 31" xfId="1841" xr:uid="{00000000-0005-0000-0000-0000EB2C0000}"/>
    <cellStyle name="Comma 31 2" xfId="1842" xr:uid="{00000000-0005-0000-0000-0000EC2C0000}"/>
    <cellStyle name="Comma 31 2 2" xfId="3590" xr:uid="{00000000-0005-0000-0000-0000ED2C0000}"/>
    <cellStyle name="Comma 31 2 2 2" xfId="8269" xr:uid="{00000000-0005-0000-0000-0000EE2C0000}"/>
    <cellStyle name="Comma 31 2 2 2 2" xfId="17593" xr:uid="{00000000-0005-0000-0000-0000EF2C0000}"/>
    <cellStyle name="Comma 31 2 2 2 3" xfId="26916" xr:uid="{00000000-0005-0000-0000-0000F02C0000}"/>
    <cellStyle name="Comma 31 2 2 3" xfId="12939" xr:uid="{00000000-0005-0000-0000-0000F12C0000}"/>
    <cellStyle name="Comma 31 2 2 4" xfId="22265" xr:uid="{00000000-0005-0000-0000-0000F22C0000}"/>
    <cellStyle name="Comma 31 2 3" xfId="5278" xr:uid="{00000000-0005-0000-0000-0000F32C0000}"/>
    <cellStyle name="Comma 31 2 3 2" xfId="14602" xr:uid="{00000000-0005-0000-0000-0000F42C0000}"/>
    <cellStyle name="Comma 31 2 3 3" xfId="23925" xr:uid="{00000000-0005-0000-0000-0000F52C0000}"/>
    <cellStyle name="Comma 31 2 4" xfId="5109" xr:uid="{00000000-0005-0000-0000-0000F62C0000}"/>
    <cellStyle name="Comma 31 2 4 2" xfId="14433" xr:uid="{00000000-0005-0000-0000-0000F72C0000}"/>
    <cellStyle name="Comma 31 2 4 3" xfId="23756" xr:uid="{00000000-0005-0000-0000-0000F82C0000}"/>
    <cellStyle name="Comma 31 2 5" xfId="11369" xr:uid="{00000000-0005-0000-0000-0000F92C0000}"/>
    <cellStyle name="Comma 31 2 6" xfId="20693" xr:uid="{00000000-0005-0000-0000-0000FA2C0000}"/>
    <cellStyle name="Comma 31 3" xfId="3589" xr:uid="{00000000-0005-0000-0000-0000FB2C0000}"/>
    <cellStyle name="Comma 31 3 2" xfId="8268" xr:uid="{00000000-0005-0000-0000-0000FC2C0000}"/>
    <cellStyle name="Comma 31 3 2 2" xfId="17592" xr:uid="{00000000-0005-0000-0000-0000FD2C0000}"/>
    <cellStyle name="Comma 31 3 2 3" xfId="26915" xr:uid="{00000000-0005-0000-0000-0000FE2C0000}"/>
    <cellStyle name="Comma 31 3 3" xfId="12938" xr:uid="{00000000-0005-0000-0000-0000FF2C0000}"/>
    <cellStyle name="Comma 31 3 4" xfId="22264" xr:uid="{00000000-0005-0000-0000-0000002D0000}"/>
    <cellStyle name="Comma 31 4" xfId="5277" xr:uid="{00000000-0005-0000-0000-0000012D0000}"/>
    <cellStyle name="Comma 31 4 2" xfId="14601" xr:uid="{00000000-0005-0000-0000-0000022D0000}"/>
    <cellStyle name="Comma 31 4 3" xfId="23924" xr:uid="{00000000-0005-0000-0000-0000032D0000}"/>
    <cellStyle name="Comma 31 5" xfId="5108" xr:uid="{00000000-0005-0000-0000-0000042D0000}"/>
    <cellStyle name="Comma 31 5 2" xfId="14432" xr:uid="{00000000-0005-0000-0000-0000052D0000}"/>
    <cellStyle name="Comma 31 5 3" xfId="23755" xr:uid="{00000000-0005-0000-0000-0000062D0000}"/>
    <cellStyle name="Comma 31 6" xfId="11368" xr:uid="{00000000-0005-0000-0000-0000072D0000}"/>
    <cellStyle name="Comma 31 7" xfId="20692" xr:uid="{00000000-0005-0000-0000-0000082D0000}"/>
    <cellStyle name="Comma 32" xfId="1843" xr:uid="{00000000-0005-0000-0000-0000092D0000}"/>
    <cellStyle name="Comma 32 2" xfId="1844" xr:uid="{00000000-0005-0000-0000-00000A2D0000}"/>
    <cellStyle name="Comma 32 2 2" xfId="3592" xr:uid="{00000000-0005-0000-0000-00000B2D0000}"/>
    <cellStyle name="Comma 32 2 2 2" xfId="8271" xr:uid="{00000000-0005-0000-0000-00000C2D0000}"/>
    <cellStyle name="Comma 32 2 2 2 2" xfId="17595" xr:uid="{00000000-0005-0000-0000-00000D2D0000}"/>
    <cellStyle name="Comma 32 2 2 2 3" xfId="26918" xr:uid="{00000000-0005-0000-0000-00000E2D0000}"/>
    <cellStyle name="Comma 32 2 2 3" xfId="12941" xr:uid="{00000000-0005-0000-0000-00000F2D0000}"/>
    <cellStyle name="Comma 32 2 2 4" xfId="22267" xr:uid="{00000000-0005-0000-0000-0000102D0000}"/>
    <cellStyle name="Comma 32 2 3" xfId="5280" xr:uid="{00000000-0005-0000-0000-0000112D0000}"/>
    <cellStyle name="Comma 32 2 3 2" xfId="14604" xr:uid="{00000000-0005-0000-0000-0000122D0000}"/>
    <cellStyle name="Comma 32 2 3 3" xfId="23927" xr:uid="{00000000-0005-0000-0000-0000132D0000}"/>
    <cellStyle name="Comma 32 2 4" xfId="5110" xr:uid="{00000000-0005-0000-0000-0000142D0000}"/>
    <cellStyle name="Comma 32 2 4 2" xfId="14434" xr:uid="{00000000-0005-0000-0000-0000152D0000}"/>
    <cellStyle name="Comma 32 2 4 3" xfId="23757" xr:uid="{00000000-0005-0000-0000-0000162D0000}"/>
    <cellStyle name="Comma 32 2 5" xfId="11371" xr:uid="{00000000-0005-0000-0000-0000172D0000}"/>
    <cellStyle name="Comma 32 2 6" xfId="20695" xr:uid="{00000000-0005-0000-0000-0000182D0000}"/>
    <cellStyle name="Comma 32 3" xfId="3591" xr:uid="{00000000-0005-0000-0000-0000192D0000}"/>
    <cellStyle name="Comma 32 3 2" xfId="8270" xr:uid="{00000000-0005-0000-0000-00001A2D0000}"/>
    <cellStyle name="Comma 32 3 2 2" xfId="17594" xr:uid="{00000000-0005-0000-0000-00001B2D0000}"/>
    <cellStyle name="Comma 32 3 2 3" xfId="26917" xr:uid="{00000000-0005-0000-0000-00001C2D0000}"/>
    <cellStyle name="Comma 32 3 3" xfId="12940" xr:uid="{00000000-0005-0000-0000-00001D2D0000}"/>
    <cellStyle name="Comma 32 3 4" xfId="22266" xr:uid="{00000000-0005-0000-0000-00001E2D0000}"/>
    <cellStyle name="Comma 32 4" xfId="5279" xr:uid="{00000000-0005-0000-0000-00001F2D0000}"/>
    <cellStyle name="Comma 32 4 2" xfId="14603" xr:uid="{00000000-0005-0000-0000-0000202D0000}"/>
    <cellStyle name="Comma 32 4 3" xfId="23926" xr:uid="{00000000-0005-0000-0000-0000212D0000}"/>
    <cellStyle name="Comma 32 5" xfId="5116" xr:uid="{00000000-0005-0000-0000-0000222D0000}"/>
    <cellStyle name="Comma 32 5 2" xfId="14440" xr:uid="{00000000-0005-0000-0000-0000232D0000}"/>
    <cellStyle name="Comma 32 5 3" xfId="23763" xr:uid="{00000000-0005-0000-0000-0000242D0000}"/>
    <cellStyle name="Comma 32 6" xfId="11370" xr:uid="{00000000-0005-0000-0000-0000252D0000}"/>
    <cellStyle name="Comma 32 7" xfId="20694" xr:uid="{00000000-0005-0000-0000-0000262D0000}"/>
    <cellStyle name="Comma 33" xfId="1845" xr:uid="{00000000-0005-0000-0000-0000272D0000}"/>
    <cellStyle name="Comma 33 2" xfId="1846" xr:uid="{00000000-0005-0000-0000-0000282D0000}"/>
    <cellStyle name="Comma 33 2 2" xfId="3594" xr:uid="{00000000-0005-0000-0000-0000292D0000}"/>
    <cellStyle name="Comma 33 2 2 2" xfId="8273" xr:uid="{00000000-0005-0000-0000-00002A2D0000}"/>
    <cellStyle name="Comma 33 2 2 2 2" xfId="17597" xr:uid="{00000000-0005-0000-0000-00002B2D0000}"/>
    <cellStyle name="Comma 33 2 2 2 3" xfId="26920" xr:uid="{00000000-0005-0000-0000-00002C2D0000}"/>
    <cellStyle name="Comma 33 2 2 3" xfId="12943" xr:uid="{00000000-0005-0000-0000-00002D2D0000}"/>
    <cellStyle name="Comma 33 2 2 4" xfId="22269" xr:uid="{00000000-0005-0000-0000-00002E2D0000}"/>
    <cellStyle name="Comma 33 2 3" xfId="5282" xr:uid="{00000000-0005-0000-0000-00002F2D0000}"/>
    <cellStyle name="Comma 33 2 3 2" xfId="14606" xr:uid="{00000000-0005-0000-0000-0000302D0000}"/>
    <cellStyle name="Comma 33 2 3 3" xfId="23929" xr:uid="{00000000-0005-0000-0000-0000312D0000}"/>
    <cellStyle name="Comma 33 2 4" xfId="5111" xr:uid="{00000000-0005-0000-0000-0000322D0000}"/>
    <cellStyle name="Comma 33 2 4 2" xfId="14435" xr:uid="{00000000-0005-0000-0000-0000332D0000}"/>
    <cellStyle name="Comma 33 2 4 3" xfId="23758" xr:uid="{00000000-0005-0000-0000-0000342D0000}"/>
    <cellStyle name="Comma 33 2 5" xfId="11373" xr:uid="{00000000-0005-0000-0000-0000352D0000}"/>
    <cellStyle name="Comma 33 2 6" xfId="20697" xr:uid="{00000000-0005-0000-0000-0000362D0000}"/>
    <cellStyle name="Comma 33 3" xfId="3593" xr:uid="{00000000-0005-0000-0000-0000372D0000}"/>
    <cellStyle name="Comma 33 3 2" xfId="8272" xr:uid="{00000000-0005-0000-0000-0000382D0000}"/>
    <cellStyle name="Comma 33 3 2 2" xfId="17596" xr:uid="{00000000-0005-0000-0000-0000392D0000}"/>
    <cellStyle name="Comma 33 3 2 3" xfId="26919" xr:uid="{00000000-0005-0000-0000-00003A2D0000}"/>
    <cellStyle name="Comma 33 3 3" xfId="12942" xr:uid="{00000000-0005-0000-0000-00003B2D0000}"/>
    <cellStyle name="Comma 33 3 4" xfId="22268" xr:uid="{00000000-0005-0000-0000-00003C2D0000}"/>
    <cellStyle name="Comma 33 4" xfId="5281" xr:uid="{00000000-0005-0000-0000-00003D2D0000}"/>
    <cellStyle name="Comma 33 4 2" xfId="14605" xr:uid="{00000000-0005-0000-0000-00003E2D0000}"/>
    <cellStyle name="Comma 33 4 3" xfId="23928" xr:uid="{00000000-0005-0000-0000-00003F2D0000}"/>
    <cellStyle name="Comma 33 5" xfId="4587" xr:uid="{00000000-0005-0000-0000-0000402D0000}"/>
    <cellStyle name="Comma 33 5 2" xfId="13911" xr:uid="{00000000-0005-0000-0000-0000412D0000}"/>
    <cellStyle name="Comma 33 5 3" xfId="23234" xr:uid="{00000000-0005-0000-0000-0000422D0000}"/>
    <cellStyle name="Comma 33 6" xfId="11372" xr:uid="{00000000-0005-0000-0000-0000432D0000}"/>
    <cellStyle name="Comma 33 7" xfId="20696" xr:uid="{00000000-0005-0000-0000-0000442D0000}"/>
    <cellStyle name="Comma 34" xfId="1847" xr:uid="{00000000-0005-0000-0000-0000452D0000}"/>
    <cellStyle name="Comma 34 2" xfId="3595" xr:uid="{00000000-0005-0000-0000-0000462D0000}"/>
    <cellStyle name="Comma 34 2 2" xfId="8274" xr:uid="{00000000-0005-0000-0000-0000472D0000}"/>
    <cellStyle name="Comma 34 2 2 2" xfId="17598" xr:uid="{00000000-0005-0000-0000-0000482D0000}"/>
    <cellStyle name="Comma 34 2 2 3" xfId="26921" xr:uid="{00000000-0005-0000-0000-0000492D0000}"/>
    <cellStyle name="Comma 34 2 3" xfId="12944" xr:uid="{00000000-0005-0000-0000-00004A2D0000}"/>
    <cellStyle name="Comma 34 2 4" xfId="22270" xr:uid="{00000000-0005-0000-0000-00004B2D0000}"/>
    <cellStyle name="Comma 34 3" xfId="5283" xr:uid="{00000000-0005-0000-0000-00004C2D0000}"/>
    <cellStyle name="Comma 34 3 2" xfId="14607" xr:uid="{00000000-0005-0000-0000-00004D2D0000}"/>
    <cellStyle name="Comma 34 3 3" xfId="23930" xr:uid="{00000000-0005-0000-0000-00004E2D0000}"/>
    <cellStyle name="Comma 34 4" xfId="4591" xr:uid="{00000000-0005-0000-0000-00004F2D0000}"/>
    <cellStyle name="Comma 34 4 2" xfId="13915" xr:uid="{00000000-0005-0000-0000-0000502D0000}"/>
    <cellStyle name="Comma 34 4 3" xfId="23238" xr:uid="{00000000-0005-0000-0000-0000512D0000}"/>
    <cellStyle name="Comma 34 5" xfId="11374" xr:uid="{00000000-0005-0000-0000-0000522D0000}"/>
    <cellStyle name="Comma 34 6" xfId="20698" xr:uid="{00000000-0005-0000-0000-0000532D0000}"/>
    <cellStyle name="Comma 35" xfId="1848" xr:uid="{00000000-0005-0000-0000-0000542D0000}"/>
    <cellStyle name="Comma 35 2" xfId="3596" xr:uid="{00000000-0005-0000-0000-0000552D0000}"/>
    <cellStyle name="Comma 35 2 2" xfId="8275" xr:uid="{00000000-0005-0000-0000-0000562D0000}"/>
    <cellStyle name="Comma 35 2 2 2" xfId="17599" xr:uid="{00000000-0005-0000-0000-0000572D0000}"/>
    <cellStyle name="Comma 35 2 2 3" xfId="26922" xr:uid="{00000000-0005-0000-0000-0000582D0000}"/>
    <cellStyle name="Comma 35 2 3" xfId="12945" xr:uid="{00000000-0005-0000-0000-0000592D0000}"/>
    <cellStyle name="Comma 35 2 4" xfId="22271" xr:uid="{00000000-0005-0000-0000-00005A2D0000}"/>
    <cellStyle name="Comma 35 3" xfId="5284" xr:uid="{00000000-0005-0000-0000-00005B2D0000}"/>
    <cellStyle name="Comma 35 3 2" xfId="14608" xr:uid="{00000000-0005-0000-0000-00005C2D0000}"/>
    <cellStyle name="Comma 35 3 3" xfId="23931" xr:uid="{00000000-0005-0000-0000-00005D2D0000}"/>
    <cellStyle name="Comma 35 4" xfId="5112" xr:uid="{00000000-0005-0000-0000-00005E2D0000}"/>
    <cellStyle name="Comma 35 4 2" xfId="14436" xr:uid="{00000000-0005-0000-0000-00005F2D0000}"/>
    <cellStyle name="Comma 35 4 3" xfId="23759" xr:uid="{00000000-0005-0000-0000-0000602D0000}"/>
    <cellStyle name="Comma 35 5" xfId="11375" xr:uid="{00000000-0005-0000-0000-0000612D0000}"/>
    <cellStyle name="Comma 35 6" xfId="20699" xr:uid="{00000000-0005-0000-0000-0000622D0000}"/>
    <cellStyle name="Comma 36" xfId="1849" xr:uid="{00000000-0005-0000-0000-0000632D0000}"/>
    <cellStyle name="Comma 36 2" xfId="3597" xr:uid="{00000000-0005-0000-0000-0000642D0000}"/>
    <cellStyle name="Comma 36 2 2" xfId="8276" xr:uid="{00000000-0005-0000-0000-0000652D0000}"/>
    <cellStyle name="Comma 36 2 2 2" xfId="17600" xr:uid="{00000000-0005-0000-0000-0000662D0000}"/>
    <cellStyle name="Comma 36 2 2 3" xfId="26923" xr:uid="{00000000-0005-0000-0000-0000672D0000}"/>
    <cellStyle name="Comma 36 3" xfId="5113" xr:uid="{00000000-0005-0000-0000-0000682D0000}"/>
    <cellStyle name="Comma 36 3 2" xfId="14437" xr:uid="{00000000-0005-0000-0000-0000692D0000}"/>
    <cellStyle name="Comma 36 3 3" xfId="23760" xr:uid="{00000000-0005-0000-0000-00006A2D0000}"/>
    <cellStyle name="Comma 36 4" xfId="11376" xr:uid="{00000000-0005-0000-0000-00006B2D0000}"/>
    <cellStyle name="Comma 36 5" xfId="20700" xr:uid="{00000000-0005-0000-0000-00006C2D0000}"/>
    <cellStyle name="Comma 37" xfId="1850" xr:uid="{00000000-0005-0000-0000-00006D2D0000}"/>
    <cellStyle name="Comma 37 2" xfId="1851" xr:uid="{00000000-0005-0000-0000-00006E2D0000}"/>
    <cellStyle name="Comma 37 2 2" xfId="3599" xr:uid="{00000000-0005-0000-0000-00006F2D0000}"/>
    <cellStyle name="Comma 37 2 2 2" xfId="8278" xr:uid="{00000000-0005-0000-0000-0000702D0000}"/>
    <cellStyle name="Comma 37 2 2 2 2" xfId="17602" xr:uid="{00000000-0005-0000-0000-0000712D0000}"/>
    <cellStyle name="Comma 37 2 2 2 3" xfId="26925" xr:uid="{00000000-0005-0000-0000-0000722D0000}"/>
    <cellStyle name="Comma 37 2 2 3" xfId="12946" xr:uid="{00000000-0005-0000-0000-0000732D0000}"/>
    <cellStyle name="Comma 37 2 2 4" xfId="22272" xr:uid="{00000000-0005-0000-0000-0000742D0000}"/>
    <cellStyle name="Comma 37 2 3" xfId="5287" xr:uid="{00000000-0005-0000-0000-0000752D0000}"/>
    <cellStyle name="Comma 37 2 3 2" xfId="14611" xr:uid="{00000000-0005-0000-0000-0000762D0000}"/>
    <cellStyle name="Comma 37 2 3 3" xfId="23934" xr:uid="{00000000-0005-0000-0000-0000772D0000}"/>
    <cellStyle name="Comma 37 2 4" xfId="4561" xr:uid="{00000000-0005-0000-0000-0000782D0000}"/>
    <cellStyle name="Comma 37 2 4 2" xfId="13885" xr:uid="{00000000-0005-0000-0000-0000792D0000}"/>
    <cellStyle name="Comma 37 2 4 3" xfId="23208" xr:uid="{00000000-0005-0000-0000-00007A2D0000}"/>
    <cellStyle name="Comma 37 2 5" xfId="11378" xr:uid="{00000000-0005-0000-0000-00007B2D0000}"/>
    <cellStyle name="Comma 37 2 6" xfId="20702" xr:uid="{00000000-0005-0000-0000-00007C2D0000}"/>
    <cellStyle name="Comma 37 3" xfId="1852" xr:uid="{00000000-0005-0000-0000-00007D2D0000}"/>
    <cellStyle name="Comma 37 3 2" xfId="3600" xr:uid="{00000000-0005-0000-0000-00007E2D0000}"/>
    <cellStyle name="Comma 37 3 2 2" xfId="8279" xr:uid="{00000000-0005-0000-0000-00007F2D0000}"/>
    <cellStyle name="Comma 37 3 2 2 2" xfId="17603" xr:uid="{00000000-0005-0000-0000-0000802D0000}"/>
    <cellStyle name="Comma 37 3 2 2 3" xfId="26926" xr:uid="{00000000-0005-0000-0000-0000812D0000}"/>
    <cellStyle name="Comma 37 3 2 3" xfId="12947" xr:uid="{00000000-0005-0000-0000-0000822D0000}"/>
    <cellStyle name="Comma 37 3 2 4" xfId="22273" xr:uid="{00000000-0005-0000-0000-0000832D0000}"/>
    <cellStyle name="Comma 37 3 3" xfId="5288" xr:uid="{00000000-0005-0000-0000-0000842D0000}"/>
    <cellStyle name="Comma 37 3 3 2" xfId="14612" xr:uid="{00000000-0005-0000-0000-0000852D0000}"/>
    <cellStyle name="Comma 37 3 3 3" xfId="23935" xr:uid="{00000000-0005-0000-0000-0000862D0000}"/>
    <cellStyle name="Comma 37 3 4" xfId="5115" xr:uid="{00000000-0005-0000-0000-0000872D0000}"/>
    <cellStyle name="Comma 37 3 4 2" xfId="14439" xr:uid="{00000000-0005-0000-0000-0000882D0000}"/>
    <cellStyle name="Comma 37 3 4 3" xfId="23762" xr:uid="{00000000-0005-0000-0000-0000892D0000}"/>
    <cellStyle name="Comma 37 3 5" xfId="11379" xr:uid="{00000000-0005-0000-0000-00008A2D0000}"/>
    <cellStyle name="Comma 37 3 6" xfId="20703" xr:uid="{00000000-0005-0000-0000-00008B2D0000}"/>
    <cellStyle name="Comma 37 4" xfId="1853" xr:uid="{00000000-0005-0000-0000-00008C2D0000}"/>
    <cellStyle name="Comma 37 4 2" xfId="3601" xr:uid="{00000000-0005-0000-0000-00008D2D0000}"/>
    <cellStyle name="Comma 37 4 2 2" xfId="8280" xr:uid="{00000000-0005-0000-0000-00008E2D0000}"/>
    <cellStyle name="Comma 37 4 2 2 2" xfId="17604" xr:uid="{00000000-0005-0000-0000-00008F2D0000}"/>
    <cellStyle name="Comma 37 4 2 2 3" xfId="26927" xr:uid="{00000000-0005-0000-0000-0000902D0000}"/>
    <cellStyle name="Comma 37 4 3" xfId="6225" xr:uid="{00000000-0005-0000-0000-0000912D0000}"/>
    <cellStyle name="Comma 37 4 3 2" xfId="15549" xr:uid="{00000000-0005-0000-0000-0000922D0000}"/>
    <cellStyle name="Comma 37 4 3 3" xfId="24872" xr:uid="{00000000-0005-0000-0000-0000932D0000}"/>
    <cellStyle name="Comma 37 4 4" xfId="11380" xr:uid="{00000000-0005-0000-0000-0000942D0000}"/>
    <cellStyle name="Comma 37 4 5" xfId="20704" xr:uid="{00000000-0005-0000-0000-0000952D0000}"/>
    <cellStyle name="Comma 37 5" xfId="3598" xr:uid="{00000000-0005-0000-0000-0000962D0000}"/>
    <cellStyle name="Comma 37 5 2" xfId="8277" xr:uid="{00000000-0005-0000-0000-0000972D0000}"/>
    <cellStyle name="Comma 37 5 2 2" xfId="17601" xr:uid="{00000000-0005-0000-0000-0000982D0000}"/>
    <cellStyle name="Comma 37 5 2 3" xfId="26924" xr:uid="{00000000-0005-0000-0000-0000992D0000}"/>
    <cellStyle name="Comma 37 6" xfId="5114" xr:uid="{00000000-0005-0000-0000-00009A2D0000}"/>
    <cellStyle name="Comma 37 6 2" xfId="14438" xr:uid="{00000000-0005-0000-0000-00009B2D0000}"/>
    <cellStyle name="Comma 37 6 3" xfId="23761" xr:uid="{00000000-0005-0000-0000-00009C2D0000}"/>
    <cellStyle name="Comma 37 7" xfId="11377" xr:uid="{00000000-0005-0000-0000-00009D2D0000}"/>
    <cellStyle name="Comma 37 8" xfId="20701" xr:uid="{00000000-0005-0000-0000-00009E2D0000}"/>
    <cellStyle name="Comma 38" xfId="1345" xr:uid="{00000000-0005-0000-0000-00009F2D0000}"/>
    <cellStyle name="Comma 38 2" xfId="1854" xr:uid="{00000000-0005-0000-0000-0000A02D0000}"/>
    <cellStyle name="Comma 38 2 2" xfId="3602" xr:uid="{00000000-0005-0000-0000-0000A12D0000}"/>
    <cellStyle name="Comma 38 2 2 2" xfId="8281" xr:uid="{00000000-0005-0000-0000-0000A22D0000}"/>
    <cellStyle name="Comma 38 2 2 2 2" xfId="17605" xr:uid="{00000000-0005-0000-0000-0000A32D0000}"/>
    <cellStyle name="Comma 38 2 2 2 3" xfId="26928" xr:uid="{00000000-0005-0000-0000-0000A42D0000}"/>
    <cellStyle name="Comma 38 2 2 3" xfId="12948" xr:uid="{00000000-0005-0000-0000-0000A52D0000}"/>
    <cellStyle name="Comma 38 2 2 4" xfId="22274" xr:uid="{00000000-0005-0000-0000-0000A62D0000}"/>
    <cellStyle name="Comma 38 2 3" xfId="5289" xr:uid="{00000000-0005-0000-0000-0000A72D0000}"/>
    <cellStyle name="Comma 38 2 3 2" xfId="14613" xr:uid="{00000000-0005-0000-0000-0000A82D0000}"/>
    <cellStyle name="Comma 38 2 3 3" xfId="23936" xr:uid="{00000000-0005-0000-0000-0000A92D0000}"/>
    <cellStyle name="Comma 38 2 4" xfId="4797" xr:uid="{00000000-0005-0000-0000-0000AA2D0000}"/>
    <cellStyle name="Comma 38 2 4 2" xfId="14121" xr:uid="{00000000-0005-0000-0000-0000AB2D0000}"/>
    <cellStyle name="Comma 38 2 4 3" xfId="23444" xr:uid="{00000000-0005-0000-0000-0000AC2D0000}"/>
    <cellStyle name="Comma 38 2 5" xfId="11381" xr:uid="{00000000-0005-0000-0000-0000AD2D0000}"/>
    <cellStyle name="Comma 38 2 6" xfId="20705" xr:uid="{00000000-0005-0000-0000-0000AE2D0000}"/>
    <cellStyle name="Comma 38 3" xfId="3135" xr:uid="{00000000-0005-0000-0000-0000AF2D0000}"/>
    <cellStyle name="Comma 38 3 2" xfId="7814" xr:uid="{00000000-0005-0000-0000-0000B02D0000}"/>
    <cellStyle name="Comma 38 3 2 2" xfId="17138" xr:uid="{00000000-0005-0000-0000-0000B12D0000}"/>
    <cellStyle name="Comma 38 3 2 3" xfId="26461" xr:uid="{00000000-0005-0000-0000-0000B22D0000}"/>
    <cellStyle name="Comma 38 4" xfId="6660" xr:uid="{00000000-0005-0000-0000-0000B32D0000}"/>
    <cellStyle name="Comma 38 4 2" xfId="15984" xr:uid="{00000000-0005-0000-0000-0000B42D0000}"/>
    <cellStyle name="Comma 38 4 3" xfId="25307" xr:uid="{00000000-0005-0000-0000-0000B52D0000}"/>
    <cellStyle name="Comma 38 5" xfId="10916" xr:uid="{00000000-0005-0000-0000-0000B62D0000}"/>
    <cellStyle name="Comma 38 6" xfId="20240" xr:uid="{00000000-0005-0000-0000-0000B72D0000}"/>
    <cellStyle name="Comma 39" xfId="1855" xr:uid="{00000000-0005-0000-0000-0000B82D0000}"/>
    <cellStyle name="Comma 39 2" xfId="3603" xr:uid="{00000000-0005-0000-0000-0000B92D0000}"/>
    <cellStyle name="Comma 39 2 2" xfId="8282" xr:uid="{00000000-0005-0000-0000-0000BA2D0000}"/>
    <cellStyle name="Comma 39 2 2 2" xfId="17606" xr:uid="{00000000-0005-0000-0000-0000BB2D0000}"/>
    <cellStyle name="Comma 39 2 2 3" xfId="26929" xr:uid="{00000000-0005-0000-0000-0000BC2D0000}"/>
    <cellStyle name="Comma 39 2 3" xfId="12949" xr:uid="{00000000-0005-0000-0000-0000BD2D0000}"/>
    <cellStyle name="Comma 39 2 4" xfId="22275" xr:uid="{00000000-0005-0000-0000-0000BE2D0000}"/>
    <cellStyle name="Comma 39 3" xfId="5290" xr:uid="{00000000-0005-0000-0000-0000BF2D0000}"/>
    <cellStyle name="Comma 39 3 2" xfId="14614" xr:uid="{00000000-0005-0000-0000-0000C02D0000}"/>
    <cellStyle name="Comma 39 3 3" xfId="23937" xr:uid="{00000000-0005-0000-0000-0000C12D0000}"/>
    <cellStyle name="Comma 39 4" xfId="7356" xr:uid="{00000000-0005-0000-0000-0000C22D0000}"/>
    <cellStyle name="Comma 39 4 2" xfId="16680" xr:uid="{00000000-0005-0000-0000-0000C32D0000}"/>
    <cellStyle name="Comma 39 4 3" xfId="26003" xr:uid="{00000000-0005-0000-0000-0000C42D0000}"/>
    <cellStyle name="Comma 39 5" xfId="11382" xr:uid="{00000000-0005-0000-0000-0000C52D0000}"/>
    <cellStyle name="Comma 39 6" xfId="20706" xr:uid="{00000000-0005-0000-0000-0000C62D0000}"/>
    <cellStyle name="Comma 4" xfId="109" xr:uid="{00000000-0005-0000-0000-0000C72D0000}"/>
    <cellStyle name="Comma 4 10" xfId="1857" xr:uid="{00000000-0005-0000-0000-0000C82D0000}"/>
    <cellStyle name="Comma 4 10 2" xfId="3605" xr:uid="{00000000-0005-0000-0000-0000C92D0000}"/>
    <cellStyle name="Comma 4 10 2 2" xfId="8284" xr:uid="{00000000-0005-0000-0000-0000CA2D0000}"/>
    <cellStyle name="Comma 4 10 2 2 2" xfId="17608" xr:uid="{00000000-0005-0000-0000-0000CB2D0000}"/>
    <cellStyle name="Comma 4 10 2 2 3" xfId="26931" xr:uid="{00000000-0005-0000-0000-0000CC2D0000}"/>
    <cellStyle name="Comma 4 10 2 3" xfId="12951" xr:uid="{00000000-0005-0000-0000-0000CD2D0000}"/>
    <cellStyle name="Comma 4 10 2 4" xfId="22277" xr:uid="{00000000-0005-0000-0000-0000CE2D0000}"/>
    <cellStyle name="Comma 4 10 3" xfId="5292" xr:uid="{00000000-0005-0000-0000-0000CF2D0000}"/>
    <cellStyle name="Comma 4 10 3 2" xfId="14616" xr:uid="{00000000-0005-0000-0000-0000D02D0000}"/>
    <cellStyle name="Comma 4 10 3 3" xfId="23939" xr:uid="{00000000-0005-0000-0000-0000D12D0000}"/>
    <cellStyle name="Comma 4 10 4" xfId="7358" xr:uid="{00000000-0005-0000-0000-0000D22D0000}"/>
    <cellStyle name="Comma 4 10 4 2" xfId="16682" xr:uid="{00000000-0005-0000-0000-0000D32D0000}"/>
    <cellStyle name="Comma 4 10 4 3" xfId="26005" xr:uid="{00000000-0005-0000-0000-0000D42D0000}"/>
    <cellStyle name="Comma 4 10 5" xfId="11384" xr:uid="{00000000-0005-0000-0000-0000D52D0000}"/>
    <cellStyle name="Comma 4 10 6" xfId="20708" xr:uid="{00000000-0005-0000-0000-0000D62D0000}"/>
    <cellStyle name="Comma 4 11" xfId="1856" xr:uid="{00000000-0005-0000-0000-0000D72D0000}"/>
    <cellStyle name="Comma 4 11 2" xfId="3604" xr:uid="{00000000-0005-0000-0000-0000D82D0000}"/>
    <cellStyle name="Comma 4 11 2 2" xfId="8283" xr:uid="{00000000-0005-0000-0000-0000D92D0000}"/>
    <cellStyle name="Comma 4 11 2 2 2" xfId="17607" xr:uid="{00000000-0005-0000-0000-0000DA2D0000}"/>
    <cellStyle name="Comma 4 11 2 2 3" xfId="26930" xr:uid="{00000000-0005-0000-0000-0000DB2D0000}"/>
    <cellStyle name="Comma 4 11 2 3" xfId="12950" xr:uid="{00000000-0005-0000-0000-0000DC2D0000}"/>
    <cellStyle name="Comma 4 11 2 4" xfId="22276" xr:uid="{00000000-0005-0000-0000-0000DD2D0000}"/>
    <cellStyle name="Comma 4 11 3" xfId="5291" xr:uid="{00000000-0005-0000-0000-0000DE2D0000}"/>
    <cellStyle name="Comma 4 11 3 2" xfId="14615" xr:uid="{00000000-0005-0000-0000-0000DF2D0000}"/>
    <cellStyle name="Comma 4 11 3 3" xfId="23938" xr:uid="{00000000-0005-0000-0000-0000E02D0000}"/>
    <cellStyle name="Comma 4 11 4" xfId="7357" xr:uid="{00000000-0005-0000-0000-0000E12D0000}"/>
    <cellStyle name="Comma 4 11 4 2" xfId="16681" xr:uid="{00000000-0005-0000-0000-0000E22D0000}"/>
    <cellStyle name="Comma 4 11 4 3" xfId="26004" xr:uid="{00000000-0005-0000-0000-0000E32D0000}"/>
    <cellStyle name="Comma 4 11 5" xfId="11383" xr:uid="{00000000-0005-0000-0000-0000E42D0000}"/>
    <cellStyle name="Comma 4 11 6" xfId="20707" xr:uid="{00000000-0005-0000-0000-0000E52D0000}"/>
    <cellStyle name="Comma 4 12" xfId="1156" xr:uid="{00000000-0005-0000-0000-0000E62D0000}"/>
    <cellStyle name="Comma 4 12 2" xfId="7326" xr:uid="{00000000-0005-0000-0000-0000E72D0000}"/>
    <cellStyle name="Comma 4 12 2 2" xfId="16650" xr:uid="{00000000-0005-0000-0000-0000E82D0000}"/>
    <cellStyle name="Comma 4 12 2 3" xfId="25973" xr:uid="{00000000-0005-0000-0000-0000E92D0000}"/>
    <cellStyle name="Comma 4 12 3" xfId="10754" xr:uid="{00000000-0005-0000-0000-0000EA2D0000}"/>
    <cellStyle name="Comma 4 12 4" xfId="20078" xr:uid="{00000000-0005-0000-0000-0000EB2D0000}"/>
    <cellStyle name="Comma 4 13" xfId="2973" xr:uid="{00000000-0005-0000-0000-0000EC2D0000}"/>
    <cellStyle name="Comma 4 13 2" xfId="7652" xr:uid="{00000000-0005-0000-0000-0000ED2D0000}"/>
    <cellStyle name="Comma 4 13 2 2" xfId="16976" xr:uid="{00000000-0005-0000-0000-0000EE2D0000}"/>
    <cellStyle name="Comma 4 13 2 3" xfId="26299" xr:uid="{00000000-0005-0000-0000-0000EF2D0000}"/>
    <cellStyle name="Comma 4 2" xfId="1157" xr:uid="{00000000-0005-0000-0000-0000F02D0000}"/>
    <cellStyle name="Comma 4 2 10" xfId="2974" xr:uid="{00000000-0005-0000-0000-0000F12D0000}"/>
    <cellStyle name="Comma 4 2 10 2" xfId="7653" xr:uid="{00000000-0005-0000-0000-0000F22D0000}"/>
    <cellStyle name="Comma 4 2 10 2 2" xfId="16977" xr:uid="{00000000-0005-0000-0000-0000F32D0000}"/>
    <cellStyle name="Comma 4 2 10 2 3" xfId="26300" xr:uid="{00000000-0005-0000-0000-0000F42D0000}"/>
    <cellStyle name="Comma 4 2 11" xfId="7325" xr:uid="{00000000-0005-0000-0000-0000F52D0000}"/>
    <cellStyle name="Comma 4 2 11 2" xfId="16649" xr:uid="{00000000-0005-0000-0000-0000F62D0000}"/>
    <cellStyle name="Comma 4 2 11 3" xfId="25972" xr:uid="{00000000-0005-0000-0000-0000F72D0000}"/>
    <cellStyle name="Comma 4 2 12" xfId="10755" xr:uid="{00000000-0005-0000-0000-0000F82D0000}"/>
    <cellStyle name="Comma 4 2 13" xfId="20079" xr:uid="{00000000-0005-0000-0000-0000F92D0000}"/>
    <cellStyle name="Comma 4 2 14" xfId="28822" xr:uid="{00000000-0005-0000-0000-0000FA2D0000}"/>
    <cellStyle name="Comma 4 2 2" xfId="1158" xr:uid="{00000000-0005-0000-0000-0000FB2D0000}"/>
    <cellStyle name="Comma 4 2 2 10" xfId="20080" xr:uid="{00000000-0005-0000-0000-0000FC2D0000}"/>
    <cellStyle name="Comma 4 2 2 2" xfId="1192" xr:uid="{00000000-0005-0000-0000-0000FD2D0000}"/>
    <cellStyle name="Comma 4 2 2 2 10" xfId="10784" xr:uid="{00000000-0005-0000-0000-0000FE2D0000}"/>
    <cellStyle name="Comma 4 2 2 2 11" xfId="20108" xr:uid="{00000000-0005-0000-0000-0000FF2D0000}"/>
    <cellStyle name="Comma 4 2 2 2 2" xfId="1193" xr:uid="{00000000-0005-0000-0000-0000002E0000}"/>
    <cellStyle name="Comma 4 2 2 2 2 2" xfId="1862" xr:uid="{00000000-0005-0000-0000-0000012E0000}"/>
    <cellStyle name="Comma 4 2 2 2 2 2 2" xfId="1863" xr:uid="{00000000-0005-0000-0000-0000022E0000}"/>
    <cellStyle name="Comma 4 2 2 2 2 2 2 2" xfId="3611" xr:uid="{00000000-0005-0000-0000-0000032E0000}"/>
    <cellStyle name="Comma 4 2 2 2 2 2 2 2 2" xfId="8290" xr:uid="{00000000-0005-0000-0000-0000042E0000}"/>
    <cellStyle name="Comma 4 2 2 2 2 2 2 2 2 2" xfId="17614" xr:uid="{00000000-0005-0000-0000-0000052E0000}"/>
    <cellStyle name="Comma 4 2 2 2 2 2 2 2 2 3" xfId="26937" xr:uid="{00000000-0005-0000-0000-0000062E0000}"/>
    <cellStyle name="Comma 4 2 2 2 2 2 2 2 3" xfId="12957" xr:uid="{00000000-0005-0000-0000-0000072E0000}"/>
    <cellStyle name="Comma 4 2 2 2 2 2 2 2 4" xfId="22283" xr:uid="{00000000-0005-0000-0000-0000082E0000}"/>
    <cellStyle name="Comma 4 2 2 2 2 2 2 3" xfId="5298" xr:uid="{00000000-0005-0000-0000-0000092E0000}"/>
    <cellStyle name="Comma 4 2 2 2 2 2 2 3 2" xfId="14622" xr:uid="{00000000-0005-0000-0000-00000A2E0000}"/>
    <cellStyle name="Comma 4 2 2 2 2 2 2 3 3" xfId="23945" xr:uid="{00000000-0005-0000-0000-00000B2E0000}"/>
    <cellStyle name="Comma 4 2 2 2 2 2 2 4" xfId="7364" xr:uid="{00000000-0005-0000-0000-00000C2E0000}"/>
    <cellStyle name="Comma 4 2 2 2 2 2 2 4 2" xfId="16688" xr:uid="{00000000-0005-0000-0000-00000D2E0000}"/>
    <cellStyle name="Comma 4 2 2 2 2 2 2 4 3" xfId="26011" xr:uid="{00000000-0005-0000-0000-00000E2E0000}"/>
    <cellStyle name="Comma 4 2 2 2 2 2 2 5" xfId="11390" xr:uid="{00000000-0005-0000-0000-00000F2E0000}"/>
    <cellStyle name="Comma 4 2 2 2 2 2 2 6" xfId="20714" xr:uid="{00000000-0005-0000-0000-0000102E0000}"/>
    <cellStyle name="Comma 4 2 2 2 2 2 3" xfId="3610" xr:uid="{00000000-0005-0000-0000-0000112E0000}"/>
    <cellStyle name="Comma 4 2 2 2 2 2 3 2" xfId="8289" xr:uid="{00000000-0005-0000-0000-0000122E0000}"/>
    <cellStyle name="Comma 4 2 2 2 2 2 3 2 2" xfId="17613" xr:uid="{00000000-0005-0000-0000-0000132E0000}"/>
    <cellStyle name="Comma 4 2 2 2 2 2 3 2 3" xfId="26936" xr:uid="{00000000-0005-0000-0000-0000142E0000}"/>
    <cellStyle name="Comma 4 2 2 2 2 2 3 3" xfId="12956" xr:uid="{00000000-0005-0000-0000-0000152E0000}"/>
    <cellStyle name="Comma 4 2 2 2 2 2 3 4" xfId="22282" xr:uid="{00000000-0005-0000-0000-0000162E0000}"/>
    <cellStyle name="Comma 4 2 2 2 2 2 4" xfId="5297" xr:uid="{00000000-0005-0000-0000-0000172E0000}"/>
    <cellStyle name="Comma 4 2 2 2 2 2 4 2" xfId="14621" xr:uid="{00000000-0005-0000-0000-0000182E0000}"/>
    <cellStyle name="Comma 4 2 2 2 2 2 4 3" xfId="23944" xr:uid="{00000000-0005-0000-0000-0000192E0000}"/>
    <cellStyle name="Comma 4 2 2 2 2 2 5" xfId="7363" xr:uid="{00000000-0005-0000-0000-00001A2E0000}"/>
    <cellStyle name="Comma 4 2 2 2 2 2 5 2" xfId="16687" xr:uid="{00000000-0005-0000-0000-00001B2E0000}"/>
    <cellStyle name="Comma 4 2 2 2 2 2 5 3" xfId="26010" xr:uid="{00000000-0005-0000-0000-00001C2E0000}"/>
    <cellStyle name="Comma 4 2 2 2 2 2 6" xfId="11389" xr:uid="{00000000-0005-0000-0000-00001D2E0000}"/>
    <cellStyle name="Comma 4 2 2 2 2 2 7" xfId="20713" xr:uid="{00000000-0005-0000-0000-00001E2E0000}"/>
    <cellStyle name="Comma 4 2 2 2 2 3" xfId="1864" xr:uid="{00000000-0005-0000-0000-00001F2E0000}"/>
    <cellStyle name="Comma 4 2 2 2 2 3 2" xfId="3612" xr:uid="{00000000-0005-0000-0000-0000202E0000}"/>
    <cellStyle name="Comma 4 2 2 2 2 3 2 2" xfId="8291" xr:uid="{00000000-0005-0000-0000-0000212E0000}"/>
    <cellStyle name="Comma 4 2 2 2 2 3 2 2 2" xfId="17615" xr:uid="{00000000-0005-0000-0000-0000222E0000}"/>
    <cellStyle name="Comma 4 2 2 2 2 3 2 2 3" xfId="26938" xr:uid="{00000000-0005-0000-0000-0000232E0000}"/>
    <cellStyle name="Comma 4 2 2 2 2 3 2 3" xfId="12958" xr:uid="{00000000-0005-0000-0000-0000242E0000}"/>
    <cellStyle name="Comma 4 2 2 2 2 3 2 4" xfId="22284" xr:uid="{00000000-0005-0000-0000-0000252E0000}"/>
    <cellStyle name="Comma 4 2 2 2 2 3 3" xfId="5299" xr:uid="{00000000-0005-0000-0000-0000262E0000}"/>
    <cellStyle name="Comma 4 2 2 2 2 3 3 2" xfId="14623" xr:uid="{00000000-0005-0000-0000-0000272E0000}"/>
    <cellStyle name="Comma 4 2 2 2 2 3 3 3" xfId="23946" xr:uid="{00000000-0005-0000-0000-0000282E0000}"/>
    <cellStyle name="Comma 4 2 2 2 2 3 4" xfId="7365" xr:uid="{00000000-0005-0000-0000-0000292E0000}"/>
    <cellStyle name="Comma 4 2 2 2 2 3 4 2" xfId="16689" xr:uid="{00000000-0005-0000-0000-00002A2E0000}"/>
    <cellStyle name="Comma 4 2 2 2 2 3 4 3" xfId="26012" xr:uid="{00000000-0005-0000-0000-00002B2E0000}"/>
    <cellStyle name="Comma 4 2 2 2 2 3 5" xfId="11391" xr:uid="{00000000-0005-0000-0000-00002C2E0000}"/>
    <cellStyle name="Comma 4 2 2 2 2 3 6" xfId="20715" xr:uid="{00000000-0005-0000-0000-00002D2E0000}"/>
    <cellStyle name="Comma 4 2 2 2 2 4" xfId="1861" xr:uid="{00000000-0005-0000-0000-00002E2E0000}"/>
    <cellStyle name="Comma 4 2 2 2 2 4 2" xfId="3609" xr:uid="{00000000-0005-0000-0000-00002F2E0000}"/>
    <cellStyle name="Comma 4 2 2 2 2 4 2 2" xfId="8288" xr:uid="{00000000-0005-0000-0000-0000302E0000}"/>
    <cellStyle name="Comma 4 2 2 2 2 4 2 2 2" xfId="17612" xr:uid="{00000000-0005-0000-0000-0000312E0000}"/>
    <cellStyle name="Comma 4 2 2 2 2 4 2 2 3" xfId="26935" xr:uid="{00000000-0005-0000-0000-0000322E0000}"/>
    <cellStyle name="Comma 4 2 2 2 2 4 2 3" xfId="12955" xr:uid="{00000000-0005-0000-0000-0000332E0000}"/>
    <cellStyle name="Comma 4 2 2 2 2 4 2 4" xfId="22281" xr:uid="{00000000-0005-0000-0000-0000342E0000}"/>
    <cellStyle name="Comma 4 2 2 2 2 4 3" xfId="5296" xr:uid="{00000000-0005-0000-0000-0000352E0000}"/>
    <cellStyle name="Comma 4 2 2 2 2 4 3 2" xfId="14620" xr:uid="{00000000-0005-0000-0000-0000362E0000}"/>
    <cellStyle name="Comma 4 2 2 2 2 4 3 3" xfId="23943" xr:uid="{00000000-0005-0000-0000-0000372E0000}"/>
    <cellStyle name="Comma 4 2 2 2 2 4 4" xfId="7362" xr:uid="{00000000-0005-0000-0000-0000382E0000}"/>
    <cellStyle name="Comma 4 2 2 2 2 4 4 2" xfId="16686" xr:uid="{00000000-0005-0000-0000-0000392E0000}"/>
    <cellStyle name="Comma 4 2 2 2 2 4 4 3" xfId="26009" xr:uid="{00000000-0005-0000-0000-00003A2E0000}"/>
    <cellStyle name="Comma 4 2 2 2 2 4 5" xfId="11388" xr:uid="{00000000-0005-0000-0000-00003B2E0000}"/>
    <cellStyle name="Comma 4 2 2 2 2 4 6" xfId="20712" xr:uid="{00000000-0005-0000-0000-00003C2E0000}"/>
    <cellStyle name="Comma 4 2 2 2 2 5" xfId="3004" xr:uid="{00000000-0005-0000-0000-00003D2E0000}"/>
    <cellStyle name="Comma 4 2 2 2 2 5 2" xfId="7683" xr:uid="{00000000-0005-0000-0000-00003E2E0000}"/>
    <cellStyle name="Comma 4 2 2 2 2 5 2 2" xfId="17007" xr:uid="{00000000-0005-0000-0000-00003F2E0000}"/>
    <cellStyle name="Comma 4 2 2 2 2 5 2 3" xfId="26330" xr:uid="{00000000-0005-0000-0000-0000402E0000}"/>
    <cellStyle name="Comma 4 2 2 2 2 5 3" xfId="12392" xr:uid="{00000000-0005-0000-0000-0000412E0000}"/>
    <cellStyle name="Comma 4 2 2 2 2 5 4" xfId="21718" xr:uid="{00000000-0005-0000-0000-0000422E0000}"/>
    <cellStyle name="Comma 4 2 2 2 2 6" xfId="4652" xr:uid="{00000000-0005-0000-0000-0000432E0000}"/>
    <cellStyle name="Comma 4 2 2 2 2 6 2" xfId="13976" xr:uid="{00000000-0005-0000-0000-0000442E0000}"/>
    <cellStyle name="Comma 4 2 2 2 2 6 3" xfId="23299" xr:uid="{00000000-0005-0000-0000-0000452E0000}"/>
    <cellStyle name="Comma 4 2 2 2 2 7" xfId="10785" xr:uid="{00000000-0005-0000-0000-0000462E0000}"/>
    <cellStyle name="Comma 4 2 2 2 2 8" xfId="20109" xr:uid="{00000000-0005-0000-0000-0000472E0000}"/>
    <cellStyle name="Comma 4 2 2 2 3" xfId="1865" xr:uid="{00000000-0005-0000-0000-0000482E0000}"/>
    <cellStyle name="Comma 4 2 2 2 3 2" xfId="1866" xr:uid="{00000000-0005-0000-0000-0000492E0000}"/>
    <cellStyle name="Comma 4 2 2 2 3 2 2" xfId="3614" xr:uid="{00000000-0005-0000-0000-00004A2E0000}"/>
    <cellStyle name="Comma 4 2 2 2 3 2 2 2" xfId="8293" xr:uid="{00000000-0005-0000-0000-00004B2E0000}"/>
    <cellStyle name="Comma 4 2 2 2 3 2 2 2 2" xfId="17617" xr:uid="{00000000-0005-0000-0000-00004C2E0000}"/>
    <cellStyle name="Comma 4 2 2 2 3 2 2 2 3" xfId="26940" xr:uid="{00000000-0005-0000-0000-00004D2E0000}"/>
    <cellStyle name="Comma 4 2 2 2 3 2 2 3" xfId="12960" xr:uid="{00000000-0005-0000-0000-00004E2E0000}"/>
    <cellStyle name="Comma 4 2 2 2 3 2 2 4" xfId="22286" xr:uid="{00000000-0005-0000-0000-00004F2E0000}"/>
    <cellStyle name="Comma 4 2 2 2 3 2 3" xfId="5301" xr:uid="{00000000-0005-0000-0000-0000502E0000}"/>
    <cellStyle name="Comma 4 2 2 2 3 2 3 2" xfId="14625" xr:uid="{00000000-0005-0000-0000-0000512E0000}"/>
    <cellStyle name="Comma 4 2 2 2 3 2 3 3" xfId="23948" xr:uid="{00000000-0005-0000-0000-0000522E0000}"/>
    <cellStyle name="Comma 4 2 2 2 3 2 4" xfId="7367" xr:uid="{00000000-0005-0000-0000-0000532E0000}"/>
    <cellStyle name="Comma 4 2 2 2 3 2 4 2" xfId="16691" xr:uid="{00000000-0005-0000-0000-0000542E0000}"/>
    <cellStyle name="Comma 4 2 2 2 3 2 4 3" xfId="26014" xr:uid="{00000000-0005-0000-0000-0000552E0000}"/>
    <cellStyle name="Comma 4 2 2 2 3 2 5" xfId="11393" xr:uid="{00000000-0005-0000-0000-0000562E0000}"/>
    <cellStyle name="Comma 4 2 2 2 3 2 6" xfId="20717" xr:uid="{00000000-0005-0000-0000-0000572E0000}"/>
    <cellStyle name="Comma 4 2 2 2 3 3" xfId="3613" xr:uid="{00000000-0005-0000-0000-0000582E0000}"/>
    <cellStyle name="Comma 4 2 2 2 3 3 2" xfId="8292" xr:uid="{00000000-0005-0000-0000-0000592E0000}"/>
    <cellStyle name="Comma 4 2 2 2 3 3 2 2" xfId="17616" xr:uid="{00000000-0005-0000-0000-00005A2E0000}"/>
    <cellStyle name="Comma 4 2 2 2 3 3 2 3" xfId="26939" xr:uid="{00000000-0005-0000-0000-00005B2E0000}"/>
    <cellStyle name="Comma 4 2 2 2 3 3 3" xfId="12959" xr:uid="{00000000-0005-0000-0000-00005C2E0000}"/>
    <cellStyle name="Comma 4 2 2 2 3 3 4" xfId="22285" xr:uid="{00000000-0005-0000-0000-00005D2E0000}"/>
    <cellStyle name="Comma 4 2 2 2 3 4" xfId="5300" xr:uid="{00000000-0005-0000-0000-00005E2E0000}"/>
    <cellStyle name="Comma 4 2 2 2 3 4 2" xfId="14624" xr:uid="{00000000-0005-0000-0000-00005F2E0000}"/>
    <cellStyle name="Comma 4 2 2 2 3 4 3" xfId="23947" xr:uid="{00000000-0005-0000-0000-0000602E0000}"/>
    <cellStyle name="Comma 4 2 2 2 3 5" xfId="7366" xr:uid="{00000000-0005-0000-0000-0000612E0000}"/>
    <cellStyle name="Comma 4 2 2 2 3 5 2" xfId="16690" xr:uid="{00000000-0005-0000-0000-0000622E0000}"/>
    <cellStyle name="Comma 4 2 2 2 3 5 3" xfId="26013" xr:uid="{00000000-0005-0000-0000-0000632E0000}"/>
    <cellStyle name="Comma 4 2 2 2 3 6" xfId="11392" xr:uid="{00000000-0005-0000-0000-0000642E0000}"/>
    <cellStyle name="Comma 4 2 2 2 3 7" xfId="20716" xr:uid="{00000000-0005-0000-0000-0000652E0000}"/>
    <cellStyle name="Comma 4 2 2 2 4" xfId="1867" xr:uid="{00000000-0005-0000-0000-0000662E0000}"/>
    <cellStyle name="Comma 4 2 2 2 4 2" xfId="3615" xr:uid="{00000000-0005-0000-0000-0000672E0000}"/>
    <cellStyle name="Comma 4 2 2 2 4 2 2" xfId="8294" xr:uid="{00000000-0005-0000-0000-0000682E0000}"/>
    <cellStyle name="Comma 4 2 2 2 4 2 2 2" xfId="17618" xr:uid="{00000000-0005-0000-0000-0000692E0000}"/>
    <cellStyle name="Comma 4 2 2 2 4 2 2 3" xfId="26941" xr:uid="{00000000-0005-0000-0000-00006A2E0000}"/>
    <cellStyle name="Comma 4 2 2 2 4 2 3" xfId="12961" xr:uid="{00000000-0005-0000-0000-00006B2E0000}"/>
    <cellStyle name="Comma 4 2 2 2 4 2 4" xfId="22287" xr:uid="{00000000-0005-0000-0000-00006C2E0000}"/>
    <cellStyle name="Comma 4 2 2 2 4 3" xfId="5302" xr:uid="{00000000-0005-0000-0000-00006D2E0000}"/>
    <cellStyle name="Comma 4 2 2 2 4 3 2" xfId="14626" xr:uid="{00000000-0005-0000-0000-00006E2E0000}"/>
    <cellStyle name="Comma 4 2 2 2 4 3 3" xfId="23949" xr:uid="{00000000-0005-0000-0000-00006F2E0000}"/>
    <cellStyle name="Comma 4 2 2 2 4 4" xfId="7368" xr:uid="{00000000-0005-0000-0000-0000702E0000}"/>
    <cellStyle name="Comma 4 2 2 2 4 4 2" xfId="16692" xr:uid="{00000000-0005-0000-0000-0000712E0000}"/>
    <cellStyle name="Comma 4 2 2 2 4 4 3" xfId="26015" xr:uid="{00000000-0005-0000-0000-0000722E0000}"/>
    <cellStyle name="Comma 4 2 2 2 4 5" xfId="11394" xr:uid="{00000000-0005-0000-0000-0000732E0000}"/>
    <cellStyle name="Comma 4 2 2 2 4 6" xfId="20718" xr:uid="{00000000-0005-0000-0000-0000742E0000}"/>
    <cellStyle name="Comma 4 2 2 2 5" xfId="1868" xr:uid="{00000000-0005-0000-0000-0000752E0000}"/>
    <cellStyle name="Comma 4 2 2 2 5 2" xfId="3616" xr:uid="{00000000-0005-0000-0000-0000762E0000}"/>
    <cellStyle name="Comma 4 2 2 2 5 2 2" xfId="8295" xr:uid="{00000000-0005-0000-0000-0000772E0000}"/>
    <cellStyle name="Comma 4 2 2 2 5 2 2 2" xfId="17619" xr:uid="{00000000-0005-0000-0000-0000782E0000}"/>
    <cellStyle name="Comma 4 2 2 2 5 2 2 3" xfId="26942" xr:uid="{00000000-0005-0000-0000-0000792E0000}"/>
    <cellStyle name="Comma 4 2 2 2 5 2 3" xfId="12962" xr:uid="{00000000-0005-0000-0000-00007A2E0000}"/>
    <cellStyle name="Comma 4 2 2 2 5 2 4" xfId="22288" xr:uid="{00000000-0005-0000-0000-00007B2E0000}"/>
    <cellStyle name="Comma 4 2 2 2 5 3" xfId="5303" xr:uid="{00000000-0005-0000-0000-00007C2E0000}"/>
    <cellStyle name="Comma 4 2 2 2 5 3 2" xfId="14627" xr:uid="{00000000-0005-0000-0000-00007D2E0000}"/>
    <cellStyle name="Comma 4 2 2 2 5 3 3" xfId="23950" xr:uid="{00000000-0005-0000-0000-00007E2E0000}"/>
    <cellStyle name="Comma 4 2 2 2 5 4" xfId="7369" xr:uid="{00000000-0005-0000-0000-00007F2E0000}"/>
    <cellStyle name="Comma 4 2 2 2 5 4 2" xfId="16693" xr:uid="{00000000-0005-0000-0000-0000802E0000}"/>
    <cellStyle name="Comma 4 2 2 2 5 4 3" xfId="26016" xr:uid="{00000000-0005-0000-0000-0000812E0000}"/>
    <cellStyle name="Comma 4 2 2 2 5 5" xfId="11395" xr:uid="{00000000-0005-0000-0000-0000822E0000}"/>
    <cellStyle name="Comma 4 2 2 2 5 6" xfId="20719" xr:uid="{00000000-0005-0000-0000-0000832E0000}"/>
    <cellStyle name="Comma 4 2 2 2 6" xfId="1869" xr:uid="{00000000-0005-0000-0000-0000842E0000}"/>
    <cellStyle name="Comma 4 2 2 2 6 2" xfId="3617" xr:uid="{00000000-0005-0000-0000-0000852E0000}"/>
    <cellStyle name="Comma 4 2 2 2 6 2 2" xfId="8296" xr:uid="{00000000-0005-0000-0000-0000862E0000}"/>
    <cellStyle name="Comma 4 2 2 2 6 2 2 2" xfId="17620" xr:uid="{00000000-0005-0000-0000-0000872E0000}"/>
    <cellStyle name="Comma 4 2 2 2 6 2 2 3" xfId="26943" xr:uid="{00000000-0005-0000-0000-0000882E0000}"/>
    <cellStyle name="Comma 4 2 2 2 6 2 3" xfId="12963" xr:uid="{00000000-0005-0000-0000-0000892E0000}"/>
    <cellStyle name="Comma 4 2 2 2 6 2 4" xfId="22289" xr:uid="{00000000-0005-0000-0000-00008A2E0000}"/>
    <cellStyle name="Comma 4 2 2 2 6 3" xfId="5304" xr:uid="{00000000-0005-0000-0000-00008B2E0000}"/>
    <cellStyle name="Comma 4 2 2 2 6 3 2" xfId="14628" xr:uid="{00000000-0005-0000-0000-00008C2E0000}"/>
    <cellStyle name="Comma 4 2 2 2 6 3 3" xfId="23951" xr:uid="{00000000-0005-0000-0000-00008D2E0000}"/>
    <cellStyle name="Comma 4 2 2 2 6 4" xfId="7370" xr:uid="{00000000-0005-0000-0000-00008E2E0000}"/>
    <cellStyle name="Comma 4 2 2 2 6 4 2" xfId="16694" xr:uid="{00000000-0005-0000-0000-00008F2E0000}"/>
    <cellStyle name="Comma 4 2 2 2 6 4 3" xfId="26017" xr:uid="{00000000-0005-0000-0000-0000902E0000}"/>
    <cellStyle name="Comma 4 2 2 2 6 5" xfId="11396" xr:uid="{00000000-0005-0000-0000-0000912E0000}"/>
    <cellStyle name="Comma 4 2 2 2 6 6" xfId="20720" xr:uid="{00000000-0005-0000-0000-0000922E0000}"/>
    <cellStyle name="Comma 4 2 2 2 7" xfId="1860" xr:uid="{00000000-0005-0000-0000-0000932E0000}"/>
    <cellStyle name="Comma 4 2 2 2 7 2" xfId="3608" xr:uid="{00000000-0005-0000-0000-0000942E0000}"/>
    <cellStyle name="Comma 4 2 2 2 7 2 2" xfId="8287" xr:uid="{00000000-0005-0000-0000-0000952E0000}"/>
    <cellStyle name="Comma 4 2 2 2 7 2 2 2" xfId="17611" xr:uid="{00000000-0005-0000-0000-0000962E0000}"/>
    <cellStyle name="Comma 4 2 2 2 7 2 2 3" xfId="26934" xr:uid="{00000000-0005-0000-0000-0000972E0000}"/>
    <cellStyle name="Comma 4 2 2 2 7 2 3" xfId="12954" xr:uid="{00000000-0005-0000-0000-0000982E0000}"/>
    <cellStyle name="Comma 4 2 2 2 7 2 4" xfId="22280" xr:uid="{00000000-0005-0000-0000-0000992E0000}"/>
    <cellStyle name="Comma 4 2 2 2 7 3" xfId="5295" xr:uid="{00000000-0005-0000-0000-00009A2E0000}"/>
    <cellStyle name="Comma 4 2 2 2 7 3 2" xfId="14619" xr:uid="{00000000-0005-0000-0000-00009B2E0000}"/>
    <cellStyle name="Comma 4 2 2 2 7 3 3" xfId="23942" xr:uid="{00000000-0005-0000-0000-00009C2E0000}"/>
    <cellStyle name="Comma 4 2 2 2 7 4" xfId="7361" xr:uid="{00000000-0005-0000-0000-00009D2E0000}"/>
    <cellStyle name="Comma 4 2 2 2 7 4 2" xfId="16685" xr:uid="{00000000-0005-0000-0000-00009E2E0000}"/>
    <cellStyle name="Comma 4 2 2 2 7 4 3" xfId="26008" xr:uid="{00000000-0005-0000-0000-00009F2E0000}"/>
    <cellStyle name="Comma 4 2 2 2 7 5" xfId="11387" xr:uid="{00000000-0005-0000-0000-0000A02E0000}"/>
    <cellStyle name="Comma 4 2 2 2 7 6" xfId="20711" xr:uid="{00000000-0005-0000-0000-0000A12E0000}"/>
    <cellStyle name="Comma 4 2 2 2 8" xfId="3003" xr:uid="{00000000-0005-0000-0000-0000A22E0000}"/>
    <cellStyle name="Comma 4 2 2 2 8 2" xfId="7682" xr:uid="{00000000-0005-0000-0000-0000A32E0000}"/>
    <cellStyle name="Comma 4 2 2 2 8 2 2" xfId="17006" xr:uid="{00000000-0005-0000-0000-0000A42E0000}"/>
    <cellStyle name="Comma 4 2 2 2 8 2 3" xfId="26329" xr:uid="{00000000-0005-0000-0000-0000A52E0000}"/>
    <cellStyle name="Comma 4 2 2 2 8 3" xfId="12391" xr:uid="{00000000-0005-0000-0000-0000A62E0000}"/>
    <cellStyle name="Comma 4 2 2 2 8 4" xfId="21717" xr:uid="{00000000-0005-0000-0000-0000A72E0000}"/>
    <cellStyle name="Comma 4 2 2 2 9" xfId="4651" xr:uid="{00000000-0005-0000-0000-0000A82E0000}"/>
    <cellStyle name="Comma 4 2 2 2 9 2" xfId="13975" xr:uid="{00000000-0005-0000-0000-0000A92E0000}"/>
    <cellStyle name="Comma 4 2 2 2 9 3" xfId="23298" xr:uid="{00000000-0005-0000-0000-0000AA2E0000}"/>
    <cellStyle name="Comma 4 2 2 3" xfId="1194" xr:uid="{00000000-0005-0000-0000-0000AB2E0000}"/>
    <cellStyle name="Comma 4 2 2 3 2" xfId="1870" xr:uid="{00000000-0005-0000-0000-0000AC2E0000}"/>
    <cellStyle name="Comma 4 2 2 3 2 2" xfId="3618" xr:uid="{00000000-0005-0000-0000-0000AD2E0000}"/>
    <cellStyle name="Comma 4 2 2 3 2 2 2" xfId="8297" xr:uid="{00000000-0005-0000-0000-0000AE2E0000}"/>
    <cellStyle name="Comma 4 2 2 3 2 2 2 2" xfId="17621" xr:uid="{00000000-0005-0000-0000-0000AF2E0000}"/>
    <cellStyle name="Comma 4 2 2 3 2 2 2 3" xfId="26944" xr:uid="{00000000-0005-0000-0000-0000B02E0000}"/>
    <cellStyle name="Comma 4 2 2 3 2 3" xfId="7371" xr:uid="{00000000-0005-0000-0000-0000B12E0000}"/>
    <cellStyle name="Comma 4 2 2 3 2 3 2" xfId="16695" xr:uid="{00000000-0005-0000-0000-0000B22E0000}"/>
    <cellStyle name="Comma 4 2 2 3 2 3 3" xfId="26018" xr:uid="{00000000-0005-0000-0000-0000B32E0000}"/>
    <cellStyle name="Comma 4 2 2 3 2 4" xfId="11397" xr:uid="{00000000-0005-0000-0000-0000B42E0000}"/>
    <cellStyle name="Comma 4 2 2 3 2 5" xfId="20721" xr:uid="{00000000-0005-0000-0000-0000B52E0000}"/>
    <cellStyle name="Comma 4 2 2 3 3" xfId="3005" xr:uid="{00000000-0005-0000-0000-0000B62E0000}"/>
    <cellStyle name="Comma 4 2 2 3 3 2" xfId="7684" xr:uid="{00000000-0005-0000-0000-0000B72E0000}"/>
    <cellStyle name="Comma 4 2 2 3 3 2 2" xfId="17008" xr:uid="{00000000-0005-0000-0000-0000B82E0000}"/>
    <cellStyle name="Comma 4 2 2 3 3 2 3" xfId="26331" xr:uid="{00000000-0005-0000-0000-0000B92E0000}"/>
    <cellStyle name="Comma 4 2 2 3 3 3" xfId="12393" xr:uid="{00000000-0005-0000-0000-0000BA2E0000}"/>
    <cellStyle name="Comma 4 2 2 3 3 4" xfId="21719" xr:uid="{00000000-0005-0000-0000-0000BB2E0000}"/>
    <cellStyle name="Comma 4 2 2 3 4" xfId="4653" xr:uid="{00000000-0005-0000-0000-0000BC2E0000}"/>
    <cellStyle name="Comma 4 2 2 3 4 2" xfId="13977" xr:uid="{00000000-0005-0000-0000-0000BD2E0000}"/>
    <cellStyle name="Comma 4 2 2 3 4 3" xfId="23300" xr:uid="{00000000-0005-0000-0000-0000BE2E0000}"/>
    <cellStyle name="Comma 4 2 2 3 5" xfId="10786" xr:uid="{00000000-0005-0000-0000-0000BF2E0000}"/>
    <cellStyle name="Comma 4 2 2 3 6" xfId="20110" xr:uid="{00000000-0005-0000-0000-0000C02E0000}"/>
    <cellStyle name="Comma 4 2 2 4" xfId="1871" xr:uid="{00000000-0005-0000-0000-0000C12E0000}"/>
    <cellStyle name="Comma 4 2 2 4 2" xfId="1872" xr:uid="{00000000-0005-0000-0000-0000C22E0000}"/>
    <cellStyle name="Comma 4 2 2 4 2 2" xfId="3620" xr:uid="{00000000-0005-0000-0000-0000C32E0000}"/>
    <cellStyle name="Comma 4 2 2 4 2 2 2" xfId="8299" xr:uid="{00000000-0005-0000-0000-0000C42E0000}"/>
    <cellStyle name="Comma 4 2 2 4 2 2 2 2" xfId="17623" xr:uid="{00000000-0005-0000-0000-0000C52E0000}"/>
    <cellStyle name="Comma 4 2 2 4 2 2 2 3" xfId="26946" xr:uid="{00000000-0005-0000-0000-0000C62E0000}"/>
    <cellStyle name="Comma 4 2 2 4 2 2 3" xfId="12965" xr:uid="{00000000-0005-0000-0000-0000C72E0000}"/>
    <cellStyle name="Comma 4 2 2 4 2 2 4" xfId="22291" xr:uid="{00000000-0005-0000-0000-0000C82E0000}"/>
    <cellStyle name="Comma 4 2 2 4 2 3" xfId="5307" xr:uid="{00000000-0005-0000-0000-0000C92E0000}"/>
    <cellStyle name="Comma 4 2 2 4 2 3 2" xfId="14631" xr:uid="{00000000-0005-0000-0000-0000CA2E0000}"/>
    <cellStyle name="Comma 4 2 2 4 2 3 3" xfId="23954" xr:uid="{00000000-0005-0000-0000-0000CB2E0000}"/>
    <cellStyle name="Comma 4 2 2 4 2 4" xfId="7373" xr:uid="{00000000-0005-0000-0000-0000CC2E0000}"/>
    <cellStyle name="Comma 4 2 2 4 2 4 2" xfId="16697" xr:uid="{00000000-0005-0000-0000-0000CD2E0000}"/>
    <cellStyle name="Comma 4 2 2 4 2 4 3" xfId="26020" xr:uid="{00000000-0005-0000-0000-0000CE2E0000}"/>
    <cellStyle name="Comma 4 2 2 4 2 5" xfId="11399" xr:uid="{00000000-0005-0000-0000-0000CF2E0000}"/>
    <cellStyle name="Comma 4 2 2 4 2 6" xfId="20723" xr:uid="{00000000-0005-0000-0000-0000D02E0000}"/>
    <cellStyle name="Comma 4 2 2 4 3" xfId="3619" xr:uid="{00000000-0005-0000-0000-0000D12E0000}"/>
    <cellStyle name="Comma 4 2 2 4 3 2" xfId="8298" xr:uid="{00000000-0005-0000-0000-0000D22E0000}"/>
    <cellStyle name="Comma 4 2 2 4 3 2 2" xfId="17622" xr:uid="{00000000-0005-0000-0000-0000D32E0000}"/>
    <cellStyle name="Comma 4 2 2 4 3 2 3" xfId="26945" xr:uid="{00000000-0005-0000-0000-0000D42E0000}"/>
    <cellStyle name="Comma 4 2 2 4 3 3" xfId="12964" xr:uid="{00000000-0005-0000-0000-0000D52E0000}"/>
    <cellStyle name="Comma 4 2 2 4 3 4" xfId="22290" xr:uid="{00000000-0005-0000-0000-0000D62E0000}"/>
    <cellStyle name="Comma 4 2 2 4 4" xfId="5306" xr:uid="{00000000-0005-0000-0000-0000D72E0000}"/>
    <cellStyle name="Comma 4 2 2 4 4 2" xfId="14630" xr:uid="{00000000-0005-0000-0000-0000D82E0000}"/>
    <cellStyle name="Comma 4 2 2 4 4 3" xfId="23953" xr:uid="{00000000-0005-0000-0000-0000D92E0000}"/>
    <cellStyle name="Comma 4 2 2 4 5" xfId="7372" xr:uid="{00000000-0005-0000-0000-0000DA2E0000}"/>
    <cellStyle name="Comma 4 2 2 4 5 2" xfId="16696" xr:uid="{00000000-0005-0000-0000-0000DB2E0000}"/>
    <cellStyle name="Comma 4 2 2 4 5 3" xfId="26019" xr:uid="{00000000-0005-0000-0000-0000DC2E0000}"/>
    <cellStyle name="Comma 4 2 2 4 6" xfId="11398" xr:uid="{00000000-0005-0000-0000-0000DD2E0000}"/>
    <cellStyle name="Comma 4 2 2 4 7" xfId="20722" xr:uid="{00000000-0005-0000-0000-0000DE2E0000}"/>
    <cellStyle name="Comma 4 2 2 5" xfId="1873" xr:uid="{00000000-0005-0000-0000-0000DF2E0000}"/>
    <cellStyle name="Comma 4 2 2 5 2" xfId="3621" xr:uid="{00000000-0005-0000-0000-0000E02E0000}"/>
    <cellStyle name="Comma 4 2 2 5 2 2" xfId="8300" xr:uid="{00000000-0005-0000-0000-0000E12E0000}"/>
    <cellStyle name="Comma 4 2 2 5 2 2 2" xfId="17624" xr:uid="{00000000-0005-0000-0000-0000E22E0000}"/>
    <cellStyle name="Comma 4 2 2 5 2 2 3" xfId="26947" xr:uid="{00000000-0005-0000-0000-0000E32E0000}"/>
    <cellStyle name="Comma 4 2 2 5 2 3" xfId="12966" xr:uid="{00000000-0005-0000-0000-0000E42E0000}"/>
    <cellStyle name="Comma 4 2 2 5 2 4" xfId="22292" xr:uid="{00000000-0005-0000-0000-0000E52E0000}"/>
    <cellStyle name="Comma 4 2 2 5 3" xfId="5308" xr:uid="{00000000-0005-0000-0000-0000E62E0000}"/>
    <cellStyle name="Comma 4 2 2 5 3 2" xfId="14632" xr:uid="{00000000-0005-0000-0000-0000E72E0000}"/>
    <cellStyle name="Comma 4 2 2 5 3 3" xfId="23955" xr:uid="{00000000-0005-0000-0000-0000E82E0000}"/>
    <cellStyle name="Comma 4 2 2 5 4" xfId="7374" xr:uid="{00000000-0005-0000-0000-0000E92E0000}"/>
    <cellStyle name="Comma 4 2 2 5 4 2" xfId="16698" xr:uid="{00000000-0005-0000-0000-0000EA2E0000}"/>
    <cellStyle name="Comma 4 2 2 5 4 3" xfId="26021" xr:uid="{00000000-0005-0000-0000-0000EB2E0000}"/>
    <cellStyle name="Comma 4 2 2 5 5" xfId="11400" xr:uid="{00000000-0005-0000-0000-0000EC2E0000}"/>
    <cellStyle name="Comma 4 2 2 5 6" xfId="20724" xr:uid="{00000000-0005-0000-0000-0000ED2E0000}"/>
    <cellStyle name="Comma 4 2 2 6" xfId="1859" xr:uid="{00000000-0005-0000-0000-0000EE2E0000}"/>
    <cellStyle name="Comma 4 2 2 6 2" xfId="3607" xr:uid="{00000000-0005-0000-0000-0000EF2E0000}"/>
    <cellStyle name="Comma 4 2 2 6 2 2" xfId="8286" xr:uid="{00000000-0005-0000-0000-0000F02E0000}"/>
    <cellStyle name="Comma 4 2 2 6 2 2 2" xfId="17610" xr:uid="{00000000-0005-0000-0000-0000F12E0000}"/>
    <cellStyle name="Comma 4 2 2 6 2 2 3" xfId="26933" xr:uid="{00000000-0005-0000-0000-0000F22E0000}"/>
    <cellStyle name="Comma 4 2 2 6 2 3" xfId="12953" xr:uid="{00000000-0005-0000-0000-0000F32E0000}"/>
    <cellStyle name="Comma 4 2 2 6 2 4" xfId="22279" xr:uid="{00000000-0005-0000-0000-0000F42E0000}"/>
    <cellStyle name="Comma 4 2 2 6 3" xfId="5294" xr:uid="{00000000-0005-0000-0000-0000F52E0000}"/>
    <cellStyle name="Comma 4 2 2 6 3 2" xfId="14618" xr:uid="{00000000-0005-0000-0000-0000F62E0000}"/>
    <cellStyle name="Comma 4 2 2 6 3 3" xfId="23941" xr:uid="{00000000-0005-0000-0000-0000F72E0000}"/>
    <cellStyle name="Comma 4 2 2 6 4" xfId="7360" xr:uid="{00000000-0005-0000-0000-0000F82E0000}"/>
    <cellStyle name="Comma 4 2 2 6 4 2" xfId="16684" xr:uid="{00000000-0005-0000-0000-0000F92E0000}"/>
    <cellStyle name="Comma 4 2 2 6 4 3" xfId="26007" xr:uid="{00000000-0005-0000-0000-0000FA2E0000}"/>
    <cellStyle name="Comma 4 2 2 6 5" xfId="11386" xr:uid="{00000000-0005-0000-0000-0000FB2E0000}"/>
    <cellStyle name="Comma 4 2 2 6 6" xfId="20710" xr:uid="{00000000-0005-0000-0000-0000FC2E0000}"/>
    <cellStyle name="Comma 4 2 2 7" xfId="2975" xr:uid="{00000000-0005-0000-0000-0000FD2E0000}"/>
    <cellStyle name="Comma 4 2 2 7 2" xfId="7654" xr:uid="{00000000-0005-0000-0000-0000FE2E0000}"/>
    <cellStyle name="Comma 4 2 2 7 2 2" xfId="16978" xr:uid="{00000000-0005-0000-0000-0000FF2E0000}"/>
    <cellStyle name="Comma 4 2 2 7 2 3" xfId="26301" xr:uid="{00000000-0005-0000-0000-0000002F0000}"/>
    <cellStyle name="Comma 4 2 2 8" xfId="7324" xr:uid="{00000000-0005-0000-0000-0000012F0000}"/>
    <cellStyle name="Comma 4 2 2 8 2" xfId="16648" xr:uid="{00000000-0005-0000-0000-0000022F0000}"/>
    <cellStyle name="Comma 4 2 2 8 3" xfId="25971" xr:uid="{00000000-0005-0000-0000-0000032F0000}"/>
    <cellStyle name="Comma 4 2 2 9" xfId="10756" xr:uid="{00000000-0005-0000-0000-0000042F0000}"/>
    <cellStyle name="Comma 4 2 3" xfId="1159" xr:uid="{00000000-0005-0000-0000-0000052F0000}"/>
    <cellStyle name="Comma 4 2 3 2" xfId="1195" xr:uid="{00000000-0005-0000-0000-0000062F0000}"/>
    <cellStyle name="Comma 4 2 3 2 2" xfId="1876" xr:uid="{00000000-0005-0000-0000-0000072F0000}"/>
    <cellStyle name="Comma 4 2 3 2 2 2" xfId="3624" xr:uid="{00000000-0005-0000-0000-0000082F0000}"/>
    <cellStyle name="Comma 4 2 3 2 2 2 2" xfId="8303" xr:uid="{00000000-0005-0000-0000-0000092F0000}"/>
    <cellStyle name="Comma 4 2 3 2 2 2 2 2" xfId="17627" xr:uid="{00000000-0005-0000-0000-00000A2F0000}"/>
    <cellStyle name="Comma 4 2 3 2 2 2 2 3" xfId="26950" xr:uid="{00000000-0005-0000-0000-00000B2F0000}"/>
    <cellStyle name="Comma 4 2 3 2 2 2 3" xfId="12969" xr:uid="{00000000-0005-0000-0000-00000C2F0000}"/>
    <cellStyle name="Comma 4 2 3 2 2 2 4" xfId="22295" xr:uid="{00000000-0005-0000-0000-00000D2F0000}"/>
    <cellStyle name="Comma 4 2 3 2 2 3" xfId="5311" xr:uid="{00000000-0005-0000-0000-00000E2F0000}"/>
    <cellStyle name="Comma 4 2 3 2 2 3 2" xfId="14635" xr:uid="{00000000-0005-0000-0000-00000F2F0000}"/>
    <cellStyle name="Comma 4 2 3 2 2 3 3" xfId="23958" xr:uid="{00000000-0005-0000-0000-0000102F0000}"/>
    <cellStyle name="Comma 4 2 3 2 2 4" xfId="7377" xr:uid="{00000000-0005-0000-0000-0000112F0000}"/>
    <cellStyle name="Comma 4 2 3 2 2 4 2" xfId="16701" xr:uid="{00000000-0005-0000-0000-0000122F0000}"/>
    <cellStyle name="Comma 4 2 3 2 2 4 3" xfId="26024" xr:uid="{00000000-0005-0000-0000-0000132F0000}"/>
    <cellStyle name="Comma 4 2 3 2 2 5" xfId="11403" xr:uid="{00000000-0005-0000-0000-0000142F0000}"/>
    <cellStyle name="Comma 4 2 3 2 2 6" xfId="20727" xr:uid="{00000000-0005-0000-0000-0000152F0000}"/>
    <cellStyle name="Comma 4 2 3 2 3" xfId="1875" xr:uid="{00000000-0005-0000-0000-0000162F0000}"/>
    <cellStyle name="Comma 4 2 3 2 3 2" xfId="3623" xr:uid="{00000000-0005-0000-0000-0000172F0000}"/>
    <cellStyle name="Comma 4 2 3 2 3 2 2" xfId="8302" xr:uid="{00000000-0005-0000-0000-0000182F0000}"/>
    <cellStyle name="Comma 4 2 3 2 3 2 2 2" xfId="17626" xr:uid="{00000000-0005-0000-0000-0000192F0000}"/>
    <cellStyle name="Comma 4 2 3 2 3 2 2 3" xfId="26949" xr:uid="{00000000-0005-0000-0000-00001A2F0000}"/>
    <cellStyle name="Comma 4 2 3 2 3 2 3" xfId="12968" xr:uid="{00000000-0005-0000-0000-00001B2F0000}"/>
    <cellStyle name="Comma 4 2 3 2 3 2 4" xfId="22294" xr:uid="{00000000-0005-0000-0000-00001C2F0000}"/>
    <cellStyle name="Comma 4 2 3 2 3 3" xfId="5310" xr:uid="{00000000-0005-0000-0000-00001D2F0000}"/>
    <cellStyle name="Comma 4 2 3 2 3 3 2" xfId="14634" xr:uid="{00000000-0005-0000-0000-00001E2F0000}"/>
    <cellStyle name="Comma 4 2 3 2 3 3 3" xfId="23957" xr:uid="{00000000-0005-0000-0000-00001F2F0000}"/>
    <cellStyle name="Comma 4 2 3 2 3 4" xfId="7376" xr:uid="{00000000-0005-0000-0000-0000202F0000}"/>
    <cellStyle name="Comma 4 2 3 2 3 4 2" xfId="16700" xr:uid="{00000000-0005-0000-0000-0000212F0000}"/>
    <cellStyle name="Comma 4 2 3 2 3 4 3" xfId="26023" xr:uid="{00000000-0005-0000-0000-0000222F0000}"/>
    <cellStyle name="Comma 4 2 3 2 3 5" xfId="11402" xr:uid="{00000000-0005-0000-0000-0000232F0000}"/>
    <cellStyle name="Comma 4 2 3 2 3 6" xfId="20726" xr:uid="{00000000-0005-0000-0000-0000242F0000}"/>
    <cellStyle name="Comma 4 2 3 2 4" xfId="3006" xr:uid="{00000000-0005-0000-0000-0000252F0000}"/>
    <cellStyle name="Comma 4 2 3 2 4 2" xfId="7685" xr:uid="{00000000-0005-0000-0000-0000262F0000}"/>
    <cellStyle name="Comma 4 2 3 2 4 2 2" xfId="17009" xr:uid="{00000000-0005-0000-0000-0000272F0000}"/>
    <cellStyle name="Comma 4 2 3 2 4 2 3" xfId="26332" xr:uid="{00000000-0005-0000-0000-0000282F0000}"/>
    <cellStyle name="Comma 4 2 3 2 4 3" xfId="12394" xr:uid="{00000000-0005-0000-0000-0000292F0000}"/>
    <cellStyle name="Comma 4 2 3 2 4 4" xfId="21720" xr:uid="{00000000-0005-0000-0000-00002A2F0000}"/>
    <cellStyle name="Comma 4 2 3 2 5" xfId="4654" xr:uid="{00000000-0005-0000-0000-00002B2F0000}"/>
    <cellStyle name="Comma 4 2 3 2 5 2" xfId="13978" xr:uid="{00000000-0005-0000-0000-00002C2F0000}"/>
    <cellStyle name="Comma 4 2 3 2 5 3" xfId="23301" xr:uid="{00000000-0005-0000-0000-00002D2F0000}"/>
    <cellStyle name="Comma 4 2 3 2 6" xfId="10787" xr:uid="{00000000-0005-0000-0000-00002E2F0000}"/>
    <cellStyle name="Comma 4 2 3 2 7" xfId="20111" xr:uid="{00000000-0005-0000-0000-00002F2F0000}"/>
    <cellStyle name="Comma 4 2 3 3" xfId="1877" xr:uid="{00000000-0005-0000-0000-0000302F0000}"/>
    <cellStyle name="Comma 4 2 3 3 2" xfId="3625" xr:uid="{00000000-0005-0000-0000-0000312F0000}"/>
    <cellStyle name="Comma 4 2 3 3 2 2" xfId="8304" xr:uid="{00000000-0005-0000-0000-0000322F0000}"/>
    <cellStyle name="Comma 4 2 3 3 2 2 2" xfId="17628" xr:uid="{00000000-0005-0000-0000-0000332F0000}"/>
    <cellStyle name="Comma 4 2 3 3 2 2 3" xfId="26951" xr:uid="{00000000-0005-0000-0000-0000342F0000}"/>
    <cellStyle name="Comma 4 2 3 3 2 3" xfId="12970" xr:uid="{00000000-0005-0000-0000-0000352F0000}"/>
    <cellStyle name="Comma 4 2 3 3 2 4" xfId="22296" xr:uid="{00000000-0005-0000-0000-0000362F0000}"/>
    <cellStyle name="Comma 4 2 3 3 3" xfId="5312" xr:uid="{00000000-0005-0000-0000-0000372F0000}"/>
    <cellStyle name="Comma 4 2 3 3 3 2" xfId="14636" xr:uid="{00000000-0005-0000-0000-0000382F0000}"/>
    <cellStyle name="Comma 4 2 3 3 3 3" xfId="23959" xr:uid="{00000000-0005-0000-0000-0000392F0000}"/>
    <cellStyle name="Comma 4 2 3 3 4" xfId="7378" xr:uid="{00000000-0005-0000-0000-00003A2F0000}"/>
    <cellStyle name="Comma 4 2 3 3 4 2" xfId="16702" xr:uid="{00000000-0005-0000-0000-00003B2F0000}"/>
    <cellStyle name="Comma 4 2 3 3 4 3" xfId="26025" xr:uid="{00000000-0005-0000-0000-00003C2F0000}"/>
    <cellStyle name="Comma 4 2 3 3 5" xfId="11404" xr:uid="{00000000-0005-0000-0000-00003D2F0000}"/>
    <cellStyle name="Comma 4 2 3 3 6" xfId="20728" xr:uid="{00000000-0005-0000-0000-00003E2F0000}"/>
    <cellStyle name="Comma 4 2 3 4" xfId="1874" xr:uid="{00000000-0005-0000-0000-00003F2F0000}"/>
    <cellStyle name="Comma 4 2 3 4 2" xfId="3622" xr:uid="{00000000-0005-0000-0000-0000402F0000}"/>
    <cellStyle name="Comma 4 2 3 4 2 2" xfId="8301" xr:uid="{00000000-0005-0000-0000-0000412F0000}"/>
    <cellStyle name="Comma 4 2 3 4 2 2 2" xfId="17625" xr:uid="{00000000-0005-0000-0000-0000422F0000}"/>
    <cellStyle name="Comma 4 2 3 4 2 2 3" xfId="26948" xr:uid="{00000000-0005-0000-0000-0000432F0000}"/>
    <cellStyle name="Comma 4 2 3 4 2 3" xfId="12967" xr:uid="{00000000-0005-0000-0000-0000442F0000}"/>
    <cellStyle name="Comma 4 2 3 4 2 4" xfId="22293" xr:uid="{00000000-0005-0000-0000-0000452F0000}"/>
    <cellStyle name="Comma 4 2 3 4 3" xfId="5309" xr:uid="{00000000-0005-0000-0000-0000462F0000}"/>
    <cellStyle name="Comma 4 2 3 4 3 2" xfId="14633" xr:uid="{00000000-0005-0000-0000-0000472F0000}"/>
    <cellStyle name="Comma 4 2 3 4 3 3" xfId="23956" xr:uid="{00000000-0005-0000-0000-0000482F0000}"/>
    <cellStyle name="Comma 4 2 3 4 4" xfId="7375" xr:uid="{00000000-0005-0000-0000-0000492F0000}"/>
    <cellStyle name="Comma 4 2 3 4 4 2" xfId="16699" xr:uid="{00000000-0005-0000-0000-00004A2F0000}"/>
    <cellStyle name="Comma 4 2 3 4 4 3" xfId="26022" xr:uid="{00000000-0005-0000-0000-00004B2F0000}"/>
    <cellStyle name="Comma 4 2 3 4 5" xfId="11401" xr:uid="{00000000-0005-0000-0000-00004C2F0000}"/>
    <cellStyle name="Comma 4 2 3 4 6" xfId="20725" xr:uid="{00000000-0005-0000-0000-00004D2F0000}"/>
    <cellStyle name="Comma 4 2 3 5" xfId="2976" xr:uid="{00000000-0005-0000-0000-00004E2F0000}"/>
    <cellStyle name="Comma 4 2 3 5 2" xfId="7655" xr:uid="{00000000-0005-0000-0000-00004F2F0000}"/>
    <cellStyle name="Comma 4 2 3 5 2 2" xfId="16979" xr:uid="{00000000-0005-0000-0000-0000502F0000}"/>
    <cellStyle name="Comma 4 2 3 5 2 3" xfId="26302" xr:uid="{00000000-0005-0000-0000-0000512F0000}"/>
    <cellStyle name="Comma 4 2 3 6" xfId="7323" xr:uid="{00000000-0005-0000-0000-0000522F0000}"/>
    <cellStyle name="Comma 4 2 3 6 2" xfId="16647" xr:uid="{00000000-0005-0000-0000-0000532F0000}"/>
    <cellStyle name="Comma 4 2 3 6 3" xfId="25970" xr:uid="{00000000-0005-0000-0000-0000542F0000}"/>
    <cellStyle name="Comma 4 2 3 7" xfId="10757" xr:uid="{00000000-0005-0000-0000-0000552F0000}"/>
    <cellStyle name="Comma 4 2 3 8" xfId="20081" xr:uid="{00000000-0005-0000-0000-0000562F0000}"/>
    <cellStyle name="Comma 4 2 4" xfId="1196" xr:uid="{00000000-0005-0000-0000-0000572F0000}"/>
    <cellStyle name="Comma 4 2 4 2" xfId="1879" xr:uid="{00000000-0005-0000-0000-0000582F0000}"/>
    <cellStyle name="Comma 4 2 4 2 2" xfId="1880" xr:uid="{00000000-0005-0000-0000-0000592F0000}"/>
    <cellStyle name="Comma 4 2 4 2 2 2" xfId="3628" xr:uid="{00000000-0005-0000-0000-00005A2F0000}"/>
    <cellStyle name="Comma 4 2 4 2 2 2 2" xfId="8307" xr:uid="{00000000-0005-0000-0000-00005B2F0000}"/>
    <cellStyle name="Comma 4 2 4 2 2 2 2 2" xfId="17631" xr:uid="{00000000-0005-0000-0000-00005C2F0000}"/>
    <cellStyle name="Comma 4 2 4 2 2 2 2 3" xfId="26954" xr:uid="{00000000-0005-0000-0000-00005D2F0000}"/>
    <cellStyle name="Comma 4 2 4 2 2 2 3" xfId="12973" xr:uid="{00000000-0005-0000-0000-00005E2F0000}"/>
    <cellStyle name="Comma 4 2 4 2 2 2 4" xfId="22299" xr:uid="{00000000-0005-0000-0000-00005F2F0000}"/>
    <cellStyle name="Comma 4 2 4 2 2 3" xfId="5315" xr:uid="{00000000-0005-0000-0000-0000602F0000}"/>
    <cellStyle name="Comma 4 2 4 2 2 3 2" xfId="14639" xr:uid="{00000000-0005-0000-0000-0000612F0000}"/>
    <cellStyle name="Comma 4 2 4 2 2 3 3" xfId="23962" xr:uid="{00000000-0005-0000-0000-0000622F0000}"/>
    <cellStyle name="Comma 4 2 4 2 2 4" xfId="7381" xr:uid="{00000000-0005-0000-0000-0000632F0000}"/>
    <cellStyle name="Comma 4 2 4 2 2 4 2" xfId="16705" xr:uid="{00000000-0005-0000-0000-0000642F0000}"/>
    <cellStyle name="Comma 4 2 4 2 2 4 3" xfId="26028" xr:uid="{00000000-0005-0000-0000-0000652F0000}"/>
    <cellStyle name="Comma 4 2 4 2 2 5" xfId="11407" xr:uid="{00000000-0005-0000-0000-0000662F0000}"/>
    <cellStyle name="Comma 4 2 4 2 2 6" xfId="20731" xr:uid="{00000000-0005-0000-0000-0000672F0000}"/>
    <cellStyle name="Comma 4 2 4 2 3" xfId="3627" xr:uid="{00000000-0005-0000-0000-0000682F0000}"/>
    <cellStyle name="Comma 4 2 4 2 3 2" xfId="8306" xr:uid="{00000000-0005-0000-0000-0000692F0000}"/>
    <cellStyle name="Comma 4 2 4 2 3 2 2" xfId="17630" xr:uid="{00000000-0005-0000-0000-00006A2F0000}"/>
    <cellStyle name="Comma 4 2 4 2 3 2 3" xfId="26953" xr:uid="{00000000-0005-0000-0000-00006B2F0000}"/>
    <cellStyle name="Comma 4 2 4 2 3 3" xfId="12972" xr:uid="{00000000-0005-0000-0000-00006C2F0000}"/>
    <cellStyle name="Comma 4 2 4 2 3 4" xfId="22298" xr:uid="{00000000-0005-0000-0000-00006D2F0000}"/>
    <cellStyle name="Comma 4 2 4 2 4" xfId="5314" xr:uid="{00000000-0005-0000-0000-00006E2F0000}"/>
    <cellStyle name="Comma 4 2 4 2 4 2" xfId="14638" xr:uid="{00000000-0005-0000-0000-00006F2F0000}"/>
    <cellStyle name="Comma 4 2 4 2 4 3" xfId="23961" xr:uid="{00000000-0005-0000-0000-0000702F0000}"/>
    <cellStyle name="Comma 4 2 4 2 5" xfId="7380" xr:uid="{00000000-0005-0000-0000-0000712F0000}"/>
    <cellStyle name="Comma 4 2 4 2 5 2" xfId="16704" xr:uid="{00000000-0005-0000-0000-0000722F0000}"/>
    <cellStyle name="Comma 4 2 4 2 5 3" xfId="26027" xr:uid="{00000000-0005-0000-0000-0000732F0000}"/>
    <cellStyle name="Comma 4 2 4 2 6" xfId="11406" xr:uid="{00000000-0005-0000-0000-0000742F0000}"/>
    <cellStyle name="Comma 4 2 4 2 7" xfId="20730" xr:uid="{00000000-0005-0000-0000-0000752F0000}"/>
    <cellStyle name="Comma 4 2 4 3" xfId="1881" xr:uid="{00000000-0005-0000-0000-0000762F0000}"/>
    <cellStyle name="Comma 4 2 4 3 2" xfId="3629" xr:uid="{00000000-0005-0000-0000-0000772F0000}"/>
    <cellStyle name="Comma 4 2 4 3 2 2" xfId="8308" xr:uid="{00000000-0005-0000-0000-0000782F0000}"/>
    <cellStyle name="Comma 4 2 4 3 2 2 2" xfId="17632" xr:uid="{00000000-0005-0000-0000-0000792F0000}"/>
    <cellStyle name="Comma 4 2 4 3 2 2 3" xfId="26955" xr:uid="{00000000-0005-0000-0000-00007A2F0000}"/>
    <cellStyle name="Comma 4 2 4 3 2 3" xfId="12974" xr:uid="{00000000-0005-0000-0000-00007B2F0000}"/>
    <cellStyle name="Comma 4 2 4 3 2 4" xfId="22300" xr:uid="{00000000-0005-0000-0000-00007C2F0000}"/>
    <cellStyle name="Comma 4 2 4 3 3" xfId="5316" xr:uid="{00000000-0005-0000-0000-00007D2F0000}"/>
    <cellStyle name="Comma 4 2 4 3 3 2" xfId="14640" xr:uid="{00000000-0005-0000-0000-00007E2F0000}"/>
    <cellStyle name="Comma 4 2 4 3 3 3" xfId="23963" xr:uid="{00000000-0005-0000-0000-00007F2F0000}"/>
    <cellStyle name="Comma 4 2 4 3 4" xfId="7382" xr:uid="{00000000-0005-0000-0000-0000802F0000}"/>
    <cellStyle name="Comma 4 2 4 3 4 2" xfId="16706" xr:uid="{00000000-0005-0000-0000-0000812F0000}"/>
    <cellStyle name="Comma 4 2 4 3 4 3" xfId="26029" xr:uid="{00000000-0005-0000-0000-0000822F0000}"/>
    <cellStyle name="Comma 4 2 4 3 5" xfId="11408" xr:uid="{00000000-0005-0000-0000-0000832F0000}"/>
    <cellStyle name="Comma 4 2 4 3 6" xfId="20732" xr:uid="{00000000-0005-0000-0000-0000842F0000}"/>
    <cellStyle name="Comma 4 2 4 4" xfId="1878" xr:uid="{00000000-0005-0000-0000-0000852F0000}"/>
    <cellStyle name="Comma 4 2 4 4 2" xfId="3626" xr:uid="{00000000-0005-0000-0000-0000862F0000}"/>
    <cellStyle name="Comma 4 2 4 4 2 2" xfId="8305" xr:uid="{00000000-0005-0000-0000-0000872F0000}"/>
    <cellStyle name="Comma 4 2 4 4 2 2 2" xfId="17629" xr:uid="{00000000-0005-0000-0000-0000882F0000}"/>
    <cellStyle name="Comma 4 2 4 4 2 2 3" xfId="26952" xr:uid="{00000000-0005-0000-0000-0000892F0000}"/>
    <cellStyle name="Comma 4 2 4 4 2 3" xfId="12971" xr:uid="{00000000-0005-0000-0000-00008A2F0000}"/>
    <cellStyle name="Comma 4 2 4 4 2 4" xfId="22297" xr:uid="{00000000-0005-0000-0000-00008B2F0000}"/>
    <cellStyle name="Comma 4 2 4 4 3" xfId="5313" xr:uid="{00000000-0005-0000-0000-00008C2F0000}"/>
    <cellStyle name="Comma 4 2 4 4 3 2" xfId="14637" xr:uid="{00000000-0005-0000-0000-00008D2F0000}"/>
    <cellStyle name="Comma 4 2 4 4 3 3" xfId="23960" xr:uid="{00000000-0005-0000-0000-00008E2F0000}"/>
    <cellStyle name="Comma 4 2 4 4 4" xfId="7379" xr:uid="{00000000-0005-0000-0000-00008F2F0000}"/>
    <cellStyle name="Comma 4 2 4 4 4 2" xfId="16703" xr:uid="{00000000-0005-0000-0000-0000902F0000}"/>
    <cellStyle name="Comma 4 2 4 4 4 3" xfId="26026" xr:uid="{00000000-0005-0000-0000-0000912F0000}"/>
    <cellStyle name="Comma 4 2 4 4 5" xfId="11405" xr:uid="{00000000-0005-0000-0000-0000922F0000}"/>
    <cellStyle name="Comma 4 2 4 4 6" xfId="20729" xr:uid="{00000000-0005-0000-0000-0000932F0000}"/>
    <cellStyle name="Comma 4 2 4 5" xfId="3007" xr:uid="{00000000-0005-0000-0000-0000942F0000}"/>
    <cellStyle name="Comma 4 2 4 5 2" xfId="7686" xr:uid="{00000000-0005-0000-0000-0000952F0000}"/>
    <cellStyle name="Comma 4 2 4 5 2 2" xfId="17010" xr:uid="{00000000-0005-0000-0000-0000962F0000}"/>
    <cellStyle name="Comma 4 2 4 5 2 3" xfId="26333" xr:uid="{00000000-0005-0000-0000-0000972F0000}"/>
    <cellStyle name="Comma 4 2 4 5 3" xfId="12395" xr:uid="{00000000-0005-0000-0000-0000982F0000}"/>
    <cellStyle name="Comma 4 2 4 5 4" xfId="21721" xr:uid="{00000000-0005-0000-0000-0000992F0000}"/>
    <cellStyle name="Comma 4 2 4 6" xfId="4655" xr:uid="{00000000-0005-0000-0000-00009A2F0000}"/>
    <cellStyle name="Comma 4 2 4 6 2" xfId="13979" xr:uid="{00000000-0005-0000-0000-00009B2F0000}"/>
    <cellStyle name="Comma 4 2 4 6 3" xfId="23302" xr:uid="{00000000-0005-0000-0000-00009C2F0000}"/>
    <cellStyle name="Comma 4 2 4 7" xfId="10788" xr:uid="{00000000-0005-0000-0000-00009D2F0000}"/>
    <cellStyle name="Comma 4 2 4 8" xfId="20112" xr:uid="{00000000-0005-0000-0000-00009E2F0000}"/>
    <cellStyle name="Comma 4 2 5" xfId="1882" xr:uid="{00000000-0005-0000-0000-00009F2F0000}"/>
    <cellStyle name="Comma 4 2 5 2" xfId="1883" xr:uid="{00000000-0005-0000-0000-0000A02F0000}"/>
    <cellStyle name="Comma 4 2 5 2 2" xfId="3631" xr:uid="{00000000-0005-0000-0000-0000A12F0000}"/>
    <cellStyle name="Comma 4 2 5 2 2 2" xfId="8310" xr:uid="{00000000-0005-0000-0000-0000A22F0000}"/>
    <cellStyle name="Comma 4 2 5 2 2 2 2" xfId="17634" xr:uid="{00000000-0005-0000-0000-0000A32F0000}"/>
    <cellStyle name="Comma 4 2 5 2 2 2 3" xfId="26957" xr:uid="{00000000-0005-0000-0000-0000A42F0000}"/>
    <cellStyle name="Comma 4 2 5 2 2 3" xfId="12976" xr:uid="{00000000-0005-0000-0000-0000A52F0000}"/>
    <cellStyle name="Comma 4 2 5 2 2 4" xfId="22302" xr:uid="{00000000-0005-0000-0000-0000A62F0000}"/>
    <cellStyle name="Comma 4 2 5 2 3" xfId="5318" xr:uid="{00000000-0005-0000-0000-0000A72F0000}"/>
    <cellStyle name="Comma 4 2 5 2 3 2" xfId="14642" xr:uid="{00000000-0005-0000-0000-0000A82F0000}"/>
    <cellStyle name="Comma 4 2 5 2 3 3" xfId="23965" xr:uid="{00000000-0005-0000-0000-0000A92F0000}"/>
    <cellStyle name="Comma 4 2 5 2 4" xfId="7384" xr:uid="{00000000-0005-0000-0000-0000AA2F0000}"/>
    <cellStyle name="Comma 4 2 5 2 4 2" xfId="16708" xr:uid="{00000000-0005-0000-0000-0000AB2F0000}"/>
    <cellStyle name="Comma 4 2 5 2 4 3" xfId="26031" xr:uid="{00000000-0005-0000-0000-0000AC2F0000}"/>
    <cellStyle name="Comma 4 2 5 2 5" xfId="11410" xr:uid="{00000000-0005-0000-0000-0000AD2F0000}"/>
    <cellStyle name="Comma 4 2 5 2 6" xfId="20734" xr:uid="{00000000-0005-0000-0000-0000AE2F0000}"/>
    <cellStyle name="Comma 4 2 5 3" xfId="3630" xr:uid="{00000000-0005-0000-0000-0000AF2F0000}"/>
    <cellStyle name="Comma 4 2 5 3 2" xfId="8309" xr:uid="{00000000-0005-0000-0000-0000B02F0000}"/>
    <cellStyle name="Comma 4 2 5 3 2 2" xfId="17633" xr:uid="{00000000-0005-0000-0000-0000B12F0000}"/>
    <cellStyle name="Comma 4 2 5 3 2 3" xfId="26956" xr:uid="{00000000-0005-0000-0000-0000B22F0000}"/>
    <cellStyle name="Comma 4 2 5 3 3" xfId="12975" xr:uid="{00000000-0005-0000-0000-0000B32F0000}"/>
    <cellStyle name="Comma 4 2 5 3 4" xfId="22301" xr:uid="{00000000-0005-0000-0000-0000B42F0000}"/>
    <cellStyle name="Comma 4 2 5 4" xfId="5317" xr:uid="{00000000-0005-0000-0000-0000B52F0000}"/>
    <cellStyle name="Comma 4 2 5 4 2" xfId="14641" xr:uid="{00000000-0005-0000-0000-0000B62F0000}"/>
    <cellStyle name="Comma 4 2 5 4 3" xfId="23964" xr:uid="{00000000-0005-0000-0000-0000B72F0000}"/>
    <cellStyle name="Comma 4 2 5 5" xfId="7383" xr:uid="{00000000-0005-0000-0000-0000B82F0000}"/>
    <cellStyle name="Comma 4 2 5 5 2" xfId="16707" xr:uid="{00000000-0005-0000-0000-0000B92F0000}"/>
    <cellStyle name="Comma 4 2 5 5 3" xfId="26030" xr:uid="{00000000-0005-0000-0000-0000BA2F0000}"/>
    <cellStyle name="Comma 4 2 5 6" xfId="11409" xr:uid="{00000000-0005-0000-0000-0000BB2F0000}"/>
    <cellStyle name="Comma 4 2 5 7" xfId="20733" xr:uid="{00000000-0005-0000-0000-0000BC2F0000}"/>
    <cellStyle name="Comma 4 2 6" xfId="1884" xr:uid="{00000000-0005-0000-0000-0000BD2F0000}"/>
    <cellStyle name="Comma 4 2 6 2" xfId="3632" xr:uid="{00000000-0005-0000-0000-0000BE2F0000}"/>
    <cellStyle name="Comma 4 2 6 2 2" xfId="8311" xr:uid="{00000000-0005-0000-0000-0000BF2F0000}"/>
    <cellStyle name="Comma 4 2 6 2 2 2" xfId="17635" xr:uid="{00000000-0005-0000-0000-0000C02F0000}"/>
    <cellStyle name="Comma 4 2 6 2 2 3" xfId="26958" xr:uid="{00000000-0005-0000-0000-0000C12F0000}"/>
    <cellStyle name="Comma 4 2 6 2 3" xfId="12977" xr:uid="{00000000-0005-0000-0000-0000C22F0000}"/>
    <cellStyle name="Comma 4 2 6 2 4" xfId="22303" xr:uid="{00000000-0005-0000-0000-0000C32F0000}"/>
    <cellStyle name="Comma 4 2 6 3" xfId="5319" xr:uid="{00000000-0005-0000-0000-0000C42F0000}"/>
    <cellStyle name="Comma 4 2 6 3 2" xfId="14643" xr:uid="{00000000-0005-0000-0000-0000C52F0000}"/>
    <cellStyle name="Comma 4 2 6 3 3" xfId="23966" xr:uid="{00000000-0005-0000-0000-0000C62F0000}"/>
    <cellStyle name="Comma 4 2 6 4" xfId="7385" xr:uid="{00000000-0005-0000-0000-0000C72F0000}"/>
    <cellStyle name="Comma 4 2 6 4 2" xfId="16709" xr:uid="{00000000-0005-0000-0000-0000C82F0000}"/>
    <cellStyle name="Comma 4 2 6 4 3" xfId="26032" xr:uid="{00000000-0005-0000-0000-0000C92F0000}"/>
    <cellStyle name="Comma 4 2 6 5" xfId="11411" xr:uid="{00000000-0005-0000-0000-0000CA2F0000}"/>
    <cellStyle name="Comma 4 2 6 6" xfId="20735" xr:uid="{00000000-0005-0000-0000-0000CB2F0000}"/>
    <cellStyle name="Comma 4 2 7" xfId="1885" xr:uid="{00000000-0005-0000-0000-0000CC2F0000}"/>
    <cellStyle name="Comma 4 2 7 2" xfId="3633" xr:uid="{00000000-0005-0000-0000-0000CD2F0000}"/>
    <cellStyle name="Comma 4 2 7 2 2" xfId="8312" xr:uid="{00000000-0005-0000-0000-0000CE2F0000}"/>
    <cellStyle name="Comma 4 2 7 2 2 2" xfId="17636" xr:uid="{00000000-0005-0000-0000-0000CF2F0000}"/>
    <cellStyle name="Comma 4 2 7 2 2 3" xfId="26959" xr:uid="{00000000-0005-0000-0000-0000D02F0000}"/>
    <cellStyle name="Comma 4 2 7 2 3" xfId="12978" xr:uid="{00000000-0005-0000-0000-0000D12F0000}"/>
    <cellStyle name="Comma 4 2 7 2 4" xfId="22304" xr:uid="{00000000-0005-0000-0000-0000D22F0000}"/>
    <cellStyle name="Comma 4 2 7 3" xfId="5320" xr:uid="{00000000-0005-0000-0000-0000D32F0000}"/>
    <cellStyle name="Comma 4 2 7 3 2" xfId="14644" xr:uid="{00000000-0005-0000-0000-0000D42F0000}"/>
    <cellStyle name="Comma 4 2 7 3 3" xfId="23967" xr:uid="{00000000-0005-0000-0000-0000D52F0000}"/>
    <cellStyle name="Comma 4 2 7 4" xfId="7386" xr:uid="{00000000-0005-0000-0000-0000D62F0000}"/>
    <cellStyle name="Comma 4 2 7 4 2" xfId="16710" xr:uid="{00000000-0005-0000-0000-0000D72F0000}"/>
    <cellStyle name="Comma 4 2 7 4 3" xfId="26033" xr:uid="{00000000-0005-0000-0000-0000D82F0000}"/>
    <cellStyle name="Comma 4 2 7 5" xfId="11412" xr:uid="{00000000-0005-0000-0000-0000D92F0000}"/>
    <cellStyle name="Comma 4 2 7 6" xfId="20736" xr:uid="{00000000-0005-0000-0000-0000DA2F0000}"/>
    <cellStyle name="Comma 4 2 8" xfId="1886" xr:uid="{00000000-0005-0000-0000-0000DB2F0000}"/>
    <cellStyle name="Comma 4 2 8 2" xfId="3634" xr:uid="{00000000-0005-0000-0000-0000DC2F0000}"/>
    <cellStyle name="Comma 4 2 8 2 2" xfId="8313" xr:uid="{00000000-0005-0000-0000-0000DD2F0000}"/>
    <cellStyle name="Comma 4 2 8 2 2 2" xfId="17637" xr:uid="{00000000-0005-0000-0000-0000DE2F0000}"/>
    <cellStyle name="Comma 4 2 8 2 2 3" xfId="26960" xr:uid="{00000000-0005-0000-0000-0000DF2F0000}"/>
    <cellStyle name="Comma 4 2 8 2 3" xfId="12979" xr:uid="{00000000-0005-0000-0000-0000E02F0000}"/>
    <cellStyle name="Comma 4 2 8 2 4" xfId="22305" xr:uid="{00000000-0005-0000-0000-0000E12F0000}"/>
    <cellStyle name="Comma 4 2 8 3" xfId="5321" xr:uid="{00000000-0005-0000-0000-0000E22F0000}"/>
    <cellStyle name="Comma 4 2 8 3 2" xfId="14645" xr:uid="{00000000-0005-0000-0000-0000E32F0000}"/>
    <cellStyle name="Comma 4 2 8 3 3" xfId="23968" xr:uid="{00000000-0005-0000-0000-0000E42F0000}"/>
    <cellStyle name="Comma 4 2 8 4" xfId="7387" xr:uid="{00000000-0005-0000-0000-0000E52F0000}"/>
    <cellStyle name="Comma 4 2 8 4 2" xfId="16711" xr:uid="{00000000-0005-0000-0000-0000E62F0000}"/>
    <cellStyle name="Comma 4 2 8 4 3" xfId="26034" xr:uid="{00000000-0005-0000-0000-0000E72F0000}"/>
    <cellStyle name="Comma 4 2 8 5" xfId="11413" xr:uid="{00000000-0005-0000-0000-0000E82F0000}"/>
    <cellStyle name="Comma 4 2 8 6" xfId="20737" xr:uid="{00000000-0005-0000-0000-0000E92F0000}"/>
    <cellStyle name="Comma 4 2 9" xfId="1858" xr:uid="{00000000-0005-0000-0000-0000EA2F0000}"/>
    <cellStyle name="Comma 4 2 9 2" xfId="3606" xr:uid="{00000000-0005-0000-0000-0000EB2F0000}"/>
    <cellStyle name="Comma 4 2 9 2 2" xfId="8285" xr:uid="{00000000-0005-0000-0000-0000EC2F0000}"/>
    <cellStyle name="Comma 4 2 9 2 2 2" xfId="17609" xr:uid="{00000000-0005-0000-0000-0000ED2F0000}"/>
    <cellStyle name="Comma 4 2 9 2 2 3" xfId="26932" xr:uid="{00000000-0005-0000-0000-0000EE2F0000}"/>
    <cellStyle name="Comma 4 2 9 2 3" xfId="12952" xr:uid="{00000000-0005-0000-0000-0000EF2F0000}"/>
    <cellStyle name="Comma 4 2 9 2 4" xfId="22278" xr:uid="{00000000-0005-0000-0000-0000F02F0000}"/>
    <cellStyle name="Comma 4 2 9 3" xfId="5293" xr:uid="{00000000-0005-0000-0000-0000F12F0000}"/>
    <cellStyle name="Comma 4 2 9 3 2" xfId="14617" xr:uid="{00000000-0005-0000-0000-0000F22F0000}"/>
    <cellStyle name="Comma 4 2 9 3 3" xfId="23940" xr:uid="{00000000-0005-0000-0000-0000F32F0000}"/>
    <cellStyle name="Comma 4 2 9 4" xfId="7359" xr:uid="{00000000-0005-0000-0000-0000F42F0000}"/>
    <cellStyle name="Comma 4 2 9 4 2" xfId="16683" xr:uid="{00000000-0005-0000-0000-0000F52F0000}"/>
    <cellStyle name="Comma 4 2 9 4 3" xfId="26006" xr:uid="{00000000-0005-0000-0000-0000F62F0000}"/>
    <cellStyle name="Comma 4 2 9 5" xfId="11385" xr:uid="{00000000-0005-0000-0000-0000F72F0000}"/>
    <cellStyle name="Comma 4 2 9 6" xfId="20709" xr:uid="{00000000-0005-0000-0000-0000F82F0000}"/>
    <cellStyle name="Comma 4 3" xfId="1160" xr:uid="{00000000-0005-0000-0000-0000F92F0000}"/>
    <cellStyle name="Comma 4 3 10" xfId="2977" xr:uid="{00000000-0005-0000-0000-0000FA2F0000}"/>
    <cellStyle name="Comma 4 3 10 2" xfId="7656" xr:uid="{00000000-0005-0000-0000-0000FB2F0000}"/>
    <cellStyle name="Comma 4 3 10 2 2" xfId="16980" xr:uid="{00000000-0005-0000-0000-0000FC2F0000}"/>
    <cellStyle name="Comma 4 3 10 2 3" xfId="26303" xr:uid="{00000000-0005-0000-0000-0000FD2F0000}"/>
    <cellStyle name="Comma 4 3 11" xfId="7322" xr:uid="{00000000-0005-0000-0000-0000FE2F0000}"/>
    <cellStyle name="Comma 4 3 11 2" xfId="16646" xr:uid="{00000000-0005-0000-0000-0000FF2F0000}"/>
    <cellStyle name="Comma 4 3 11 3" xfId="25969" xr:uid="{00000000-0005-0000-0000-000000300000}"/>
    <cellStyle name="Comma 4 3 12" xfId="10758" xr:uid="{00000000-0005-0000-0000-000001300000}"/>
    <cellStyle name="Comma 4 3 13" xfId="20082" xr:uid="{00000000-0005-0000-0000-000002300000}"/>
    <cellStyle name="Comma 4 3 2" xfId="1197" xr:uid="{00000000-0005-0000-0000-000003300000}"/>
    <cellStyle name="Comma 4 3 2 10" xfId="20113" xr:uid="{00000000-0005-0000-0000-000004300000}"/>
    <cellStyle name="Comma 4 3 2 2" xfId="1198" xr:uid="{00000000-0005-0000-0000-000005300000}"/>
    <cellStyle name="Comma 4 3 2 2 10" xfId="10790" xr:uid="{00000000-0005-0000-0000-000006300000}"/>
    <cellStyle name="Comma 4 3 2 2 11" xfId="20114" xr:uid="{00000000-0005-0000-0000-000007300000}"/>
    <cellStyle name="Comma 4 3 2 2 2" xfId="1890" xr:uid="{00000000-0005-0000-0000-000008300000}"/>
    <cellStyle name="Comma 4 3 2 2 2 2" xfId="1891" xr:uid="{00000000-0005-0000-0000-000009300000}"/>
    <cellStyle name="Comma 4 3 2 2 2 2 2" xfId="1892" xr:uid="{00000000-0005-0000-0000-00000A300000}"/>
    <cellStyle name="Comma 4 3 2 2 2 2 2 2" xfId="3640" xr:uid="{00000000-0005-0000-0000-00000B300000}"/>
    <cellStyle name="Comma 4 3 2 2 2 2 2 2 2" xfId="8319" xr:uid="{00000000-0005-0000-0000-00000C300000}"/>
    <cellStyle name="Comma 4 3 2 2 2 2 2 2 2 2" xfId="17643" xr:uid="{00000000-0005-0000-0000-00000D300000}"/>
    <cellStyle name="Comma 4 3 2 2 2 2 2 2 2 3" xfId="26966" xr:uid="{00000000-0005-0000-0000-00000E300000}"/>
    <cellStyle name="Comma 4 3 2 2 2 2 2 2 3" xfId="12985" xr:uid="{00000000-0005-0000-0000-00000F300000}"/>
    <cellStyle name="Comma 4 3 2 2 2 2 2 2 4" xfId="22311" xr:uid="{00000000-0005-0000-0000-000010300000}"/>
    <cellStyle name="Comma 4 3 2 2 2 2 2 3" xfId="5327" xr:uid="{00000000-0005-0000-0000-000011300000}"/>
    <cellStyle name="Comma 4 3 2 2 2 2 2 3 2" xfId="14651" xr:uid="{00000000-0005-0000-0000-000012300000}"/>
    <cellStyle name="Comma 4 3 2 2 2 2 2 3 3" xfId="23974" xr:uid="{00000000-0005-0000-0000-000013300000}"/>
    <cellStyle name="Comma 4 3 2 2 2 2 2 4" xfId="7393" xr:uid="{00000000-0005-0000-0000-000014300000}"/>
    <cellStyle name="Comma 4 3 2 2 2 2 2 4 2" xfId="16717" xr:uid="{00000000-0005-0000-0000-000015300000}"/>
    <cellStyle name="Comma 4 3 2 2 2 2 2 4 3" xfId="26040" xr:uid="{00000000-0005-0000-0000-000016300000}"/>
    <cellStyle name="Comma 4 3 2 2 2 2 2 5" xfId="11419" xr:uid="{00000000-0005-0000-0000-000017300000}"/>
    <cellStyle name="Comma 4 3 2 2 2 2 2 6" xfId="20743" xr:uid="{00000000-0005-0000-0000-000018300000}"/>
    <cellStyle name="Comma 4 3 2 2 2 2 3" xfId="3639" xr:uid="{00000000-0005-0000-0000-000019300000}"/>
    <cellStyle name="Comma 4 3 2 2 2 2 3 2" xfId="8318" xr:uid="{00000000-0005-0000-0000-00001A300000}"/>
    <cellStyle name="Comma 4 3 2 2 2 2 3 2 2" xfId="17642" xr:uid="{00000000-0005-0000-0000-00001B300000}"/>
    <cellStyle name="Comma 4 3 2 2 2 2 3 2 3" xfId="26965" xr:uid="{00000000-0005-0000-0000-00001C300000}"/>
    <cellStyle name="Comma 4 3 2 2 2 2 3 3" xfId="12984" xr:uid="{00000000-0005-0000-0000-00001D300000}"/>
    <cellStyle name="Comma 4 3 2 2 2 2 3 4" xfId="22310" xr:uid="{00000000-0005-0000-0000-00001E300000}"/>
    <cellStyle name="Comma 4 3 2 2 2 2 4" xfId="5326" xr:uid="{00000000-0005-0000-0000-00001F300000}"/>
    <cellStyle name="Comma 4 3 2 2 2 2 4 2" xfId="14650" xr:uid="{00000000-0005-0000-0000-000020300000}"/>
    <cellStyle name="Comma 4 3 2 2 2 2 4 3" xfId="23973" xr:uid="{00000000-0005-0000-0000-000021300000}"/>
    <cellStyle name="Comma 4 3 2 2 2 2 5" xfId="7392" xr:uid="{00000000-0005-0000-0000-000022300000}"/>
    <cellStyle name="Comma 4 3 2 2 2 2 5 2" xfId="16716" xr:uid="{00000000-0005-0000-0000-000023300000}"/>
    <cellStyle name="Comma 4 3 2 2 2 2 5 3" xfId="26039" xr:uid="{00000000-0005-0000-0000-000024300000}"/>
    <cellStyle name="Comma 4 3 2 2 2 2 6" xfId="11418" xr:uid="{00000000-0005-0000-0000-000025300000}"/>
    <cellStyle name="Comma 4 3 2 2 2 2 7" xfId="20742" xr:uid="{00000000-0005-0000-0000-000026300000}"/>
    <cellStyle name="Comma 4 3 2 2 2 3" xfId="1893" xr:uid="{00000000-0005-0000-0000-000027300000}"/>
    <cellStyle name="Comma 4 3 2 2 2 3 2" xfId="3641" xr:uid="{00000000-0005-0000-0000-000028300000}"/>
    <cellStyle name="Comma 4 3 2 2 2 3 2 2" xfId="8320" xr:uid="{00000000-0005-0000-0000-000029300000}"/>
    <cellStyle name="Comma 4 3 2 2 2 3 2 2 2" xfId="17644" xr:uid="{00000000-0005-0000-0000-00002A300000}"/>
    <cellStyle name="Comma 4 3 2 2 2 3 2 2 3" xfId="26967" xr:uid="{00000000-0005-0000-0000-00002B300000}"/>
    <cellStyle name="Comma 4 3 2 2 2 3 2 3" xfId="12986" xr:uid="{00000000-0005-0000-0000-00002C300000}"/>
    <cellStyle name="Comma 4 3 2 2 2 3 2 4" xfId="22312" xr:uid="{00000000-0005-0000-0000-00002D300000}"/>
    <cellStyle name="Comma 4 3 2 2 2 3 3" xfId="5328" xr:uid="{00000000-0005-0000-0000-00002E300000}"/>
    <cellStyle name="Comma 4 3 2 2 2 3 3 2" xfId="14652" xr:uid="{00000000-0005-0000-0000-00002F300000}"/>
    <cellStyle name="Comma 4 3 2 2 2 3 3 3" xfId="23975" xr:uid="{00000000-0005-0000-0000-000030300000}"/>
    <cellStyle name="Comma 4 3 2 2 2 3 4" xfId="7394" xr:uid="{00000000-0005-0000-0000-000031300000}"/>
    <cellStyle name="Comma 4 3 2 2 2 3 4 2" xfId="16718" xr:uid="{00000000-0005-0000-0000-000032300000}"/>
    <cellStyle name="Comma 4 3 2 2 2 3 4 3" xfId="26041" xr:uid="{00000000-0005-0000-0000-000033300000}"/>
    <cellStyle name="Comma 4 3 2 2 2 3 5" xfId="11420" xr:uid="{00000000-0005-0000-0000-000034300000}"/>
    <cellStyle name="Comma 4 3 2 2 2 3 6" xfId="20744" xr:uid="{00000000-0005-0000-0000-000035300000}"/>
    <cellStyle name="Comma 4 3 2 2 2 4" xfId="3638" xr:uid="{00000000-0005-0000-0000-000036300000}"/>
    <cellStyle name="Comma 4 3 2 2 2 4 2" xfId="8317" xr:uid="{00000000-0005-0000-0000-000037300000}"/>
    <cellStyle name="Comma 4 3 2 2 2 4 2 2" xfId="17641" xr:uid="{00000000-0005-0000-0000-000038300000}"/>
    <cellStyle name="Comma 4 3 2 2 2 4 2 3" xfId="26964" xr:uid="{00000000-0005-0000-0000-000039300000}"/>
    <cellStyle name="Comma 4 3 2 2 2 4 3" xfId="12983" xr:uid="{00000000-0005-0000-0000-00003A300000}"/>
    <cellStyle name="Comma 4 3 2 2 2 4 4" xfId="22309" xr:uid="{00000000-0005-0000-0000-00003B300000}"/>
    <cellStyle name="Comma 4 3 2 2 2 5" xfId="5325" xr:uid="{00000000-0005-0000-0000-00003C300000}"/>
    <cellStyle name="Comma 4 3 2 2 2 5 2" xfId="14649" xr:uid="{00000000-0005-0000-0000-00003D300000}"/>
    <cellStyle name="Comma 4 3 2 2 2 5 3" xfId="23972" xr:uid="{00000000-0005-0000-0000-00003E300000}"/>
    <cellStyle name="Comma 4 3 2 2 2 6" xfId="7391" xr:uid="{00000000-0005-0000-0000-00003F300000}"/>
    <cellStyle name="Comma 4 3 2 2 2 6 2" xfId="16715" xr:uid="{00000000-0005-0000-0000-000040300000}"/>
    <cellStyle name="Comma 4 3 2 2 2 6 3" xfId="26038" xr:uid="{00000000-0005-0000-0000-000041300000}"/>
    <cellStyle name="Comma 4 3 2 2 2 7" xfId="11417" xr:uid="{00000000-0005-0000-0000-000042300000}"/>
    <cellStyle name="Comma 4 3 2 2 2 8" xfId="20741" xr:uid="{00000000-0005-0000-0000-000043300000}"/>
    <cellStyle name="Comma 4 3 2 2 3" xfId="1894" xr:uid="{00000000-0005-0000-0000-000044300000}"/>
    <cellStyle name="Comma 4 3 2 2 3 2" xfId="1895" xr:uid="{00000000-0005-0000-0000-000045300000}"/>
    <cellStyle name="Comma 4 3 2 2 3 2 2" xfId="3643" xr:uid="{00000000-0005-0000-0000-000046300000}"/>
    <cellStyle name="Comma 4 3 2 2 3 2 2 2" xfId="8322" xr:uid="{00000000-0005-0000-0000-000047300000}"/>
    <cellStyle name="Comma 4 3 2 2 3 2 2 2 2" xfId="17646" xr:uid="{00000000-0005-0000-0000-000048300000}"/>
    <cellStyle name="Comma 4 3 2 2 3 2 2 2 3" xfId="26969" xr:uid="{00000000-0005-0000-0000-000049300000}"/>
    <cellStyle name="Comma 4 3 2 2 3 2 2 3" xfId="12988" xr:uid="{00000000-0005-0000-0000-00004A300000}"/>
    <cellStyle name="Comma 4 3 2 2 3 2 2 4" xfId="22314" xr:uid="{00000000-0005-0000-0000-00004B300000}"/>
    <cellStyle name="Comma 4 3 2 2 3 2 3" xfId="5330" xr:uid="{00000000-0005-0000-0000-00004C300000}"/>
    <cellStyle name="Comma 4 3 2 2 3 2 3 2" xfId="14654" xr:uid="{00000000-0005-0000-0000-00004D300000}"/>
    <cellStyle name="Comma 4 3 2 2 3 2 3 3" xfId="23977" xr:uid="{00000000-0005-0000-0000-00004E300000}"/>
    <cellStyle name="Comma 4 3 2 2 3 2 4" xfId="7396" xr:uid="{00000000-0005-0000-0000-00004F300000}"/>
    <cellStyle name="Comma 4 3 2 2 3 2 4 2" xfId="16720" xr:uid="{00000000-0005-0000-0000-000050300000}"/>
    <cellStyle name="Comma 4 3 2 2 3 2 4 3" xfId="26043" xr:uid="{00000000-0005-0000-0000-000051300000}"/>
    <cellStyle name="Comma 4 3 2 2 3 2 5" xfId="11422" xr:uid="{00000000-0005-0000-0000-000052300000}"/>
    <cellStyle name="Comma 4 3 2 2 3 2 6" xfId="20746" xr:uid="{00000000-0005-0000-0000-000053300000}"/>
    <cellStyle name="Comma 4 3 2 2 3 3" xfId="3642" xr:uid="{00000000-0005-0000-0000-000054300000}"/>
    <cellStyle name="Comma 4 3 2 2 3 3 2" xfId="8321" xr:uid="{00000000-0005-0000-0000-000055300000}"/>
    <cellStyle name="Comma 4 3 2 2 3 3 2 2" xfId="17645" xr:uid="{00000000-0005-0000-0000-000056300000}"/>
    <cellStyle name="Comma 4 3 2 2 3 3 2 3" xfId="26968" xr:uid="{00000000-0005-0000-0000-000057300000}"/>
    <cellStyle name="Comma 4 3 2 2 3 3 3" xfId="12987" xr:uid="{00000000-0005-0000-0000-000058300000}"/>
    <cellStyle name="Comma 4 3 2 2 3 3 4" xfId="22313" xr:uid="{00000000-0005-0000-0000-000059300000}"/>
    <cellStyle name="Comma 4 3 2 2 3 4" xfId="5329" xr:uid="{00000000-0005-0000-0000-00005A300000}"/>
    <cellStyle name="Comma 4 3 2 2 3 4 2" xfId="14653" xr:uid="{00000000-0005-0000-0000-00005B300000}"/>
    <cellStyle name="Comma 4 3 2 2 3 4 3" xfId="23976" xr:uid="{00000000-0005-0000-0000-00005C300000}"/>
    <cellStyle name="Comma 4 3 2 2 3 5" xfId="7395" xr:uid="{00000000-0005-0000-0000-00005D300000}"/>
    <cellStyle name="Comma 4 3 2 2 3 5 2" xfId="16719" xr:uid="{00000000-0005-0000-0000-00005E300000}"/>
    <cellStyle name="Comma 4 3 2 2 3 5 3" xfId="26042" xr:uid="{00000000-0005-0000-0000-00005F300000}"/>
    <cellStyle name="Comma 4 3 2 2 3 6" xfId="11421" xr:uid="{00000000-0005-0000-0000-000060300000}"/>
    <cellStyle name="Comma 4 3 2 2 3 7" xfId="20745" xr:uid="{00000000-0005-0000-0000-000061300000}"/>
    <cellStyle name="Comma 4 3 2 2 4" xfId="1896" xr:uid="{00000000-0005-0000-0000-000062300000}"/>
    <cellStyle name="Comma 4 3 2 2 4 2" xfId="3644" xr:uid="{00000000-0005-0000-0000-000063300000}"/>
    <cellStyle name="Comma 4 3 2 2 4 2 2" xfId="8323" xr:uid="{00000000-0005-0000-0000-000064300000}"/>
    <cellStyle name="Comma 4 3 2 2 4 2 2 2" xfId="17647" xr:uid="{00000000-0005-0000-0000-000065300000}"/>
    <cellStyle name="Comma 4 3 2 2 4 2 2 3" xfId="26970" xr:uid="{00000000-0005-0000-0000-000066300000}"/>
    <cellStyle name="Comma 4 3 2 2 4 2 3" xfId="12989" xr:uid="{00000000-0005-0000-0000-000067300000}"/>
    <cellStyle name="Comma 4 3 2 2 4 2 4" xfId="22315" xr:uid="{00000000-0005-0000-0000-000068300000}"/>
    <cellStyle name="Comma 4 3 2 2 4 3" xfId="5331" xr:uid="{00000000-0005-0000-0000-000069300000}"/>
    <cellStyle name="Comma 4 3 2 2 4 3 2" xfId="14655" xr:uid="{00000000-0005-0000-0000-00006A300000}"/>
    <cellStyle name="Comma 4 3 2 2 4 3 3" xfId="23978" xr:uid="{00000000-0005-0000-0000-00006B300000}"/>
    <cellStyle name="Comma 4 3 2 2 4 4" xfId="7397" xr:uid="{00000000-0005-0000-0000-00006C300000}"/>
    <cellStyle name="Comma 4 3 2 2 4 4 2" xfId="16721" xr:uid="{00000000-0005-0000-0000-00006D300000}"/>
    <cellStyle name="Comma 4 3 2 2 4 4 3" xfId="26044" xr:uid="{00000000-0005-0000-0000-00006E300000}"/>
    <cellStyle name="Comma 4 3 2 2 4 5" xfId="11423" xr:uid="{00000000-0005-0000-0000-00006F300000}"/>
    <cellStyle name="Comma 4 3 2 2 4 6" xfId="20747" xr:uid="{00000000-0005-0000-0000-000070300000}"/>
    <cellStyle name="Comma 4 3 2 2 5" xfId="1897" xr:uid="{00000000-0005-0000-0000-000071300000}"/>
    <cellStyle name="Comma 4 3 2 2 5 2" xfId="3645" xr:uid="{00000000-0005-0000-0000-000072300000}"/>
    <cellStyle name="Comma 4 3 2 2 5 2 2" xfId="8324" xr:uid="{00000000-0005-0000-0000-000073300000}"/>
    <cellStyle name="Comma 4 3 2 2 5 2 2 2" xfId="17648" xr:uid="{00000000-0005-0000-0000-000074300000}"/>
    <cellStyle name="Comma 4 3 2 2 5 2 2 3" xfId="26971" xr:uid="{00000000-0005-0000-0000-000075300000}"/>
    <cellStyle name="Comma 4 3 2 2 5 2 3" xfId="12990" xr:uid="{00000000-0005-0000-0000-000076300000}"/>
    <cellStyle name="Comma 4 3 2 2 5 2 4" xfId="22316" xr:uid="{00000000-0005-0000-0000-000077300000}"/>
    <cellStyle name="Comma 4 3 2 2 5 3" xfId="5332" xr:uid="{00000000-0005-0000-0000-000078300000}"/>
    <cellStyle name="Comma 4 3 2 2 5 3 2" xfId="14656" xr:uid="{00000000-0005-0000-0000-000079300000}"/>
    <cellStyle name="Comma 4 3 2 2 5 3 3" xfId="23979" xr:uid="{00000000-0005-0000-0000-00007A300000}"/>
    <cellStyle name="Comma 4 3 2 2 5 4" xfId="7398" xr:uid="{00000000-0005-0000-0000-00007B300000}"/>
    <cellStyle name="Comma 4 3 2 2 5 4 2" xfId="16722" xr:uid="{00000000-0005-0000-0000-00007C300000}"/>
    <cellStyle name="Comma 4 3 2 2 5 4 3" xfId="26045" xr:uid="{00000000-0005-0000-0000-00007D300000}"/>
    <cellStyle name="Comma 4 3 2 2 5 5" xfId="11424" xr:uid="{00000000-0005-0000-0000-00007E300000}"/>
    <cellStyle name="Comma 4 3 2 2 5 6" xfId="20748" xr:uid="{00000000-0005-0000-0000-00007F300000}"/>
    <cellStyle name="Comma 4 3 2 2 6" xfId="1898" xr:uid="{00000000-0005-0000-0000-000080300000}"/>
    <cellStyle name="Comma 4 3 2 2 6 2" xfId="3646" xr:uid="{00000000-0005-0000-0000-000081300000}"/>
    <cellStyle name="Comma 4 3 2 2 6 2 2" xfId="8325" xr:uid="{00000000-0005-0000-0000-000082300000}"/>
    <cellStyle name="Comma 4 3 2 2 6 2 2 2" xfId="17649" xr:uid="{00000000-0005-0000-0000-000083300000}"/>
    <cellStyle name="Comma 4 3 2 2 6 2 2 3" xfId="26972" xr:uid="{00000000-0005-0000-0000-000084300000}"/>
    <cellStyle name="Comma 4 3 2 2 6 2 3" xfId="12991" xr:uid="{00000000-0005-0000-0000-000085300000}"/>
    <cellStyle name="Comma 4 3 2 2 6 2 4" xfId="22317" xr:uid="{00000000-0005-0000-0000-000086300000}"/>
    <cellStyle name="Comma 4 3 2 2 6 3" xfId="5333" xr:uid="{00000000-0005-0000-0000-000087300000}"/>
    <cellStyle name="Comma 4 3 2 2 6 3 2" xfId="14657" xr:uid="{00000000-0005-0000-0000-000088300000}"/>
    <cellStyle name="Comma 4 3 2 2 6 3 3" xfId="23980" xr:uid="{00000000-0005-0000-0000-000089300000}"/>
    <cellStyle name="Comma 4 3 2 2 6 4" xfId="7399" xr:uid="{00000000-0005-0000-0000-00008A300000}"/>
    <cellStyle name="Comma 4 3 2 2 6 4 2" xfId="16723" xr:uid="{00000000-0005-0000-0000-00008B300000}"/>
    <cellStyle name="Comma 4 3 2 2 6 4 3" xfId="26046" xr:uid="{00000000-0005-0000-0000-00008C300000}"/>
    <cellStyle name="Comma 4 3 2 2 6 5" xfId="11425" xr:uid="{00000000-0005-0000-0000-00008D300000}"/>
    <cellStyle name="Comma 4 3 2 2 6 6" xfId="20749" xr:uid="{00000000-0005-0000-0000-00008E300000}"/>
    <cellStyle name="Comma 4 3 2 2 7" xfId="1889" xr:uid="{00000000-0005-0000-0000-00008F300000}"/>
    <cellStyle name="Comma 4 3 2 2 7 2" xfId="3637" xr:uid="{00000000-0005-0000-0000-000090300000}"/>
    <cellStyle name="Comma 4 3 2 2 7 2 2" xfId="8316" xr:uid="{00000000-0005-0000-0000-000091300000}"/>
    <cellStyle name="Comma 4 3 2 2 7 2 2 2" xfId="17640" xr:uid="{00000000-0005-0000-0000-000092300000}"/>
    <cellStyle name="Comma 4 3 2 2 7 2 2 3" xfId="26963" xr:uid="{00000000-0005-0000-0000-000093300000}"/>
    <cellStyle name="Comma 4 3 2 2 7 2 3" xfId="12982" xr:uid="{00000000-0005-0000-0000-000094300000}"/>
    <cellStyle name="Comma 4 3 2 2 7 2 4" xfId="22308" xr:uid="{00000000-0005-0000-0000-000095300000}"/>
    <cellStyle name="Comma 4 3 2 2 7 3" xfId="5324" xr:uid="{00000000-0005-0000-0000-000096300000}"/>
    <cellStyle name="Comma 4 3 2 2 7 3 2" xfId="14648" xr:uid="{00000000-0005-0000-0000-000097300000}"/>
    <cellStyle name="Comma 4 3 2 2 7 3 3" xfId="23971" xr:uid="{00000000-0005-0000-0000-000098300000}"/>
    <cellStyle name="Comma 4 3 2 2 7 4" xfId="7390" xr:uid="{00000000-0005-0000-0000-000099300000}"/>
    <cellStyle name="Comma 4 3 2 2 7 4 2" xfId="16714" xr:uid="{00000000-0005-0000-0000-00009A300000}"/>
    <cellStyle name="Comma 4 3 2 2 7 4 3" xfId="26037" xr:uid="{00000000-0005-0000-0000-00009B300000}"/>
    <cellStyle name="Comma 4 3 2 2 7 5" xfId="11416" xr:uid="{00000000-0005-0000-0000-00009C300000}"/>
    <cellStyle name="Comma 4 3 2 2 7 6" xfId="20740" xr:uid="{00000000-0005-0000-0000-00009D300000}"/>
    <cellStyle name="Comma 4 3 2 2 8" xfId="3009" xr:uid="{00000000-0005-0000-0000-00009E300000}"/>
    <cellStyle name="Comma 4 3 2 2 8 2" xfId="7688" xr:uid="{00000000-0005-0000-0000-00009F300000}"/>
    <cellStyle name="Comma 4 3 2 2 8 2 2" xfId="17012" xr:uid="{00000000-0005-0000-0000-0000A0300000}"/>
    <cellStyle name="Comma 4 3 2 2 8 2 3" xfId="26335" xr:uid="{00000000-0005-0000-0000-0000A1300000}"/>
    <cellStyle name="Comma 4 3 2 2 8 3" xfId="12397" xr:uid="{00000000-0005-0000-0000-0000A2300000}"/>
    <cellStyle name="Comma 4 3 2 2 8 4" xfId="21723" xr:uid="{00000000-0005-0000-0000-0000A3300000}"/>
    <cellStyle name="Comma 4 3 2 2 9" xfId="4657" xr:uid="{00000000-0005-0000-0000-0000A4300000}"/>
    <cellStyle name="Comma 4 3 2 2 9 2" xfId="13981" xr:uid="{00000000-0005-0000-0000-0000A5300000}"/>
    <cellStyle name="Comma 4 3 2 2 9 3" xfId="23304" xr:uid="{00000000-0005-0000-0000-0000A6300000}"/>
    <cellStyle name="Comma 4 3 2 3" xfId="1899" xr:uid="{00000000-0005-0000-0000-0000A7300000}"/>
    <cellStyle name="Comma 4 3 2 3 2" xfId="3647" xr:uid="{00000000-0005-0000-0000-0000A8300000}"/>
    <cellStyle name="Comma 4 3 2 3 2 2" xfId="8326" xr:uid="{00000000-0005-0000-0000-0000A9300000}"/>
    <cellStyle name="Comma 4 3 2 3 2 2 2" xfId="17650" xr:uid="{00000000-0005-0000-0000-0000AA300000}"/>
    <cellStyle name="Comma 4 3 2 3 2 2 3" xfId="26973" xr:uid="{00000000-0005-0000-0000-0000AB300000}"/>
    <cellStyle name="Comma 4 3 2 3 3" xfId="7400" xr:uid="{00000000-0005-0000-0000-0000AC300000}"/>
    <cellStyle name="Comma 4 3 2 3 3 2" xfId="16724" xr:uid="{00000000-0005-0000-0000-0000AD300000}"/>
    <cellStyle name="Comma 4 3 2 3 3 3" xfId="26047" xr:uid="{00000000-0005-0000-0000-0000AE300000}"/>
    <cellStyle name="Comma 4 3 2 3 4" xfId="11426" xr:uid="{00000000-0005-0000-0000-0000AF300000}"/>
    <cellStyle name="Comma 4 3 2 3 5" xfId="20750" xr:uid="{00000000-0005-0000-0000-0000B0300000}"/>
    <cellStyle name="Comma 4 3 2 4" xfId="1900" xr:uid="{00000000-0005-0000-0000-0000B1300000}"/>
    <cellStyle name="Comma 4 3 2 4 2" xfId="1901" xr:uid="{00000000-0005-0000-0000-0000B2300000}"/>
    <cellStyle name="Comma 4 3 2 4 2 2" xfId="3649" xr:uid="{00000000-0005-0000-0000-0000B3300000}"/>
    <cellStyle name="Comma 4 3 2 4 2 2 2" xfId="8328" xr:uid="{00000000-0005-0000-0000-0000B4300000}"/>
    <cellStyle name="Comma 4 3 2 4 2 2 2 2" xfId="17652" xr:uid="{00000000-0005-0000-0000-0000B5300000}"/>
    <cellStyle name="Comma 4 3 2 4 2 2 2 3" xfId="26975" xr:uid="{00000000-0005-0000-0000-0000B6300000}"/>
    <cellStyle name="Comma 4 3 2 4 2 2 3" xfId="12993" xr:uid="{00000000-0005-0000-0000-0000B7300000}"/>
    <cellStyle name="Comma 4 3 2 4 2 2 4" xfId="22319" xr:uid="{00000000-0005-0000-0000-0000B8300000}"/>
    <cellStyle name="Comma 4 3 2 4 2 3" xfId="5336" xr:uid="{00000000-0005-0000-0000-0000B9300000}"/>
    <cellStyle name="Comma 4 3 2 4 2 3 2" xfId="14660" xr:uid="{00000000-0005-0000-0000-0000BA300000}"/>
    <cellStyle name="Comma 4 3 2 4 2 3 3" xfId="23983" xr:uid="{00000000-0005-0000-0000-0000BB300000}"/>
    <cellStyle name="Comma 4 3 2 4 2 4" xfId="7402" xr:uid="{00000000-0005-0000-0000-0000BC300000}"/>
    <cellStyle name="Comma 4 3 2 4 2 4 2" xfId="16726" xr:uid="{00000000-0005-0000-0000-0000BD300000}"/>
    <cellStyle name="Comma 4 3 2 4 2 4 3" xfId="26049" xr:uid="{00000000-0005-0000-0000-0000BE300000}"/>
    <cellStyle name="Comma 4 3 2 4 2 5" xfId="11428" xr:uid="{00000000-0005-0000-0000-0000BF300000}"/>
    <cellStyle name="Comma 4 3 2 4 2 6" xfId="20752" xr:uid="{00000000-0005-0000-0000-0000C0300000}"/>
    <cellStyle name="Comma 4 3 2 4 3" xfId="3648" xr:uid="{00000000-0005-0000-0000-0000C1300000}"/>
    <cellStyle name="Comma 4 3 2 4 3 2" xfId="8327" xr:uid="{00000000-0005-0000-0000-0000C2300000}"/>
    <cellStyle name="Comma 4 3 2 4 3 2 2" xfId="17651" xr:uid="{00000000-0005-0000-0000-0000C3300000}"/>
    <cellStyle name="Comma 4 3 2 4 3 2 3" xfId="26974" xr:uid="{00000000-0005-0000-0000-0000C4300000}"/>
    <cellStyle name="Comma 4 3 2 4 3 3" xfId="12992" xr:uid="{00000000-0005-0000-0000-0000C5300000}"/>
    <cellStyle name="Comma 4 3 2 4 3 4" xfId="22318" xr:uid="{00000000-0005-0000-0000-0000C6300000}"/>
    <cellStyle name="Comma 4 3 2 4 4" xfId="5335" xr:uid="{00000000-0005-0000-0000-0000C7300000}"/>
    <cellStyle name="Comma 4 3 2 4 4 2" xfId="14659" xr:uid="{00000000-0005-0000-0000-0000C8300000}"/>
    <cellStyle name="Comma 4 3 2 4 4 3" xfId="23982" xr:uid="{00000000-0005-0000-0000-0000C9300000}"/>
    <cellStyle name="Comma 4 3 2 4 5" xfId="7401" xr:uid="{00000000-0005-0000-0000-0000CA300000}"/>
    <cellStyle name="Comma 4 3 2 4 5 2" xfId="16725" xr:uid="{00000000-0005-0000-0000-0000CB300000}"/>
    <cellStyle name="Comma 4 3 2 4 5 3" xfId="26048" xr:uid="{00000000-0005-0000-0000-0000CC300000}"/>
    <cellStyle name="Comma 4 3 2 4 6" xfId="11427" xr:uid="{00000000-0005-0000-0000-0000CD300000}"/>
    <cellStyle name="Comma 4 3 2 4 7" xfId="20751" xr:uid="{00000000-0005-0000-0000-0000CE300000}"/>
    <cellStyle name="Comma 4 3 2 5" xfId="1902" xr:uid="{00000000-0005-0000-0000-0000CF300000}"/>
    <cellStyle name="Comma 4 3 2 5 2" xfId="3650" xr:uid="{00000000-0005-0000-0000-0000D0300000}"/>
    <cellStyle name="Comma 4 3 2 5 2 2" xfId="8329" xr:uid="{00000000-0005-0000-0000-0000D1300000}"/>
    <cellStyle name="Comma 4 3 2 5 2 2 2" xfId="17653" xr:uid="{00000000-0005-0000-0000-0000D2300000}"/>
    <cellStyle name="Comma 4 3 2 5 2 2 3" xfId="26976" xr:uid="{00000000-0005-0000-0000-0000D3300000}"/>
    <cellStyle name="Comma 4 3 2 5 2 3" xfId="12994" xr:uid="{00000000-0005-0000-0000-0000D4300000}"/>
    <cellStyle name="Comma 4 3 2 5 2 4" xfId="22320" xr:uid="{00000000-0005-0000-0000-0000D5300000}"/>
    <cellStyle name="Comma 4 3 2 5 3" xfId="5337" xr:uid="{00000000-0005-0000-0000-0000D6300000}"/>
    <cellStyle name="Comma 4 3 2 5 3 2" xfId="14661" xr:uid="{00000000-0005-0000-0000-0000D7300000}"/>
    <cellStyle name="Comma 4 3 2 5 3 3" xfId="23984" xr:uid="{00000000-0005-0000-0000-0000D8300000}"/>
    <cellStyle name="Comma 4 3 2 5 4" xfId="7403" xr:uid="{00000000-0005-0000-0000-0000D9300000}"/>
    <cellStyle name="Comma 4 3 2 5 4 2" xfId="16727" xr:uid="{00000000-0005-0000-0000-0000DA300000}"/>
    <cellStyle name="Comma 4 3 2 5 4 3" xfId="26050" xr:uid="{00000000-0005-0000-0000-0000DB300000}"/>
    <cellStyle name="Comma 4 3 2 5 5" xfId="11429" xr:uid="{00000000-0005-0000-0000-0000DC300000}"/>
    <cellStyle name="Comma 4 3 2 5 6" xfId="20753" xr:uid="{00000000-0005-0000-0000-0000DD300000}"/>
    <cellStyle name="Comma 4 3 2 6" xfId="1888" xr:uid="{00000000-0005-0000-0000-0000DE300000}"/>
    <cellStyle name="Comma 4 3 2 6 2" xfId="3636" xr:uid="{00000000-0005-0000-0000-0000DF300000}"/>
    <cellStyle name="Comma 4 3 2 6 2 2" xfId="8315" xr:uid="{00000000-0005-0000-0000-0000E0300000}"/>
    <cellStyle name="Comma 4 3 2 6 2 2 2" xfId="17639" xr:uid="{00000000-0005-0000-0000-0000E1300000}"/>
    <cellStyle name="Comma 4 3 2 6 2 2 3" xfId="26962" xr:uid="{00000000-0005-0000-0000-0000E2300000}"/>
    <cellStyle name="Comma 4 3 2 6 2 3" xfId="12981" xr:uid="{00000000-0005-0000-0000-0000E3300000}"/>
    <cellStyle name="Comma 4 3 2 6 2 4" xfId="22307" xr:uid="{00000000-0005-0000-0000-0000E4300000}"/>
    <cellStyle name="Comma 4 3 2 6 3" xfId="5323" xr:uid="{00000000-0005-0000-0000-0000E5300000}"/>
    <cellStyle name="Comma 4 3 2 6 3 2" xfId="14647" xr:uid="{00000000-0005-0000-0000-0000E6300000}"/>
    <cellStyle name="Comma 4 3 2 6 3 3" xfId="23970" xr:uid="{00000000-0005-0000-0000-0000E7300000}"/>
    <cellStyle name="Comma 4 3 2 6 4" xfId="7389" xr:uid="{00000000-0005-0000-0000-0000E8300000}"/>
    <cellStyle name="Comma 4 3 2 6 4 2" xfId="16713" xr:uid="{00000000-0005-0000-0000-0000E9300000}"/>
    <cellStyle name="Comma 4 3 2 6 4 3" xfId="26036" xr:uid="{00000000-0005-0000-0000-0000EA300000}"/>
    <cellStyle name="Comma 4 3 2 6 5" xfId="11415" xr:uid="{00000000-0005-0000-0000-0000EB300000}"/>
    <cellStyle name="Comma 4 3 2 6 6" xfId="20739" xr:uid="{00000000-0005-0000-0000-0000EC300000}"/>
    <cellStyle name="Comma 4 3 2 7" xfId="3008" xr:uid="{00000000-0005-0000-0000-0000ED300000}"/>
    <cellStyle name="Comma 4 3 2 7 2" xfId="7687" xr:uid="{00000000-0005-0000-0000-0000EE300000}"/>
    <cellStyle name="Comma 4 3 2 7 2 2" xfId="17011" xr:uid="{00000000-0005-0000-0000-0000EF300000}"/>
    <cellStyle name="Comma 4 3 2 7 2 3" xfId="26334" xr:uid="{00000000-0005-0000-0000-0000F0300000}"/>
    <cellStyle name="Comma 4 3 2 7 3" xfId="12396" xr:uid="{00000000-0005-0000-0000-0000F1300000}"/>
    <cellStyle name="Comma 4 3 2 7 4" xfId="21722" xr:uid="{00000000-0005-0000-0000-0000F2300000}"/>
    <cellStyle name="Comma 4 3 2 8" xfId="4656" xr:uid="{00000000-0005-0000-0000-0000F3300000}"/>
    <cellStyle name="Comma 4 3 2 8 2" xfId="13980" xr:uid="{00000000-0005-0000-0000-0000F4300000}"/>
    <cellStyle name="Comma 4 3 2 8 3" xfId="23303" xr:uid="{00000000-0005-0000-0000-0000F5300000}"/>
    <cellStyle name="Comma 4 3 2 9" xfId="10789" xr:uid="{00000000-0005-0000-0000-0000F6300000}"/>
    <cellStyle name="Comma 4 3 3" xfId="1199" xr:uid="{00000000-0005-0000-0000-0000F7300000}"/>
    <cellStyle name="Comma 4 3 3 2" xfId="1904" xr:uid="{00000000-0005-0000-0000-0000F8300000}"/>
    <cellStyle name="Comma 4 3 3 2 2" xfId="1905" xr:uid="{00000000-0005-0000-0000-0000F9300000}"/>
    <cellStyle name="Comma 4 3 3 2 2 2" xfId="3653" xr:uid="{00000000-0005-0000-0000-0000FA300000}"/>
    <cellStyle name="Comma 4 3 3 2 2 2 2" xfId="8332" xr:uid="{00000000-0005-0000-0000-0000FB300000}"/>
    <cellStyle name="Comma 4 3 3 2 2 2 2 2" xfId="17656" xr:uid="{00000000-0005-0000-0000-0000FC300000}"/>
    <cellStyle name="Comma 4 3 3 2 2 2 2 3" xfId="26979" xr:uid="{00000000-0005-0000-0000-0000FD300000}"/>
    <cellStyle name="Comma 4 3 3 2 2 2 3" xfId="12997" xr:uid="{00000000-0005-0000-0000-0000FE300000}"/>
    <cellStyle name="Comma 4 3 3 2 2 2 4" xfId="22323" xr:uid="{00000000-0005-0000-0000-0000FF300000}"/>
    <cellStyle name="Comma 4 3 3 2 2 3" xfId="5340" xr:uid="{00000000-0005-0000-0000-000000310000}"/>
    <cellStyle name="Comma 4 3 3 2 2 3 2" xfId="14664" xr:uid="{00000000-0005-0000-0000-000001310000}"/>
    <cellStyle name="Comma 4 3 3 2 2 3 3" xfId="23987" xr:uid="{00000000-0005-0000-0000-000002310000}"/>
    <cellStyle name="Comma 4 3 3 2 2 4" xfId="7406" xr:uid="{00000000-0005-0000-0000-000003310000}"/>
    <cellStyle name="Comma 4 3 3 2 2 4 2" xfId="16730" xr:uid="{00000000-0005-0000-0000-000004310000}"/>
    <cellStyle name="Comma 4 3 3 2 2 4 3" xfId="26053" xr:uid="{00000000-0005-0000-0000-000005310000}"/>
    <cellStyle name="Comma 4 3 3 2 2 5" xfId="11432" xr:uid="{00000000-0005-0000-0000-000006310000}"/>
    <cellStyle name="Comma 4 3 3 2 2 6" xfId="20756" xr:uid="{00000000-0005-0000-0000-000007310000}"/>
    <cellStyle name="Comma 4 3 3 2 3" xfId="3652" xr:uid="{00000000-0005-0000-0000-000008310000}"/>
    <cellStyle name="Comma 4 3 3 2 3 2" xfId="8331" xr:uid="{00000000-0005-0000-0000-000009310000}"/>
    <cellStyle name="Comma 4 3 3 2 3 2 2" xfId="17655" xr:uid="{00000000-0005-0000-0000-00000A310000}"/>
    <cellStyle name="Comma 4 3 3 2 3 2 3" xfId="26978" xr:uid="{00000000-0005-0000-0000-00000B310000}"/>
    <cellStyle name="Comma 4 3 3 2 3 3" xfId="12996" xr:uid="{00000000-0005-0000-0000-00000C310000}"/>
    <cellStyle name="Comma 4 3 3 2 3 4" xfId="22322" xr:uid="{00000000-0005-0000-0000-00000D310000}"/>
    <cellStyle name="Comma 4 3 3 2 4" xfId="5339" xr:uid="{00000000-0005-0000-0000-00000E310000}"/>
    <cellStyle name="Comma 4 3 3 2 4 2" xfId="14663" xr:uid="{00000000-0005-0000-0000-00000F310000}"/>
    <cellStyle name="Comma 4 3 3 2 4 3" xfId="23986" xr:uid="{00000000-0005-0000-0000-000010310000}"/>
    <cellStyle name="Comma 4 3 3 2 5" xfId="7405" xr:uid="{00000000-0005-0000-0000-000011310000}"/>
    <cellStyle name="Comma 4 3 3 2 5 2" xfId="16729" xr:uid="{00000000-0005-0000-0000-000012310000}"/>
    <cellStyle name="Comma 4 3 3 2 5 3" xfId="26052" xr:uid="{00000000-0005-0000-0000-000013310000}"/>
    <cellStyle name="Comma 4 3 3 2 6" xfId="11431" xr:uid="{00000000-0005-0000-0000-000014310000}"/>
    <cellStyle name="Comma 4 3 3 2 7" xfId="20755" xr:uid="{00000000-0005-0000-0000-000015310000}"/>
    <cellStyle name="Comma 4 3 3 3" xfId="1906" xr:uid="{00000000-0005-0000-0000-000016310000}"/>
    <cellStyle name="Comma 4 3 3 3 2" xfId="3654" xr:uid="{00000000-0005-0000-0000-000017310000}"/>
    <cellStyle name="Comma 4 3 3 3 2 2" xfId="8333" xr:uid="{00000000-0005-0000-0000-000018310000}"/>
    <cellStyle name="Comma 4 3 3 3 2 2 2" xfId="17657" xr:uid="{00000000-0005-0000-0000-000019310000}"/>
    <cellStyle name="Comma 4 3 3 3 2 2 3" xfId="26980" xr:uid="{00000000-0005-0000-0000-00001A310000}"/>
    <cellStyle name="Comma 4 3 3 3 2 3" xfId="12998" xr:uid="{00000000-0005-0000-0000-00001B310000}"/>
    <cellStyle name="Comma 4 3 3 3 2 4" xfId="22324" xr:uid="{00000000-0005-0000-0000-00001C310000}"/>
    <cellStyle name="Comma 4 3 3 3 3" xfId="5341" xr:uid="{00000000-0005-0000-0000-00001D310000}"/>
    <cellStyle name="Comma 4 3 3 3 3 2" xfId="14665" xr:uid="{00000000-0005-0000-0000-00001E310000}"/>
    <cellStyle name="Comma 4 3 3 3 3 3" xfId="23988" xr:uid="{00000000-0005-0000-0000-00001F310000}"/>
    <cellStyle name="Comma 4 3 3 3 4" xfId="7407" xr:uid="{00000000-0005-0000-0000-000020310000}"/>
    <cellStyle name="Comma 4 3 3 3 4 2" xfId="16731" xr:uid="{00000000-0005-0000-0000-000021310000}"/>
    <cellStyle name="Comma 4 3 3 3 4 3" xfId="26054" xr:uid="{00000000-0005-0000-0000-000022310000}"/>
    <cellStyle name="Comma 4 3 3 3 5" xfId="11433" xr:uid="{00000000-0005-0000-0000-000023310000}"/>
    <cellStyle name="Comma 4 3 3 3 6" xfId="20757" xr:uid="{00000000-0005-0000-0000-000024310000}"/>
    <cellStyle name="Comma 4 3 3 4" xfId="1903" xr:uid="{00000000-0005-0000-0000-000025310000}"/>
    <cellStyle name="Comma 4 3 3 4 2" xfId="3651" xr:uid="{00000000-0005-0000-0000-000026310000}"/>
    <cellStyle name="Comma 4 3 3 4 2 2" xfId="8330" xr:uid="{00000000-0005-0000-0000-000027310000}"/>
    <cellStyle name="Comma 4 3 3 4 2 2 2" xfId="17654" xr:uid="{00000000-0005-0000-0000-000028310000}"/>
    <cellStyle name="Comma 4 3 3 4 2 2 3" xfId="26977" xr:uid="{00000000-0005-0000-0000-000029310000}"/>
    <cellStyle name="Comma 4 3 3 4 2 3" xfId="12995" xr:uid="{00000000-0005-0000-0000-00002A310000}"/>
    <cellStyle name="Comma 4 3 3 4 2 4" xfId="22321" xr:uid="{00000000-0005-0000-0000-00002B310000}"/>
    <cellStyle name="Comma 4 3 3 4 3" xfId="5338" xr:uid="{00000000-0005-0000-0000-00002C310000}"/>
    <cellStyle name="Comma 4 3 3 4 3 2" xfId="14662" xr:uid="{00000000-0005-0000-0000-00002D310000}"/>
    <cellStyle name="Comma 4 3 3 4 3 3" xfId="23985" xr:uid="{00000000-0005-0000-0000-00002E310000}"/>
    <cellStyle name="Comma 4 3 3 4 4" xfId="7404" xr:uid="{00000000-0005-0000-0000-00002F310000}"/>
    <cellStyle name="Comma 4 3 3 4 4 2" xfId="16728" xr:uid="{00000000-0005-0000-0000-000030310000}"/>
    <cellStyle name="Comma 4 3 3 4 4 3" xfId="26051" xr:uid="{00000000-0005-0000-0000-000031310000}"/>
    <cellStyle name="Comma 4 3 3 4 5" xfId="11430" xr:uid="{00000000-0005-0000-0000-000032310000}"/>
    <cellStyle name="Comma 4 3 3 4 6" xfId="20754" xr:uid="{00000000-0005-0000-0000-000033310000}"/>
    <cellStyle name="Comma 4 3 3 5" xfId="3010" xr:uid="{00000000-0005-0000-0000-000034310000}"/>
    <cellStyle name="Comma 4 3 3 5 2" xfId="7689" xr:uid="{00000000-0005-0000-0000-000035310000}"/>
    <cellStyle name="Comma 4 3 3 5 2 2" xfId="17013" xr:uid="{00000000-0005-0000-0000-000036310000}"/>
    <cellStyle name="Comma 4 3 3 5 2 3" xfId="26336" xr:uid="{00000000-0005-0000-0000-000037310000}"/>
    <cellStyle name="Comma 4 3 3 5 3" xfId="12398" xr:uid="{00000000-0005-0000-0000-000038310000}"/>
    <cellStyle name="Comma 4 3 3 5 4" xfId="21724" xr:uid="{00000000-0005-0000-0000-000039310000}"/>
    <cellStyle name="Comma 4 3 3 6" xfId="4658" xr:uid="{00000000-0005-0000-0000-00003A310000}"/>
    <cellStyle name="Comma 4 3 3 6 2" xfId="13982" xr:uid="{00000000-0005-0000-0000-00003B310000}"/>
    <cellStyle name="Comma 4 3 3 6 3" xfId="23305" xr:uid="{00000000-0005-0000-0000-00003C310000}"/>
    <cellStyle name="Comma 4 3 3 7" xfId="10791" xr:uid="{00000000-0005-0000-0000-00003D310000}"/>
    <cellStyle name="Comma 4 3 3 8" xfId="20115" xr:uid="{00000000-0005-0000-0000-00003E310000}"/>
    <cellStyle name="Comma 4 3 4" xfId="1907" xr:uid="{00000000-0005-0000-0000-00003F310000}"/>
    <cellStyle name="Comma 4 3 4 2" xfId="1908" xr:uid="{00000000-0005-0000-0000-000040310000}"/>
    <cellStyle name="Comma 4 3 4 2 2" xfId="1909" xr:uid="{00000000-0005-0000-0000-000041310000}"/>
    <cellStyle name="Comma 4 3 4 2 2 2" xfId="3657" xr:uid="{00000000-0005-0000-0000-000042310000}"/>
    <cellStyle name="Comma 4 3 4 2 2 2 2" xfId="8336" xr:uid="{00000000-0005-0000-0000-000043310000}"/>
    <cellStyle name="Comma 4 3 4 2 2 2 2 2" xfId="17660" xr:uid="{00000000-0005-0000-0000-000044310000}"/>
    <cellStyle name="Comma 4 3 4 2 2 2 2 3" xfId="26983" xr:uid="{00000000-0005-0000-0000-000045310000}"/>
    <cellStyle name="Comma 4 3 4 2 2 2 3" xfId="13001" xr:uid="{00000000-0005-0000-0000-000046310000}"/>
    <cellStyle name="Comma 4 3 4 2 2 2 4" xfId="22327" xr:uid="{00000000-0005-0000-0000-000047310000}"/>
    <cellStyle name="Comma 4 3 4 2 2 3" xfId="5344" xr:uid="{00000000-0005-0000-0000-000048310000}"/>
    <cellStyle name="Comma 4 3 4 2 2 3 2" xfId="14668" xr:uid="{00000000-0005-0000-0000-000049310000}"/>
    <cellStyle name="Comma 4 3 4 2 2 3 3" xfId="23991" xr:uid="{00000000-0005-0000-0000-00004A310000}"/>
    <cellStyle name="Comma 4 3 4 2 2 4" xfId="7410" xr:uid="{00000000-0005-0000-0000-00004B310000}"/>
    <cellStyle name="Comma 4 3 4 2 2 4 2" xfId="16734" xr:uid="{00000000-0005-0000-0000-00004C310000}"/>
    <cellStyle name="Comma 4 3 4 2 2 4 3" xfId="26057" xr:uid="{00000000-0005-0000-0000-00004D310000}"/>
    <cellStyle name="Comma 4 3 4 2 2 5" xfId="11436" xr:uid="{00000000-0005-0000-0000-00004E310000}"/>
    <cellStyle name="Comma 4 3 4 2 2 6" xfId="20760" xr:uid="{00000000-0005-0000-0000-00004F310000}"/>
    <cellStyle name="Comma 4 3 4 2 3" xfId="3656" xr:uid="{00000000-0005-0000-0000-000050310000}"/>
    <cellStyle name="Comma 4 3 4 2 3 2" xfId="8335" xr:uid="{00000000-0005-0000-0000-000051310000}"/>
    <cellStyle name="Comma 4 3 4 2 3 2 2" xfId="17659" xr:uid="{00000000-0005-0000-0000-000052310000}"/>
    <cellStyle name="Comma 4 3 4 2 3 2 3" xfId="26982" xr:uid="{00000000-0005-0000-0000-000053310000}"/>
    <cellStyle name="Comma 4 3 4 2 3 3" xfId="13000" xr:uid="{00000000-0005-0000-0000-000054310000}"/>
    <cellStyle name="Comma 4 3 4 2 3 4" xfId="22326" xr:uid="{00000000-0005-0000-0000-000055310000}"/>
    <cellStyle name="Comma 4 3 4 2 4" xfId="5343" xr:uid="{00000000-0005-0000-0000-000056310000}"/>
    <cellStyle name="Comma 4 3 4 2 4 2" xfId="14667" xr:uid="{00000000-0005-0000-0000-000057310000}"/>
    <cellStyle name="Comma 4 3 4 2 4 3" xfId="23990" xr:uid="{00000000-0005-0000-0000-000058310000}"/>
    <cellStyle name="Comma 4 3 4 2 5" xfId="7409" xr:uid="{00000000-0005-0000-0000-000059310000}"/>
    <cellStyle name="Comma 4 3 4 2 5 2" xfId="16733" xr:uid="{00000000-0005-0000-0000-00005A310000}"/>
    <cellStyle name="Comma 4 3 4 2 5 3" xfId="26056" xr:uid="{00000000-0005-0000-0000-00005B310000}"/>
    <cellStyle name="Comma 4 3 4 2 6" xfId="11435" xr:uid="{00000000-0005-0000-0000-00005C310000}"/>
    <cellStyle name="Comma 4 3 4 2 7" xfId="20759" xr:uid="{00000000-0005-0000-0000-00005D310000}"/>
    <cellStyle name="Comma 4 3 4 3" xfId="1910" xr:uid="{00000000-0005-0000-0000-00005E310000}"/>
    <cellStyle name="Comma 4 3 4 3 2" xfId="3658" xr:uid="{00000000-0005-0000-0000-00005F310000}"/>
    <cellStyle name="Comma 4 3 4 3 2 2" xfId="8337" xr:uid="{00000000-0005-0000-0000-000060310000}"/>
    <cellStyle name="Comma 4 3 4 3 2 2 2" xfId="17661" xr:uid="{00000000-0005-0000-0000-000061310000}"/>
    <cellStyle name="Comma 4 3 4 3 2 2 3" xfId="26984" xr:uid="{00000000-0005-0000-0000-000062310000}"/>
    <cellStyle name="Comma 4 3 4 3 2 3" xfId="13002" xr:uid="{00000000-0005-0000-0000-000063310000}"/>
    <cellStyle name="Comma 4 3 4 3 2 4" xfId="22328" xr:uid="{00000000-0005-0000-0000-000064310000}"/>
    <cellStyle name="Comma 4 3 4 3 3" xfId="5345" xr:uid="{00000000-0005-0000-0000-000065310000}"/>
    <cellStyle name="Comma 4 3 4 3 3 2" xfId="14669" xr:uid="{00000000-0005-0000-0000-000066310000}"/>
    <cellStyle name="Comma 4 3 4 3 3 3" xfId="23992" xr:uid="{00000000-0005-0000-0000-000067310000}"/>
    <cellStyle name="Comma 4 3 4 3 4" xfId="7411" xr:uid="{00000000-0005-0000-0000-000068310000}"/>
    <cellStyle name="Comma 4 3 4 3 4 2" xfId="16735" xr:uid="{00000000-0005-0000-0000-000069310000}"/>
    <cellStyle name="Comma 4 3 4 3 4 3" xfId="26058" xr:uid="{00000000-0005-0000-0000-00006A310000}"/>
    <cellStyle name="Comma 4 3 4 3 5" xfId="11437" xr:uid="{00000000-0005-0000-0000-00006B310000}"/>
    <cellStyle name="Comma 4 3 4 3 6" xfId="20761" xr:uid="{00000000-0005-0000-0000-00006C310000}"/>
    <cellStyle name="Comma 4 3 4 4" xfId="3655" xr:uid="{00000000-0005-0000-0000-00006D310000}"/>
    <cellStyle name="Comma 4 3 4 4 2" xfId="8334" xr:uid="{00000000-0005-0000-0000-00006E310000}"/>
    <cellStyle name="Comma 4 3 4 4 2 2" xfId="17658" xr:uid="{00000000-0005-0000-0000-00006F310000}"/>
    <cellStyle name="Comma 4 3 4 4 2 3" xfId="26981" xr:uid="{00000000-0005-0000-0000-000070310000}"/>
    <cellStyle name="Comma 4 3 4 4 3" xfId="12999" xr:uid="{00000000-0005-0000-0000-000071310000}"/>
    <cellStyle name="Comma 4 3 4 4 4" xfId="22325" xr:uid="{00000000-0005-0000-0000-000072310000}"/>
    <cellStyle name="Comma 4 3 4 5" xfId="5342" xr:uid="{00000000-0005-0000-0000-000073310000}"/>
    <cellStyle name="Comma 4 3 4 5 2" xfId="14666" xr:uid="{00000000-0005-0000-0000-000074310000}"/>
    <cellStyle name="Comma 4 3 4 5 3" xfId="23989" xr:uid="{00000000-0005-0000-0000-000075310000}"/>
    <cellStyle name="Comma 4 3 4 6" xfId="7408" xr:uid="{00000000-0005-0000-0000-000076310000}"/>
    <cellStyle name="Comma 4 3 4 6 2" xfId="16732" xr:uid="{00000000-0005-0000-0000-000077310000}"/>
    <cellStyle name="Comma 4 3 4 6 3" xfId="26055" xr:uid="{00000000-0005-0000-0000-000078310000}"/>
    <cellStyle name="Comma 4 3 4 7" xfId="11434" xr:uid="{00000000-0005-0000-0000-000079310000}"/>
    <cellStyle name="Comma 4 3 4 8" xfId="20758" xr:uid="{00000000-0005-0000-0000-00007A310000}"/>
    <cellStyle name="Comma 4 3 5" xfId="1911" xr:uid="{00000000-0005-0000-0000-00007B310000}"/>
    <cellStyle name="Comma 4 3 5 2" xfId="1912" xr:uid="{00000000-0005-0000-0000-00007C310000}"/>
    <cellStyle name="Comma 4 3 5 2 2" xfId="3660" xr:uid="{00000000-0005-0000-0000-00007D310000}"/>
    <cellStyle name="Comma 4 3 5 2 2 2" xfId="8339" xr:uid="{00000000-0005-0000-0000-00007E310000}"/>
    <cellStyle name="Comma 4 3 5 2 2 2 2" xfId="17663" xr:uid="{00000000-0005-0000-0000-00007F310000}"/>
    <cellStyle name="Comma 4 3 5 2 2 2 3" xfId="26986" xr:uid="{00000000-0005-0000-0000-000080310000}"/>
    <cellStyle name="Comma 4 3 5 2 2 3" xfId="13004" xr:uid="{00000000-0005-0000-0000-000081310000}"/>
    <cellStyle name="Comma 4 3 5 2 2 4" xfId="22330" xr:uid="{00000000-0005-0000-0000-000082310000}"/>
    <cellStyle name="Comma 4 3 5 2 3" xfId="5347" xr:uid="{00000000-0005-0000-0000-000083310000}"/>
    <cellStyle name="Comma 4 3 5 2 3 2" xfId="14671" xr:uid="{00000000-0005-0000-0000-000084310000}"/>
    <cellStyle name="Comma 4 3 5 2 3 3" xfId="23994" xr:uid="{00000000-0005-0000-0000-000085310000}"/>
    <cellStyle name="Comma 4 3 5 2 4" xfId="7413" xr:uid="{00000000-0005-0000-0000-000086310000}"/>
    <cellStyle name="Comma 4 3 5 2 4 2" xfId="16737" xr:uid="{00000000-0005-0000-0000-000087310000}"/>
    <cellStyle name="Comma 4 3 5 2 4 3" xfId="26060" xr:uid="{00000000-0005-0000-0000-000088310000}"/>
    <cellStyle name="Comma 4 3 5 2 5" xfId="11439" xr:uid="{00000000-0005-0000-0000-000089310000}"/>
    <cellStyle name="Comma 4 3 5 2 6" xfId="20763" xr:uid="{00000000-0005-0000-0000-00008A310000}"/>
    <cellStyle name="Comma 4 3 5 3" xfId="3659" xr:uid="{00000000-0005-0000-0000-00008B310000}"/>
    <cellStyle name="Comma 4 3 5 3 2" xfId="8338" xr:uid="{00000000-0005-0000-0000-00008C310000}"/>
    <cellStyle name="Comma 4 3 5 3 2 2" xfId="17662" xr:uid="{00000000-0005-0000-0000-00008D310000}"/>
    <cellStyle name="Comma 4 3 5 3 2 3" xfId="26985" xr:uid="{00000000-0005-0000-0000-00008E310000}"/>
    <cellStyle name="Comma 4 3 5 3 3" xfId="13003" xr:uid="{00000000-0005-0000-0000-00008F310000}"/>
    <cellStyle name="Comma 4 3 5 3 4" xfId="22329" xr:uid="{00000000-0005-0000-0000-000090310000}"/>
    <cellStyle name="Comma 4 3 5 4" xfId="5346" xr:uid="{00000000-0005-0000-0000-000091310000}"/>
    <cellStyle name="Comma 4 3 5 4 2" xfId="14670" xr:uid="{00000000-0005-0000-0000-000092310000}"/>
    <cellStyle name="Comma 4 3 5 4 3" xfId="23993" xr:uid="{00000000-0005-0000-0000-000093310000}"/>
    <cellStyle name="Comma 4 3 5 5" xfId="7412" xr:uid="{00000000-0005-0000-0000-000094310000}"/>
    <cellStyle name="Comma 4 3 5 5 2" xfId="16736" xr:uid="{00000000-0005-0000-0000-000095310000}"/>
    <cellStyle name="Comma 4 3 5 5 3" xfId="26059" xr:uid="{00000000-0005-0000-0000-000096310000}"/>
    <cellStyle name="Comma 4 3 5 6" xfId="11438" xr:uid="{00000000-0005-0000-0000-000097310000}"/>
    <cellStyle name="Comma 4 3 5 7" xfId="20762" xr:uid="{00000000-0005-0000-0000-000098310000}"/>
    <cellStyle name="Comma 4 3 6" xfId="1913" xr:uid="{00000000-0005-0000-0000-000099310000}"/>
    <cellStyle name="Comma 4 3 6 2" xfId="3661" xr:uid="{00000000-0005-0000-0000-00009A310000}"/>
    <cellStyle name="Comma 4 3 6 2 2" xfId="8340" xr:uid="{00000000-0005-0000-0000-00009B310000}"/>
    <cellStyle name="Comma 4 3 6 2 2 2" xfId="17664" xr:uid="{00000000-0005-0000-0000-00009C310000}"/>
    <cellStyle name="Comma 4 3 6 2 2 3" xfId="26987" xr:uid="{00000000-0005-0000-0000-00009D310000}"/>
    <cellStyle name="Comma 4 3 6 2 3" xfId="13005" xr:uid="{00000000-0005-0000-0000-00009E310000}"/>
    <cellStyle name="Comma 4 3 6 2 4" xfId="22331" xr:uid="{00000000-0005-0000-0000-00009F310000}"/>
    <cellStyle name="Comma 4 3 6 3" xfId="5348" xr:uid="{00000000-0005-0000-0000-0000A0310000}"/>
    <cellStyle name="Comma 4 3 6 3 2" xfId="14672" xr:uid="{00000000-0005-0000-0000-0000A1310000}"/>
    <cellStyle name="Comma 4 3 6 3 3" xfId="23995" xr:uid="{00000000-0005-0000-0000-0000A2310000}"/>
    <cellStyle name="Comma 4 3 6 4" xfId="7414" xr:uid="{00000000-0005-0000-0000-0000A3310000}"/>
    <cellStyle name="Comma 4 3 6 4 2" xfId="16738" xr:uid="{00000000-0005-0000-0000-0000A4310000}"/>
    <cellStyle name="Comma 4 3 6 4 3" xfId="26061" xr:uid="{00000000-0005-0000-0000-0000A5310000}"/>
    <cellStyle name="Comma 4 3 6 5" xfId="11440" xr:uid="{00000000-0005-0000-0000-0000A6310000}"/>
    <cellStyle name="Comma 4 3 6 6" xfId="20764" xr:uid="{00000000-0005-0000-0000-0000A7310000}"/>
    <cellStyle name="Comma 4 3 7" xfId="1914" xr:uid="{00000000-0005-0000-0000-0000A8310000}"/>
    <cellStyle name="Comma 4 3 7 2" xfId="3662" xr:uid="{00000000-0005-0000-0000-0000A9310000}"/>
    <cellStyle name="Comma 4 3 7 2 2" xfId="8341" xr:uid="{00000000-0005-0000-0000-0000AA310000}"/>
    <cellStyle name="Comma 4 3 7 2 2 2" xfId="17665" xr:uid="{00000000-0005-0000-0000-0000AB310000}"/>
    <cellStyle name="Comma 4 3 7 2 2 3" xfId="26988" xr:uid="{00000000-0005-0000-0000-0000AC310000}"/>
    <cellStyle name="Comma 4 3 7 2 3" xfId="13006" xr:uid="{00000000-0005-0000-0000-0000AD310000}"/>
    <cellStyle name="Comma 4 3 7 2 4" xfId="22332" xr:uid="{00000000-0005-0000-0000-0000AE310000}"/>
    <cellStyle name="Comma 4 3 7 3" xfId="5349" xr:uid="{00000000-0005-0000-0000-0000AF310000}"/>
    <cellStyle name="Comma 4 3 7 3 2" xfId="14673" xr:uid="{00000000-0005-0000-0000-0000B0310000}"/>
    <cellStyle name="Comma 4 3 7 3 3" xfId="23996" xr:uid="{00000000-0005-0000-0000-0000B1310000}"/>
    <cellStyle name="Comma 4 3 7 4" xfId="7415" xr:uid="{00000000-0005-0000-0000-0000B2310000}"/>
    <cellStyle name="Comma 4 3 7 4 2" xfId="16739" xr:uid="{00000000-0005-0000-0000-0000B3310000}"/>
    <cellStyle name="Comma 4 3 7 4 3" xfId="26062" xr:uid="{00000000-0005-0000-0000-0000B4310000}"/>
    <cellStyle name="Comma 4 3 7 5" xfId="11441" xr:uid="{00000000-0005-0000-0000-0000B5310000}"/>
    <cellStyle name="Comma 4 3 7 6" xfId="20765" xr:uid="{00000000-0005-0000-0000-0000B6310000}"/>
    <cellStyle name="Comma 4 3 8" xfId="1915" xr:uid="{00000000-0005-0000-0000-0000B7310000}"/>
    <cellStyle name="Comma 4 3 8 2" xfId="3663" xr:uid="{00000000-0005-0000-0000-0000B8310000}"/>
    <cellStyle name="Comma 4 3 8 2 2" xfId="8342" xr:uid="{00000000-0005-0000-0000-0000B9310000}"/>
    <cellStyle name="Comma 4 3 8 2 2 2" xfId="17666" xr:uid="{00000000-0005-0000-0000-0000BA310000}"/>
    <cellStyle name="Comma 4 3 8 2 2 3" xfId="26989" xr:uid="{00000000-0005-0000-0000-0000BB310000}"/>
    <cellStyle name="Comma 4 3 8 2 3" xfId="13007" xr:uid="{00000000-0005-0000-0000-0000BC310000}"/>
    <cellStyle name="Comma 4 3 8 2 4" xfId="22333" xr:uid="{00000000-0005-0000-0000-0000BD310000}"/>
    <cellStyle name="Comma 4 3 8 3" xfId="5350" xr:uid="{00000000-0005-0000-0000-0000BE310000}"/>
    <cellStyle name="Comma 4 3 8 3 2" xfId="14674" xr:uid="{00000000-0005-0000-0000-0000BF310000}"/>
    <cellStyle name="Comma 4 3 8 3 3" xfId="23997" xr:uid="{00000000-0005-0000-0000-0000C0310000}"/>
    <cellStyle name="Comma 4 3 8 4" xfId="7416" xr:uid="{00000000-0005-0000-0000-0000C1310000}"/>
    <cellStyle name="Comma 4 3 8 4 2" xfId="16740" xr:uid="{00000000-0005-0000-0000-0000C2310000}"/>
    <cellStyle name="Comma 4 3 8 4 3" xfId="26063" xr:uid="{00000000-0005-0000-0000-0000C3310000}"/>
    <cellStyle name="Comma 4 3 8 5" xfId="11442" xr:uid="{00000000-0005-0000-0000-0000C4310000}"/>
    <cellStyle name="Comma 4 3 8 6" xfId="20766" xr:uid="{00000000-0005-0000-0000-0000C5310000}"/>
    <cellStyle name="Comma 4 3 9" xfId="1887" xr:uid="{00000000-0005-0000-0000-0000C6310000}"/>
    <cellStyle name="Comma 4 3 9 2" xfId="3635" xr:uid="{00000000-0005-0000-0000-0000C7310000}"/>
    <cellStyle name="Comma 4 3 9 2 2" xfId="8314" xr:uid="{00000000-0005-0000-0000-0000C8310000}"/>
    <cellStyle name="Comma 4 3 9 2 2 2" xfId="17638" xr:uid="{00000000-0005-0000-0000-0000C9310000}"/>
    <cellStyle name="Comma 4 3 9 2 2 3" xfId="26961" xr:uid="{00000000-0005-0000-0000-0000CA310000}"/>
    <cellStyle name="Comma 4 3 9 2 3" xfId="12980" xr:uid="{00000000-0005-0000-0000-0000CB310000}"/>
    <cellStyle name="Comma 4 3 9 2 4" xfId="22306" xr:uid="{00000000-0005-0000-0000-0000CC310000}"/>
    <cellStyle name="Comma 4 3 9 3" xfId="5322" xr:uid="{00000000-0005-0000-0000-0000CD310000}"/>
    <cellStyle name="Comma 4 3 9 3 2" xfId="14646" xr:uid="{00000000-0005-0000-0000-0000CE310000}"/>
    <cellStyle name="Comma 4 3 9 3 3" xfId="23969" xr:uid="{00000000-0005-0000-0000-0000CF310000}"/>
    <cellStyle name="Comma 4 3 9 4" xfId="7388" xr:uid="{00000000-0005-0000-0000-0000D0310000}"/>
    <cellStyle name="Comma 4 3 9 4 2" xfId="16712" xr:uid="{00000000-0005-0000-0000-0000D1310000}"/>
    <cellStyle name="Comma 4 3 9 4 3" xfId="26035" xr:uid="{00000000-0005-0000-0000-0000D2310000}"/>
    <cellStyle name="Comma 4 3 9 5" xfId="11414" xr:uid="{00000000-0005-0000-0000-0000D3310000}"/>
    <cellStyle name="Comma 4 3 9 6" xfId="20738" xr:uid="{00000000-0005-0000-0000-0000D4310000}"/>
    <cellStyle name="Comma 4 4" xfId="1161" xr:uid="{00000000-0005-0000-0000-0000D5310000}"/>
    <cellStyle name="Comma 4 4 10" xfId="20083" xr:uid="{00000000-0005-0000-0000-0000D6310000}"/>
    <cellStyle name="Comma 4 4 2" xfId="1200" xr:uid="{00000000-0005-0000-0000-0000D7310000}"/>
    <cellStyle name="Comma 4 4 2 10" xfId="10792" xr:uid="{00000000-0005-0000-0000-0000D8310000}"/>
    <cellStyle name="Comma 4 4 2 11" xfId="20116" xr:uid="{00000000-0005-0000-0000-0000D9310000}"/>
    <cellStyle name="Comma 4 4 2 2" xfId="1918" xr:uid="{00000000-0005-0000-0000-0000DA310000}"/>
    <cellStyle name="Comma 4 4 2 2 2" xfId="1919" xr:uid="{00000000-0005-0000-0000-0000DB310000}"/>
    <cellStyle name="Comma 4 4 2 2 2 2" xfId="1920" xr:uid="{00000000-0005-0000-0000-0000DC310000}"/>
    <cellStyle name="Comma 4 4 2 2 2 2 2" xfId="3668" xr:uid="{00000000-0005-0000-0000-0000DD310000}"/>
    <cellStyle name="Comma 4 4 2 2 2 2 2 2" xfId="8347" xr:uid="{00000000-0005-0000-0000-0000DE310000}"/>
    <cellStyle name="Comma 4 4 2 2 2 2 2 2 2" xfId="17671" xr:uid="{00000000-0005-0000-0000-0000DF310000}"/>
    <cellStyle name="Comma 4 4 2 2 2 2 2 2 3" xfId="26994" xr:uid="{00000000-0005-0000-0000-0000E0310000}"/>
    <cellStyle name="Comma 4 4 2 2 2 2 2 3" xfId="13012" xr:uid="{00000000-0005-0000-0000-0000E1310000}"/>
    <cellStyle name="Comma 4 4 2 2 2 2 2 4" xfId="22338" xr:uid="{00000000-0005-0000-0000-0000E2310000}"/>
    <cellStyle name="Comma 4 4 2 2 2 2 3" xfId="5355" xr:uid="{00000000-0005-0000-0000-0000E3310000}"/>
    <cellStyle name="Comma 4 4 2 2 2 2 3 2" xfId="14679" xr:uid="{00000000-0005-0000-0000-0000E4310000}"/>
    <cellStyle name="Comma 4 4 2 2 2 2 3 3" xfId="24002" xr:uid="{00000000-0005-0000-0000-0000E5310000}"/>
    <cellStyle name="Comma 4 4 2 2 2 2 4" xfId="7421" xr:uid="{00000000-0005-0000-0000-0000E6310000}"/>
    <cellStyle name="Comma 4 4 2 2 2 2 4 2" xfId="16745" xr:uid="{00000000-0005-0000-0000-0000E7310000}"/>
    <cellStyle name="Comma 4 4 2 2 2 2 4 3" xfId="26068" xr:uid="{00000000-0005-0000-0000-0000E8310000}"/>
    <cellStyle name="Comma 4 4 2 2 2 2 5" xfId="11447" xr:uid="{00000000-0005-0000-0000-0000E9310000}"/>
    <cellStyle name="Comma 4 4 2 2 2 2 6" xfId="20771" xr:uid="{00000000-0005-0000-0000-0000EA310000}"/>
    <cellStyle name="Comma 4 4 2 2 2 3" xfId="3667" xr:uid="{00000000-0005-0000-0000-0000EB310000}"/>
    <cellStyle name="Comma 4 4 2 2 2 3 2" xfId="8346" xr:uid="{00000000-0005-0000-0000-0000EC310000}"/>
    <cellStyle name="Comma 4 4 2 2 2 3 2 2" xfId="17670" xr:uid="{00000000-0005-0000-0000-0000ED310000}"/>
    <cellStyle name="Comma 4 4 2 2 2 3 2 3" xfId="26993" xr:uid="{00000000-0005-0000-0000-0000EE310000}"/>
    <cellStyle name="Comma 4 4 2 2 2 3 3" xfId="13011" xr:uid="{00000000-0005-0000-0000-0000EF310000}"/>
    <cellStyle name="Comma 4 4 2 2 2 3 4" xfId="22337" xr:uid="{00000000-0005-0000-0000-0000F0310000}"/>
    <cellStyle name="Comma 4 4 2 2 2 4" xfId="5354" xr:uid="{00000000-0005-0000-0000-0000F1310000}"/>
    <cellStyle name="Comma 4 4 2 2 2 4 2" xfId="14678" xr:uid="{00000000-0005-0000-0000-0000F2310000}"/>
    <cellStyle name="Comma 4 4 2 2 2 4 3" xfId="24001" xr:uid="{00000000-0005-0000-0000-0000F3310000}"/>
    <cellStyle name="Comma 4 4 2 2 2 5" xfId="7420" xr:uid="{00000000-0005-0000-0000-0000F4310000}"/>
    <cellStyle name="Comma 4 4 2 2 2 5 2" xfId="16744" xr:uid="{00000000-0005-0000-0000-0000F5310000}"/>
    <cellStyle name="Comma 4 4 2 2 2 5 3" xfId="26067" xr:uid="{00000000-0005-0000-0000-0000F6310000}"/>
    <cellStyle name="Comma 4 4 2 2 2 6" xfId="11446" xr:uid="{00000000-0005-0000-0000-0000F7310000}"/>
    <cellStyle name="Comma 4 4 2 2 2 7" xfId="20770" xr:uid="{00000000-0005-0000-0000-0000F8310000}"/>
    <cellStyle name="Comma 4 4 2 2 3" xfId="1921" xr:uid="{00000000-0005-0000-0000-0000F9310000}"/>
    <cellStyle name="Comma 4 4 2 2 3 2" xfId="3669" xr:uid="{00000000-0005-0000-0000-0000FA310000}"/>
    <cellStyle name="Comma 4 4 2 2 3 2 2" xfId="8348" xr:uid="{00000000-0005-0000-0000-0000FB310000}"/>
    <cellStyle name="Comma 4 4 2 2 3 2 2 2" xfId="17672" xr:uid="{00000000-0005-0000-0000-0000FC310000}"/>
    <cellStyle name="Comma 4 4 2 2 3 2 2 3" xfId="26995" xr:uid="{00000000-0005-0000-0000-0000FD310000}"/>
    <cellStyle name="Comma 4 4 2 2 3 2 3" xfId="13013" xr:uid="{00000000-0005-0000-0000-0000FE310000}"/>
    <cellStyle name="Comma 4 4 2 2 3 2 4" xfId="22339" xr:uid="{00000000-0005-0000-0000-0000FF310000}"/>
    <cellStyle name="Comma 4 4 2 2 3 3" xfId="5356" xr:uid="{00000000-0005-0000-0000-000000320000}"/>
    <cellStyle name="Comma 4 4 2 2 3 3 2" xfId="14680" xr:uid="{00000000-0005-0000-0000-000001320000}"/>
    <cellStyle name="Comma 4 4 2 2 3 3 3" xfId="24003" xr:uid="{00000000-0005-0000-0000-000002320000}"/>
    <cellStyle name="Comma 4 4 2 2 3 4" xfId="7422" xr:uid="{00000000-0005-0000-0000-000003320000}"/>
    <cellStyle name="Comma 4 4 2 2 3 4 2" xfId="16746" xr:uid="{00000000-0005-0000-0000-000004320000}"/>
    <cellStyle name="Comma 4 4 2 2 3 4 3" xfId="26069" xr:uid="{00000000-0005-0000-0000-000005320000}"/>
    <cellStyle name="Comma 4 4 2 2 3 5" xfId="11448" xr:uid="{00000000-0005-0000-0000-000006320000}"/>
    <cellStyle name="Comma 4 4 2 2 3 6" xfId="20772" xr:uid="{00000000-0005-0000-0000-000007320000}"/>
    <cellStyle name="Comma 4 4 2 2 4" xfId="3666" xr:uid="{00000000-0005-0000-0000-000008320000}"/>
    <cellStyle name="Comma 4 4 2 2 4 2" xfId="8345" xr:uid="{00000000-0005-0000-0000-000009320000}"/>
    <cellStyle name="Comma 4 4 2 2 4 2 2" xfId="17669" xr:uid="{00000000-0005-0000-0000-00000A320000}"/>
    <cellStyle name="Comma 4 4 2 2 4 2 3" xfId="26992" xr:uid="{00000000-0005-0000-0000-00000B320000}"/>
    <cellStyle name="Comma 4 4 2 2 4 3" xfId="13010" xr:uid="{00000000-0005-0000-0000-00000C320000}"/>
    <cellStyle name="Comma 4 4 2 2 4 4" xfId="22336" xr:uid="{00000000-0005-0000-0000-00000D320000}"/>
    <cellStyle name="Comma 4 4 2 2 5" xfId="5353" xr:uid="{00000000-0005-0000-0000-00000E320000}"/>
    <cellStyle name="Comma 4 4 2 2 5 2" xfId="14677" xr:uid="{00000000-0005-0000-0000-00000F320000}"/>
    <cellStyle name="Comma 4 4 2 2 5 3" xfId="24000" xr:uid="{00000000-0005-0000-0000-000010320000}"/>
    <cellStyle name="Comma 4 4 2 2 6" xfId="7419" xr:uid="{00000000-0005-0000-0000-000011320000}"/>
    <cellStyle name="Comma 4 4 2 2 6 2" xfId="16743" xr:uid="{00000000-0005-0000-0000-000012320000}"/>
    <cellStyle name="Comma 4 4 2 2 6 3" xfId="26066" xr:uid="{00000000-0005-0000-0000-000013320000}"/>
    <cellStyle name="Comma 4 4 2 2 7" xfId="11445" xr:uid="{00000000-0005-0000-0000-000014320000}"/>
    <cellStyle name="Comma 4 4 2 2 8" xfId="20769" xr:uid="{00000000-0005-0000-0000-000015320000}"/>
    <cellStyle name="Comma 4 4 2 3" xfId="1922" xr:uid="{00000000-0005-0000-0000-000016320000}"/>
    <cellStyle name="Comma 4 4 2 3 2" xfId="1923" xr:uid="{00000000-0005-0000-0000-000017320000}"/>
    <cellStyle name="Comma 4 4 2 3 2 2" xfId="3671" xr:uid="{00000000-0005-0000-0000-000018320000}"/>
    <cellStyle name="Comma 4 4 2 3 2 2 2" xfId="8350" xr:uid="{00000000-0005-0000-0000-000019320000}"/>
    <cellStyle name="Comma 4 4 2 3 2 2 2 2" xfId="17674" xr:uid="{00000000-0005-0000-0000-00001A320000}"/>
    <cellStyle name="Comma 4 4 2 3 2 2 2 3" xfId="26997" xr:uid="{00000000-0005-0000-0000-00001B320000}"/>
    <cellStyle name="Comma 4 4 2 3 2 2 3" xfId="13015" xr:uid="{00000000-0005-0000-0000-00001C320000}"/>
    <cellStyle name="Comma 4 4 2 3 2 2 4" xfId="22341" xr:uid="{00000000-0005-0000-0000-00001D320000}"/>
    <cellStyle name="Comma 4 4 2 3 2 3" xfId="5358" xr:uid="{00000000-0005-0000-0000-00001E320000}"/>
    <cellStyle name="Comma 4 4 2 3 2 3 2" xfId="14682" xr:uid="{00000000-0005-0000-0000-00001F320000}"/>
    <cellStyle name="Comma 4 4 2 3 2 3 3" xfId="24005" xr:uid="{00000000-0005-0000-0000-000020320000}"/>
    <cellStyle name="Comma 4 4 2 3 2 4" xfId="7424" xr:uid="{00000000-0005-0000-0000-000021320000}"/>
    <cellStyle name="Comma 4 4 2 3 2 4 2" xfId="16748" xr:uid="{00000000-0005-0000-0000-000022320000}"/>
    <cellStyle name="Comma 4 4 2 3 2 4 3" xfId="26071" xr:uid="{00000000-0005-0000-0000-000023320000}"/>
    <cellStyle name="Comma 4 4 2 3 2 5" xfId="11450" xr:uid="{00000000-0005-0000-0000-000024320000}"/>
    <cellStyle name="Comma 4 4 2 3 2 6" xfId="20774" xr:uid="{00000000-0005-0000-0000-000025320000}"/>
    <cellStyle name="Comma 4 4 2 3 3" xfId="3670" xr:uid="{00000000-0005-0000-0000-000026320000}"/>
    <cellStyle name="Comma 4 4 2 3 3 2" xfId="8349" xr:uid="{00000000-0005-0000-0000-000027320000}"/>
    <cellStyle name="Comma 4 4 2 3 3 2 2" xfId="17673" xr:uid="{00000000-0005-0000-0000-000028320000}"/>
    <cellStyle name="Comma 4 4 2 3 3 2 3" xfId="26996" xr:uid="{00000000-0005-0000-0000-000029320000}"/>
    <cellStyle name="Comma 4 4 2 3 3 3" xfId="13014" xr:uid="{00000000-0005-0000-0000-00002A320000}"/>
    <cellStyle name="Comma 4 4 2 3 3 4" xfId="22340" xr:uid="{00000000-0005-0000-0000-00002B320000}"/>
    <cellStyle name="Comma 4 4 2 3 4" xfId="5357" xr:uid="{00000000-0005-0000-0000-00002C320000}"/>
    <cellStyle name="Comma 4 4 2 3 4 2" xfId="14681" xr:uid="{00000000-0005-0000-0000-00002D320000}"/>
    <cellStyle name="Comma 4 4 2 3 4 3" xfId="24004" xr:uid="{00000000-0005-0000-0000-00002E320000}"/>
    <cellStyle name="Comma 4 4 2 3 5" xfId="7423" xr:uid="{00000000-0005-0000-0000-00002F320000}"/>
    <cellStyle name="Comma 4 4 2 3 5 2" xfId="16747" xr:uid="{00000000-0005-0000-0000-000030320000}"/>
    <cellStyle name="Comma 4 4 2 3 5 3" xfId="26070" xr:uid="{00000000-0005-0000-0000-000031320000}"/>
    <cellStyle name="Comma 4 4 2 3 6" xfId="11449" xr:uid="{00000000-0005-0000-0000-000032320000}"/>
    <cellStyle name="Comma 4 4 2 3 7" xfId="20773" xr:uid="{00000000-0005-0000-0000-000033320000}"/>
    <cellStyle name="Comma 4 4 2 4" xfId="1924" xr:uid="{00000000-0005-0000-0000-000034320000}"/>
    <cellStyle name="Comma 4 4 2 4 2" xfId="3672" xr:uid="{00000000-0005-0000-0000-000035320000}"/>
    <cellStyle name="Comma 4 4 2 4 2 2" xfId="8351" xr:uid="{00000000-0005-0000-0000-000036320000}"/>
    <cellStyle name="Comma 4 4 2 4 2 2 2" xfId="17675" xr:uid="{00000000-0005-0000-0000-000037320000}"/>
    <cellStyle name="Comma 4 4 2 4 2 2 3" xfId="26998" xr:uid="{00000000-0005-0000-0000-000038320000}"/>
    <cellStyle name="Comma 4 4 2 4 2 3" xfId="13016" xr:uid="{00000000-0005-0000-0000-000039320000}"/>
    <cellStyle name="Comma 4 4 2 4 2 4" xfId="22342" xr:uid="{00000000-0005-0000-0000-00003A320000}"/>
    <cellStyle name="Comma 4 4 2 4 3" xfId="5359" xr:uid="{00000000-0005-0000-0000-00003B320000}"/>
    <cellStyle name="Comma 4 4 2 4 3 2" xfId="14683" xr:uid="{00000000-0005-0000-0000-00003C320000}"/>
    <cellStyle name="Comma 4 4 2 4 3 3" xfId="24006" xr:uid="{00000000-0005-0000-0000-00003D320000}"/>
    <cellStyle name="Comma 4 4 2 4 4" xfId="7425" xr:uid="{00000000-0005-0000-0000-00003E320000}"/>
    <cellStyle name="Comma 4 4 2 4 4 2" xfId="16749" xr:uid="{00000000-0005-0000-0000-00003F320000}"/>
    <cellStyle name="Comma 4 4 2 4 4 3" xfId="26072" xr:uid="{00000000-0005-0000-0000-000040320000}"/>
    <cellStyle name="Comma 4 4 2 4 5" xfId="11451" xr:uid="{00000000-0005-0000-0000-000041320000}"/>
    <cellStyle name="Comma 4 4 2 4 6" xfId="20775" xr:uid="{00000000-0005-0000-0000-000042320000}"/>
    <cellStyle name="Comma 4 4 2 5" xfId="1925" xr:uid="{00000000-0005-0000-0000-000043320000}"/>
    <cellStyle name="Comma 4 4 2 5 2" xfId="3673" xr:uid="{00000000-0005-0000-0000-000044320000}"/>
    <cellStyle name="Comma 4 4 2 5 2 2" xfId="8352" xr:uid="{00000000-0005-0000-0000-000045320000}"/>
    <cellStyle name="Comma 4 4 2 5 2 2 2" xfId="17676" xr:uid="{00000000-0005-0000-0000-000046320000}"/>
    <cellStyle name="Comma 4 4 2 5 2 2 3" xfId="26999" xr:uid="{00000000-0005-0000-0000-000047320000}"/>
    <cellStyle name="Comma 4 4 2 5 2 3" xfId="13017" xr:uid="{00000000-0005-0000-0000-000048320000}"/>
    <cellStyle name="Comma 4 4 2 5 2 4" xfId="22343" xr:uid="{00000000-0005-0000-0000-000049320000}"/>
    <cellStyle name="Comma 4 4 2 5 3" xfId="5360" xr:uid="{00000000-0005-0000-0000-00004A320000}"/>
    <cellStyle name="Comma 4 4 2 5 3 2" xfId="14684" xr:uid="{00000000-0005-0000-0000-00004B320000}"/>
    <cellStyle name="Comma 4 4 2 5 3 3" xfId="24007" xr:uid="{00000000-0005-0000-0000-00004C320000}"/>
    <cellStyle name="Comma 4 4 2 5 4" xfId="7426" xr:uid="{00000000-0005-0000-0000-00004D320000}"/>
    <cellStyle name="Comma 4 4 2 5 4 2" xfId="16750" xr:uid="{00000000-0005-0000-0000-00004E320000}"/>
    <cellStyle name="Comma 4 4 2 5 4 3" xfId="26073" xr:uid="{00000000-0005-0000-0000-00004F320000}"/>
    <cellStyle name="Comma 4 4 2 5 5" xfId="11452" xr:uid="{00000000-0005-0000-0000-000050320000}"/>
    <cellStyle name="Comma 4 4 2 5 6" xfId="20776" xr:uid="{00000000-0005-0000-0000-000051320000}"/>
    <cellStyle name="Comma 4 4 2 6" xfId="1926" xr:uid="{00000000-0005-0000-0000-000052320000}"/>
    <cellStyle name="Comma 4 4 2 6 2" xfId="3674" xr:uid="{00000000-0005-0000-0000-000053320000}"/>
    <cellStyle name="Comma 4 4 2 6 2 2" xfId="8353" xr:uid="{00000000-0005-0000-0000-000054320000}"/>
    <cellStyle name="Comma 4 4 2 6 2 2 2" xfId="17677" xr:uid="{00000000-0005-0000-0000-000055320000}"/>
    <cellStyle name="Comma 4 4 2 6 2 2 3" xfId="27000" xr:uid="{00000000-0005-0000-0000-000056320000}"/>
    <cellStyle name="Comma 4 4 2 6 2 3" xfId="13018" xr:uid="{00000000-0005-0000-0000-000057320000}"/>
    <cellStyle name="Comma 4 4 2 6 2 4" xfId="22344" xr:uid="{00000000-0005-0000-0000-000058320000}"/>
    <cellStyle name="Comma 4 4 2 6 3" xfId="5361" xr:uid="{00000000-0005-0000-0000-000059320000}"/>
    <cellStyle name="Comma 4 4 2 6 3 2" xfId="14685" xr:uid="{00000000-0005-0000-0000-00005A320000}"/>
    <cellStyle name="Comma 4 4 2 6 3 3" xfId="24008" xr:uid="{00000000-0005-0000-0000-00005B320000}"/>
    <cellStyle name="Comma 4 4 2 6 4" xfId="7427" xr:uid="{00000000-0005-0000-0000-00005C320000}"/>
    <cellStyle name="Comma 4 4 2 6 4 2" xfId="16751" xr:uid="{00000000-0005-0000-0000-00005D320000}"/>
    <cellStyle name="Comma 4 4 2 6 4 3" xfId="26074" xr:uid="{00000000-0005-0000-0000-00005E320000}"/>
    <cellStyle name="Comma 4 4 2 6 5" xfId="11453" xr:uid="{00000000-0005-0000-0000-00005F320000}"/>
    <cellStyle name="Comma 4 4 2 6 6" xfId="20777" xr:uid="{00000000-0005-0000-0000-000060320000}"/>
    <cellStyle name="Comma 4 4 2 7" xfId="1917" xr:uid="{00000000-0005-0000-0000-000061320000}"/>
    <cellStyle name="Comma 4 4 2 7 2" xfId="3665" xr:uid="{00000000-0005-0000-0000-000062320000}"/>
    <cellStyle name="Comma 4 4 2 7 2 2" xfId="8344" xr:uid="{00000000-0005-0000-0000-000063320000}"/>
    <cellStyle name="Comma 4 4 2 7 2 2 2" xfId="17668" xr:uid="{00000000-0005-0000-0000-000064320000}"/>
    <cellStyle name="Comma 4 4 2 7 2 2 3" xfId="26991" xr:uid="{00000000-0005-0000-0000-000065320000}"/>
    <cellStyle name="Comma 4 4 2 7 2 3" xfId="13009" xr:uid="{00000000-0005-0000-0000-000066320000}"/>
    <cellStyle name="Comma 4 4 2 7 2 4" xfId="22335" xr:uid="{00000000-0005-0000-0000-000067320000}"/>
    <cellStyle name="Comma 4 4 2 7 3" xfId="5352" xr:uid="{00000000-0005-0000-0000-000068320000}"/>
    <cellStyle name="Comma 4 4 2 7 3 2" xfId="14676" xr:uid="{00000000-0005-0000-0000-000069320000}"/>
    <cellStyle name="Comma 4 4 2 7 3 3" xfId="23999" xr:uid="{00000000-0005-0000-0000-00006A320000}"/>
    <cellStyle name="Comma 4 4 2 7 4" xfId="7418" xr:uid="{00000000-0005-0000-0000-00006B320000}"/>
    <cellStyle name="Comma 4 4 2 7 4 2" xfId="16742" xr:uid="{00000000-0005-0000-0000-00006C320000}"/>
    <cellStyle name="Comma 4 4 2 7 4 3" xfId="26065" xr:uid="{00000000-0005-0000-0000-00006D320000}"/>
    <cellStyle name="Comma 4 4 2 7 5" xfId="11444" xr:uid="{00000000-0005-0000-0000-00006E320000}"/>
    <cellStyle name="Comma 4 4 2 7 6" xfId="20768" xr:uid="{00000000-0005-0000-0000-00006F320000}"/>
    <cellStyle name="Comma 4 4 2 8" xfId="3011" xr:uid="{00000000-0005-0000-0000-000070320000}"/>
    <cellStyle name="Comma 4 4 2 8 2" xfId="7690" xr:uid="{00000000-0005-0000-0000-000071320000}"/>
    <cellStyle name="Comma 4 4 2 8 2 2" xfId="17014" xr:uid="{00000000-0005-0000-0000-000072320000}"/>
    <cellStyle name="Comma 4 4 2 8 2 3" xfId="26337" xr:uid="{00000000-0005-0000-0000-000073320000}"/>
    <cellStyle name="Comma 4 4 2 8 3" xfId="12399" xr:uid="{00000000-0005-0000-0000-000074320000}"/>
    <cellStyle name="Comma 4 4 2 8 4" xfId="21725" xr:uid="{00000000-0005-0000-0000-000075320000}"/>
    <cellStyle name="Comma 4 4 2 9" xfId="4659" xr:uid="{00000000-0005-0000-0000-000076320000}"/>
    <cellStyle name="Comma 4 4 2 9 2" xfId="13983" xr:uid="{00000000-0005-0000-0000-000077320000}"/>
    <cellStyle name="Comma 4 4 2 9 3" xfId="23306" xr:uid="{00000000-0005-0000-0000-000078320000}"/>
    <cellStyle name="Comma 4 4 3" xfId="1927" xr:uid="{00000000-0005-0000-0000-000079320000}"/>
    <cellStyle name="Comma 4 4 3 2" xfId="3675" xr:uid="{00000000-0005-0000-0000-00007A320000}"/>
    <cellStyle name="Comma 4 4 3 2 2" xfId="8354" xr:uid="{00000000-0005-0000-0000-00007B320000}"/>
    <cellStyle name="Comma 4 4 3 2 2 2" xfId="17678" xr:uid="{00000000-0005-0000-0000-00007C320000}"/>
    <cellStyle name="Comma 4 4 3 2 2 3" xfId="27001" xr:uid="{00000000-0005-0000-0000-00007D320000}"/>
    <cellStyle name="Comma 4 4 3 3" xfId="7428" xr:uid="{00000000-0005-0000-0000-00007E320000}"/>
    <cellStyle name="Comma 4 4 3 3 2" xfId="16752" xr:uid="{00000000-0005-0000-0000-00007F320000}"/>
    <cellStyle name="Comma 4 4 3 3 3" xfId="26075" xr:uid="{00000000-0005-0000-0000-000080320000}"/>
    <cellStyle name="Comma 4 4 3 4" xfId="11454" xr:uid="{00000000-0005-0000-0000-000081320000}"/>
    <cellStyle name="Comma 4 4 3 5" xfId="20778" xr:uid="{00000000-0005-0000-0000-000082320000}"/>
    <cellStyle name="Comma 4 4 4" xfId="1928" xr:uid="{00000000-0005-0000-0000-000083320000}"/>
    <cellStyle name="Comma 4 4 4 2" xfId="1929" xr:uid="{00000000-0005-0000-0000-000084320000}"/>
    <cellStyle name="Comma 4 4 4 2 2" xfId="3677" xr:uid="{00000000-0005-0000-0000-000085320000}"/>
    <cellStyle name="Comma 4 4 4 2 2 2" xfId="8356" xr:uid="{00000000-0005-0000-0000-000086320000}"/>
    <cellStyle name="Comma 4 4 4 2 2 2 2" xfId="17680" xr:uid="{00000000-0005-0000-0000-000087320000}"/>
    <cellStyle name="Comma 4 4 4 2 2 2 3" xfId="27003" xr:uid="{00000000-0005-0000-0000-000088320000}"/>
    <cellStyle name="Comma 4 4 4 2 2 3" xfId="13020" xr:uid="{00000000-0005-0000-0000-000089320000}"/>
    <cellStyle name="Comma 4 4 4 2 2 4" xfId="22346" xr:uid="{00000000-0005-0000-0000-00008A320000}"/>
    <cellStyle name="Comma 4 4 4 2 3" xfId="5364" xr:uid="{00000000-0005-0000-0000-00008B320000}"/>
    <cellStyle name="Comma 4 4 4 2 3 2" xfId="14688" xr:uid="{00000000-0005-0000-0000-00008C320000}"/>
    <cellStyle name="Comma 4 4 4 2 3 3" xfId="24011" xr:uid="{00000000-0005-0000-0000-00008D320000}"/>
    <cellStyle name="Comma 4 4 4 2 4" xfId="7430" xr:uid="{00000000-0005-0000-0000-00008E320000}"/>
    <cellStyle name="Comma 4 4 4 2 4 2" xfId="16754" xr:uid="{00000000-0005-0000-0000-00008F320000}"/>
    <cellStyle name="Comma 4 4 4 2 4 3" xfId="26077" xr:uid="{00000000-0005-0000-0000-000090320000}"/>
    <cellStyle name="Comma 4 4 4 2 5" xfId="11456" xr:uid="{00000000-0005-0000-0000-000091320000}"/>
    <cellStyle name="Comma 4 4 4 2 6" xfId="20780" xr:uid="{00000000-0005-0000-0000-000092320000}"/>
    <cellStyle name="Comma 4 4 4 3" xfId="3676" xr:uid="{00000000-0005-0000-0000-000093320000}"/>
    <cellStyle name="Comma 4 4 4 3 2" xfId="8355" xr:uid="{00000000-0005-0000-0000-000094320000}"/>
    <cellStyle name="Comma 4 4 4 3 2 2" xfId="17679" xr:uid="{00000000-0005-0000-0000-000095320000}"/>
    <cellStyle name="Comma 4 4 4 3 2 3" xfId="27002" xr:uid="{00000000-0005-0000-0000-000096320000}"/>
    <cellStyle name="Comma 4 4 4 3 3" xfId="13019" xr:uid="{00000000-0005-0000-0000-000097320000}"/>
    <cellStyle name="Comma 4 4 4 3 4" xfId="22345" xr:uid="{00000000-0005-0000-0000-000098320000}"/>
    <cellStyle name="Comma 4 4 4 4" xfId="5363" xr:uid="{00000000-0005-0000-0000-000099320000}"/>
    <cellStyle name="Comma 4 4 4 4 2" xfId="14687" xr:uid="{00000000-0005-0000-0000-00009A320000}"/>
    <cellStyle name="Comma 4 4 4 4 3" xfId="24010" xr:uid="{00000000-0005-0000-0000-00009B320000}"/>
    <cellStyle name="Comma 4 4 4 5" xfId="7429" xr:uid="{00000000-0005-0000-0000-00009C320000}"/>
    <cellStyle name="Comma 4 4 4 5 2" xfId="16753" xr:uid="{00000000-0005-0000-0000-00009D320000}"/>
    <cellStyle name="Comma 4 4 4 5 3" xfId="26076" xr:uid="{00000000-0005-0000-0000-00009E320000}"/>
    <cellStyle name="Comma 4 4 4 6" xfId="11455" xr:uid="{00000000-0005-0000-0000-00009F320000}"/>
    <cellStyle name="Comma 4 4 4 7" xfId="20779" xr:uid="{00000000-0005-0000-0000-0000A0320000}"/>
    <cellStyle name="Comma 4 4 5" xfId="1930" xr:uid="{00000000-0005-0000-0000-0000A1320000}"/>
    <cellStyle name="Comma 4 4 5 2" xfId="3678" xr:uid="{00000000-0005-0000-0000-0000A2320000}"/>
    <cellStyle name="Comma 4 4 5 2 2" xfId="8357" xr:uid="{00000000-0005-0000-0000-0000A3320000}"/>
    <cellStyle name="Comma 4 4 5 2 2 2" xfId="17681" xr:uid="{00000000-0005-0000-0000-0000A4320000}"/>
    <cellStyle name="Comma 4 4 5 2 2 3" xfId="27004" xr:uid="{00000000-0005-0000-0000-0000A5320000}"/>
    <cellStyle name="Comma 4 4 5 2 3" xfId="13021" xr:uid="{00000000-0005-0000-0000-0000A6320000}"/>
    <cellStyle name="Comma 4 4 5 2 4" xfId="22347" xr:uid="{00000000-0005-0000-0000-0000A7320000}"/>
    <cellStyle name="Comma 4 4 5 3" xfId="5365" xr:uid="{00000000-0005-0000-0000-0000A8320000}"/>
    <cellStyle name="Comma 4 4 5 3 2" xfId="14689" xr:uid="{00000000-0005-0000-0000-0000A9320000}"/>
    <cellStyle name="Comma 4 4 5 3 3" xfId="24012" xr:uid="{00000000-0005-0000-0000-0000AA320000}"/>
    <cellStyle name="Comma 4 4 5 4" xfId="7431" xr:uid="{00000000-0005-0000-0000-0000AB320000}"/>
    <cellStyle name="Comma 4 4 5 4 2" xfId="16755" xr:uid="{00000000-0005-0000-0000-0000AC320000}"/>
    <cellStyle name="Comma 4 4 5 4 3" xfId="26078" xr:uid="{00000000-0005-0000-0000-0000AD320000}"/>
    <cellStyle name="Comma 4 4 5 5" xfId="11457" xr:uid="{00000000-0005-0000-0000-0000AE320000}"/>
    <cellStyle name="Comma 4 4 5 6" xfId="20781" xr:uid="{00000000-0005-0000-0000-0000AF320000}"/>
    <cellStyle name="Comma 4 4 6" xfId="1916" xr:uid="{00000000-0005-0000-0000-0000B0320000}"/>
    <cellStyle name="Comma 4 4 6 2" xfId="3664" xr:uid="{00000000-0005-0000-0000-0000B1320000}"/>
    <cellStyle name="Comma 4 4 6 2 2" xfId="8343" xr:uid="{00000000-0005-0000-0000-0000B2320000}"/>
    <cellStyle name="Comma 4 4 6 2 2 2" xfId="17667" xr:uid="{00000000-0005-0000-0000-0000B3320000}"/>
    <cellStyle name="Comma 4 4 6 2 2 3" xfId="26990" xr:uid="{00000000-0005-0000-0000-0000B4320000}"/>
    <cellStyle name="Comma 4 4 6 2 3" xfId="13008" xr:uid="{00000000-0005-0000-0000-0000B5320000}"/>
    <cellStyle name="Comma 4 4 6 2 4" xfId="22334" xr:uid="{00000000-0005-0000-0000-0000B6320000}"/>
    <cellStyle name="Comma 4 4 6 3" xfId="5351" xr:uid="{00000000-0005-0000-0000-0000B7320000}"/>
    <cellStyle name="Comma 4 4 6 3 2" xfId="14675" xr:uid="{00000000-0005-0000-0000-0000B8320000}"/>
    <cellStyle name="Comma 4 4 6 3 3" xfId="23998" xr:uid="{00000000-0005-0000-0000-0000B9320000}"/>
    <cellStyle name="Comma 4 4 6 4" xfId="7417" xr:uid="{00000000-0005-0000-0000-0000BA320000}"/>
    <cellStyle name="Comma 4 4 6 4 2" xfId="16741" xr:uid="{00000000-0005-0000-0000-0000BB320000}"/>
    <cellStyle name="Comma 4 4 6 4 3" xfId="26064" xr:uid="{00000000-0005-0000-0000-0000BC320000}"/>
    <cellStyle name="Comma 4 4 6 5" xfId="11443" xr:uid="{00000000-0005-0000-0000-0000BD320000}"/>
    <cellStyle name="Comma 4 4 6 6" xfId="20767" xr:uid="{00000000-0005-0000-0000-0000BE320000}"/>
    <cellStyle name="Comma 4 4 7" xfId="2978" xr:uid="{00000000-0005-0000-0000-0000BF320000}"/>
    <cellStyle name="Comma 4 4 7 2" xfId="7657" xr:uid="{00000000-0005-0000-0000-0000C0320000}"/>
    <cellStyle name="Comma 4 4 7 2 2" xfId="16981" xr:uid="{00000000-0005-0000-0000-0000C1320000}"/>
    <cellStyle name="Comma 4 4 7 2 3" xfId="26304" xr:uid="{00000000-0005-0000-0000-0000C2320000}"/>
    <cellStyle name="Comma 4 4 8" xfId="6695" xr:uid="{00000000-0005-0000-0000-0000C3320000}"/>
    <cellStyle name="Comma 4 4 8 2" xfId="16019" xr:uid="{00000000-0005-0000-0000-0000C4320000}"/>
    <cellStyle name="Comma 4 4 8 3" xfId="25342" xr:uid="{00000000-0005-0000-0000-0000C5320000}"/>
    <cellStyle name="Comma 4 4 9" xfId="10759" xr:uid="{00000000-0005-0000-0000-0000C6320000}"/>
    <cellStyle name="Comma 4 5" xfId="1201" xr:uid="{00000000-0005-0000-0000-0000C7320000}"/>
    <cellStyle name="Comma 4 5 2" xfId="1932" xr:uid="{00000000-0005-0000-0000-0000C8320000}"/>
    <cellStyle name="Comma 4 5 2 2" xfId="1933" xr:uid="{00000000-0005-0000-0000-0000C9320000}"/>
    <cellStyle name="Comma 4 5 2 2 2" xfId="3681" xr:uid="{00000000-0005-0000-0000-0000CA320000}"/>
    <cellStyle name="Comma 4 5 2 2 2 2" xfId="8360" xr:uid="{00000000-0005-0000-0000-0000CB320000}"/>
    <cellStyle name="Comma 4 5 2 2 2 2 2" xfId="17684" xr:uid="{00000000-0005-0000-0000-0000CC320000}"/>
    <cellStyle name="Comma 4 5 2 2 2 2 3" xfId="27007" xr:uid="{00000000-0005-0000-0000-0000CD320000}"/>
    <cellStyle name="Comma 4 5 2 2 2 3" xfId="13024" xr:uid="{00000000-0005-0000-0000-0000CE320000}"/>
    <cellStyle name="Comma 4 5 2 2 2 4" xfId="22350" xr:uid="{00000000-0005-0000-0000-0000CF320000}"/>
    <cellStyle name="Comma 4 5 2 2 3" xfId="5368" xr:uid="{00000000-0005-0000-0000-0000D0320000}"/>
    <cellStyle name="Comma 4 5 2 2 3 2" xfId="14692" xr:uid="{00000000-0005-0000-0000-0000D1320000}"/>
    <cellStyle name="Comma 4 5 2 2 3 3" xfId="24015" xr:uid="{00000000-0005-0000-0000-0000D2320000}"/>
    <cellStyle name="Comma 4 5 2 2 4" xfId="7434" xr:uid="{00000000-0005-0000-0000-0000D3320000}"/>
    <cellStyle name="Comma 4 5 2 2 4 2" xfId="16758" xr:uid="{00000000-0005-0000-0000-0000D4320000}"/>
    <cellStyle name="Comma 4 5 2 2 4 3" xfId="26081" xr:uid="{00000000-0005-0000-0000-0000D5320000}"/>
    <cellStyle name="Comma 4 5 2 2 5" xfId="11460" xr:uid="{00000000-0005-0000-0000-0000D6320000}"/>
    <cellStyle name="Comma 4 5 2 2 6" xfId="20784" xr:uid="{00000000-0005-0000-0000-0000D7320000}"/>
    <cellStyle name="Comma 4 5 2 3" xfId="3680" xr:uid="{00000000-0005-0000-0000-0000D8320000}"/>
    <cellStyle name="Comma 4 5 2 3 2" xfId="8359" xr:uid="{00000000-0005-0000-0000-0000D9320000}"/>
    <cellStyle name="Comma 4 5 2 3 2 2" xfId="17683" xr:uid="{00000000-0005-0000-0000-0000DA320000}"/>
    <cellStyle name="Comma 4 5 2 3 2 3" xfId="27006" xr:uid="{00000000-0005-0000-0000-0000DB320000}"/>
    <cellStyle name="Comma 4 5 2 3 3" xfId="13023" xr:uid="{00000000-0005-0000-0000-0000DC320000}"/>
    <cellStyle name="Comma 4 5 2 3 4" xfId="22349" xr:uid="{00000000-0005-0000-0000-0000DD320000}"/>
    <cellStyle name="Comma 4 5 2 4" xfId="5367" xr:uid="{00000000-0005-0000-0000-0000DE320000}"/>
    <cellStyle name="Comma 4 5 2 4 2" xfId="14691" xr:uid="{00000000-0005-0000-0000-0000DF320000}"/>
    <cellStyle name="Comma 4 5 2 4 3" xfId="24014" xr:uid="{00000000-0005-0000-0000-0000E0320000}"/>
    <cellStyle name="Comma 4 5 2 5" xfId="7433" xr:uid="{00000000-0005-0000-0000-0000E1320000}"/>
    <cellStyle name="Comma 4 5 2 5 2" xfId="16757" xr:uid="{00000000-0005-0000-0000-0000E2320000}"/>
    <cellStyle name="Comma 4 5 2 5 3" xfId="26080" xr:uid="{00000000-0005-0000-0000-0000E3320000}"/>
    <cellStyle name="Comma 4 5 2 6" xfId="11459" xr:uid="{00000000-0005-0000-0000-0000E4320000}"/>
    <cellStyle name="Comma 4 5 2 7" xfId="20783" xr:uid="{00000000-0005-0000-0000-0000E5320000}"/>
    <cellStyle name="Comma 4 5 3" xfId="1934" xr:uid="{00000000-0005-0000-0000-0000E6320000}"/>
    <cellStyle name="Comma 4 5 3 2" xfId="3682" xr:uid="{00000000-0005-0000-0000-0000E7320000}"/>
    <cellStyle name="Comma 4 5 3 2 2" xfId="8361" xr:uid="{00000000-0005-0000-0000-0000E8320000}"/>
    <cellStyle name="Comma 4 5 3 2 2 2" xfId="17685" xr:uid="{00000000-0005-0000-0000-0000E9320000}"/>
    <cellStyle name="Comma 4 5 3 2 2 3" xfId="27008" xr:uid="{00000000-0005-0000-0000-0000EA320000}"/>
    <cellStyle name="Comma 4 5 3 2 3" xfId="13025" xr:uid="{00000000-0005-0000-0000-0000EB320000}"/>
    <cellStyle name="Comma 4 5 3 2 4" xfId="22351" xr:uid="{00000000-0005-0000-0000-0000EC320000}"/>
    <cellStyle name="Comma 4 5 3 3" xfId="5369" xr:uid="{00000000-0005-0000-0000-0000ED320000}"/>
    <cellStyle name="Comma 4 5 3 3 2" xfId="14693" xr:uid="{00000000-0005-0000-0000-0000EE320000}"/>
    <cellStyle name="Comma 4 5 3 3 3" xfId="24016" xr:uid="{00000000-0005-0000-0000-0000EF320000}"/>
    <cellStyle name="Comma 4 5 3 4" xfId="7435" xr:uid="{00000000-0005-0000-0000-0000F0320000}"/>
    <cellStyle name="Comma 4 5 3 4 2" xfId="16759" xr:uid="{00000000-0005-0000-0000-0000F1320000}"/>
    <cellStyle name="Comma 4 5 3 4 3" xfId="26082" xr:uid="{00000000-0005-0000-0000-0000F2320000}"/>
    <cellStyle name="Comma 4 5 3 5" xfId="11461" xr:uid="{00000000-0005-0000-0000-0000F3320000}"/>
    <cellStyle name="Comma 4 5 3 6" xfId="20785" xr:uid="{00000000-0005-0000-0000-0000F4320000}"/>
    <cellStyle name="Comma 4 5 4" xfId="1931" xr:uid="{00000000-0005-0000-0000-0000F5320000}"/>
    <cellStyle name="Comma 4 5 4 2" xfId="3679" xr:uid="{00000000-0005-0000-0000-0000F6320000}"/>
    <cellStyle name="Comma 4 5 4 2 2" xfId="8358" xr:uid="{00000000-0005-0000-0000-0000F7320000}"/>
    <cellStyle name="Comma 4 5 4 2 2 2" xfId="17682" xr:uid="{00000000-0005-0000-0000-0000F8320000}"/>
    <cellStyle name="Comma 4 5 4 2 2 3" xfId="27005" xr:uid="{00000000-0005-0000-0000-0000F9320000}"/>
    <cellStyle name="Comma 4 5 4 2 3" xfId="13022" xr:uid="{00000000-0005-0000-0000-0000FA320000}"/>
    <cellStyle name="Comma 4 5 4 2 4" xfId="22348" xr:uid="{00000000-0005-0000-0000-0000FB320000}"/>
    <cellStyle name="Comma 4 5 4 3" xfId="5366" xr:uid="{00000000-0005-0000-0000-0000FC320000}"/>
    <cellStyle name="Comma 4 5 4 3 2" xfId="14690" xr:uid="{00000000-0005-0000-0000-0000FD320000}"/>
    <cellStyle name="Comma 4 5 4 3 3" xfId="24013" xr:uid="{00000000-0005-0000-0000-0000FE320000}"/>
    <cellStyle name="Comma 4 5 4 4" xfId="7432" xr:uid="{00000000-0005-0000-0000-0000FF320000}"/>
    <cellStyle name="Comma 4 5 4 4 2" xfId="16756" xr:uid="{00000000-0005-0000-0000-000000330000}"/>
    <cellStyle name="Comma 4 5 4 4 3" xfId="26079" xr:uid="{00000000-0005-0000-0000-000001330000}"/>
    <cellStyle name="Comma 4 5 4 5" xfId="11458" xr:uid="{00000000-0005-0000-0000-000002330000}"/>
    <cellStyle name="Comma 4 5 4 6" xfId="20782" xr:uid="{00000000-0005-0000-0000-000003330000}"/>
    <cellStyle name="Comma 4 5 5" xfId="3012" xr:uid="{00000000-0005-0000-0000-000004330000}"/>
    <cellStyle name="Comma 4 5 5 2" xfId="7691" xr:uid="{00000000-0005-0000-0000-000005330000}"/>
    <cellStyle name="Comma 4 5 5 2 2" xfId="17015" xr:uid="{00000000-0005-0000-0000-000006330000}"/>
    <cellStyle name="Comma 4 5 5 2 3" xfId="26338" xr:uid="{00000000-0005-0000-0000-000007330000}"/>
    <cellStyle name="Comma 4 5 5 3" xfId="12400" xr:uid="{00000000-0005-0000-0000-000008330000}"/>
    <cellStyle name="Comma 4 5 5 4" xfId="21726" xr:uid="{00000000-0005-0000-0000-000009330000}"/>
    <cellStyle name="Comma 4 5 6" xfId="4660" xr:uid="{00000000-0005-0000-0000-00000A330000}"/>
    <cellStyle name="Comma 4 5 6 2" xfId="13984" xr:uid="{00000000-0005-0000-0000-00000B330000}"/>
    <cellStyle name="Comma 4 5 6 3" xfId="23307" xr:uid="{00000000-0005-0000-0000-00000C330000}"/>
    <cellStyle name="Comma 4 5 7" xfId="10793" xr:uid="{00000000-0005-0000-0000-00000D330000}"/>
    <cellStyle name="Comma 4 5 8" xfId="20117" xr:uid="{00000000-0005-0000-0000-00000E330000}"/>
    <cellStyle name="Comma 4 6" xfId="1935" xr:uid="{00000000-0005-0000-0000-00000F330000}"/>
    <cellStyle name="Comma 4 6 2" xfId="1936" xr:uid="{00000000-0005-0000-0000-000010330000}"/>
    <cellStyle name="Comma 4 6 2 2" xfId="1937" xr:uid="{00000000-0005-0000-0000-000011330000}"/>
    <cellStyle name="Comma 4 6 2 2 2" xfId="3685" xr:uid="{00000000-0005-0000-0000-000012330000}"/>
    <cellStyle name="Comma 4 6 2 2 2 2" xfId="8364" xr:uid="{00000000-0005-0000-0000-000013330000}"/>
    <cellStyle name="Comma 4 6 2 2 2 2 2" xfId="17688" xr:uid="{00000000-0005-0000-0000-000014330000}"/>
    <cellStyle name="Comma 4 6 2 2 2 2 3" xfId="27011" xr:uid="{00000000-0005-0000-0000-000015330000}"/>
    <cellStyle name="Comma 4 6 2 2 2 3" xfId="13028" xr:uid="{00000000-0005-0000-0000-000016330000}"/>
    <cellStyle name="Comma 4 6 2 2 2 4" xfId="22354" xr:uid="{00000000-0005-0000-0000-000017330000}"/>
    <cellStyle name="Comma 4 6 2 2 3" xfId="5372" xr:uid="{00000000-0005-0000-0000-000018330000}"/>
    <cellStyle name="Comma 4 6 2 2 3 2" xfId="14696" xr:uid="{00000000-0005-0000-0000-000019330000}"/>
    <cellStyle name="Comma 4 6 2 2 3 3" xfId="24019" xr:uid="{00000000-0005-0000-0000-00001A330000}"/>
    <cellStyle name="Comma 4 6 2 2 4" xfId="7438" xr:uid="{00000000-0005-0000-0000-00001B330000}"/>
    <cellStyle name="Comma 4 6 2 2 4 2" xfId="16762" xr:uid="{00000000-0005-0000-0000-00001C330000}"/>
    <cellStyle name="Comma 4 6 2 2 4 3" xfId="26085" xr:uid="{00000000-0005-0000-0000-00001D330000}"/>
    <cellStyle name="Comma 4 6 2 2 5" xfId="11464" xr:uid="{00000000-0005-0000-0000-00001E330000}"/>
    <cellStyle name="Comma 4 6 2 2 6" xfId="20788" xr:uid="{00000000-0005-0000-0000-00001F330000}"/>
    <cellStyle name="Comma 4 6 2 3" xfId="3684" xr:uid="{00000000-0005-0000-0000-000020330000}"/>
    <cellStyle name="Comma 4 6 2 3 2" xfId="8363" xr:uid="{00000000-0005-0000-0000-000021330000}"/>
    <cellStyle name="Comma 4 6 2 3 2 2" xfId="17687" xr:uid="{00000000-0005-0000-0000-000022330000}"/>
    <cellStyle name="Comma 4 6 2 3 2 3" xfId="27010" xr:uid="{00000000-0005-0000-0000-000023330000}"/>
    <cellStyle name="Comma 4 6 2 3 3" xfId="13027" xr:uid="{00000000-0005-0000-0000-000024330000}"/>
    <cellStyle name="Comma 4 6 2 3 4" xfId="22353" xr:uid="{00000000-0005-0000-0000-000025330000}"/>
    <cellStyle name="Comma 4 6 2 4" xfId="5371" xr:uid="{00000000-0005-0000-0000-000026330000}"/>
    <cellStyle name="Comma 4 6 2 4 2" xfId="14695" xr:uid="{00000000-0005-0000-0000-000027330000}"/>
    <cellStyle name="Comma 4 6 2 4 3" xfId="24018" xr:uid="{00000000-0005-0000-0000-000028330000}"/>
    <cellStyle name="Comma 4 6 2 5" xfId="7437" xr:uid="{00000000-0005-0000-0000-000029330000}"/>
    <cellStyle name="Comma 4 6 2 5 2" xfId="16761" xr:uid="{00000000-0005-0000-0000-00002A330000}"/>
    <cellStyle name="Comma 4 6 2 5 3" xfId="26084" xr:uid="{00000000-0005-0000-0000-00002B330000}"/>
    <cellStyle name="Comma 4 6 2 6" xfId="11463" xr:uid="{00000000-0005-0000-0000-00002C330000}"/>
    <cellStyle name="Comma 4 6 2 7" xfId="20787" xr:uid="{00000000-0005-0000-0000-00002D330000}"/>
    <cellStyle name="Comma 4 6 3" xfId="1938" xr:uid="{00000000-0005-0000-0000-00002E330000}"/>
    <cellStyle name="Comma 4 6 3 2" xfId="3686" xr:uid="{00000000-0005-0000-0000-00002F330000}"/>
    <cellStyle name="Comma 4 6 3 2 2" xfId="8365" xr:uid="{00000000-0005-0000-0000-000030330000}"/>
    <cellStyle name="Comma 4 6 3 2 2 2" xfId="17689" xr:uid="{00000000-0005-0000-0000-000031330000}"/>
    <cellStyle name="Comma 4 6 3 2 2 3" xfId="27012" xr:uid="{00000000-0005-0000-0000-000032330000}"/>
    <cellStyle name="Comma 4 6 3 2 3" xfId="13029" xr:uid="{00000000-0005-0000-0000-000033330000}"/>
    <cellStyle name="Comma 4 6 3 2 4" xfId="22355" xr:uid="{00000000-0005-0000-0000-000034330000}"/>
    <cellStyle name="Comma 4 6 3 3" xfId="5373" xr:uid="{00000000-0005-0000-0000-000035330000}"/>
    <cellStyle name="Comma 4 6 3 3 2" xfId="14697" xr:uid="{00000000-0005-0000-0000-000036330000}"/>
    <cellStyle name="Comma 4 6 3 3 3" xfId="24020" xr:uid="{00000000-0005-0000-0000-000037330000}"/>
    <cellStyle name="Comma 4 6 3 4" xfId="7439" xr:uid="{00000000-0005-0000-0000-000038330000}"/>
    <cellStyle name="Comma 4 6 3 4 2" xfId="16763" xr:uid="{00000000-0005-0000-0000-000039330000}"/>
    <cellStyle name="Comma 4 6 3 4 3" xfId="26086" xr:uid="{00000000-0005-0000-0000-00003A330000}"/>
    <cellStyle name="Comma 4 6 3 5" xfId="11465" xr:uid="{00000000-0005-0000-0000-00003B330000}"/>
    <cellStyle name="Comma 4 6 3 6" xfId="20789" xr:uid="{00000000-0005-0000-0000-00003C330000}"/>
    <cellStyle name="Comma 4 6 4" xfId="3683" xr:uid="{00000000-0005-0000-0000-00003D330000}"/>
    <cellStyle name="Comma 4 6 4 2" xfId="8362" xr:uid="{00000000-0005-0000-0000-00003E330000}"/>
    <cellStyle name="Comma 4 6 4 2 2" xfId="17686" xr:uid="{00000000-0005-0000-0000-00003F330000}"/>
    <cellStyle name="Comma 4 6 4 2 3" xfId="27009" xr:uid="{00000000-0005-0000-0000-000040330000}"/>
    <cellStyle name="Comma 4 6 4 3" xfId="13026" xr:uid="{00000000-0005-0000-0000-000041330000}"/>
    <cellStyle name="Comma 4 6 4 4" xfId="22352" xr:uid="{00000000-0005-0000-0000-000042330000}"/>
    <cellStyle name="Comma 4 6 5" xfId="5370" xr:uid="{00000000-0005-0000-0000-000043330000}"/>
    <cellStyle name="Comma 4 6 5 2" xfId="14694" xr:uid="{00000000-0005-0000-0000-000044330000}"/>
    <cellStyle name="Comma 4 6 5 3" xfId="24017" xr:uid="{00000000-0005-0000-0000-000045330000}"/>
    <cellStyle name="Comma 4 6 6" xfId="7436" xr:uid="{00000000-0005-0000-0000-000046330000}"/>
    <cellStyle name="Comma 4 6 6 2" xfId="16760" xr:uid="{00000000-0005-0000-0000-000047330000}"/>
    <cellStyle name="Comma 4 6 6 3" xfId="26083" xr:uid="{00000000-0005-0000-0000-000048330000}"/>
    <cellStyle name="Comma 4 6 7" xfId="11462" xr:uid="{00000000-0005-0000-0000-000049330000}"/>
    <cellStyle name="Comma 4 6 8" xfId="20786" xr:uid="{00000000-0005-0000-0000-00004A330000}"/>
    <cellStyle name="Comma 4 7" xfId="1939" xr:uid="{00000000-0005-0000-0000-00004B330000}"/>
    <cellStyle name="Comma 4 7 2" xfId="1940" xr:uid="{00000000-0005-0000-0000-00004C330000}"/>
    <cellStyle name="Comma 4 7 2 2" xfId="3688" xr:uid="{00000000-0005-0000-0000-00004D330000}"/>
    <cellStyle name="Comma 4 7 2 2 2" xfId="8367" xr:uid="{00000000-0005-0000-0000-00004E330000}"/>
    <cellStyle name="Comma 4 7 2 2 2 2" xfId="17691" xr:uid="{00000000-0005-0000-0000-00004F330000}"/>
    <cellStyle name="Comma 4 7 2 2 2 3" xfId="27014" xr:uid="{00000000-0005-0000-0000-000050330000}"/>
    <cellStyle name="Comma 4 7 2 2 3" xfId="13031" xr:uid="{00000000-0005-0000-0000-000051330000}"/>
    <cellStyle name="Comma 4 7 2 2 4" xfId="22357" xr:uid="{00000000-0005-0000-0000-000052330000}"/>
    <cellStyle name="Comma 4 7 2 3" xfId="5375" xr:uid="{00000000-0005-0000-0000-000053330000}"/>
    <cellStyle name="Comma 4 7 2 3 2" xfId="14699" xr:uid="{00000000-0005-0000-0000-000054330000}"/>
    <cellStyle name="Comma 4 7 2 3 3" xfId="24022" xr:uid="{00000000-0005-0000-0000-000055330000}"/>
    <cellStyle name="Comma 4 7 2 4" xfId="7441" xr:uid="{00000000-0005-0000-0000-000056330000}"/>
    <cellStyle name="Comma 4 7 2 4 2" xfId="16765" xr:uid="{00000000-0005-0000-0000-000057330000}"/>
    <cellStyle name="Comma 4 7 2 4 3" xfId="26088" xr:uid="{00000000-0005-0000-0000-000058330000}"/>
    <cellStyle name="Comma 4 7 2 5" xfId="11467" xr:uid="{00000000-0005-0000-0000-000059330000}"/>
    <cellStyle name="Comma 4 7 2 6" xfId="20791" xr:uid="{00000000-0005-0000-0000-00005A330000}"/>
    <cellStyle name="Comma 4 7 3" xfId="3687" xr:uid="{00000000-0005-0000-0000-00005B330000}"/>
    <cellStyle name="Comma 4 7 3 2" xfId="8366" xr:uid="{00000000-0005-0000-0000-00005C330000}"/>
    <cellStyle name="Comma 4 7 3 2 2" xfId="17690" xr:uid="{00000000-0005-0000-0000-00005D330000}"/>
    <cellStyle name="Comma 4 7 3 2 3" xfId="27013" xr:uid="{00000000-0005-0000-0000-00005E330000}"/>
    <cellStyle name="Comma 4 7 3 3" xfId="13030" xr:uid="{00000000-0005-0000-0000-00005F330000}"/>
    <cellStyle name="Comma 4 7 3 4" xfId="22356" xr:uid="{00000000-0005-0000-0000-000060330000}"/>
    <cellStyle name="Comma 4 7 4" xfId="5374" xr:uid="{00000000-0005-0000-0000-000061330000}"/>
    <cellStyle name="Comma 4 7 4 2" xfId="14698" xr:uid="{00000000-0005-0000-0000-000062330000}"/>
    <cellStyle name="Comma 4 7 4 3" xfId="24021" xr:uid="{00000000-0005-0000-0000-000063330000}"/>
    <cellStyle name="Comma 4 7 5" xfId="7440" xr:uid="{00000000-0005-0000-0000-000064330000}"/>
    <cellStyle name="Comma 4 7 5 2" xfId="16764" xr:uid="{00000000-0005-0000-0000-000065330000}"/>
    <cellStyle name="Comma 4 7 5 3" xfId="26087" xr:uid="{00000000-0005-0000-0000-000066330000}"/>
    <cellStyle name="Comma 4 7 6" xfId="11466" xr:uid="{00000000-0005-0000-0000-000067330000}"/>
    <cellStyle name="Comma 4 7 7" xfId="20790" xr:uid="{00000000-0005-0000-0000-000068330000}"/>
    <cellStyle name="Comma 4 8" xfId="1941" xr:uid="{00000000-0005-0000-0000-000069330000}"/>
    <cellStyle name="Comma 4 8 2" xfId="3689" xr:uid="{00000000-0005-0000-0000-00006A330000}"/>
    <cellStyle name="Comma 4 8 2 2" xfId="8368" xr:uid="{00000000-0005-0000-0000-00006B330000}"/>
    <cellStyle name="Comma 4 8 2 2 2" xfId="17692" xr:uid="{00000000-0005-0000-0000-00006C330000}"/>
    <cellStyle name="Comma 4 8 2 2 3" xfId="27015" xr:uid="{00000000-0005-0000-0000-00006D330000}"/>
    <cellStyle name="Comma 4 8 2 3" xfId="13032" xr:uid="{00000000-0005-0000-0000-00006E330000}"/>
    <cellStyle name="Comma 4 8 2 4" xfId="22358" xr:uid="{00000000-0005-0000-0000-00006F330000}"/>
    <cellStyle name="Comma 4 8 3" xfId="5376" xr:uid="{00000000-0005-0000-0000-000070330000}"/>
    <cellStyle name="Comma 4 8 3 2" xfId="14700" xr:uid="{00000000-0005-0000-0000-000071330000}"/>
    <cellStyle name="Comma 4 8 3 3" xfId="24023" xr:uid="{00000000-0005-0000-0000-000072330000}"/>
    <cellStyle name="Comma 4 8 4" xfId="7442" xr:uid="{00000000-0005-0000-0000-000073330000}"/>
    <cellStyle name="Comma 4 8 4 2" xfId="16766" xr:uid="{00000000-0005-0000-0000-000074330000}"/>
    <cellStyle name="Comma 4 8 4 3" xfId="26089" xr:uid="{00000000-0005-0000-0000-000075330000}"/>
    <cellStyle name="Comma 4 8 5" xfId="11468" xr:uid="{00000000-0005-0000-0000-000076330000}"/>
    <cellStyle name="Comma 4 8 6" xfId="20792" xr:uid="{00000000-0005-0000-0000-000077330000}"/>
    <cellStyle name="Comma 4 9" xfId="1942" xr:uid="{00000000-0005-0000-0000-000078330000}"/>
    <cellStyle name="Comma 4 9 2" xfId="3690" xr:uid="{00000000-0005-0000-0000-000079330000}"/>
    <cellStyle name="Comma 4 9 2 2" xfId="8369" xr:uid="{00000000-0005-0000-0000-00007A330000}"/>
    <cellStyle name="Comma 4 9 2 2 2" xfId="17693" xr:uid="{00000000-0005-0000-0000-00007B330000}"/>
    <cellStyle name="Comma 4 9 2 2 3" xfId="27016" xr:uid="{00000000-0005-0000-0000-00007C330000}"/>
    <cellStyle name="Comma 4 9 2 3" xfId="13033" xr:uid="{00000000-0005-0000-0000-00007D330000}"/>
    <cellStyle name="Comma 4 9 2 4" xfId="22359" xr:uid="{00000000-0005-0000-0000-00007E330000}"/>
    <cellStyle name="Comma 4 9 3" xfId="5377" xr:uid="{00000000-0005-0000-0000-00007F330000}"/>
    <cellStyle name="Comma 4 9 3 2" xfId="14701" xr:uid="{00000000-0005-0000-0000-000080330000}"/>
    <cellStyle name="Comma 4 9 3 3" xfId="24024" xr:uid="{00000000-0005-0000-0000-000081330000}"/>
    <cellStyle name="Comma 4 9 4" xfId="7443" xr:uid="{00000000-0005-0000-0000-000082330000}"/>
    <cellStyle name="Comma 4 9 4 2" xfId="16767" xr:uid="{00000000-0005-0000-0000-000083330000}"/>
    <cellStyle name="Comma 4 9 4 3" xfId="26090" xr:uid="{00000000-0005-0000-0000-000084330000}"/>
    <cellStyle name="Comma 4 9 5" xfId="11469" xr:uid="{00000000-0005-0000-0000-000085330000}"/>
    <cellStyle name="Comma 4 9 6" xfId="20793" xr:uid="{00000000-0005-0000-0000-000086330000}"/>
    <cellStyle name="Comma 40" xfId="1943" xr:uid="{00000000-0005-0000-0000-000087330000}"/>
    <cellStyle name="Comma 40 2" xfId="3691" xr:uid="{00000000-0005-0000-0000-000088330000}"/>
    <cellStyle name="Comma 40 2 2" xfId="8370" xr:uid="{00000000-0005-0000-0000-000089330000}"/>
    <cellStyle name="Comma 40 2 2 2" xfId="17694" xr:uid="{00000000-0005-0000-0000-00008A330000}"/>
    <cellStyle name="Comma 40 2 2 3" xfId="27017" xr:uid="{00000000-0005-0000-0000-00008B330000}"/>
    <cellStyle name="Comma 40 2 3" xfId="13034" xr:uid="{00000000-0005-0000-0000-00008C330000}"/>
    <cellStyle name="Comma 40 2 4" xfId="22360" xr:uid="{00000000-0005-0000-0000-00008D330000}"/>
    <cellStyle name="Comma 40 3" xfId="5378" xr:uid="{00000000-0005-0000-0000-00008E330000}"/>
    <cellStyle name="Comma 40 3 2" xfId="14702" xr:uid="{00000000-0005-0000-0000-00008F330000}"/>
    <cellStyle name="Comma 40 3 3" xfId="24025" xr:uid="{00000000-0005-0000-0000-000090330000}"/>
    <cellStyle name="Comma 40 4" xfId="7444" xr:uid="{00000000-0005-0000-0000-000091330000}"/>
    <cellStyle name="Comma 40 4 2" xfId="16768" xr:uid="{00000000-0005-0000-0000-000092330000}"/>
    <cellStyle name="Comma 40 4 3" xfId="26091" xr:uid="{00000000-0005-0000-0000-000093330000}"/>
    <cellStyle name="Comma 40 5" xfId="11470" xr:uid="{00000000-0005-0000-0000-000094330000}"/>
    <cellStyle name="Comma 40 6" xfId="20794" xr:uid="{00000000-0005-0000-0000-000095330000}"/>
    <cellStyle name="Comma 41" xfId="1944" xr:uid="{00000000-0005-0000-0000-000096330000}"/>
    <cellStyle name="Comma 41 2" xfId="1945" xr:uid="{00000000-0005-0000-0000-000097330000}"/>
    <cellStyle name="Comma 41 2 2" xfId="3693" xr:uid="{00000000-0005-0000-0000-000098330000}"/>
    <cellStyle name="Comma 41 2 2 2" xfId="8372" xr:uid="{00000000-0005-0000-0000-000099330000}"/>
    <cellStyle name="Comma 41 2 2 2 2" xfId="17696" xr:uid="{00000000-0005-0000-0000-00009A330000}"/>
    <cellStyle name="Comma 41 2 2 2 3" xfId="27019" xr:uid="{00000000-0005-0000-0000-00009B330000}"/>
    <cellStyle name="Comma 41 2 2 3" xfId="13035" xr:uid="{00000000-0005-0000-0000-00009C330000}"/>
    <cellStyle name="Comma 41 2 2 4" xfId="22361" xr:uid="{00000000-0005-0000-0000-00009D330000}"/>
    <cellStyle name="Comma 41 2 3" xfId="5380" xr:uid="{00000000-0005-0000-0000-00009E330000}"/>
    <cellStyle name="Comma 41 2 3 2" xfId="14704" xr:uid="{00000000-0005-0000-0000-00009F330000}"/>
    <cellStyle name="Comma 41 2 3 3" xfId="24027" xr:uid="{00000000-0005-0000-0000-0000A0330000}"/>
    <cellStyle name="Comma 41 2 4" xfId="7446" xr:uid="{00000000-0005-0000-0000-0000A1330000}"/>
    <cellStyle name="Comma 41 2 4 2" xfId="16770" xr:uid="{00000000-0005-0000-0000-0000A2330000}"/>
    <cellStyle name="Comma 41 2 4 3" xfId="26093" xr:uid="{00000000-0005-0000-0000-0000A3330000}"/>
    <cellStyle name="Comma 41 2 5" xfId="11472" xr:uid="{00000000-0005-0000-0000-0000A4330000}"/>
    <cellStyle name="Comma 41 2 6" xfId="20796" xr:uid="{00000000-0005-0000-0000-0000A5330000}"/>
    <cellStyle name="Comma 41 3" xfId="1946" xr:uid="{00000000-0005-0000-0000-0000A6330000}"/>
    <cellStyle name="Comma 41 3 2" xfId="3694" xr:uid="{00000000-0005-0000-0000-0000A7330000}"/>
    <cellStyle name="Comma 41 3 2 2" xfId="8373" xr:uid="{00000000-0005-0000-0000-0000A8330000}"/>
    <cellStyle name="Comma 41 3 2 2 2" xfId="17697" xr:uid="{00000000-0005-0000-0000-0000A9330000}"/>
    <cellStyle name="Comma 41 3 2 2 3" xfId="27020" xr:uid="{00000000-0005-0000-0000-0000AA330000}"/>
    <cellStyle name="Comma 41 3 2 3" xfId="13036" xr:uid="{00000000-0005-0000-0000-0000AB330000}"/>
    <cellStyle name="Comma 41 3 2 4" xfId="22362" xr:uid="{00000000-0005-0000-0000-0000AC330000}"/>
    <cellStyle name="Comma 41 3 3" xfId="5381" xr:uid="{00000000-0005-0000-0000-0000AD330000}"/>
    <cellStyle name="Comma 41 3 3 2" xfId="14705" xr:uid="{00000000-0005-0000-0000-0000AE330000}"/>
    <cellStyle name="Comma 41 3 3 3" xfId="24028" xr:uid="{00000000-0005-0000-0000-0000AF330000}"/>
    <cellStyle name="Comma 41 3 4" xfId="7447" xr:uid="{00000000-0005-0000-0000-0000B0330000}"/>
    <cellStyle name="Comma 41 3 4 2" xfId="16771" xr:uid="{00000000-0005-0000-0000-0000B1330000}"/>
    <cellStyle name="Comma 41 3 4 3" xfId="26094" xr:uid="{00000000-0005-0000-0000-0000B2330000}"/>
    <cellStyle name="Comma 41 3 5" xfId="11473" xr:uid="{00000000-0005-0000-0000-0000B3330000}"/>
    <cellStyle name="Comma 41 3 6" xfId="20797" xr:uid="{00000000-0005-0000-0000-0000B4330000}"/>
    <cellStyle name="Comma 41 4" xfId="3692" xr:uid="{00000000-0005-0000-0000-0000B5330000}"/>
    <cellStyle name="Comma 41 4 2" xfId="8371" xr:uid="{00000000-0005-0000-0000-0000B6330000}"/>
    <cellStyle name="Comma 41 4 2 2" xfId="17695" xr:uid="{00000000-0005-0000-0000-0000B7330000}"/>
    <cellStyle name="Comma 41 4 2 3" xfId="27018" xr:uid="{00000000-0005-0000-0000-0000B8330000}"/>
    <cellStyle name="Comma 41 5" xfId="7445" xr:uid="{00000000-0005-0000-0000-0000B9330000}"/>
    <cellStyle name="Comma 41 5 2" xfId="16769" xr:uid="{00000000-0005-0000-0000-0000BA330000}"/>
    <cellStyle name="Comma 41 5 3" xfId="26092" xr:uid="{00000000-0005-0000-0000-0000BB330000}"/>
    <cellStyle name="Comma 41 6" xfId="11471" xr:uid="{00000000-0005-0000-0000-0000BC330000}"/>
    <cellStyle name="Comma 41 7" xfId="20795" xr:uid="{00000000-0005-0000-0000-0000BD330000}"/>
    <cellStyle name="Comma 42" xfId="1947" xr:uid="{00000000-0005-0000-0000-0000BE330000}"/>
    <cellStyle name="Comma 42 2" xfId="3695" xr:uid="{00000000-0005-0000-0000-0000BF330000}"/>
    <cellStyle name="Comma 42 2 2" xfId="8374" xr:uid="{00000000-0005-0000-0000-0000C0330000}"/>
    <cellStyle name="Comma 42 2 2 2" xfId="17698" xr:uid="{00000000-0005-0000-0000-0000C1330000}"/>
    <cellStyle name="Comma 42 2 2 3" xfId="27021" xr:uid="{00000000-0005-0000-0000-0000C2330000}"/>
    <cellStyle name="Comma 42 2 3" xfId="13037" xr:uid="{00000000-0005-0000-0000-0000C3330000}"/>
    <cellStyle name="Comma 42 2 4" xfId="22363" xr:uid="{00000000-0005-0000-0000-0000C4330000}"/>
    <cellStyle name="Comma 42 3" xfId="5382" xr:uid="{00000000-0005-0000-0000-0000C5330000}"/>
    <cellStyle name="Comma 42 3 2" xfId="14706" xr:uid="{00000000-0005-0000-0000-0000C6330000}"/>
    <cellStyle name="Comma 42 3 3" xfId="24029" xr:uid="{00000000-0005-0000-0000-0000C7330000}"/>
    <cellStyle name="Comma 42 4" xfId="7448" xr:uid="{00000000-0005-0000-0000-0000C8330000}"/>
    <cellStyle name="Comma 42 4 2" xfId="16772" xr:uid="{00000000-0005-0000-0000-0000C9330000}"/>
    <cellStyle name="Comma 42 4 3" xfId="26095" xr:uid="{00000000-0005-0000-0000-0000CA330000}"/>
    <cellStyle name="Comma 42 5" xfId="11474" xr:uid="{00000000-0005-0000-0000-0000CB330000}"/>
    <cellStyle name="Comma 42 6" xfId="20798" xr:uid="{00000000-0005-0000-0000-0000CC330000}"/>
    <cellStyle name="Comma 43" xfId="2875" xr:uid="{00000000-0005-0000-0000-0000CD330000}"/>
    <cellStyle name="Comma 43 2" xfId="4526" xr:uid="{00000000-0005-0000-0000-0000CE330000}"/>
    <cellStyle name="Comma 43 2 2" xfId="9203" xr:uid="{00000000-0005-0000-0000-0000CF330000}"/>
    <cellStyle name="Comma 43 2 2 2" xfId="18527" xr:uid="{00000000-0005-0000-0000-0000D0330000}"/>
    <cellStyle name="Comma 43 2 2 3" xfId="27850" xr:uid="{00000000-0005-0000-0000-0000D1330000}"/>
    <cellStyle name="Comma 43 2 3" xfId="13860" xr:uid="{00000000-0005-0000-0000-0000D2330000}"/>
    <cellStyle name="Comma 43 2 4" xfId="23184" xr:uid="{00000000-0005-0000-0000-0000D3330000}"/>
    <cellStyle name="Comma 43 3" xfId="6289" xr:uid="{00000000-0005-0000-0000-0000D4330000}"/>
    <cellStyle name="Comma 43 3 2" xfId="15613" xr:uid="{00000000-0005-0000-0000-0000D5330000}"/>
    <cellStyle name="Comma 43 3 3" xfId="24936" xr:uid="{00000000-0005-0000-0000-0000D6330000}"/>
    <cellStyle name="Comma 43 4" xfId="7589" xr:uid="{00000000-0005-0000-0000-0000D7330000}"/>
    <cellStyle name="Comma 43 4 2" xfId="16913" xr:uid="{00000000-0005-0000-0000-0000D8330000}"/>
    <cellStyle name="Comma 43 4 3" xfId="26236" xr:uid="{00000000-0005-0000-0000-0000D9330000}"/>
    <cellStyle name="Comma 43 5" xfId="12304" xr:uid="{00000000-0005-0000-0000-0000DA330000}"/>
    <cellStyle name="Comma 43 6" xfId="21630" xr:uid="{00000000-0005-0000-0000-0000DB330000}"/>
    <cellStyle name="Comma 44" xfId="2877" xr:uid="{00000000-0005-0000-0000-0000DC330000}"/>
    <cellStyle name="Comma 44 2" xfId="4528" xr:uid="{00000000-0005-0000-0000-0000DD330000}"/>
    <cellStyle name="Comma 44 2 2" xfId="9205" xr:uid="{00000000-0005-0000-0000-0000DE330000}"/>
    <cellStyle name="Comma 44 2 2 2" xfId="18529" xr:uid="{00000000-0005-0000-0000-0000DF330000}"/>
    <cellStyle name="Comma 44 2 2 3" xfId="27852" xr:uid="{00000000-0005-0000-0000-0000E0330000}"/>
    <cellStyle name="Comma 44 2 3" xfId="13862" xr:uid="{00000000-0005-0000-0000-0000E1330000}"/>
    <cellStyle name="Comma 44 2 4" xfId="23186" xr:uid="{00000000-0005-0000-0000-0000E2330000}"/>
    <cellStyle name="Comma 44 3" xfId="6291" xr:uid="{00000000-0005-0000-0000-0000E3330000}"/>
    <cellStyle name="Comma 44 3 2" xfId="15615" xr:uid="{00000000-0005-0000-0000-0000E4330000}"/>
    <cellStyle name="Comma 44 3 3" xfId="24938" xr:uid="{00000000-0005-0000-0000-0000E5330000}"/>
    <cellStyle name="Comma 44 4" xfId="7590" xr:uid="{00000000-0005-0000-0000-0000E6330000}"/>
    <cellStyle name="Comma 44 4 2" xfId="16914" xr:uid="{00000000-0005-0000-0000-0000E7330000}"/>
    <cellStyle name="Comma 44 4 3" xfId="26237" xr:uid="{00000000-0005-0000-0000-0000E8330000}"/>
    <cellStyle name="Comma 44 5" xfId="12306" xr:uid="{00000000-0005-0000-0000-0000E9330000}"/>
    <cellStyle name="Comma 44 6" xfId="21632" xr:uid="{00000000-0005-0000-0000-0000EA330000}"/>
    <cellStyle name="Comma 45" xfId="2879" xr:uid="{00000000-0005-0000-0000-0000EB330000}"/>
    <cellStyle name="Comma 45 2" xfId="4530" xr:uid="{00000000-0005-0000-0000-0000EC330000}"/>
    <cellStyle name="Comma 45 2 2" xfId="9207" xr:uid="{00000000-0005-0000-0000-0000ED330000}"/>
    <cellStyle name="Comma 45 2 2 2" xfId="18531" xr:uid="{00000000-0005-0000-0000-0000EE330000}"/>
    <cellStyle name="Comma 45 2 2 3" xfId="27854" xr:uid="{00000000-0005-0000-0000-0000EF330000}"/>
    <cellStyle name="Comma 45 2 3" xfId="13864" xr:uid="{00000000-0005-0000-0000-0000F0330000}"/>
    <cellStyle name="Comma 45 2 4" xfId="23188" xr:uid="{00000000-0005-0000-0000-0000F1330000}"/>
    <cellStyle name="Comma 45 3" xfId="6293" xr:uid="{00000000-0005-0000-0000-0000F2330000}"/>
    <cellStyle name="Comma 45 3 2" xfId="15617" xr:uid="{00000000-0005-0000-0000-0000F3330000}"/>
    <cellStyle name="Comma 45 3 3" xfId="24940" xr:uid="{00000000-0005-0000-0000-0000F4330000}"/>
    <cellStyle name="Comma 45 4" xfId="7591" xr:uid="{00000000-0005-0000-0000-0000F5330000}"/>
    <cellStyle name="Comma 45 4 2" xfId="16915" xr:uid="{00000000-0005-0000-0000-0000F6330000}"/>
    <cellStyle name="Comma 45 4 3" xfId="26238" xr:uid="{00000000-0005-0000-0000-0000F7330000}"/>
    <cellStyle name="Comma 45 5" xfId="12308" xr:uid="{00000000-0005-0000-0000-0000F8330000}"/>
    <cellStyle name="Comma 45 6" xfId="21634" xr:uid="{00000000-0005-0000-0000-0000F9330000}"/>
    <cellStyle name="Comma 46" xfId="2883" xr:uid="{00000000-0005-0000-0000-0000FA330000}"/>
    <cellStyle name="Comma 46 2" xfId="4533" xr:uid="{00000000-0005-0000-0000-0000FB330000}"/>
    <cellStyle name="Comma 46 2 2" xfId="9210" xr:uid="{00000000-0005-0000-0000-0000FC330000}"/>
    <cellStyle name="Comma 46 2 2 2" xfId="18534" xr:uid="{00000000-0005-0000-0000-0000FD330000}"/>
    <cellStyle name="Comma 46 2 2 3" xfId="27857" xr:uid="{00000000-0005-0000-0000-0000FE330000}"/>
    <cellStyle name="Comma 46 2 3" xfId="13867" xr:uid="{00000000-0005-0000-0000-0000FF330000}"/>
    <cellStyle name="Comma 46 2 4" xfId="23191" xr:uid="{00000000-0005-0000-0000-000000340000}"/>
    <cellStyle name="Comma 46 3" xfId="6297" xr:uid="{00000000-0005-0000-0000-000001340000}"/>
    <cellStyle name="Comma 46 3 2" xfId="15621" xr:uid="{00000000-0005-0000-0000-000002340000}"/>
    <cellStyle name="Comma 46 3 3" xfId="24944" xr:uid="{00000000-0005-0000-0000-000003340000}"/>
    <cellStyle name="Comma 46 4" xfId="7593" xr:uid="{00000000-0005-0000-0000-000004340000}"/>
    <cellStyle name="Comma 46 4 2" xfId="16917" xr:uid="{00000000-0005-0000-0000-000005340000}"/>
    <cellStyle name="Comma 46 4 3" xfId="26240" xr:uid="{00000000-0005-0000-0000-000006340000}"/>
    <cellStyle name="Comma 46 5" xfId="12311" xr:uid="{00000000-0005-0000-0000-000007340000}"/>
    <cellStyle name="Comma 46 6" xfId="21637" xr:uid="{00000000-0005-0000-0000-000008340000}"/>
    <cellStyle name="Comma 47" xfId="2885" xr:uid="{00000000-0005-0000-0000-000009340000}"/>
    <cellStyle name="Comma 47 2" xfId="4535" xr:uid="{00000000-0005-0000-0000-00000A340000}"/>
    <cellStyle name="Comma 47 2 2" xfId="9212" xr:uid="{00000000-0005-0000-0000-00000B340000}"/>
    <cellStyle name="Comma 47 2 2 2" xfId="18536" xr:uid="{00000000-0005-0000-0000-00000C340000}"/>
    <cellStyle name="Comma 47 2 2 3" xfId="27859" xr:uid="{00000000-0005-0000-0000-00000D340000}"/>
    <cellStyle name="Comma 47 2 3" xfId="13869" xr:uid="{00000000-0005-0000-0000-00000E340000}"/>
    <cellStyle name="Comma 47 2 4" xfId="23193" xr:uid="{00000000-0005-0000-0000-00000F340000}"/>
    <cellStyle name="Comma 47 3" xfId="6299" xr:uid="{00000000-0005-0000-0000-000010340000}"/>
    <cellStyle name="Comma 47 3 2" xfId="15623" xr:uid="{00000000-0005-0000-0000-000011340000}"/>
    <cellStyle name="Comma 47 3 3" xfId="24946" xr:uid="{00000000-0005-0000-0000-000012340000}"/>
    <cellStyle name="Comma 47 4" xfId="7594" xr:uid="{00000000-0005-0000-0000-000013340000}"/>
    <cellStyle name="Comma 47 4 2" xfId="16918" xr:uid="{00000000-0005-0000-0000-000014340000}"/>
    <cellStyle name="Comma 47 4 3" xfId="26241" xr:uid="{00000000-0005-0000-0000-000015340000}"/>
    <cellStyle name="Comma 47 5" xfId="12313" xr:uid="{00000000-0005-0000-0000-000016340000}"/>
    <cellStyle name="Comma 47 6" xfId="21639" xr:uid="{00000000-0005-0000-0000-000017340000}"/>
    <cellStyle name="Comma 48" xfId="1347" xr:uid="{00000000-0005-0000-0000-000018340000}"/>
    <cellStyle name="Comma 48 2" xfId="3137" xr:uid="{00000000-0005-0000-0000-000019340000}"/>
    <cellStyle name="Comma 48 2 2" xfId="7816" xr:uid="{00000000-0005-0000-0000-00001A340000}"/>
    <cellStyle name="Comma 48 2 2 2" xfId="17140" xr:uid="{00000000-0005-0000-0000-00001B340000}"/>
    <cellStyle name="Comma 48 2 2 3" xfId="26463" xr:uid="{00000000-0005-0000-0000-00001C340000}"/>
    <cellStyle name="Comma 48 2 3" xfId="12523" xr:uid="{00000000-0005-0000-0000-00001D340000}"/>
    <cellStyle name="Comma 48 2 4" xfId="21849" xr:uid="{00000000-0005-0000-0000-00001E340000}"/>
    <cellStyle name="Comma 48 3" xfId="4800" xr:uid="{00000000-0005-0000-0000-00001F340000}"/>
    <cellStyle name="Comma 48 3 2" xfId="14124" xr:uid="{00000000-0005-0000-0000-000020340000}"/>
    <cellStyle name="Comma 48 3 3" xfId="23447" xr:uid="{00000000-0005-0000-0000-000021340000}"/>
    <cellStyle name="Comma 48 4" xfId="6658" xr:uid="{00000000-0005-0000-0000-000022340000}"/>
    <cellStyle name="Comma 48 4 2" xfId="15982" xr:uid="{00000000-0005-0000-0000-000023340000}"/>
    <cellStyle name="Comma 48 4 3" xfId="25305" xr:uid="{00000000-0005-0000-0000-000024340000}"/>
    <cellStyle name="Comma 48 5" xfId="10918" xr:uid="{00000000-0005-0000-0000-000025340000}"/>
    <cellStyle name="Comma 48 6" xfId="20242" xr:uid="{00000000-0005-0000-0000-000026340000}"/>
    <cellStyle name="Comma 49" xfId="2886" xr:uid="{00000000-0005-0000-0000-000027340000}"/>
    <cellStyle name="Comma 49 2" xfId="4536" xr:uid="{00000000-0005-0000-0000-000028340000}"/>
    <cellStyle name="Comma 49 2 2" xfId="9213" xr:uid="{00000000-0005-0000-0000-000029340000}"/>
    <cellStyle name="Comma 49 2 2 2" xfId="18537" xr:uid="{00000000-0005-0000-0000-00002A340000}"/>
    <cellStyle name="Comma 49 2 2 3" xfId="27860" xr:uid="{00000000-0005-0000-0000-00002B340000}"/>
    <cellStyle name="Comma 49 2 3" xfId="13870" xr:uid="{00000000-0005-0000-0000-00002C340000}"/>
    <cellStyle name="Comma 49 2 4" xfId="23194" xr:uid="{00000000-0005-0000-0000-00002D340000}"/>
    <cellStyle name="Comma 49 3" xfId="6300" xr:uid="{00000000-0005-0000-0000-00002E340000}"/>
    <cellStyle name="Comma 49 3 2" xfId="15624" xr:uid="{00000000-0005-0000-0000-00002F340000}"/>
    <cellStyle name="Comma 49 3 3" xfId="24947" xr:uid="{00000000-0005-0000-0000-000030340000}"/>
    <cellStyle name="Comma 49 4" xfId="7595" xr:uid="{00000000-0005-0000-0000-000031340000}"/>
    <cellStyle name="Comma 49 4 2" xfId="16919" xr:uid="{00000000-0005-0000-0000-000032340000}"/>
    <cellStyle name="Comma 49 4 3" xfId="26242" xr:uid="{00000000-0005-0000-0000-000033340000}"/>
    <cellStyle name="Comma 49 5" xfId="12314" xr:uid="{00000000-0005-0000-0000-000034340000}"/>
    <cellStyle name="Comma 49 6" xfId="21640" xr:uid="{00000000-0005-0000-0000-000035340000}"/>
    <cellStyle name="Comma 5" xfId="110" xr:uid="{00000000-0005-0000-0000-000036340000}"/>
    <cellStyle name="Comma 5 10" xfId="2933" xr:uid="{00000000-0005-0000-0000-000037340000}"/>
    <cellStyle name="Comma 5 10 2" xfId="7615" xr:uid="{00000000-0005-0000-0000-000038340000}"/>
    <cellStyle name="Comma 5 10 2 2" xfId="16939" xr:uid="{00000000-0005-0000-0000-000039340000}"/>
    <cellStyle name="Comma 5 10 2 3" xfId="26262" xr:uid="{00000000-0005-0000-0000-00003A340000}"/>
    <cellStyle name="Comma 5 10 3" xfId="12338" xr:uid="{00000000-0005-0000-0000-00003B340000}"/>
    <cellStyle name="Comma 5 10 4" xfId="21664" xr:uid="{00000000-0005-0000-0000-00003C340000}"/>
    <cellStyle name="Comma 5 11" xfId="2980" xr:uid="{00000000-0005-0000-0000-00003D340000}"/>
    <cellStyle name="Comma 5 11 2" xfId="7659" xr:uid="{00000000-0005-0000-0000-00003E340000}"/>
    <cellStyle name="Comma 5 11 2 2" xfId="16983" xr:uid="{00000000-0005-0000-0000-00003F340000}"/>
    <cellStyle name="Comma 5 11 2 3" xfId="26306" xr:uid="{00000000-0005-0000-0000-000040340000}"/>
    <cellStyle name="Comma 5 11 3" xfId="12373" xr:uid="{00000000-0005-0000-0000-000041340000}"/>
    <cellStyle name="Comma 5 11 4" xfId="21699" xr:uid="{00000000-0005-0000-0000-000042340000}"/>
    <cellStyle name="Comma 5 12" xfId="4633" xr:uid="{00000000-0005-0000-0000-000043340000}"/>
    <cellStyle name="Comma 5 12 2" xfId="13957" xr:uid="{00000000-0005-0000-0000-000044340000}"/>
    <cellStyle name="Comma 5 12 3" xfId="23280" xr:uid="{00000000-0005-0000-0000-000045340000}"/>
    <cellStyle name="Comma 5 13" xfId="7293" xr:uid="{00000000-0005-0000-0000-000046340000}"/>
    <cellStyle name="Comma 5 13 2" xfId="16617" xr:uid="{00000000-0005-0000-0000-000047340000}"/>
    <cellStyle name="Comma 5 13 3" xfId="25940" xr:uid="{00000000-0005-0000-0000-000048340000}"/>
    <cellStyle name="Comma 5 14" xfId="9287" xr:uid="{00000000-0005-0000-0000-000049340000}"/>
    <cellStyle name="Comma 5 14 2" xfId="18611" xr:uid="{00000000-0005-0000-0000-00004A340000}"/>
    <cellStyle name="Comma 5 14 3" xfId="27934" xr:uid="{00000000-0005-0000-0000-00004B340000}"/>
    <cellStyle name="Comma 5 15" xfId="9781" xr:uid="{00000000-0005-0000-0000-00004C340000}"/>
    <cellStyle name="Comma 5 16" xfId="19105" xr:uid="{00000000-0005-0000-0000-00004D340000}"/>
    <cellStyle name="Comma 5 17" xfId="28764" xr:uid="{00000000-0005-0000-0000-00004E340000}"/>
    <cellStyle name="Comma 5 18" xfId="28778" xr:uid="{00000000-0005-0000-0000-00004F340000}"/>
    <cellStyle name="Comma 5 19" xfId="28964" xr:uid="{00000000-0005-0000-0000-000050340000}"/>
    <cellStyle name="Comma 5 2" xfId="1109" xr:uid="{00000000-0005-0000-0000-000051340000}"/>
    <cellStyle name="Comma 5 2 10" xfId="20034" xr:uid="{00000000-0005-0000-0000-000052340000}"/>
    <cellStyle name="Comma 5 2 11" xfId="28823" xr:uid="{00000000-0005-0000-0000-000053340000}"/>
    <cellStyle name="Comma 5 2 2" xfId="1950" xr:uid="{00000000-0005-0000-0000-000054340000}"/>
    <cellStyle name="Comma 5 2 2 2" xfId="3698" xr:uid="{00000000-0005-0000-0000-000055340000}"/>
    <cellStyle name="Comma 5 2 2 2 2" xfId="8377" xr:uid="{00000000-0005-0000-0000-000056340000}"/>
    <cellStyle name="Comma 5 2 2 2 2 2" xfId="17701" xr:uid="{00000000-0005-0000-0000-000057340000}"/>
    <cellStyle name="Comma 5 2 2 2 2 3" xfId="27024" xr:uid="{00000000-0005-0000-0000-000058340000}"/>
    <cellStyle name="Comma 5 2 2 3" xfId="7451" xr:uid="{00000000-0005-0000-0000-000059340000}"/>
    <cellStyle name="Comma 5 2 2 3 2" xfId="16775" xr:uid="{00000000-0005-0000-0000-00005A340000}"/>
    <cellStyle name="Comma 5 2 2 3 3" xfId="26098" xr:uid="{00000000-0005-0000-0000-00005B340000}"/>
    <cellStyle name="Comma 5 2 2 4" xfId="11477" xr:uid="{00000000-0005-0000-0000-00005C340000}"/>
    <cellStyle name="Comma 5 2 2 5" xfId="20801" xr:uid="{00000000-0005-0000-0000-00005D340000}"/>
    <cellStyle name="Comma 5 2 2 6" xfId="28913" xr:uid="{00000000-0005-0000-0000-00005E340000}"/>
    <cellStyle name="Comma 5 2 3" xfId="1951" xr:uid="{00000000-0005-0000-0000-00005F340000}"/>
    <cellStyle name="Comma 5 2 3 2" xfId="1952" xr:uid="{00000000-0005-0000-0000-000060340000}"/>
    <cellStyle name="Comma 5 2 3 2 2" xfId="3700" xr:uid="{00000000-0005-0000-0000-000061340000}"/>
    <cellStyle name="Comma 5 2 3 2 2 2" xfId="8379" xr:uid="{00000000-0005-0000-0000-000062340000}"/>
    <cellStyle name="Comma 5 2 3 2 2 2 2" xfId="17703" xr:uid="{00000000-0005-0000-0000-000063340000}"/>
    <cellStyle name="Comma 5 2 3 2 2 2 3" xfId="27026" xr:uid="{00000000-0005-0000-0000-000064340000}"/>
    <cellStyle name="Comma 5 2 3 2 2 3" xfId="13041" xr:uid="{00000000-0005-0000-0000-000065340000}"/>
    <cellStyle name="Comma 5 2 3 2 2 4" xfId="22367" xr:uid="{00000000-0005-0000-0000-000066340000}"/>
    <cellStyle name="Comma 5 2 3 2 3" xfId="5387" xr:uid="{00000000-0005-0000-0000-000067340000}"/>
    <cellStyle name="Comma 5 2 3 2 3 2" xfId="14711" xr:uid="{00000000-0005-0000-0000-000068340000}"/>
    <cellStyle name="Comma 5 2 3 2 3 3" xfId="24034" xr:uid="{00000000-0005-0000-0000-000069340000}"/>
    <cellStyle name="Comma 5 2 3 2 4" xfId="7453" xr:uid="{00000000-0005-0000-0000-00006A340000}"/>
    <cellStyle name="Comma 5 2 3 2 4 2" xfId="16777" xr:uid="{00000000-0005-0000-0000-00006B340000}"/>
    <cellStyle name="Comma 5 2 3 2 4 3" xfId="26100" xr:uid="{00000000-0005-0000-0000-00006C340000}"/>
    <cellStyle name="Comma 5 2 3 2 5" xfId="11479" xr:uid="{00000000-0005-0000-0000-00006D340000}"/>
    <cellStyle name="Comma 5 2 3 2 6" xfId="20803" xr:uid="{00000000-0005-0000-0000-00006E340000}"/>
    <cellStyle name="Comma 5 2 3 3" xfId="3699" xr:uid="{00000000-0005-0000-0000-00006F340000}"/>
    <cellStyle name="Comma 5 2 3 3 2" xfId="8378" xr:uid="{00000000-0005-0000-0000-000070340000}"/>
    <cellStyle name="Comma 5 2 3 3 2 2" xfId="17702" xr:uid="{00000000-0005-0000-0000-000071340000}"/>
    <cellStyle name="Comma 5 2 3 3 2 3" xfId="27025" xr:uid="{00000000-0005-0000-0000-000072340000}"/>
    <cellStyle name="Comma 5 2 3 3 3" xfId="13040" xr:uid="{00000000-0005-0000-0000-000073340000}"/>
    <cellStyle name="Comma 5 2 3 3 4" xfId="22366" xr:uid="{00000000-0005-0000-0000-000074340000}"/>
    <cellStyle name="Comma 5 2 3 4" xfId="5386" xr:uid="{00000000-0005-0000-0000-000075340000}"/>
    <cellStyle name="Comma 5 2 3 4 2" xfId="14710" xr:uid="{00000000-0005-0000-0000-000076340000}"/>
    <cellStyle name="Comma 5 2 3 4 3" xfId="24033" xr:uid="{00000000-0005-0000-0000-000077340000}"/>
    <cellStyle name="Comma 5 2 3 5" xfId="7452" xr:uid="{00000000-0005-0000-0000-000078340000}"/>
    <cellStyle name="Comma 5 2 3 5 2" xfId="16776" xr:uid="{00000000-0005-0000-0000-000079340000}"/>
    <cellStyle name="Comma 5 2 3 5 3" xfId="26099" xr:uid="{00000000-0005-0000-0000-00007A340000}"/>
    <cellStyle name="Comma 5 2 3 6" xfId="11478" xr:uid="{00000000-0005-0000-0000-00007B340000}"/>
    <cellStyle name="Comma 5 2 3 7" xfId="20802" xr:uid="{00000000-0005-0000-0000-00007C340000}"/>
    <cellStyle name="Comma 5 2 4" xfId="1953" xr:uid="{00000000-0005-0000-0000-00007D340000}"/>
    <cellStyle name="Comma 5 2 4 2" xfId="3701" xr:uid="{00000000-0005-0000-0000-00007E340000}"/>
    <cellStyle name="Comma 5 2 4 2 2" xfId="8380" xr:uid="{00000000-0005-0000-0000-00007F340000}"/>
    <cellStyle name="Comma 5 2 4 2 2 2" xfId="17704" xr:uid="{00000000-0005-0000-0000-000080340000}"/>
    <cellStyle name="Comma 5 2 4 2 2 3" xfId="27027" xr:uid="{00000000-0005-0000-0000-000081340000}"/>
    <cellStyle name="Comma 5 2 4 2 3" xfId="13042" xr:uid="{00000000-0005-0000-0000-000082340000}"/>
    <cellStyle name="Comma 5 2 4 2 4" xfId="22368" xr:uid="{00000000-0005-0000-0000-000083340000}"/>
    <cellStyle name="Comma 5 2 4 3" xfId="5388" xr:uid="{00000000-0005-0000-0000-000084340000}"/>
    <cellStyle name="Comma 5 2 4 3 2" xfId="14712" xr:uid="{00000000-0005-0000-0000-000085340000}"/>
    <cellStyle name="Comma 5 2 4 3 3" xfId="24035" xr:uid="{00000000-0005-0000-0000-000086340000}"/>
    <cellStyle name="Comma 5 2 4 4" xfId="7454" xr:uid="{00000000-0005-0000-0000-000087340000}"/>
    <cellStyle name="Comma 5 2 4 4 2" xfId="16778" xr:uid="{00000000-0005-0000-0000-000088340000}"/>
    <cellStyle name="Comma 5 2 4 4 3" xfId="26101" xr:uid="{00000000-0005-0000-0000-000089340000}"/>
    <cellStyle name="Comma 5 2 4 5" xfId="11480" xr:uid="{00000000-0005-0000-0000-00008A340000}"/>
    <cellStyle name="Comma 5 2 4 6" xfId="20804" xr:uid="{00000000-0005-0000-0000-00008B340000}"/>
    <cellStyle name="Comma 5 2 5" xfId="1949" xr:uid="{00000000-0005-0000-0000-00008C340000}"/>
    <cellStyle name="Comma 5 2 5 2" xfId="7450" xr:uid="{00000000-0005-0000-0000-00008D340000}"/>
    <cellStyle name="Comma 5 2 5 2 2" xfId="16774" xr:uid="{00000000-0005-0000-0000-00008E340000}"/>
    <cellStyle name="Comma 5 2 5 2 3" xfId="26097" xr:uid="{00000000-0005-0000-0000-00008F340000}"/>
    <cellStyle name="Comma 5 2 5 3" xfId="11476" xr:uid="{00000000-0005-0000-0000-000090340000}"/>
    <cellStyle name="Comma 5 2 5 4" xfId="20800" xr:uid="{00000000-0005-0000-0000-000091340000}"/>
    <cellStyle name="Comma 5 2 6" xfId="2928" xr:uid="{00000000-0005-0000-0000-000092340000}"/>
    <cellStyle name="Comma 5 2 6 2" xfId="7610" xr:uid="{00000000-0005-0000-0000-000093340000}"/>
    <cellStyle name="Comma 5 2 6 2 2" xfId="16934" xr:uid="{00000000-0005-0000-0000-000094340000}"/>
    <cellStyle name="Comma 5 2 6 2 3" xfId="26257" xr:uid="{00000000-0005-0000-0000-000095340000}"/>
    <cellStyle name="Comma 5 2 6 3" xfId="12333" xr:uid="{00000000-0005-0000-0000-000096340000}"/>
    <cellStyle name="Comma 5 2 6 4" xfId="21659" xr:uid="{00000000-0005-0000-0000-000097340000}"/>
    <cellStyle name="Comma 5 2 7" xfId="3697" xr:uid="{00000000-0005-0000-0000-000098340000}"/>
    <cellStyle name="Comma 5 2 7 2" xfId="8376" xr:uid="{00000000-0005-0000-0000-000099340000}"/>
    <cellStyle name="Comma 5 2 7 2 2" xfId="17700" xr:uid="{00000000-0005-0000-0000-00009A340000}"/>
    <cellStyle name="Comma 5 2 7 2 3" xfId="27023" xr:uid="{00000000-0005-0000-0000-00009B340000}"/>
    <cellStyle name="Comma 5 2 7 3" xfId="13039" xr:uid="{00000000-0005-0000-0000-00009C340000}"/>
    <cellStyle name="Comma 5 2 7 4" xfId="22365" xr:uid="{00000000-0005-0000-0000-00009D340000}"/>
    <cellStyle name="Comma 5 2 8" xfId="5384" xr:uid="{00000000-0005-0000-0000-00009E340000}"/>
    <cellStyle name="Comma 5 2 8 2" xfId="14708" xr:uid="{00000000-0005-0000-0000-00009F340000}"/>
    <cellStyle name="Comma 5 2 8 3" xfId="24031" xr:uid="{00000000-0005-0000-0000-0000A0340000}"/>
    <cellStyle name="Comma 5 2 9" xfId="10710" xr:uid="{00000000-0005-0000-0000-0000A1340000}"/>
    <cellStyle name="Comma 5 3" xfId="1120" xr:uid="{00000000-0005-0000-0000-0000A2340000}"/>
    <cellStyle name="Comma 5 3 10" xfId="20043" xr:uid="{00000000-0005-0000-0000-0000A3340000}"/>
    <cellStyle name="Comma 5 3 11" xfId="28902" xr:uid="{00000000-0005-0000-0000-0000A4340000}"/>
    <cellStyle name="Comma 5 3 2" xfId="1954" xr:uid="{00000000-0005-0000-0000-0000A5340000}"/>
    <cellStyle name="Comma 5 3 2 2" xfId="1955" xr:uid="{00000000-0005-0000-0000-0000A6340000}"/>
    <cellStyle name="Comma 5 3 2 2 2" xfId="3704" xr:uid="{00000000-0005-0000-0000-0000A7340000}"/>
    <cellStyle name="Comma 5 3 2 2 2 2" xfId="8383" xr:uid="{00000000-0005-0000-0000-0000A8340000}"/>
    <cellStyle name="Comma 5 3 2 2 2 2 2" xfId="17707" xr:uid="{00000000-0005-0000-0000-0000A9340000}"/>
    <cellStyle name="Comma 5 3 2 2 2 2 3" xfId="27030" xr:uid="{00000000-0005-0000-0000-0000AA340000}"/>
    <cellStyle name="Comma 5 3 2 2 2 3" xfId="13045" xr:uid="{00000000-0005-0000-0000-0000AB340000}"/>
    <cellStyle name="Comma 5 3 2 2 2 4" xfId="22371" xr:uid="{00000000-0005-0000-0000-0000AC340000}"/>
    <cellStyle name="Comma 5 3 2 2 3" xfId="5391" xr:uid="{00000000-0005-0000-0000-0000AD340000}"/>
    <cellStyle name="Comma 5 3 2 2 3 2" xfId="14715" xr:uid="{00000000-0005-0000-0000-0000AE340000}"/>
    <cellStyle name="Comma 5 3 2 2 3 3" xfId="24038" xr:uid="{00000000-0005-0000-0000-0000AF340000}"/>
    <cellStyle name="Comma 5 3 2 2 4" xfId="7456" xr:uid="{00000000-0005-0000-0000-0000B0340000}"/>
    <cellStyle name="Comma 5 3 2 2 4 2" xfId="16780" xr:uid="{00000000-0005-0000-0000-0000B1340000}"/>
    <cellStyle name="Comma 5 3 2 2 4 3" xfId="26103" xr:uid="{00000000-0005-0000-0000-0000B2340000}"/>
    <cellStyle name="Comma 5 3 2 2 5" xfId="11482" xr:uid="{00000000-0005-0000-0000-0000B3340000}"/>
    <cellStyle name="Comma 5 3 2 2 6" xfId="20806" xr:uid="{00000000-0005-0000-0000-0000B4340000}"/>
    <cellStyle name="Comma 5 3 2 3" xfId="3703" xr:uid="{00000000-0005-0000-0000-0000B5340000}"/>
    <cellStyle name="Comma 5 3 2 3 2" xfId="8382" xr:uid="{00000000-0005-0000-0000-0000B6340000}"/>
    <cellStyle name="Comma 5 3 2 3 2 2" xfId="17706" xr:uid="{00000000-0005-0000-0000-0000B7340000}"/>
    <cellStyle name="Comma 5 3 2 3 2 3" xfId="27029" xr:uid="{00000000-0005-0000-0000-0000B8340000}"/>
    <cellStyle name="Comma 5 3 2 3 3" xfId="13044" xr:uid="{00000000-0005-0000-0000-0000B9340000}"/>
    <cellStyle name="Comma 5 3 2 3 4" xfId="22370" xr:uid="{00000000-0005-0000-0000-0000BA340000}"/>
    <cellStyle name="Comma 5 3 2 4" xfId="5390" xr:uid="{00000000-0005-0000-0000-0000BB340000}"/>
    <cellStyle name="Comma 5 3 2 4 2" xfId="14714" xr:uid="{00000000-0005-0000-0000-0000BC340000}"/>
    <cellStyle name="Comma 5 3 2 4 3" xfId="24037" xr:uid="{00000000-0005-0000-0000-0000BD340000}"/>
    <cellStyle name="Comma 5 3 2 5" xfId="7455" xr:uid="{00000000-0005-0000-0000-0000BE340000}"/>
    <cellStyle name="Comma 5 3 2 5 2" xfId="16779" xr:uid="{00000000-0005-0000-0000-0000BF340000}"/>
    <cellStyle name="Comma 5 3 2 5 3" xfId="26102" xr:uid="{00000000-0005-0000-0000-0000C0340000}"/>
    <cellStyle name="Comma 5 3 2 6" xfId="11481" xr:uid="{00000000-0005-0000-0000-0000C1340000}"/>
    <cellStyle name="Comma 5 3 2 7" xfId="20805" xr:uid="{00000000-0005-0000-0000-0000C2340000}"/>
    <cellStyle name="Comma 5 3 3" xfId="1956" xr:uid="{00000000-0005-0000-0000-0000C3340000}"/>
    <cellStyle name="Comma 5 3 3 2" xfId="3705" xr:uid="{00000000-0005-0000-0000-0000C4340000}"/>
    <cellStyle name="Comma 5 3 3 2 2" xfId="8384" xr:uid="{00000000-0005-0000-0000-0000C5340000}"/>
    <cellStyle name="Comma 5 3 3 2 2 2" xfId="17708" xr:uid="{00000000-0005-0000-0000-0000C6340000}"/>
    <cellStyle name="Comma 5 3 3 2 2 3" xfId="27031" xr:uid="{00000000-0005-0000-0000-0000C7340000}"/>
    <cellStyle name="Comma 5 3 3 2 3" xfId="13046" xr:uid="{00000000-0005-0000-0000-0000C8340000}"/>
    <cellStyle name="Comma 5 3 3 2 4" xfId="22372" xr:uid="{00000000-0005-0000-0000-0000C9340000}"/>
    <cellStyle name="Comma 5 3 3 3" xfId="5392" xr:uid="{00000000-0005-0000-0000-0000CA340000}"/>
    <cellStyle name="Comma 5 3 3 3 2" xfId="14716" xr:uid="{00000000-0005-0000-0000-0000CB340000}"/>
    <cellStyle name="Comma 5 3 3 3 3" xfId="24039" xr:uid="{00000000-0005-0000-0000-0000CC340000}"/>
    <cellStyle name="Comma 5 3 3 4" xfId="7457" xr:uid="{00000000-0005-0000-0000-0000CD340000}"/>
    <cellStyle name="Comma 5 3 3 4 2" xfId="16781" xr:uid="{00000000-0005-0000-0000-0000CE340000}"/>
    <cellStyle name="Comma 5 3 3 4 3" xfId="26104" xr:uid="{00000000-0005-0000-0000-0000CF340000}"/>
    <cellStyle name="Comma 5 3 3 5" xfId="11483" xr:uid="{00000000-0005-0000-0000-0000D0340000}"/>
    <cellStyle name="Comma 5 3 3 6" xfId="20807" xr:uid="{00000000-0005-0000-0000-0000D1340000}"/>
    <cellStyle name="Comma 5 3 4" xfId="1957" xr:uid="{00000000-0005-0000-0000-0000D2340000}"/>
    <cellStyle name="Comma 5 3 4 2" xfId="3706" xr:uid="{00000000-0005-0000-0000-0000D3340000}"/>
    <cellStyle name="Comma 5 3 4 2 2" xfId="8385" xr:uid="{00000000-0005-0000-0000-0000D4340000}"/>
    <cellStyle name="Comma 5 3 4 2 2 2" xfId="17709" xr:uid="{00000000-0005-0000-0000-0000D5340000}"/>
    <cellStyle name="Comma 5 3 4 2 2 3" xfId="27032" xr:uid="{00000000-0005-0000-0000-0000D6340000}"/>
    <cellStyle name="Comma 5 3 4 2 3" xfId="13047" xr:uid="{00000000-0005-0000-0000-0000D7340000}"/>
    <cellStyle name="Comma 5 3 4 2 4" xfId="22373" xr:uid="{00000000-0005-0000-0000-0000D8340000}"/>
    <cellStyle name="Comma 5 3 4 3" xfId="5393" xr:uid="{00000000-0005-0000-0000-0000D9340000}"/>
    <cellStyle name="Comma 5 3 4 3 2" xfId="14717" xr:uid="{00000000-0005-0000-0000-0000DA340000}"/>
    <cellStyle name="Comma 5 3 4 3 3" xfId="24040" xr:uid="{00000000-0005-0000-0000-0000DB340000}"/>
    <cellStyle name="Comma 5 3 4 4" xfId="7458" xr:uid="{00000000-0005-0000-0000-0000DC340000}"/>
    <cellStyle name="Comma 5 3 4 4 2" xfId="16782" xr:uid="{00000000-0005-0000-0000-0000DD340000}"/>
    <cellStyle name="Comma 5 3 4 4 3" xfId="26105" xr:uid="{00000000-0005-0000-0000-0000DE340000}"/>
    <cellStyle name="Comma 5 3 4 5" xfId="11484" xr:uid="{00000000-0005-0000-0000-0000DF340000}"/>
    <cellStyle name="Comma 5 3 4 6" xfId="20808" xr:uid="{00000000-0005-0000-0000-0000E0340000}"/>
    <cellStyle name="Comma 5 3 5" xfId="1958" xr:uid="{00000000-0005-0000-0000-0000E1340000}"/>
    <cellStyle name="Comma 5 3 5 2" xfId="3707" xr:uid="{00000000-0005-0000-0000-0000E2340000}"/>
    <cellStyle name="Comma 5 3 5 2 2" xfId="8386" xr:uid="{00000000-0005-0000-0000-0000E3340000}"/>
    <cellStyle name="Comma 5 3 5 2 2 2" xfId="17710" xr:uid="{00000000-0005-0000-0000-0000E4340000}"/>
    <cellStyle name="Comma 5 3 5 2 2 3" xfId="27033" xr:uid="{00000000-0005-0000-0000-0000E5340000}"/>
    <cellStyle name="Comma 5 3 5 2 3" xfId="13048" xr:uid="{00000000-0005-0000-0000-0000E6340000}"/>
    <cellStyle name="Comma 5 3 5 2 4" xfId="22374" xr:uid="{00000000-0005-0000-0000-0000E7340000}"/>
    <cellStyle name="Comma 5 3 5 3" xfId="5394" xr:uid="{00000000-0005-0000-0000-0000E8340000}"/>
    <cellStyle name="Comma 5 3 5 3 2" xfId="14718" xr:uid="{00000000-0005-0000-0000-0000E9340000}"/>
    <cellStyle name="Comma 5 3 5 3 3" xfId="24041" xr:uid="{00000000-0005-0000-0000-0000EA340000}"/>
    <cellStyle name="Comma 5 3 5 4" xfId="7459" xr:uid="{00000000-0005-0000-0000-0000EB340000}"/>
    <cellStyle name="Comma 5 3 5 4 2" xfId="16783" xr:uid="{00000000-0005-0000-0000-0000EC340000}"/>
    <cellStyle name="Comma 5 3 5 4 3" xfId="26106" xr:uid="{00000000-0005-0000-0000-0000ED340000}"/>
    <cellStyle name="Comma 5 3 5 5" xfId="11485" xr:uid="{00000000-0005-0000-0000-0000EE340000}"/>
    <cellStyle name="Comma 5 3 5 6" xfId="20809" xr:uid="{00000000-0005-0000-0000-0000EF340000}"/>
    <cellStyle name="Comma 5 3 6" xfId="3702" xr:uid="{00000000-0005-0000-0000-0000F0340000}"/>
    <cellStyle name="Comma 5 3 6 2" xfId="8381" xr:uid="{00000000-0005-0000-0000-0000F1340000}"/>
    <cellStyle name="Comma 5 3 6 2 2" xfId="17705" xr:uid="{00000000-0005-0000-0000-0000F2340000}"/>
    <cellStyle name="Comma 5 3 6 2 3" xfId="27028" xr:uid="{00000000-0005-0000-0000-0000F3340000}"/>
    <cellStyle name="Comma 5 3 6 3" xfId="13043" xr:uid="{00000000-0005-0000-0000-0000F4340000}"/>
    <cellStyle name="Comma 5 3 6 4" xfId="22369" xr:uid="{00000000-0005-0000-0000-0000F5340000}"/>
    <cellStyle name="Comma 5 3 7" xfId="5389" xr:uid="{00000000-0005-0000-0000-0000F6340000}"/>
    <cellStyle name="Comma 5 3 7 2" xfId="14713" xr:uid="{00000000-0005-0000-0000-0000F7340000}"/>
    <cellStyle name="Comma 5 3 7 3" xfId="24036" xr:uid="{00000000-0005-0000-0000-0000F8340000}"/>
    <cellStyle name="Comma 5 3 8" xfId="6321" xr:uid="{00000000-0005-0000-0000-0000F9340000}"/>
    <cellStyle name="Comma 5 3 8 2" xfId="15645" xr:uid="{00000000-0005-0000-0000-0000FA340000}"/>
    <cellStyle name="Comma 5 3 8 3" xfId="24968" xr:uid="{00000000-0005-0000-0000-0000FB340000}"/>
    <cellStyle name="Comma 5 3 9" xfId="10719" xr:uid="{00000000-0005-0000-0000-0000FC340000}"/>
    <cellStyle name="Comma 5 4" xfId="1959" xr:uid="{00000000-0005-0000-0000-0000FD340000}"/>
    <cellStyle name="Comma 5 4 2" xfId="3708" xr:uid="{00000000-0005-0000-0000-0000FE340000}"/>
    <cellStyle name="Comma 5 4 2 2" xfId="8387" xr:uid="{00000000-0005-0000-0000-0000FF340000}"/>
    <cellStyle name="Comma 5 4 2 2 2" xfId="17711" xr:uid="{00000000-0005-0000-0000-000000350000}"/>
    <cellStyle name="Comma 5 4 2 2 3" xfId="27034" xr:uid="{00000000-0005-0000-0000-000001350000}"/>
    <cellStyle name="Comma 5 4 3" xfId="7460" xr:uid="{00000000-0005-0000-0000-000002350000}"/>
    <cellStyle name="Comma 5 4 3 2" xfId="16784" xr:uid="{00000000-0005-0000-0000-000003350000}"/>
    <cellStyle name="Comma 5 4 3 3" xfId="26107" xr:uid="{00000000-0005-0000-0000-000004350000}"/>
    <cellStyle name="Comma 5 4 4" xfId="11486" xr:uid="{00000000-0005-0000-0000-000005350000}"/>
    <cellStyle name="Comma 5 4 5" xfId="20810" xr:uid="{00000000-0005-0000-0000-000006350000}"/>
    <cellStyle name="Comma 5 5" xfId="1960" xr:uid="{00000000-0005-0000-0000-000007350000}"/>
    <cellStyle name="Comma 5 5 2" xfId="1961" xr:uid="{00000000-0005-0000-0000-000008350000}"/>
    <cellStyle name="Comma 5 5 2 2" xfId="3710" xr:uid="{00000000-0005-0000-0000-000009350000}"/>
    <cellStyle name="Comma 5 5 2 2 2" xfId="8389" xr:uid="{00000000-0005-0000-0000-00000A350000}"/>
    <cellStyle name="Comma 5 5 2 2 2 2" xfId="17713" xr:uid="{00000000-0005-0000-0000-00000B350000}"/>
    <cellStyle name="Comma 5 5 2 2 2 3" xfId="27036" xr:uid="{00000000-0005-0000-0000-00000C350000}"/>
    <cellStyle name="Comma 5 5 2 2 3" xfId="13050" xr:uid="{00000000-0005-0000-0000-00000D350000}"/>
    <cellStyle name="Comma 5 5 2 2 4" xfId="22376" xr:uid="{00000000-0005-0000-0000-00000E350000}"/>
    <cellStyle name="Comma 5 5 2 3" xfId="5397" xr:uid="{00000000-0005-0000-0000-00000F350000}"/>
    <cellStyle name="Comma 5 5 2 3 2" xfId="14721" xr:uid="{00000000-0005-0000-0000-000010350000}"/>
    <cellStyle name="Comma 5 5 2 3 3" xfId="24044" xr:uid="{00000000-0005-0000-0000-000011350000}"/>
    <cellStyle name="Comma 5 5 2 4" xfId="7462" xr:uid="{00000000-0005-0000-0000-000012350000}"/>
    <cellStyle name="Comma 5 5 2 4 2" xfId="16786" xr:uid="{00000000-0005-0000-0000-000013350000}"/>
    <cellStyle name="Comma 5 5 2 4 3" xfId="26109" xr:uid="{00000000-0005-0000-0000-000014350000}"/>
    <cellStyle name="Comma 5 5 2 5" xfId="11488" xr:uid="{00000000-0005-0000-0000-000015350000}"/>
    <cellStyle name="Comma 5 5 2 6" xfId="20812" xr:uid="{00000000-0005-0000-0000-000016350000}"/>
    <cellStyle name="Comma 5 5 3" xfId="3709" xr:uid="{00000000-0005-0000-0000-000017350000}"/>
    <cellStyle name="Comma 5 5 3 2" xfId="8388" xr:uid="{00000000-0005-0000-0000-000018350000}"/>
    <cellStyle name="Comma 5 5 3 2 2" xfId="17712" xr:uid="{00000000-0005-0000-0000-000019350000}"/>
    <cellStyle name="Comma 5 5 3 2 3" xfId="27035" xr:uid="{00000000-0005-0000-0000-00001A350000}"/>
    <cellStyle name="Comma 5 5 3 3" xfId="13049" xr:uid="{00000000-0005-0000-0000-00001B350000}"/>
    <cellStyle name="Comma 5 5 3 4" xfId="22375" xr:uid="{00000000-0005-0000-0000-00001C350000}"/>
    <cellStyle name="Comma 5 5 4" xfId="5396" xr:uid="{00000000-0005-0000-0000-00001D350000}"/>
    <cellStyle name="Comma 5 5 4 2" xfId="14720" xr:uid="{00000000-0005-0000-0000-00001E350000}"/>
    <cellStyle name="Comma 5 5 4 3" xfId="24043" xr:uid="{00000000-0005-0000-0000-00001F350000}"/>
    <cellStyle name="Comma 5 5 5" xfId="7461" xr:uid="{00000000-0005-0000-0000-000020350000}"/>
    <cellStyle name="Comma 5 5 5 2" xfId="16785" xr:uid="{00000000-0005-0000-0000-000021350000}"/>
    <cellStyle name="Comma 5 5 5 3" xfId="26108" xr:uid="{00000000-0005-0000-0000-000022350000}"/>
    <cellStyle name="Comma 5 5 6" xfId="11487" xr:uid="{00000000-0005-0000-0000-000023350000}"/>
    <cellStyle name="Comma 5 5 7" xfId="20811" xr:uid="{00000000-0005-0000-0000-000024350000}"/>
    <cellStyle name="Comma 5 6" xfId="1962" xr:uid="{00000000-0005-0000-0000-000025350000}"/>
    <cellStyle name="Comma 5 6 2" xfId="3711" xr:uid="{00000000-0005-0000-0000-000026350000}"/>
    <cellStyle name="Comma 5 6 2 2" xfId="8390" xr:uid="{00000000-0005-0000-0000-000027350000}"/>
    <cellStyle name="Comma 5 6 2 2 2" xfId="17714" xr:uid="{00000000-0005-0000-0000-000028350000}"/>
    <cellStyle name="Comma 5 6 2 2 3" xfId="27037" xr:uid="{00000000-0005-0000-0000-000029350000}"/>
    <cellStyle name="Comma 5 6 2 3" xfId="13051" xr:uid="{00000000-0005-0000-0000-00002A350000}"/>
    <cellStyle name="Comma 5 6 2 4" xfId="22377" xr:uid="{00000000-0005-0000-0000-00002B350000}"/>
    <cellStyle name="Comma 5 6 3" xfId="5398" xr:uid="{00000000-0005-0000-0000-00002C350000}"/>
    <cellStyle name="Comma 5 6 3 2" xfId="14722" xr:uid="{00000000-0005-0000-0000-00002D350000}"/>
    <cellStyle name="Comma 5 6 3 3" xfId="24045" xr:uid="{00000000-0005-0000-0000-00002E350000}"/>
    <cellStyle name="Comma 5 6 4" xfId="7463" xr:uid="{00000000-0005-0000-0000-00002F350000}"/>
    <cellStyle name="Comma 5 6 4 2" xfId="16787" xr:uid="{00000000-0005-0000-0000-000030350000}"/>
    <cellStyle name="Comma 5 6 4 3" xfId="26110" xr:uid="{00000000-0005-0000-0000-000031350000}"/>
    <cellStyle name="Comma 5 6 5" xfId="11489" xr:uid="{00000000-0005-0000-0000-000032350000}"/>
    <cellStyle name="Comma 5 6 6" xfId="20813" xr:uid="{00000000-0005-0000-0000-000033350000}"/>
    <cellStyle name="Comma 5 7" xfId="1948" xr:uid="{00000000-0005-0000-0000-000034350000}"/>
    <cellStyle name="Comma 5 7 2" xfId="3696" xr:uid="{00000000-0005-0000-0000-000035350000}"/>
    <cellStyle name="Comma 5 7 2 2" xfId="8375" xr:uid="{00000000-0005-0000-0000-000036350000}"/>
    <cellStyle name="Comma 5 7 2 2 2" xfId="17699" xr:uid="{00000000-0005-0000-0000-000037350000}"/>
    <cellStyle name="Comma 5 7 2 2 3" xfId="27022" xr:uid="{00000000-0005-0000-0000-000038350000}"/>
    <cellStyle name="Comma 5 7 2 3" xfId="13038" xr:uid="{00000000-0005-0000-0000-000039350000}"/>
    <cellStyle name="Comma 5 7 2 4" xfId="22364" xr:uid="{00000000-0005-0000-0000-00003A350000}"/>
    <cellStyle name="Comma 5 7 3" xfId="5383" xr:uid="{00000000-0005-0000-0000-00003B350000}"/>
    <cellStyle name="Comma 5 7 3 2" xfId="14707" xr:uid="{00000000-0005-0000-0000-00003C350000}"/>
    <cellStyle name="Comma 5 7 3 3" xfId="24030" xr:uid="{00000000-0005-0000-0000-00003D350000}"/>
    <cellStyle name="Comma 5 7 4" xfId="7449" xr:uid="{00000000-0005-0000-0000-00003E350000}"/>
    <cellStyle name="Comma 5 7 4 2" xfId="16773" xr:uid="{00000000-0005-0000-0000-00003F350000}"/>
    <cellStyle name="Comma 5 7 4 3" xfId="26096" xr:uid="{00000000-0005-0000-0000-000040350000}"/>
    <cellStyle name="Comma 5 7 5" xfId="11475" xr:uid="{00000000-0005-0000-0000-000041350000}"/>
    <cellStyle name="Comma 5 7 6" xfId="20799" xr:uid="{00000000-0005-0000-0000-000042350000}"/>
    <cellStyle name="Comma 5 8" xfId="2899" xr:uid="{00000000-0005-0000-0000-000043350000}"/>
    <cellStyle name="Comma 5 8 2" xfId="4547" xr:uid="{00000000-0005-0000-0000-000044350000}"/>
    <cellStyle name="Comma 5 8 2 2" xfId="9224" xr:uid="{00000000-0005-0000-0000-000045350000}"/>
    <cellStyle name="Comma 5 8 2 2 2" xfId="18548" xr:uid="{00000000-0005-0000-0000-000046350000}"/>
    <cellStyle name="Comma 5 8 2 2 3" xfId="27871" xr:uid="{00000000-0005-0000-0000-000047350000}"/>
    <cellStyle name="Comma 5 8 3" xfId="7605" xr:uid="{00000000-0005-0000-0000-000048350000}"/>
    <cellStyle name="Comma 5 8 3 2" xfId="16929" xr:uid="{00000000-0005-0000-0000-000049350000}"/>
    <cellStyle name="Comma 5 8 3 3" xfId="26252" xr:uid="{00000000-0005-0000-0000-00004A350000}"/>
    <cellStyle name="Comma 5 8 4" xfId="12325" xr:uid="{00000000-0005-0000-0000-00004B350000}"/>
    <cellStyle name="Comma 5 8 5" xfId="21651" xr:uid="{00000000-0005-0000-0000-00004C350000}"/>
    <cellStyle name="Comma 5 9" xfId="1169" xr:uid="{00000000-0005-0000-0000-00004D350000}"/>
    <cellStyle name="Comma 5 9 2" xfId="6694" xr:uid="{00000000-0005-0000-0000-00004E350000}"/>
    <cellStyle name="Comma 5 9 2 2" xfId="16018" xr:uid="{00000000-0005-0000-0000-00004F350000}"/>
    <cellStyle name="Comma 5 9 2 3" xfId="25341" xr:uid="{00000000-0005-0000-0000-000050350000}"/>
    <cellStyle name="Comma 5 9 3" xfId="10761" xr:uid="{00000000-0005-0000-0000-000051350000}"/>
    <cellStyle name="Comma 5 9 4" xfId="20085" xr:uid="{00000000-0005-0000-0000-000052350000}"/>
    <cellStyle name="Comma 50" xfId="2930" xr:uid="{00000000-0005-0000-0000-000053350000}"/>
    <cellStyle name="Comma 50 2" xfId="2950" xr:uid="{00000000-0005-0000-0000-000054350000}"/>
    <cellStyle name="Comma 50 2 2" xfId="7631" xr:uid="{00000000-0005-0000-0000-000055350000}"/>
    <cellStyle name="Comma 50 2 2 2" xfId="16955" xr:uid="{00000000-0005-0000-0000-000056350000}"/>
    <cellStyle name="Comma 50 2 2 3" xfId="26278" xr:uid="{00000000-0005-0000-0000-000057350000}"/>
    <cellStyle name="Comma 50 3" xfId="7612" xr:uid="{00000000-0005-0000-0000-000058350000}"/>
    <cellStyle name="Comma 50 3 2" xfId="16936" xr:uid="{00000000-0005-0000-0000-000059350000}"/>
    <cellStyle name="Comma 50 3 3" xfId="26259" xr:uid="{00000000-0005-0000-0000-00005A350000}"/>
    <cellStyle name="Comma 50 4" xfId="12335" xr:uid="{00000000-0005-0000-0000-00005B350000}"/>
    <cellStyle name="Comma 50 5" xfId="21661" xr:uid="{00000000-0005-0000-0000-00005C350000}"/>
    <cellStyle name="Comma 51" xfId="28381" xr:uid="{00000000-0005-0000-0000-00005D350000}"/>
    <cellStyle name="Comma 52" xfId="28762" xr:uid="{00000000-0005-0000-0000-00005E350000}"/>
    <cellStyle name="Comma 6" xfId="81" xr:uid="{00000000-0005-0000-0000-00005F350000}"/>
    <cellStyle name="Comma 6 10" xfId="3013" xr:uid="{00000000-0005-0000-0000-000060350000}"/>
    <cellStyle name="Comma 6 10 2" xfId="7692" xr:uid="{00000000-0005-0000-0000-000061350000}"/>
    <cellStyle name="Comma 6 10 2 2" xfId="17016" xr:uid="{00000000-0005-0000-0000-000062350000}"/>
    <cellStyle name="Comma 6 10 2 3" xfId="26339" xr:uid="{00000000-0005-0000-0000-000063350000}"/>
    <cellStyle name="Comma 6 10 3" xfId="12401" xr:uid="{00000000-0005-0000-0000-000064350000}"/>
    <cellStyle name="Comma 6 10 4" xfId="21727" xr:uid="{00000000-0005-0000-0000-000065350000}"/>
    <cellStyle name="Comma 6 11" xfId="4661" xr:uid="{00000000-0005-0000-0000-000066350000}"/>
    <cellStyle name="Comma 6 11 2" xfId="13985" xr:uid="{00000000-0005-0000-0000-000067350000}"/>
    <cellStyle name="Comma 6 11 3" xfId="23308" xr:uid="{00000000-0005-0000-0000-000068350000}"/>
    <cellStyle name="Comma 6 12" xfId="9275" xr:uid="{00000000-0005-0000-0000-000069350000}"/>
    <cellStyle name="Comma 6 12 2" xfId="18599" xr:uid="{00000000-0005-0000-0000-00006A350000}"/>
    <cellStyle name="Comma 6 12 3" xfId="27922" xr:uid="{00000000-0005-0000-0000-00006B350000}"/>
    <cellStyle name="Comma 6 13" xfId="9769" xr:uid="{00000000-0005-0000-0000-00006C350000}"/>
    <cellStyle name="Comma 6 14" xfId="19093" xr:uid="{00000000-0005-0000-0000-00006D350000}"/>
    <cellStyle name="Comma 6 15" xfId="28766" xr:uid="{00000000-0005-0000-0000-00006E350000}"/>
    <cellStyle name="Comma 6 16" xfId="28779" xr:uid="{00000000-0005-0000-0000-00006F350000}"/>
    <cellStyle name="Comma 6 17" xfId="28967" xr:uid="{00000000-0005-0000-0000-000070350000}"/>
    <cellStyle name="Comma 6 2" xfId="219" xr:uid="{00000000-0005-0000-0000-000071350000}"/>
    <cellStyle name="Comma 6 2 10" xfId="9841" xr:uid="{00000000-0005-0000-0000-000072350000}"/>
    <cellStyle name="Comma 6 2 11" xfId="19165" xr:uid="{00000000-0005-0000-0000-000073350000}"/>
    <cellStyle name="Comma 6 2 12" xfId="28904" xr:uid="{00000000-0005-0000-0000-000074350000}"/>
    <cellStyle name="Comma 6 2 2" xfId="359" xr:uid="{00000000-0005-0000-0000-000075350000}"/>
    <cellStyle name="Comma 6 2 2 10" xfId="19288" xr:uid="{00000000-0005-0000-0000-000076350000}"/>
    <cellStyle name="Comma 6 2 2 2" xfId="599" xr:uid="{00000000-0005-0000-0000-000077350000}"/>
    <cellStyle name="Comma 6 2 2 2 2" xfId="1087" xr:uid="{00000000-0005-0000-0000-000078350000}"/>
    <cellStyle name="Comma 6 2 2 2 2 2" xfId="1205" xr:uid="{00000000-0005-0000-0000-000079350000}"/>
    <cellStyle name="Comma 6 2 2 2 2 2 2" xfId="6684" xr:uid="{00000000-0005-0000-0000-00007A350000}"/>
    <cellStyle name="Comma 6 2 2 2 2 2 2 2" xfId="16008" xr:uid="{00000000-0005-0000-0000-00007B350000}"/>
    <cellStyle name="Comma 6 2 2 2 2 2 2 3" xfId="25331" xr:uid="{00000000-0005-0000-0000-00007C350000}"/>
    <cellStyle name="Comma 6 2 2 2 2 2 3" xfId="10797" xr:uid="{00000000-0005-0000-0000-00007D350000}"/>
    <cellStyle name="Comma 6 2 2 2 2 2 4" xfId="20121" xr:uid="{00000000-0005-0000-0000-00007E350000}"/>
    <cellStyle name="Comma 6 2 2 2 2 3" xfId="3017" xr:uid="{00000000-0005-0000-0000-00007F350000}"/>
    <cellStyle name="Comma 6 2 2 2 2 3 2" xfId="7696" xr:uid="{00000000-0005-0000-0000-000080350000}"/>
    <cellStyle name="Comma 6 2 2 2 2 3 2 2" xfId="17020" xr:uid="{00000000-0005-0000-0000-000081350000}"/>
    <cellStyle name="Comma 6 2 2 2 2 3 2 3" xfId="26343" xr:uid="{00000000-0005-0000-0000-000082350000}"/>
    <cellStyle name="Comma 6 2 2 2 2 3 3" xfId="12405" xr:uid="{00000000-0005-0000-0000-000083350000}"/>
    <cellStyle name="Comma 6 2 2 2 2 3 4" xfId="21731" xr:uid="{00000000-0005-0000-0000-000084350000}"/>
    <cellStyle name="Comma 6 2 2 2 2 4" xfId="4665" xr:uid="{00000000-0005-0000-0000-000085350000}"/>
    <cellStyle name="Comma 6 2 2 2 2 4 2" xfId="13989" xr:uid="{00000000-0005-0000-0000-000086350000}"/>
    <cellStyle name="Comma 6 2 2 2 2 4 3" xfId="23312" xr:uid="{00000000-0005-0000-0000-000087350000}"/>
    <cellStyle name="Comma 6 2 2 2 2 5" xfId="10688" xr:uid="{00000000-0005-0000-0000-000088350000}"/>
    <cellStyle name="Comma 6 2 2 2 2 6" xfId="20012" xr:uid="{00000000-0005-0000-0000-000089350000}"/>
    <cellStyle name="Comma 6 2 2 2 3" xfId="1204" xr:uid="{00000000-0005-0000-0000-00008A350000}"/>
    <cellStyle name="Comma 6 2 2 2 3 2" xfId="6685" xr:uid="{00000000-0005-0000-0000-00008B350000}"/>
    <cellStyle name="Comma 6 2 2 2 3 2 2" xfId="16009" xr:uid="{00000000-0005-0000-0000-00008C350000}"/>
    <cellStyle name="Comma 6 2 2 2 3 2 3" xfId="25332" xr:uid="{00000000-0005-0000-0000-00008D350000}"/>
    <cellStyle name="Comma 6 2 2 2 3 3" xfId="10796" xr:uid="{00000000-0005-0000-0000-00008E350000}"/>
    <cellStyle name="Comma 6 2 2 2 3 4" xfId="20120" xr:uid="{00000000-0005-0000-0000-00008F350000}"/>
    <cellStyle name="Comma 6 2 2 2 4" xfId="3016" xr:uid="{00000000-0005-0000-0000-000090350000}"/>
    <cellStyle name="Comma 6 2 2 2 4 2" xfId="7695" xr:uid="{00000000-0005-0000-0000-000091350000}"/>
    <cellStyle name="Comma 6 2 2 2 4 2 2" xfId="17019" xr:uid="{00000000-0005-0000-0000-000092350000}"/>
    <cellStyle name="Comma 6 2 2 2 4 2 3" xfId="26342" xr:uid="{00000000-0005-0000-0000-000093350000}"/>
    <cellStyle name="Comma 6 2 2 2 4 3" xfId="12404" xr:uid="{00000000-0005-0000-0000-000094350000}"/>
    <cellStyle name="Comma 6 2 2 2 4 4" xfId="21730" xr:uid="{00000000-0005-0000-0000-000095350000}"/>
    <cellStyle name="Comma 6 2 2 2 5" xfId="4664" xr:uid="{00000000-0005-0000-0000-000096350000}"/>
    <cellStyle name="Comma 6 2 2 2 5 2" xfId="13988" xr:uid="{00000000-0005-0000-0000-000097350000}"/>
    <cellStyle name="Comma 6 2 2 2 5 3" xfId="23311" xr:uid="{00000000-0005-0000-0000-000098350000}"/>
    <cellStyle name="Comma 6 2 2 2 6" xfId="9710" xr:uid="{00000000-0005-0000-0000-000099350000}"/>
    <cellStyle name="Comma 6 2 2 2 6 2" xfId="19034" xr:uid="{00000000-0005-0000-0000-00009A350000}"/>
    <cellStyle name="Comma 6 2 2 2 6 3" xfId="28357" xr:uid="{00000000-0005-0000-0000-00009B350000}"/>
    <cellStyle name="Comma 6 2 2 2 7" xfId="10204" xr:uid="{00000000-0005-0000-0000-00009C350000}"/>
    <cellStyle name="Comma 6 2 2 2 8" xfId="19528" xr:uid="{00000000-0005-0000-0000-00009D350000}"/>
    <cellStyle name="Comma 6 2 2 3" xfId="847" xr:uid="{00000000-0005-0000-0000-00009E350000}"/>
    <cellStyle name="Comma 6 2 2 3 2" xfId="1206" xr:uid="{00000000-0005-0000-0000-00009F350000}"/>
    <cellStyle name="Comma 6 2 2 3 2 2" xfId="6680" xr:uid="{00000000-0005-0000-0000-0000A0350000}"/>
    <cellStyle name="Comma 6 2 2 3 2 2 2" xfId="16004" xr:uid="{00000000-0005-0000-0000-0000A1350000}"/>
    <cellStyle name="Comma 6 2 2 3 2 2 3" xfId="25327" xr:uid="{00000000-0005-0000-0000-0000A2350000}"/>
    <cellStyle name="Comma 6 2 2 3 2 3" xfId="10798" xr:uid="{00000000-0005-0000-0000-0000A3350000}"/>
    <cellStyle name="Comma 6 2 2 3 2 4" xfId="20122" xr:uid="{00000000-0005-0000-0000-0000A4350000}"/>
    <cellStyle name="Comma 6 2 2 3 3" xfId="3018" xr:uid="{00000000-0005-0000-0000-0000A5350000}"/>
    <cellStyle name="Comma 6 2 2 3 3 2" xfId="7697" xr:uid="{00000000-0005-0000-0000-0000A6350000}"/>
    <cellStyle name="Comma 6 2 2 3 3 2 2" xfId="17021" xr:uid="{00000000-0005-0000-0000-0000A7350000}"/>
    <cellStyle name="Comma 6 2 2 3 3 2 3" xfId="26344" xr:uid="{00000000-0005-0000-0000-0000A8350000}"/>
    <cellStyle name="Comma 6 2 2 3 3 3" xfId="12406" xr:uid="{00000000-0005-0000-0000-0000A9350000}"/>
    <cellStyle name="Comma 6 2 2 3 3 4" xfId="21732" xr:uid="{00000000-0005-0000-0000-0000AA350000}"/>
    <cellStyle name="Comma 6 2 2 3 4" xfId="4666" xr:uid="{00000000-0005-0000-0000-0000AB350000}"/>
    <cellStyle name="Comma 6 2 2 3 4 2" xfId="13990" xr:uid="{00000000-0005-0000-0000-0000AC350000}"/>
    <cellStyle name="Comma 6 2 2 3 4 3" xfId="23313" xr:uid="{00000000-0005-0000-0000-0000AD350000}"/>
    <cellStyle name="Comma 6 2 2 3 5" xfId="10448" xr:uid="{00000000-0005-0000-0000-0000AE350000}"/>
    <cellStyle name="Comma 6 2 2 3 6" xfId="19772" xr:uid="{00000000-0005-0000-0000-0000AF350000}"/>
    <cellStyle name="Comma 6 2 2 4" xfId="1965" xr:uid="{00000000-0005-0000-0000-0000B0350000}"/>
    <cellStyle name="Comma 6 2 2 4 2" xfId="3714" xr:uid="{00000000-0005-0000-0000-0000B1350000}"/>
    <cellStyle name="Comma 6 2 2 4 2 2" xfId="8393" xr:uid="{00000000-0005-0000-0000-0000B2350000}"/>
    <cellStyle name="Comma 6 2 2 4 2 2 2" xfId="17717" xr:uid="{00000000-0005-0000-0000-0000B3350000}"/>
    <cellStyle name="Comma 6 2 2 4 2 2 3" xfId="27040" xr:uid="{00000000-0005-0000-0000-0000B4350000}"/>
    <cellStyle name="Comma 6 2 2 4 3" xfId="7466" xr:uid="{00000000-0005-0000-0000-0000B5350000}"/>
    <cellStyle name="Comma 6 2 2 4 3 2" xfId="16790" xr:uid="{00000000-0005-0000-0000-0000B6350000}"/>
    <cellStyle name="Comma 6 2 2 4 3 3" xfId="26113" xr:uid="{00000000-0005-0000-0000-0000B7350000}"/>
    <cellStyle name="Comma 6 2 2 4 4" xfId="11492" xr:uid="{00000000-0005-0000-0000-0000B8350000}"/>
    <cellStyle name="Comma 6 2 2 4 5" xfId="20816" xr:uid="{00000000-0005-0000-0000-0000B9350000}"/>
    <cellStyle name="Comma 6 2 2 5" xfId="1203" xr:uid="{00000000-0005-0000-0000-0000BA350000}"/>
    <cellStyle name="Comma 6 2 2 5 2" xfId="6686" xr:uid="{00000000-0005-0000-0000-0000BB350000}"/>
    <cellStyle name="Comma 6 2 2 5 2 2" xfId="16010" xr:uid="{00000000-0005-0000-0000-0000BC350000}"/>
    <cellStyle name="Comma 6 2 2 5 2 3" xfId="25333" xr:uid="{00000000-0005-0000-0000-0000BD350000}"/>
    <cellStyle name="Comma 6 2 2 5 3" xfId="10795" xr:uid="{00000000-0005-0000-0000-0000BE350000}"/>
    <cellStyle name="Comma 6 2 2 5 4" xfId="20119" xr:uid="{00000000-0005-0000-0000-0000BF350000}"/>
    <cellStyle name="Comma 6 2 2 6" xfId="3015" xr:uid="{00000000-0005-0000-0000-0000C0350000}"/>
    <cellStyle name="Comma 6 2 2 6 2" xfId="7694" xr:uid="{00000000-0005-0000-0000-0000C1350000}"/>
    <cellStyle name="Comma 6 2 2 6 2 2" xfId="17018" xr:uid="{00000000-0005-0000-0000-0000C2350000}"/>
    <cellStyle name="Comma 6 2 2 6 2 3" xfId="26341" xr:uid="{00000000-0005-0000-0000-0000C3350000}"/>
    <cellStyle name="Comma 6 2 2 6 3" xfId="12403" xr:uid="{00000000-0005-0000-0000-0000C4350000}"/>
    <cellStyle name="Comma 6 2 2 6 4" xfId="21729" xr:uid="{00000000-0005-0000-0000-0000C5350000}"/>
    <cellStyle name="Comma 6 2 2 7" xfId="4663" xr:uid="{00000000-0005-0000-0000-0000C6350000}"/>
    <cellStyle name="Comma 6 2 2 7 2" xfId="13987" xr:uid="{00000000-0005-0000-0000-0000C7350000}"/>
    <cellStyle name="Comma 6 2 2 7 3" xfId="23310" xr:uid="{00000000-0005-0000-0000-0000C8350000}"/>
    <cellStyle name="Comma 6 2 2 8" xfId="9470" xr:uid="{00000000-0005-0000-0000-0000C9350000}"/>
    <cellStyle name="Comma 6 2 2 8 2" xfId="18794" xr:uid="{00000000-0005-0000-0000-0000CA350000}"/>
    <cellStyle name="Comma 6 2 2 8 3" xfId="28117" xr:uid="{00000000-0005-0000-0000-0000CB350000}"/>
    <cellStyle name="Comma 6 2 2 9" xfId="9964" xr:uid="{00000000-0005-0000-0000-0000CC350000}"/>
    <cellStyle name="Comma 6 2 3" xfId="477" xr:uid="{00000000-0005-0000-0000-0000CD350000}"/>
    <cellStyle name="Comma 6 2 3 2" xfId="965" xr:uid="{00000000-0005-0000-0000-0000CE350000}"/>
    <cellStyle name="Comma 6 2 3 2 2" xfId="1967" xr:uid="{00000000-0005-0000-0000-0000CF350000}"/>
    <cellStyle name="Comma 6 2 3 2 2 2" xfId="3716" xr:uid="{00000000-0005-0000-0000-0000D0350000}"/>
    <cellStyle name="Comma 6 2 3 2 2 2 2" xfId="8395" xr:uid="{00000000-0005-0000-0000-0000D1350000}"/>
    <cellStyle name="Comma 6 2 3 2 2 2 2 2" xfId="17719" xr:uid="{00000000-0005-0000-0000-0000D2350000}"/>
    <cellStyle name="Comma 6 2 3 2 2 2 2 3" xfId="27042" xr:uid="{00000000-0005-0000-0000-0000D3350000}"/>
    <cellStyle name="Comma 6 2 3 2 2 2 3" xfId="13055" xr:uid="{00000000-0005-0000-0000-0000D4350000}"/>
    <cellStyle name="Comma 6 2 3 2 2 2 4" xfId="22381" xr:uid="{00000000-0005-0000-0000-0000D5350000}"/>
    <cellStyle name="Comma 6 2 3 2 2 3" xfId="5403" xr:uid="{00000000-0005-0000-0000-0000D6350000}"/>
    <cellStyle name="Comma 6 2 3 2 2 3 2" xfId="14727" xr:uid="{00000000-0005-0000-0000-0000D7350000}"/>
    <cellStyle name="Comma 6 2 3 2 2 3 3" xfId="24050" xr:uid="{00000000-0005-0000-0000-0000D8350000}"/>
    <cellStyle name="Comma 6 2 3 2 2 4" xfId="7468" xr:uid="{00000000-0005-0000-0000-0000D9350000}"/>
    <cellStyle name="Comma 6 2 3 2 2 4 2" xfId="16792" xr:uid="{00000000-0005-0000-0000-0000DA350000}"/>
    <cellStyle name="Comma 6 2 3 2 2 4 3" xfId="26115" xr:uid="{00000000-0005-0000-0000-0000DB350000}"/>
    <cellStyle name="Comma 6 2 3 2 2 5" xfId="11494" xr:uid="{00000000-0005-0000-0000-0000DC350000}"/>
    <cellStyle name="Comma 6 2 3 2 2 6" xfId="20818" xr:uid="{00000000-0005-0000-0000-0000DD350000}"/>
    <cellStyle name="Comma 6 2 3 2 3" xfId="1208" xr:uid="{00000000-0005-0000-0000-0000DE350000}"/>
    <cellStyle name="Comma 6 2 3 2 3 2" xfId="6682" xr:uid="{00000000-0005-0000-0000-0000DF350000}"/>
    <cellStyle name="Comma 6 2 3 2 3 2 2" xfId="16006" xr:uid="{00000000-0005-0000-0000-0000E0350000}"/>
    <cellStyle name="Comma 6 2 3 2 3 2 3" xfId="25329" xr:uid="{00000000-0005-0000-0000-0000E1350000}"/>
    <cellStyle name="Comma 6 2 3 2 3 3" xfId="10800" xr:uid="{00000000-0005-0000-0000-0000E2350000}"/>
    <cellStyle name="Comma 6 2 3 2 3 4" xfId="20124" xr:uid="{00000000-0005-0000-0000-0000E3350000}"/>
    <cellStyle name="Comma 6 2 3 2 4" xfId="3020" xr:uid="{00000000-0005-0000-0000-0000E4350000}"/>
    <cellStyle name="Comma 6 2 3 2 4 2" xfId="7699" xr:uid="{00000000-0005-0000-0000-0000E5350000}"/>
    <cellStyle name="Comma 6 2 3 2 4 2 2" xfId="17023" xr:uid="{00000000-0005-0000-0000-0000E6350000}"/>
    <cellStyle name="Comma 6 2 3 2 4 2 3" xfId="26346" xr:uid="{00000000-0005-0000-0000-0000E7350000}"/>
    <cellStyle name="Comma 6 2 3 2 4 3" xfId="12408" xr:uid="{00000000-0005-0000-0000-0000E8350000}"/>
    <cellStyle name="Comma 6 2 3 2 4 4" xfId="21734" xr:uid="{00000000-0005-0000-0000-0000E9350000}"/>
    <cellStyle name="Comma 6 2 3 2 5" xfId="4668" xr:uid="{00000000-0005-0000-0000-0000EA350000}"/>
    <cellStyle name="Comma 6 2 3 2 5 2" xfId="13992" xr:uid="{00000000-0005-0000-0000-0000EB350000}"/>
    <cellStyle name="Comma 6 2 3 2 5 3" xfId="23315" xr:uid="{00000000-0005-0000-0000-0000EC350000}"/>
    <cellStyle name="Comma 6 2 3 2 6" xfId="10566" xr:uid="{00000000-0005-0000-0000-0000ED350000}"/>
    <cellStyle name="Comma 6 2 3 2 7" xfId="19890" xr:uid="{00000000-0005-0000-0000-0000EE350000}"/>
    <cellStyle name="Comma 6 2 3 3" xfId="1966" xr:uid="{00000000-0005-0000-0000-0000EF350000}"/>
    <cellStyle name="Comma 6 2 3 3 2" xfId="3715" xr:uid="{00000000-0005-0000-0000-0000F0350000}"/>
    <cellStyle name="Comma 6 2 3 3 2 2" xfId="8394" xr:uid="{00000000-0005-0000-0000-0000F1350000}"/>
    <cellStyle name="Comma 6 2 3 3 2 2 2" xfId="17718" xr:uid="{00000000-0005-0000-0000-0000F2350000}"/>
    <cellStyle name="Comma 6 2 3 3 2 2 3" xfId="27041" xr:uid="{00000000-0005-0000-0000-0000F3350000}"/>
    <cellStyle name="Comma 6 2 3 3 2 3" xfId="13054" xr:uid="{00000000-0005-0000-0000-0000F4350000}"/>
    <cellStyle name="Comma 6 2 3 3 2 4" xfId="22380" xr:uid="{00000000-0005-0000-0000-0000F5350000}"/>
    <cellStyle name="Comma 6 2 3 3 3" xfId="5402" xr:uid="{00000000-0005-0000-0000-0000F6350000}"/>
    <cellStyle name="Comma 6 2 3 3 3 2" xfId="14726" xr:uid="{00000000-0005-0000-0000-0000F7350000}"/>
    <cellStyle name="Comma 6 2 3 3 3 3" xfId="24049" xr:uid="{00000000-0005-0000-0000-0000F8350000}"/>
    <cellStyle name="Comma 6 2 3 3 4" xfId="7467" xr:uid="{00000000-0005-0000-0000-0000F9350000}"/>
    <cellStyle name="Comma 6 2 3 3 4 2" xfId="16791" xr:uid="{00000000-0005-0000-0000-0000FA350000}"/>
    <cellStyle name="Comma 6 2 3 3 4 3" xfId="26114" xr:uid="{00000000-0005-0000-0000-0000FB350000}"/>
    <cellStyle name="Comma 6 2 3 3 5" xfId="11493" xr:uid="{00000000-0005-0000-0000-0000FC350000}"/>
    <cellStyle name="Comma 6 2 3 3 6" xfId="20817" xr:uid="{00000000-0005-0000-0000-0000FD350000}"/>
    <cellStyle name="Comma 6 2 3 4" xfId="1207" xr:uid="{00000000-0005-0000-0000-0000FE350000}"/>
    <cellStyle name="Comma 6 2 3 4 2" xfId="6683" xr:uid="{00000000-0005-0000-0000-0000FF350000}"/>
    <cellStyle name="Comma 6 2 3 4 2 2" xfId="16007" xr:uid="{00000000-0005-0000-0000-000000360000}"/>
    <cellStyle name="Comma 6 2 3 4 2 3" xfId="25330" xr:uid="{00000000-0005-0000-0000-000001360000}"/>
    <cellStyle name="Comma 6 2 3 4 3" xfId="10799" xr:uid="{00000000-0005-0000-0000-000002360000}"/>
    <cellStyle name="Comma 6 2 3 4 4" xfId="20123" xr:uid="{00000000-0005-0000-0000-000003360000}"/>
    <cellStyle name="Comma 6 2 3 5" xfId="3019" xr:uid="{00000000-0005-0000-0000-000004360000}"/>
    <cellStyle name="Comma 6 2 3 5 2" xfId="7698" xr:uid="{00000000-0005-0000-0000-000005360000}"/>
    <cellStyle name="Comma 6 2 3 5 2 2" xfId="17022" xr:uid="{00000000-0005-0000-0000-000006360000}"/>
    <cellStyle name="Comma 6 2 3 5 2 3" xfId="26345" xr:uid="{00000000-0005-0000-0000-000007360000}"/>
    <cellStyle name="Comma 6 2 3 5 3" xfId="12407" xr:uid="{00000000-0005-0000-0000-000008360000}"/>
    <cellStyle name="Comma 6 2 3 5 4" xfId="21733" xr:uid="{00000000-0005-0000-0000-000009360000}"/>
    <cellStyle name="Comma 6 2 3 6" xfId="4667" xr:uid="{00000000-0005-0000-0000-00000A360000}"/>
    <cellStyle name="Comma 6 2 3 6 2" xfId="13991" xr:uid="{00000000-0005-0000-0000-00000B360000}"/>
    <cellStyle name="Comma 6 2 3 6 3" xfId="23314" xr:uid="{00000000-0005-0000-0000-00000C360000}"/>
    <cellStyle name="Comma 6 2 3 7" xfId="9588" xr:uid="{00000000-0005-0000-0000-00000D360000}"/>
    <cellStyle name="Comma 6 2 3 7 2" xfId="18912" xr:uid="{00000000-0005-0000-0000-00000E360000}"/>
    <cellStyle name="Comma 6 2 3 7 3" xfId="28235" xr:uid="{00000000-0005-0000-0000-00000F360000}"/>
    <cellStyle name="Comma 6 2 3 8" xfId="10082" xr:uid="{00000000-0005-0000-0000-000010360000}"/>
    <cellStyle name="Comma 6 2 3 9" xfId="19406" xr:uid="{00000000-0005-0000-0000-000011360000}"/>
    <cellStyle name="Comma 6 2 4" xfId="725" xr:uid="{00000000-0005-0000-0000-000012360000}"/>
    <cellStyle name="Comma 6 2 4 2" xfId="1968" xr:uid="{00000000-0005-0000-0000-000013360000}"/>
    <cellStyle name="Comma 6 2 4 2 2" xfId="3717" xr:uid="{00000000-0005-0000-0000-000014360000}"/>
    <cellStyle name="Comma 6 2 4 2 2 2" xfId="8396" xr:uid="{00000000-0005-0000-0000-000015360000}"/>
    <cellStyle name="Comma 6 2 4 2 2 2 2" xfId="17720" xr:uid="{00000000-0005-0000-0000-000016360000}"/>
    <cellStyle name="Comma 6 2 4 2 2 2 3" xfId="27043" xr:uid="{00000000-0005-0000-0000-000017360000}"/>
    <cellStyle name="Comma 6 2 4 2 2 3" xfId="13056" xr:uid="{00000000-0005-0000-0000-000018360000}"/>
    <cellStyle name="Comma 6 2 4 2 2 4" xfId="22382" xr:uid="{00000000-0005-0000-0000-000019360000}"/>
    <cellStyle name="Comma 6 2 4 2 3" xfId="5404" xr:uid="{00000000-0005-0000-0000-00001A360000}"/>
    <cellStyle name="Comma 6 2 4 2 3 2" xfId="14728" xr:uid="{00000000-0005-0000-0000-00001B360000}"/>
    <cellStyle name="Comma 6 2 4 2 3 3" xfId="24051" xr:uid="{00000000-0005-0000-0000-00001C360000}"/>
    <cellStyle name="Comma 6 2 4 2 4" xfId="7469" xr:uid="{00000000-0005-0000-0000-00001D360000}"/>
    <cellStyle name="Comma 6 2 4 2 4 2" xfId="16793" xr:uid="{00000000-0005-0000-0000-00001E360000}"/>
    <cellStyle name="Comma 6 2 4 2 4 3" xfId="26116" xr:uid="{00000000-0005-0000-0000-00001F360000}"/>
    <cellStyle name="Comma 6 2 4 2 5" xfId="11495" xr:uid="{00000000-0005-0000-0000-000020360000}"/>
    <cellStyle name="Comma 6 2 4 2 6" xfId="20819" xr:uid="{00000000-0005-0000-0000-000021360000}"/>
    <cellStyle name="Comma 6 2 4 3" xfId="1209" xr:uid="{00000000-0005-0000-0000-000022360000}"/>
    <cellStyle name="Comma 6 2 4 3 2" xfId="6681" xr:uid="{00000000-0005-0000-0000-000023360000}"/>
    <cellStyle name="Comma 6 2 4 3 2 2" xfId="16005" xr:uid="{00000000-0005-0000-0000-000024360000}"/>
    <cellStyle name="Comma 6 2 4 3 2 3" xfId="25328" xr:uid="{00000000-0005-0000-0000-000025360000}"/>
    <cellStyle name="Comma 6 2 4 3 3" xfId="10801" xr:uid="{00000000-0005-0000-0000-000026360000}"/>
    <cellStyle name="Comma 6 2 4 3 4" xfId="20125" xr:uid="{00000000-0005-0000-0000-000027360000}"/>
    <cellStyle name="Comma 6 2 4 4" xfId="3021" xr:uid="{00000000-0005-0000-0000-000028360000}"/>
    <cellStyle name="Comma 6 2 4 4 2" xfId="7700" xr:uid="{00000000-0005-0000-0000-000029360000}"/>
    <cellStyle name="Comma 6 2 4 4 2 2" xfId="17024" xr:uid="{00000000-0005-0000-0000-00002A360000}"/>
    <cellStyle name="Comma 6 2 4 4 2 3" xfId="26347" xr:uid="{00000000-0005-0000-0000-00002B360000}"/>
    <cellStyle name="Comma 6 2 4 4 3" xfId="12409" xr:uid="{00000000-0005-0000-0000-00002C360000}"/>
    <cellStyle name="Comma 6 2 4 4 4" xfId="21735" xr:uid="{00000000-0005-0000-0000-00002D360000}"/>
    <cellStyle name="Comma 6 2 4 5" xfId="4669" xr:uid="{00000000-0005-0000-0000-00002E360000}"/>
    <cellStyle name="Comma 6 2 4 5 2" xfId="13993" xr:uid="{00000000-0005-0000-0000-00002F360000}"/>
    <cellStyle name="Comma 6 2 4 5 3" xfId="23316" xr:uid="{00000000-0005-0000-0000-000030360000}"/>
    <cellStyle name="Comma 6 2 4 6" xfId="10326" xr:uid="{00000000-0005-0000-0000-000031360000}"/>
    <cellStyle name="Comma 6 2 4 7" xfId="19650" xr:uid="{00000000-0005-0000-0000-000032360000}"/>
    <cellStyle name="Comma 6 2 5" xfId="1964" xr:uid="{00000000-0005-0000-0000-000033360000}"/>
    <cellStyle name="Comma 6 2 5 2" xfId="3713" xr:uid="{00000000-0005-0000-0000-000034360000}"/>
    <cellStyle name="Comma 6 2 5 2 2" xfId="8392" xr:uid="{00000000-0005-0000-0000-000035360000}"/>
    <cellStyle name="Comma 6 2 5 2 2 2" xfId="17716" xr:uid="{00000000-0005-0000-0000-000036360000}"/>
    <cellStyle name="Comma 6 2 5 2 2 3" xfId="27039" xr:uid="{00000000-0005-0000-0000-000037360000}"/>
    <cellStyle name="Comma 6 2 5 2 3" xfId="13053" xr:uid="{00000000-0005-0000-0000-000038360000}"/>
    <cellStyle name="Comma 6 2 5 2 4" xfId="22379" xr:uid="{00000000-0005-0000-0000-000039360000}"/>
    <cellStyle name="Comma 6 2 5 3" xfId="5400" xr:uid="{00000000-0005-0000-0000-00003A360000}"/>
    <cellStyle name="Comma 6 2 5 3 2" xfId="14724" xr:uid="{00000000-0005-0000-0000-00003B360000}"/>
    <cellStyle name="Comma 6 2 5 3 3" xfId="24047" xr:uid="{00000000-0005-0000-0000-00003C360000}"/>
    <cellStyle name="Comma 6 2 5 4" xfId="7465" xr:uid="{00000000-0005-0000-0000-00003D360000}"/>
    <cellStyle name="Comma 6 2 5 4 2" xfId="16789" xr:uid="{00000000-0005-0000-0000-00003E360000}"/>
    <cellStyle name="Comma 6 2 5 4 3" xfId="26112" xr:uid="{00000000-0005-0000-0000-00003F360000}"/>
    <cellStyle name="Comma 6 2 5 5" xfId="11491" xr:uid="{00000000-0005-0000-0000-000040360000}"/>
    <cellStyle name="Comma 6 2 5 6" xfId="20815" xr:uid="{00000000-0005-0000-0000-000041360000}"/>
    <cellStyle name="Comma 6 2 6" xfId="1202" xr:uid="{00000000-0005-0000-0000-000042360000}"/>
    <cellStyle name="Comma 6 2 6 2" xfId="6687" xr:uid="{00000000-0005-0000-0000-000043360000}"/>
    <cellStyle name="Comma 6 2 6 2 2" xfId="16011" xr:uid="{00000000-0005-0000-0000-000044360000}"/>
    <cellStyle name="Comma 6 2 6 2 3" xfId="25334" xr:uid="{00000000-0005-0000-0000-000045360000}"/>
    <cellStyle name="Comma 6 2 6 3" xfId="10794" xr:uid="{00000000-0005-0000-0000-000046360000}"/>
    <cellStyle name="Comma 6 2 6 4" xfId="20118" xr:uid="{00000000-0005-0000-0000-000047360000}"/>
    <cellStyle name="Comma 6 2 7" xfId="3014" xr:uid="{00000000-0005-0000-0000-000048360000}"/>
    <cellStyle name="Comma 6 2 7 2" xfId="7693" xr:uid="{00000000-0005-0000-0000-000049360000}"/>
    <cellStyle name="Comma 6 2 7 2 2" xfId="17017" xr:uid="{00000000-0005-0000-0000-00004A360000}"/>
    <cellStyle name="Comma 6 2 7 2 3" xfId="26340" xr:uid="{00000000-0005-0000-0000-00004B360000}"/>
    <cellStyle name="Comma 6 2 7 3" xfId="12402" xr:uid="{00000000-0005-0000-0000-00004C360000}"/>
    <cellStyle name="Comma 6 2 7 4" xfId="21728" xr:uid="{00000000-0005-0000-0000-00004D360000}"/>
    <cellStyle name="Comma 6 2 8" xfId="4662" xr:uid="{00000000-0005-0000-0000-00004E360000}"/>
    <cellStyle name="Comma 6 2 8 2" xfId="13986" xr:uid="{00000000-0005-0000-0000-00004F360000}"/>
    <cellStyle name="Comma 6 2 8 3" xfId="23309" xr:uid="{00000000-0005-0000-0000-000050360000}"/>
    <cellStyle name="Comma 6 2 9" xfId="9347" xr:uid="{00000000-0005-0000-0000-000051360000}"/>
    <cellStyle name="Comma 6 2 9 2" xfId="18671" xr:uid="{00000000-0005-0000-0000-000052360000}"/>
    <cellStyle name="Comma 6 2 9 3" xfId="27994" xr:uid="{00000000-0005-0000-0000-000053360000}"/>
    <cellStyle name="Comma 6 3" xfId="297" xr:uid="{00000000-0005-0000-0000-000054360000}"/>
    <cellStyle name="Comma 6 3 10" xfId="19231" xr:uid="{00000000-0005-0000-0000-000055360000}"/>
    <cellStyle name="Comma 6 3 2" xfId="543" xr:uid="{00000000-0005-0000-0000-000056360000}"/>
    <cellStyle name="Comma 6 3 2 2" xfId="1031" xr:uid="{00000000-0005-0000-0000-000057360000}"/>
    <cellStyle name="Comma 6 3 2 2 2" xfId="1212" xr:uid="{00000000-0005-0000-0000-000058360000}"/>
    <cellStyle name="Comma 6 3 2 2 2 2" xfId="6679" xr:uid="{00000000-0005-0000-0000-000059360000}"/>
    <cellStyle name="Comma 6 3 2 2 2 2 2" xfId="16003" xr:uid="{00000000-0005-0000-0000-00005A360000}"/>
    <cellStyle name="Comma 6 3 2 2 2 2 3" xfId="25326" xr:uid="{00000000-0005-0000-0000-00005B360000}"/>
    <cellStyle name="Comma 6 3 2 2 2 3" xfId="10804" xr:uid="{00000000-0005-0000-0000-00005C360000}"/>
    <cellStyle name="Comma 6 3 2 2 2 4" xfId="20128" xr:uid="{00000000-0005-0000-0000-00005D360000}"/>
    <cellStyle name="Comma 6 3 2 2 3" xfId="3024" xr:uid="{00000000-0005-0000-0000-00005E360000}"/>
    <cellStyle name="Comma 6 3 2 2 3 2" xfId="7703" xr:uid="{00000000-0005-0000-0000-00005F360000}"/>
    <cellStyle name="Comma 6 3 2 2 3 2 2" xfId="17027" xr:uid="{00000000-0005-0000-0000-000060360000}"/>
    <cellStyle name="Comma 6 3 2 2 3 2 3" xfId="26350" xr:uid="{00000000-0005-0000-0000-000061360000}"/>
    <cellStyle name="Comma 6 3 2 2 3 3" xfId="12412" xr:uid="{00000000-0005-0000-0000-000062360000}"/>
    <cellStyle name="Comma 6 3 2 2 3 4" xfId="21738" xr:uid="{00000000-0005-0000-0000-000063360000}"/>
    <cellStyle name="Comma 6 3 2 2 4" xfId="4672" xr:uid="{00000000-0005-0000-0000-000064360000}"/>
    <cellStyle name="Comma 6 3 2 2 4 2" xfId="13996" xr:uid="{00000000-0005-0000-0000-000065360000}"/>
    <cellStyle name="Comma 6 3 2 2 4 3" xfId="23319" xr:uid="{00000000-0005-0000-0000-000066360000}"/>
    <cellStyle name="Comma 6 3 2 2 5" xfId="10632" xr:uid="{00000000-0005-0000-0000-000067360000}"/>
    <cellStyle name="Comma 6 3 2 2 6" xfId="19956" xr:uid="{00000000-0005-0000-0000-000068360000}"/>
    <cellStyle name="Comma 6 3 2 3" xfId="1211" xr:uid="{00000000-0005-0000-0000-000069360000}"/>
    <cellStyle name="Comma 6 3 2 3 2" xfId="6672" xr:uid="{00000000-0005-0000-0000-00006A360000}"/>
    <cellStyle name="Comma 6 3 2 3 2 2" xfId="15996" xr:uid="{00000000-0005-0000-0000-00006B360000}"/>
    <cellStyle name="Comma 6 3 2 3 2 3" xfId="25319" xr:uid="{00000000-0005-0000-0000-00006C360000}"/>
    <cellStyle name="Comma 6 3 2 3 3" xfId="10803" xr:uid="{00000000-0005-0000-0000-00006D360000}"/>
    <cellStyle name="Comma 6 3 2 3 4" xfId="20127" xr:uid="{00000000-0005-0000-0000-00006E360000}"/>
    <cellStyle name="Comma 6 3 2 4" xfId="3023" xr:uid="{00000000-0005-0000-0000-00006F360000}"/>
    <cellStyle name="Comma 6 3 2 4 2" xfId="7702" xr:uid="{00000000-0005-0000-0000-000070360000}"/>
    <cellStyle name="Comma 6 3 2 4 2 2" xfId="17026" xr:uid="{00000000-0005-0000-0000-000071360000}"/>
    <cellStyle name="Comma 6 3 2 4 2 3" xfId="26349" xr:uid="{00000000-0005-0000-0000-000072360000}"/>
    <cellStyle name="Comma 6 3 2 4 3" xfId="12411" xr:uid="{00000000-0005-0000-0000-000073360000}"/>
    <cellStyle name="Comma 6 3 2 4 4" xfId="21737" xr:uid="{00000000-0005-0000-0000-000074360000}"/>
    <cellStyle name="Comma 6 3 2 5" xfId="4671" xr:uid="{00000000-0005-0000-0000-000075360000}"/>
    <cellStyle name="Comma 6 3 2 5 2" xfId="13995" xr:uid="{00000000-0005-0000-0000-000076360000}"/>
    <cellStyle name="Comma 6 3 2 5 3" xfId="23318" xr:uid="{00000000-0005-0000-0000-000077360000}"/>
    <cellStyle name="Comma 6 3 2 6" xfId="9654" xr:uid="{00000000-0005-0000-0000-000078360000}"/>
    <cellStyle name="Comma 6 3 2 6 2" xfId="18978" xr:uid="{00000000-0005-0000-0000-000079360000}"/>
    <cellStyle name="Comma 6 3 2 6 3" xfId="28301" xr:uid="{00000000-0005-0000-0000-00007A360000}"/>
    <cellStyle name="Comma 6 3 2 7" xfId="10148" xr:uid="{00000000-0005-0000-0000-00007B360000}"/>
    <cellStyle name="Comma 6 3 2 8" xfId="19472" xr:uid="{00000000-0005-0000-0000-00007C360000}"/>
    <cellStyle name="Comma 6 3 3" xfId="791" xr:uid="{00000000-0005-0000-0000-00007D360000}"/>
    <cellStyle name="Comma 6 3 3 2" xfId="1213" xr:uid="{00000000-0005-0000-0000-00007E360000}"/>
    <cellStyle name="Comma 6 3 3 2 2" xfId="6678" xr:uid="{00000000-0005-0000-0000-00007F360000}"/>
    <cellStyle name="Comma 6 3 3 2 2 2" xfId="16002" xr:uid="{00000000-0005-0000-0000-000080360000}"/>
    <cellStyle name="Comma 6 3 3 2 2 3" xfId="25325" xr:uid="{00000000-0005-0000-0000-000081360000}"/>
    <cellStyle name="Comma 6 3 3 2 3" xfId="10805" xr:uid="{00000000-0005-0000-0000-000082360000}"/>
    <cellStyle name="Comma 6 3 3 2 4" xfId="20129" xr:uid="{00000000-0005-0000-0000-000083360000}"/>
    <cellStyle name="Comma 6 3 3 3" xfId="3025" xr:uid="{00000000-0005-0000-0000-000084360000}"/>
    <cellStyle name="Comma 6 3 3 3 2" xfId="7704" xr:uid="{00000000-0005-0000-0000-000085360000}"/>
    <cellStyle name="Comma 6 3 3 3 2 2" xfId="17028" xr:uid="{00000000-0005-0000-0000-000086360000}"/>
    <cellStyle name="Comma 6 3 3 3 2 3" xfId="26351" xr:uid="{00000000-0005-0000-0000-000087360000}"/>
    <cellStyle name="Comma 6 3 3 3 3" xfId="12413" xr:uid="{00000000-0005-0000-0000-000088360000}"/>
    <cellStyle name="Comma 6 3 3 3 4" xfId="21739" xr:uid="{00000000-0005-0000-0000-000089360000}"/>
    <cellStyle name="Comma 6 3 3 4" xfId="4673" xr:uid="{00000000-0005-0000-0000-00008A360000}"/>
    <cellStyle name="Comma 6 3 3 4 2" xfId="13997" xr:uid="{00000000-0005-0000-0000-00008B360000}"/>
    <cellStyle name="Comma 6 3 3 4 3" xfId="23320" xr:uid="{00000000-0005-0000-0000-00008C360000}"/>
    <cellStyle name="Comma 6 3 3 5" xfId="10392" xr:uid="{00000000-0005-0000-0000-00008D360000}"/>
    <cellStyle name="Comma 6 3 3 6" xfId="19716" xr:uid="{00000000-0005-0000-0000-00008E360000}"/>
    <cellStyle name="Comma 6 3 4" xfId="1969" xr:uid="{00000000-0005-0000-0000-00008F360000}"/>
    <cellStyle name="Comma 6 3 4 2" xfId="3718" xr:uid="{00000000-0005-0000-0000-000090360000}"/>
    <cellStyle name="Comma 6 3 4 2 2" xfId="8397" xr:uid="{00000000-0005-0000-0000-000091360000}"/>
    <cellStyle name="Comma 6 3 4 2 2 2" xfId="17721" xr:uid="{00000000-0005-0000-0000-000092360000}"/>
    <cellStyle name="Comma 6 3 4 2 2 3" xfId="27044" xr:uid="{00000000-0005-0000-0000-000093360000}"/>
    <cellStyle name="Comma 6 3 4 3" xfId="7470" xr:uid="{00000000-0005-0000-0000-000094360000}"/>
    <cellStyle name="Comma 6 3 4 3 2" xfId="16794" xr:uid="{00000000-0005-0000-0000-000095360000}"/>
    <cellStyle name="Comma 6 3 4 3 3" xfId="26117" xr:uid="{00000000-0005-0000-0000-000096360000}"/>
    <cellStyle name="Comma 6 3 4 4" xfId="11496" xr:uid="{00000000-0005-0000-0000-000097360000}"/>
    <cellStyle name="Comma 6 3 4 5" xfId="20820" xr:uid="{00000000-0005-0000-0000-000098360000}"/>
    <cellStyle name="Comma 6 3 5" xfId="1210" xr:uid="{00000000-0005-0000-0000-000099360000}"/>
    <cellStyle name="Comma 6 3 5 2" xfId="5752" xr:uid="{00000000-0005-0000-0000-00009A360000}"/>
    <cellStyle name="Comma 6 3 5 2 2" xfId="15076" xr:uid="{00000000-0005-0000-0000-00009B360000}"/>
    <cellStyle name="Comma 6 3 5 2 3" xfId="24399" xr:uid="{00000000-0005-0000-0000-00009C360000}"/>
    <cellStyle name="Comma 6 3 5 3" xfId="10802" xr:uid="{00000000-0005-0000-0000-00009D360000}"/>
    <cellStyle name="Comma 6 3 5 4" xfId="20126" xr:uid="{00000000-0005-0000-0000-00009E360000}"/>
    <cellStyle name="Comma 6 3 6" xfId="3022" xr:uid="{00000000-0005-0000-0000-00009F360000}"/>
    <cellStyle name="Comma 6 3 6 2" xfId="7701" xr:uid="{00000000-0005-0000-0000-0000A0360000}"/>
    <cellStyle name="Comma 6 3 6 2 2" xfId="17025" xr:uid="{00000000-0005-0000-0000-0000A1360000}"/>
    <cellStyle name="Comma 6 3 6 2 3" xfId="26348" xr:uid="{00000000-0005-0000-0000-0000A2360000}"/>
    <cellStyle name="Comma 6 3 6 3" xfId="12410" xr:uid="{00000000-0005-0000-0000-0000A3360000}"/>
    <cellStyle name="Comma 6 3 6 4" xfId="21736" xr:uid="{00000000-0005-0000-0000-0000A4360000}"/>
    <cellStyle name="Comma 6 3 7" xfId="4670" xr:uid="{00000000-0005-0000-0000-0000A5360000}"/>
    <cellStyle name="Comma 6 3 7 2" xfId="13994" xr:uid="{00000000-0005-0000-0000-0000A6360000}"/>
    <cellStyle name="Comma 6 3 7 3" xfId="23317" xr:uid="{00000000-0005-0000-0000-0000A7360000}"/>
    <cellStyle name="Comma 6 3 8" xfId="9413" xr:uid="{00000000-0005-0000-0000-0000A8360000}"/>
    <cellStyle name="Comma 6 3 8 2" xfId="18737" xr:uid="{00000000-0005-0000-0000-0000A9360000}"/>
    <cellStyle name="Comma 6 3 8 3" xfId="28060" xr:uid="{00000000-0005-0000-0000-0000AA360000}"/>
    <cellStyle name="Comma 6 3 9" xfId="9907" xr:uid="{00000000-0005-0000-0000-0000AB360000}"/>
    <cellStyle name="Comma 6 4" xfId="418" xr:uid="{00000000-0005-0000-0000-0000AC360000}"/>
    <cellStyle name="Comma 6 4 10" xfId="9529" xr:uid="{00000000-0005-0000-0000-0000AD360000}"/>
    <cellStyle name="Comma 6 4 10 2" xfId="18853" xr:uid="{00000000-0005-0000-0000-0000AE360000}"/>
    <cellStyle name="Comma 6 4 10 3" xfId="28176" xr:uid="{00000000-0005-0000-0000-0000AF360000}"/>
    <cellStyle name="Comma 6 4 11" xfId="10023" xr:uid="{00000000-0005-0000-0000-0000B0360000}"/>
    <cellStyle name="Comma 6 4 12" xfId="19347" xr:uid="{00000000-0005-0000-0000-0000B1360000}"/>
    <cellStyle name="Comma 6 4 2" xfId="906" xr:uid="{00000000-0005-0000-0000-0000B2360000}"/>
    <cellStyle name="Comma 6 4 2 2" xfId="1972" xr:uid="{00000000-0005-0000-0000-0000B3360000}"/>
    <cellStyle name="Comma 6 4 2 2 2" xfId="3721" xr:uid="{00000000-0005-0000-0000-0000B4360000}"/>
    <cellStyle name="Comma 6 4 2 2 2 2" xfId="8400" xr:uid="{00000000-0005-0000-0000-0000B5360000}"/>
    <cellStyle name="Comma 6 4 2 2 2 2 2" xfId="17724" xr:uid="{00000000-0005-0000-0000-0000B6360000}"/>
    <cellStyle name="Comma 6 4 2 2 2 2 3" xfId="27047" xr:uid="{00000000-0005-0000-0000-0000B7360000}"/>
    <cellStyle name="Comma 6 4 2 2 2 3" xfId="13059" xr:uid="{00000000-0005-0000-0000-0000B8360000}"/>
    <cellStyle name="Comma 6 4 2 2 2 4" xfId="22385" xr:uid="{00000000-0005-0000-0000-0000B9360000}"/>
    <cellStyle name="Comma 6 4 2 2 3" xfId="5408" xr:uid="{00000000-0005-0000-0000-0000BA360000}"/>
    <cellStyle name="Comma 6 4 2 2 3 2" xfId="14732" xr:uid="{00000000-0005-0000-0000-0000BB360000}"/>
    <cellStyle name="Comma 6 4 2 2 3 3" xfId="24055" xr:uid="{00000000-0005-0000-0000-0000BC360000}"/>
    <cellStyle name="Comma 6 4 2 2 4" xfId="7473" xr:uid="{00000000-0005-0000-0000-0000BD360000}"/>
    <cellStyle name="Comma 6 4 2 2 4 2" xfId="16797" xr:uid="{00000000-0005-0000-0000-0000BE360000}"/>
    <cellStyle name="Comma 6 4 2 2 4 3" xfId="26120" xr:uid="{00000000-0005-0000-0000-0000BF360000}"/>
    <cellStyle name="Comma 6 4 2 2 5" xfId="11499" xr:uid="{00000000-0005-0000-0000-0000C0360000}"/>
    <cellStyle name="Comma 6 4 2 2 6" xfId="20823" xr:uid="{00000000-0005-0000-0000-0000C1360000}"/>
    <cellStyle name="Comma 6 4 2 3" xfId="1971" xr:uid="{00000000-0005-0000-0000-0000C2360000}"/>
    <cellStyle name="Comma 6 4 2 3 2" xfId="3720" xr:uid="{00000000-0005-0000-0000-0000C3360000}"/>
    <cellStyle name="Comma 6 4 2 3 2 2" xfId="8399" xr:uid="{00000000-0005-0000-0000-0000C4360000}"/>
    <cellStyle name="Comma 6 4 2 3 2 2 2" xfId="17723" xr:uid="{00000000-0005-0000-0000-0000C5360000}"/>
    <cellStyle name="Comma 6 4 2 3 2 2 3" xfId="27046" xr:uid="{00000000-0005-0000-0000-0000C6360000}"/>
    <cellStyle name="Comma 6 4 2 3 2 3" xfId="13058" xr:uid="{00000000-0005-0000-0000-0000C7360000}"/>
    <cellStyle name="Comma 6 4 2 3 2 4" xfId="22384" xr:uid="{00000000-0005-0000-0000-0000C8360000}"/>
    <cellStyle name="Comma 6 4 2 3 3" xfId="5407" xr:uid="{00000000-0005-0000-0000-0000C9360000}"/>
    <cellStyle name="Comma 6 4 2 3 3 2" xfId="14731" xr:uid="{00000000-0005-0000-0000-0000CA360000}"/>
    <cellStyle name="Comma 6 4 2 3 3 3" xfId="24054" xr:uid="{00000000-0005-0000-0000-0000CB360000}"/>
    <cellStyle name="Comma 6 4 2 3 4" xfId="7472" xr:uid="{00000000-0005-0000-0000-0000CC360000}"/>
    <cellStyle name="Comma 6 4 2 3 4 2" xfId="16796" xr:uid="{00000000-0005-0000-0000-0000CD360000}"/>
    <cellStyle name="Comma 6 4 2 3 4 3" xfId="26119" xr:uid="{00000000-0005-0000-0000-0000CE360000}"/>
    <cellStyle name="Comma 6 4 2 3 5" xfId="11498" xr:uid="{00000000-0005-0000-0000-0000CF360000}"/>
    <cellStyle name="Comma 6 4 2 3 6" xfId="20822" xr:uid="{00000000-0005-0000-0000-0000D0360000}"/>
    <cellStyle name="Comma 6 4 2 4" xfId="1215" xr:uid="{00000000-0005-0000-0000-0000D1360000}"/>
    <cellStyle name="Comma 6 4 2 4 2" xfId="6676" xr:uid="{00000000-0005-0000-0000-0000D2360000}"/>
    <cellStyle name="Comma 6 4 2 4 2 2" xfId="16000" xr:uid="{00000000-0005-0000-0000-0000D3360000}"/>
    <cellStyle name="Comma 6 4 2 4 2 3" xfId="25323" xr:uid="{00000000-0005-0000-0000-0000D4360000}"/>
    <cellStyle name="Comma 6 4 2 4 3" xfId="10807" xr:uid="{00000000-0005-0000-0000-0000D5360000}"/>
    <cellStyle name="Comma 6 4 2 4 4" xfId="20131" xr:uid="{00000000-0005-0000-0000-0000D6360000}"/>
    <cellStyle name="Comma 6 4 2 5" xfId="3027" xr:uid="{00000000-0005-0000-0000-0000D7360000}"/>
    <cellStyle name="Comma 6 4 2 5 2" xfId="7706" xr:uid="{00000000-0005-0000-0000-0000D8360000}"/>
    <cellStyle name="Comma 6 4 2 5 2 2" xfId="17030" xr:uid="{00000000-0005-0000-0000-0000D9360000}"/>
    <cellStyle name="Comma 6 4 2 5 2 3" xfId="26353" xr:uid="{00000000-0005-0000-0000-0000DA360000}"/>
    <cellStyle name="Comma 6 4 2 5 3" xfId="12415" xr:uid="{00000000-0005-0000-0000-0000DB360000}"/>
    <cellStyle name="Comma 6 4 2 5 4" xfId="21741" xr:uid="{00000000-0005-0000-0000-0000DC360000}"/>
    <cellStyle name="Comma 6 4 2 6" xfId="4675" xr:uid="{00000000-0005-0000-0000-0000DD360000}"/>
    <cellStyle name="Comma 6 4 2 6 2" xfId="13999" xr:uid="{00000000-0005-0000-0000-0000DE360000}"/>
    <cellStyle name="Comma 6 4 2 6 3" xfId="23322" xr:uid="{00000000-0005-0000-0000-0000DF360000}"/>
    <cellStyle name="Comma 6 4 2 7" xfId="10507" xr:uid="{00000000-0005-0000-0000-0000E0360000}"/>
    <cellStyle name="Comma 6 4 2 8" xfId="19831" xr:uid="{00000000-0005-0000-0000-0000E1360000}"/>
    <cellStyle name="Comma 6 4 3" xfId="1973" xr:uid="{00000000-0005-0000-0000-0000E2360000}"/>
    <cellStyle name="Comma 6 4 3 2" xfId="3722" xr:uid="{00000000-0005-0000-0000-0000E3360000}"/>
    <cellStyle name="Comma 6 4 3 2 2" xfId="8401" xr:uid="{00000000-0005-0000-0000-0000E4360000}"/>
    <cellStyle name="Comma 6 4 3 2 2 2" xfId="17725" xr:uid="{00000000-0005-0000-0000-0000E5360000}"/>
    <cellStyle name="Comma 6 4 3 2 2 3" xfId="27048" xr:uid="{00000000-0005-0000-0000-0000E6360000}"/>
    <cellStyle name="Comma 6 4 3 2 3" xfId="13060" xr:uid="{00000000-0005-0000-0000-0000E7360000}"/>
    <cellStyle name="Comma 6 4 3 2 4" xfId="22386" xr:uid="{00000000-0005-0000-0000-0000E8360000}"/>
    <cellStyle name="Comma 6 4 3 3" xfId="5409" xr:uid="{00000000-0005-0000-0000-0000E9360000}"/>
    <cellStyle name="Comma 6 4 3 3 2" xfId="14733" xr:uid="{00000000-0005-0000-0000-0000EA360000}"/>
    <cellStyle name="Comma 6 4 3 3 3" xfId="24056" xr:uid="{00000000-0005-0000-0000-0000EB360000}"/>
    <cellStyle name="Comma 6 4 3 4" xfId="7474" xr:uid="{00000000-0005-0000-0000-0000EC360000}"/>
    <cellStyle name="Comma 6 4 3 4 2" xfId="16798" xr:uid="{00000000-0005-0000-0000-0000ED360000}"/>
    <cellStyle name="Comma 6 4 3 4 3" xfId="26121" xr:uid="{00000000-0005-0000-0000-0000EE360000}"/>
    <cellStyle name="Comma 6 4 3 5" xfId="11500" xr:uid="{00000000-0005-0000-0000-0000EF360000}"/>
    <cellStyle name="Comma 6 4 3 6" xfId="20824" xr:uid="{00000000-0005-0000-0000-0000F0360000}"/>
    <cellStyle name="Comma 6 4 4" xfId="1974" xr:uid="{00000000-0005-0000-0000-0000F1360000}"/>
    <cellStyle name="Comma 6 4 4 2" xfId="3723" xr:uid="{00000000-0005-0000-0000-0000F2360000}"/>
    <cellStyle name="Comma 6 4 4 2 2" xfId="8402" xr:uid="{00000000-0005-0000-0000-0000F3360000}"/>
    <cellStyle name="Comma 6 4 4 2 2 2" xfId="17726" xr:uid="{00000000-0005-0000-0000-0000F4360000}"/>
    <cellStyle name="Comma 6 4 4 2 2 3" xfId="27049" xr:uid="{00000000-0005-0000-0000-0000F5360000}"/>
    <cellStyle name="Comma 6 4 4 2 3" xfId="13061" xr:uid="{00000000-0005-0000-0000-0000F6360000}"/>
    <cellStyle name="Comma 6 4 4 2 4" xfId="22387" xr:uid="{00000000-0005-0000-0000-0000F7360000}"/>
    <cellStyle name="Comma 6 4 4 3" xfId="5410" xr:uid="{00000000-0005-0000-0000-0000F8360000}"/>
    <cellStyle name="Comma 6 4 4 3 2" xfId="14734" xr:uid="{00000000-0005-0000-0000-0000F9360000}"/>
    <cellStyle name="Comma 6 4 4 3 3" xfId="24057" xr:uid="{00000000-0005-0000-0000-0000FA360000}"/>
    <cellStyle name="Comma 6 4 4 4" xfId="7475" xr:uid="{00000000-0005-0000-0000-0000FB360000}"/>
    <cellStyle name="Comma 6 4 4 4 2" xfId="16799" xr:uid="{00000000-0005-0000-0000-0000FC360000}"/>
    <cellStyle name="Comma 6 4 4 4 3" xfId="26122" xr:uid="{00000000-0005-0000-0000-0000FD360000}"/>
    <cellStyle name="Comma 6 4 4 5" xfId="11501" xr:uid="{00000000-0005-0000-0000-0000FE360000}"/>
    <cellStyle name="Comma 6 4 4 6" xfId="20825" xr:uid="{00000000-0005-0000-0000-0000FF360000}"/>
    <cellStyle name="Comma 6 4 5" xfId="1975" xr:uid="{00000000-0005-0000-0000-000000370000}"/>
    <cellStyle name="Comma 6 4 5 2" xfId="3724" xr:uid="{00000000-0005-0000-0000-000001370000}"/>
    <cellStyle name="Comma 6 4 5 2 2" xfId="8403" xr:uid="{00000000-0005-0000-0000-000002370000}"/>
    <cellStyle name="Comma 6 4 5 2 2 2" xfId="17727" xr:uid="{00000000-0005-0000-0000-000003370000}"/>
    <cellStyle name="Comma 6 4 5 2 2 3" xfId="27050" xr:uid="{00000000-0005-0000-0000-000004370000}"/>
    <cellStyle name="Comma 6 4 5 2 3" xfId="13062" xr:uid="{00000000-0005-0000-0000-000005370000}"/>
    <cellStyle name="Comma 6 4 5 2 4" xfId="22388" xr:uid="{00000000-0005-0000-0000-000006370000}"/>
    <cellStyle name="Comma 6 4 5 3" xfId="5411" xr:uid="{00000000-0005-0000-0000-000007370000}"/>
    <cellStyle name="Comma 6 4 5 3 2" xfId="14735" xr:uid="{00000000-0005-0000-0000-000008370000}"/>
    <cellStyle name="Comma 6 4 5 3 3" xfId="24058" xr:uid="{00000000-0005-0000-0000-000009370000}"/>
    <cellStyle name="Comma 6 4 5 4" xfId="7476" xr:uid="{00000000-0005-0000-0000-00000A370000}"/>
    <cellStyle name="Comma 6 4 5 4 2" xfId="16800" xr:uid="{00000000-0005-0000-0000-00000B370000}"/>
    <cellStyle name="Comma 6 4 5 4 3" xfId="26123" xr:uid="{00000000-0005-0000-0000-00000C370000}"/>
    <cellStyle name="Comma 6 4 5 5" xfId="11502" xr:uid="{00000000-0005-0000-0000-00000D370000}"/>
    <cellStyle name="Comma 6 4 5 6" xfId="20826" xr:uid="{00000000-0005-0000-0000-00000E370000}"/>
    <cellStyle name="Comma 6 4 6" xfId="1970" xr:uid="{00000000-0005-0000-0000-00000F370000}"/>
    <cellStyle name="Comma 6 4 6 2" xfId="3719" xr:uid="{00000000-0005-0000-0000-000010370000}"/>
    <cellStyle name="Comma 6 4 6 2 2" xfId="8398" xr:uid="{00000000-0005-0000-0000-000011370000}"/>
    <cellStyle name="Comma 6 4 6 2 2 2" xfId="17722" xr:uid="{00000000-0005-0000-0000-000012370000}"/>
    <cellStyle name="Comma 6 4 6 2 2 3" xfId="27045" xr:uid="{00000000-0005-0000-0000-000013370000}"/>
    <cellStyle name="Comma 6 4 6 2 3" xfId="13057" xr:uid="{00000000-0005-0000-0000-000014370000}"/>
    <cellStyle name="Comma 6 4 6 2 4" xfId="22383" xr:uid="{00000000-0005-0000-0000-000015370000}"/>
    <cellStyle name="Comma 6 4 6 3" xfId="5406" xr:uid="{00000000-0005-0000-0000-000016370000}"/>
    <cellStyle name="Comma 6 4 6 3 2" xfId="14730" xr:uid="{00000000-0005-0000-0000-000017370000}"/>
    <cellStyle name="Comma 6 4 6 3 3" xfId="24053" xr:uid="{00000000-0005-0000-0000-000018370000}"/>
    <cellStyle name="Comma 6 4 6 4" xfId="7471" xr:uid="{00000000-0005-0000-0000-000019370000}"/>
    <cellStyle name="Comma 6 4 6 4 2" xfId="16795" xr:uid="{00000000-0005-0000-0000-00001A370000}"/>
    <cellStyle name="Comma 6 4 6 4 3" xfId="26118" xr:uid="{00000000-0005-0000-0000-00001B370000}"/>
    <cellStyle name="Comma 6 4 6 5" xfId="11497" xr:uid="{00000000-0005-0000-0000-00001C370000}"/>
    <cellStyle name="Comma 6 4 6 6" xfId="20821" xr:uid="{00000000-0005-0000-0000-00001D370000}"/>
    <cellStyle name="Comma 6 4 7" xfId="1214" xr:uid="{00000000-0005-0000-0000-00001E370000}"/>
    <cellStyle name="Comma 6 4 7 2" xfId="6677" xr:uid="{00000000-0005-0000-0000-00001F370000}"/>
    <cellStyle name="Comma 6 4 7 2 2" xfId="16001" xr:uid="{00000000-0005-0000-0000-000020370000}"/>
    <cellStyle name="Comma 6 4 7 2 3" xfId="25324" xr:uid="{00000000-0005-0000-0000-000021370000}"/>
    <cellStyle name="Comma 6 4 7 3" xfId="10806" xr:uid="{00000000-0005-0000-0000-000022370000}"/>
    <cellStyle name="Comma 6 4 7 4" xfId="20130" xr:uid="{00000000-0005-0000-0000-000023370000}"/>
    <cellStyle name="Comma 6 4 8" xfId="3026" xr:uid="{00000000-0005-0000-0000-000024370000}"/>
    <cellStyle name="Comma 6 4 8 2" xfId="7705" xr:uid="{00000000-0005-0000-0000-000025370000}"/>
    <cellStyle name="Comma 6 4 8 2 2" xfId="17029" xr:uid="{00000000-0005-0000-0000-000026370000}"/>
    <cellStyle name="Comma 6 4 8 2 3" xfId="26352" xr:uid="{00000000-0005-0000-0000-000027370000}"/>
    <cellStyle name="Comma 6 4 8 3" xfId="12414" xr:uid="{00000000-0005-0000-0000-000028370000}"/>
    <cellStyle name="Comma 6 4 8 4" xfId="21740" xr:uid="{00000000-0005-0000-0000-000029370000}"/>
    <cellStyle name="Comma 6 4 9" xfId="4674" xr:uid="{00000000-0005-0000-0000-00002A370000}"/>
    <cellStyle name="Comma 6 4 9 2" xfId="13998" xr:uid="{00000000-0005-0000-0000-00002B370000}"/>
    <cellStyle name="Comma 6 4 9 3" xfId="23321" xr:uid="{00000000-0005-0000-0000-00002C370000}"/>
    <cellStyle name="Comma 6 5" xfId="666" xr:uid="{00000000-0005-0000-0000-00002D370000}"/>
    <cellStyle name="Comma 6 5 2" xfId="1976" xr:uid="{00000000-0005-0000-0000-00002E370000}"/>
    <cellStyle name="Comma 6 5 2 2" xfId="3725" xr:uid="{00000000-0005-0000-0000-00002F370000}"/>
    <cellStyle name="Comma 6 5 2 2 2" xfId="8404" xr:uid="{00000000-0005-0000-0000-000030370000}"/>
    <cellStyle name="Comma 6 5 2 2 2 2" xfId="17728" xr:uid="{00000000-0005-0000-0000-000031370000}"/>
    <cellStyle name="Comma 6 5 2 2 2 3" xfId="27051" xr:uid="{00000000-0005-0000-0000-000032370000}"/>
    <cellStyle name="Comma 6 5 2 3" xfId="7477" xr:uid="{00000000-0005-0000-0000-000033370000}"/>
    <cellStyle name="Comma 6 5 2 3 2" xfId="16801" xr:uid="{00000000-0005-0000-0000-000034370000}"/>
    <cellStyle name="Comma 6 5 2 3 3" xfId="26124" xr:uid="{00000000-0005-0000-0000-000035370000}"/>
    <cellStyle name="Comma 6 5 2 4" xfId="11503" xr:uid="{00000000-0005-0000-0000-000036370000}"/>
    <cellStyle name="Comma 6 5 2 5" xfId="20827" xr:uid="{00000000-0005-0000-0000-000037370000}"/>
    <cellStyle name="Comma 6 5 3" xfId="1216" xr:uid="{00000000-0005-0000-0000-000038370000}"/>
    <cellStyle name="Comma 6 5 3 2" xfId="6673" xr:uid="{00000000-0005-0000-0000-000039370000}"/>
    <cellStyle name="Comma 6 5 3 2 2" xfId="15997" xr:uid="{00000000-0005-0000-0000-00003A370000}"/>
    <cellStyle name="Comma 6 5 3 2 3" xfId="25320" xr:uid="{00000000-0005-0000-0000-00003B370000}"/>
    <cellStyle name="Comma 6 5 3 3" xfId="10808" xr:uid="{00000000-0005-0000-0000-00003C370000}"/>
    <cellStyle name="Comma 6 5 3 4" xfId="20132" xr:uid="{00000000-0005-0000-0000-00003D370000}"/>
    <cellStyle name="Comma 6 5 4" xfId="3028" xr:uid="{00000000-0005-0000-0000-00003E370000}"/>
    <cellStyle name="Comma 6 5 4 2" xfId="7707" xr:uid="{00000000-0005-0000-0000-00003F370000}"/>
    <cellStyle name="Comma 6 5 4 2 2" xfId="17031" xr:uid="{00000000-0005-0000-0000-000040370000}"/>
    <cellStyle name="Comma 6 5 4 2 3" xfId="26354" xr:uid="{00000000-0005-0000-0000-000041370000}"/>
    <cellStyle name="Comma 6 5 4 3" xfId="12416" xr:uid="{00000000-0005-0000-0000-000042370000}"/>
    <cellStyle name="Comma 6 5 4 4" xfId="21742" xr:uid="{00000000-0005-0000-0000-000043370000}"/>
    <cellStyle name="Comma 6 5 5" xfId="4676" xr:uid="{00000000-0005-0000-0000-000044370000}"/>
    <cellStyle name="Comma 6 5 5 2" xfId="14000" xr:uid="{00000000-0005-0000-0000-000045370000}"/>
    <cellStyle name="Comma 6 5 5 3" xfId="23323" xr:uid="{00000000-0005-0000-0000-000046370000}"/>
    <cellStyle name="Comma 6 5 6" xfId="10267" xr:uid="{00000000-0005-0000-0000-000047370000}"/>
    <cellStyle name="Comma 6 5 7" xfId="19591" xr:uid="{00000000-0005-0000-0000-000048370000}"/>
    <cellStyle name="Comma 6 6" xfId="1113" xr:uid="{00000000-0005-0000-0000-000049370000}"/>
    <cellStyle name="Comma 6 6 2" xfId="1978" xr:uid="{00000000-0005-0000-0000-00004A370000}"/>
    <cellStyle name="Comma 6 6 2 2" xfId="3727" xr:uid="{00000000-0005-0000-0000-00004B370000}"/>
    <cellStyle name="Comma 6 6 2 2 2" xfId="8406" xr:uid="{00000000-0005-0000-0000-00004C370000}"/>
    <cellStyle name="Comma 6 6 2 2 2 2" xfId="17730" xr:uid="{00000000-0005-0000-0000-00004D370000}"/>
    <cellStyle name="Comma 6 6 2 2 2 3" xfId="27053" xr:uid="{00000000-0005-0000-0000-00004E370000}"/>
    <cellStyle name="Comma 6 6 2 2 3" xfId="13064" xr:uid="{00000000-0005-0000-0000-00004F370000}"/>
    <cellStyle name="Comma 6 6 2 2 4" xfId="22390" xr:uid="{00000000-0005-0000-0000-000050370000}"/>
    <cellStyle name="Comma 6 6 2 2 4 2" xfId="28958" xr:uid="{00000000-0005-0000-0000-000051370000}"/>
    <cellStyle name="Comma 6 6 2 2 4 2 2" xfId="28985" xr:uid="{00000000-0005-0000-0000-000052370000}"/>
    <cellStyle name="Comma 6 6 2 3" xfId="5414" xr:uid="{00000000-0005-0000-0000-000053370000}"/>
    <cellStyle name="Comma 6 6 2 3 2" xfId="14738" xr:uid="{00000000-0005-0000-0000-000054370000}"/>
    <cellStyle name="Comma 6 6 2 3 3" xfId="24061" xr:uid="{00000000-0005-0000-0000-000055370000}"/>
    <cellStyle name="Comma 6 6 2 4" xfId="7479" xr:uid="{00000000-0005-0000-0000-000056370000}"/>
    <cellStyle name="Comma 6 6 2 4 2" xfId="16803" xr:uid="{00000000-0005-0000-0000-000057370000}"/>
    <cellStyle name="Comma 6 6 2 4 3" xfId="26126" xr:uid="{00000000-0005-0000-0000-000058370000}"/>
    <cellStyle name="Comma 6 6 2 5" xfId="11505" xr:uid="{00000000-0005-0000-0000-000059370000}"/>
    <cellStyle name="Comma 6 6 2 6" xfId="20829" xr:uid="{00000000-0005-0000-0000-00005A370000}"/>
    <cellStyle name="Comma 6 6 3" xfId="1977" xr:uid="{00000000-0005-0000-0000-00005B370000}"/>
    <cellStyle name="Comma 6 6 3 2" xfId="7478" xr:uid="{00000000-0005-0000-0000-00005C370000}"/>
    <cellStyle name="Comma 6 6 3 2 2" xfId="16802" xr:uid="{00000000-0005-0000-0000-00005D370000}"/>
    <cellStyle name="Comma 6 6 3 2 3" xfId="26125" xr:uid="{00000000-0005-0000-0000-00005E370000}"/>
    <cellStyle name="Comma 6 6 3 3" xfId="11504" xr:uid="{00000000-0005-0000-0000-00005F370000}"/>
    <cellStyle name="Comma 6 6 3 4" xfId="20828" xr:uid="{00000000-0005-0000-0000-000060370000}"/>
    <cellStyle name="Comma 6 6 4" xfId="3726" xr:uid="{00000000-0005-0000-0000-000061370000}"/>
    <cellStyle name="Comma 6 6 4 2" xfId="8405" xr:uid="{00000000-0005-0000-0000-000062370000}"/>
    <cellStyle name="Comma 6 6 4 2 2" xfId="17729" xr:uid="{00000000-0005-0000-0000-000063370000}"/>
    <cellStyle name="Comma 6 6 4 2 3" xfId="27052" xr:uid="{00000000-0005-0000-0000-000064370000}"/>
    <cellStyle name="Comma 6 6 4 3" xfId="13063" xr:uid="{00000000-0005-0000-0000-000065370000}"/>
    <cellStyle name="Comma 6 6 4 4" xfId="22389" xr:uid="{00000000-0005-0000-0000-000066370000}"/>
    <cellStyle name="Comma 6 6 5" xfId="5413" xr:uid="{00000000-0005-0000-0000-000067370000}"/>
    <cellStyle name="Comma 6 6 5 2" xfId="14737" xr:uid="{00000000-0005-0000-0000-000068370000}"/>
    <cellStyle name="Comma 6 6 5 3" xfId="24060" xr:uid="{00000000-0005-0000-0000-000069370000}"/>
    <cellStyle name="Comma 6 6 6" xfId="10712" xr:uid="{00000000-0005-0000-0000-00006A370000}"/>
    <cellStyle name="Comma 6 6 7" xfId="20036" xr:uid="{00000000-0005-0000-0000-00006B370000}"/>
    <cellStyle name="Comma 6 6 8" xfId="28957" xr:uid="{00000000-0005-0000-0000-00006C370000}"/>
    <cellStyle name="Comma 6 6 8 2" xfId="28984" xr:uid="{00000000-0005-0000-0000-00006D370000}"/>
    <cellStyle name="Comma 6 7" xfId="1122" xr:uid="{00000000-0005-0000-0000-00006E370000}"/>
    <cellStyle name="Comma 6 7 2" xfId="3728" xr:uid="{00000000-0005-0000-0000-00006F370000}"/>
    <cellStyle name="Comma 6 7 2 2" xfId="8407" xr:uid="{00000000-0005-0000-0000-000070370000}"/>
    <cellStyle name="Comma 6 7 2 2 2" xfId="17731" xr:uid="{00000000-0005-0000-0000-000071370000}"/>
    <cellStyle name="Comma 6 7 2 2 3" xfId="27054" xr:uid="{00000000-0005-0000-0000-000072370000}"/>
    <cellStyle name="Comma 6 7 2 3" xfId="13065" xr:uid="{00000000-0005-0000-0000-000073370000}"/>
    <cellStyle name="Comma 6 7 2 4" xfId="22391" xr:uid="{00000000-0005-0000-0000-000074370000}"/>
    <cellStyle name="Comma 6 7 3" xfId="5415" xr:uid="{00000000-0005-0000-0000-000075370000}"/>
    <cellStyle name="Comma 6 7 3 2" xfId="14739" xr:uid="{00000000-0005-0000-0000-000076370000}"/>
    <cellStyle name="Comma 6 7 3 3" xfId="24062" xr:uid="{00000000-0005-0000-0000-000077370000}"/>
    <cellStyle name="Comma 6 7 4" xfId="6713" xr:uid="{00000000-0005-0000-0000-000078370000}"/>
    <cellStyle name="Comma 6 7 4 2" xfId="16037" xr:uid="{00000000-0005-0000-0000-000079370000}"/>
    <cellStyle name="Comma 6 7 4 3" xfId="25360" xr:uid="{00000000-0005-0000-0000-00007A370000}"/>
    <cellStyle name="Comma 6 7 5" xfId="10721" xr:uid="{00000000-0005-0000-0000-00007B370000}"/>
    <cellStyle name="Comma 6 7 6" xfId="20045" xr:uid="{00000000-0005-0000-0000-00007C370000}"/>
    <cellStyle name="Comma 6 8" xfId="1963" xr:uid="{00000000-0005-0000-0000-00007D370000}"/>
    <cellStyle name="Comma 6 8 2" xfId="3712" xr:uid="{00000000-0005-0000-0000-00007E370000}"/>
    <cellStyle name="Comma 6 8 2 2" xfId="8391" xr:uid="{00000000-0005-0000-0000-00007F370000}"/>
    <cellStyle name="Comma 6 8 2 2 2" xfId="17715" xr:uid="{00000000-0005-0000-0000-000080370000}"/>
    <cellStyle name="Comma 6 8 2 2 3" xfId="27038" xr:uid="{00000000-0005-0000-0000-000081370000}"/>
    <cellStyle name="Comma 6 8 2 3" xfId="13052" xr:uid="{00000000-0005-0000-0000-000082370000}"/>
    <cellStyle name="Comma 6 8 2 4" xfId="22378" xr:uid="{00000000-0005-0000-0000-000083370000}"/>
    <cellStyle name="Comma 6 8 3" xfId="5399" xr:uid="{00000000-0005-0000-0000-000084370000}"/>
    <cellStyle name="Comma 6 8 3 2" xfId="14723" xr:uid="{00000000-0005-0000-0000-000085370000}"/>
    <cellStyle name="Comma 6 8 3 3" xfId="24046" xr:uid="{00000000-0005-0000-0000-000086370000}"/>
    <cellStyle name="Comma 6 8 4" xfId="7464" xr:uid="{00000000-0005-0000-0000-000087370000}"/>
    <cellStyle name="Comma 6 8 4 2" xfId="16788" xr:uid="{00000000-0005-0000-0000-000088370000}"/>
    <cellStyle name="Comma 6 8 4 3" xfId="26111" xr:uid="{00000000-0005-0000-0000-000089370000}"/>
    <cellStyle name="Comma 6 8 5" xfId="11490" xr:uid="{00000000-0005-0000-0000-00008A370000}"/>
    <cellStyle name="Comma 6 8 6" xfId="20814" xr:uid="{00000000-0005-0000-0000-00008B370000}"/>
    <cellStyle name="Comma 6 9" xfId="2935" xr:uid="{00000000-0005-0000-0000-00008C370000}"/>
    <cellStyle name="Comma 6 9 2" xfId="7617" xr:uid="{00000000-0005-0000-0000-00008D370000}"/>
    <cellStyle name="Comma 6 9 2 2" xfId="16941" xr:uid="{00000000-0005-0000-0000-00008E370000}"/>
    <cellStyle name="Comma 6 9 2 3" xfId="26264" xr:uid="{00000000-0005-0000-0000-00008F370000}"/>
    <cellStyle name="Comma 6 9 3" xfId="12340" xr:uid="{00000000-0005-0000-0000-000090370000}"/>
    <cellStyle name="Comma 6 9 4" xfId="21666" xr:uid="{00000000-0005-0000-0000-000091370000}"/>
    <cellStyle name="Comma 7" xfId="241" xr:uid="{00000000-0005-0000-0000-000092370000}"/>
    <cellStyle name="Comma 7 10" xfId="3029" xr:uid="{00000000-0005-0000-0000-000093370000}"/>
    <cellStyle name="Comma 7 10 2" xfId="7708" xr:uid="{00000000-0005-0000-0000-000094370000}"/>
    <cellStyle name="Comma 7 10 2 2" xfId="17032" xr:uid="{00000000-0005-0000-0000-000095370000}"/>
    <cellStyle name="Comma 7 10 2 3" xfId="26355" xr:uid="{00000000-0005-0000-0000-000096370000}"/>
    <cellStyle name="Comma 7 11" xfId="9369" xr:uid="{00000000-0005-0000-0000-000097370000}"/>
    <cellStyle name="Comma 7 11 2" xfId="18693" xr:uid="{00000000-0005-0000-0000-000098370000}"/>
    <cellStyle name="Comma 7 11 3" xfId="28016" xr:uid="{00000000-0005-0000-0000-000099370000}"/>
    <cellStyle name="Comma 7 12" xfId="9863" xr:uid="{00000000-0005-0000-0000-00009A370000}"/>
    <cellStyle name="Comma 7 13" xfId="19187" xr:uid="{00000000-0005-0000-0000-00009B370000}"/>
    <cellStyle name="Comma 7 14" xfId="28818" xr:uid="{00000000-0005-0000-0000-00009C370000}"/>
    <cellStyle name="Comma 7 2" xfId="499" xr:uid="{00000000-0005-0000-0000-00009D370000}"/>
    <cellStyle name="Comma 7 2 10" xfId="10104" xr:uid="{00000000-0005-0000-0000-00009E370000}"/>
    <cellStyle name="Comma 7 2 11" xfId="19428" xr:uid="{00000000-0005-0000-0000-00009F370000}"/>
    <cellStyle name="Comma 7 2 12" xfId="28911" xr:uid="{00000000-0005-0000-0000-0000A0370000}"/>
    <cellStyle name="Comma 7 2 2" xfId="987" xr:uid="{00000000-0005-0000-0000-0000A1370000}"/>
    <cellStyle name="Comma 7 2 2 2" xfId="2902" xr:uid="{00000000-0005-0000-0000-0000A2370000}"/>
    <cellStyle name="Comma 7 2 2 2 2" xfId="4550" xr:uid="{00000000-0005-0000-0000-0000A3370000}"/>
    <cellStyle name="Comma 7 2 2 2 2 2" xfId="9227" xr:uid="{00000000-0005-0000-0000-0000A4370000}"/>
    <cellStyle name="Comma 7 2 2 2 2 2 2" xfId="18551" xr:uid="{00000000-0005-0000-0000-0000A5370000}"/>
    <cellStyle name="Comma 7 2 2 2 2 2 3" xfId="27874" xr:uid="{00000000-0005-0000-0000-0000A6370000}"/>
    <cellStyle name="Comma 7 2 2 2 2 3" xfId="13874" xr:uid="{00000000-0005-0000-0000-0000A7370000}"/>
    <cellStyle name="Comma 7 2 2 2 2 4" xfId="23198" xr:uid="{00000000-0005-0000-0000-0000A8370000}"/>
    <cellStyle name="Comma 7 2 2 2 3" xfId="6313" xr:uid="{00000000-0005-0000-0000-0000A9370000}"/>
    <cellStyle name="Comma 7 2 2 2 3 2" xfId="15637" xr:uid="{00000000-0005-0000-0000-0000AA370000}"/>
    <cellStyle name="Comma 7 2 2 2 3 3" xfId="24960" xr:uid="{00000000-0005-0000-0000-0000AB370000}"/>
    <cellStyle name="Comma 7 2 2 2 4" xfId="7608" xr:uid="{00000000-0005-0000-0000-0000AC370000}"/>
    <cellStyle name="Comma 7 2 2 2 4 2" xfId="16932" xr:uid="{00000000-0005-0000-0000-0000AD370000}"/>
    <cellStyle name="Comma 7 2 2 2 4 3" xfId="26255" xr:uid="{00000000-0005-0000-0000-0000AE370000}"/>
    <cellStyle name="Comma 7 2 2 2 5" xfId="12328" xr:uid="{00000000-0005-0000-0000-0000AF370000}"/>
    <cellStyle name="Comma 7 2 2 2 6" xfId="21654" xr:uid="{00000000-0005-0000-0000-0000B0370000}"/>
    <cellStyle name="Comma 7 2 2 3" xfId="1981" xr:uid="{00000000-0005-0000-0000-0000B1370000}"/>
    <cellStyle name="Comma 7 2 2 3 2" xfId="7482" xr:uid="{00000000-0005-0000-0000-0000B2370000}"/>
    <cellStyle name="Comma 7 2 2 3 2 2" xfId="16806" xr:uid="{00000000-0005-0000-0000-0000B3370000}"/>
    <cellStyle name="Comma 7 2 2 3 2 3" xfId="26129" xr:uid="{00000000-0005-0000-0000-0000B4370000}"/>
    <cellStyle name="Comma 7 2 2 3 3" xfId="11508" xr:uid="{00000000-0005-0000-0000-0000B5370000}"/>
    <cellStyle name="Comma 7 2 2 3 4" xfId="20832" xr:uid="{00000000-0005-0000-0000-0000B6370000}"/>
    <cellStyle name="Comma 7 2 2 4" xfId="3731" xr:uid="{00000000-0005-0000-0000-0000B7370000}"/>
    <cellStyle name="Comma 7 2 2 4 2" xfId="8410" xr:uid="{00000000-0005-0000-0000-0000B8370000}"/>
    <cellStyle name="Comma 7 2 2 4 2 2" xfId="17734" xr:uid="{00000000-0005-0000-0000-0000B9370000}"/>
    <cellStyle name="Comma 7 2 2 4 2 3" xfId="27057" xr:uid="{00000000-0005-0000-0000-0000BA370000}"/>
    <cellStyle name="Comma 7 2 2 5" xfId="10588" xr:uid="{00000000-0005-0000-0000-0000BB370000}"/>
    <cellStyle name="Comma 7 2 2 6" xfId="19912" xr:uid="{00000000-0005-0000-0000-0000BC370000}"/>
    <cellStyle name="Comma 7 2 3" xfId="1982" xr:uid="{00000000-0005-0000-0000-0000BD370000}"/>
    <cellStyle name="Comma 7 2 3 2" xfId="1983" xr:uid="{00000000-0005-0000-0000-0000BE370000}"/>
    <cellStyle name="Comma 7 2 3 2 2" xfId="3733" xr:uid="{00000000-0005-0000-0000-0000BF370000}"/>
    <cellStyle name="Comma 7 2 3 2 2 2" xfId="8412" xr:uid="{00000000-0005-0000-0000-0000C0370000}"/>
    <cellStyle name="Comma 7 2 3 2 2 2 2" xfId="17736" xr:uid="{00000000-0005-0000-0000-0000C1370000}"/>
    <cellStyle name="Comma 7 2 3 2 2 2 3" xfId="27059" xr:uid="{00000000-0005-0000-0000-0000C2370000}"/>
    <cellStyle name="Comma 7 2 3 2 2 3" xfId="13069" xr:uid="{00000000-0005-0000-0000-0000C3370000}"/>
    <cellStyle name="Comma 7 2 3 2 2 4" xfId="22395" xr:uid="{00000000-0005-0000-0000-0000C4370000}"/>
    <cellStyle name="Comma 7 2 3 2 3" xfId="5420" xr:uid="{00000000-0005-0000-0000-0000C5370000}"/>
    <cellStyle name="Comma 7 2 3 2 3 2" xfId="14744" xr:uid="{00000000-0005-0000-0000-0000C6370000}"/>
    <cellStyle name="Comma 7 2 3 2 3 3" xfId="24067" xr:uid="{00000000-0005-0000-0000-0000C7370000}"/>
    <cellStyle name="Comma 7 2 3 2 4" xfId="7484" xr:uid="{00000000-0005-0000-0000-0000C8370000}"/>
    <cellStyle name="Comma 7 2 3 2 4 2" xfId="16808" xr:uid="{00000000-0005-0000-0000-0000C9370000}"/>
    <cellStyle name="Comma 7 2 3 2 4 3" xfId="26131" xr:uid="{00000000-0005-0000-0000-0000CA370000}"/>
    <cellStyle name="Comma 7 2 3 2 5" xfId="11510" xr:uid="{00000000-0005-0000-0000-0000CB370000}"/>
    <cellStyle name="Comma 7 2 3 2 6" xfId="20834" xr:uid="{00000000-0005-0000-0000-0000CC370000}"/>
    <cellStyle name="Comma 7 2 3 3" xfId="3732" xr:uid="{00000000-0005-0000-0000-0000CD370000}"/>
    <cellStyle name="Comma 7 2 3 3 2" xfId="8411" xr:uid="{00000000-0005-0000-0000-0000CE370000}"/>
    <cellStyle name="Comma 7 2 3 3 2 2" xfId="17735" xr:uid="{00000000-0005-0000-0000-0000CF370000}"/>
    <cellStyle name="Comma 7 2 3 3 2 3" xfId="27058" xr:uid="{00000000-0005-0000-0000-0000D0370000}"/>
    <cellStyle name="Comma 7 2 3 3 3" xfId="13068" xr:uid="{00000000-0005-0000-0000-0000D1370000}"/>
    <cellStyle name="Comma 7 2 3 3 4" xfId="22394" xr:uid="{00000000-0005-0000-0000-0000D2370000}"/>
    <cellStyle name="Comma 7 2 3 4" xfId="5419" xr:uid="{00000000-0005-0000-0000-0000D3370000}"/>
    <cellStyle name="Comma 7 2 3 4 2" xfId="14743" xr:uid="{00000000-0005-0000-0000-0000D4370000}"/>
    <cellStyle name="Comma 7 2 3 4 3" xfId="24066" xr:uid="{00000000-0005-0000-0000-0000D5370000}"/>
    <cellStyle name="Comma 7 2 3 5" xfId="7483" xr:uid="{00000000-0005-0000-0000-0000D6370000}"/>
    <cellStyle name="Comma 7 2 3 5 2" xfId="16807" xr:uid="{00000000-0005-0000-0000-0000D7370000}"/>
    <cellStyle name="Comma 7 2 3 5 3" xfId="26130" xr:uid="{00000000-0005-0000-0000-0000D8370000}"/>
    <cellStyle name="Comma 7 2 3 6" xfId="11509" xr:uid="{00000000-0005-0000-0000-0000D9370000}"/>
    <cellStyle name="Comma 7 2 3 7" xfId="20833" xr:uid="{00000000-0005-0000-0000-0000DA370000}"/>
    <cellStyle name="Comma 7 2 4" xfId="1984" xr:uid="{00000000-0005-0000-0000-0000DB370000}"/>
    <cellStyle name="Comma 7 2 4 2" xfId="3734" xr:uid="{00000000-0005-0000-0000-0000DC370000}"/>
    <cellStyle name="Comma 7 2 4 2 2" xfId="8413" xr:uid="{00000000-0005-0000-0000-0000DD370000}"/>
    <cellStyle name="Comma 7 2 4 2 2 2" xfId="17737" xr:uid="{00000000-0005-0000-0000-0000DE370000}"/>
    <cellStyle name="Comma 7 2 4 2 2 3" xfId="27060" xr:uid="{00000000-0005-0000-0000-0000DF370000}"/>
    <cellStyle name="Comma 7 2 4 2 3" xfId="13070" xr:uid="{00000000-0005-0000-0000-0000E0370000}"/>
    <cellStyle name="Comma 7 2 4 2 4" xfId="22396" xr:uid="{00000000-0005-0000-0000-0000E1370000}"/>
    <cellStyle name="Comma 7 2 4 3" xfId="5421" xr:uid="{00000000-0005-0000-0000-0000E2370000}"/>
    <cellStyle name="Comma 7 2 4 3 2" xfId="14745" xr:uid="{00000000-0005-0000-0000-0000E3370000}"/>
    <cellStyle name="Comma 7 2 4 3 3" xfId="24068" xr:uid="{00000000-0005-0000-0000-0000E4370000}"/>
    <cellStyle name="Comma 7 2 4 4" xfId="7485" xr:uid="{00000000-0005-0000-0000-0000E5370000}"/>
    <cellStyle name="Comma 7 2 4 4 2" xfId="16809" xr:uid="{00000000-0005-0000-0000-0000E6370000}"/>
    <cellStyle name="Comma 7 2 4 4 3" xfId="26132" xr:uid="{00000000-0005-0000-0000-0000E7370000}"/>
    <cellStyle name="Comma 7 2 4 5" xfId="11511" xr:uid="{00000000-0005-0000-0000-0000E8370000}"/>
    <cellStyle name="Comma 7 2 4 6" xfId="20835" xr:uid="{00000000-0005-0000-0000-0000E9370000}"/>
    <cellStyle name="Comma 7 2 5" xfId="2901" xr:uid="{00000000-0005-0000-0000-0000EA370000}"/>
    <cellStyle name="Comma 7 2 5 2" xfId="4549" xr:uid="{00000000-0005-0000-0000-0000EB370000}"/>
    <cellStyle name="Comma 7 2 5 2 2" xfId="9226" xr:uid="{00000000-0005-0000-0000-0000EC370000}"/>
    <cellStyle name="Comma 7 2 5 2 2 2" xfId="18550" xr:uid="{00000000-0005-0000-0000-0000ED370000}"/>
    <cellStyle name="Comma 7 2 5 2 2 3" xfId="27873" xr:uid="{00000000-0005-0000-0000-0000EE370000}"/>
    <cellStyle name="Comma 7 2 5 3" xfId="7607" xr:uid="{00000000-0005-0000-0000-0000EF370000}"/>
    <cellStyle name="Comma 7 2 5 3 2" xfId="16931" xr:uid="{00000000-0005-0000-0000-0000F0370000}"/>
    <cellStyle name="Comma 7 2 5 3 3" xfId="26254" xr:uid="{00000000-0005-0000-0000-0000F1370000}"/>
    <cellStyle name="Comma 7 2 5 4" xfId="12327" xr:uid="{00000000-0005-0000-0000-0000F2370000}"/>
    <cellStyle name="Comma 7 2 5 5" xfId="21653" xr:uid="{00000000-0005-0000-0000-0000F3370000}"/>
    <cellStyle name="Comma 7 2 6" xfId="1980" xr:uid="{00000000-0005-0000-0000-0000F4370000}"/>
    <cellStyle name="Comma 7 2 6 2" xfId="7481" xr:uid="{00000000-0005-0000-0000-0000F5370000}"/>
    <cellStyle name="Comma 7 2 6 2 2" xfId="16805" xr:uid="{00000000-0005-0000-0000-0000F6370000}"/>
    <cellStyle name="Comma 7 2 6 2 3" xfId="26128" xr:uid="{00000000-0005-0000-0000-0000F7370000}"/>
    <cellStyle name="Comma 7 2 6 3" xfId="11507" xr:uid="{00000000-0005-0000-0000-0000F8370000}"/>
    <cellStyle name="Comma 7 2 6 4" xfId="20831" xr:uid="{00000000-0005-0000-0000-0000F9370000}"/>
    <cellStyle name="Comma 7 2 7" xfId="3730" xr:uid="{00000000-0005-0000-0000-0000FA370000}"/>
    <cellStyle name="Comma 7 2 7 2" xfId="8409" xr:uid="{00000000-0005-0000-0000-0000FB370000}"/>
    <cellStyle name="Comma 7 2 7 2 2" xfId="17733" xr:uid="{00000000-0005-0000-0000-0000FC370000}"/>
    <cellStyle name="Comma 7 2 7 2 3" xfId="27056" xr:uid="{00000000-0005-0000-0000-0000FD370000}"/>
    <cellStyle name="Comma 7 2 7 3" xfId="13067" xr:uid="{00000000-0005-0000-0000-0000FE370000}"/>
    <cellStyle name="Comma 7 2 7 4" xfId="22393" xr:uid="{00000000-0005-0000-0000-0000FF370000}"/>
    <cellStyle name="Comma 7 2 8" xfId="5417" xr:uid="{00000000-0005-0000-0000-000000380000}"/>
    <cellStyle name="Comma 7 2 8 2" xfId="14741" xr:uid="{00000000-0005-0000-0000-000001380000}"/>
    <cellStyle name="Comma 7 2 8 3" xfId="24064" xr:uid="{00000000-0005-0000-0000-000002380000}"/>
    <cellStyle name="Comma 7 2 9" xfId="9610" xr:uid="{00000000-0005-0000-0000-000003380000}"/>
    <cellStyle name="Comma 7 2 9 2" xfId="18934" xr:uid="{00000000-0005-0000-0000-000004380000}"/>
    <cellStyle name="Comma 7 2 9 3" xfId="28257" xr:uid="{00000000-0005-0000-0000-000005380000}"/>
    <cellStyle name="Comma 7 3" xfId="747" xr:uid="{00000000-0005-0000-0000-000006380000}"/>
    <cellStyle name="Comma 7 3 10" xfId="19672" xr:uid="{00000000-0005-0000-0000-000007380000}"/>
    <cellStyle name="Comma 7 3 2" xfId="1986" xr:uid="{00000000-0005-0000-0000-000008380000}"/>
    <cellStyle name="Comma 7 3 2 2" xfId="1987" xr:uid="{00000000-0005-0000-0000-000009380000}"/>
    <cellStyle name="Comma 7 3 2 2 2" xfId="3737" xr:uid="{00000000-0005-0000-0000-00000A380000}"/>
    <cellStyle name="Comma 7 3 2 2 2 2" xfId="8416" xr:uid="{00000000-0005-0000-0000-00000B380000}"/>
    <cellStyle name="Comma 7 3 2 2 2 2 2" xfId="17740" xr:uid="{00000000-0005-0000-0000-00000C380000}"/>
    <cellStyle name="Comma 7 3 2 2 2 2 3" xfId="27063" xr:uid="{00000000-0005-0000-0000-00000D380000}"/>
    <cellStyle name="Comma 7 3 2 2 2 3" xfId="13073" xr:uid="{00000000-0005-0000-0000-00000E380000}"/>
    <cellStyle name="Comma 7 3 2 2 2 4" xfId="22399" xr:uid="{00000000-0005-0000-0000-00000F380000}"/>
    <cellStyle name="Comma 7 3 2 2 3" xfId="5424" xr:uid="{00000000-0005-0000-0000-000010380000}"/>
    <cellStyle name="Comma 7 3 2 2 3 2" xfId="14748" xr:uid="{00000000-0005-0000-0000-000011380000}"/>
    <cellStyle name="Comma 7 3 2 2 3 3" xfId="24071" xr:uid="{00000000-0005-0000-0000-000012380000}"/>
    <cellStyle name="Comma 7 3 2 2 4" xfId="7488" xr:uid="{00000000-0005-0000-0000-000013380000}"/>
    <cellStyle name="Comma 7 3 2 2 4 2" xfId="16812" xr:uid="{00000000-0005-0000-0000-000014380000}"/>
    <cellStyle name="Comma 7 3 2 2 4 3" xfId="26135" xr:uid="{00000000-0005-0000-0000-000015380000}"/>
    <cellStyle name="Comma 7 3 2 2 5" xfId="11514" xr:uid="{00000000-0005-0000-0000-000016380000}"/>
    <cellStyle name="Comma 7 3 2 2 6" xfId="20838" xr:uid="{00000000-0005-0000-0000-000017380000}"/>
    <cellStyle name="Comma 7 3 2 3" xfId="3736" xr:uid="{00000000-0005-0000-0000-000018380000}"/>
    <cellStyle name="Comma 7 3 2 3 2" xfId="8415" xr:uid="{00000000-0005-0000-0000-000019380000}"/>
    <cellStyle name="Comma 7 3 2 3 2 2" xfId="17739" xr:uid="{00000000-0005-0000-0000-00001A380000}"/>
    <cellStyle name="Comma 7 3 2 3 2 3" xfId="27062" xr:uid="{00000000-0005-0000-0000-00001B380000}"/>
    <cellStyle name="Comma 7 3 2 3 3" xfId="13072" xr:uid="{00000000-0005-0000-0000-00001C380000}"/>
    <cellStyle name="Comma 7 3 2 3 4" xfId="22398" xr:uid="{00000000-0005-0000-0000-00001D380000}"/>
    <cellStyle name="Comma 7 3 2 4" xfId="5423" xr:uid="{00000000-0005-0000-0000-00001E380000}"/>
    <cellStyle name="Comma 7 3 2 4 2" xfId="14747" xr:uid="{00000000-0005-0000-0000-00001F380000}"/>
    <cellStyle name="Comma 7 3 2 4 3" xfId="24070" xr:uid="{00000000-0005-0000-0000-000020380000}"/>
    <cellStyle name="Comma 7 3 2 5" xfId="7487" xr:uid="{00000000-0005-0000-0000-000021380000}"/>
    <cellStyle name="Comma 7 3 2 5 2" xfId="16811" xr:uid="{00000000-0005-0000-0000-000022380000}"/>
    <cellStyle name="Comma 7 3 2 5 3" xfId="26134" xr:uid="{00000000-0005-0000-0000-000023380000}"/>
    <cellStyle name="Comma 7 3 2 6" xfId="11513" xr:uid="{00000000-0005-0000-0000-000024380000}"/>
    <cellStyle name="Comma 7 3 2 7" xfId="20837" xr:uid="{00000000-0005-0000-0000-000025380000}"/>
    <cellStyle name="Comma 7 3 3" xfId="1988" xr:uid="{00000000-0005-0000-0000-000026380000}"/>
    <cellStyle name="Comma 7 3 3 2" xfId="3738" xr:uid="{00000000-0005-0000-0000-000027380000}"/>
    <cellStyle name="Comma 7 3 3 2 2" xfId="8417" xr:uid="{00000000-0005-0000-0000-000028380000}"/>
    <cellStyle name="Comma 7 3 3 2 2 2" xfId="17741" xr:uid="{00000000-0005-0000-0000-000029380000}"/>
    <cellStyle name="Comma 7 3 3 2 2 3" xfId="27064" xr:uid="{00000000-0005-0000-0000-00002A380000}"/>
    <cellStyle name="Comma 7 3 3 2 3" xfId="13074" xr:uid="{00000000-0005-0000-0000-00002B380000}"/>
    <cellStyle name="Comma 7 3 3 2 4" xfId="22400" xr:uid="{00000000-0005-0000-0000-00002C380000}"/>
    <cellStyle name="Comma 7 3 3 3" xfId="5425" xr:uid="{00000000-0005-0000-0000-00002D380000}"/>
    <cellStyle name="Comma 7 3 3 3 2" xfId="14749" xr:uid="{00000000-0005-0000-0000-00002E380000}"/>
    <cellStyle name="Comma 7 3 3 3 3" xfId="24072" xr:uid="{00000000-0005-0000-0000-00002F380000}"/>
    <cellStyle name="Comma 7 3 3 4" xfId="7489" xr:uid="{00000000-0005-0000-0000-000030380000}"/>
    <cellStyle name="Comma 7 3 3 4 2" xfId="16813" xr:uid="{00000000-0005-0000-0000-000031380000}"/>
    <cellStyle name="Comma 7 3 3 4 3" xfId="26136" xr:uid="{00000000-0005-0000-0000-000032380000}"/>
    <cellStyle name="Comma 7 3 3 5" xfId="11515" xr:uid="{00000000-0005-0000-0000-000033380000}"/>
    <cellStyle name="Comma 7 3 3 6" xfId="20839" xr:uid="{00000000-0005-0000-0000-000034380000}"/>
    <cellStyle name="Comma 7 3 4" xfId="1989" xr:uid="{00000000-0005-0000-0000-000035380000}"/>
    <cellStyle name="Comma 7 3 4 2" xfId="3739" xr:uid="{00000000-0005-0000-0000-000036380000}"/>
    <cellStyle name="Comma 7 3 4 2 2" xfId="8418" xr:uid="{00000000-0005-0000-0000-000037380000}"/>
    <cellStyle name="Comma 7 3 4 2 2 2" xfId="17742" xr:uid="{00000000-0005-0000-0000-000038380000}"/>
    <cellStyle name="Comma 7 3 4 2 2 3" xfId="27065" xr:uid="{00000000-0005-0000-0000-000039380000}"/>
    <cellStyle name="Comma 7 3 4 2 3" xfId="13075" xr:uid="{00000000-0005-0000-0000-00003A380000}"/>
    <cellStyle name="Comma 7 3 4 2 4" xfId="22401" xr:uid="{00000000-0005-0000-0000-00003B380000}"/>
    <cellStyle name="Comma 7 3 4 3" xfId="5426" xr:uid="{00000000-0005-0000-0000-00003C380000}"/>
    <cellStyle name="Comma 7 3 4 3 2" xfId="14750" xr:uid="{00000000-0005-0000-0000-00003D380000}"/>
    <cellStyle name="Comma 7 3 4 3 3" xfId="24073" xr:uid="{00000000-0005-0000-0000-00003E380000}"/>
    <cellStyle name="Comma 7 3 4 4" xfId="7490" xr:uid="{00000000-0005-0000-0000-00003F380000}"/>
    <cellStyle name="Comma 7 3 4 4 2" xfId="16814" xr:uid="{00000000-0005-0000-0000-000040380000}"/>
    <cellStyle name="Comma 7 3 4 4 3" xfId="26137" xr:uid="{00000000-0005-0000-0000-000041380000}"/>
    <cellStyle name="Comma 7 3 4 5" xfId="11516" xr:uid="{00000000-0005-0000-0000-000042380000}"/>
    <cellStyle name="Comma 7 3 4 6" xfId="20840" xr:uid="{00000000-0005-0000-0000-000043380000}"/>
    <cellStyle name="Comma 7 3 5" xfId="1990" xr:uid="{00000000-0005-0000-0000-000044380000}"/>
    <cellStyle name="Comma 7 3 5 2" xfId="3740" xr:uid="{00000000-0005-0000-0000-000045380000}"/>
    <cellStyle name="Comma 7 3 5 2 2" xfId="8419" xr:uid="{00000000-0005-0000-0000-000046380000}"/>
    <cellStyle name="Comma 7 3 5 2 2 2" xfId="17743" xr:uid="{00000000-0005-0000-0000-000047380000}"/>
    <cellStyle name="Comma 7 3 5 2 2 3" xfId="27066" xr:uid="{00000000-0005-0000-0000-000048380000}"/>
    <cellStyle name="Comma 7 3 5 2 3" xfId="13076" xr:uid="{00000000-0005-0000-0000-000049380000}"/>
    <cellStyle name="Comma 7 3 5 2 4" xfId="22402" xr:uid="{00000000-0005-0000-0000-00004A380000}"/>
    <cellStyle name="Comma 7 3 5 3" xfId="5427" xr:uid="{00000000-0005-0000-0000-00004B380000}"/>
    <cellStyle name="Comma 7 3 5 3 2" xfId="14751" xr:uid="{00000000-0005-0000-0000-00004C380000}"/>
    <cellStyle name="Comma 7 3 5 3 3" xfId="24074" xr:uid="{00000000-0005-0000-0000-00004D380000}"/>
    <cellStyle name="Comma 7 3 5 4" xfId="7491" xr:uid="{00000000-0005-0000-0000-00004E380000}"/>
    <cellStyle name="Comma 7 3 5 4 2" xfId="16815" xr:uid="{00000000-0005-0000-0000-00004F380000}"/>
    <cellStyle name="Comma 7 3 5 4 3" xfId="26138" xr:uid="{00000000-0005-0000-0000-000050380000}"/>
    <cellStyle name="Comma 7 3 5 5" xfId="11517" xr:uid="{00000000-0005-0000-0000-000051380000}"/>
    <cellStyle name="Comma 7 3 5 6" xfId="20841" xr:uid="{00000000-0005-0000-0000-000052380000}"/>
    <cellStyle name="Comma 7 3 6" xfId="1985" xr:uid="{00000000-0005-0000-0000-000053380000}"/>
    <cellStyle name="Comma 7 3 6 2" xfId="7486" xr:uid="{00000000-0005-0000-0000-000054380000}"/>
    <cellStyle name="Comma 7 3 6 2 2" xfId="16810" xr:uid="{00000000-0005-0000-0000-000055380000}"/>
    <cellStyle name="Comma 7 3 6 2 3" xfId="26133" xr:uid="{00000000-0005-0000-0000-000056380000}"/>
    <cellStyle name="Comma 7 3 6 3" xfId="11512" xr:uid="{00000000-0005-0000-0000-000057380000}"/>
    <cellStyle name="Comma 7 3 6 4" xfId="20836" xr:uid="{00000000-0005-0000-0000-000058380000}"/>
    <cellStyle name="Comma 7 3 7" xfId="3735" xr:uid="{00000000-0005-0000-0000-000059380000}"/>
    <cellStyle name="Comma 7 3 7 2" xfId="8414" xr:uid="{00000000-0005-0000-0000-00005A380000}"/>
    <cellStyle name="Comma 7 3 7 2 2" xfId="17738" xr:uid="{00000000-0005-0000-0000-00005B380000}"/>
    <cellStyle name="Comma 7 3 7 2 3" xfId="27061" xr:uid="{00000000-0005-0000-0000-00005C380000}"/>
    <cellStyle name="Comma 7 3 7 3" xfId="13071" xr:uid="{00000000-0005-0000-0000-00005D380000}"/>
    <cellStyle name="Comma 7 3 7 4" xfId="22397" xr:uid="{00000000-0005-0000-0000-00005E380000}"/>
    <cellStyle name="Comma 7 3 8" xfId="5422" xr:uid="{00000000-0005-0000-0000-00005F380000}"/>
    <cellStyle name="Comma 7 3 8 2" xfId="14746" xr:uid="{00000000-0005-0000-0000-000060380000}"/>
    <cellStyle name="Comma 7 3 8 3" xfId="24069" xr:uid="{00000000-0005-0000-0000-000061380000}"/>
    <cellStyle name="Comma 7 3 9" xfId="10348" xr:uid="{00000000-0005-0000-0000-000062380000}"/>
    <cellStyle name="Comma 7 4" xfId="1991" xr:uid="{00000000-0005-0000-0000-000063380000}"/>
    <cellStyle name="Comma 7 4 2" xfId="3741" xr:uid="{00000000-0005-0000-0000-000064380000}"/>
    <cellStyle name="Comma 7 4 2 2" xfId="8420" xr:uid="{00000000-0005-0000-0000-000065380000}"/>
    <cellStyle name="Comma 7 4 2 2 2" xfId="17744" xr:uid="{00000000-0005-0000-0000-000066380000}"/>
    <cellStyle name="Comma 7 4 2 2 3" xfId="27067" xr:uid="{00000000-0005-0000-0000-000067380000}"/>
    <cellStyle name="Comma 7 4 3" xfId="7492" xr:uid="{00000000-0005-0000-0000-000068380000}"/>
    <cellStyle name="Comma 7 4 3 2" xfId="16816" xr:uid="{00000000-0005-0000-0000-000069380000}"/>
    <cellStyle name="Comma 7 4 3 3" xfId="26139" xr:uid="{00000000-0005-0000-0000-00006A380000}"/>
    <cellStyle name="Comma 7 4 4" xfId="11518" xr:uid="{00000000-0005-0000-0000-00006B380000}"/>
    <cellStyle name="Comma 7 4 5" xfId="20842" xr:uid="{00000000-0005-0000-0000-00006C380000}"/>
    <cellStyle name="Comma 7 5" xfId="1992" xr:uid="{00000000-0005-0000-0000-00006D380000}"/>
    <cellStyle name="Comma 7 5 2" xfId="1993" xr:uid="{00000000-0005-0000-0000-00006E380000}"/>
    <cellStyle name="Comma 7 5 2 2" xfId="3743" xr:uid="{00000000-0005-0000-0000-00006F380000}"/>
    <cellStyle name="Comma 7 5 2 2 2" xfId="8422" xr:uid="{00000000-0005-0000-0000-000070380000}"/>
    <cellStyle name="Comma 7 5 2 2 2 2" xfId="17746" xr:uid="{00000000-0005-0000-0000-000071380000}"/>
    <cellStyle name="Comma 7 5 2 2 2 3" xfId="27069" xr:uid="{00000000-0005-0000-0000-000072380000}"/>
    <cellStyle name="Comma 7 5 2 2 3" xfId="13078" xr:uid="{00000000-0005-0000-0000-000073380000}"/>
    <cellStyle name="Comma 7 5 2 2 4" xfId="22404" xr:uid="{00000000-0005-0000-0000-000074380000}"/>
    <cellStyle name="Comma 7 5 2 3" xfId="5430" xr:uid="{00000000-0005-0000-0000-000075380000}"/>
    <cellStyle name="Comma 7 5 2 3 2" xfId="14754" xr:uid="{00000000-0005-0000-0000-000076380000}"/>
    <cellStyle name="Comma 7 5 2 3 3" xfId="24077" xr:uid="{00000000-0005-0000-0000-000077380000}"/>
    <cellStyle name="Comma 7 5 2 4" xfId="7494" xr:uid="{00000000-0005-0000-0000-000078380000}"/>
    <cellStyle name="Comma 7 5 2 4 2" xfId="16818" xr:uid="{00000000-0005-0000-0000-000079380000}"/>
    <cellStyle name="Comma 7 5 2 4 3" xfId="26141" xr:uid="{00000000-0005-0000-0000-00007A380000}"/>
    <cellStyle name="Comma 7 5 2 5" xfId="11520" xr:uid="{00000000-0005-0000-0000-00007B380000}"/>
    <cellStyle name="Comma 7 5 2 6" xfId="20844" xr:uid="{00000000-0005-0000-0000-00007C380000}"/>
    <cellStyle name="Comma 7 5 3" xfId="3742" xr:uid="{00000000-0005-0000-0000-00007D380000}"/>
    <cellStyle name="Comma 7 5 3 2" xfId="8421" xr:uid="{00000000-0005-0000-0000-00007E380000}"/>
    <cellStyle name="Comma 7 5 3 2 2" xfId="17745" xr:uid="{00000000-0005-0000-0000-00007F380000}"/>
    <cellStyle name="Comma 7 5 3 2 3" xfId="27068" xr:uid="{00000000-0005-0000-0000-000080380000}"/>
    <cellStyle name="Comma 7 5 3 3" xfId="13077" xr:uid="{00000000-0005-0000-0000-000081380000}"/>
    <cellStyle name="Comma 7 5 3 4" xfId="22403" xr:uid="{00000000-0005-0000-0000-000082380000}"/>
    <cellStyle name="Comma 7 5 4" xfId="5429" xr:uid="{00000000-0005-0000-0000-000083380000}"/>
    <cellStyle name="Comma 7 5 4 2" xfId="14753" xr:uid="{00000000-0005-0000-0000-000084380000}"/>
    <cellStyle name="Comma 7 5 4 3" xfId="24076" xr:uid="{00000000-0005-0000-0000-000085380000}"/>
    <cellStyle name="Comma 7 5 5" xfId="7493" xr:uid="{00000000-0005-0000-0000-000086380000}"/>
    <cellStyle name="Comma 7 5 5 2" xfId="16817" xr:uid="{00000000-0005-0000-0000-000087380000}"/>
    <cellStyle name="Comma 7 5 5 3" xfId="26140" xr:uid="{00000000-0005-0000-0000-000088380000}"/>
    <cellStyle name="Comma 7 5 6" xfId="11519" xr:uid="{00000000-0005-0000-0000-000089380000}"/>
    <cellStyle name="Comma 7 5 7" xfId="20843" xr:uid="{00000000-0005-0000-0000-00008A380000}"/>
    <cellStyle name="Comma 7 6" xfId="1994" xr:uid="{00000000-0005-0000-0000-00008B380000}"/>
    <cellStyle name="Comma 7 6 2" xfId="3744" xr:uid="{00000000-0005-0000-0000-00008C380000}"/>
    <cellStyle name="Comma 7 6 2 2" xfId="8423" xr:uid="{00000000-0005-0000-0000-00008D380000}"/>
    <cellStyle name="Comma 7 6 2 2 2" xfId="17747" xr:uid="{00000000-0005-0000-0000-00008E380000}"/>
    <cellStyle name="Comma 7 6 2 2 3" xfId="27070" xr:uid="{00000000-0005-0000-0000-00008F380000}"/>
    <cellStyle name="Comma 7 6 2 3" xfId="13079" xr:uid="{00000000-0005-0000-0000-000090380000}"/>
    <cellStyle name="Comma 7 6 2 4" xfId="22405" xr:uid="{00000000-0005-0000-0000-000091380000}"/>
    <cellStyle name="Comma 7 6 3" xfId="5431" xr:uid="{00000000-0005-0000-0000-000092380000}"/>
    <cellStyle name="Comma 7 6 3 2" xfId="14755" xr:uid="{00000000-0005-0000-0000-000093380000}"/>
    <cellStyle name="Comma 7 6 3 3" xfId="24078" xr:uid="{00000000-0005-0000-0000-000094380000}"/>
    <cellStyle name="Comma 7 6 4" xfId="7495" xr:uid="{00000000-0005-0000-0000-000095380000}"/>
    <cellStyle name="Comma 7 6 4 2" xfId="16819" xr:uid="{00000000-0005-0000-0000-000096380000}"/>
    <cellStyle name="Comma 7 6 4 3" xfId="26142" xr:uid="{00000000-0005-0000-0000-000097380000}"/>
    <cellStyle name="Comma 7 6 5" xfId="11521" xr:uid="{00000000-0005-0000-0000-000098380000}"/>
    <cellStyle name="Comma 7 6 6" xfId="20845" xr:uid="{00000000-0005-0000-0000-000099380000}"/>
    <cellStyle name="Comma 7 7" xfId="1979" xr:uid="{00000000-0005-0000-0000-00009A380000}"/>
    <cellStyle name="Comma 7 7 2" xfId="3729" xr:uid="{00000000-0005-0000-0000-00009B380000}"/>
    <cellStyle name="Comma 7 7 2 2" xfId="8408" xr:uid="{00000000-0005-0000-0000-00009C380000}"/>
    <cellStyle name="Comma 7 7 2 2 2" xfId="17732" xr:uid="{00000000-0005-0000-0000-00009D380000}"/>
    <cellStyle name="Comma 7 7 2 2 3" xfId="27055" xr:uid="{00000000-0005-0000-0000-00009E380000}"/>
    <cellStyle name="Comma 7 7 2 3" xfId="13066" xr:uid="{00000000-0005-0000-0000-00009F380000}"/>
    <cellStyle name="Comma 7 7 2 4" xfId="22392" xr:uid="{00000000-0005-0000-0000-0000A0380000}"/>
    <cellStyle name="Comma 7 7 3" xfId="5416" xr:uid="{00000000-0005-0000-0000-0000A1380000}"/>
    <cellStyle name="Comma 7 7 3 2" xfId="14740" xr:uid="{00000000-0005-0000-0000-0000A2380000}"/>
    <cellStyle name="Comma 7 7 3 3" xfId="24063" xr:uid="{00000000-0005-0000-0000-0000A3380000}"/>
    <cellStyle name="Comma 7 7 4" xfId="7480" xr:uid="{00000000-0005-0000-0000-0000A4380000}"/>
    <cellStyle name="Comma 7 7 4 2" xfId="16804" xr:uid="{00000000-0005-0000-0000-0000A5380000}"/>
    <cellStyle name="Comma 7 7 4 3" xfId="26127" xr:uid="{00000000-0005-0000-0000-0000A6380000}"/>
    <cellStyle name="Comma 7 7 5" xfId="11506" xr:uid="{00000000-0005-0000-0000-0000A7380000}"/>
    <cellStyle name="Comma 7 7 6" xfId="20830" xr:uid="{00000000-0005-0000-0000-0000A8380000}"/>
    <cellStyle name="Comma 7 8" xfId="2900" xr:uid="{00000000-0005-0000-0000-0000A9380000}"/>
    <cellStyle name="Comma 7 8 2" xfId="4548" xr:uid="{00000000-0005-0000-0000-0000AA380000}"/>
    <cellStyle name="Comma 7 8 2 2" xfId="9225" xr:uid="{00000000-0005-0000-0000-0000AB380000}"/>
    <cellStyle name="Comma 7 8 2 2 2" xfId="18549" xr:uid="{00000000-0005-0000-0000-0000AC380000}"/>
    <cellStyle name="Comma 7 8 2 2 3" xfId="27872" xr:uid="{00000000-0005-0000-0000-0000AD380000}"/>
    <cellStyle name="Comma 7 8 2 3" xfId="13873" xr:uid="{00000000-0005-0000-0000-0000AE380000}"/>
    <cellStyle name="Comma 7 8 2 4" xfId="23197" xr:uid="{00000000-0005-0000-0000-0000AF380000}"/>
    <cellStyle name="Comma 7 8 3" xfId="6311" xr:uid="{00000000-0005-0000-0000-0000B0380000}"/>
    <cellStyle name="Comma 7 8 3 2" xfId="15635" xr:uid="{00000000-0005-0000-0000-0000B1380000}"/>
    <cellStyle name="Comma 7 8 3 3" xfId="24958" xr:uid="{00000000-0005-0000-0000-0000B2380000}"/>
    <cellStyle name="Comma 7 8 4" xfId="7606" xr:uid="{00000000-0005-0000-0000-0000B3380000}"/>
    <cellStyle name="Comma 7 8 4 2" xfId="16930" xr:uid="{00000000-0005-0000-0000-0000B4380000}"/>
    <cellStyle name="Comma 7 8 4 3" xfId="26253" xr:uid="{00000000-0005-0000-0000-0000B5380000}"/>
    <cellStyle name="Comma 7 8 5" xfId="12326" xr:uid="{00000000-0005-0000-0000-0000B6380000}"/>
    <cellStyle name="Comma 7 8 6" xfId="21652" xr:uid="{00000000-0005-0000-0000-0000B7380000}"/>
    <cellStyle name="Comma 7 9" xfId="1217" xr:uid="{00000000-0005-0000-0000-0000B8380000}"/>
    <cellStyle name="Comma 7 9 2" xfId="6675" xr:uid="{00000000-0005-0000-0000-0000B9380000}"/>
    <cellStyle name="Comma 7 9 2 2" xfId="15999" xr:uid="{00000000-0005-0000-0000-0000BA380000}"/>
    <cellStyle name="Comma 7 9 2 3" xfId="25322" xr:uid="{00000000-0005-0000-0000-0000BB380000}"/>
    <cellStyle name="Comma 7 9 3" xfId="10809" xr:uid="{00000000-0005-0000-0000-0000BC380000}"/>
    <cellStyle name="Comma 7 9 4" xfId="20133" xr:uid="{00000000-0005-0000-0000-0000BD380000}"/>
    <cellStyle name="Comma 8" xfId="111" xr:uid="{00000000-0005-0000-0000-0000BE380000}"/>
    <cellStyle name="Comma 8 10" xfId="7292" xr:uid="{00000000-0005-0000-0000-0000BF380000}"/>
    <cellStyle name="Comma 8 10 2" xfId="16616" xr:uid="{00000000-0005-0000-0000-0000C0380000}"/>
    <cellStyle name="Comma 8 10 3" xfId="25939" xr:uid="{00000000-0005-0000-0000-0000C1380000}"/>
    <cellStyle name="Comma 8 11" xfId="9288" xr:uid="{00000000-0005-0000-0000-0000C2380000}"/>
    <cellStyle name="Comma 8 11 2" xfId="18612" xr:uid="{00000000-0005-0000-0000-0000C3380000}"/>
    <cellStyle name="Comma 8 11 3" xfId="27935" xr:uid="{00000000-0005-0000-0000-0000C4380000}"/>
    <cellStyle name="Comma 8 12" xfId="9782" xr:uid="{00000000-0005-0000-0000-0000C5380000}"/>
    <cellStyle name="Comma 8 13" xfId="19106" xr:uid="{00000000-0005-0000-0000-0000C6380000}"/>
    <cellStyle name="Comma 8 14" xfId="28906" xr:uid="{00000000-0005-0000-0000-0000C7380000}"/>
    <cellStyle name="Comma 8 2" xfId="1219" xr:uid="{00000000-0005-0000-0000-0000C8380000}"/>
    <cellStyle name="Comma 8 2 10" xfId="10811" xr:uid="{00000000-0005-0000-0000-0000C9380000}"/>
    <cellStyle name="Comma 8 2 11" xfId="20135" xr:uid="{00000000-0005-0000-0000-0000CA380000}"/>
    <cellStyle name="Comma 8 2 2" xfId="1220" xr:uid="{00000000-0005-0000-0000-0000CB380000}"/>
    <cellStyle name="Comma 8 2 2 2" xfId="1221" xr:uid="{00000000-0005-0000-0000-0000CC380000}"/>
    <cellStyle name="Comma 8 2 2 2 2" xfId="1999" xr:uid="{00000000-0005-0000-0000-0000CD380000}"/>
    <cellStyle name="Comma 8 2 2 2 2 2" xfId="3749" xr:uid="{00000000-0005-0000-0000-0000CE380000}"/>
    <cellStyle name="Comma 8 2 2 2 2 2 2" xfId="8428" xr:uid="{00000000-0005-0000-0000-0000CF380000}"/>
    <cellStyle name="Comma 8 2 2 2 2 2 2 2" xfId="17752" xr:uid="{00000000-0005-0000-0000-0000D0380000}"/>
    <cellStyle name="Comma 8 2 2 2 2 2 2 3" xfId="27075" xr:uid="{00000000-0005-0000-0000-0000D1380000}"/>
    <cellStyle name="Comma 8 2 2 2 2 2 3" xfId="13084" xr:uid="{00000000-0005-0000-0000-0000D2380000}"/>
    <cellStyle name="Comma 8 2 2 2 2 2 4" xfId="22410" xr:uid="{00000000-0005-0000-0000-0000D3380000}"/>
    <cellStyle name="Comma 8 2 2 2 2 3" xfId="5436" xr:uid="{00000000-0005-0000-0000-0000D4380000}"/>
    <cellStyle name="Comma 8 2 2 2 2 3 2" xfId="14760" xr:uid="{00000000-0005-0000-0000-0000D5380000}"/>
    <cellStyle name="Comma 8 2 2 2 2 3 3" xfId="24083" xr:uid="{00000000-0005-0000-0000-0000D6380000}"/>
    <cellStyle name="Comma 8 2 2 2 2 4" xfId="7500" xr:uid="{00000000-0005-0000-0000-0000D7380000}"/>
    <cellStyle name="Comma 8 2 2 2 2 4 2" xfId="16824" xr:uid="{00000000-0005-0000-0000-0000D8380000}"/>
    <cellStyle name="Comma 8 2 2 2 2 4 3" xfId="26147" xr:uid="{00000000-0005-0000-0000-0000D9380000}"/>
    <cellStyle name="Comma 8 2 2 2 2 5" xfId="11526" xr:uid="{00000000-0005-0000-0000-0000DA380000}"/>
    <cellStyle name="Comma 8 2 2 2 2 6" xfId="20850" xr:uid="{00000000-0005-0000-0000-0000DB380000}"/>
    <cellStyle name="Comma 8 2 2 2 3" xfId="1998" xr:uid="{00000000-0005-0000-0000-0000DC380000}"/>
    <cellStyle name="Comma 8 2 2 2 3 2" xfId="3748" xr:uid="{00000000-0005-0000-0000-0000DD380000}"/>
    <cellStyle name="Comma 8 2 2 2 3 2 2" xfId="8427" xr:uid="{00000000-0005-0000-0000-0000DE380000}"/>
    <cellStyle name="Comma 8 2 2 2 3 2 2 2" xfId="17751" xr:uid="{00000000-0005-0000-0000-0000DF380000}"/>
    <cellStyle name="Comma 8 2 2 2 3 2 2 3" xfId="27074" xr:uid="{00000000-0005-0000-0000-0000E0380000}"/>
    <cellStyle name="Comma 8 2 2 2 3 2 3" xfId="13083" xr:uid="{00000000-0005-0000-0000-0000E1380000}"/>
    <cellStyle name="Comma 8 2 2 2 3 2 4" xfId="22409" xr:uid="{00000000-0005-0000-0000-0000E2380000}"/>
    <cellStyle name="Comma 8 2 2 2 3 3" xfId="5435" xr:uid="{00000000-0005-0000-0000-0000E3380000}"/>
    <cellStyle name="Comma 8 2 2 2 3 3 2" xfId="14759" xr:uid="{00000000-0005-0000-0000-0000E4380000}"/>
    <cellStyle name="Comma 8 2 2 2 3 3 3" xfId="24082" xr:uid="{00000000-0005-0000-0000-0000E5380000}"/>
    <cellStyle name="Comma 8 2 2 2 3 4" xfId="7499" xr:uid="{00000000-0005-0000-0000-0000E6380000}"/>
    <cellStyle name="Comma 8 2 2 2 3 4 2" xfId="16823" xr:uid="{00000000-0005-0000-0000-0000E7380000}"/>
    <cellStyle name="Comma 8 2 2 2 3 4 3" xfId="26146" xr:uid="{00000000-0005-0000-0000-0000E8380000}"/>
    <cellStyle name="Comma 8 2 2 2 3 5" xfId="11525" xr:uid="{00000000-0005-0000-0000-0000E9380000}"/>
    <cellStyle name="Comma 8 2 2 2 3 6" xfId="20849" xr:uid="{00000000-0005-0000-0000-0000EA380000}"/>
    <cellStyle name="Comma 8 2 2 2 4" xfId="3033" xr:uid="{00000000-0005-0000-0000-0000EB380000}"/>
    <cellStyle name="Comma 8 2 2 2 4 2" xfId="7712" xr:uid="{00000000-0005-0000-0000-0000EC380000}"/>
    <cellStyle name="Comma 8 2 2 2 4 2 2" xfId="17036" xr:uid="{00000000-0005-0000-0000-0000ED380000}"/>
    <cellStyle name="Comma 8 2 2 2 4 2 3" xfId="26359" xr:uid="{00000000-0005-0000-0000-0000EE380000}"/>
    <cellStyle name="Comma 8 2 2 2 4 3" xfId="12420" xr:uid="{00000000-0005-0000-0000-0000EF380000}"/>
    <cellStyle name="Comma 8 2 2 2 4 4" xfId="21746" xr:uid="{00000000-0005-0000-0000-0000F0380000}"/>
    <cellStyle name="Comma 8 2 2 2 5" xfId="4681" xr:uid="{00000000-0005-0000-0000-0000F1380000}"/>
    <cellStyle name="Comma 8 2 2 2 5 2" xfId="14005" xr:uid="{00000000-0005-0000-0000-0000F2380000}"/>
    <cellStyle name="Comma 8 2 2 2 5 3" xfId="23328" xr:uid="{00000000-0005-0000-0000-0000F3380000}"/>
    <cellStyle name="Comma 8 2 2 2 6" xfId="10813" xr:uid="{00000000-0005-0000-0000-0000F4380000}"/>
    <cellStyle name="Comma 8 2 2 2 7" xfId="20137" xr:uid="{00000000-0005-0000-0000-0000F5380000}"/>
    <cellStyle name="Comma 8 2 2 3" xfId="2000" xr:uid="{00000000-0005-0000-0000-0000F6380000}"/>
    <cellStyle name="Comma 8 2 2 3 2" xfId="3750" xr:uid="{00000000-0005-0000-0000-0000F7380000}"/>
    <cellStyle name="Comma 8 2 2 3 2 2" xfId="8429" xr:uid="{00000000-0005-0000-0000-0000F8380000}"/>
    <cellStyle name="Comma 8 2 2 3 2 2 2" xfId="17753" xr:uid="{00000000-0005-0000-0000-0000F9380000}"/>
    <cellStyle name="Comma 8 2 2 3 2 2 3" xfId="27076" xr:uid="{00000000-0005-0000-0000-0000FA380000}"/>
    <cellStyle name="Comma 8 2 2 3 2 3" xfId="13085" xr:uid="{00000000-0005-0000-0000-0000FB380000}"/>
    <cellStyle name="Comma 8 2 2 3 2 4" xfId="22411" xr:uid="{00000000-0005-0000-0000-0000FC380000}"/>
    <cellStyle name="Comma 8 2 2 3 3" xfId="5437" xr:uid="{00000000-0005-0000-0000-0000FD380000}"/>
    <cellStyle name="Comma 8 2 2 3 3 2" xfId="14761" xr:uid="{00000000-0005-0000-0000-0000FE380000}"/>
    <cellStyle name="Comma 8 2 2 3 3 3" xfId="24084" xr:uid="{00000000-0005-0000-0000-0000FF380000}"/>
    <cellStyle name="Comma 8 2 2 3 4" xfId="7501" xr:uid="{00000000-0005-0000-0000-000000390000}"/>
    <cellStyle name="Comma 8 2 2 3 4 2" xfId="16825" xr:uid="{00000000-0005-0000-0000-000001390000}"/>
    <cellStyle name="Comma 8 2 2 3 4 3" xfId="26148" xr:uid="{00000000-0005-0000-0000-000002390000}"/>
    <cellStyle name="Comma 8 2 2 3 5" xfId="11527" xr:uid="{00000000-0005-0000-0000-000003390000}"/>
    <cellStyle name="Comma 8 2 2 3 6" xfId="20851" xr:uid="{00000000-0005-0000-0000-000004390000}"/>
    <cellStyle name="Comma 8 2 2 4" xfId="1997" xr:uid="{00000000-0005-0000-0000-000005390000}"/>
    <cellStyle name="Comma 8 2 2 4 2" xfId="3747" xr:uid="{00000000-0005-0000-0000-000006390000}"/>
    <cellStyle name="Comma 8 2 2 4 2 2" xfId="8426" xr:uid="{00000000-0005-0000-0000-000007390000}"/>
    <cellStyle name="Comma 8 2 2 4 2 2 2" xfId="17750" xr:uid="{00000000-0005-0000-0000-000008390000}"/>
    <cellStyle name="Comma 8 2 2 4 2 2 3" xfId="27073" xr:uid="{00000000-0005-0000-0000-000009390000}"/>
    <cellStyle name="Comma 8 2 2 4 2 3" xfId="13082" xr:uid="{00000000-0005-0000-0000-00000A390000}"/>
    <cellStyle name="Comma 8 2 2 4 2 4" xfId="22408" xr:uid="{00000000-0005-0000-0000-00000B390000}"/>
    <cellStyle name="Comma 8 2 2 4 3" xfId="5434" xr:uid="{00000000-0005-0000-0000-00000C390000}"/>
    <cellStyle name="Comma 8 2 2 4 3 2" xfId="14758" xr:uid="{00000000-0005-0000-0000-00000D390000}"/>
    <cellStyle name="Comma 8 2 2 4 3 3" xfId="24081" xr:uid="{00000000-0005-0000-0000-00000E390000}"/>
    <cellStyle name="Comma 8 2 2 4 4" xfId="7498" xr:uid="{00000000-0005-0000-0000-00000F390000}"/>
    <cellStyle name="Comma 8 2 2 4 4 2" xfId="16822" xr:uid="{00000000-0005-0000-0000-000010390000}"/>
    <cellStyle name="Comma 8 2 2 4 4 3" xfId="26145" xr:uid="{00000000-0005-0000-0000-000011390000}"/>
    <cellStyle name="Comma 8 2 2 4 5" xfId="11524" xr:uid="{00000000-0005-0000-0000-000012390000}"/>
    <cellStyle name="Comma 8 2 2 4 6" xfId="20848" xr:uid="{00000000-0005-0000-0000-000013390000}"/>
    <cellStyle name="Comma 8 2 2 5" xfId="3032" xr:uid="{00000000-0005-0000-0000-000014390000}"/>
    <cellStyle name="Comma 8 2 2 5 2" xfId="7711" xr:uid="{00000000-0005-0000-0000-000015390000}"/>
    <cellStyle name="Comma 8 2 2 5 2 2" xfId="17035" xr:uid="{00000000-0005-0000-0000-000016390000}"/>
    <cellStyle name="Comma 8 2 2 5 2 3" xfId="26358" xr:uid="{00000000-0005-0000-0000-000017390000}"/>
    <cellStyle name="Comma 8 2 2 5 3" xfId="12419" xr:uid="{00000000-0005-0000-0000-000018390000}"/>
    <cellStyle name="Comma 8 2 2 5 4" xfId="21745" xr:uid="{00000000-0005-0000-0000-000019390000}"/>
    <cellStyle name="Comma 8 2 2 6" xfId="4680" xr:uid="{00000000-0005-0000-0000-00001A390000}"/>
    <cellStyle name="Comma 8 2 2 6 2" xfId="14004" xr:uid="{00000000-0005-0000-0000-00001B390000}"/>
    <cellStyle name="Comma 8 2 2 6 3" xfId="23327" xr:uid="{00000000-0005-0000-0000-00001C390000}"/>
    <cellStyle name="Comma 8 2 2 7" xfId="10812" xr:uid="{00000000-0005-0000-0000-00001D390000}"/>
    <cellStyle name="Comma 8 2 2 8" xfId="20136" xr:uid="{00000000-0005-0000-0000-00001E390000}"/>
    <cellStyle name="Comma 8 2 3" xfId="1222" xr:uid="{00000000-0005-0000-0000-00001F390000}"/>
    <cellStyle name="Comma 8 2 3 2" xfId="2002" xr:uid="{00000000-0005-0000-0000-000020390000}"/>
    <cellStyle name="Comma 8 2 3 2 2" xfId="3752" xr:uid="{00000000-0005-0000-0000-000021390000}"/>
    <cellStyle name="Comma 8 2 3 2 2 2" xfId="8431" xr:uid="{00000000-0005-0000-0000-000022390000}"/>
    <cellStyle name="Comma 8 2 3 2 2 2 2" xfId="17755" xr:uid="{00000000-0005-0000-0000-000023390000}"/>
    <cellStyle name="Comma 8 2 3 2 2 2 3" xfId="27078" xr:uid="{00000000-0005-0000-0000-000024390000}"/>
    <cellStyle name="Comma 8 2 3 2 2 3" xfId="13087" xr:uid="{00000000-0005-0000-0000-000025390000}"/>
    <cellStyle name="Comma 8 2 3 2 2 4" xfId="22413" xr:uid="{00000000-0005-0000-0000-000026390000}"/>
    <cellStyle name="Comma 8 2 3 2 3" xfId="5439" xr:uid="{00000000-0005-0000-0000-000027390000}"/>
    <cellStyle name="Comma 8 2 3 2 3 2" xfId="14763" xr:uid="{00000000-0005-0000-0000-000028390000}"/>
    <cellStyle name="Comma 8 2 3 2 3 3" xfId="24086" xr:uid="{00000000-0005-0000-0000-000029390000}"/>
    <cellStyle name="Comma 8 2 3 2 4" xfId="7503" xr:uid="{00000000-0005-0000-0000-00002A390000}"/>
    <cellStyle name="Comma 8 2 3 2 4 2" xfId="16827" xr:uid="{00000000-0005-0000-0000-00002B390000}"/>
    <cellStyle name="Comma 8 2 3 2 4 3" xfId="26150" xr:uid="{00000000-0005-0000-0000-00002C390000}"/>
    <cellStyle name="Comma 8 2 3 2 5" xfId="11529" xr:uid="{00000000-0005-0000-0000-00002D390000}"/>
    <cellStyle name="Comma 8 2 3 2 6" xfId="20853" xr:uid="{00000000-0005-0000-0000-00002E390000}"/>
    <cellStyle name="Comma 8 2 3 3" xfId="2001" xr:uid="{00000000-0005-0000-0000-00002F390000}"/>
    <cellStyle name="Comma 8 2 3 3 2" xfId="3751" xr:uid="{00000000-0005-0000-0000-000030390000}"/>
    <cellStyle name="Comma 8 2 3 3 2 2" xfId="8430" xr:uid="{00000000-0005-0000-0000-000031390000}"/>
    <cellStyle name="Comma 8 2 3 3 2 2 2" xfId="17754" xr:uid="{00000000-0005-0000-0000-000032390000}"/>
    <cellStyle name="Comma 8 2 3 3 2 2 3" xfId="27077" xr:uid="{00000000-0005-0000-0000-000033390000}"/>
    <cellStyle name="Comma 8 2 3 3 2 3" xfId="13086" xr:uid="{00000000-0005-0000-0000-000034390000}"/>
    <cellStyle name="Comma 8 2 3 3 2 4" xfId="22412" xr:uid="{00000000-0005-0000-0000-000035390000}"/>
    <cellStyle name="Comma 8 2 3 3 3" xfId="5438" xr:uid="{00000000-0005-0000-0000-000036390000}"/>
    <cellStyle name="Comma 8 2 3 3 3 2" xfId="14762" xr:uid="{00000000-0005-0000-0000-000037390000}"/>
    <cellStyle name="Comma 8 2 3 3 3 3" xfId="24085" xr:uid="{00000000-0005-0000-0000-000038390000}"/>
    <cellStyle name="Comma 8 2 3 3 4" xfId="7502" xr:uid="{00000000-0005-0000-0000-000039390000}"/>
    <cellStyle name="Comma 8 2 3 3 4 2" xfId="16826" xr:uid="{00000000-0005-0000-0000-00003A390000}"/>
    <cellStyle name="Comma 8 2 3 3 4 3" xfId="26149" xr:uid="{00000000-0005-0000-0000-00003B390000}"/>
    <cellStyle name="Comma 8 2 3 3 5" xfId="11528" xr:uid="{00000000-0005-0000-0000-00003C390000}"/>
    <cellStyle name="Comma 8 2 3 3 6" xfId="20852" xr:uid="{00000000-0005-0000-0000-00003D390000}"/>
    <cellStyle name="Comma 8 2 3 4" xfId="3034" xr:uid="{00000000-0005-0000-0000-00003E390000}"/>
    <cellStyle name="Comma 8 2 3 4 2" xfId="7713" xr:uid="{00000000-0005-0000-0000-00003F390000}"/>
    <cellStyle name="Comma 8 2 3 4 2 2" xfId="17037" xr:uid="{00000000-0005-0000-0000-000040390000}"/>
    <cellStyle name="Comma 8 2 3 4 2 3" xfId="26360" xr:uid="{00000000-0005-0000-0000-000041390000}"/>
    <cellStyle name="Comma 8 2 3 4 3" xfId="12421" xr:uid="{00000000-0005-0000-0000-000042390000}"/>
    <cellStyle name="Comma 8 2 3 4 4" xfId="21747" xr:uid="{00000000-0005-0000-0000-000043390000}"/>
    <cellStyle name="Comma 8 2 3 5" xfId="4682" xr:uid="{00000000-0005-0000-0000-000044390000}"/>
    <cellStyle name="Comma 8 2 3 5 2" xfId="14006" xr:uid="{00000000-0005-0000-0000-000045390000}"/>
    <cellStyle name="Comma 8 2 3 5 3" xfId="23329" xr:uid="{00000000-0005-0000-0000-000046390000}"/>
    <cellStyle name="Comma 8 2 3 6" xfId="10814" xr:uid="{00000000-0005-0000-0000-000047390000}"/>
    <cellStyle name="Comma 8 2 3 7" xfId="20138" xr:uid="{00000000-0005-0000-0000-000048390000}"/>
    <cellStyle name="Comma 8 2 4" xfId="2003" xr:uid="{00000000-0005-0000-0000-000049390000}"/>
    <cellStyle name="Comma 8 2 4 2" xfId="3753" xr:uid="{00000000-0005-0000-0000-00004A390000}"/>
    <cellStyle name="Comma 8 2 4 2 2" xfId="8432" xr:uid="{00000000-0005-0000-0000-00004B390000}"/>
    <cellStyle name="Comma 8 2 4 2 2 2" xfId="17756" xr:uid="{00000000-0005-0000-0000-00004C390000}"/>
    <cellStyle name="Comma 8 2 4 2 2 3" xfId="27079" xr:uid="{00000000-0005-0000-0000-00004D390000}"/>
    <cellStyle name="Comma 8 2 4 2 3" xfId="13088" xr:uid="{00000000-0005-0000-0000-00004E390000}"/>
    <cellStyle name="Comma 8 2 4 2 4" xfId="22414" xr:uid="{00000000-0005-0000-0000-00004F390000}"/>
    <cellStyle name="Comma 8 2 4 3" xfId="5440" xr:uid="{00000000-0005-0000-0000-000050390000}"/>
    <cellStyle name="Comma 8 2 4 3 2" xfId="14764" xr:uid="{00000000-0005-0000-0000-000051390000}"/>
    <cellStyle name="Comma 8 2 4 3 3" xfId="24087" xr:uid="{00000000-0005-0000-0000-000052390000}"/>
    <cellStyle name="Comma 8 2 4 4" xfId="7504" xr:uid="{00000000-0005-0000-0000-000053390000}"/>
    <cellStyle name="Comma 8 2 4 4 2" xfId="16828" xr:uid="{00000000-0005-0000-0000-000054390000}"/>
    <cellStyle name="Comma 8 2 4 4 3" xfId="26151" xr:uid="{00000000-0005-0000-0000-000055390000}"/>
    <cellStyle name="Comma 8 2 4 5" xfId="11530" xr:uid="{00000000-0005-0000-0000-000056390000}"/>
    <cellStyle name="Comma 8 2 4 6" xfId="20854" xr:uid="{00000000-0005-0000-0000-000057390000}"/>
    <cellStyle name="Comma 8 2 5" xfId="2004" xr:uid="{00000000-0005-0000-0000-000058390000}"/>
    <cellStyle name="Comma 8 2 5 2" xfId="3754" xr:uid="{00000000-0005-0000-0000-000059390000}"/>
    <cellStyle name="Comma 8 2 5 2 2" xfId="8433" xr:uid="{00000000-0005-0000-0000-00005A390000}"/>
    <cellStyle name="Comma 8 2 5 2 2 2" xfId="17757" xr:uid="{00000000-0005-0000-0000-00005B390000}"/>
    <cellStyle name="Comma 8 2 5 2 2 3" xfId="27080" xr:uid="{00000000-0005-0000-0000-00005C390000}"/>
    <cellStyle name="Comma 8 2 5 2 3" xfId="13089" xr:uid="{00000000-0005-0000-0000-00005D390000}"/>
    <cellStyle name="Comma 8 2 5 2 4" xfId="22415" xr:uid="{00000000-0005-0000-0000-00005E390000}"/>
    <cellStyle name="Comma 8 2 5 3" xfId="5441" xr:uid="{00000000-0005-0000-0000-00005F390000}"/>
    <cellStyle name="Comma 8 2 5 3 2" xfId="14765" xr:uid="{00000000-0005-0000-0000-000060390000}"/>
    <cellStyle name="Comma 8 2 5 3 3" xfId="24088" xr:uid="{00000000-0005-0000-0000-000061390000}"/>
    <cellStyle name="Comma 8 2 5 4" xfId="7505" xr:uid="{00000000-0005-0000-0000-000062390000}"/>
    <cellStyle name="Comma 8 2 5 4 2" xfId="16829" xr:uid="{00000000-0005-0000-0000-000063390000}"/>
    <cellStyle name="Comma 8 2 5 4 3" xfId="26152" xr:uid="{00000000-0005-0000-0000-000064390000}"/>
    <cellStyle name="Comma 8 2 5 5" xfId="11531" xr:uid="{00000000-0005-0000-0000-000065390000}"/>
    <cellStyle name="Comma 8 2 5 6" xfId="20855" xr:uid="{00000000-0005-0000-0000-000066390000}"/>
    <cellStyle name="Comma 8 2 6" xfId="2005" xr:uid="{00000000-0005-0000-0000-000067390000}"/>
    <cellStyle name="Comma 8 2 6 2" xfId="3755" xr:uid="{00000000-0005-0000-0000-000068390000}"/>
    <cellStyle name="Comma 8 2 6 2 2" xfId="8434" xr:uid="{00000000-0005-0000-0000-000069390000}"/>
    <cellStyle name="Comma 8 2 6 2 2 2" xfId="17758" xr:uid="{00000000-0005-0000-0000-00006A390000}"/>
    <cellStyle name="Comma 8 2 6 2 2 3" xfId="27081" xr:uid="{00000000-0005-0000-0000-00006B390000}"/>
    <cellStyle name="Comma 8 2 6 2 3" xfId="13090" xr:uid="{00000000-0005-0000-0000-00006C390000}"/>
    <cellStyle name="Comma 8 2 6 2 4" xfId="22416" xr:uid="{00000000-0005-0000-0000-00006D390000}"/>
    <cellStyle name="Comma 8 2 6 3" xfId="5442" xr:uid="{00000000-0005-0000-0000-00006E390000}"/>
    <cellStyle name="Comma 8 2 6 3 2" xfId="14766" xr:uid="{00000000-0005-0000-0000-00006F390000}"/>
    <cellStyle name="Comma 8 2 6 3 3" xfId="24089" xr:uid="{00000000-0005-0000-0000-000070390000}"/>
    <cellStyle name="Comma 8 2 6 4" xfId="7506" xr:uid="{00000000-0005-0000-0000-000071390000}"/>
    <cellStyle name="Comma 8 2 6 4 2" xfId="16830" xr:uid="{00000000-0005-0000-0000-000072390000}"/>
    <cellStyle name="Comma 8 2 6 4 3" xfId="26153" xr:uid="{00000000-0005-0000-0000-000073390000}"/>
    <cellStyle name="Comma 8 2 6 5" xfId="11532" xr:uid="{00000000-0005-0000-0000-000074390000}"/>
    <cellStyle name="Comma 8 2 6 6" xfId="20856" xr:uid="{00000000-0005-0000-0000-000075390000}"/>
    <cellStyle name="Comma 8 2 7" xfId="1996" xr:uid="{00000000-0005-0000-0000-000076390000}"/>
    <cellStyle name="Comma 8 2 7 2" xfId="3746" xr:uid="{00000000-0005-0000-0000-000077390000}"/>
    <cellStyle name="Comma 8 2 7 2 2" xfId="8425" xr:uid="{00000000-0005-0000-0000-000078390000}"/>
    <cellStyle name="Comma 8 2 7 2 2 2" xfId="17749" xr:uid="{00000000-0005-0000-0000-000079390000}"/>
    <cellStyle name="Comma 8 2 7 2 2 3" xfId="27072" xr:uid="{00000000-0005-0000-0000-00007A390000}"/>
    <cellStyle name="Comma 8 2 7 2 3" xfId="13081" xr:uid="{00000000-0005-0000-0000-00007B390000}"/>
    <cellStyle name="Comma 8 2 7 2 4" xfId="22407" xr:uid="{00000000-0005-0000-0000-00007C390000}"/>
    <cellStyle name="Comma 8 2 7 3" xfId="5433" xr:uid="{00000000-0005-0000-0000-00007D390000}"/>
    <cellStyle name="Comma 8 2 7 3 2" xfId="14757" xr:uid="{00000000-0005-0000-0000-00007E390000}"/>
    <cellStyle name="Comma 8 2 7 3 3" xfId="24080" xr:uid="{00000000-0005-0000-0000-00007F390000}"/>
    <cellStyle name="Comma 8 2 7 4" xfId="7497" xr:uid="{00000000-0005-0000-0000-000080390000}"/>
    <cellStyle name="Comma 8 2 7 4 2" xfId="16821" xr:uid="{00000000-0005-0000-0000-000081390000}"/>
    <cellStyle name="Comma 8 2 7 4 3" xfId="26144" xr:uid="{00000000-0005-0000-0000-000082390000}"/>
    <cellStyle name="Comma 8 2 7 5" xfId="11523" xr:uid="{00000000-0005-0000-0000-000083390000}"/>
    <cellStyle name="Comma 8 2 7 6" xfId="20847" xr:uid="{00000000-0005-0000-0000-000084390000}"/>
    <cellStyle name="Comma 8 2 8" xfId="3031" xr:uid="{00000000-0005-0000-0000-000085390000}"/>
    <cellStyle name="Comma 8 2 8 2" xfId="7710" xr:uid="{00000000-0005-0000-0000-000086390000}"/>
    <cellStyle name="Comma 8 2 8 2 2" xfId="17034" xr:uid="{00000000-0005-0000-0000-000087390000}"/>
    <cellStyle name="Comma 8 2 8 2 3" xfId="26357" xr:uid="{00000000-0005-0000-0000-000088390000}"/>
    <cellStyle name="Comma 8 2 8 3" xfId="12418" xr:uid="{00000000-0005-0000-0000-000089390000}"/>
    <cellStyle name="Comma 8 2 8 4" xfId="21744" xr:uid="{00000000-0005-0000-0000-00008A390000}"/>
    <cellStyle name="Comma 8 2 9" xfId="4679" xr:uid="{00000000-0005-0000-0000-00008B390000}"/>
    <cellStyle name="Comma 8 2 9 2" xfId="14003" xr:uid="{00000000-0005-0000-0000-00008C390000}"/>
    <cellStyle name="Comma 8 2 9 3" xfId="23326" xr:uid="{00000000-0005-0000-0000-00008D390000}"/>
    <cellStyle name="Comma 8 3" xfId="1223" xr:uid="{00000000-0005-0000-0000-00008E390000}"/>
    <cellStyle name="Comma 8 3 2" xfId="1224" xr:uid="{00000000-0005-0000-0000-00008F390000}"/>
    <cellStyle name="Comma 8 3 2 2" xfId="3036" xr:uid="{00000000-0005-0000-0000-000090390000}"/>
    <cellStyle name="Comma 8 3 2 2 2" xfId="7715" xr:uid="{00000000-0005-0000-0000-000091390000}"/>
    <cellStyle name="Comma 8 3 2 2 2 2" xfId="17039" xr:uid="{00000000-0005-0000-0000-000092390000}"/>
    <cellStyle name="Comma 8 3 2 2 2 3" xfId="26362" xr:uid="{00000000-0005-0000-0000-000093390000}"/>
    <cellStyle name="Comma 8 3 2 2 3" xfId="12423" xr:uid="{00000000-0005-0000-0000-000094390000}"/>
    <cellStyle name="Comma 8 3 2 2 4" xfId="21749" xr:uid="{00000000-0005-0000-0000-000095390000}"/>
    <cellStyle name="Comma 8 3 2 3" xfId="4684" xr:uid="{00000000-0005-0000-0000-000096390000}"/>
    <cellStyle name="Comma 8 3 2 3 2" xfId="14008" xr:uid="{00000000-0005-0000-0000-000097390000}"/>
    <cellStyle name="Comma 8 3 2 3 3" xfId="23331" xr:uid="{00000000-0005-0000-0000-000098390000}"/>
    <cellStyle name="Comma 8 3 2 4" xfId="10816" xr:uid="{00000000-0005-0000-0000-000099390000}"/>
    <cellStyle name="Comma 8 3 2 5" xfId="20140" xr:uid="{00000000-0005-0000-0000-00009A390000}"/>
    <cellStyle name="Comma 8 3 3" xfId="2006" xr:uid="{00000000-0005-0000-0000-00009B390000}"/>
    <cellStyle name="Comma 8 3 3 2" xfId="3756" xr:uid="{00000000-0005-0000-0000-00009C390000}"/>
    <cellStyle name="Comma 8 3 3 2 2" xfId="8435" xr:uid="{00000000-0005-0000-0000-00009D390000}"/>
    <cellStyle name="Comma 8 3 3 2 2 2" xfId="17759" xr:uid="{00000000-0005-0000-0000-00009E390000}"/>
    <cellStyle name="Comma 8 3 3 2 2 3" xfId="27082" xr:uid="{00000000-0005-0000-0000-00009F390000}"/>
    <cellStyle name="Comma 8 3 3 3" xfId="7507" xr:uid="{00000000-0005-0000-0000-0000A0390000}"/>
    <cellStyle name="Comma 8 3 3 3 2" xfId="16831" xr:uid="{00000000-0005-0000-0000-0000A1390000}"/>
    <cellStyle name="Comma 8 3 3 3 3" xfId="26154" xr:uid="{00000000-0005-0000-0000-0000A2390000}"/>
    <cellStyle name="Comma 8 3 3 4" xfId="11533" xr:uid="{00000000-0005-0000-0000-0000A3390000}"/>
    <cellStyle name="Comma 8 3 3 5" xfId="20857" xr:uid="{00000000-0005-0000-0000-0000A4390000}"/>
    <cellStyle name="Comma 8 3 4" xfId="3035" xr:uid="{00000000-0005-0000-0000-0000A5390000}"/>
    <cellStyle name="Comma 8 3 4 2" xfId="7714" xr:uid="{00000000-0005-0000-0000-0000A6390000}"/>
    <cellStyle name="Comma 8 3 4 2 2" xfId="17038" xr:uid="{00000000-0005-0000-0000-0000A7390000}"/>
    <cellStyle name="Comma 8 3 4 2 3" xfId="26361" xr:uid="{00000000-0005-0000-0000-0000A8390000}"/>
    <cellStyle name="Comma 8 3 4 3" xfId="12422" xr:uid="{00000000-0005-0000-0000-0000A9390000}"/>
    <cellStyle name="Comma 8 3 4 4" xfId="21748" xr:uid="{00000000-0005-0000-0000-0000AA390000}"/>
    <cellStyle name="Comma 8 3 5" xfId="4683" xr:uid="{00000000-0005-0000-0000-0000AB390000}"/>
    <cellStyle name="Comma 8 3 5 2" xfId="14007" xr:uid="{00000000-0005-0000-0000-0000AC390000}"/>
    <cellStyle name="Comma 8 3 5 3" xfId="23330" xr:uid="{00000000-0005-0000-0000-0000AD390000}"/>
    <cellStyle name="Comma 8 3 6" xfId="10815" xr:uid="{00000000-0005-0000-0000-0000AE390000}"/>
    <cellStyle name="Comma 8 3 7" xfId="20139" xr:uid="{00000000-0005-0000-0000-0000AF390000}"/>
    <cellStyle name="Comma 8 4" xfId="1225" xr:uid="{00000000-0005-0000-0000-0000B0390000}"/>
    <cellStyle name="Comma 8 4 2" xfId="2008" xr:uid="{00000000-0005-0000-0000-0000B1390000}"/>
    <cellStyle name="Comma 8 4 2 2" xfId="3758" xr:uid="{00000000-0005-0000-0000-0000B2390000}"/>
    <cellStyle name="Comma 8 4 2 2 2" xfId="8437" xr:uid="{00000000-0005-0000-0000-0000B3390000}"/>
    <cellStyle name="Comma 8 4 2 2 2 2" xfId="17761" xr:uid="{00000000-0005-0000-0000-0000B4390000}"/>
    <cellStyle name="Comma 8 4 2 2 2 3" xfId="27084" xr:uid="{00000000-0005-0000-0000-0000B5390000}"/>
    <cellStyle name="Comma 8 4 2 2 3" xfId="13092" xr:uid="{00000000-0005-0000-0000-0000B6390000}"/>
    <cellStyle name="Comma 8 4 2 2 4" xfId="22418" xr:uid="{00000000-0005-0000-0000-0000B7390000}"/>
    <cellStyle name="Comma 8 4 2 3" xfId="5444" xr:uid="{00000000-0005-0000-0000-0000B8390000}"/>
    <cellStyle name="Comma 8 4 2 3 2" xfId="14768" xr:uid="{00000000-0005-0000-0000-0000B9390000}"/>
    <cellStyle name="Comma 8 4 2 3 3" xfId="24091" xr:uid="{00000000-0005-0000-0000-0000BA390000}"/>
    <cellStyle name="Comma 8 4 2 4" xfId="7509" xr:uid="{00000000-0005-0000-0000-0000BB390000}"/>
    <cellStyle name="Comma 8 4 2 4 2" xfId="16833" xr:uid="{00000000-0005-0000-0000-0000BC390000}"/>
    <cellStyle name="Comma 8 4 2 4 3" xfId="26156" xr:uid="{00000000-0005-0000-0000-0000BD390000}"/>
    <cellStyle name="Comma 8 4 2 5" xfId="11535" xr:uid="{00000000-0005-0000-0000-0000BE390000}"/>
    <cellStyle name="Comma 8 4 2 6" xfId="20859" xr:uid="{00000000-0005-0000-0000-0000BF390000}"/>
    <cellStyle name="Comma 8 4 3" xfId="2007" xr:uid="{00000000-0005-0000-0000-0000C0390000}"/>
    <cellStyle name="Comma 8 4 3 2" xfId="3757" xr:uid="{00000000-0005-0000-0000-0000C1390000}"/>
    <cellStyle name="Comma 8 4 3 2 2" xfId="8436" xr:uid="{00000000-0005-0000-0000-0000C2390000}"/>
    <cellStyle name="Comma 8 4 3 2 2 2" xfId="17760" xr:uid="{00000000-0005-0000-0000-0000C3390000}"/>
    <cellStyle name="Comma 8 4 3 2 2 3" xfId="27083" xr:uid="{00000000-0005-0000-0000-0000C4390000}"/>
    <cellStyle name="Comma 8 4 3 2 3" xfId="13091" xr:uid="{00000000-0005-0000-0000-0000C5390000}"/>
    <cellStyle name="Comma 8 4 3 2 4" xfId="22417" xr:uid="{00000000-0005-0000-0000-0000C6390000}"/>
    <cellStyle name="Comma 8 4 3 3" xfId="5443" xr:uid="{00000000-0005-0000-0000-0000C7390000}"/>
    <cellStyle name="Comma 8 4 3 3 2" xfId="14767" xr:uid="{00000000-0005-0000-0000-0000C8390000}"/>
    <cellStyle name="Comma 8 4 3 3 3" xfId="24090" xr:uid="{00000000-0005-0000-0000-0000C9390000}"/>
    <cellStyle name="Comma 8 4 3 4" xfId="7508" xr:uid="{00000000-0005-0000-0000-0000CA390000}"/>
    <cellStyle name="Comma 8 4 3 4 2" xfId="16832" xr:uid="{00000000-0005-0000-0000-0000CB390000}"/>
    <cellStyle name="Comma 8 4 3 4 3" xfId="26155" xr:uid="{00000000-0005-0000-0000-0000CC390000}"/>
    <cellStyle name="Comma 8 4 3 5" xfId="11534" xr:uid="{00000000-0005-0000-0000-0000CD390000}"/>
    <cellStyle name="Comma 8 4 3 6" xfId="20858" xr:uid="{00000000-0005-0000-0000-0000CE390000}"/>
    <cellStyle name="Comma 8 4 4" xfId="3037" xr:uid="{00000000-0005-0000-0000-0000CF390000}"/>
    <cellStyle name="Comma 8 4 4 2" xfId="7716" xr:uid="{00000000-0005-0000-0000-0000D0390000}"/>
    <cellStyle name="Comma 8 4 4 2 2" xfId="17040" xr:uid="{00000000-0005-0000-0000-0000D1390000}"/>
    <cellStyle name="Comma 8 4 4 2 3" xfId="26363" xr:uid="{00000000-0005-0000-0000-0000D2390000}"/>
    <cellStyle name="Comma 8 4 4 3" xfId="12424" xr:uid="{00000000-0005-0000-0000-0000D3390000}"/>
    <cellStyle name="Comma 8 4 4 4" xfId="21750" xr:uid="{00000000-0005-0000-0000-0000D4390000}"/>
    <cellStyle name="Comma 8 4 5" xfId="4685" xr:uid="{00000000-0005-0000-0000-0000D5390000}"/>
    <cellStyle name="Comma 8 4 5 2" xfId="14009" xr:uid="{00000000-0005-0000-0000-0000D6390000}"/>
    <cellStyle name="Comma 8 4 5 3" xfId="23332" xr:uid="{00000000-0005-0000-0000-0000D7390000}"/>
    <cellStyle name="Comma 8 4 6" xfId="10817" xr:uid="{00000000-0005-0000-0000-0000D8390000}"/>
    <cellStyle name="Comma 8 4 7" xfId="20141" xr:uid="{00000000-0005-0000-0000-0000D9390000}"/>
    <cellStyle name="Comma 8 5" xfId="2009" xr:uid="{00000000-0005-0000-0000-0000DA390000}"/>
    <cellStyle name="Comma 8 5 2" xfId="3759" xr:uid="{00000000-0005-0000-0000-0000DB390000}"/>
    <cellStyle name="Comma 8 5 2 2" xfId="8438" xr:uid="{00000000-0005-0000-0000-0000DC390000}"/>
    <cellStyle name="Comma 8 5 2 2 2" xfId="17762" xr:uid="{00000000-0005-0000-0000-0000DD390000}"/>
    <cellStyle name="Comma 8 5 2 2 3" xfId="27085" xr:uid="{00000000-0005-0000-0000-0000DE390000}"/>
    <cellStyle name="Comma 8 5 2 3" xfId="13093" xr:uid="{00000000-0005-0000-0000-0000DF390000}"/>
    <cellStyle name="Comma 8 5 2 4" xfId="22419" xr:uid="{00000000-0005-0000-0000-0000E0390000}"/>
    <cellStyle name="Comma 8 5 3" xfId="5445" xr:uid="{00000000-0005-0000-0000-0000E1390000}"/>
    <cellStyle name="Comma 8 5 3 2" xfId="14769" xr:uid="{00000000-0005-0000-0000-0000E2390000}"/>
    <cellStyle name="Comma 8 5 3 3" xfId="24092" xr:uid="{00000000-0005-0000-0000-0000E3390000}"/>
    <cellStyle name="Comma 8 5 4" xfId="7510" xr:uid="{00000000-0005-0000-0000-0000E4390000}"/>
    <cellStyle name="Comma 8 5 4 2" xfId="16834" xr:uid="{00000000-0005-0000-0000-0000E5390000}"/>
    <cellStyle name="Comma 8 5 4 3" xfId="26157" xr:uid="{00000000-0005-0000-0000-0000E6390000}"/>
    <cellStyle name="Comma 8 5 5" xfId="11536" xr:uid="{00000000-0005-0000-0000-0000E7390000}"/>
    <cellStyle name="Comma 8 5 6" xfId="20860" xr:uid="{00000000-0005-0000-0000-0000E8390000}"/>
    <cellStyle name="Comma 8 6" xfId="1995" xr:uid="{00000000-0005-0000-0000-0000E9390000}"/>
    <cellStyle name="Comma 8 6 2" xfId="3745" xr:uid="{00000000-0005-0000-0000-0000EA390000}"/>
    <cellStyle name="Comma 8 6 2 2" xfId="8424" xr:uid="{00000000-0005-0000-0000-0000EB390000}"/>
    <cellStyle name="Comma 8 6 2 2 2" xfId="17748" xr:uid="{00000000-0005-0000-0000-0000EC390000}"/>
    <cellStyle name="Comma 8 6 2 2 3" xfId="27071" xr:uid="{00000000-0005-0000-0000-0000ED390000}"/>
    <cellStyle name="Comma 8 6 2 3" xfId="13080" xr:uid="{00000000-0005-0000-0000-0000EE390000}"/>
    <cellStyle name="Comma 8 6 2 4" xfId="22406" xr:uid="{00000000-0005-0000-0000-0000EF390000}"/>
    <cellStyle name="Comma 8 6 3" xfId="5432" xr:uid="{00000000-0005-0000-0000-0000F0390000}"/>
    <cellStyle name="Comma 8 6 3 2" xfId="14756" xr:uid="{00000000-0005-0000-0000-0000F1390000}"/>
    <cellStyle name="Comma 8 6 3 3" xfId="24079" xr:uid="{00000000-0005-0000-0000-0000F2390000}"/>
    <cellStyle name="Comma 8 6 4" xfId="7496" xr:uid="{00000000-0005-0000-0000-0000F3390000}"/>
    <cellStyle name="Comma 8 6 4 2" xfId="16820" xr:uid="{00000000-0005-0000-0000-0000F4390000}"/>
    <cellStyle name="Comma 8 6 4 3" xfId="26143" xr:uid="{00000000-0005-0000-0000-0000F5390000}"/>
    <cellStyle name="Comma 8 6 5" xfId="11522" xr:uid="{00000000-0005-0000-0000-0000F6390000}"/>
    <cellStyle name="Comma 8 6 6" xfId="20846" xr:uid="{00000000-0005-0000-0000-0000F7390000}"/>
    <cellStyle name="Comma 8 7" xfId="1218" xr:uid="{00000000-0005-0000-0000-0000F8390000}"/>
    <cellStyle name="Comma 8 7 2" xfId="6674" xr:uid="{00000000-0005-0000-0000-0000F9390000}"/>
    <cellStyle name="Comma 8 7 2 2" xfId="15998" xr:uid="{00000000-0005-0000-0000-0000FA390000}"/>
    <cellStyle name="Comma 8 7 2 3" xfId="25321" xr:uid="{00000000-0005-0000-0000-0000FB390000}"/>
    <cellStyle name="Comma 8 7 3" xfId="10810" xr:uid="{00000000-0005-0000-0000-0000FC390000}"/>
    <cellStyle name="Comma 8 7 4" xfId="20134" xr:uid="{00000000-0005-0000-0000-0000FD390000}"/>
    <cellStyle name="Comma 8 8" xfId="3030" xr:uid="{00000000-0005-0000-0000-0000FE390000}"/>
    <cellStyle name="Comma 8 8 2" xfId="7709" xr:uid="{00000000-0005-0000-0000-0000FF390000}"/>
    <cellStyle name="Comma 8 8 2 2" xfId="17033" xr:uid="{00000000-0005-0000-0000-0000003A0000}"/>
    <cellStyle name="Comma 8 8 2 3" xfId="26356" xr:uid="{00000000-0005-0000-0000-0000013A0000}"/>
    <cellStyle name="Comma 8 8 3" xfId="12417" xr:uid="{00000000-0005-0000-0000-0000023A0000}"/>
    <cellStyle name="Comma 8 8 4" xfId="21743" xr:uid="{00000000-0005-0000-0000-0000033A0000}"/>
    <cellStyle name="Comma 8 9" xfId="4678" xr:uid="{00000000-0005-0000-0000-0000043A0000}"/>
    <cellStyle name="Comma 8 9 2" xfId="14002" xr:uid="{00000000-0005-0000-0000-0000053A0000}"/>
    <cellStyle name="Comma 8 9 3" xfId="23325" xr:uid="{00000000-0005-0000-0000-0000063A0000}"/>
    <cellStyle name="Comma 9" xfId="621" xr:uid="{00000000-0005-0000-0000-0000073A0000}"/>
    <cellStyle name="Comma 9 10" xfId="10226" xr:uid="{00000000-0005-0000-0000-0000083A0000}"/>
    <cellStyle name="Comma 9 11" xfId="19550" xr:uid="{00000000-0005-0000-0000-0000093A0000}"/>
    <cellStyle name="Comma 9 12" xfId="28916" xr:uid="{00000000-0005-0000-0000-00000A3A0000}"/>
    <cellStyle name="Comma 9 2" xfId="638" xr:uid="{00000000-0005-0000-0000-00000B3A0000}"/>
    <cellStyle name="Comma 9 2 2" xfId="2012" xr:uid="{00000000-0005-0000-0000-00000C3A0000}"/>
    <cellStyle name="Comma 9 2 2 2" xfId="2013" xr:uid="{00000000-0005-0000-0000-00000D3A0000}"/>
    <cellStyle name="Comma 9 2 2 2 2" xfId="3763" xr:uid="{00000000-0005-0000-0000-00000E3A0000}"/>
    <cellStyle name="Comma 9 2 2 2 2 2" xfId="8442" xr:uid="{00000000-0005-0000-0000-00000F3A0000}"/>
    <cellStyle name="Comma 9 2 2 2 2 2 2" xfId="17766" xr:uid="{00000000-0005-0000-0000-0000103A0000}"/>
    <cellStyle name="Comma 9 2 2 2 2 2 3" xfId="27089" xr:uid="{00000000-0005-0000-0000-0000113A0000}"/>
    <cellStyle name="Comma 9 2 2 2 2 3" xfId="13097" xr:uid="{00000000-0005-0000-0000-0000123A0000}"/>
    <cellStyle name="Comma 9 2 2 2 2 4" xfId="22423" xr:uid="{00000000-0005-0000-0000-0000133A0000}"/>
    <cellStyle name="Comma 9 2 2 2 3" xfId="5449" xr:uid="{00000000-0005-0000-0000-0000143A0000}"/>
    <cellStyle name="Comma 9 2 2 2 3 2" xfId="14773" xr:uid="{00000000-0005-0000-0000-0000153A0000}"/>
    <cellStyle name="Comma 9 2 2 2 3 3" xfId="24096" xr:uid="{00000000-0005-0000-0000-0000163A0000}"/>
    <cellStyle name="Comma 9 2 2 2 4" xfId="7514" xr:uid="{00000000-0005-0000-0000-0000173A0000}"/>
    <cellStyle name="Comma 9 2 2 2 4 2" xfId="16838" xr:uid="{00000000-0005-0000-0000-0000183A0000}"/>
    <cellStyle name="Comma 9 2 2 2 4 3" xfId="26161" xr:uid="{00000000-0005-0000-0000-0000193A0000}"/>
    <cellStyle name="Comma 9 2 2 2 5" xfId="11540" xr:uid="{00000000-0005-0000-0000-00001A3A0000}"/>
    <cellStyle name="Comma 9 2 2 2 6" xfId="20864" xr:uid="{00000000-0005-0000-0000-00001B3A0000}"/>
    <cellStyle name="Comma 9 2 2 3" xfId="3762" xr:uid="{00000000-0005-0000-0000-00001C3A0000}"/>
    <cellStyle name="Comma 9 2 2 3 2" xfId="8441" xr:uid="{00000000-0005-0000-0000-00001D3A0000}"/>
    <cellStyle name="Comma 9 2 2 3 2 2" xfId="17765" xr:uid="{00000000-0005-0000-0000-00001E3A0000}"/>
    <cellStyle name="Comma 9 2 2 3 2 3" xfId="27088" xr:uid="{00000000-0005-0000-0000-00001F3A0000}"/>
    <cellStyle name="Comma 9 2 2 3 3" xfId="13096" xr:uid="{00000000-0005-0000-0000-0000203A0000}"/>
    <cellStyle name="Comma 9 2 2 3 4" xfId="22422" xr:uid="{00000000-0005-0000-0000-0000213A0000}"/>
    <cellStyle name="Comma 9 2 2 4" xfId="5448" xr:uid="{00000000-0005-0000-0000-0000223A0000}"/>
    <cellStyle name="Comma 9 2 2 4 2" xfId="14772" xr:uid="{00000000-0005-0000-0000-0000233A0000}"/>
    <cellStyle name="Comma 9 2 2 4 3" xfId="24095" xr:uid="{00000000-0005-0000-0000-0000243A0000}"/>
    <cellStyle name="Comma 9 2 2 5" xfId="7513" xr:uid="{00000000-0005-0000-0000-0000253A0000}"/>
    <cellStyle name="Comma 9 2 2 5 2" xfId="16837" xr:uid="{00000000-0005-0000-0000-0000263A0000}"/>
    <cellStyle name="Comma 9 2 2 5 3" xfId="26160" xr:uid="{00000000-0005-0000-0000-0000273A0000}"/>
    <cellStyle name="Comma 9 2 2 6" xfId="11539" xr:uid="{00000000-0005-0000-0000-0000283A0000}"/>
    <cellStyle name="Comma 9 2 2 7" xfId="20863" xr:uid="{00000000-0005-0000-0000-0000293A0000}"/>
    <cellStyle name="Comma 9 2 3" xfId="2014" xr:uid="{00000000-0005-0000-0000-00002A3A0000}"/>
    <cellStyle name="Comma 9 2 3 2" xfId="3764" xr:uid="{00000000-0005-0000-0000-00002B3A0000}"/>
    <cellStyle name="Comma 9 2 3 2 2" xfId="8443" xr:uid="{00000000-0005-0000-0000-00002C3A0000}"/>
    <cellStyle name="Comma 9 2 3 2 2 2" xfId="17767" xr:uid="{00000000-0005-0000-0000-00002D3A0000}"/>
    <cellStyle name="Comma 9 2 3 2 2 3" xfId="27090" xr:uid="{00000000-0005-0000-0000-00002E3A0000}"/>
    <cellStyle name="Comma 9 2 3 2 3" xfId="13098" xr:uid="{00000000-0005-0000-0000-00002F3A0000}"/>
    <cellStyle name="Comma 9 2 3 2 4" xfId="22424" xr:uid="{00000000-0005-0000-0000-0000303A0000}"/>
    <cellStyle name="Comma 9 2 3 3" xfId="5450" xr:uid="{00000000-0005-0000-0000-0000313A0000}"/>
    <cellStyle name="Comma 9 2 3 3 2" xfId="14774" xr:uid="{00000000-0005-0000-0000-0000323A0000}"/>
    <cellStyle name="Comma 9 2 3 3 3" xfId="24097" xr:uid="{00000000-0005-0000-0000-0000333A0000}"/>
    <cellStyle name="Comma 9 2 3 4" xfId="7515" xr:uid="{00000000-0005-0000-0000-0000343A0000}"/>
    <cellStyle name="Comma 9 2 3 4 2" xfId="16839" xr:uid="{00000000-0005-0000-0000-0000353A0000}"/>
    <cellStyle name="Comma 9 2 3 4 3" xfId="26162" xr:uid="{00000000-0005-0000-0000-0000363A0000}"/>
    <cellStyle name="Comma 9 2 3 5" xfId="11541" xr:uid="{00000000-0005-0000-0000-0000373A0000}"/>
    <cellStyle name="Comma 9 2 3 6" xfId="20865" xr:uid="{00000000-0005-0000-0000-0000383A0000}"/>
    <cellStyle name="Comma 9 2 4" xfId="2011" xr:uid="{00000000-0005-0000-0000-0000393A0000}"/>
    <cellStyle name="Comma 9 2 4 2" xfId="7512" xr:uid="{00000000-0005-0000-0000-00003A3A0000}"/>
    <cellStyle name="Comma 9 2 4 2 2" xfId="16836" xr:uid="{00000000-0005-0000-0000-00003B3A0000}"/>
    <cellStyle name="Comma 9 2 4 2 3" xfId="26159" xr:uid="{00000000-0005-0000-0000-00003C3A0000}"/>
    <cellStyle name="Comma 9 2 4 3" xfId="11538" xr:uid="{00000000-0005-0000-0000-00003D3A0000}"/>
    <cellStyle name="Comma 9 2 4 4" xfId="20862" xr:uid="{00000000-0005-0000-0000-00003E3A0000}"/>
    <cellStyle name="Comma 9 2 5" xfId="3761" xr:uid="{00000000-0005-0000-0000-00003F3A0000}"/>
    <cellStyle name="Comma 9 2 5 2" xfId="8440" xr:uid="{00000000-0005-0000-0000-0000403A0000}"/>
    <cellStyle name="Comma 9 2 5 2 2" xfId="17764" xr:uid="{00000000-0005-0000-0000-0000413A0000}"/>
    <cellStyle name="Comma 9 2 5 2 3" xfId="27087" xr:uid="{00000000-0005-0000-0000-0000423A0000}"/>
    <cellStyle name="Comma 9 2 5 3" xfId="13095" xr:uid="{00000000-0005-0000-0000-0000433A0000}"/>
    <cellStyle name="Comma 9 2 5 4" xfId="22421" xr:uid="{00000000-0005-0000-0000-0000443A0000}"/>
    <cellStyle name="Comma 9 2 6" xfId="5447" xr:uid="{00000000-0005-0000-0000-0000453A0000}"/>
    <cellStyle name="Comma 9 2 6 2" xfId="14771" xr:uid="{00000000-0005-0000-0000-0000463A0000}"/>
    <cellStyle name="Comma 9 2 6 3" xfId="24094" xr:uid="{00000000-0005-0000-0000-0000473A0000}"/>
    <cellStyle name="Comma 9 2 7" xfId="7040" xr:uid="{00000000-0005-0000-0000-0000483A0000}"/>
    <cellStyle name="Comma 9 2 7 2" xfId="16364" xr:uid="{00000000-0005-0000-0000-0000493A0000}"/>
    <cellStyle name="Comma 9 2 7 3" xfId="25687" xr:uid="{00000000-0005-0000-0000-00004A3A0000}"/>
    <cellStyle name="Comma 9 3" xfId="2015" xr:uid="{00000000-0005-0000-0000-00004B3A0000}"/>
    <cellStyle name="Comma 9 3 2" xfId="2016" xr:uid="{00000000-0005-0000-0000-00004C3A0000}"/>
    <cellStyle name="Comma 9 3 2 2" xfId="2017" xr:uid="{00000000-0005-0000-0000-00004D3A0000}"/>
    <cellStyle name="Comma 9 3 2 2 2" xfId="3767" xr:uid="{00000000-0005-0000-0000-00004E3A0000}"/>
    <cellStyle name="Comma 9 3 2 2 2 2" xfId="8446" xr:uid="{00000000-0005-0000-0000-00004F3A0000}"/>
    <cellStyle name="Comma 9 3 2 2 2 2 2" xfId="17770" xr:uid="{00000000-0005-0000-0000-0000503A0000}"/>
    <cellStyle name="Comma 9 3 2 2 2 2 3" xfId="27093" xr:uid="{00000000-0005-0000-0000-0000513A0000}"/>
    <cellStyle name="Comma 9 3 2 2 2 3" xfId="13101" xr:uid="{00000000-0005-0000-0000-0000523A0000}"/>
    <cellStyle name="Comma 9 3 2 2 2 4" xfId="22427" xr:uid="{00000000-0005-0000-0000-0000533A0000}"/>
    <cellStyle name="Comma 9 3 2 2 3" xfId="5453" xr:uid="{00000000-0005-0000-0000-0000543A0000}"/>
    <cellStyle name="Comma 9 3 2 2 3 2" xfId="14777" xr:uid="{00000000-0005-0000-0000-0000553A0000}"/>
    <cellStyle name="Comma 9 3 2 2 3 3" xfId="24100" xr:uid="{00000000-0005-0000-0000-0000563A0000}"/>
    <cellStyle name="Comma 9 3 2 2 4" xfId="7518" xr:uid="{00000000-0005-0000-0000-0000573A0000}"/>
    <cellStyle name="Comma 9 3 2 2 4 2" xfId="16842" xr:uid="{00000000-0005-0000-0000-0000583A0000}"/>
    <cellStyle name="Comma 9 3 2 2 4 3" xfId="26165" xr:uid="{00000000-0005-0000-0000-0000593A0000}"/>
    <cellStyle name="Comma 9 3 2 2 5" xfId="11544" xr:uid="{00000000-0005-0000-0000-00005A3A0000}"/>
    <cellStyle name="Comma 9 3 2 2 6" xfId="20868" xr:uid="{00000000-0005-0000-0000-00005B3A0000}"/>
    <cellStyle name="Comma 9 3 2 3" xfId="3766" xr:uid="{00000000-0005-0000-0000-00005C3A0000}"/>
    <cellStyle name="Comma 9 3 2 3 2" xfId="8445" xr:uid="{00000000-0005-0000-0000-00005D3A0000}"/>
    <cellStyle name="Comma 9 3 2 3 2 2" xfId="17769" xr:uid="{00000000-0005-0000-0000-00005E3A0000}"/>
    <cellStyle name="Comma 9 3 2 3 2 3" xfId="27092" xr:uid="{00000000-0005-0000-0000-00005F3A0000}"/>
    <cellStyle name="Comma 9 3 2 3 3" xfId="13100" xr:uid="{00000000-0005-0000-0000-0000603A0000}"/>
    <cellStyle name="Comma 9 3 2 3 4" xfId="22426" xr:uid="{00000000-0005-0000-0000-0000613A0000}"/>
    <cellStyle name="Comma 9 3 2 4" xfId="5452" xr:uid="{00000000-0005-0000-0000-0000623A0000}"/>
    <cellStyle name="Comma 9 3 2 4 2" xfId="14776" xr:uid="{00000000-0005-0000-0000-0000633A0000}"/>
    <cellStyle name="Comma 9 3 2 4 3" xfId="24099" xr:uid="{00000000-0005-0000-0000-0000643A0000}"/>
    <cellStyle name="Comma 9 3 2 5" xfId="7517" xr:uid="{00000000-0005-0000-0000-0000653A0000}"/>
    <cellStyle name="Comma 9 3 2 5 2" xfId="16841" xr:uid="{00000000-0005-0000-0000-0000663A0000}"/>
    <cellStyle name="Comma 9 3 2 5 3" xfId="26164" xr:uid="{00000000-0005-0000-0000-0000673A0000}"/>
    <cellStyle name="Comma 9 3 2 6" xfId="11543" xr:uid="{00000000-0005-0000-0000-0000683A0000}"/>
    <cellStyle name="Comma 9 3 2 7" xfId="20867" xr:uid="{00000000-0005-0000-0000-0000693A0000}"/>
    <cellStyle name="Comma 9 3 3" xfId="2018" xr:uid="{00000000-0005-0000-0000-00006A3A0000}"/>
    <cellStyle name="Comma 9 3 3 2" xfId="3768" xr:uid="{00000000-0005-0000-0000-00006B3A0000}"/>
    <cellStyle name="Comma 9 3 3 2 2" xfId="8447" xr:uid="{00000000-0005-0000-0000-00006C3A0000}"/>
    <cellStyle name="Comma 9 3 3 2 2 2" xfId="17771" xr:uid="{00000000-0005-0000-0000-00006D3A0000}"/>
    <cellStyle name="Comma 9 3 3 2 2 3" xfId="27094" xr:uid="{00000000-0005-0000-0000-00006E3A0000}"/>
    <cellStyle name="Comma 9 3 3 2 3" xfId="13102" xr:uid="{00000000-0005-0000-0000-00006F3A0000}"/>
    <cellStyle name="Comma 9 3 3 2 4" xfId="22428" xr:uid="{00000000-0005-0000-0000-0000703A0000}"/>
    <cellStyle name="Comma 9 3 3 3" xfId="5454" xr:uid="{00000000-0005-0000-0000-0000713A0000}"/>
    <cellStyle name="Comma 9 3 3 3 2" xfId="14778" xr:uid="{00000000-0005-0000-0000-0000723A0000}"/>
    <cellStyle name="Comma 9 3 3 3 3" xfId="24101" xr:uid="{00000000-0005-0000-0000-0000733A0000}"/>
    <cellStyle name="Comma 9 3 3 4" xfId="7519" xr:uid="{00000000-0005-0000-0000-0000743A0000}"/>
    <cellStyle name="Comma 9 3 3 4 2" xfId="16843" xr:uid="{00000000-0005-0000-0000-0000753A0000}"/>
    <cellStyle name="Comma 9 3 3 4 3" xfId="26166" xr:uid="{00000000-0005-0000-0000-0000763A0000}"/>
    <cellStyle name="Comma 9 3 3 5" xfId="11545" xr:uid="{00000000-0005-0000-0000-0000773A0000}"/>
    <cellStyle name="Comma 9 3 3 6" xfId="20869" xr:uid="{00000000-0005-0000-0000-0000783A0000}"/>
    <cellStyle name="Comma 9 3 4" xfId="3765" xr:uid="{00000000-0005-0000-0000-0000793A0000}"/>
    <cellStyle name="Comma 9 3 4 2" xfId="8444" xr:uid="{00000000-0005-0000-0000-00007A3A0000}"/>
    <cellStyle name="Comma 9 3 4 2 2" xfId="17768" xr:uid="{00000000-0005-0000-0000-00007B3A0000}"/>
    <cellStyle name="Comma 9 3 4 2 3" xfId="27091" xr:uid="{00000000-0005-0000-0000-00007C3A0000}"/>
    <cellStyle name="Comma 9 3 4 3" xfId="13099" xr:uid="{00000000-0005-0000-0000-00007D3A0000}"/>
    <cellStyle name="Comma 9 3 4 4" xfId="22425" xr:uid="{00000000-0005-0000-0000-00007E3A0000}"/>
    <cellStyle name="Comma 9 3 5" xfId="5451" xr:uid="{00000000-0005-0000-0000-00007F3A0000}"/>
    <cellStyle name="Comma 9 3 5 2" xfId="14775" xr:uid="{00000000-0005-0000-0000-0000803A0000}"/>
    <cellStyle name="Comma 9 3 5 3" xfId="24098" xr:uid="{00000000-0005-0000-0000-0000813A0000}"/>
    <cellStyle name="Comma 9 3 6" xfId="7516" xr:uid="{00000000-0005-0000-0000-0000823A0000}"/>
    <cellStyle name="Comma 9 3 6 2" xfId="16840" xr:uid="{00000000-0005-0000-0000-0000833A0000}"/>
    <cellStyle name="Comma 9 3 6 3" xfId="26163" xr:uid="{00000000-0005-0000-0000-0000843A0000}"/>
    <cellStyle name="Comma 9 3 7" xfId="11542" xr:uid="{00000000-0005-0000-0000-0000853A0000}"/>
    <cellStyle name="Comma 9 3 8" xfId="20866" xr:uid="{00000000-0005-0000-0000-0000863A0000}"/>
    <cellStyle name="Comma 9 4" xfId="2019" xr:uid="{00000000-0005-0000-0000-0000873A0000}"/>
    <cellStyle name="Comma 9 4 2" xfId="2020" xr:uid="{00000000-0005-0000-0000-0000883A0000}"/>
    <cellStyle name="Comma 9 4 2 2" xfId="3770" xr:uid="{00000000-0005-0000-0000-0000893A0000}"/>
    <cellStyle name="Comma 9 4 2 2 2" xfId="8449" xr:uid="{00000000-0005-0000-0000-00008A3A0000}"/>
    <cellStyle name="Comma 9 4 2 2 2 2" xfId="17773" xr:uid="{00000000-0005-0000-0000-00008B3A0000}"/>
    <cellStyle name="Comma 9 4 2 2 2 3" xfId="27096" xr:uid="{00000000-0005-0000-0000-00008C3A0000}"/>
    <cellStyle name="Comma 9 4 2 2 3" xfId="13104" xr:uid="{00000000-0005-0000-0000-00008D3A0000}"/>
    <cellStyle name="Comma 9 4 2 2 4" xfId="22430" xr:uid="{00000000-0005-0000-0000-00008E3A0000}"/>
    <cellStyle name="Comma 9 4 2 3" xfId="5456" xr:uid="{00000000-0005-0000-0000-00008F3A0000}"/>
    <cellStyle name="Comma 9 4 2 3 2" xfId="14780" xr:uid="{00000000-0005-0000-0000-0000903A0000}"/>
    <cellStyle name="Comma 9 4 2 3 3" xfId="24103" xr:uid="{00000000-0005-0000-0000-0000913A0000}"/>
    <cellStyle name="Comma 9 4 2 4" xfId="7521" xr:uid="{00000000-0005-0000-0000-0000923A0000}"/>
    <cellStyle name="Comma 9 4 2 4 2" xfId="16845" xr:uid="{00000000-0005-0000-0000-0000933A0000}"/>
    <cellStyle name="Comma 9 4 2 4 3" xfId="26168" xr:uid="{00000000-0005-0000-0000-0000943A0000}"/>
    <cellStyle name="Comma 9 4 2 5" xfId="11547" xr:uid="{00000000-0005-0000-0000-0000953A0000}"/>
    <cellStyle name="Comma 9 4 2 6" xfId="20871" xr:uid="{00000000-0005-0000-0000-0000963A0000}"/>
    <cellStyle name="Comma 9 4 3" xfId="3769" xr:uid="{00000000-0005-0000-0000-0000973A0000}"/>
    <cellStyle name="Comma 9 4 3 2" xfId="8448" xr:uid="{00000000-0005-0000-0000-0000983A0000}"/>
    <cellStyle name="Comma 9 4 3 2 2" xfId="17772" xr:uid="{00000000-0005-0000-0000-0000993A0000}"/>
    <cellStyle name="Comma 9 4 3 2 3" xfId="27095" xr:uid="{00000000-0005-0000-0000-00009A3A0000}"/>
    <cellStyle name="Comma 9 4 3 3" xfId="13103" xr:uid="{00000000-0005-0000-0000-00009B3A0000}"/>
    <cellStyle name="Comma 9 4 3 4" xfId="22429" xr:uid="{00000000-0005-0000-0000-00009C3A0000}"/>
    <cellStyle name="Comma 9 4 4" xfId="5455" xr:uid="{00000000-0005-0000-0000-00009D3A0000}"/>
    <cellStyle name="Comma 9 4 4 2" xfId="14779" xr:uid="{00000000-0005-0000-0000-00009E3A0000}"/>
    <cellStyle name="Comma 9 4 4 3" xfId="24102" xr:uid="{00000000-0005-0000-0000-00009F3A0000}"/>
    <cellStyle name="Comma 9 4 5" xfId="7520" xr:uid="{00000000-0005-0000-0000-0000A03A0000}"/>
    <cellStyle name="Comma 9 4 5 2" xfId="16844" xr:uid="{00000000-0005-0000-0000-0000A13A0000}"/>
    <cellStyle name="Comma 9 4 5 3" xfId="26167" xr:uid="{00000000-0005-0000-0000-0000A23A0000}"/>
    <cellStyle name="Comma 9 4 6" xfId="11546" xr:uid="{00000000-0005-0000-0000-0000A33A0000}"/>
    <cellStyle name="Comma 9 4 7" xfId="20870" xr:uid="{00000000-0005-0000-0000-0000A43A0000}"/>
    <cellStyle name="Comma 9 5" xfId="2021" xr:uid="{00000000-0005-0000-0000-0000A53A0000}"/>
    <cellStyle name="Comma 9 5 2" xfId="3771" xr:uid="{00000000-0005-0000-0000-0000A63A0000}"/>
    <cellStyle name="Comma 9 5 2 2" xfId="8450" xr:uid="{00000000-0005-0000-0000-0000A73A0000}"/>
    <cellStyle name="Comma 9 5 2 2 2" xfId="17774" xr:uid="{00000000-0005-0000-0000-0000A83A0000}"/>
    <cellStyle name="Comma 9 5 2 2 3" xfId="27097" xr:uid="{00000000-0005-0000-0000-0000A93A0000}"/>
    <cellStyle name="Comma 9 5 2 3" xfId="13105" xr:uid="{00000000-0005-0000-0000-0000AA3A0000}"/>
    <cellStyle name="Comma 9 5 2 4" xfId="22431" xr:uid="{00000000-0005-0000-0000-0000AB3A0000}"/>
    <cellStyle name="Comma 9 5 3" xfId="5457" xr:uid="{00000000-0005-0000-0000-0000AC3A0000}"/>
    <cellStyle name="Comma 9 5 3 2" xfId="14781" xr:uid="{00000000-0005-0000-0000-0000AD3A0000}"/>
    <cellStyle name="Comma 9 5 3 3" xfId="24104" xr:uid="{00000000-0005-0000-0000-0000AE3A0000}"/>
    <cellStyle name="Comma 9 5 4" xfId="7522" xr:uid="{00000000-0005-0000-0000-0000AF3A0000}"/>
    <cellStyle name="Comma 9 5 4 2" xfId="16846" xr:uid="{00000000-0005-0000-0000-0000B03A0000}"/>
    <cellStyle name="Comma 9 5 4 3" xfId="26169" xr:uid="{00000000-0005-0000-0000-0000B13A0000}"/>
    <cellStyle name="Comma 9 5 5" xfId="11548" xr:uid="{00000000-0005-0000-0000-0000B23A0000}"/>
    <cellStyle name="Comma 9 5 6" xfId="20872" xr:uid="{00000000-0005-0000-0000-0000B33A0000}"/>
    <cellStyle name="Comma 9 6" xfId="2022" xr:uid="{00000000-0005-0000-0000-0000B43A0000}"/>
    <cellStyle name="Comma 9 6 2" xfId="3772" xr:uid="{00000000-0005-0000-0000-0000B53A0000}"/>
    <cellStyle name="Comma 9 6 2 2" xfId="8451" xr:uid="{00000000-0005-0000-0000-0000B63A0000}"/>
    <cellStyle name="Comma 9 6 2 2 2" xfId="17775" xr:uid="{00000000-0005-0000-0000-0000B73A0000}"/>
    <cellStyle name="Comma 9 6 2 2 3" xfId="27098" xr:uid="{00000000-0005-0000-0000-0000B83A0000}"/>
    <cellStyle name="Comma 9 6 2 3" xfId="13106" xr:uid="{00000000-0005-0000-0000-0000B93A0000}"/>
    <cellStyle name="Comma 9 6 2 4" xfId="22432" xr:uid="{00000000-0005-0000-0000-0000BA3A0000}"/>
    <cellStyle name="Comma 9 6 3" xfId="5458" xr:uid="{00000000-0005-0000-0000-0000BB3A0000}"/>
    <cellStyle name="Comma 9 6 3 2" xfId="14782" xr:uid="{00000000-0005-0000-0000-0000BC3A0000}"/>
    <cellStyle name="Comma 9 6 3 3" xfId="24105" xr:uid="{00000000-0005-0000-0000-0000BD3A0000}"/>
    <cellStyle name="Comma 9 6 4" xfId="7523" xr:uid="{00000000-0005-0000-0000-0000BE3A0000}"/>
    <cellStyle name="Comma 9 6 4 2" xfId="16847" xr:uid="{00000000-0005-0000-0000-0000BF3A0000}"/>
    <cellStyle name="Comma 9 6 4 3" xfId="26170" xr:uid="{00000000-0005-0000-0000-0000C03A0000}"/>
    <cellStyle name="Comma 9 6 5" xfId="11549" xr:uid="{00000000-0005-0000-0000-0000C13A0000}"/>
    <cellStyle name="Comma 9 6 6" xfId="20873" xr:uid="{00000000-0005-0000-0000-0000C23A0000}"/>
    <cellStyle name="Comma 9 7" xfId="2023" xr:uid="{00000000-0005-0000-0000-0000C33A0000}"/>
    <cellStyle name="Comma 9 7 2" xfId="3773" xr:uid="{00000000-0005-0000-0000-0000C43A0000}"/>
    <cellStyle name="Comma 9 7 2 2" xfId="8452" xr:uid="{00000000-0005-0000-0000-0000C53A0000}"/>
    <cellStyle name="Comma 9 7 2 2 2" xfId="17776" xr:uid="{00000000-0005-0000-0000-0000C63A0000}"/>
    <cellStyle name="Comma 9 7 2 2 3" xfId="27099" xr:uid="{00000000-0005-0000-0000-0000C73A0000}"/>
    <cellStyle name="Comma 9 7 2 3" xfId="13107" xr:uid="{00000000-0005-0000-0000-0000C83A0000}"/>
    <cellStyle name="Comma 9 7 2 4" xfId="22433" xr:uid="{00000000-0005-0000-0000-0000C93A0000}"/>
    <cellStyle name="Comma 9 7 3" xfId="5459" xr:uid="{00000000-0005-0000-0000-0000CA3A0000}"/>
    <cellStyle name="Comma 9 7 3 2" xfId="14783" xr:uid="{00000000-0005-0000-0000-0000CB3A0000}"/>
    <cellStyle name="Comma 9 7 3 3" xfId="24106" xr:uid="{00000000-0005-0000-0000-0000CC3A0000}"/>
    <cellStyle name="Comma 9 7 4" xfId="7524" xr:uid="{00000000-0005-0000-0000-0000CD3A0000}"/>
    <cellStyle name="Comma 9 7 4 2" xfId="16848" xr:uid="{00000000-0005-0000-0000-0000CE3A0000}"/>
    <cellStyle name="Comma 9 7 4 3" xfId="26171" xr:uid="{00000000-0005-0000-0000-0000CF3A0000}"/>
    <cellStyle name="Comma 9 7 5" xfId="11550" xr:uid="{00000000-0005-0000-0000-0000D03A0000}"/>
    <cellStyle name="Comma 9 7 6" xfId="20874" xr:uid="{00000000-0005-0000-0000-0000D13A0000}"/>
    <cellStyle name="Comma 9 8" xfId="2010" xr:uid="{00000000-0005-0000-0000-0000D23A0000}"/>
    <cellStyle name="Comma 9 8 2" xfId="3760" xr:uid="{00000000-0005-0000-0000-0000D33A0000}"/>
    <cellStyle name="Comma 9 8 2 2" xfId="8439" xr:uid="{00000000-0005-0000-0000-0000D43A0000}"/>
    <cellStyle name="Comma 9 8 2 2 2" xfId="17763" xr:uid="{00000000-0005-0000-0000-0000D53A0000}"/>
    <cellStyle name="Comma 9 8 2 2 3" xfId="27086" xr:uid="{00000000-0005-0000-0000-0000D63A0000}"/>
    <cellStyle name="Comma 9 8 2 3" xfId="13094" xr:uid="{00000000-0005-0000-0000-0000D73A0000}"/>
    <cellStyle name="Comma 9 8 2 4" xfId="22420" xr:uid="{00000000-0005-0000-0000-0000D83A0000}"/>
    <cellStyle name="Comma 9 8 3" xfId="5446" xr:uid="{00000000-0005-0000-0000-0000D93A0000}"/>
    <cellStyle name="Comma 9 8 3 2" xfId="14770" xr:uid="{00000000-0005-0000-0000-0000DA3A0000}"/>
    <cellStyle name="Comma 9 8 3 3" xfId="24093" xr:uid="{00000000-0005-0000-0000-0000DB3A0000}"/>
    <cellStyle name="Comma 9 8 4" xfId="7511" xr:uid="{00000000-0005-0000-0000-0000DC3A0000}"/>
    <cellStyle name="Comma 9 8 4 2" xfId="16835" xr:uid="{00000000-0005-0000-0000-0000DD3A0000}"/>
    <cellStyle name="Comma 9 8 4 3" xfId="26158" xr:uid="{00000000-0005-0000-0000-0000DE3A0000}"/>
    <cellStyle name="Comma 9 8 5" xfId="11537" xr:uid="{00000000-0005-0000-0000-0000DF3A0000}"/>
    <cellStyle name="Comma 9 8 6" xfId="20861" xr:uid="{00000000-0005-0000-0000-0000E03A0000}"/>
    <cellStyle name="Comma 9 9" xfId="1226" xr:uid="{00000000-0005-0000-0000-0000E13A0000}"/>
    <cellStyle name="Comma 9 9 2" xfId="4764" xr:uid="{00000000-0005-0000-0000-0000E23A0000}"/>
    <cellStyle name="Comma 9 9 2 2" xfId="14088" xr:uid="{00000000-0005-0000-0000-0000E33A0000}"/>
    <cellStyle name="Comma 9 9 2 3" xfId="23411" xr:uid="{00000000-0005-0000-0000-0000E43A0000}"/>
    <cellStyle name="Comma 9 9 3" xfId="10818" xr:uid="{00000000-0005-0000-0000-0000E53A0000}"/>
    <cellStyle name="Comma 9 9 4" xfId="20142" xr:uid="{00000000-0005-0000-0000-0000E63A0000}"/>
    <cellStyle name="Comma0" xfId="28599" xr:uid="{00000000-0005-0000-0000-0000E73A0000}"/>
    <cellStyle name="Currency 2" xfId="2024" xr:uid="{00000000-0005-0000-0000-0000E83A0000}"/>
    <cellStyle name="Currency 2 2" xfId="2903" xr:uid="{00000000-0005-0000-0000-0000E93A0000}"/>
    <cellStyle name="Currency 3" xfId="2025" xr:uid="{00000000-0005-0000-0000-0000EA3A0000}"/>
    <cellStyle name="Currency 3 10" xfId="20875" xr:uid="{00000000-0005-0000-0000-0000EB3A0000}"/>
    <cellStyle name="Currency 3 2" xfId="2026" xr:uid="{00000000-0005-0000-0000-0000EC3A0000}"/>
    <cellStyle name="Currency 3 2 2" xfId="2027" xr:uid="{00000000-0005-0000-0000-0000ED3A0000}"/>
    <cellStyle name="Currency 3 2 2 2" xfId="3776" xr:uid="{00000000-0005-0000-0000-0000EE3A0000}"/>
    <cellStyle name="Currency 3 2 2 2 2" xfId="8455" xr:uid="{00000000-0005-0000-0000-0000EF3A0000}"/>
    <cellStyle name="Currency 3 2 2 2 2 2" xfId="17779" xr:uid="{00000000-0005-0000-0000-0000F03A0000}"/>
    <cellStyle name="Currency 3 2 2 2 2 3" xfId="27102" xr:uid="{00000000-0005-0000-0000-0000F13A0000}"/>
    <cellStyle name="Currency 3 2 2 2 3" xfId="13110" xr:uid="{00000000-0005-0000-0000-0000F23A0000}"/>
    <cellStyle name="Currency 3 2 2 2 4" xfId="22436" xr:uid="{00000000-0005-0000-0000-0000F33A0000}"/>
    <cellStyle name="Currency 3 2 2 3" xfId="5463" xr:uid="{00000000-0005-0000-0000-0000F43A0000}"/>
    <cellStyle name="Currency 3 2 2 3 2" xfId="14787" xr:uid="{00000000-0005-0000-0000-0000F53A0000}"/>
    <cellStyle name="Currency 3 2 2 3 3" xfId="24110" xr:uid="{00000000-0005-0000-0000-0000F63A0000}"/>
    <cellStyle name="Currency 3 2 2 4" xfId="11553" xr:uid="{00000000-0005-0000-0000-0000F73A0000}"/>
    <cellStyle name="Currency 3 2 2 5" xfId="20877" xr:uid="{00000000-0005-0000-0000-0000F83A0000}"/>
    <cellStyle name="Currency 3 2 3" xfId="3775" xr:uid="{00000000-0005-0000-0000-0000F93A0000}"/>
    <cellStyle name="Currency 3 2 3 2" xfId="8454" xr:uid="{00000000-0005-0000-0000-0000FA3A0000}"/>
    <cellStyle name="Currency 3 2 3 2 2" xfId="17778" xr:uid="{00000000-0005-0000-0000-0000FB3A0000}"/>
    <cellStyle name="Currency 3 2 3 2 3" xfId="27101" xr:uid="{00000000-0005-0000-0000-0000FC3A0000}"/>
    <cellStyle name="Currency 3 2 3 3" xfId="13109" xr:uid="{00000000-0005-0000-0000-0000FD3A0000}"/>
    <cellStyle name="Currency 3 2 3 4" xfId="22435" xr:uid="{00000000-0005-0000-0000-0000FE3A0000}"/>
    <cellStyle name="Currency 3 2 4" xfId="5462" xr:uid="{00000000-0005-0000-0000-0000FF3A0000}"/>
    <cellStyle name="Currency 3 2 4 2" xfId="14786" xr:uid="{00000000-0005-0000-0000-0000003B0000}"/>
    <cellStyle name="Currency 3 2 4 3" xfId="24109" xr:uid="{00000000-0005-0000-0000-0000013B0000}"/>
    <cellStyle name="Currency 3 2 5" xfId="11552" xr:uid="{00000000-0005-0000-0000-0000023B0000}"/>
    <cellStyle name="Currency 3 2 6" xfId="20876" xr:uid="{00000000-0005-0000-0000-0000033B0000}"/>
    <cellStyle name="Currency 3 3" xfId="2028" xr:uid="{00000000-0005-0000-0000-0000043B0000}"/>
    <cellStyle name="Currency 3 4" xfId="2029" xr:uid="{00000000-0005-0000-0000-0000053B0000}"/>
    <cellStyle name="Currency 3 4 2" xfId="3777" xr:uid="{00000000-0005-0000-0000-0000063B0000}"/>
    <cellStyle name="Currency 3 4 2 2" xfId="8456" xr:uid="{00000000-0005-0000-0000-0000073B0000}"/>
    <cellStyle name="Currency 3 4 2 2 2" xfId="17780" xr:uid="{00000000-0005-0000-0000-0000083B0000}"/>
    <cellStyle name="Currency 3 4 2 2 3" xfId="27103" xr:uid="{00000000-0005-0000-0000-0000093B0000}"/>
    <cellStyle name="Currency 3 4 2 3" xfId="13111" xr:uid="{00000000-0005-0000-0000-00000A3B0000}"/>
    <cellStyle name="Currency 3 4 2 4" xfId="22437" xr:uid="{00000000-0005-0000-0000-00000B3B0000}"/>
    <cellStyle name="Currency 3 4 3" xfId="5465" xr:uid="{00000000-0005-0000-0000-00000C3B0000}"/>
    <cellStyle name="Currency 3 4 3 2" xfId="14789" xr:uid="{00000000-0005-0000-0000-00000D3B0000}"/>
    <cellStyle name="Currency 3 4 3 3" xfId="24112" xr:uid="{00000000-0005-0000-0000-00000E3B0000}"/>
    <cellStyle name="Currency 3 4 4" xfId="11554" xr:uid="{00000000-0005-0000-0000-00000F3B0000}"/>
    <cellStyle name="Currency 3 4 5" xfId="20878" xr:uid="{00000000-0005-0000-0000-0000103B0000}"/>
    <cellStyle name="Currency 3 5" xfId="2030" xr:uid="{00000000-0005-0000-0000-0000113B0000}"/>
    <cellStyle name="Currency 3 5 2" xfId="3778" xr:uid="{00000000-0005-0000-0000-0000123B0000}"/>
    <cellStyle name="Currency 3 5 2 2" xfId="8457" xr:uid="{00000000-0005-0000-0000-0000133B0000}"/>
    <cellStyle name="Currency 3 5 2 2 2" xfId="17781" xr:uid="{00000000-0005-0000-0000-0000143B0000}"/>
    <cellStyle name="Currency 3 5 2 2 3" xfId="27104" xr:uid="{00000000-0005-0000-0000-0000153B0000}"/>
    <cellStyle name="Currency 3 5 2 3" xfId="13112" xr:uid="{00000000-0005-0000-0000-0000163B0000}"/>
    <cellStyle name="Currency 3 5 2 4" xfId="22438" xr:uid="{00000000-0005-0000-0000-0000173B0000}"/>
    <cellStyle name="Currency 3 5 3" xfId="5466" xr:uid="{00000000-0005-0000-0000-0000183B0000}"/>
    <cellStyle name="Currency 3 5 3 2" xfId="14790" xr:uid="{00000000-0005-0000-0000-0000193B0000}"/>
    <cellStyle name="Currency 3 5 3 3" xfId="24113" xr:uid="{00000000-0005-0000-0000-00001A3B0000}"/>
    <cellStyle name="Currency 3 5 4" xfId="11555" xr:uid="{00000000-0005-0000-0000-00001B3B0000}"/>
    <cellStyle name="Currency 3 5 5" xfId="20879" xr:uid="{00000000-0005-0000-0000-00001C3B0000}"/>
    <cellStyle name="Currency 3 6" xfId="2031" xr:uid="{00000000-0005-0000-0000-00001D3B0000}"/>
    <cellStyle name="Currency 3 6 2" xfId="3779" xr:uid="{00000000-0005-0000-0000-00001E3B0000}"/>
    <cellStyle name="Currency 3 6 2 2" xfId="8458" xr:uid="{00000000-0005-0000-0000-00001F3B0000}"/>
    <cellStyle name="Currency 3 6 2 2 2" xfId="17782" xr:uid="{00000000-0005-0000-0000-0000203B0000}"/>
    <cellStyle name="Currency 3 6 2 2 3" xfId="27105" xr:uid="{00000000-0005-0000-0000-0000213B0000}"/>
    <cellStyle name="Currency 3 6 2 3" xfId="13113" xr:uid="{00000000-0005-0000-0000-0000223B0000}"/>
    <cellStyle name="Currency 3 6 2 4" xfId="22439" xr:uid="{00000000-0005-0000-0000-0000233B0000}"/>
    <cellStyle name="Currency 3 6 3" xfId="5467" xr:uid="{00000000-0005-0000-0000-0000243B0000}"/>
    <cellStyle name="Currency 3 6 3 2" xfId="14791" xr:uid="{00000000-0005-0000-0000-0000253B0000}"/>
    <cellStyle name="Currency 3 6 3 3" xfId="24114" xr:uid="{00000000-0005-0000-0000-0000263B0000}"/>
    <cellStyle name="Currency 3 6 4" xfId="11556" xr:uid="{00000000-0005-0000-0000-0000273B0000}"/>
    <cellStyle name="Currency 3 6 5" xfId="20880" xr:uid="{00000000-0005-0000-0000-0000283B0000}"/>
    <cellStyle name="Currency 3 7" xfId="3774" xr:uid="{00000000-0005-0000-0000-0000293B0000}"/>
    <cellStyle name="Currency 3 7 2" xfId="8453" xr:uid="{00000000-0005-0000-0000-00002A3B0000}"/>
    <cellStyle name="Currency 3 7 2 2" xfId="17777" xr:uid="{00000000-0005-0000-0000-00002B3B0000}"/>
    <cellStyle name="Currency 3 7 2 3" xfId="27100" xr:uid="{00000000-0005-0000-0000-00002C3B0000}"/>
    <cellStyle name="Currency 3 7 3" xfId="13108" xr:uid="{00000000-0005-0000-0000-00002D3B0000}"/>
    <cellStyle name="Currency 3 7 4" xfId="22434" xr:uid="{00000000-0005-0000-0000-00002E3B0000}"/>
    <cellStyle name="Currency 3 8" xfId="5461" xr:uid="{00000000-0005-0000-0000-00002F3B0000}"/>
    <cellStyle name="Currency 3 8 2" xfId="14785" xr:uid="{00000000-0005-0000-0000-0000303B0000}"/>
    <cellStyle name="Currency 3 8 3" xfId="24108" xr:uid="{00000000-0005-0000-0000-0000313B0000}"/>
    <cellStyle name="Currency 3 9" xfId="11551" xr:uid="{00000000-0005-0000-0000-0000323B0000}"/>
    <cellStyle name="Currency 6" xfId="2904" xr:uid="{00000000-0005-0000-0000-0000333B0000}"/>
    <cellStyle name="Currency0" xfId="28600" xr:uid="{00000000-0005-0000-0000-0000343B0000}"/>
    <cellStyle name="Data" xfId="28601" xr:uid="{00000000-0005-0000-0000-0000353B0000}"/>
    <cellStyle name="Date" xfId="28444" xr:uid="{00000000-0005-0000-0000-0000363B0000}"/>
    <cellStyle name="Date 2" xfId="28484" xr:uid="{00000000-0005-0000-0000-0000373B0000}"/>
    <cellStyle name="Date 3" xfId="28559" xr:uid="{00000000-0005-0000-0000-0000383B0000}"/>
    <cellStyle name="Date 4" xfId="28472" xr:uid="{00000000-0005-0000-0000-0000393B0000}"/>
    <cellStyle name="Date_DHO-SF" xfId="28586" xr:uid="{00000000-0005-0000-0000-00003A3B0000}"/>
    <cellStyle name="diskette" xfId="28602" xr:uid="{00000000-0005-0000-0000-00003B3B0000}"/>
    <cellStyle name="Emphasis 1" xfId="28603" xr:uid="{00000000-0005-0000-0000-00003C3B0000}"/>
    <cellStyle name="Emphasis 2" xfId="28604" xr:uid="{00000000-0005-0000-0000-00003D3B0000}"/>
    <cellStyle name="Emphasis 3" xfId="28605" xr:uid="{00000000-0005-0000-0000-00003E3B0000}"/>
    <cellStyle name="Encabezado 4" xfId="28529" xr:uid="{00000000-0005-0000-0000-00003F3B0000}"/>
    <cellStyle name="Énfasis1" xfId="28530" xr:uid="{00000000-0005-0000-0000-0000403B0000}"/>
    <cellStyle name="Énfasis2" xfId="28531" xr:uid="{00000000-0005-0000-0000-0000413B0000}"/>
    <cellStyle name="Énfasis3" xfId="28532" xr:uid="{00000000-0005-0000-0000-0000423B0000}"/>
    <cellStyle name="Énfasis4" xfId="28533" xr:uid="{00000000-0005-0000-0000-0000433B0000}"/>
    <cellStyle name="Énfasis5" xfId="28534" xr:uid="{00000000-0005-0000-0000-0000443B0000}"/>
    <cellStyle name="Énfasis6" xfId="28535" xr:uid="{00000000-0005-0000-0000-0000453B0000}"/>
    <cellStyle name="Entrada" xfId="28536" xr:uid="{00000000-0005-0000-0000-0000463B0000}"/>
    <cellStyle name="Euro" xfId="28445" xr:uid="{00000000-0005-0000-0000-0000473B0000}"/>
    <cellStyle name="Euro 2" xfId="28485" xr:uid="{00000000-0005-0000-0000-0000483B0000}"/>
    <cellStyle name="Excel.Chart" xfId="28606" xr:uid="{00000000-0005-0000-0000-0000493B0000}"/>
    <cellStyle name="Explanatory Text" xfId="30" builtinId="53" customBuiltin="1"/>
    <cellStyle name="Explanatory Text 2" xfId="2032" xr:uid="{00000000-0005-0000-0000-00004B3B0000}"/>
    <cellStyle name="Explanatory Text 2 2" xfId="28537" xr:uid="{00000000-0005-0000-0000-00004C3B0000}"/>
    <cellStyle name="Explanatory Text 3" xfId="28446" xr:uid="{00000000-0005-0000-0000-00004D3B0000}"/>
    <cellStyle name="Explanatory Text 4" xfId="28935" xr:uid="{00000000-0005-0000-0000-00004E3B0000}"/>
    <cellStyle name="F2" xfId="28607" xr:uid="{00000000-0005-0000-0000-00004F3B0000}"/>
    <cellStyle name="F3" xfId="28608" xr:uid="{00000000-0005-0000-0000-0000503B0000}"/>
    <cellStyle name="F4" xfId="28609" xr:uid="{00000000-0005-0000-0000-0000513B0000}"/>
    <cellStyle name="F5" xfId="28610" xr:uid="{00000000-0005-0000-0000-0000523B0000}"/>
    <cellStyle name="F6" xfId="28611" xr:uid="{00000000-0005-0000-0000-0000533B0000}"/>
    <cellStyle name="F7" xfId="28612" xr:uid="{00000000-0005-0000-0000-0000543B0000}"/>
    <cellStyle name="F8" xfId="28613" xr:uid="{00000000-0005-0000-0000-0000553B0000}"/>
    <cellStyle name="facha" xfId="28614" xr:uid="{00000000-0005-0000-0000-0000563B0000}"/>
    <cellStyle name="Fecha" xfId="28615" xr:uid="{00000000-0005-0000-0000-0000573B0000}"/>
    <cellStyle name="Fijo" xfId="28616" xr:uid="{00000000-0005-0000-0000-0000583B0000}"/>
    <cellStyle name="Fixed" xfId="28447" xr:uid="{00000000-0005-0000-0000-0000593B0000}"/>
    <cellStyle name="Fixed 2" xfId="28486" xr:uid="{00000000-0005-0000-0000-00005A3B0000}"/>
    <cellStyle name="Fixed 3" xfId="28560" xr:uid="{00000000-0005-0000-0000-00005B3B0000}"/>
    <cellStyle name="Fixed 4" xfId="28473" xr:uid="{00000000-0005-0000-0000-00005C3B0000}"/>
    <cellStyle name="Fixed_DHO-SF" xfId="28583" xr:uid="{00000000-0005-0000-0000-00005D3B0000}"/>
    <cellStyle name="Fixo" xfId="28617" xr:uid="{00000000-0005-0000-0000-00005E3B0000}"/>
    <cellStyle name="Followed Hyperlink" xfId="112" builtinId="9" customBuiltin="1"/>
    <cellStyle name="Good" xfId="21" builtinId="26" customBuiltin="1"/>
    <cellStyle name="Good 2" xfId="2033" xr:uid="{00000000-0005-0000-0000-0000613B0000}"/>
    <cellStyle name="Good 2 2" xfId="28538" xr:uid="{00000000-0005-0000-0000-0000623B0000}"/>
    <cellStyle name="Good 3" xfId="2034" xr:uid="{00000000-0005-0000-0000-0000633B0000}"/>
    <cellStyle name="Good 3 2" xfId="28618" xr:uid="{00000000-0005-0000-0000-0000643B0000}"/>
    <cellStyle name="Good 4" xfId="2035" xr:uid="{00000000-0005-0000-0000-0000653B0000}"/>
    <cellStyle name="Good 4 2" xfId="28835" xr:uid="{00000000-0005-0000-0000-0000663B0000}"/>
    <cellStyle name="Good 5" xfId="28448" xr:uid="{00000000-0005-0000-0000-0000673B0000}"/>
    <cellStyle name="Good 5 2" xfId="28936" xr:uid="{00000000-0005-0000-0000-0000683B0000}"/>
    <cellStyle name="GOVDATA" xfId="28619" xr:uid="{00000000-0005-0000-0000-0000693B0000}"/>
    <cellStyle name="Grey" xfId="28620" xr:uid="{00000000-0005-0000-0000-00006A3B0000}"/>
    <cellStyle name="Heading 1" xfId="17" builtinId="16" customBuiltin="1"/>
    <cellStyle name="Heading 1 2" xfId="2036" xr:uid="{00000000-0005-0000-0000-00006C3B0000}"/>
    <cellStyle name="Heading 1 2 2" xfId="7525" xr:uid="{00000000-0005-0000-0000-00006D3B0000}"/>
    <cellStyle name="Heading 1 2 2 2" xfId="16849" xr:uid="{00000000-0005-0000-0000-00006E3B0000}"/>
    <cellStyle name="Heading 1 2 2 3" xfId="26172" xr:uid="{00000000-0005-0000-0000-00006F3B0000}"/>
    <cellStyle name="Heading 1 2 3" xfId="9231" xr:uid="{00000000-0005-0000-0000-0000703B0000}"/>
    <cellStyle name="Heading 1 2 3 2" xfId="18555" xr:uid="{00000000-0005-0000-0000-0000713B0000}"/>
    <cellStyle name="Heading 1 2 3 3" xfId="27878" xr:uid="{00000000-0005-0000-0000-0000723B0000}"/>
    <cellStyle name="Heading 1 2 4" xfId="11557" xr:uid="{00000000-0005-0000-0000-0000733B0000}"/>
    <cellStyle name="Heading 1 2 5" xfId="20881" xr:uid="{00000000-0005-0000-0000-0000743B0000}"/>
    <cellStyle name="Heading 1 2 6" xfId="28539" xr:uid="{00000000-0005-0000-0000-0000753B0000}"/>
    <cellStyle name="Heading 1 3" xfId="2037" xr:uid="{00000000-0005-0000-0000-0000763B0000}"/>
    <cellStyle name="Heading 1 3 2" xfId="7526" xr:uid="{00000000-0005-0000-0000-0000773B0000}"/>
    <cellStyle name="Heading 1 3 2 2" xfId="16850" xr:uid="{00000000-0005-0000-0000-0000783B0000}"/>
    <cellStyle name="Heading 1 3 2 3" xfId="26173" xr:uid="{00000000-0005-0000-0000-0000793B0000}"/>
    <cellStyle name="Heading 1 3 3" xfId="9232" xr:uid="{00000000-0005-0000-0000-00007A3B0000}"/>
    <cellStyle name="Heading 1 3 3 2" xfId="18556" xr:uid="{00000000-0005-0000-0000-00007B3B0000}"/>
    <cellStyle name="Heading 1 3 3 3" xfId="27879" xr:uid="{00000000-0005-0000-0000-00007C3B0000}"/>
    <cellStyle name="Heading 1 3 4" xfId="11558" xr:uid="{00000000-0005-0000-0000-00007D3B0000}"/>
    <cellStyle name="Heading 1 3 5" xfId="20882" xr:uid="{00000000-0005-0000-0000-00007E3B0000}"/>
    <cellStyle name="Heading 1 3 6" xfId="28621" xr:uid="{00000000-0005-0000-0000-00007F3B0000}"/>
    <cellStyle name="Heading 1 4" xfId="2038" xr:uid="{00000000-0005-0000-0000-0000803B0000}"/>
    <cellStyle name="Heading 1 4 2" xfId="28848" xr:uid="{00000000-0005-0000-0000-0000813B0000}"/>
    <cellStyle name="Heading 1 5" xfId="28449" xr:uid="{00000000-0005-0000-0000-0000823B0000}"/>
    <cellStyle name="Heading 1 5 2" xfId="28937" xr:uid="{00000000-0005-0000-0000-0000833B0000}"/>
    <cellStyle name="Heading 2" xfId="18" builtinId="17" customBuiltin="1"/>
    <cellStyle name="Heading 2 2" xfId="2039" xr:uid="{00000000-0005-0000-0000-0000853B0000}"/>
    <cellStyle name="Heading 2 2 2" xfId="7527" xr:uid="{00000000-0005-0000-0000-0000863B0000}"/>
    <cellStyle name="Heading 2 2 2 2" xfId="16851" xr:uid="{00000000-0005-0000-0000-0000873B0000}"/>
    <cellStyle name="Heading 2 2 2 3" xfId="26174" xr:uid="{00000000-0005-0000-0000-0000883B0000}"/>
    <cellStyle name="Heading 2 2 3" xfId="9233" xr:uid="{00000000-0005-0000-0000-0000893B0000}"/>
    <cellStyle name="Heading 2 2 3 2" xfId="18557" xr:uid="{00000000-0005-0000-0000-00008A3B0000}"/>
    <cellStyle name="Heading 2 2 3 3" xfId="27880" xr:uid="{00000000-0005-0000-0000-00008B3B0000}"/>
    <cellStyle name="Heading 2 2 4" xfId="11559" xr:uid="{00000000-0005-0000-0000-00008C3B0000}"/>
    <cellStyle name="Heading 2 2 5" xfId="20883" xr:uid="{00000000-0005-0000-0000-00008D3B0000}"/>
    <cellStyle name="Heading 2 2 6" xfId="28540" xr:uid="{00000000-0005-0000-0000-00008E3B0000}"/>
    <cellStyle name="Heading 2 3" xfId="2040" xr:uid="{00000000-0005-0000-0000-00008F3B0000}"/>
    <cellStyle name="Heading 2 3 2" xfId="7528" xr:uid="{00000000-0005-0000-0000-0000903B0000}"/>
    <cellStyle name="Heading 2 3 2 2" xfId="16852" xr:uid="{00000000-0005-0000-0000-0000913B0000}"/>
    <cellStyle name="Heading 2 3 2 3" xfId="26175" xr:uid="{00000000-0005-0000-0000-0000923B0000}"/>
    <cellStyle name="Heading 2 3 3" xfId="9234" xr:uid="{00000000-0005-0000-0000-0000933B0000}"/>
    <cellStyle name="Heading 2 3 3 2" xfId="18558" xr:uid="{00000000-0005-0000-0000-0000943B0000}"/>
    <cellStyle name="Heading 2 3 3 3" xfId="27881" xr:uid="{00000000-0005-0000-0000-0000953B0000}"/>
    <cellStyle name="Heading 2 3 4" xfId="11560" xr:uid="{00000000-0005-0000-0000-0000963B0000}"/>
    <cellStyle name="Heading 2 3 5" xfId="20884" xr:uid="{00000000-0005-0000-0000-0000973B0000}"/>
    <cellStyle name="Heading 2 3 6" xfId="28622" xr:uid="{00000000-0005-0000-0000-0000983B0000}"/>
    <cellStyle name="Heading 2 4" xfId="2041" xr:uid="{00000000-0005-0000-0000-0000993B0000}"/>
    <cellStyle name="Heading 2 4 2" xfId="28850" xr:uid="{00000000-0005-0000-0000-00009A3B0000}"/>
    <cellStyle name="Heading 2 5" xfId="28450" xr:uid="{00000000-0005-0000-0000-00009B3B0000}"/>
    <cellStyle name="Heading 2 5 2" xfId="28938" xr:uid="{00000000-0005-0000-0000-00009C3B0000}"/>
    <cellStyle name="Heading 3" xfId="19" builtinId="18" customBuiltin="1"/>
    <cellStyle name="Heading 3 2" xfId="2042" xr:uid="{00000000-0005-0000-0000-00009E3B0000}"/>
    <cellStyle name="Heading 3 2 2" xfId="3780" xr:uid="{00000000-0005-0000-0000-00009F3B0000}"/>
    <cellStyle name="Heading 3 2 2 2" xfId="13114" xr:uid="{00000000-0005-0000-0000-0000A03B0000}"/>
    <cellStyle name="Heading 3 2 3" xfId="9235" xr:uid="{00000000-0005-0000-0000-0000A13B0000}"/>
    <cellStyle name="Heading 3 2 3 2" xfId="18559" xr:uid="{00000000-0005-0000-0000-0000A23B0000}"/>
    <cellStyle name="Heading 3 2 3 3" xfId="27882" xr:uid="{00000000-0005-0000-0000-0000A33B0000}"/>
    <cellStyle name="Heading 3 2 3 4" xfId="28378" xr:uid="{00000000-0005-0000-0000-0000A43B0000}"/>
    <cellStyle name="Heading 3 2 4" xfId="20885" xr:uid="{00000000-0005-0000-0000-0000A53B0000}"/>
    <cellStyle name="Heading 3 3" xfId="2043" xr:uid="{00000000-0005-0000-0000-0000A63B0000}"/>
    <cellStyle name="Heading 3 3 2" xfId="3781" xr:uid="{00000000-0005-0000-0000-0000A73B0000}"/>
    <cellStyle name="Heading 3 3 2 2" xfId="13115" xr:uid="{00000000-0005-0000-0000-0000A83B0000}"/>
    <cellStyle name="Heading 3 3 3" xfId="9236" xr:uid="{00000000-0005-0000-0000-0000A93B0000}"/>
    <cellStyle name="Heading 3 3 3 2" xfId="18560" xr:uid="{00000000-0005-0000-0000-0000AA3B0000}"/>
    <cellStyle name="Heading 3 3 3 3" xfId="27883" xr:uid="{00000000-0005-0000-0000-0000AB3B0000}"/>
    <cellStyle name="Heading 3 3 3 4" xfId="28379" xr:uid="{00000000-0005-0000-0000-0000AC3B0000}"/>
    <cellStyle name="Heading 3 3 4" xfId="20886" xr:uid="{00000000-0005-0000-0000-0000AD3B0000}"/>
    <cellStyle name="Heading 3 3 5" xfId="28623" xr:uid="{00000000-0005-0000-0000-0000AE3B0000}"/>
    <cellStyle name="Heading 3 4" xfId="2044" xr:uid="{00000000-0005-0000-0000-0000AF3B0000}"/>
    <cellStyle name="Heading 3 4 2" xfId="28874" xr:uid="{00000000-0005-0000-0000-0000B03B0000}"/>
    <cellStyle name="Heading 3 5" xfId="28939" xr:uid="{00000000-0005-0000-0000-0000B13B0000}"/>
    <cellStyle name="Heading 4" xfId="20" builtinId="19" customBuiltin="1"/>
    <cellStyle name="Heading 4 2" xfId="2045" xr:uid="{00000000-0005-0000-0000-0000B33B0000}"/>
    <cellStyle name="Heading 4 3" xfId="2046" xr:uid="{00000000-0005-0000-0000-0000B43B0000}"/>
    <cellStyle name="Heading 4 3 2" xfId="28624" xr:uid="{00000000-0005-0000-0000-0000B53B0000}"/>
    <cellStyle name="Heading 4 4" xfId="2047" xr:uid="{00000000-0005-0000-0000-0000B63B0000}"/>
    <cellStyle name="Heading 4 4 2" xfId="28840" xr:uid="{00000000-0005-0000-0000-0000B73B0000}"/>
    <cellStyle name="Heading 4 5" xfId="28940" xr:uid="{00000000-0005-0000-0000-0000B83B0000}"/>
    <cellStyle name="HEADING1" xfId="28451" xr:uid="{00000000-0005-0000-0000-0000B93B0000}"/>
    <cellStyle name="HEADING1 2" xfId="28487" xr:uid="{00000000-0005-0000-0000-0000BA3B0000}"/>
    <cellStyle name="Heading1 3" xfId="28561" xr:uid="{00000000-0005-0000-0000-0000BB3B0000}"/>
    <cellStyle name="Heading1 4" xfId="28571" xr:uid="{00000000-0005-0000-0000-0000BC3B0000}"/>
    <cellStyle name="Heading1 5" xfId="28575" xr:uid="{00000000-0005-0000-0000-0000BD3B0000}"/>
    <cellStyle name="Heading1 6" xfId="28474" xr:uid="{00000000-0005-0000-0000-0000BE3B0000}"/>
    <cellStyle name="Heading1 7" xfId="28471" xr:uid="{00000000-0005-0000-0000-0000BF3B0000}"/>
    <cellStyle name="HEADING1_DHO-SF" xfId="28587" xr:uid="{00000000-0005-0000-0000-0000C03B0000}"/>
    <cellStyle name="HEADING2" xfId="28452" xr:uid="{00000000-0005-0000-0000-0000C13B0000}"/>
    <cellStyle name="HEADING2 2" xfId="28488" xr:uid="{00000000-0005-0000-0000-0000C23B0000}"/>
    <cellStyle name="Heading2 3" xfId="28562" xr:uid="{00000000-0005-0000-0000-0000C33B0000}"/>
    <cellStyle name="Heading2 4" xfId="28572" xr:uid="{00000000-0005-0000-0000-0000C43B0000}"/>
    <cellStyle name="Heading2 5" xfId="28574" xr:uid="{00000000-0005-0000-0000-0000C53B0000}"/>
    <cellStyle name="Heading2 6" xfId="28475" xr:uid="{00000000-0005-0000-0000-0000C63B0000}"/>
    <cellStyle name="Heading2 7" xfId="28470" xr:uid="{00000000-0005-0000-0000-0000C73B0000}"/>
    <cellStyle name="HEADING2_DHO-SF" xfId="28581" xr:uid="{00000000-0005-0000-0000-0000C83B0000}"/>
    <cellStyle name="Hipervínculo" xfId="28453" xr:uid="{00000000-0005-0000-0000-0000C93B0000}"/>
    <cellStyle name="Hipervínculo visitado" xfId="28454" xr:uid="{00000000-0005-0000-0000-0000CA3B0000}"/>
    <cellStyle name="Hipervínculo_10-01-03 2003 2003 NUEVOS RON -NUEVOS INTERESES" xfId="28625" xr:uid="{00000000-0005-0000-0000-0000CB3B0000}"/>
    <cellStyle name="Hyperlink" xfId="113" builtinId="8" customBuiltin="1"/>
    <cellStyle name="Hyperlink 2" xfId="1111" xr:uid="{00000000-0005-0000-0000-0000CD3B0000}"/>
    <cellStyle name="Hyperlink seguido_NFGC_SPE_1995_2003" xfId="28626" xr:uid="{00000000-0005-0000-0000-0000CE3B0000}"/>
    <cellStyle name="imf-one decimal" xfId="28455" xr:uid="{00000000-0005-0000-0000-0000CF3B0000}"/>
    <cellStyle name="imf-zero decimal" xfId="28456" xr:uid="{00000000-0005-0000-0000-0000D03B0000}"/>
    <cellStyle name="Incorrecto" xfId="28541" xr:uid="{00000000-0005-0000-0000-0000D13B0000}"/>
    <cellStyle name="Input" xfId="24" builtinId="20" customBuiltin="1"/>
    <cellStyle name="Input [yellow]" xfId="28628" xr:uid="{00000000-0005-0000-0000-0000D33B0000}"/>
    <cellStyle name="Input 10" xfId="28771" xr:uid="{00000000-0005-0000-0000-0000D43B0000}"/>
    <cellStyle name="Input 11" xfId="28775" xr:uid="{00000000-0005-0000-0000-0000D53B0000}"/>
    <cellStyle name="Input 12" xfId="28770" xr:uid="{00000000-0005-0000-0000-0000D63B0000}"/>
    <cellStyle name="Input 2" xfId="2048" xr:uid="{00000000-0005-0000-0000-0000D73B0000}"/>
    <cellStyle name="Input 2 2" xfId="28542" xr:uid="{00000000-0005-0000-0000-0000D83B0000}"/>
    <cellStyle name="Input 3" xfId="2049" xr:uid="{00000000-0005-0000-0000-0000D93B0000}"/>
    <cellStyle name="Input 3 2" xfId="28627" xr:uid="{00000000-0005-0000-0000-0000DA3B0000}"/>
    <cellStyle name="Input 4" xfId="2050" xr:uid="{00000000-0005-0000-0000-0000DB3B0000}"/>
    <cellStyle name="Input 4 2" xfId="28743" xr:uid="{00000000-0005-0000-0000-0000DC3B0000}"/>
    <cellStyle name="Input 5" xfId="28741" xr:uid="{00000000-0005-0000-0000-0000DD3B0000}"/>
    <cellStyle name="Input 6" xfId="28742" xr:uid="{00000000-0005-0000-0000-0000DE3B0000}"/>
    <cellStyle name="Input 7" xfId="28457" xr:uid="{00000000-0005-0000-0000-0000DF3B0000}"/>
    <cellStyle name="Input 8" xfId="28941" xr:uid="{00000000-0005-0000-0000-0000E03B0000}"/>
    <cellStyle name="Input 9" xfId="28954" xr:uid="{00000000-0005-0000-0000-0000E13B0000}"/>
    <cellStyle name="jo[" xfId="28629" xr:uid="{00000000-0005-0000-0000-0000E23B0000}"/>
    <cellStyle name="Linked Cell" xfId="27" builtinId="24" customBuiltin="1"/>
    <cellStyle name="Linked Cell 2" xfId="2051" xr:uid="{00000000-0005-0000-0000-0000E43B0000}"/>
    <cellStyle name="Linked Cell 3" xfId="2052" xr:uid="{00000000-0005-0000-0000-0000E53B0000}"/>
    <cellStyle name="Linked Cell 3 2" xfId="28630" xr:uid="{00000000-0005-0000-0000-0000E63B0000}"/>
    <cellStyle name="Linked Cell 4" xfId="2053" xr:uid="{00000000-0005-0000-0000-0000E73B0000}"/>
    <cellStyle name="Linked Cell 4 2" xfId="28847" xr:uid="{00000000-0005-0000-0000-0000E83B0000}"/>
    <cellStyle name="Linked Cell 5" xfId="28942" xr:uid="{00000000-0005-0000-0000-0000E93B0000}"/>
    <cellStyle name="Mheading1" xfId="28631" xr:uid="{00000000-0005-0000-0000-0000EA3B0000}"/>
    <cellStyle name="Mheading2" xfId="28632" xr:uid="{00000000-0005-0000-0000-0000EB3B0000}"/>
    <cellStyle name="Millares [0]_11.1.3. bis" xfId="28633" xr:uid="{00000000-0005-0000-0000-0000EC3B0000}"/>
    <cellStyle name="Millares 3" xfId="28543" xr:uid="{00000000-0005-0000-0000-0000ED3B0000}"/>
    <cellStyle name="Millares_11.1.3. bis" xfId="28634" xr:uid="{00000000-0005-0000-0000-0000EE3B0000}"/>
    <cellStyle name="Milliers [0]_Encours - Apr rééch" xfId="28635" xr:uid="{00000000-0005-0000-0000-0000EF3B0000}"/>
    <cellStyle name="Milliers_Encours - Apr rééch" xfId="28636" xr:uid="{00000000-0005-0000-0000-0000F03B0000}"/>
    <cellStyle name="Moeda [0]_A" xfId="28637" xr:uid="{00000000-0005-0000-0000-0000F13B0000}"/>
    <cellStyle name="Moeda_A" xfId="28638" xr:uid="{00000000-0005-0000-0000-0000F23B0000}"/>
    <cellStyle name="Moeda0" xfId="28639" xr:uid="{00000000-0005-0000-0000-0000F33B0000}"/>
    <cellStyle name="Moneda [0]_11.1.3. bis" xfId="28640" xr:uid="{00000000-0005-0000-0000-0000F43B0000}"/>
    <cellStyle name="Moneda_11.1.3. bis" xfId="28641" xr:uid="{00000000-0005-0000-0000-0000F53B0000}"/>
    <cellStyle name="Monétaire [0]_Encours - Apr rééch" xfId="28642" xr:uid="{00000000-0005-0000-0000-0000F63B0000}"/>
    <cellStyle name="Monétaire_Encours - Apr rééch" xfId="28643" xr:uid="{00000000-0005-0000-0000-0000F73B0000}"/>
    <cellStyle name="Monetario" xfId="28644" xr:uid="{00000000-0005-0000-0000-0000F83B0000}"/>
    <cellStyle name="Monetario0" xfId="28645" xr:uid="{00000000-0005-0000-0000-0000F93B0000}"/>
    <cellStyle name="Neutral" xfId="23" builtinId="28" customBuiltin="1"/>
    <cellStyle name="Neutral 2" xfId="2054" xr:uid="{00000000-0005-0000-0000-0000FB3B0000}"/>
    <cellStyle name="Neutral 2 2" xfId="28544" xr:uid="{00000000-0005-0000-0000-0000FC3B0000}"/>
    <cellStyle name="Neutral 3" xfId="2055" xr:uid="{00000000-0005-0000-0000-0000FD3B0000}"/>
    <cellStyle name="Neutral 3 2" xfId="28646" xr:uid="{00000000-0005-0000-0000-0000FE3B0000}"/>
    <cellStyle name="Neutral 4" xfId="2056" xr:uid="{00000000-0005-0000-0000-0000FF3B0000}"/>
    <cellStyle name="Neutral 4 2" xfId="28837" xr:uid="{00000000-0005-0000-0000-0000003C0000}"/>
    <cellStyle name="Neutral 5" xfId="28458" xr:uid="{00000000-0005-0000-0000-0000013C0000}"/>
    <cellStyle name="Neutral 5 2" xfId="28943" xr:uid="{00000000-0005-0000-0000-0000023C0000}"/>
    <cellStyle name="Non défini" xfId="28647" xr:uid="{00000000-0005-0000-0000-0000033C0000}"/>
    <cellStyle name="Normal" xfId="0" builtinId="0"/>
    <cellStyle name="Normal - Style1" xfId="28459" xr:uid="{00000000-0005-0000-0000-0000053C0000}"/>
    <cellStyle name="Normal - Style1 2" xfId="28489" xr:uid="{00000000-0005-0000-0000-0000063C0000}"/>
    <cellStyle name="Normal - Style1 3" xfId="28565" xr:uid="{00000000-0005-0000-0000-0000073C0000}"/>
    <cellStyle name="Normal - Style1 4" xfId="28476" xr:uid="{00000000-0005-0000-0000-0000083C0000}"/>
    <cellStyle name="Normal - Style1_DHO-SF" xfId="28580" xr:uid="{00000000-0005-0000-0000-0000093C0000}"/>
    <cellStyle name="Normal - Style2" xfId="28648" xr:uid="{00000000-0005-0000-0000-00000A3C0000}"/>
    <cellStyle name="Normal - Style3" xfId="28649" xr:uid="{00000000-0005-0000-0000-00000B3C0000}"/>
    <cellStyle name="Normal - Style4" xfId="28650" xr:uid="{00000000-0005-0000-0000-00000C3C0000}"/>
    <cellStyle name="Normal 10" xfId="240" xr:uid="{00000000-0005-0000-0000-00000D3C0000}"/>
    <cellStyle name="Normal 10 10" xfId="1227" xr:uid="{00000000-0005-0000-0000-00000E3C0000}"/>
    <cellStyle name="Normal 10 11" xfId="9368" xr:uid="{00000000-0005-0000-0000-00000F3C0000}"/>
    <cellStyle name="Normal 10 11 2" xfId="18692" xr:uid="{00000000-0005-0000-0000-0000103C0000}"/>
    <cellStyle name="Normal 10 11 3" xfId="28015" xr:uid="{00000000-0005-0000-0000-0000113C0000}"/>
    <cellStyle name="Normal 10 12" xfId="9862" xr:uid="{00000000-0005-0000-0000-0000123C0000}"/>
    <cellStyle name="Normal 10 13" xfId="19186" xr:uid="{00000000-0005-0000-0000-0000133C0000}"/>
    <cellStyle name="Normal 10 14" xfId="28568" xr:uid="{00000000-0005-0000-0000-0000143C0000}"/>
    <cellStyle name="Normal 10 2" xfId="498" xr:uid="{00000000-0005-0000-0000-0000153C0000}"/>
    <cellStyle name="Normal 10 2 10" xfId="28944" xr:uid="{00000000-0005-0000-0000-0000163C0000}"/>
    <cellStyle name="Normal 10 2 2" xfId="986" xr:uid="{00000000-0005-0000-0000-0000173C0000}"/>
    <cellStyle name="Normal 10 2 2 2" xfId="2060" xr:uid="{00000000-0005-0000-0000-0000183C0000}"/>
    <cellStyle name="Normal 10 2 2 2 2" xfId="3785" xr:uid="{00000000-0005-0000-0000-0000193C0000}"/>
    <cellStyle name="Normal 10 2 2 2 2 2" xfId="8462" xr:uid="{00000000-0005-0000-0000-00001A3C0000}"/>
    <cellStyle name="Normal 10 2 2 2 2 2 2" xfId="17786" xr:uid="{00000000-0005-0000-0000-00001B3C0000}"/>
    <cellStyle name="Normal 10 2 2 2 2 2 3" xfId="27109" xr:uid="{00000000-0005-0000-0000-00001C3C0000}"/>
    <cellStyle name="Normal 10 2 2 2 2 3" xfId="13119" xr:uid="{00000000-0005-0000-0000-00001D3C0000}"/>
    <cellStyle name="Normal 10 2 2 2 2 4" xfId="22443" xr:uid="{00000000-0005-0000-0000-00001E3C0000}"/>
    <cellStyle name="Normal 10 2 2 2 3" xfId="5494" xr:uid="{00000000-0005-0000-0000-00001F3C0000}"/>
    <cellStyle name="Normal 10 2 2 2 3 2" xfId="14818" xr:uid="{00000000-0005-0000-0000-0000203C0000}"/>
    <cellStyle name="Normal 10 2 2 2 3 3" xfId="24141" xr:uid="{00000000-0005-0000-0000-0000213C0000}"/>
    <cellStyle name="Normal 10 2 2 2 4" xfId="11564" xr:uid="{00000000-0005-0000-0000-0000223C0000}"/>
    <cellStyle name="Normal 10 2 2 2 5" xfId="20890" xr:uid="{00000000-0005-0000-0000-0000233C0000}"/>
    <cellStyle name="Normal 10 2 2 3" xfId="2059" xr:uid="{00000000-0005-0000-0000-0000243C0000}"/>
    <cellStyle name="Normal 10 2 2 3 2" xfId="7530" xr:uid="{00000000-0005-0000-0000-0000253C0000}"/>
    <cellStyle name="Normal 10 2 2 3 2 2" xfId="16854" xr:uid="{00000000-0005-0000-0000-0000263C0000}"/>
    <cellStyle name="Normal 10 2 2 3 2 3" xfId="26177" xr:uid="{00000000-0005-0000-0000-0000273C0000}"/>
    <cellStyle name="Normal 10 2 2 3 3" xfId="11563" xr:uid="{00000000-0005-0000-0000-0000283C0000}"/>
    <cellStyle name="Normal 10 2 2 3 4" xfId="20889" xr:uid="{00000000-0005-0000-0000-0000293C0000}"/>
    <cellStyle name="Normal 10 2 2 4" xfId="3784" xr:uid="{00000000-0005-0000-0000-00002A3C0000}"/>
    <cellStyle name="Normal 10 2 2 4 2" xfId="8461" xr:uid="{00000000-0005-0000-0000-00002B3C0000}"/>
    <cellStyle name="Normal 10 2 2 4 2 2" xfId="17785" xr:uid="{00000000-0005-0000-0000-00002C3C0000}"/>
    <cellStyle name="Normal 10 2 2 4 2 3" xfId="27108" xr:uid="{00000000-0005-0000-0000-00002D3C0000}"/>
    <cellStyle name="Normal 10 2 2 4 3" xfId="13118" xr:uid="{00000000-0005-0000-0000-00002E3C0000}"/>
    <cellStyle name="Normal 10 2 2 4 4" xfId="22442" xr:uid="{00000000-0005-0000-0000-00002F3C0000}"/>
    <cellStyle name="Normal 10 2 2 5" xfId="5493" xr:uid="{00000000-0005-0000-0000-0000303C0000}"/>
    <cellStyle name="Normal 10 2 2 5 2" xfId="14817" xr:uid="{00000000-0005-0000-0000-0000313C0000}"/>
    <cellStyle name="Normal 10 2 2 5 3" xfId="24140" xr:uid="{00000000-0005-0000-0000-0000323C0000}"/>
    <cellStyle name="Normal 10 2 2 6" xfId="10587" xr:uid="{00000000-0005-0000-0000-0000333C0000}"/>
    <cellStyle name="Normal 10 2 2 7" xfId="19911" xr:uid="{00000000-0005-0000-0000-0000343C0000}"/>
    <cellStyle name="Normal 10 2 3" xfId="2061" xr:uid="{00000000-0005-0000-0000-0000353C0000}"/>
    <cellStyle name="Normal 10 2 3 2" xfId="3786" xr:uid="{00000000-0005-0000-0000-0000363C0000}"/>
    <cellStyle name="Normal 10 2 3 2 2" xfId="8463" xr:uid="{00000000-0005-0000-0000-0000373C0000}"/>
    <cellStyle name="Normal 10 2 3 2 2 2" xfId="17787" xr:uid="{00000000-0005-0000-0000-0000383C0000}"/>
    <cellStyle name="Normal 10 2 3 2 2 3" xfId="27110" xr:uid="{00000000-0005-0000-0000-0000393C0000}"/>
    <cellStyle name="Normal 10 2 3 2 3" xfId="13120" xr:uid="{00000000-0005-0000-0000-00003A3C0000}"/>
    <cellStyle name="Normal 10 2 3 2 4" xfId="22444" xr:uid="{00000000-0005-0000-0000-00003B3C0000}"/>
    <cellStyle name="Normal 10 2 3 3" xfId="5495" xr:uid="{00000000-0005-0000-0000-00003C3C0000}"/>
    <cellStyle name="Normal 10 2 3 3 2" xfId="14819" xr:uid="{00000000-0005-0000-0000-00003D3C0000}"/>
    <cellStyle name="Normal 10 2 3 3 3" xfId="24142" xr:uid="{00000000-0005-0000-0000-00003E3C0000}"/>
    <cellStyle name="Normal 10 2 3 4" xfId="11565" xr:uid="{00000000-0005-0000-0000-00003F3C0000}"/>
    <cellStyle name="Normal 10 2 3 5" xfId="20891" xr:uid="{00000000-0005-0000-0000-0000403C0000}"/>
    <cellStyle name="Normal 10 2 4" xfId="2058" xr:uid="{00000000-0005-0000-0000-0000413C0000}"/>
    <cellStyle name="Normal 10 2 4 2" xfId="7529" xr:uid="{00000000-0005-0000-0000-0000423C0000}"/>
    <cellStyle name="Normal 10 2 4 2 2" xfId="16853" xr:uid="{00000000-0005-0000-0000-0000433C0000}"/>
    <cellStyle name="Normal 10 2 4 2 3" xfId="26176" xr:uid="{00000000-0005-0000-0000-0000443C0000}"/>
    <cellStyle name="Normal 10 2 4 3" xfId="11562" xr:uid="{00000000-0005-0000-0000-0000453C0000}"/>
    <cellStyle name="Normal 10 2 4 4" xfId="20888" xr:uid="{00000000-0005-0000-0000-0000463C0000}"/>
    <cellStyle name="Normal 10 2 5" xfId="3783" xr:uid="{00000000-0005-0000-0000-0000473C0000}"/>
    <cellStyle name="Normal 10 2 5 2" xfId="8460" xr:uid="{00000000-0005-0000-0000-0000483C0000}"/>
    <cellStyle name="Normal 10 2 5 2 2" xfId="17784" xr:uid="{00000000-0005-0000-0000-0000493C0000}"/>
    <cellStyle name="Normal 10 2 5 2 3" xfId="27107" xr:uid="{00000000-0005-0000-0000-00004A3C0000}"/>
    <cellStyle name="Normal 10 2 5 3" xfId="13117" xr:uid="{00000000-0005-0000-0000-00004B3C0000}"/>
    <cellStyle name="Normal 10 2 5 4" xfId="22441" xr:uid="{00000000-0005-0000-0000-00004C3C0000}"/>
    <cellStyle name="Normal 10 2 6" xfId="5492" xr:uid="{00000000-0005-0000-0000-00004D3C0000}"/>
    <cellStyle name="Normal 10 2 6 2" xfId="14816" xr:uid="{00000000-0005-0000-0000-00004E3C0000}"/>
    <cellStyle name="Normal 10 2 6 3" xfId="24139" xr:uid="{00000000-0005-0000-0000-00004F3C0000}"/>
    <cellStyle name="Normal 10 2 7" xfId="9609" xr:uid="{00000000-0005-0000-0000-0000503C0000}"/>
    <cellStyle name="Normal 10 2 7 2" xfId="18933" xr:uid="{00000000-0005-0000-0000-0000513C0000}"/>
    <cellStyle name="Normal 10 2 7 3" xfId="28256" xr:uid="{00000000-0005-0000-0000-0000523C0000}"/>
    <cellStyle name="Normal 10 2 8" xfId="10103" xr:uid="{00000000-0005-0000-0000-0000533C0000}"/>
    <cellStyle name="Normal 10 2 9" xfId="19427" xr:uid="{00000000-0005-0000-0000-0000543C0000}"/>
    <cellStyle name="Normal 10 3" xfId="746" xr:uid="{00000000-0005-0000-0000-0000553C0000}"/>
    <cellStyle name="Normal 10 3 2" xfId="2063" xr:uid="{00000000-0005-0000-0000-0000563C0000}"/>
    <cellStyle name="Normal 10 3 2 2" xfId="2064" xr:uid="{00000000-0005-0000-0000-0000573C0000}"/>
    <cellStyle name="Normal 10 3 2 2 2" xfId="3789" xr:uid="{00000000-0005-0000-0000-0000583C0000}"/>
    <cellStyle name="Normal 10 3 2 2 2 2" xfId="8466" xr:uid="{00000000-0005-0000-0000-0000593C0000}"/>
    <cellStyle name="Normal 10 3 2 2 2 2 2" xfId="17790" xr:uid="{00000000-0005-0000-0000-00005A3C0000}"/>
    <cellStyle name="Normal 10 3 2 2 2 2 3" xfId="27113" xr:uid="{00000000-0005-0000-0000-00005B3C0000}"/>
    <cellStyle name="Normal 10 3 2 2 2 3" xfId="13123" xr:uid="{00000000-0005-0000-0000-00005C3C0000}"/>
    <cellStyle name="Normal 10 3 2 2 2 4" xfId="22447" xr:uid="{00000000-0005-0000-0000-00005D3C0000}"/>
    <cellStyle name="Normal 10 3 2 2 3" xfId="5498" xr:uid="{00000000-0005-0000-0000-00005E3C0000}"/>
    <cellStyle name="Normal 10 3 2 2 3 2" xfId="14822" xr:uid="{00000000-0005-0000-0000-00005F3C0000}"/>
    <cellStyle name="Normal 10 3 2 2 3 3" xfId="24145" xr:uid="{00000000-0005-0000-0000-0000603C0000}"/>
    <cellStyle name="Normal 10 3 2 2 4" xfId="11568" xr:uid="{00000000-0005-0000-0000-0000613C0000}"/>
    <cellStyle name="Normal 10 3 2 2 5" xfId="20894" xr:uid="{00000000-0005-0000-0000-0000623C0000}"/>
    <cellStyle name="Normal 10 3 2 3" xfId="3788" xr:uid="{00000000-0005-0000-0000-0000633C0000}"/>
    <cellStyle name="Normal 10 3 2 3 2" xfId="8465" xr:uid="{00000000-0005-0000-0000-0000643C0000}"/>
    <cellStyle name="Normal 10 3 2 3 2 2" xfId="17789" xr:uid="{00000000-0005-0000-0000-0000653C0000}"/>
    <cellStyle name="Normal 10 3 2 3 2 3" xfId="27112" xr:uid="{00000000-0005-0000-0000-0000663C0000}"/>
    <cellStyle name="Normal 10 3 2 3 3" xfId="13122" xr:uid="{00000000-0005-0000-0000-0000673C0000}"/>
    <cellStyle name="Normal 10 3 2 3 4" xfId="22446" xr:uid="{00000000-0005-0000-0000-0000683C0000}"/>
    <cellStyle name="Normal 10 3 2 4" xfId="5497" xr:uid="{00000000-0005-0000-0000-0000693C0000}"/>
    <cellStyle name="Normal 10 3 2 4 2" xfId="14821" xr:uid="{00000000-0005-0000-0000-00006A3C0000}"/>
    <cellStyle name="Normal 10 3 2 4 3" xfId="24144" xr:uid="{00000000-0005-0000-0000-00006B3C0000}"/>
    <cellStyle name="Normal 10 3 2 5" xfId="11567" xr:uid="{00000000-0005-0000-0000-00006C3C0000}"/>
    <cellStyle name="Normal 10 3 2 6" xfId="20893" xr:uid="{00000000-0005-0000-0000-00006D3C0000}"/>
    <cellStyle name="Normal 10 3 3" xfId="2065" xr:uid="{00000000-0005-0000-0000-00006E3C0000}"/>
    <cellStyle name="Normal 10 3 3 2" xfId="3790" xr:uid="{00000000-0005-0000-0000-00006F3C0000}"/>
    <cellStyle name="Normal 10 3 3 2 2" xfId="8467" xr:uid="{00000000-0005-0000-0000-0000703C0000}"/>
    <cellStyle name="Normal 10 3 3 2 2 2" xfId="17791" xr:uid="{00000000-0005-0000-0000-0000713C0000}"/>
    <cellStyle name="Normal 10 3 3 2 2 3" xfId="27114" xr:uid="{00000000-0005-0000-0000-0000723C0000}"/>
    <cellStyle name="Normal 10 3 3 2 3" xfId="13124" xr:uid="{00000000-0005-0000-0000-0000733C0000}"/>
    <cellStyle name="Normal 10 3 3 2 4" xfId="22448" xr:uid="{00000000-0005-0000-0000-0000743C0000}"/>
    <cellStyle name="Normal 10 3 3 3" xfId="5499" xr:uid="{00000000-0005-0000-0000-0000753C0000}"/>
    <cellStyle name="Normal 10 3 3 3 2" xfId="14823" xr:uid="{00000000-0005-0000-0000-0000763C0000}"/>
    <cellStyle name="Normal 10 3 3 3 3" xfId="24146" xr:uid="{00000000-0005-0000-0000-0000773C0000}"/>
    <cellStyle name="Normal 10 3 3 4" xfId="11569" xr:uid="{00000000-0005-0000-0000-0000783C0000}"/>
    <cellStyle name="Normal 10 3 3 5" xfId="20895" xr:uid="{00000000-0005-0000-0000-0000793C0000}"/>
    <cellStyle name="Normal 10 3 4" xfId="2062" xr:uid="{00000000-0005-0000-0000-00007A3C0000}"/>
    <cellStyle name="Normal 10 3 4 2" xfId="7531" xr:uid="{00000000-0005-0000-0000-00007B3C0000}"/>
    <cellStyle name="Normal 10 3 4 2 2" xfId="16855" xr:uid="{00000000-0005-0000-0000-00007C3C0000}"/>
    <cellStyle name="Normal 10 3 4 2 3" xfId="26178" xr:uid="{00000000-0005-0000-0000-00007D3C0000}"/>
    <cellStyle name="Normal 10 3 4 3" xfId="11566" xr:uid="{00000000-0005-0000-0000-00007E3C0000}"/>
    <cellStyle name="Normal 10 3 4 4" xfId="20892" xr:uid="{00000000-0005-0000-0000-00007F3C0000}"/>
    <cellStyle name="Normal 10 3 5" xfId="3787" xr:uid="{00000000-0005-0000-0000-0000803C0000}"/>
    <cellStyle name="Normal 10 3 5 2" xfId="8464" xr:uid="{00000000-0005-0000-0000-0000813C0000}"/>
    <cellStyle name="Normal 10 3 5 2 2" xfId="17788" xr:uid="{00000000-0005-0000-0000-0000823C0000}"/>
    <cellStyle name="Normal 10 3 5 2 3" xfId="27111" xr:uid="{00000000-0005-0000-0000-0000833C0000}"/>
    <cellStyle name="Normal 10 3 5 3" xfId="13121" xr:uid="{00000000-0005-0000-0000-0000843C0000}"/>
    <cellStyle name="Normal 10 3 5 4" xfId="22445" xr:uid="{00000000-0005-0000-0000-0000853C0000}"/>
    <cellStyle name="Normal 10 3 6" xfId="5496" xr:uid="{00000000-0005-0000-0000-0000863C0000}"/>
    <cellStyle name="Normal 10 3 6 2" xfId="14820" xr:uid="{00000000-0005-0000-0000-0000873C0000}"/>
    <cellStyle name="Normal 10 3 6 3" xfId="24143" xr:uid="{00000000-0005-0000-0000-0000883C0000}"/>
    <cellStyle name="Normal 10 3 7" xfId="10347" xr:uid="{00000000-0005-0000-0000-0000893C0000}"/>
    <cellStyle name="Normal 10 3 8" xfId="19671" xr:uid="{00000000-0005-0000-0000-00008A3C0000}"/>
    <cellStyle name="Normal 10 4" xfId="2066" xr:uid="{00000000-0005-0000-0000-00008B3C0000}"/>
    <cellStyle name="Normal 10 4 2" xfId="2067" xr:uid="{00000000-0005-0000-0000-00008C3C0000}"/>
    <cellStyle name="Normal 10 4 2 2" xfId="3792" xr:uid="{00000000-0005-0000-0000-00008D3C0000}"/>
    <cellStyle name="Normal 10 4 2 2 2" xfId="8469" xr:uid="{00000000-0005-0000-0000-00008E3C0000}"/>
    <cellStyle name="Normal 10 4 2 2 2 2" xfId="17793" xr:uid="{00000000-0005-0000-0000-00008F3C0000}"/>
    <cellStyle name="Normal 10 4 2 2 2 3" xfId="27116" xr:uid="{00000000-0005-0000-0000-0000903C0000}"/>
    <cellStyle name="Normal 10 4 2 2 3" xfId="13126" xr:uid="{00000000-0005-0000-0000-0000913C0000}"/>
    <cellStyle name="Normal 10 4 2 2 4" xfId="22450" xr:uid="{00000000-0005-0000-0000-0000923C0000}"/>
    <cellStyle name="Normal 10 4 2 3" xfId="5501" xr:uid="{00000000-0005-0000-0000-0000933C0000}"/>
    <cellStyle name="Normal 10 4 2 3 2" xfId="14825" xr:uid="{00000000-0005-0000-0000-0000943C0000}"/>
    <cellStyle name="Normal 10 4 2 3 3" xfId="24148" xr:uid="{00000000-0005-0000-0000-0000953C0000}"/>
    <cellStyle name="Normal 10 4 2 4" xfId="11571" xr:uid="{00000000-0005-0000-0000-0000963C0000}"/>
    <cellStyle name="Normal 10 4 2 5" xfId="20897" xr:uid="{00000000-0005-0000-0000-0000973C0000}"/>
    <cellStyle name="Normal 10 4 3" xfId="3791" xr:uid="{00000000-0005-0000-0000-0000983C0000}"/>
    <cellStyle name="Normal 10 4 3 2" xfId="8468" xr:uid="{00000000-0005-0000-0000-0000993C0000}"/>
    <cellStyle name="Normal 10 4 3 2 2" xfId="17792" xr:uid="{00000000-0005-0000-0000-00009A3C0000}"/>
    <cellStyle name="Normal 10 4 3 2 3" xfId="27115" xr:uid="{00000000-0005-0000-0000-00009B3C0000}"/>
    <cellStyle name="Normal 10 4 3 3" xfId="13125" xr:uid="{00000000-0005-0000-0000-00009C3C0000}"/>
    <cellStyle name="Normal 10 4 3 4" xfId="22449" xr:uid="{00000000-0005-0000-0000-00009D3C0000}"/>
    <cellStyle name="Normal 10 4 4" xfId="5500" xr:uid="{00000000-0005-0000-0000-00009E3C0000}"/>
    <cellStyle name="Normal 10 4 4 2" xfId="14824" xr:uid="{00000000-0005-0000-0000-00009F3C0000}"/>
    <cellStyle name="Normal 10 4 4 3" xfId="24147" xr:uid="{00000000-0005-0000-0000-0000A03C0000}"/>
    <cellStyle name="Normal 10 4 5" xfId="11570" xr:uid="{00000000-0005-0000-0000-0000A13C0000}"/>
    <cellStyle name="Normal 10 4 6" xfId="20896" xr:uid="{00000000-0005-0000-0000-0000A23C0000}"/>
    <cellStyle name="Normal 10 5" xfId="2068" xr:uid="{00000000-0005-0000-0000-0000A33C0000}"/>
    <cellStyle name="Normal 10 5 2" xfId="3793" xr:uid="{00000000-0005-0000-0000-0000A43C0000}"/>
    <cellStyle name="Normal 10 5 2 2" xfId="8470" xr:uid="{00000000-0005-0000-0000-0000A53C0000}"/>
    <cellStyle name="Normal 10 5 2 2 2" xfId="17794" xr:uid="{00000000-0005-0000-0000-0000A63C0000}"/>
    <cellStyle name="Normal 10 5 2 2 3" xfId="27117" xr:uid="{00000000-0005-0000-0000-0000A73C0000}"/>
    <cellStyle name="Normal 10 5 2 3" xfId="13127" xr:uid="{00000000-0005-0000-0000-0000A83C0000}"/>
    <cellStyle name="Normal 10 5 2 4" xfId="22451" xr:uid="{00000000-0005-0000-0000-0000A93C0000}"/>
    <cellStyle name="Normal 10 5 3" xfId="5502" xr:uid="{00000000-0005-0000-0000-0000AA3C0000}"/>
    <cellStyle name="Normal 10 5 3 2" xfId="14826" xr:uid="{00000000-0005-0000-0000-0000AB3C0000}"/>
    <cellStyle name="Normal 10 5 3 3" xfId="24149" xr:uid="{00000000-0005-0000-0000-0000AC3C0000}"/>
    <cellStyle name="Normal 10 5 4" xfId="11572" xr:uid="{00000000-0005-0000-0000-0000AD3C0000}"/>
    <cellStyle name="Normal 10 5 5" xfId="20898" xr:uid="{00000000-0005-0000-0000-0000AE3C0000}"/>
    <cellStyle name="Normal 10 6" xfId="2069" xr:uid="{00000000-0005-0000-0000-0000AF3C0000}"/>
    <cellStyle name="Normal 10 6 2" xfId="3794" xr:uid="{00000000-0005-0000-0000-0000B03C0000}"/>
    <cellStyle name="Normal 10 6 2 2" xfId="8471" xr:uid="{00000000-0005-0000-0000-0000B13C0000}"/>
    <cellStyle name="Normal 10 6 2 2 2" xfId="17795" xr:uid="{00000000-0005-0000-0000-0000B23C0000}"/>
    <cellStyle name="Normal 10 6 2 2 3" xfId="27118" xr:uid="{00000000-0005-0000-0000-0000B33C0000}"/>
    <cellStyle name="Normal 10 6 2 3" xfId="13128" xr:uid="{00000000-0005-0000-0000-0000B43C0000}"/>
    <cellStyle name="Normal 10 6 2 4" xfId="22452" xr:uid="{00000000-0005-0000-0000-0000B53C0000}"/>
    <cellStyle name="Normal 10 6 3" xfId="5503" xr:uid="{00000000-0005-0000-0000-0000B63C0000}"/>
    <cellStyle name="Normal 10 6 3 2" xfId="14827" xr:uid="{00000000-0005-0000-0000-0000B73C0000}"/>
    <cellStyle name="Normal 10 6 3 3" xfId="24150" xr:uid="{00000000-0005-0000-0000-0000B83C0000}"/>
    <cellStyle name="Normal 10 6 4" xfId="11573" xr:uid="{00000000-0005-0000-0000-0000B93C0000}"/>
    <cellStyle name="Normal 10 6 5" xfId="20899" xr:uid="{00000000-0005-0000-0000-0000BA3C0000}"/>
    <cellStyle name="Normal 10 7" xfId="2070" xr:uid="{00000000-0005-0000-0000-0000BB3C0000}"/>
    <cellStyle name="Normal 10 7 2" xfId="3795" xr:uid="{00000000-0005-0000-0000-0000BC3C0000}"/>
    <cellStyle name="Normal 10 7 2 2" xfId="8472" xr:uid="{00000000-0005-0000-0000-0000BD3C0000}"/>
    <cellStyle name="Normal 10 7 2 2 2" xfId="17796" xr:uid="{00000000-0005-0000-0000-0000BE3C0000}"/>
    <cellStyle name="Normal 10 7 2 2 3" xfId="27119" xr:uid="{00000000-0005-0000-0000-0000BF3C0000}"/>
    <cellStyle name="Normal 10 7 2 3" xfId="13129" xr:uid="{00000000-0005-0000-0000-0000C03C0000}"/>
    <cellStyle name="Normal 10 7 2 4" xfId="22453" xr:uid="{00000000-0005-0000-0000-0000C13C0000}"/>
    <cellStyle name="Normal 10 7 3" xfId="5504" xr:uid="{00000000-0005-0000-0000-0000C23C0000}"/>
    <cellStyle name="Normal 10 7 3 2" xfId="14828" xr:uid="{00000000-0005-0000-0000-0000C33C0000}"/>
    <cellStyle name="Normal 10 7 3 3" xfId="24151" xr:uid="{00000000-0005-0000-0000-0000C43C0000}"/>
    <cellStyle name="Normal 10 7 4" xfId="11574" xr:uid="{00000000-0005-0000-0000-0000C53C0000}"/>
    <cellStyle name="Normal 10 7 5" xfId="20900" xr:uid="{00000000-0005-0000-0000-0000C63C0000}"/>
    <cellStyle name="Normal 10 8" xfId="2057" xr:uid="{00000000-0005-0000-0000-0000C73C0000}"/>
    <cellStyle name="Normal 10 8 2" xfId="3782" xr:uid="{00000000-0005-0000-0000-0000C83C0000}"/>
    <cellStyle name="Normal 10 8 2 2" xfId="8459" xr:uid="{00000000-0005-0000-0000-0000C93C0000}"/>
    <cellStyle name="Normal 10 8 2 2 2" xfId="17783" xr:uid="{00000000-0005-0000-0000-0000CA3C0000}"/>
    <cellStyle name="Normal 10 8 2 2 3" xfId="27106" xr:uid="{00000000-0005-0000-0000-0000CB3C0000}"/>
    <cellStyle name="Normal 10 8 2 3" xfId="13116" xr:uid="{00000000-0005-0000-0000-0000CC3C0000}"/>
    <cellStyle name="Normal 10 8 2 4" xfId="22440" xr:uid="{00000000-0005-0000-0000-0000CD3C0000}"/>
    <cellStyle name="Normal 10 8 3" xfId="5491" xr:uid="{00000000-0005-0000-0000-0000CE3C0000}"/>
    <cellStyle name="Normal 10 8 3 2" xfId="14815" xr:uid="{00000000-0005-0000-0000-0000CF3C0000}"/>
    <cellStyle name="Normal 10 8 3 3" xfId="24138" xr:uid="{00000000-0005-0000-0000-0000D03C0000}"/>
    <cellStyle name="Normal 10 8 4" xfId="11561" xr:uid="{00000000-0005-0000-0000-0000D13C0000}"/>
    <cellStyle name="Normal 10 8 5" xfId="20887" xr:uid="{00000000-0005-0000-0000-0000D23C0000}"/>
    <cellStyle name="Normal 10 9" xfId="2905" xr:uid="{00000000-0005-0000-0000-0000D33C0000}"/>
    <cellStyle name="Normal 11" xfId="620" xr:uid="{00000000-0005-0000-0000-0000D43C0000}"/>
    <cellStyle name="Normal 11 10" xfId="2071" xr:uid="{00000000-0005-0000-0000-0000D53C0000}"/>
    <cellStyle name="Normal 11 10 2" xfId="3796" xr:uid="{00000000-0005-0000-0000-0000D63C0000}"/>
    <cellStyle name="Normal 11 10 2 2" xfId="8473" xr:uid="{00000000-0005-0000-0000-0000D73C0000}"/>
    <cellStyle name="Normal 11 10 2 2 2" xfId="17797" xr:uid="{00000000-0005-0000-0000-0000D83C0000}"/>
    <cellStyle name="Normal 11 10 2 2 3" xfId="27120" xr:uid="{00000000-0005-0000-0000-0000D93C0000}"/>
    <cellStyle name="Normal 11 10 2 3" xfId="13130" xr:uid="{00000000-0005-0000-0000-0000DA3C0000}"/>
    <cellStyle name="Normal 11 10 2 4" xfId="22454" xr:uid="{00000000-0005-0000-0000-0000DB3C0000}"/>
    <cellStyle name="Normal 11 10 3" xfId="5505" xr:uid="{00000000-0005-0000-0000-0000DC3C0000}"/>
    <cellStyle name="Normal 11 10 3 2" xfId="14829" xr:uid="{00000000-0005-0000-0000-0000DD3C0000}"/>
    <cellStyle name="Normal 11 10 3 3" xfId="24152" xr:uid="{00000000-0005-0000-0000-0000DE3C0000}"/>
    <cellStyle name="Normal 11 10 4" xfId="11575" xr:uid="{00000000-0005-0000-0000-0000DF3C0000}"/>
    <cellStyle name="Normal 11 10 5" xfId="20901" xr:uid="{00000000-0005-0000-0000-0000E03C0000}"/>
    <cellStyle name="Normal 11 11" xfId="2906" xr:uid="{00000000-0005-0000-0000-0000E13C0000}"/>
    <cellStyle name="Normal 11 12" xfId="1228" xr:uid="{00000000-0005-0000-0000-0000E23C0000}"/>
    <cellStyle name="Normal 11 12 2" xfId="6325" xr:uid="{00000000-0005-0000-0000-0000E33C0000}"/>
    <cellStyle name="Normal 11 12 2 2" xfId="15649" xr:uid="{00000000-0005-0000-0000-0000E43C0000}"/>
    <cellStyle name="Normal 11 12 2 3" xfId="24972" xr:uid="{00000000-0005-0000-0000-0000E53C0000}"/>
    <cellStyle name="Normal 11 12 3" xfId="10819" xr:uid="{00000000-0005-0000-0000-0000E63C0000}"/>
    <cellStyle name="Normal 11 12 4" xfId="20143" xr:uid="{00000000-0005-0000-0000-0000E73C0000}"/>
    <cellStyle name="Normal 11 13" xfId="3038" xr:uid="{00000000-0005-0000-0000-0000E83C0000}"/>
    <cellStyle name="Normal 11 13 2" xfId="7717" xr:uid="{00000000-0005-0000-0000-0000E93C0000}"/>
    <cellStyle name="Normal 11 13 2 2" xfId="17041" xr:uid="{00000000-0005-0000-0000-0000EA3C0000}"/>
    <cellStyle name="Normal 11 13 2 3" xfId="26364" xr:uid="{00000000-0005-0000-0000-0000EB3C0000}"/>
    <cellStyle name="Normal 11 13 3" xfId="12425" xr:uid="{00000000-0005-0000-0000-0000EC3C0000}"/>
    <cellStyle name="Normal 11 13 4" xfId="21751" xr:uid="{00000000-0005-0000-0000-0000ED3C0000}"/>
    <cellStyle name="Normal 11 14" xfId="4688" xr:uid="{00000000-0005-0000-0000-0000EE3C0000}"/>
    <cellStyle name="Normal 11 14 2" xfId="14012" xr:uid="{00000000-0005-0000-0000-0000EF3C0000}"/>
    <cellStyle name="Normal 11 14 3" xfId="23335" xr:uid="{00000000-0005-0000-0000-0000F03C0000}"/>
    <cellStyle name="Normal 11 15" xfId="10225" xr:uid="{00000000-0005-0000-0000-0000F13C0000}"/>
    <cellStyle name="Normal 11 16" xfId="19549" xr:uid="{00000000-0005-0000-0000-0000F23C0000}"/>
    <cellStyle name="Normal 11 17" xfId="28569" xr:uid="{00000000-0005-0000-0000-0000F33C0000}"/>
    <cellStyle name="Normal 11 2" xfId="637" xr:uid="{00000000-0005-0000-0000-0000F43C0000}"/>
    <cellStyle name="Normal 11 2 10" xfId="3039" xr:uid="{00000000-0005-0000-0000-0000F53C0000}"/>
    <cellStyle name="Normal 11 2 10 2" xfId="7718" xr:uid="{00000000-0005-0000-0000-0000F63C0000}"/>
    <cellStyle name="Normal 11 2 10 2 2" xfId="17042" xr:uid="{00000000-0005-0000-0000-0000F73C0000}"/>
    <cellStyle name="Normal 11 2 10 2 3" xfId="26365" xr:uid="{00000000-0005-0000-0000-0000F83C0000}"/>
    <cellStyle name="Normal 11 2 10 3" xfId="12426" xr:uid="{00000000-0005-0000-0000-0000F93C0000}"/>
    <cellStyle name="Normal 11 2 10 4" xfId="21752" xr:uid="{00000000-0005-0000-0000-0000FA3C0000}"/>
    <cellStyle name="Normal 11 2 11" xfId="4689" xr:uid="{00000000-0005-0000-0000-0000FB3C0000}"/>
    <cellStyle name="Normal 11 2 11 2" xfId="14013" xr:uid="{00000000-0005-0000-0000-0000FC3C0000}"/>
    <cellStyle name="Normal 11 2 11 3" xfId="23336" xr:uid="{00000000-0005-0000-0000-0000FD3C0000}"/>
    <cellStyle name="Normal 11 2 2" xfId="1230" xr:uid="{00000000-0005-0000-0000-0000FE3C0000}"/>
    <cellStyle name="Normal 11 2 2 2" xfId="1231" xr:uid="{00000000-0005-0000-0000-0000FF3C0000}"/>
    <cellStyle name="Normal 11 2 2 2 2" xfId="1232" xr:uid="{00000000-0005-0000-0000-0000003D0000}"/>
    <cellStyle name="Normal 11 2 2 2 2 2" xfId="1233" xr:uid="{00000000-0005-0000-0000-0000013D0000}"/>
    <cellStyle name="Normal 11 2 2 2 2 2 2" xfId="3043" xr:uid="{00000000-0005-0000-0000-0000023D0000}"/>
    <cellStyle name="Normal 11 2 2 2 2 2 2 2" xfId="7722" xr:uid="{00000000-0005-0000-0000-0000033D0000}"/>
    <cellStyle name="Normal 11 2 2 2 2 2 2 2 2" xfId="17046" xr:uid="{00000000-0005-0000-0000-0000043D0000}"/>
    <cellStyle name="Normal 11 2 2 2 2 2 2 2 3" xfId="26369" xr:uid="{00000000-0005-0000-0000-0000053D0000}"/>
    <cellStyle name="Normal 11 2 2 2 2 2 2 3" xfId="12430" xr:uid="{00000000-0005-0000-0000-0000063D0000}"/>
    <cellStyle name="Normal 11 2 2 2 2 2 2 4" xfId="21756" xr:uid="{00000000-0005-0000-0000-0000073D0000}"/>
    <cellStyle name="Normal 11 2 2 2 2 2 3" xfId="4693" xr:uid="{00000000-0005-0000-0000-0000083D0000}"/>
    <cellStyle name="Normal 11 2 2 2 2 2 3 2" xfId="14017" xr:uid="{00000000-0005-0000-0000-0000093D0000}"/>
    <cellStyle name="Normal 11 2 2 2 2 2 3 3" xfId="23340" xr:uid="{00000000-0005-0000-0000-00000A3D0000}"/>
    <cellStyle name="Normal 11 2 2 2 2 2 4" xfId="10824" xr:uid="{00000000-0005-0000-0000-00000B3D0000}"/>
    <cellStyle name="Normal 11 2 2 2 2 2 5" xfId="20148" xr:uid="{00000000-0005-0000-0000-00000C3D0000}"/>
    <cellStyle name="Normal 11 2 2 2 2 3" xfId="2075" xr:uid="{00000000-0005-0000-0000-00000D3D0000}"/>
    <cellStyle name="Normal 11 2 2 2 2 3 2" xfId="3800" xr:uid="{00000000-0005-0000-0000-00000E3D0000}"/>
    <cellStyle name="Normal 11 2 2 2 2 3 2 2" xfId="8477" xr:uid="{00000000-0005-0000-0000-00000F3D0000}"/>
    <cellStyle name="Normal 11 2 2 2 2 3 2 2 2" xfId="17801" xr:uid="{00000000-0005-0000-0000-0000103D0000}"/>
    <cellStyle name="Normal 11 2 2 2 2 3 2 2 3" xfId="27124" xr:uid="{00000000-0005-0000-0000-0000113D0000}"/>
    <cellStyle name="Normal 11 2 2 2 2 3 2 3" xfId="13134" xr:uid="{00000000-0005-0000-0000-0000123D0000}"/>
    <cellStyle name="Normal 11 2 2 2 2 3 2 4" xfId="22458" xr:uid="{00000000-0005-0000-0000-0000133D0000}"/>
    <cellStyle name="Normal 11 2 2 2 2 3 3" xfId="5509" xr:uid="{00000000-0005-0000-0000-0000143D0000}"/>
    <cellStyle name="Normal 11 2 2 2 2 3 3 2" xfId="14833" xr:uid="{00000000-0005-0000-0000-0000153D0000}"/>
    <cellStyle name="Normal 11 2 2 2 2 3 3 3" xfId="24156" xr:uid="{00000000-0005-0000-0000-0000163D0000}"/>
    <cellStyle name="Normal 11 2 2 2 2 3 4" xfId="11579" xr:uid="{00000000-0005-0000-0000-0000173D0000}"/>
    <cellStyle name="Normal 11 2 2 2 2 3 5" xfId="20905" xr:uid="{00000000-0005-0000-0000-0000183D0000}"/>
    <cellStyle name="Normal 11 2 2 2 2 4" xfId="3042" xr:uid="{00000000-0005-0000-0000-0000193D0000}"/>
    <cellStyle name="Normal 11 2 2 2 2 4 2" xfId="7721" xr:uid="{00000000-0005-0000-0000-00001A3D0000}"/>
    <cellStyle name="Normal 11 2 2 2 2 4 2 2" xfId="17045" xr:uid="{00000000-0005-0000-0000-00001B3D0000}"/>
    <cellStyle name="Normal 11 2 2 2 2 4 2 3" xfId="26368" xr:uid="{00000000-0005-0000-0000-00001C3D0000}"/>
    <cellStyle name="Normal 11 2 2 2 2 4 3" xfId="12429" xr:uid="{00000000-0005-0000-0000-00001D3D0000}"/>
    <cellStyle name="Normal 11 2 2 2 2 4 4" xfId="21755" xr:uid="{00000000-0005-0000-0000-00001E3D0000}"/>
    <cellStyle name="Normal 11 2 2 2 2 5" xfId="4692" xr:uid="{00000000-0005-0000-0000-00001F3D0000}"/>
    <cellStyle name="Normal 11 2 2 2 2 5 2" xfId="14016" xr:uid="{00000000-0005-0000-0000-0000203D0000}"/>
    <cellStyle name="Normal 11 2 2 2 2 5 3" xfId="23339" xr:uid="{00000000-0005-0000-0000-0000213D0000}"/>
    <cellStyle name="Normal 11 2 2 2 2 6" xfId="10823" xr:uid="{00000000-0005-0000-0000-0000223D0000}"/>
    <cellStyle name="Normal 11 2 2 2 2 7" xfId="20147" xr:uid="{00000000-0005-0000-0000-0000233D0000}"/>
    <cellStyle name="Normal 11 2 2 2 3" xfId="1234" xr:uid="{00000000-0005-0000-0000-0000243D0000}"/>
    <cellStyle name="Normal 11 2 2 2 3 2" xfId="3044" xr:uid="{00000000-0005-0000-0000-0000253D0000}"/>
    <cellStyle name="Normal 11 2 2 2 3 2 2" xfId="7723" xr:uid="{00000000-0005-0000-0000-0000263D0000}"/>
    <cellStyle name="Normal 11 2 2 2 3 2 2 2" xfId="17047" xr:uid="{00000000-0005-0000-0000-0000273D0000}"/>
    <cellStyle name="Normal 11 2 2 2 3 2 2 3" xfId="26370" xr:uid="{00000000-0005-0000-0000-0000283D0000}"/>
    <cellStyle name="Normal 11 2 2 2 3 2 3" xfId="12431" xr:uid="{00000000-0005-0000-0000-0000293D0000}"/>
    <cellStyle name="Normal 11 2 2 2 3 2 4" xfId="21757" xr:uid="{00000000-0005-0000-0000-00002A3D0000}"/>
    <cellStyle name="Normal 11 2 2 2 3 3" xfId="4694" xr:uid="{00000000-0005-0000-0000-00002B3D0000}"/>
    <cellStyle name="Normal 11 2 2 2 3 3 2" xfId="14018" xr:uid="{00000000-0005-0000-0000-00002C3D0000}"/>
    <cellStyle name="Normal 11 2 2 2 3 3 3" xfId="23341" xr:uid="{00000000-0005-0000-0000-00002D3D0000}"/>
    <cellStyle name="Normal 11 2 2 2 3 4" xfId="10825" xr:uid="{00000000-0005-0000-0000-00002E3D0000}"/>
    <cellStyle name="Normal 11 2 2 2 3 5" xfId="20149" xr:uid="{00000000-0005-0000-0000-00002F3D0000}"/>
    <cellStyle name="Normal 11 2 2 2 4" xfId="2074" xr:uid="{00000000-0005-0000-0000-0000303D0000}"/>
    <cellStyle name="Normal 11 2 2 2 4 2" xfId="3799" xr:uid="{00000000-0005-0000-0000-0000313D0000}"/>
    <cellStyle name="Normal 11 2 2 2 4 2 2" xfId="8476" xr:uid="{00000000-0005-0000-0000-0000323D0000}"/>
    <cellStyle name="Normal 11 2 2 2 4 2 2 2" xfId="17800" xr:uid="{00000000-0005-0000-0000-0000333D0000}"/>
    <cellStyle name="Normal 11 2 2 2 4 2 2 3" xfId="27123" xr:uid="{00000000-0005-0000-0000-0000343D0000}"/>
    <cellStyle name="Normal 11 2 2 2 4 2 3" xfId="13133" xr:uid="{00000000-0005-0000-0000-0000353D0000}"/>
    <cellStyle name="Normal 11 2 2 2 4 2 4" xfId="22457" xr:uid="{00000000-0005-0000-0000-0000363D0000}"/>
    <cellStyle name="Normal 11 2 2 2 4 3" xfId="5508" xr:uid="{00000000-0005-0000-0000-0000373D0000}"/>
    <cellStyle name="Normal 11 2 2 2 4 3 2" xfId="14832" xr:uid="{00000000-0005-0000-0000-0000383D0000}"/>
    <cellStyle name="Normal 11 2 2 2 4 3 3" xfId="24155" xr:uid="{00000000-0005-0000-0000-0000393D0000}"/>
    <cellStyle name="Normal 11 2 2 2 4 4" xfId="11578" xr:uid="{00000000-0005-0000-0000-00003A3D0000}"/>
    <cellStyle name="Normal 11 2 2 2 4 5" xfId="20904" xr:uid="{00000000-0005-0000-0000-00003B3D0000}"/>
    <cellStyle name="Normal 11 2 2 2 5" xfId="3041" xr:uid="{00000000-0005-0000-0000-00003C3D0000}"/>
    <cellStyle name="Normal 11 2 2 2 5 2" xfId="7720" xr:uid="{00000000-0005-0000-0000-00003D3D0000}"/>
    <cellStyle name="Normal 11 2 2 2 5 2 2" xfId="17044" xr:uid="{00000000-0005-0000-0000-00003E3D0000}"/>
    <cellStyle name="Normal 11 2 2 2 5 2 3" xfId="26367" xr:uid="{00000000-0005-0000-0000-00003F3D0000}"/>
    <cellStyle name="Normal 11 2 2 2 5 3" xfId="12428" xr:uid="{00000000-0005-0000-0000-0000403D0000}"/>
    <cellStyle name="Normal 11 2 2 2 5 4" xfId="21754" xr:uid="{00000000-0005-0000-0000-0000413D0000}"/>
    <cellStyle name="Normal 11 2 2 2 6" xfId="4691" xr:uid="{00000000-0005-0000-0000-0000423D0000}"/>
    <cellStyle name="Normal 11 2 2 2 6 2" xfId="14015" xr:uid="{00000000-0005-0000-0000-0000433D0000}"/>
    <cellStyle name="Normal 11 2 2 2 6 3" xfId="23338" xr:uid="{00000000-0005-0000-0000-0000443D0000}"/>
    <cellStyle name="Normal 11 2 2 2 7" xfId="10822" xr:uid="{00000000-0005-0000-0000-0000453D0000}"/>
    <cellStyle name="Normal 11 2 2 2 8" xfId="20146" xr:uid="{00000000-0005-0000-0000-0000463D0000}"/>
    <cellStyle name="Normal 11 2 2 3" xfId="1235" xr:uid="{00000000-0005-0000-0000-0000473D0000}"/>
    <cellStyle name="Normal 11 2 2 3 2" xfId="1236" xr:uid="{00000000-0005-0000-0000-0000483D0000}"/>
    <cellStyle name="Normal 11 2 2 3 2 2" xfId="3046" xr:uid="{00000000-0005-0000-0000-0000493D0000}"/>
    <cellStyle name="Normal 11 2 2 3 2 2 2" xfId="7725" xr:uid="{00000000-0005-0000-0000-00004A3D0000}"/>
    <cellStyle name="Normal 11 2 2 3 2 2 2 2" xfId="17049" xr:uid="{00000000-0005-0000-0000-00004B3D0000}"/>
    <cellStyle name="Normal 11 2 2 3 2 2 2 3" xfId="26372" xr:uid="{00000000-0005-0000-0000-00004C3D0000}"/>
    <cellStyle name="Normal 11 2 2 3 2 2 3" xfId="12433" xr:uid="{00000000-0005-0000-0000-00004D3D0000}"/>
    <cellStyle name="Normal 11 2 2 3 2 2 4" xfId="21759" xr:uid="{00000000-0005-0000-0000-00004E3D0000}"/>
    <cellStyle name="Normal 11 2 2 3 2 3" xfId="4696" xr:uid="{00000000-0005-0000-0000-00004F3D0000}"/>
    <cellStyle name="Normal 11 2 2 3 2 3 2" xfId="14020" xr:uid="{00000000-0005-0000-0000-0000503D0000}"/>
    <cellStyle name="Normal 11 2 2 3 2 3 3" xfId="23343" xr:uid="{00000000-0005-0000-0000-0000513D0000}"/>
    <cellStyle name="Normal 11 2 2 3 2 4" xfId="10827" xr:uid="{00000000-0005-0000-0000-0000523D0000}"/>
    <cellStyle name="Normal 11 2 2 3 2 5" xfId="20151" xr:uid="{00000000-0005-0000-0000-0000533D0000}"/>
    <cellStyle name="Normal 11 2 2 3 3" xfId="2076" xr:uid="{00000000-0005-0000-0000-0000543D0000}"/>
    <cellStyle name="Normal 11 2 2 3 3 2" xfId="3801" xr:uid="{00000000-0005-0000-0000-0000553D0000}"/>
    <cellStyle name="Normal 11 2 2 3 3 2 2" xfId="8478" xr:uid="{00000000-0005-0000-0000-0000563D0000}"/>
    <cellStyle name="Normal 11 2 2 3 3 2 2 2" xfId="17802" xr:uid="{00000000-0005-0000-0000-0000573D0000}"/>
    <cellStyle name="Normal 11 2 2 3 3 2 2 3" xfId="27125" xr:uid="{00000000-0005-0000-0000-0000583D0000}"/>
    <cellStyle name="Normal 11 2 2 3 3 2 3" xfId="13135" xr:uid="{00000000-0005-0000-0000-0000593D0000}"/>
    <cellStyle name="Normal 11 2 2 3 3 2 4" xfId="22459" xr:uid="{00000000-0005-0000-0000-00005A3D0000}"/>
    <cellStyle name="Normal 11 2 2 3 3 3" xfId="5510" xr:uid="{00000000-0005-0000-0000-00005B3D0000}"/>
    <cellStyle name="Normal 11 2 2 3 3 3 2" xfId="14834" xr:uid="{00000000-0005-0000-0000-00005C3D0000}"/>
    <cellStyle name="Normal 11 2 2 3 3 3 3" xfId="24157" xr:uid="{00000000-0005-0000-0000-00005D3D0000}"/>
    <cellStyle name="Normal 11 2 2 3 3 4" xfId="11580" xr:uid="{00000000-0005-0000-0000-00005E3D0000}"/>
    <cellStyle name="Normal 11 2 2 3 3 5" xfId="20906" xr:uid="{00000000-0005-0000-0000-00005F3D0000}"/>
    <cellStyle name="Normal 11 2 2 3 4" xfId="3045" xr:uid="{00000000-0005-0000-0000-0000603D0000}"/>
    <cellStyle name="Normal 11 2 2 3 4 2" xfId="7724" xr:uid="{00000000-0005-0000-0000-0000613D0000}"/>
    <cellStyle name="Normal 11 2 2 3 4 2 2" xfId="17048" xr:uid="{00000000-0005-0000-0000-0000623D0000}"/>
    <cellStyle name="Normal 11 2 2 3 4 2 3" xfId="26371" xr:uid="{00000000-0005-0000-0000-0000633D0000}"/>
    <cellStyle name="Normal 11 2 2 3 4 3" xfId="12432" xr:uid="{00000000-0005-0000-0000-0000643D0000}"/>
    <cellStyle name="Normal 11 2 2 3 4 4" xfId="21758" xr:uid="{00000000-0005-0000-0000-0000653D0000}"/>
    <cellStyle name="Normal 11 2 2 3 5" xfId="4695" xr:uid="{00000000-0005-0000-0000-0000663D0000}"/>
    <cellStyle name="Normal 11 2 2 3 5 2" xfId="14019" xr:uid="{00000000-0005-0000-0000-0000673D0000}"/>
    <cellStyle name="Normal 11 2 2 3 5 3" xfId="23342" xr:uid="{00000000-0005-0000-0000-0000683D0000}"/>
    <cellStyle name="Normal 11 2 2 3 6" xfId="10826" xr:uid="{00000000-0005-0000-0000-0000693D0000}"/>
    <cellStyle name="Normal 11 2 2 3 7" xfId="20150" xr:uid="{00000000-0005-0000-0000-00006A3D0000}"/>
    <cellStyle name="Normal 11 2 2 4" xfId="1237" xr:uid="{00000000-0005-0000-0000-00006B3D0000}"/>
    <cellStyle name="Normal 11 2 2 4 2" xfId="3047" xr:uid="{00000000-0005-0000-0000-00006C3D0000}"/>
    <cellStyle name="Normal 11 2 2 4 2 2" xfId="7726" xr:uid="{00000000-0005-0000-0000-00006D3D0000}"/>
    <cellStyle name="Normal 11 2 2 4 2 2 2" xfId="17050" xr:uid="{00000000-0005-0000-0000-00006E3D0000}"/>
    <cellStyle name="Normal 11 2 2 4 2 2 3" xfId="26373" xr:uid="{00000000-0005-0000-0000-00006F3D0000}"/>
    <cellStyle name="Normal 11 2 2 4 2 3" xfId="12434" xr:uid="{00000000-0005-0000-0000-0000703D0000}"/>
    <cellStyle name="Normal 11 2 2 4 2 4" xfId="21760" xr:uid="{00000000-0005-0000-0000-0000713D0000}"/>
    <cellStyle name="Normal 11 2 2 4 3" xfId="4697" xr:uid="{00000000-0005-0000-0000-0000723D0000}"/>
    <cellStyle name="Normal 11 2 2 4 3 2" xfId="14021" xr:uid="{00000000-0005-0000-0000-0000733D0000}"/>
    <cellStyle name="Normal 11 2 2 4 3 3" xfId="23344" xr:uid="{00000000-0005-0000-0000-0000743D0000}"/>
    <cellStyle name="Normal 11 2 2 4 4" xfId="10828" xr:uid="{00000000-0005-0000-0000-0000753D0000}"/>
    <cellStyle name="Normal 11 2 2 4 5" xfId="20152" xr:uid="{00000000-0005-0000-0000-0000763D0000}"/>
    <cellStyle name="Normal 11 2 2 5" xfId="2073" xr:uid="{00000000-0005-0000-0000-0000773D0000}"/>
    <cellStyle name="Normal 11 2 2 5 2" xfId="3798" xr:uid="{00000000-0005-0000-0000-0000783D0000}"/>
    <cellStyle name="Normal 11 2 2 5 2 2" xfId="8475" xr:uid="{00000000-0005-0000-0000-0000793D0000}"/>
    <cellStyle name="Normal 11 2 2 5 2 2 2" xfId="17799" xr:uid="{00000000-0005-0000-0000-00007A3D0000}"/>
    <cellStyle name="Normal 11 2 2 5 2 2 3" xfId="27122" xr:uid="{00000000-0005-0000-0000-00007B3D0000}"/>
    <cellStyle name="Normal 11 2 2 5 2 3" xfId="13132" xr:uid="{00000000-0005-0000-0000-00007C3D0000}"/>
    <cellStyle name="Normal 11 2 2 5 2 4" xfId="22456" xr:uid="{00000000-0005-0000-0000-00007D3D0000}"/>
    <cellStyle name="Normal 11 2 2 5 3" xfId="5507" xr:uid="{00000000-0005-0000-0000-00007E3D0000}"/>
    <cellStyle name="Normal 11 2 2 5 3 2" xfId="14831" xr:uid="{00000000-0005-0000-0000-00007F3D0000}"/>
    <cellStyle name="Normal 11 2 2 5 3 3" xfId="24154" xr:uid="{00000000-0005-0000-0000-0000803D0000}"/>
    <cellStyle name="Normal 11 2 2 5 4" xfId="11577" xr:uid="{00000000-0005-0000-0000-0000813D0000}"/>
    <cellStyle name="Normal 11 2 2 5 5" xfId="20903" xr:uid="{00000000-0005-0000-0000-0000823D0000}"/>
    <cellStyle name="Normal 11 2 2 6" xfId="3040" xr:uid="{00000000-0005-0000-0000-0000833D0000}"/>
    <cellStyle name="Normal 11 2 2 6 2" xfId="7719" xr:uid="{00000000-0005-0000-0000-0000843D0000}"/>
    <cellStyle name="Normal 11 2 2 6 2 2" xfId="17043" xr:uid="{00000000-0005-0000-0000-0000853D0000}"/>
    <cellStyle name="Normal 11 2 2 6 2 3" xfId="26366" xr:uid="{00000000-0005-0000-0000-0000863D0000}"/>
    <cellStyle name="Normal 11 2 2 6 3" xfId="12427" xr:uid="{00000000-0005-0000-0000-0000873D0000}"/>
    <cellStyle name="Normal 11 2 2 6 4" xfId="21753" xr:uid="{00000000-0005-0000-0000-0000883D0000}"/>
    <cellStyle name="Normal 11 2 2 7" xfId="4690" xr:uid="{00000000-0005-0000-0000-0000893D0000}"/>
    <cellStyle name="Normal 11 2 2 7 2" xfId="14014" xr:uid="{00000000-0005-0000-0000-00008A3D0000}"/>
    <cellStyle name="Normal 11 2 2 7 3" xfId="23337" xr:uid="{00000000-0005-0000-0000-00008B3D0000}"/>
    <cellStyle name="Normal 11 2 2 8" xfId="10821" xr:uid="{00000000-0005-0000-0000-00008C3D0000}"/>
    <cellStyle name="Normal 11 2 2 9" xfId="20145" xr:uid="{00000000-0005-0000-0000-00008D3D0000}"/>
    <cellStyle name="Normal 11 2 3" xfId="1238" xr:uid="{00000000-0005-0000-0000-00008E3D0000}"/>
    <cellStyle name="Normal 11 2 3 2" xfId="1239" xr:uid="{00000000-0005-0000-0000-00008F3D0000}"/>
    <cellStyle name="Normal 11 2 3 2 2" xfId="2079" xr:uid="{00000000-0005-0000-0000-0000903D0000}"/>
    <cellStyle name="Normal 11 2 3 2 2 2" xfId="3804" xr:uid="{00000000-0005-0000-0000-0000913D0000}"/>
    <cellStyle name="Normal 11 2 3 2 2 2 2" xfId="8481" xr:uid="{00000000-0005-0000-0000-0000923D0000}"/>
    <cellStyle name="Normal 11 2 3 2 2 2 2 2" xfId="17805" xr:uid="{00000000-0005-0000-0000-0000933D0000}"/>
    <cellStyle name="Normal 11 2 3 2 2 2 2 3" xfId="27128" xr:uid="{00000000-0005-0000-0000-0000943D0000}"/>
    <cellStyle name="Normal 11 2 3 2 2 2 3" xfId="13138" xr:uid="{00000000-0005-0000-0000-0000953D0000}"/>
    <cellStyle name="Normal 11 2 3 2 2 2 4" xfId="22462" xr:uid="{00000000-0005-0000-0000-0000963D0000}"/>
    <cellStyle name="Normal 11 2 3 2 2 3" xfId="5513" xr:uid="{00000000-0005-0000-0000-0000973D0000}"/>
    <cellStyle name="Normal 11 2 3 2 2 3 2" xfId="14837" xr:uid="{00000000-0005-0000-0000-0000983D0000}"/>
    <cellStyle name="Normal 11 2 3 2 2 3 3" xfId="24160" xr:uid="{00000000-0005-0000-0000-0000993D0000}"/>
    <cellStyle name="Normal 11 2 3 2 2 4" xfId="11583" xr:uid="{00000000-0005-0000-0000-00009A3D0000}"/>
    <cellStyle name="Normal 11 2 3 2 2 5" xfId="20909" xr:uid="{00000000-0005-0000-0000-00009B3D0000}"/>
    <cellStyle name="Normal 11 2 3 2 3" xfId="2078" xr:uid="{00000000-0005-0000-0000-00009C3D0000}"/>
    <cellStyle name="Normal 11 2 3 2 3 2" xfId="3803" xr:uid="{00000000-0005-0000-0000-00009D3D0000}"/>
    <cellStyle name="Normal 11 2 3 2 3 2 2" xfId="8480" xr:uid="{00000000-0005-0000-0000-00009E3D0000}"/>
    <cellStyle name="Normal 11 2 3 2 3 2 2 2" xfId="17804" xr:uid="{00000000-0005-0000-0000-00009F3D0000}"/>
    <cellStyle name="Normal 11 2 3 2 3 2 2 3" xfId="27127" xr:uid="{00000000-0005-0000-0000-0000A03D0000}"/>
    <cellStyle name="Normal 11 2 3 2 3 2 3" xfId="13137" xr:uid="{00000000-0005-0000-0000-0000A13D0000}"/>
    <cellStyle name="Normal 11 2 3 2 3 2 4" xfId="22461" xr:uid="{00000000-0005-0000-0000-0000A23D0000}"/>
    <cellStyle name="Normal 11 2 3 2 3 3" xfId="5512" xr:uid="{00000000-0005-0000-0000-0000A33D0000}"/>
    <cellStyle name="Normal 11 2 3 2 3 3 2" xfId="14836" xr:uid="{00000000-0005-0000-0000-0000A43D0000}"/>
    <cellStyle name="Normal 11 2 3 2 3 3 3" xfId="24159" xr:uid="{00000000-0005-0000-0000-0000A53D0000}"/>
    <cellStyle name="Normal 11 2 3 2 3 4" xfId="11582" xr:uid="{00000000-0005-0000-0000-0000A63D0000}"/>
    <cellStyle name="Normal 11 2 3 2 3 5" xfId="20908" xr:uid="{00000000-0005-0000-0000-0000A73D0000}"/>
    <cellStyle name="Normal 11 2 3 2 4" xfId="3049" xr:uid="{00000000-0005-0000-0000-0000A83D0000}"/>
    <cellStyle name="Normal 11 2 3 2 4 2" xfId="7728" xr:uid="{00000000-0005-0000-0000-0000A93D0000}"/>
    <cellStyle name="Normal 11 2 3 2 4 2 2" xfId="17052" xr:uid="{00000000-0005-0000-0000-0000AA3D0000}"/>
    <cellStyle name="Normal 11 2 3 2 4 2 3" xfId="26375" xr:uid="{00000000-0005-0000-0000-0000AB3D0000}"/>
    <cellStyle name="Normal 11 2 3 2 4 3" xfId="12436" xr:uid="{00000000-0005-0000-0000-0000AC3D0000}"/>
    <cellStyle name="Normal 11 2 3 2 4 4" xfId="21762" xr:uid="{00000000-0005-0000-0000-0000AD3D0000}"/>
    <cellStyle name="Normal 11 2 3 2 5" xfId="4699" xr:uid="{00000000-0005-0000-0000-0000AE3D0000}"/>
    <cellStyle name="Normal 11 2 3 2 5 2" xfId="14023" xr:uid="{00000000-0005-0000-0000-0000AF3D0000}"/>
    <cellStyle name="Normal 11 2 3 2 5 3" xfId="23346" xr:uid="{00000000-0005-0000-0000-0000B03D0000}"/>
    <cellStyle name="Normal 11 2 3 2 6" xfId="10830" xr:uid="{00000000-0005-0000-0000-0000B13D0000}"/>
    <cellStyle name="Normal 11 2 3 2 7" xfId="20154" xr:uid="{00000000-0005-0000-0000-0000B23D0000}"/>
    <cellStyle name="Normal 11 2 3 3" xfId="2080" xr:uid="{00000000-0005-0000-0000-0000B33D0000}"/>
    <cellStyle name="Normal 11 2 3 3 2" xfId="3805" xr:uid="{00000000-0005-0000-0000-0000B43D0000}"/>
    <cellStyle name="Normal 11 2 3 3 2 2" xfId="8482" xr:uid="{00000000-0005-0000-0000-0000B53D0000}"/>
    <cellStyle name="Normal 11 2 3 3 2 2 2" xfId="17806" xr:uid="{00000000-0005-0000-0000-0000B63D0000}"/>
    <cellStyle name="Normal 11 2 3 3 2 2 3" xfId="27129" xr:uid="{00000000-0005-0000-0000-0000B73D0000}"/>
    <cellStyle name="Normal 11 2 3 3 2 3" xfId="13139" xr:uid="{00000000-0005-0000-0000-0000B83D0000}"/>
    <cellStyle name="Normal 11 2 3 3 2 4" xfId="22463" xr:uid="{00000000-0005-0000-0000-0000B93D0000}"/>
    <cellStyle name="Normal 11 2 3 3 3" xfId="5514" xr:uid="{00000000-0005-0000-0000-0000BA3D0000}"/>
    <cellStyle name="Normal 11 2 3 3 3 2" xfId="14838" xr:uid="{00000000-0005-0000-0000-0000BB3D0000}"/>
    <cellStyle name="Normal 11 2 3 3 3 3" xfId="24161" xr:uid="{00000000-0005-0000-0000-0000BC3D0000}"/>
    <cellStyle name="Normal 11 2 3 3 4" xfId="11584" xr:uid="{00000000-0005-0000-0000-0000BD3D0000}"/>
    <cellStyle name="Normal 11 2 3 3 5" xfId="20910" xr:uid="{00000000-0005-0000-0000-0000BE3D0000}"/>
    <cellStyle name="Normal 11 2 3 4" xfId="2077" xr:uid="{00000000-0005-0000-0000-0000BF3D0000}"/>
    <cellStyle name="Normal 11 2 3 4 2" xfId="3802" xr:uid="{00000000-0005-0000-0000-0000C03D0000}"/>
    <cellStyle name="Normal 11 2 3 4 2 2" xfId="8479" xr:uid="{00000000-0005-0000-0000-0000C13D0000}"/>
    <cellStyle name="Normal 11 2 3 4 2 2 2" xfId="17803" xr:uid="{00000000-0005-0000-0000-0000C23D0000}"/>
    <cellStyle name="Normal 11 2 3 4 2 2 3" xfId="27126" xr:uid="{00000000-0005-0000-0000-0000C33D0000}"/>
    <cellStyle name="Normal 11 2 3 4 2 3" xfId="13136" xr:uid="{00000000-0005-0000-0000-0000C43D0000}"/>
    <cellStyle name="Normal 11 2 3 4 2 4" xfId="22460" xr:uid="{00000000-0005-0000-0000-0000C53D0000}"/>
    <cellStyle name="Normal 11 2 3 4 3" xfId="5511" xr:uid="{00000000-0005-0000-0000-0000C63D0000}"/>
    <cellStyle name="Normal 11 2 3 4 3 2" xfId="14835" xr:uid="{00000000-0005-0000-0000-0000C73D0000}"/>
    <cellStyle name="Normal 11 2 3 4 3 3" xfId="24158" xr:uid="{00000000-0005-0000-0000-0000C83D0000}"/>
    <cellStyle name="Normal 11 2 3 4 4" xfId="11581" xr:uid="{00000000-0005-0000-0000-0000C93D0000}"/>
    <cellStyle name="Normal 11 2 3 4 5" xfId="20907" xr:uid="{00000000-0005-0000-0000-0000CA3D0000}"/>
    <cellStyle name="Normal 11 2 3 5" xfId="3048" xr:uid="{00000000-0005-0000-0000-0000CB3D0000}"/>
    <cellStyle name="Normal 11 2 3 5 2" xfId="7727" xr:uid="{00000000-0005-0000-0000-0000CC3D0000}"/>
    <cellStyle name="Normal 11 2 3 5 2 2" xfId="17051" xr:uid="{00000000-0005-0000-0000-0000CD3D0000}"/>
    <cellStyle name="Normal 11 2 3 5 2 3" xfId="26374" xr:uid="{00000000-0005-0000-0000-0000CE3D0000}"/>
    <cellStyle name="Normal 11 2 3 5 3" xfId="12435" xr:uid="{00000000-0005-0000-0000-0000CF3D0000}"/>
    <cellStyle name="Normal 11 2 3 5 4" xfId="21761" xr:uid="{00000000-0005-0000-0000-0000D03D0000}"/>
    <cellStyle name="Normal 11 2 3 6" xfId="4698" xr:uid="{00000000-0005-0000-0000-0000D13D0000}"/>
    <cellStyle name="Normal 11 2 3 6 2" xfId="14022" xr:uid="{00000000-0005-0000-0000-0000D23D0000}"/>
    <cellStyle name="Normal 11 2 3 6 3" xfId="23345" xr:uid="{00000000-0005-0000-0000-0000D33D0000}"/>
    <cellStyle name="Normal 11 2 3 7" xfId="10829" xr:uid="{00000000-0005-0000-0000-0000D43D0000}"/>
    <cellStyle name="Normal 11 2 3 8" xfId="20153" xr:uid="{00000000-0005-0000-0000-0000D53D0000}"/>
    <cellStyle name="Normal 11 2 4" xfId="1240" xr:uid="{00000000-0005-0000-0000-0000D63D0000}"/>
    <cellStyle name="Normal 11 2 4 2" xfId="2082" xr:uid="{00000000-0005-0000-0000-0000D73D0000}"/>
    <cellStyle name="Normal 11 2 4 2 2" xfId="3807" xr:uid="{00000000-0005-0000-0000-0000D83D0000}"/>
    <cellStyle name="Normal 11 2 4 2 2 2" xfId="8484" xr:uid="{00000000-0005-0000-0000-0000D93D0000}"/>
    <cellStyle name="Normal 11 2 4 2 2 2 2" xfId="17808" xr:uid="{00000000-0005-0000-0000-0000DA3D0000}"/>
    <cellStyle name="Normal 11 2 4 2 2 2 3" xfId="27131" xr:uid="{00000000-0005-0000-0000-0000DB3D0000}"/>
    <cellStyle name="Normal 11 2 4 2 2 3" xfId="13141" xr:uid="{00000000-0005-0000-0000-0000DC3D0000}"/>
    <cellStyle name="Normal 11 2 4 2 2 4" xfId="22465" xr:uid="{00000000-0005-0000-0000-0000DD3D0000}"/>
    <cellStyle name="Normal 11 2 4 2 3" xfId="5516" xr:uid="{00000000-0005-0000-0000-0000DE3D0000}"/>
    <cellStyle name="Normal 11 2 4 2 3 2" xfId="14840" xr:uid="{00000000-0005-0000-0000-0000DF3D0000}"/>
    <cellStyle name="Normal 11 2 4 2 3 3" xfId="24163" xr:uid="{00000000-0005-0000-0000-0000E03D0000}"/>
    <cellStyle name="Normal 11 2 4 2 4" xfId="11586" xr:uid="{00000000-0005-0000-0000-0000E13D0000}"/>
    <cellStyle name="Normal 11 2 4 2 5" xfId="20912" xr:uid="{00000000-0005-0000-0000-0000E23D0000}"/>
    <cellStyle name="Normal 11 2 4 3" xfId="2081" xr:uid="{00000000-0005-0000-0000-0000E33D0000}"/>
    <cellStyle name="Normal 11 2 4 3 2" xfId="3806" xr:uid="{00000000-0005-0000-0000-0000E43D0000}"/>
    <cellStyle name="Normal 11 2 4 3 2 2" xfId="8483" xr:uid="{00000000-0005-0000-0000-0000E53D0000}"/>
    <cellStyle name="Normal 11 2 4 3 2 2 2" xfId="17807" xr:uid="{00000000-0005-0000-0000-0000E63D0000}"/>
    <cellStyle name="Normal 11 2 4 3 2 2 3" xfId="27130" xr:uid="{00000000-0005-0000-0000-0000E73D0000}"/>
    <cellStyle name="Normal 11 2 4 3 2 3" xfId="13140" xr:uid="{00000000-0005-0000-0000-0000E83D0000}"/>
    <cellStyle name="Normal 11 2 4 3 2 4" xfId="22464" xr:uid="{00000000-0005-0000-0000-0000E93D0000}"/>
    <cellStyle name="Normal 11 2 4 3 3" xfId="5515" xr:uid="{00000000-0005-0000-0000-0000EA3D0000}"/>
    <cellStyle name="Normal 11 2 4 3 3 2" xfId="14839" xr:uid="{00000000-0005-0000-0000-0000EB3D0000}"/>
    <cellStyle name="Normal 11 2 4 3 3 3" xfId="24162" xr:uid="{00000000-0005-0000-0000-0000EC3D0000}"/>
    <cellStyle name="Normal 11 2 4 3 4" xfId="11585" xr:uid="{00000000-0005-0000-0000-0000ED3D0000}"/>
    <cellStyle name="Normal 11 2 4 3 5" xfId="20911" xr:uid="{00000000-0005-0000-0000-0000EE3D0000}"/>
    <cellStyle name="Normal 11 2 4 4" xfId="3050" xr:uid="{00000000-0005-0000-0000-0000EF3D0000}"/>
    <cellStyle name="Normal 11 2 4 4 2" xfId="7729" xr:uid="{00000000-0005-0000-0000-0000F03D0000}"/>
    <cellStyle name="Normal 11 2 4 4 2 2" xfId="17053" xr:uid="{00000000-0005-0000-0000-0000F13D0000}"/>
    <cellStyle name="Normal 11 2 4 4 2 3" xfId="26376" xr:uid="{00000000-0005-0000-0000-0000F23D0000}"/>
    <cellStyle name="Normal 11 2 4 4 3" xfId="12437" xr:uid="{00000000-0005-0000-0000-0000F33D0000}"/>
    <cellStyle name="Normal 11 2 4 4 4" xfId="21763" xr:uid="{00000000-0005-0000-0000-0000F43D0000}"/>
    <cellStyle name="Normal 11 2 4 5" xfId="4700" xr:uid="{00000000-0005-0000-0000-0000F53D0000}"/>
    <cellStyle name="Normal 11 2 4 5 2" xfId="14024" xr:uid="{00000000-0005-0000-0000-0000F63D0000}"/>
    <cellStyle name="Normal 11 2 4 5 3" xfId="23347" xr:uid="{00000000-0005-0000-0000-0000F73D0000}"/>
    <cellStyle name="Normal 11 2 4 6" xfId="10831" xr:uid="{00000000-0005-0000-0000-0000F83D0000}"/>
    <cellStyle name="Normal 11 2 4 7" xfId="20155" xr:uid="{00000000-0005-0000-0000-0000F93D0000}"/>
    <cellStyle name="Normal 11 2 5" xfId="2083" xr:uid="{00000000-0005-0000-0000-0000FA3D0000}"/>
    <cellStyle name="Normal 11 2 5 2" xfId="3808" xr:uid="{00000000-0005-0000-0000-0000FB3D0000}"/>
    <cellStyle name="Normal 11 2 5 2 2" xfId="8485" xr:uid="{00000000-0005-0000-0000-0000FC3D0000}"/>
    <cellStyle name="Normal 11 2 5 2 2 2" xfId="17809" xr:uid="{00000000-0005-0000-0000-0000FD3D0000}"/>
    <cellStyle name="Normal 11 2 5 2 2 3" xfId="27132" xr:uid="{00000000-0005-0000-0000-0000FE3D0000}"/>
    <cellStyle name="Normal 11 2 5 2 3" xfId="13142" xr:uid="{00000000-0005-0000-0000-0000FF3D0000}"/>
    <cellStyle name="Normal 11 2 5 2 4" xfId="22466" xr:uid="{00000000-0005-0000-0000-0000003E0000}"/>
    <cellStyle name="Normal 11 2 5 3" xfId="5517" xr:uid="{00000000-0005-0000-0000-0000013E0000}"/>
    <cellStyle name="Normal 11 2 5 3 2" xfId="14841" xr:uid="{00000000-0005-0000-0000-0000023E0000}"/>
    <cellStyle name="Normal 11 2 5 3 3" xfId="24164" xr:uid="{00000000-0005-0000-0000-0000033E0000}"/>
    <cellStyle name="Normal 11 2 5 4" xfId="11587" xr:uid="{00000000-0005-0000-0000-0000043E0000}"/>
    <cellStyle name="Normal 11 2 5 5" xfId="20913" xr:uid="{00000000-0005-0000-0000-0000053E0000}"/>
    <cellStyle name="Normal 11 2 6" xfId="2084" xr:uid="{00000000-0005-0000-0000-0000063E0000}"/>
    <cellStyle name="Normal 11 2 6 2" xfId="3809" xr:uid="{00000000-0005-0000-0000-0000073E0000}"/>
    <cellStyle name="Normal 11 2 6 2 2" xfId="8486" xr:uid="{00000000-0005-0000-0000-0000083E0000}"/>
    <cellStyle name="Normal 11 2 6 2 2 2" xfId="17810" xr:uid="{00000000-0005-0000-0000-0000093E0000}"/>
    <cellStyle name="Normal 11 2 6 2 2 3" xfId="27133" xr:uid="{00000000-0005-0000-0000-00000A3E0000}"/>
    <cellStyle name="Normal 11 2 6 2 3" xfId="13143" xr:uid="{00000000-0005-0000-0000-00000B3E0000}"/>
    <cellStyle name="Normal 11 2 6 2 4" xfId="22467" xr:uid="{00000000-0005-0000-0000-00000C3E0000}"/>
    <cellStyle name="Normal 11 2 6 3" xfId="5518" xr:uid="{00000000-0005-0000-0000-00000D3E0000}"/>
    <cellStyle name="Normal 11 2 6 3 2" xfId="14842" xr:uid="{00000000-0005-0000-0000-00000E3E0000}"/>
    <cellStyle name="Normal 11 2 6 3 3" xfId="24165" xr:uid="{00000000-0005-0000-0000-00000F3E0000}"/>
    <cellStyle name="Normal 11 2 6 4" xfId="11588" xr:uid="{00000000-0005-0000-0000-0000103E0000}"/>
    <cellStyle name="Normal 11 2 6 5" xfId="20914" xr:uid="{00000000-0005-0000-0000-0000113E0000}"/>
    <cellStyle name="Normal 11 2 7" xfId="2085" xr:uid="{00000000-0005-0000-0000-0000123E0000}"/>
    <cellStyle name="Normal 11 2 7 2" xfId="3810" xr:uid="{00000000-0005-0000-0000-0000133E0000}"/>
    <cellStyle name="Normal 11 2 7 2 2" xfId="8487" xr:uid="{00000000-0005-0000-0000-0000143E0000}"/>
    <cellStyle name="Normal 11 2 7 2 2 2" xfId="17811" xr:uid="{00000000-0005-0000-0000-0000153E0000}"/>
    <cellStyle name="Normal 11 2 7 2 2 3" xfId="27134" xr:uid="{00000000-0005-0000-0000-0000163E0000}"/>
    <cellStyle name="Normal 11 2 7 2 3" xfId="13144" xr:uid="{00000000-0005-0000-0000-0000173E0000}"/>
    <cellStyle name="Normal 11 2 7 2 4" xfId="22468" xr:uid="{00000000-0005-0000-0000-0000183E0000}"/>
    <cellStyle name="Normal 11 2 7 3" xfId="5519" xr:uid="{00000000-0005-0000-0000-0000193E0000}"/>
    <cellStyle name="Normal 11 2 7 3 2" xfId="14843" xr:uid="{00000000-0005-0000-0000-00001A3E0000}"/>
    <cellStyle name="Normal 11 2 7 3 3" xfId="24166" xr:uid="{00000000-0005-0000-0000-00001B3E0000}"/>
    <cellStyle name="Normal 11 2 7 4" xfId="11589" xr:uid="{00000000-0005-0000-0000-00001C3E0000}"/>
    <cellStyle name="Normal 11 2 7 5" xfId="20915" xr:uid="{00000000-0005-0000-0000-00001D3E0000}"/>
    <cellStyle name="Normal 11 2 8" xfId="2072" xr:uid="{00000000-0005-0000-0000-00001E3E0000}"/>
    <cellStyle name="Normal 11 2 8 2" xfId="3797" xr:uid="{00000000-0005-0000-0000-00001F3E0000}"/>
    <cellStyle name="Normal 11 2 8 2 2" xfId="8474" xr:uid="{00000000-0005-0000-0000-0000203E0000}"/>
    <cellStyle name="Normal 11 2 8 2 2 2" xfId="17798" xr:uid="{00000000-0005-0000-0000-0000213E0000}"/>
    <cellStyle name="Normal 11 2 8 2 2 3" xfId="27121" xr:uid="{00000000-0005-0000-0000-0000223E0000}"/>
    <cellStyle name="Normal 11 2 8 2 3" xfId="13131" xr:uid="{00000000-0005-0000-0000-0000233E0000}"/>
    <cellStyle name="Normal 11 2 8 2 4" xfId="22455" xr:uid="{00000000-0005-0000-0000-0000243E0000}"/>
    <cellStyle name="Normal 11 2 8 3" xfId="5506" xr:uid="{00000000-0005-0000-0000-0000253E0000}"/>
    <cellStyle name="Normal 11 2 8 3 2" xfId="14830" xr:uid="{00000000-0005-0000-0000-0000263E0000}"/>
    <cellStyle name="Normal 11 2 8 3 3" xfId="24153" xr:uid="{00000000-0005-0000-0000-0000273E0000}"/>
    <cellStyle name="Normal 11 2 8 4" xfId="11576" xr:uid="{00000000-0005-0000-0000-0000283E0000}"/>
    <cellStyle name="Normal 11 2 8 5" xfId="20902" xr:uid="{00000000-0005-0000-0000-0000293E0000}"/>
    <cellStyle name="Normal 11 2 9" xfId="1229" xr:uid="{00000000-0005-0000-0000-00002A3E0000}"/>
    <cellStyle name="Normal 11 2 9 2" xfId="6671" xr:uid="{00000000-0005-0000-0000-00002B3E0000}"/>
    <cellStyle name="Normal 11 2 9 2 2" xfId="15995" xr:uid="{00000000-0005-0000-0000-00002C3E0000}"/>
    <cellStyle name="Normal 11 2 9 2 3" xfId="25318" xr:uid="{00000000-0005-0000-0000-00002D3E0000}"/>
    <cellStyle name="Normal 11 2 9 3" xfId="10820" xr:uid="{00000000-0005-0000-0000-00002E3E0000}"/>
    <cellStyle name="Normal 11 2 9 4" xfId="20144" xr:uid="{00000000-0005-0000-0000-00002F3E0000}"/>
    <cellStyle name="Normal 11 3" xfId="1241" xr:uid="{00000000-0005-0000-0000-0000303E0000}"/>
    <cellStyle name="Normal 11 3 2" xfId="1242" xr:uid="{00000000-0005-0000-0000-0000313E0000}"/>
    <cellStyle name="Normal 11 3 2 2" xfId="1243" xr:uid="{00000000-0005-0000-0000-0000323E0000}"/>
    <cellStyle name="Normal 11 3 2 2 2" xfId="2088" xr:uid="{00000000-0005-0000-0000-0000333E0000}"/>
    <cellStyle name="Normal 11 3 2 2 2 2" xfId="3813" xr:uid="{00000000-0005-0000-0000-0000343E0000}"/>
    <cellStyle name="Normal 11 3 2 2 2 2 2" xfId="8490" xr:uid="{00000000-0005-0000-0000-0000353E0000}"/>
    <cellStyle name="Normal 11 3 2 2 2 2 2 2" xfId="17814" xr:uid="{00000000-0005-0000-0000-0000363E0000}"/>
    <cellStyle name="Normal 11 3 2 2 2 2 2 3" xfId="27137" xr:uid="{00000000-0005-0000-0000-0000373E0000}"/>
    <cellStyle name="Normal 11 3 2 2 2 2 3" xfId="13147" xr:uid="{00000000-0005-0000-0000-0000383E0000}"/>
    <cellStyle name="Normal 11 3 2 2 2 2 4" xfId="22471" xr:uid="{00000000-0005-0000-0000-0000393E0000}"/>
    <cellStyle name="Normal 11 3 2 2 2 3" xfId="5522" xr:uid="{00000000-0005-0000-0000-00003A3E0000}"/>
    <cellStyle name="Normal 11 3 2 2 2 3 2" xfId="14846" xr:uid="{00000000-0005-0000-0000-00003B3E0000}"/>
    <cellStyle name="Normal 11 3 2 2 2 3 3" xfId="24169" xr:uid="{00000000-0005-0000-0000-00003C3E0000}"/>
    <cellStyle name="Normal 11 3 2 2 2 4" xfId="11592" xr:uid="{00000000-0005-0000-0000-00003D3E0000}"/>
    <cellStyle name="Normal 11 3 2 2 2 5" xfId="20918" xr:uid="{00000000-0005-0000-0000-00003E3E0000}"/>
    <cellStyle name="Normal 11 3 2 2 3" xfId="3053" xr:uid="{00000000-0005-0000-0000-00003F3E0000}"/>
    <cellStyle name="Normal 11 3 2 2 3 2" xfId="7732" xr:uid="{00000000-0005-0000-0000-0000403E0000}"/>
    <cellStyle name="Normal 11 3 2 2 3 2 2" xfId="17056" xr:uid="{00000000-0005-0000-0000-0000413E0000}"/>
    <cellStyle name="Normal 11 3 2 2 3 2 3" xfId="26379" xr:uid="{00000000-0005-0000-0000-0000423E0000}"/>
    <cellStyle name="Normal 11 3 2 2 3 3" xfId="12440" xr:uid="{00000000-0005-0000-0000-0000433E0000}"/>
    <cellStyle name="Normal 11 3 2 2 3 4" xfId="21766" xr:uid="{00000000-0005-0000-0000-0000443E0000}"/>
    <cellStyle name="Normal 11 3 2 2 4" xfId="4703" xr:uid="{00000000-0005-0000-0000-0000453E0000}"/>
    <cellStyle name="Normal 11 3 2 2 4 2" xfId="14027" xr:uid="{00000000-0005-0000-0000-0000463E0000}"/>
    <cellStyle name="Normal 11 3 2 2 4 3" xfId="23350" xr:uid="{00000000-0005-0000-0000-0000473E0000}"/>
    <cellStyle name="Normal 11 3 2 2 5" xfId="10834" xr:uid="{00000000-0005-0000-0000-0000483E0000}"/>
    <cellStyle name="Normal 11 3 2 2 6" xfId="20158" xr:uid="{00000000-0005-0000-0000-0000493E0000}"/>
    <cellStyle name="Normal 11 3 2 3" xfId="2087" xr:uid="{00000000-0005-0000-0000-00004A3E0000}"/>
    <cellStyle name="Normal 11 3 2 3 2" xfId="3812" xr:uid="{00000000-0005-0000-0000-00004B3E0000}"/>
    <cellStyle name="Normal 11 3 2 3 2 2" xfId="8489" xr:uid="{00000000-0005-0000-0000-00004C3E0000}"/>
    <cellStyle name="Normal 11 3 2 3 2 2 2" xfId="17813" xr:uid="{00000000-0005-0000-0000-00004D3E0000}"/>
    <cellStyle name="Normal 11 3 2 3 2 2 3" xfId="27136" xr:uid="{00000000-0005-0000-0000-00004E3E0000}"/>
    <cellStyle name="Normal 11 3 2 3 2 3" xfId="13146" xr:uid="{00000000-0005-0000-0000-00004F3E0000}"/>
    <cellStyle name="Normal 11 3 2 3 2 4" xfId="22470" xr:uid="{00000000-0005-0000-0000-0000503E0000}"/>
    <cellStyle name="Normal 11 3 2 3 3" xfId="5521" xr:uid="{00000000-0005-0000-0000-0000513E0000}"/>
    <cellStyle name="Normal 11 3 2 3 3 2" xfId="14845" xr:uid="{00000000-0005-0000-0000-0000523E0000}"/>
    <cellStyle name="Normal 11 3 2 3 3 3" xfId="24168" xr:uid="{00000000-0005-0000-0000-0000533E0000}"/>
    <cellStyle name="Normal 11 3 2 3 4" xfId="11591" xr:uid="{00000000-0005-0000-0000-0000543E0000}"/>
    <cellStyle name="Normal 11 3 2 3 5" xfId="20917" xr:uid="{00000000-0005-0000-0000-0000553E0000}"/>
    <cellStyle name="Normal 11 3 2 4" xfId="3052" xr:uid="{00000000-0005-0000-0000-0000563E0000}"/>
    <cellStyle name="Normal 11 3 2 4 2" xfId="7731" xr:uid="{00000000-0005-0000-0000-0000573E0000}"/>
    <cellStyle name="Normal 11 3 2 4 2 2" xfId="17055" xr:uid="{00000000-0005-0000-0000-0000583E0000}"/>
    <cellStyle name="Normal 11 3 2 4 2 3" xfId="26378" xr:uid="{00000000-0005-0000-0000-0000593E0000}"/>
    <cellStyle name="Normal 11 3 2 4 3" xfId="12439" xr:uid="{00000000-0005-0000-0000-00005A3E0000}"/>
    <cellStyle name="Normal 11 3 2 4 4" xfId="21765" xr:uid="{00000000-0005-0000-0000-00005B3E0000}"/>
    <cellStyle name="Normal 11 3 2 5" xfId="4702" xr:uid="{00000000-0005-0000-0000-00005C3E0000}"/>
    <cellStyle name="Normal 11 3 2 5 2" xfId="14026" xr:uid="{00000000-0005-0000-0000-00005D3E0000}"/>
    <cellStyle name="Normal 11 3 2 5 3" xfId="23349" xr:uid="{00000000-0005-0000-0000-00005E3E0000}"/>
    <cellStyle name="Normal 11 3 2 6" xfId="10833" xr:uid="{00000000-0005-0000-0000-00005F3E0000}"/>
    <cellStyle name="Normal 11 3 2 7" xfId="20157" xr:uid="{00000000-0005-0000-0000-0000603E0000}"/>
    <cellStyle name="Normal 11 3 3" xfId="1244" xr:uid="{00000000-0005-0000-0000-0000613E0000}"/>
    <cellStyle name="Normal 11 3 3 2" xfId="2089" xr:uid="{00000000-0005-0000-0000-0000623E0000}"/>
    <cellStyle name="Normal 11 3 3 2 2" xfId="3814" xr:uid="{00000000-0005-0000-0000-0000633E0000}"/>
    <cellStyle name="Normal 11 3 3 2 2 2" xfId="8491" xr:uid="{00000000-0005-0000-0000-0000643E0000}"/>
    <cellStyle name="Normal 11 3 3 2 2 2 2" xfId="17815" xr:uid="{00000000-0005-0000-0000-0000653E0000}"/>
    <cellStyle name="Normal 11 3 3 2 2 2 3" xfId="27138" xr:uid="{00000000-0005-0000-0000-0000663E0000}"/>
    <cellStyle name="Normal 11 3 3 2 2 3" xfId="13148" xr:uid="{00000000-0005-0000-0000-0000673E0000}"/>
    <cellStyle name="Normal 11 3 3 2 2 4" xfId="22472" xr:uid="{00000000-0005-0000-0000-0000683E0000}"/>
    <cellStyle name="Normal 11 3 3 2 3" xfId="5523" xr:uid="{00000000-0005-0000-0000-0000693E0000}"/>
    <cellStyle name="Normal 11 3 3 2 3 2" xfId="14847" xr:uid="{00000000-0005-0000-0000-00006A3E0000}"/>
    <cellStyle name="Normal 11 3 3 2 3 3" xfId="24170" xr:uid="{00000000-0005-0000-0000-00006B3E0000}"/>
    <cellStyle name="Normal 11 3 3 2 4" xfId="11593" xr:uid="{00000000-0005-0000-0000-00006C3E0000}"/>
    <cellStyle name="Normal 11 3 3 2 5" xfId="20919" xr:uid="{00000000-0005-0000-0000-00006D3E0000}"/>
    <cellStyle name="Normal 11 3 3 3" xfId="3054" xr:uid="{00000000-0005-0000-0000-00006E3E0000}"/>
    <cellStyle name="Normal 11 3 3 3 2" xfId="7733" xr:uid="{00000000-0005-0000-0000-00006F3E0000}"/>
    <cellStyle name="Normal 11 3 3 3 2 2" xfId="17057" xr:uid="{00000000-0005-0000-0000-0000703E0000}"/>
    <cellStyle name="Normal 11 3 3 3 2 3" xfId="26380" xr:uid="{00000000-0005-0000-0000-0000713E0000}"/>
    <cellStyle name="Normal 11 3 3 3 3" xfId="12441" xr:uid="{00000000-0005-0000-0000-0000723E0000}"/>
    <cellStyle name="Normal 11 3 3 3 4" xfId="21767" xr:uid="{00000000-0005-0000-0000-0000733E0000}"/>
    <cellStyle name="Normal 11 3 3 4" xfId="4704" xr:uid="{00000000-0005-0000-0000-0000743E0000}"/>
    <cellStyle name="Normal 11 3 3 4 2" xfId="14028" xr:uid="{00000000-0005-0000-0000-0000753E0000}"/>
    <cellStyle name="Normal 11 3 3 4 3" xfId="23351" xr:uid="{00000000-0005-0000-0000-0000763E0000}"/>
    <cellStyle name="Normal 11 3 3 5" xfId="10835" xr:uid="{00000000-0005-0000-0000-0000773E0000}"/>
    <cellStyle name="Normal 11 3 3 6" xfId="20159" xr:uid="{00000000-0005-0000-0000-0000783E0000}"/>
    <cellStyle name="Normal 11 3 4" xfId="2086" xr:uid="{00000000-0005-0000-0000-0000793E0000}"/>
    <cellStyle name="Normal 11 3 4 2" xfId="3811" xr:uid="{00000000-0005-0000-0000-00007A3E0000}"/>
    <cellStyle name="Normal 11 3 4 2 2" xfId="8488" xr:uid="{00000000-0005-0000-0000-00007B3E0000}"/>
    <cellStyle name="Normal 11 3 4 2 2 2" xfId="17812" xr:uid="{00000000-0005-0000-0000-00007C3E0000}"/>
    <cellStyle name="Normal 11 3 4 2 2 3" xfId="27135" xr:uid="{00000000-0005-0000-0000-00007D3E0000}"/>
    <cellStyle name="Normal 11 3 4 2 3" xfId="13145" xr:uid="{00000000-0005-0000-0000-00007E3E0000}"/>
    <cellStyle name="Normal 11 3 4 2 4" xfId="22469" xr:uid="{00000000-0005-0000-0000-00007F3E0000}"/>
    <cellStyle name="Normal 11 3 4 3" xfId="5520" xr:uid="{00000000-0005-0000-0000-0000803E0000}"/>
    <cellStyle name="Normal 11 3 4 3 2" xfId="14844" xr:uid="{00000000-0005-0000-0000-0000813E0000}"/>
    <cellStyle name="Normal 11 3 4 3 3" xfId="24167" xr:uid="{00000000-0005-0000-0000-0000823E0000}"/>
    <cellStyle name="Normal 11 3 4 4" xfId="11590" xr:uid="{00000000-0005-0000-0000-0000833E0000}"/>
    <cellStyle name="Normal 11 3 4 5" xfId="20916" xr:uid="{00000000-0005-0000-0000-0000843E0000}"/>
    <cellStyle name="Normal 11 3 5" xfId="3051" xr:uid="{00000000-0005-0000-0000-0000853E0000}"/>
    <cellStyle name="Normal 11 3 5 2" xfId="7730" xr:uid="{00000000-0005-0000-0000-0000863E0000}"/>
    <cellStyle name="Normal 11 3 5 2 2" xfId="17054" xr:uid="{00000000-0005-0000-0000-0000873E0000}"/>
    <cellStyle name="Normal 11 3 5 2 3" xfId="26377" xr:uid="{00000000-0005-0000-0000-0000883E0000}"/>
    <cellStyle name="Normal 11 3 5 3" xfId="12438" xr:uid="{00000000-0005-0000-0000-0000893E0000}"/>
    <cellStyle name="Normal 11 3 5 4" xfId="21764" xr:uid="{00000000-0005-0000-0000-00008A3E0000}"/>
    <cellStyle name="Normal 11 3 6" xfId="4701" xr:uid="{00000000-0005-0000-0000-00008B3E0000}"/>
    <cellStyle name="Normal 11 3 6 2" xfId="14025" xr:uid="{00000000-0005-0000-0000-00008C3E0000}"/>
    <cellStyle name="Normal 11 3 6 3" xfId="23348" xr:uid="{00000000-0005-0000-0000-00008D3E0000}"/>
    <cellStyle name="Normal 11 3 7" xfId="10832" xr:uid="{00000000-0005-0000-0000-00008E3E0000}"/>
    <cellStyle name="Normal 11 3 8" xfId="20156" xr:uid="{00000000-0005-0000-0000-00008F3E0000}"/>
    <cellStyle name="Normal 11 4" xfId="1245" xr:uid="{00000000-0005-0000-0000-0000903E0000}"/>
    <cellStyle name="Normal 11 4 2" xfId="1246" xr:uid="{00000000-0005-0000-0000-0000913E0000}"/>
    <cellStyle name="Normal 11 4 2 2" xfId="2092" xr:uid="{00000000-0005-0000-0000-0000923E0000}"/>
    <cellStyle name="Normal 11 4 2 2 2" xfId="3817" xr:uid="{00000000-0005-0000-0000-0000933E0000}"/>
    <cellStyle name="Normal 11 4 2 2 2 2" xfId="8494" xr:uid="{00000000-0005-0000-0000-0000943E0000}"/>
    <cellStyle name="Normal 11 4 2 2 2 2 2" xfId="17818" xr:uid="{00000000-0005-0000-0000-0000953E0000}"/>
    <cellStyle name="Normal 11 4 2 2 2 2 3" xfId="27141" xr:uid="{00000000-0005-0000-0000-0000963E0000}"/>
    <cellStyle name="Normal 11 4 2 2 2 3" xfId="13151" xr:uid="{00000000-0005-0000-0000-0000973E0000}"/>
    <cellStyle name="Normal 11 4 2 2 2 4" xfId="22475" xr:uid="{00000000-0005-0000-0000-0000983E0000}"/>
    <cellStyle name="Normal 11 4 2 2 3" xfId="5526" xr:uid="{00000000-0005-0000-0000-0000993E0000}"/>
    <cellStyle name="Normal 11 4 2 2 3 2" xfId="14850" xr:uid="{00000000-0005-0000-0000-00009A3E0000}"/>
    <cellStyle name="Normal 11 4 2 2 3 3" xfId="24173" xr:uid="{00000000-0005-0000-0000-00009B3E0000}"/>
    <cellStyle name="Normal 11 4 2 2 4" xfId="11596" xr:uid="{00000000-0005-0000-0000-00009C3E0000}"/>
    <cellStyle name="Normal 11 4 2 2 5" xfId="20922" xr:uid="{00000000-0005-0000-0000-00009D3E0000}"/>
    <cellStyle name="Normal 11 4 2 3" xfId="2091" xr:uid="{00000000-0005-0000-0000-00009E3E0000}"/>
    <cellStyle name="Normal 11 4 2 3 2" xfId="3816" xr:uid="{00000000-0005-0000-0000-00009F3E0000}"/>
    <cellStyle name="Normal 11 4 2 3 2 2" xfId="8493" xr:uid="{00000000-0005-0000-0000-0000A03E0000}"/>
    <cellStyle name="Normal 11 4 2 3 2 2 2" xfId="17817" xr:uid="{00000000-0005-0000-0000-0000A13E0000}"/>
    <cellStyle name="Normal 11 4 2 3 2 2 3" xfId="27140" xr:uid="{00000000-0005-0000-0000-0000A23E0000}"/>
    <cellStyle name="Normal 11 4 2 3 2 3" xfId="13150" xr:uid="{00000000-0005-0000-0000-0000A33E0000}"/>
    <cellStyle name="Normal 11 4 2 3 2 4" xfId="22474" xr:uid="{00000000-0005-0000-0000-0000A43E0000}"/>
    <cellStyle name="Normal 11 4 2 3 3" xfId="5525" xr:uid="{00000000-0005-0000-0000-0000A53E0000}"/>
    <cellStyle name="Normal 11 4 2 3 3 2" xfId="14849" xr:uid="{00000000-0005-0000-0000-0000A63E0000}"/>
    <cellStyle name="Normal 11 4 2 3 3 3" xfId="24172" xr:uid="{00000000-0005-0000-0000-0000A73E0000}"/>
    <cellStyle name="Normal 11 4 2 3 4" xfId="11595" xr:uid="{00000000-0005-0000-0000-0000A83E0000}"/>
    <cellStyle name="Normal 11 4 2 3 5" xfId="20921" xr:uid="{00000000-0005-0000-0000-0000A93E0000}"/>
    <cellStyle name="Normal 11 4 2 4" xfId="3056" xr:uid="{00000000-0005-0000-0000-0000AA3E0000}"/>
    <cellStyle name="Normal 11 4 2 4 2" xfId="7735" xr:uid="{00000000-0005-0000-0000-0000AB3E0000}"/>
    <cellStyle name="Normal 11 4 2 4 2 2" xfId="17059" xr:uid="{00000000-0005-0000-0000-0000AC3E0000}"/>
    <cellStyle name="Normal 11 4 2 4 2 3" xfId="26382" xr:uid="{00000000-0005-0000-0000-0000AD3E0000}"/>
    <cellStyle name="Normal 11 4 2 4 3" xfId="12443" xr:uid="{00000000-0005-0000-0000-0000AE3E0000}"/>
    <cellStyle name="Normal 11 4 2 4 4" xfId="21769" xr:uid="{00000000-0005-0000-0000-0000AF3E0000}"/>
    <cellStyle name="Normal 11 4 2 5" xfId="4706" xr:uid="{00000000-0005-0000-0000-0000B03E0000}"/>
    <cellStyle name="Normal 11 4 2 5 2" xfId="14030" xr:uid="{00000000-0005-0000-0000-0000B13E0000}"/>
    <cellStyle name="Normal 11 4 2 5 3" xfId="23353" xr:uid="{00000000-0005-0000-0000-0000B23E0000}"/>
    <cellStyle name="Normal 11 4 2 6" xfId="10837" xr:uid="{00000000-0005-0000-0000-0000B33E0000}"/>
    <cellStyle name="Normal 11 4 2 7" xfId="20161" xr:uid="{00000000-0005-0000-0000-0000B43E0000}"/>
    <cellStyle name="Normal 11 4 3" xfId="2093" xr:uid="{00000000-0005-0000-0000-0000B53E0000}"/>
    <cellStyle name="Normal 11 4 3 2" xfId="3818" xr:uid="{00000000-0005-0000-0000-0000B63E0000}"/>
    <cellStyle name="Normal 11 4 3 2 2" xfId="8495" xr:uid="{00000000-0005-0000-0000-0000B73E0000}"/>
    <cellStyle name="Normal 11 4 3 2 2 2" xfId="17819" xr:uid="{00000000-0005-0000-0000-0000B83E0000}"/>
    <cellStyle name="Normal 11 4 3 2 2 3" xfId="27142" xr:uid="{00000000-0005-0000-0000-0000B93E0000}"/>
    <cellStyle name="Normal 11 4 3 2 3" xfId="13152" xr:uid="{00000000-0005-0000-0000-0000BA3E0000}"/>
    <cellStyle name="Normal 11 4 3 2 4" xfId="22476" xr:uid="{00000000-0005-0000-0000-0000BB3E0000}"/>
    <cellStyle name="Normal 11 4 3 3" xfId="5527" xr:uid="{00000000-0005-0000-0000-0000BC3E0000}"/>
    <cellStyle name="Normal 11 4 3 3 2" xfId="14851" xr:uid="{00000000-0005-0000-0000-0000BD3E0000}"/>
    <cellStyle name="Normal 11 4 3 3 3" xfId="24174" xr:uid="{00000000-0005-0000-0000-0000BE3E0000}"/>
    <cellStyle name="Normal 11 4 3 4" xfId="11597" xr:uid="{00000000-0005-0000-0000-0000BF3E0000}"/>
    <cellStyle name="Normal 11 4 3 5" xfId="20923" xr:uid="{00000000-0005-0000-0000-0000C03E0000}"/>
    <cellStyle name="Normal 11 4 4" xfId="2090" xr:uid="{00000000-0005-0000-0000-0000C13E0000}"/>
    <cellStyle name="Normal 11 4 4 2" xfId="3815" xr:uid="{00000000-0005-0000-0000-0000C23E0000}"/>
    <cellStyle name="Normal 11 4 4 2 2" xfId="8492" xr:uid="{00000000-0005-0000-0000-0000C33E0000}"/>
    <cellStyle name="Normal 11 4 4 2 2 2" xfId="17816" xr:uid="{00000000-0005-0000-0000-0000C43E0000}"/>
    <cellStyle name="Normal 11 4 4 2 2 3" xfId="27139" xr:uid="{00000000-0005-0000-0000-0000C53E0000}"/>
    <cellStyle name="Normal 11 4 4 2 3" xfId="13149" xr:uid="{00000000-0005-0000-0000-0000C63E0000}"/>
    <cellStyle name="Normal 11 4 4 2 4" xfId="22473" xr:uid="{00000000-0005-0000-0000-0000C73E0000}"/>
    <cellStyle name="Normal 11 4 4 3" xfId="5524" xr:uid="{00000000-0005-0000-0000-0000C83E0000}"/>
    <cellStyle name="Normal 11 4 4 3 2" xfId="14848" xr:uid="{00000000-0005-0000-0000-0000C93E0000}"/>
    <cellStyle name="Normal 11 4 4 3 3" xfId="24171" xr:uid="{00000000-0005-0000-0000-0000CA3E0000}"/>
    <cellStyle name="Normal 11 4 4 4" xfId="11594" xr:uid="{00000000-0005-0000-0000-0000CB3E0000}"/>
    <cellStyle name="Normal 11 4 4 5" xfId="20920" xr:uid="{00000000-0005-0000-0000-0000CC3E0000}"/>
    <cellStyle name="Normal 11 4 5" xfId="3055" xr:uid="{00000000-0005-0000-0000-0000CD3E0000}"/>
    <cellStyle name="Normal 11 4 5 2" xfId="7734" xr:uid="{00000000-0005-0000-0000-0000CE3E0000}"/>
    <cellStyle name="Normal 11 4 5 2 2" xfId="17058" xr:uid="{00000000-0005-0000-0000-0000CF3E0000}"/>
    <cellStyle name="Normal 11 4 5 2 3" xfId="26381" xr:uid="{00000000-0005-0000-0000-0000D03E0000}"/>
    <cellStyle name="Normal 11 4 5 3" xfId="12442" xr:uid="{00000000-0005-0000-0000-0000D13E0000}"/>
    <cellStyle name="Normal 11 4 5 4" xfId="21768" xr:uid="{00000000-0005-0000-0000-0000D23E0000}"/>
    <cellStyle name="Normal 11 4 6" xfId="4705" xr:uid="{00000000-0005-0000-0000-0000D33E0000}"/>
    <cellStyle name="Normal 11 4 6 2" xfId="14029" xr:uid="{00000000-0005-0000-0000-0000D43E0000}"/>
    <cellStyle name="Normal 11 4 6 3" xfId="23352" xr:uid="{00000000-0005-0000-0000-0000D53E0000}"/>
    <cellStyle name="Normal 11 4 7" xfId="10836" xr:uid="{00000000-0005-0000-0000-0000D63E0000}"/>
    <cellStyle name="Normal 11 4 8" xfId="20160" xr:uid="{00000000-0005-0000-0000-0000D73E0000}"/>
    <cellStyle name="Normal 11 5" xfId="1247" xr:uid="{00000000-0005-0000-0000-0000D83E0000}"/>
    <cellStyle name="Normal 11 5 2" xfId="2095" xr:uid="{00000000-0005-0000-0000-0000D93E0000}"/>
    <cellStyle name="Normal 11 5 2 2" xfId="2096" xr:uid="{00000000-0005-0000-0000-0000DA3E0000}"/>
    <cellStyle name="Normal 11 5 2 2 2" xfId="3821" xr:uid="{00000000-0005-0000-0000-0000DB3E0000}"/>
    <cellStyle name="Normal 11 5 2 2 2 2" xfId="8498" xr:uid="{00000000-0005-0000-0000-0000DC3E0000}"/>
    <cellStyle name="Normal 11 5 2 2 2 2 2" xfId="17822" xr:uid="{00000000-0005-0000-0000-0000DD3E0000}"/>
    <cellStyle name="Normal 11 5 2 2 2 2 3" xfId="27145" xr:uid="{00000000-0005-0000-0000-0000DE3E0000}"/>
    <cellStyle name="Normal 11 5 2 2 2 3" xfId="13155" xr:uid="{00000000-0005-0000-0000-0000DF3E0000}"/>
    <cellStyle name="Normal 11 5 2 2 2 4" xfId="22479" xr:uid="{00000000-0005-0000-0000-0000E03E0000}"/>
    <cellStyle name="Normal 11 5 2 2 3" xfId="5530" xr:uid="{00000000-0005-0000-0000-0000E13E0000}"/>
    <cellStyle name="Normal 11 5 2 2 3 2" xfId="14854" xr:uid="{00000000-0005-0000-0000-0000E23E0000}"/>
    <cellStyle name="Normal 11 5 2 2 3 3" xfId="24177" xr:uid="{00000000-0005-0000-0000-0000E33E0000}"/>
    <cellStyle name="Normal 11 5 2 2 4" xfId="11600" xr:uid="{00000000-0005-0000-0000-0000E43E0000}"/>
    <cellStyle name="Normal 11 5 2 2 5" xfId="20926" xr:uid="{00000000-0005-0000-0000-0000E53E0000}"/>
    <cellStyle name="Normal 11 5 2 3" xfId="3820" xr:uid="{00000000-0005-0000-0000-0000E63E0000}"/>
    <cellStyle name="Normal 11 5 2 3 2" xfId="8497" xr:uid="{00000000-0005-0000-0000-0000E73E0000}"/>
    <cellStyle name="Normal 11 5 2 3 2 2" xfId="17821" xr:uid="{00000000-0005-0000-0000-0000E83E0000}"/>
    <cellStyle name="Normal 11 5 2 3 2 3" xfId="27144" xr:uid="{00000000-0005-0000-0000-0000E93E0000}"/>
    <cellStyle name="Normal 11 5 2 3 3" xfId="13154" xr:uid="{00000000-0005-0000-0000-0000EA3E0000}"/>
    <cellStyle name="Normal 11 5 2 3 4" xfId="22478" xr:uid="{00000000-0005-0000-0000-0000EB3E0000}"/>
    <cellStyle name="Normal 11 5 2 4" xfId="5529" xr:uid="{00000000-0005-0000-0000-0000EC3E0000}"/>
    <cellStyle name="Normal 11 5 2 4 2" xfId="14853" xr:uid="{00000000-0005-0000-0000-0000ED3E0000}"/>
    <cellStyle name="Normal 11 5 2 4 3" xfId="24176" xr:uid="{00000000-0005-0000-0000-0000EE3E0000}"/>
    <cellStyle name="Normal 11 5 2 5" xfId="11599" xr:uid="{00000000-0005-0000-0000-0000EF3E0000}"/>
    <cellStyle name="Normal 11 5 2 6" xfId="20925" xr:uid="{00000000-0005-0000-0000-0000F03E0000}"/>
    <cellStyle name="Normal 11 5 3" xfId="2097" xr:uid="{00000000-0005-0000-0000-0000F13E0000}"/>
    <cellStyle name="Normal 11 5 3 2" xfId="3822" xr:uid="{00000000-0005-0000-0000-0000F23E0000}"/>
    <cellStyle name="Normal 11 5 3 2 2" xfId="8499" xr:uid="{00000000-0005-0000-0000-0000F33E0000}"/>
    <cellStyle name="Normal 11 5 3 2 2 2" xfId="17823" xr:uid="{00000000-0005-0000-0000-0000F43E0000}"/>
    <cellStyle name="Normal 11 5 3 2 2 3" xfId="27146" xr:uid="{00000000-0005-0000-0000-0000F53E0000}"/>
    <cellStyle name="Normal 11 5 3 2 3" xfId="13156" xr:uid="{00000000-0005-0000-0000-0000F63E0000}"/>
    <cellStyle name="Normal 11 5 3 2 4" xfId="22480" xr:uid="{00000000-0005-0000-0000-0000F73E0000}"/>
    <cellStyle name="Normal 11 5 3 3" xfId="5531" xr:uid="{00000000-0005-0000-0000-0000F83E0000}"/>
    <cellStyle name="Normal 11 5 3 3 2" xfId="14855" xr:uid="{00000000-0005-0000-0000-0000F93E0000}"/>
    <cellStyle name="Normal 11 5 3 3 3" xfId="24178" xr:uid="{00000000-0005-0000-0000-0000FA3E0000}"/>
    <cellStyle name="Normal 11 5 3 4" xfId="11601" xr:uid="{00000000-0005-0000-0000-0000FB3E0000}"/>
    <cellStyle name="Normal 11 5 3 5" xfId="20927" xr:uid="{00000000-0005-0000-0000-0000FC3E0000}"/>
    <cellStyle name="Normal 11 5 4" xfId="2094" xr:uid="{00000000-0005-0000-0000-0000FD3E0000}"/>
    <cellStyle name="Normal 11 5 4 2" xfId="3819" xr:uid="{00000000-0005-0000-0000-0000FE3E0000}"/>
    <cellStyle name="Normal 11 5 4 2 2" xfId="8496" xr:uid="{00000000-0005-0000-0000-0000FF3E0000}"/>
    <cellStyle name="Normal 11 5 4 2 2 2" xfId="17820" xr:uid="{00000000-0005-0000-0000-0000003F0000}"/>
    <cellStyle name="Normal 11 5 4 2 2 3" xfId="27143" xr:uid="{00000000-0005-0000-0000-0000013F0000}"/>
    <cellStyle name="Normal 11 5 4 2 3" xfId="13153" xr:uid="{00000000-0005-0000-0000-0000023F0000}"/>
    <cellStyle name="Normal 11 5 4 2 4" xfId="22477" xr:uid="{00000000-0005-0000-0000-0000033F0000}"/>
    <cellStyle name="Normal 11 5 4 3" xfId="5528" xr:uid="{00000000-0005-0000-0000-0000043F0000}"/>
    <cellStyle name="Normal 11 5 4 3 2" xfId="14852" xr:uid="{00000000-0005-0000-0000-0000053F0000}"/>
    <cellStyle name="Normal 11 5 4 3 3" xfId="24175" xr:uid="{00000000-0005-0000-0000-0000063F0000}"/>
    <cellStyle name="Normal 11 5 4 4" xfId="11598" xr:uid="{00000000-0005-0000-0000-0000073F0000}"/>
    <cellStyle name="Normal 11 5 4 5" xfId="20924" xr:uid="{00000000-0005-0000-0000-0000083F0000}"/>
    <cellStyle name="Normal 11 5 5" xfId="3057" xr:uid="{00000000-0005-0000-0000-0000093F0000}"/>
    <cellStyle name="Normal 11 5 5 2" xfId="7736" xr:uid="{00000000-0005-0000-0000-00000A3F0000}"/>
    <cellStyle name="Normal 11 5 5 2 2" xfId="17060" xr:uid="{00000000-0005-0000-0000-00000B3F0000}"/>
    <cellStyle name="Normal 11 5 5 2 3" xfId="26383" xr:uid="{00000000-0005-0000-0000-00000C3F0000}"/>
    <cellStyle name="Normal 11 5 5 3" xfId="12444" xr:uid="{00000000-0005-0000-0000-00000D3F0000}"/>
    <cellStyle name="Normal 11 5 5 4" xfId="21770" xr:uid="{00000000-0005-0000-0000-00000E3F0000}"/>
    <cellStyle name="Normal 11 5 6" xfId="4707" xr:uid="{00000000-0005-0000-0000-00000F3F0000}"/>
    <cellStyle name="Normal 11 5 6 2" xfId="14031" xr:uid="{00000000-0005-0000-0000-0000103F0000}"/>
    <cellStyle name="Normal 11 5 6 3" xfId="23354" xr:uid="{00000000-0005-0000-0000-0000113F0000}"/>
    <cellStyle name="Normal 11 5 7" xfId="10838" xr:uid="{00000000-0005-0000-0000-0000123F0000}"/>
    <cellStyle name="Normal 11 5 8" xfId="20162" xr:uid="{00000000-0005-0000-0000-0000133F0000}"/>
    <cellStyle name="Normal 11 6" xfId="2098" xr:uid="{00000000-0005-0000-0000-0000143F0000}"/>
    <cellStyle name="Normal 11 6 2" xfId="2099" xr:uid="{00000000-0005-0000-0000-0000153F0000}"/>
    <cellStyle name="Normal 11 6 2 2" xfId="3824" xr:uid="{00000000-0005-0000-0000-0000163F0000}"/>
    <cellStyle name="Normal 11 6 2 2 2" xfId="8501" xr:uid="{00000000-0005-0000-0000-0000173F0000}"/>
    <cellStyle name="Normal 11 6 2 2 2 2" xfId="17825" xr:uid="{00000000-0005-0000-0000-0000183F0000}"/>
    <cellStyle name="Normal 11 6 2 2 2 3" xfId="27148" xr:uid="{00000000-0005-0000-0000-0000193F0000}"/>
    <cellStyle name="Normal 11 6 2 2 3" xfId="13158" xr:uid="{00000000-0005-0000-0000-00001A3F0000}"/>
    <cellStyle name="Normal 11 6 2 2 4" xfId="22482" xr:uid="{00000000-0005-0000-0000-00001B3F0000}"/>
    <cellStyle name="Normal 11 6 2 3" xfId="5533" xr:uid="{00000000-0005-0000-0000-00001C3F0000}"/>
    <cellStyle name="Normal 11 6 2 3 2" xfId="14857" xr:uid="{00000000-0005-0000-0000-00001D3F0000}"/>
    <cellStyle name="Normal 11 6 2 3 3" xfId="24180" xr:uid="{00000000-0005-0000-0000-00001E3F0000}"/>
    <cellStyle name="Normal 11 6 2 4" xfId="11603" xr:uid="{00000000-0005-0000-0000-00001F3F0000}"/>
    <cellStyle name="Normal 11 6 2 5" xfId="20929" xr:uid="{00000000-0005-0000-0000-0000203F0000}"/>
    <cellStyle name="Normal 11 6 3" xfId="3823" xr:uid="{00000000-0005-0000-0000-0000213F0000}"/>
    <cellStyle name="Normal 11 6 3 2" xfId="8500" xr:uid="{00000000-0005-0000-0000-0000223F0000}"/>
    <cellStyle name="Normal 11 6 3 2 2" xfId="17824" xr:uid="{00000000-0005-0000-0000-0000233F0000}"/>
    <cellStyle name="Normal 11 6 3 2 3" xfId="27147" xr:uid="{00000000-0005-0000-0000-0000243F0000}"/>
    <cellStyle name="Normal 11 6 3 3" xfId="13157" xr:uid="{00000000-0005-0000-0000-0000253F0000}"/>
    <cellStyle name="Normal 11 6 3 4" xfId="22481" xr:uid="{00000000-0005-0000-0000-0000263F0000}"/>
    <cellStyle name="Normal 11 6 4" xfId="5532" xr:uid="{00000000-0005-0000-0000-0000273F0000}"/>
    <cellStyle name="Normal 11 6 4 2" xfId="14856" xr:uid="{00000000-0005-0000-0000-0000283F0000}"/>
    <cellStyle name="Normal 11 6 4 3" xfId="24179" xr:uid="{00000000-0005-0000-0000-0000293F0000}"/>
    <cellStyle name="Normal 11 6 5" xfId="11602" xr:uid="{00000000-0005-0000-0000-00002A3F0000}"/>
    <cellStyle name="Normal 11 6 6" xfId="20928" xr:uid="{00000000-0005-0000-0000-00002B3F0000}"/>
    <cellStyle name="Normal 11 7" xfId="2100" xr:uid="{00000000-0005-0000-0000-00002C3F0000}"/>
    <cellStyle name="Normal 11 7 2" xfId="3825" xr:uid="{00000000-0005-0000-0000-00002D3F0000}"/>
    <cellStyle name="Normal 11 7 2 2" xfId="8502" xr:uid="{00000000-0005-0000-0000-00002E3F0000}"/>
    <cellStyle name="Normal 11 7 2 2 2" xfId="17826" xr:uid="{00000000-0005-0000-0000-00002F3F0000}"/>
    <cellStyle name="Normal 11 7 2 2 3" xfId="27149" xr:uid="{00000000-0005-0000-0000-0000303F0000}"/>
    <cellStyle name="Normal 11 7 2 3" xfId="13159" xr:uid="{00000000-0005-0000-0000-0000313F0000}"/>
    <cellStyle name="Normal 11 7 2 4" xfId="22483" xr:uid="{00000000-0005-0000-0000-0000323F0000}"/>
    <cellStyle name="Normal 11 7 3" xfId="5534" xr:uid="{00000000-0005-0000-0000-0000333F0000}"/>
    <cellStyle name="Normal 11 7 3 2" xfId="14858" xr:uid="{00000000-0005-0000-0000-0000343F0000}"/>
    <cellStyle name="Normal 11 7 3 3" xfId="24181" xr:uid="{00000000-0005-0000-0000-0000353F0000}"/>
    <cellStyle name="Normal 11 7 4" xfId="11604" xr:uid="{00000000-0005-0000-0000-0000363F0000}"/>
    <cellStyle name="Normal 11 7 5" xfId="20930" xr:uid="{00000000-0005-0000-0000-0000373F0000}"/>
    <cellStyle name="Normal 11 8" xfId="2101" xr:uid="{00000000-0005-0000-0000-0000383F0000}"/>
    <cellStyle name="Normal 11 8 2" xfId="3826" xr:uid="{00000000-0005-0000-0000-0000393F0000}"/>
    <cellStyle name="Normal 11 8 2 2" xfId="8503" xr:uid="{00000000-0005-0000-0000-00003A3F0000}"/>
    <cellStyle name="Normal 11 8 2 2 2" xfId="17827" xr:uid="{00000000-0005-0000-0000-00003B3F0000}"/>
    <cellStyle name="Normal 11 8 2 2 3" xfId="27150" xr:uid="{00000000-0005-0000-0000-00003C3F0000}"/>
    <cellStyle name="Normal 11 8 2 3" xfId="13160" xr:uid="{00000000-0005-0000-0000-00003D3F0000}"/>
    <cellStyle name="Normal 11 8 2 4" xfId="22484" xr:uid="{00000000-0005-0000-0000-00003E3F0000}"/>
    <cellStyle name="Normal 11 8 3" xfId="5535" xr:uid="{00000000-0005-0000-0000-00003F3F0000}"/>
    <cellStyle name="Normal 11 8 3 2" xfId="14859" xr:uid="{00000000-0005-0000-0000-0000403F0000}"/>
    <cellStyle name="Normal 11 8 3 3" xfId="24182" xr:uid="{00000000-0005-0000-0000-0000413F0000}"/>
    <cellStyle name="Normal 11 8 4" xfId="11605" xr:uid="{00000000-0005-0000-0000-0000423F0000}"/>
    <cellStyle name="Normal 11 8 5" xfId="20931" xr:uid="{00000000-0005-0000-0000-0000433F0000}"/>
    <cellStyle name="Normal 11 9" xfId="2102" xr:uid="{00000000-0005-0000-0000-0000443F0000}"/>
    <cellStyle name="Normal 11 9 2" xfId="3827" xr:uid="{00000000-0005-0000-0000-0000453F0000}"/>
    <cellStyle name="Normal 11 9 2 2" xfId="8504" xr:uid="{00000000-0005-0000-0000-0000463F0000}"/>
    <cellStyle name="Normal 11 9 2 2 2" xfId="17828" xr:uid="{00000000-0005-0000-0000-0000473F0000}"/>
    <cellStyle name="Normal 11 9 2 2 3" xfId="27151" xr:uid="{00000000-0005-0000-0000-0000483F0000}"/>
    <cellStyle name="Normal 11 9 2 3" xfId="13161" xr:uid="{00000000-0005-0000-0000-0000493F0000}"/>
    <cellStyle name="Normal 11 9 2 4" xfId="22485" xr:uid="{00000000-0005-0000-0000-00004A3F0000}"/>
    <cellStyle name="Normal 11 9 3" xfId="5536" xr:uid="{00000000-0005-0000-0000-00004B3F0000}"/>
    <cellStyle name="Normal 11 9 3 2" xfId="14860" xr:uid="{00000000-0005-0000-0000-00004C3F0000}"/>
    <cellStyle name="Normal 11 9 3 3" xfId="24183" xr:uid="{00000000-0005-0000-0000-00004D3F0000}"/>
    <cellStyle name="Normal 11 9 4" xfId="11606" xr:uid="{00000000-0005-0000-0000-00004E3F0000}"/>
    <cellStyle name="Normal 11 9 5" xfId="20932" xr:uid="{00000000-0005-0000-0000-00004F3F0000}"/>
    <cellStyle name="Normal 112" xfId="28768" xr:uid="{00000000-0005-0000-0000-0000503F0000}"/>
    <cellStyle name="Normal 12" xfId="624" xr:uid="{00000000-0005-0000-0000-0000513F0000}"/>
    <cellStyle name="Normal 12 10" xfId="1248" xr:uid="{00000000-0005-0000-0000-0000523F0000}"/>
    <cellStyle name="Normal 12 11" xfId="10228" xr:uid="{00000000-0005-0000-0000-0000533F0000}"/>
    <cellStyle name="Normal 12 12" xfId="19552" xr:uid="{00000000-0005-0000-0000-0000543F0000}"/>
    <cellStyle name="Normal 12 13" xfId="28570" xr:uid="{00000000-0005-0000-0000-0000553F0000}"/>
    <cellStyle name="Normal 12 2" xfId="2104" xr:uid="{00000000-0005-0000-0000-0000563F0000}"/>
    <cellStyle name="Normal 12 2 2" xfId="2105" xr:uid="{00000000-0005-0000-0000-0000573F0000}"/>
    <cellStyle name="Normal 12 2 2 2" xfId="2106" xr:uid="{00000000-0005-0000-0000-0000583F0000}"/>
    <cellStyle name="Normal 12 2 2 2 2" xfId="3831" xr:uid="{00000000-0005-0000-0000-0000593F0000}"/>
    <cellStyle name="Normal 12 2 2 2 2 2" xfId="8508" xr:uid="{00000000-0005-0000-0000-00005A3F0000}"/>
    <cellStyle name="Normal 12 2 2 2 2 2 2" xfId="17832" xr:uid="{00000000-0005-0000-0000-00005B3F0000}"/>
    <cellStyle name="Normal 12 2 2 2 2 2 3" xfId="27155" xr:uid="{00000000-0005-0000-0000-00005C3F0000}"/>
    <cellStyle name="Normal 12 2 2 2 2 3" xfId="13165" xr:uid="{00000000-0005-0000-0000-00005D3F0000}"/>
    <cellStyle name="Normal 12 2 2 2 2 4" xfId="22489" xr:uid="{00000000-0005-0000-0000-00005E3F0000}"/>
    <cellStyle name="Normal 12 2 2 2 3" xfId="5540" xr:uid="{00000000-0005-0000-0000-00005F3F0000}"/>
    <cellStyle name="Normal 12 2 2 2 3 2" xfId="14864" xr:uid="{00000000-0005-0000-0000-0000603F0000}"/>
    <cellStyle name="Normal 12 2 2 2 3 3" xfId="24187" xr:uid="{00000000-0005-0000-0000-0000613F0000}"/>
    <cellStyle name="Normal 12 2 2 2 4" xfId="11610" xr:uid="{00000000-0005-0000-0000-0000623F0000}"/>
    <cellStyle name="Normal 12 2 2 2 5" xfId="20936" xr:uid="{00000000-0005-0000-0000-0000633F0000}"/>
    <cellStyle name="Normal 12 2 2 3" xfId="3830" xr:uid="{00000000-0005-0000-0000-0000643F0000}"/>
    <cellStyle name="Normal 12 2 2 3 2" xfId="8507" xr:uid="{00000000-0005-0000-0000-0000653F0000}"/>
    <cellStyle name="Normal 12 2 2 3 2 2" xfId="17831" xr:uid="{00000000-0005-0000-0000-0000663F0000}"/>
    <cellStyle name="Normal 12 2 2 3 2 3" xfId="27154" xr:uid="{00000000-0005-0000-0000-0000673F0000}"/>
    <cellStyle name="Normal 12 2 2 3 3" xfId="13164" xr:uid="{00000000-0005-0000-0000-0000683F0000}"/>
    <cellStyle name="Normal 12 2 2 3 4" xfId="22488" xr:uid="{00000000-0005-0000-0000-0000693F0000}"/>
    <cellStyle name="Normal 12 2 2 4" xfId="5539" xr:uid="{00000000-0005-0000-0000-00006A3F0000}"/>
    <cellStyle name="Normal 12 2 2 4 2" xfId="14863" xr:uid="{00000000-0005-0000-0000-00006B3F0000}"/>
    <cellStyle name="Normal 12 2 2 4 3" xfId="24186" xr:uid="{00000000-0005-0000-0000-00006C3F0000}"/>
    <cellStyle name="Normal 12 2 2 5" xfId="11609" xr:uid="{00000000-0005-0000-0000-00006D3F0000}"/>
    <cellStyle name="Normal 12 2 2 6" xfId="20935" xr:uid="{00000000-0005-0000-0000-00006E3F0000}"/>
    <cellStyle name="Normal 12 2 3" xfId="2107" xr:uid="{00000000-0005-0000-0000-00006F3F0000}"/>
    <cellStyle name="Normal 12 2 3 2" xfId="3832" xr:uid="{00000000-0005-0000-0000-0000703F0000}"/>
    <cellStyle name="Normal 12 2 3 2 2" xfId="8509" xr:uid="{00000000-0005-0000-0000-0000713F0000}"/>
    <cellStyle name="Normal 12 2 3 2 2 2" xfId="17833" xr:uid="{00000000-0005-0000-0000-0000723F0000}"/>
    <cellStyle name="Normal 12 2 3 2 2 3" xfId="27156" xr:uid="{00000000-0005-0000-0000-0000733F0000}"/>
    <cellStyle name="Normal 12 2 3 2 3" xfId="13166" xr:uid="{00000000-0005-0000-0000-0000743F0000}"/>
    <cellStyle name="Normal 12 2 3 2 4" xfId="22490" xr:uid="{00000000-0005-0000-0000-0000753F0000}"/>
    <cellStyle name="Normal 12 2 3 3" xfId="5541" xr:uid="{00000000-0005-0000-0000-0000763F0000}"/>
    <cellStyle name="Normal 12 2 3 3 2" xfId="14865" xr:uid="{00000000-0005-0000-0000-0000773F0000}"/>
    <cellStyle name="Normal 12 2 3 3 3" xfId="24188" xr:uid="{00000000-0005-0000-0000-0000783F0000}"/>
    <cellStyle name="Normal 12 2 3 4" xfId="11611" xr:uid="{00000000-0005-0000-0000-0000793F0000}"/>
    <cellStyle name="Normal 12 2 3 5" xfId="20937" xr:uid="{00000000-0005-0000-0000-00007A3F0000}"/>
    <cellStyle name="Normal 12 2 4" xfId="3829" xr:uid="{00000000-0005-0000-0000-00007B3F0000}"/>
    <cellStyle name="Normal 12 2 4 2" xfId="8506" xr:uid="{00000000-0005-0000-0000-00007C3F0000}"/>
    <cellStyle name="Normal 12 2 4 2 2" xfId="17830" xr:uid="{00000000-0005-0000-0000-00007D3F0000}"/>
    <cellStyle name="Normal 12 2 4 2 3" xfId="27153" xr:uid="{00000000-0005-0000-0000-00007E3F0000}"/>
    <cellStyle name="Normal 12 2 4 3" xfId="13163" xr:uid="{00000000-0005-0000-0000-00007F3F0000}"/>
    <cellStyle name="Normal 12 2 4 4" xfId="22487" xr:uid="{00000000-0005-0000-0000-0000803F0000}"/>
    <cellStyle name="Normal 12 2 5" xfId="5538" xr:uid="{00000000-0005-0000-0000-0000813F0000}"/>
    <cellStyle name="Normal 12 2 5 2" xfId="14862" xr:uid="{00000000-0005-0000-0000-0000823F0000}"/>
    <cellStyle name="Normal 12 2 5 3" xfId="24185" xr:uid="{00000000-0005-0000-0000-0000833F0000}"/>
    <cellStyle name="Normal 12 2 6" xfId="11608" xr:uid="{00000000-0005-0000-0000-0000843F0000}"/>
    <cellStyle name="Normal 12 2 7" xfId="20934" xr:uid="{00000000-0005-0000-0000-0000853F0000}"/>
    <cellStyle name="Normal 12 2 8" xfId="28945" xr:uid="{00000000-0005-0000-0000-0000863F0000}"/>
    <cellStyle name="Normal 12 3" xfId="2108" xr:uid="{00000000-0005-0000-0000-0000873F0000}"/>
    <cellStyle name="Normal 12 3 2" xfId="2109" xr:uid="{00000000-0005-0000-0000-0000883F0000}"/>
    <cellStyle name="Normal 12 3 2 2" xfId="2110" xr:uid="{00000000-0005-0000-0000-0000893F0000}"/>
    <cellStyle name="Normal 12 3 2 2 2" xfId="3835" xr:uid="{00000000-0005-0000-0000-00008A3F0000}"/>
    <cellStyle name="Normal 12 3 2 2 2 2" xfId="8512" xr:uid="{00000000-0005-0000-0000-00008B3F0000}"/>
    <cellStyle name="Normal 12 3 2 2 2 2 2" xfId="17836" xr:uid="{00000000-0005-0000-0000-00008C3F0000}"/>
    <cellStyle name="Normal 12 3 2 2 2 2 3" xfId="27159" xr:uid="{00000000-0005-0000-0000-00008D3F0000}"/>
    <cellStyle name="Normal 12 3 2 2 2 3" xfId="13169" xr:uid="{00000000-0005-0000-0000-00008E3F0000}"/>
    <cellStyle name="Normal 12 3 2 2 2 4" xfId="22493" xr:uid="{00000000-0005-0000-0000-00008F3F0000}"/>
    <cellStyle name="Normal 12 3 2 2 3" xfId="5544" xr:uid="{00000000-0005-0000-0000-0000903F0000}"/>
    <cellStyle name="Normal 12 3 2 2 3 2" xfId="14868" xr:uid="{00000000-0005-0000-0000-0000913F0000}"/>
    <cellStyle name="Normal 12 3 2 2 3 3" xfId="24191" xr:uid="{00000000-0005-0000-0000-0000923F0000}"/>
    <cellStyle name="Normal 12 3 2 2 4" xfId="11614" xr:uid="{00000000-0005-0000-0000-0000933F0000}"/>
    <cellStyle name="Normal 12 3 2 2 5" xfId="20940" xr:uid="{00000000-0005-0000-0000-0000943F0000}"/>
    <cellStyle name="Normal 12 3 2 3" xfId="3834" xr:uid="{00000000-0005-0000-0000-0000953F0000}"/>
    <cellStyle name="Normal 12 3 2 3 2" xfId="8511" xr:uid="{00000000-0005-0000-0000-0000963F0000}"/>
    <cellStyle name="Normal 12 3 2 3 2 2" xfId="17835" xr:uid="{00000000-0005-0000-0000-0000973F0000}"/>
    <cellStyle name="Normal 12 3 2 3 2 3" xfId="27158" xr:uid="{00000000-0005-0000-0000-0000983F0000}"/>
    <cellStyle name="Normal 12 3 2 3 3" xfId="13168" xr:uid="{00000000-0005-0000-0000-0000993F0000}"/>
    <cellStyle name="Normal 12 3 2 3 4" xfId="22492" xr:uid="{00000000-0005-0000-0000-00009A3F0000}"/>
    <cellStyle name="Normal 12 3 2 4" xfId="5543" xr:uid="{00000000-0005-0000-0000-00009B3F0000}"/>
    <cellStyle name="Normal 12 3 2 4 2" xfId="14867" xr:uid="{00000000-0005-0000-0000-00009C3F0000}"/>
    <cellStyle name="Normal 12 3 2 4 3" xfId="24190" xr:uid="{00000000-0005-0000-0000-00009D3F0000}"/>
    <cellStyle name="Normal 12 3 2 5" xfId="11613" xr:uid="{00000000-0005-0000-0000-00009E3F0000}"/>
    <cellStyle name="Normal 12 3 2 6" xfId="20939" xr:uid="{00000000-0005-0000-0000-00009F3F0000}"/>
    <cellStyle name="Normal 12 3 3" xfId="2111" xr:uid="{00000000-0005-0000-0000-0000A03F0000}"/>
    <cellStyle name="Normal 12 3 3 2" xfId="3836" xr:uid="{00000000-0005-0000-0000-0000A13F0000}"/>
    <cellStyle name="Normal 12 3 3 2 2" xfId="8513" xr:uid="{00000000-0005-0000-0000-0000A23F0000}"/>
    <cellStyle name="Normal 12 3 3 2 2 2" xfId="17837" xr:uid="{00000000-0005-0000-0000-0000A33F0000}"/>
    <cellStyle name="Normal 12 3 3 2 2 3" xfId="27160" xr:uid="{00000000-0005-0000-0000-0000A43F0000}"/>
    <cellStyle name="Normal 12 3 3 2 3" xfId="13170" xr:uid="{00000000-0005-0000-0000-0000A53F0000}"/>
    <cellStyle name="Normal 12 3 3 2 4" xfId="22494" xr:uid="{00000000-0005-0000-0000-0000A63F0000}"/>
    <cellStyle name="Normal 12 3 3 3" xfId="5545" xr:uid="{00000000-0005-0000-0000-0000A73F0000}"/>
    <cellStyle name="Normal 12 3 3 3 2" xfId="14869" xr:uid="{00000000-0005-0000-0000-0000A83F0000}"/>
    <cellStyle name="Normal 12 3 3 3 3" xfId="24192" xr:uid="{00000000-0005-0000-0000-0000A93F0000}"/>
    <cellStyle name="Normal 12 3 3 4" xfId="11615" xr:uid="{00000000-0005-0000-0000-0000AA3F0000}"/>
    <cellStyle name="Normal 12 3 3 5" xfId="20941" xr:uid="{00000000-0005-0000-0000-0000AB3F0000}"/>
    <cellStyle name="Normal 12 3 4" xfId="3833" xr:uid="{00000000-0005-0000-0000-0000AC3F0000}"/>
    <cellStyle name="Normal 12 3 4 2" xfId="8510" xr:uid="{00000000-0005-0000-0000-0000AD3F0000}"/>
    <cellStyle name="Normal 12 3 4 2 2" xfId="17834" xr:uid="{00000000-0005-0000-0000-0000AE3F0000}"/>
    <cellStyle name="Normal 12 3 4 2 3" xfId="27157" xr:uid="{00000000-0005-0000-0000-0000AF3F0000}"/>
    <cellStyle name="Normal 12 3 4 3" xfId="13167" xr:uid="{00000000-0005-0000-0000-0000B03F0000}"/>
    <cellStyle name="Normal 12 3 4 4" xfId="22491" xr:uid="{00000000-0005-0000-0000-0000B13F0000}"/>
    <cellStyle name="Normal 12 3 5" xfId="5542" xr:uid="{00000000-0005-0000-0000-0000B23F0000}"/>
    <cellStyle name="Normal 12 3 5 2" xfId="14866" xr:uid="{00000000-0005-0000-0000-0000B33F0000}"/>
    <cellStyle name="Normal 12 3 5 3" xfId="24189" xr:uid="{00000000-0005-0000-0000-0000B43F0000}"/>
    <cellStyle name="Normal 12 3 6" xfId="11612" xr:uid="{00000000-0005-0000-0000-0000B53F0000}"/>
    <cellStyle name="Normal 12 3 7" xfId="20938" xr:uid="{00000000-0005-0000-0000-0000B63F0000}"/>
    <cellStyle name="Normal 12 4" xfId="2112" xr:uid="{00000000-0005-0000-0000-0000B73F0000}"/>
    <cellStyle name="Normal 12 4 2" xfId="2113" xr:uid="{00000000-0005-0000-0000-0000B83F0000}"/>
    <cellStyle name="Normal 12 4 2 2" xfId="3838" xr:uid="{00000000-0005-0000-0000-0000B93F0000}"/>
    <cellStyle name="Normal 12 4 2 2 2" xfId="8515" xr:uid="{00000000-0005-0000-0000-0000BA3F0000}"/>
    <cellStyle name="Normal 12 4 2 2 2 2" xfId="17839" xr:uid="{00000000-0005-0000-0000-0000BB3F0000}"/>
    <cellStyle name="Normal 12 4 2 2 2 3" xfId="27162" xr:uid="{00000000-0005-0000-0000-0000BC3F0000}"/>
    <cellStyle name="Normal 12 4 2 2 3" xfId="13172" xr:uid="{00000000-0005-0000-0000-0000BD3F0000}"/>
    <cellStyle name="Normal 12 4 2 2 4" xfId="22496" xr:uid="{00000000-0005-0000-0000-0000BE3F0000}"/>
    <cellStyle name="Normal 12 4 2 3" xfId="5547" xr:uid="{00000000-0005-0000-0000-0000BF3F0000}"/>
    <cellStyle name="Normal 12 4 2 3 2" xfId="14871" xr:uid="{00000000-0005-0000-0000-0000C03F0000}"/>
    <cellStyle name="Normal 12 4 2 3 3" xfId="24194" xr:uid="{00000000-0005-0000-0000-0000C13F0000}"/>
    <cellStyle name="Normal 12 4 2 4" xfId="11617" xr:uid="{00000000-0005-0000-0000-0000C23F0000}"/>
    <cellStyle name="Normal 12 4 2 5" xfId="20943" xr:uid="{00000000-0005-0000-0000-0000C33F0000}"/>
    <cellStyle name="Normal 12 4 3" xfId="3837" xr:uid="{00000000-0005-0000-0000-0000C43F0000}"/>
    <cellStyle name="Normal 12 4 3 2" xfId="8514" xr:uid="{00000000-0005-0000-0000-0000C53F0000}"/>
    <cellStyle name="Normal 12 4 3 2 2" xfId="17838" xr:uid="{00000000-0005-0000-0000-0000C63F0000}"/>
    <cellStyle name="Normal 12 4 3 2 3" xfId="27161" xr:uid="{00000000-0005-0000-0000-0000C73F0000}"/>
    <cellStyle name="Normal 12 4 3 3" xfId="13171" xr:uid="{00000000-0005-0000-0000-0000C83F0000}"/>
    <cellStyle name="Normal 12 4 3 4" xfId="22495" xr:uid="{00000000-0005-0000-0000-0000C93F0000}"/>
    <cellStyle name="Normal 12 4 4" xfId="5546" xr:uid="{00000000-0005-0000-0000-0000CA3F0000}"/>
    <cellStyle name="Normal 12 4 4 2" xfId="14870" xr:uid="{00000000-0005-0000-0000-0000CB3F0000}"/>
    <cellStyle name="Normal 12 4 4 3" xfId="24193" xr:uid="{00000000-0005-0000-0000-0000CC3F0000}"/>
    <cellStyle name="Normal 12 4 5" xfId="11616" xr:uid="{00000000-0005-0000-0000-0000CD3F0000}"/>
    <cellStyle name="Normal 12 4 6" xfId="20942" xr:uid="{00000000-0005-0000-0000-0000CE3F0000}"/>
    <cellStyle name="Normal 12 5" xfId="2114" xr:uid="{00000000-0005-0000-0000-0000CF3F0000}"/>
    <cellStyle name="Normal 12 5 2" xfId="3839" xr:uid="{00000000-0005-0000-0000-0000D03F0000}"/>
    <cellStyle name="Normal 12 5 2 2" xfId="8516" xr:uid="{00000000-0005-0000-0000-0000D13F0000}"/>
    <cellStyle name="Normal 12 5 2 2 2" xfId="17840" xr:uid="{00000000-0005-0000-0000-0000D23F0000}"/>
    <cellStyle name="Normal 12 5 2 2 3" xfId="27163" xr:uid="{00000000-0005-0000-0000-0000D33F0000}"/>
    <cellStyle name="Normal 12 5 2 3" xfId="13173" xr:uid="{00000000-0005-0000-0000-0000D43F0000}"/>
    <cellStyle name="Normal 12 5 2 4" xfId="22497" xr:uid="{00000000-0005-0000-0000-0000D53F0000}"/>
    <cellStyle name="Normal 12 5 3" xfId="5548" xr:uid="{00000000-0005-0000-0000-0000D63F0000}"/>
    <cellStyle name="Normal 12 5 3 2" xfId="14872" xr:uid="{00000000-0005-0000-0000-0000D73F0000}"/>
    <cellStyle name="Normal 12 5 3 3" xfId="24195" xr:uid="{00000000-0005-0000-0000-0000D83F0000}"/>
    <cellStyle name="Normal 12 5 4" xfId="11618" xr:uid="{00000000-0005-0000-0000-0000D93F0000}"/>
    <cellStyle name="Normal 12 5 5" xfId="20944" xr:uid="{00000000-0005-0000-0000-0000DA3F0000}"/>
    <cellStyle name="Normal 12 6" xfId="2115" xr:uid="{00000000-0005-0000-0000-0000DB3F0000}"/>
    <cellStyle name="Normal 12 6 2" xfId="3840" xr:uid="{00000000-0005-0000-0000-0000DC3F0000}"/>
    <cellStyle name="Normal 12 6 2 2" xfId="8517" xr:uid="{00000000-0005-0000-0000-0000DD3F0000}"/>
    <cellStyle name="Normal 12 6 2 2 2" xfId="17841" xr:uid="{00000000-0005-0000-0000-0000DE3F0000}"/>
    <cellStyle name="Normal 12 6 2 2 3" xfId="27164" xr:uid="{00000000-0005-0000-0000-0000DF3F0000}"/>
    <cellStyle name="Normal 12 6 2 3" xfId="13174" xr:uid="{00000000-0005-0000-0000-0000E03F0000}"/>
    <cellStyle name="Normal 12 6 2 4" xfId="22498" xr:uid="{00000000-0005-0000-0000-0000E13F0000}"/>
    <cellStyle name="Normal 12 6 3" xfId="5549" xr:uid="{00000000-0005-0000-0000-0000E23F0000}"/>
    <cellStyle name="Normal 12 6 3 2" xfId="14873" xr:uid="{00000000-0005-0000-0000-0000E33F0000}"/>
    <cellStyle name="Normal 12 6 3 3" xfId="24196" xr:uid="{00000000-0005-0000-0000-0000E43F0000}"/>
    <cellStyle name="Normal 12 6 4" xfId="11619" xr:uid="{00000000-0005-0000-0000-0000E53F0000}"/>
    <cellStyle name="Normal 12 6 5" xfId="20945" xr:uid="{00000000-0005-0000-0000-0000E63F0000}"/>
    <cellStyle name="Normal 12 7" xfId="2116" xr:uid="{00000000-0005-0000-0000-0000E73F0000}"/>
    <cellStyle name="Normal 12 7 2" xfId="3841" xr:uid="{00000000-0005-0000-0000-0000E83F0000}"/>
    <cellStyle name="Normal 12 7 2 2" xfId="8518" xr:uid="{00000000-0005-0000-0000-0000E93F0000}"/>
    <cellStyle name="Normal 12 7 2 2 2" xfId="17842" xr:uid="{00000000-0005-0000-0000-0000EA3F0000}"/>
    <cellStyle name="Normal 12 7 2 2 3" xfId="27165" xr:uid="{00000000-0005-0000-0000-0000EB3F0000}"/>
    <cellStyle name="Normal 12 7 2 3" xfId="13175" xr:uid="{00000000-0005-0000-0000-0000EC3F0000}"/>
    <cellStyle name="Normal 12 7 2 4" xfId="22499" xr:uid="{00000000-0005-0000-0000-0000ED3F0000}"/>
    <cellStyle name="Normal 12 7 3" xfId="5550" xr:uid="{00000000-0005-0000-0000-0000EE3F0000}"/>
    <cellStyle name="Normal 12 7 3 2" xfId="14874" xr:uid="{00000000-0005-0000-0000-0000EF3F0000}"/>
    <cellStyle name="Normal 12 7 3 3" xfId="24197" xr:uid="{00000000-0005-0000-0000-0000F03F0000}"/>
    <cellStyle name="Normal 12 7 4" xfId="11620" xr:uid="{00000000-0005-0000-0000-0000F13F0000}"/>
    <cellStyle name="Normal 12 7 5" xfId="20946" xr:uid="{00000000-0005-0000-0000-0000F23F0000}"/>
    <cellStyle name="Normal 12 8" xfId="2103" xr:uid="{00000000-0005-0000-0000-0000F33F0000}"/>
    <cellStyle name="Normal 12 8 2" xfId="3828" xr:uid="{00000000-0005-0000-0000-0000F43F0000}"/>
    <cellStyle name="Normal 12 8 2 2" xfId="8505" xr:uid="{00000000-0005-0000-0000-0000F53F0000}"/>
    <cellStyle name="Normal 12 8 2 2 2" xfId="17829" xr:uid="{00000000-0005-0000-0000-0000F63F0000}"/>
    <cellStyle name="Normal 12 8 2 2 3" xfId="27152" xr:uid="{00000000-0005-0000-0000-0000F73F0000}"/>
    <cellStyle name="Normal 12 8 2 3" xfId="13162" xr:uid="{00000000-0005-0000-0000-0000F83F0000}"/>
    <cellStyle name="Normal 12 8 2 4" xfId="22486" xr:uid="{00000000-0005-0000-0000-0000F93F0000}"/>
    <cellStyle name="Normal 12 8 3" xfId="5537" xr:uid="{00000000-0005-0000-0000-0000FA3F0000}"/>
    <cellStyle name="Normal 12 8 3 2" xfId="14861" xr:uid="{00000000-0005-0000-0000-0000FB3F0000}"/>
    <cellStyle name="Normal 12 8 3 3" xfId="24184" xr:uid="{00000000-0005-0000-0000-0000FC3F0000}"/>
    <cellStyle name="Normal 12 8 4" xfId="11607" xr:uid="{00000000-0005-0000-0000-0000FD3F0000}"/>
    <cellStyle name="Normal 12 8 5" xfId="20933" xr:uid="{00000000-0005-0000-0000-0000FE3F0000}"/>
    <cellStyle name="Normal 12 9" xfId="2907" xr:uid="{00000000-0005-0000-0000-0000FF3F0000}"/>
    <cellStyle name="Normal 122" xfId="28816" xr:uid="{00000000-0005-0000-0000-000000400000}"/>
    <cellStyle name="Normal 13" xfId="1114" xr:uid="{00000000-0005-0000-0000-000001400000}"/>
    <cellStyle name="Normal 13 10" xfId="2117" xr:uid="{00000000-0005-0000-0000-000002400000}"/>
    <cellStyle name="Normal 13 10 2" xfId="3842" xr:uid="{00000000-0005-0000-0000-000003400000}"/>
    <cellStyle name="Normal 13 10 2 2" xfId="8519" xr:uid="{00000000-0005-0000-0000-000004400000}"/>
    <cellStyle name="Normal 13 10 2 2 2" xfId="17843" xr:uid="{00000000-0005-0000-0000-000005400000}"/>
    <cellStyle name="Normal 13 10 2 2 3" xfId="27166" xr:uid="{00000000-0005-0000-0000-000006400000}"/>
    <cellStyle name="Normal 13 10 2 3" xfId="13176" xr:uid="{00000000-0005-0000-0000-000007400000}"/>
    <cellStyle name="Normal 13 10 2 4" xfId="22500" xr:uid="{00000000-0005-0000-0000-000008400000}"/>
    <cellStyle name="Normal 13 10 3" xfId="5551" xr:uid="{00000000-0005-0000-0000-000009400000}"/>
    <cellStyle name="Normal 13 10 3 2" xfId="14875" xr:uid="{00000000-0005-0000-0000-00000A400000}"/>
    <cellStyle name="Normal 13 10 3 3" xfId="24198" xr:uid="{00000000-0005-0000-0000-00000B400000}"/>
    <cellStyle name="Normal 13 10 4" xfId="11621" xr:uid="{00000000-0005-0000-0000-00000C400000}"/>
    <cellStyle name="Normal 13 10 5" xfId="20947" xr:uid="{00000000-0005-0000-0000-00000D400000}"/>
    <cellStyle name="Normal 13 11" xfId="2908" xr:uid="{00000000-0005-0000-0000-00000E400000}"/>
    <cellStyle name="Normal 13 12" xfId="1249" xr:uid="{00000000-0005-0000-0000-00000F400000}"/>
    <cellStyle name="Normal 13 13" xfId="10713" xr:uid="{00000000-0005-0000-0000-000010400000}"/>
    <cellStyle name="Normal 13 14" xfId="20037" xr:uid="{00000000-0005-0000-0000-000011400000}"/>
    <cellStyle name="Normal 13 15" xfId="28573" xr:uid="{00000000-0005-0000-0000-000012400000}"/>
    <cellStyle name="Normal 13 2" xfId="2118" xr:uid="{00000000-0005-0000-0000-000013400000}"/>
    <cellStyle name="Normal 13 2 10" xfId="5552" xr:uid="{00000000-0005-0000-0000-000014400000}"/>
    <cellStyle name="Normal 13 2 10 2" xfId="14876" xr:uid="{00000000-0005-0000-0000-000015400000}"/>
    <cellStyle name="Normal 13 2 10 3" xfId="24199" xr:uid="{00000000-0005-0000-0000-000016400000}"/>
    <cellStyle name="Normal 13 2 11" xfId="11622" xr:uid="{00000000-0005-0000-0000-000017400000}"/>
    <cellStyle name="Normal 13 2 12" xfId="20948" xr:uid="{00000000-0005-0000-0000-000018400000}"/>
    <cellStyle name="Normal 13 2 13" xfId="28946" xr:uid="{00000000-0005-0000-0000-000019400000}"/>
    <cellStyle name="Normal 13 2 2" xfId="2119" xr:uid="{00000000-0005-0000-0000-00001A400000}"/>
    <cellStyle name="Normal 13 2 2 10" xfId="11623" xr:uid="{00000000-0005-0000-0000-00001B400000}"/>
    <cellStyle name="Normal 13 2 2 11" xfId="20949" xr:uid="{00000000-0005-0000-0000-00001C400000}"/>
    <cellStyle name="Normal 13 2 2 2" xfId="2120" xr:uid="{00000000-0005-0000-0000-00001D400000}"/>
    <cellStyle name="Normal 13 2 2 2 2" xfId="2121" xr:uid="{00000000-0005-0000-0000-00001E400000}"/>
    <cellStyle name="Normal 13 2 2 2 2 2" xfId="2122" xr:uid="{00000000-0005-0000-0000-00001F400000}"/>
    <cellStyle name="Normal 13 2 2 2 2 2 2" xfId="3847" xr:uid="{00000000-0005-0000-0000-000020400000}"/>
    <cellStyle name="Normal 13 2 2 2 2 2 2 2" xfId="8524" xr:uid="{00000000-0005-0000-0000-000021400000}"/>
    <cellStyle name="Normal 13 2 2 2 2 2 2 2 2" xfId="17848" xr:uid="{00000000-0005-0000-0000-000022400000}"/>
    <cellStyle name="Normal 13 2 2 2 2 2 2 2 3" xfId="27171" xr:uid="{00000000-0005-0000-0000-000023400000}"/>
    <cellStyle name="Normal 13 2 2 2 2 2 2 3" xfId="13181" xr:uid="{00000000-0005-0000-0000-000024400000}"/>
    <cellStyle name="Normal 13 2 2 2 2 2 2 4" xfId="22505" xr:uid="{00000000-0005-0000-0000-000025400000}"/>
    <cellStyle name="Normal 13 2 2 2 2 2 3" xfId="5556" xr:uid="{00000000-0005-0000-0000-000026400000}"/>
    <cellStyle name="Normal 13 2 2 2 2 2 3 2" xfId="14880" xr:uid="{00000000-0005-0000-0000-000027400000}"/>
    <cellStyle name="Normal 13 2 2 2 2 2 3 3" xfId="24203" xr:uid="{00000000-0005-0000-0000-000028400000}"/>
    <cellStyle name="Normal 13 2 2 2 2 2 4" xfId="11626" xr:uid="{00000000-0005-0000-0000-000029400000}"/>
    <cellStyle name="Normal 13 2 2 2 2 2 5" xfId="20952" xr:uid="{00000000-0005-0000-0000-00002A400000}"/>
    <cellStyle name="Normal 13 2 2 2 2 3" xfId="3846" xr:uid="{00000000-0005-0000-0000-00002B400000}"/>
    <cellStyle name="Normal 13 2 2 2 2 3 2" xfId="8523" xr:uid="{00000000-0005-0000-0000-00002C400000}"/>
    <cellStyle name="Normal 13 2 2 2 2 3 2 2" xfId="17847" xr:uid="{00000000-0005-0000-0000-00002D400000}"/>
    <cellStyle name="Normal 13 2 2 2 2 3 2 3" xfId="27170" xr:uid="{00000000-0005-0000-0000-00002E400000}"/>
    <cellStyle name="Normal 13 2 2 2 2 3 3" xfId="13180" xr:uid="{00000000-0005-0000-0000-00002F400000}"/>
    <cellStyle name="Normal 13 2 2 2 2 3 4" xfId="22504" xr:uid="{00000000-0005-0000-0000-000030400000}"/>
    <cellStyle name="Normal 13 2 2 2 2 4" xfId="5555" xr:uid="{00000000-0005-0000-0000-000031400000}"/>
    <cellStyle name="Normal 13 2 2 2 2 4 2" xfId="14879" xr:uid="{00000000-0005-0000-0000-000032400000}"/>
    <cellStyle name="Normal 13 2 2 2 2 4 3" xfId="24202" xr:uid="{00000000-0005-0000-0000-000033400000}"/>
    <cellStyle name="Normal 13 2 2 2 2 5" xfId="11625" xr:uid="{00000000-0005-0000-0000-000034400000}"/>
    <cellStyle name="Normal 13 2 2 2 2 6" xfId="20951" xr:uid="{00000000-0005-0000-0000-000035400000}"/>
    <cellStyle name="Normal 13 2 2 2 3" xfId="2123" xr:uid="{00000000-0005-0000-0000-000036400000}"/>
    <cellStyle name="Normal 13 2 2 2 3 2" xfId="3848" xr:uid="{00000000-0005-0000-0000-000037400000}"/>
    <cellStyle name="Normal 13 2 2 2 3 2 2" xfId="8525" xr:uid="{00000000-0005-0000-0000-000038400000}"/>
    <cellStyle name="Normal 13 2 2 2 3 2 2 2" xfId="17849" xr:uid="{00000000-0005-0000-0000-000039400000}"/>
    <cellStyle name="Normal 13 2 2 2 3 2 2 3" xfId="27172" xr:uid="{00000000-0005-0000-0000-00003A400000}"/>
    <cellStyle name="Normal 13 2 2 2 3 2 3" xfId="13182" xr:uid="{00000000-0005-0000-0000-00003B400000}"/>
    <cellStyle name="Normal 13 2 2 2 3 2 4" xfId="22506" xr:uid="{00000000-0005-0000-0000-00003C400000}"/>
    <cellStyle name="Normal 13 2 2 2 3 3" xfId="5557" xr:uid="{00000000-0005-0000-0000-00003D400000}"/>
    <cellStyle name="Normal 13 2 2 2 3 3 2" xfId="14881" xr:uid="{00000000-0005-0000-0000-00003E400000}"/>
    <cellStyle name="Normal 13 2 2 2 3 3 3" xfId="24204" xr:uid="{00000000-0005-0000-0000-00003F400000}"/>
    <cellStyle name="Normal 13 2 2 2 3 4" xfId="11627" xr:uid="{00000000-0005-0000-0000-000040400000}"/>
    <cellStyle name="Normal 13 2 2 2 3 5" xfId="20953" xr:uid="{00000000-0005-0000-0000-000041400000}"/>
    <cellStyle name="Normal 13 2 2 2 4" xfId="3845" xr:uid="{00000000-0005-0000-0000-000042400000}"/>
    <cellStyle name="Normal 13 2 2 2 4 2" xfId="8522" xr:uid="{00000000-0005-0000-0000-000043400000}"/>
    <cellStyle name="Normal 13 2 2 2 4 2 2" xfId="17846" xr:uid="{00000000-0005-0000-0000-000044400000}"/>
    <cellStyle name="Normal 13 2 2 2 4 2 3" xfId="27169" xr:uid="{00000000-0005-0000-0000-000045400000}"/>
    <cellStyle name="Normal 13 2 2 2 4 3" xfId="13179" xr:uid="{00000000-0005-0000-0000-000046400000}"/>
    <cellStyle name="Normal 13 2 2 2 4 4" xfId="22503" xr:uid="{00000000-0005-0000-0000-000047400000}"/>
    <cellStyle name="Normal 13 2 2 2 5" xfId="5554" xr:uid="{00000000-0005-0000-0000-000048400000}"/>
    <cellStyle name="Normal 13 2 2 2 5 2" xfId="14878" xr:uid="{00000000-0005-0000-0000-000049400000}"/>
    <cellStyle name="Normal 13 2 2 2 5 3" xfId="24201" xr:uid="{00000000-0005-0000-0000-00004A400000}"/>
    <cellStyle name="Normal 13 2 2 2 6" xfId="11624" xr:uid="{00000000-0005-0000-0000-00004B400000}"/>
    <cellStyle name="Normal 13 2 2 2 7" xfId="20950" xr:uid="{00000000-0005-0000-0000-00004C400000}"/>
    <cellStyle name="Normal 13 2 2 3" xfId="2124" xr:uid="{00000000-0005-0000-0000-00004D400000}"/>
    <cellStyle name="Normal 13 2 2 3 2" xfId="2125" xr:uid="{00000000-0005-0000-0000-00004E400000}"/>
    <cellStyle name="Normal 13 2 2 3 2 2" xfId="2126" xr:uid="{00000000-0005-0000-0000-00004F400000}"/>
    <cellStyle name="Normal 13 2 2 3 2 2 2" xfId="3851" xr:uid="{00000000-0005-0000-0000-000050400000}"/>
    <cellStyle name="Normal 13 2 2 3 2 2 2 2" xfId="8528" xr:uid="{00000000-0005-0000-0000-000051400000}"/>
    <cellStyle name="Normal 13 2 2 3 2 2 2 2 2" xfId="17852" xr:uid="{00000000-0005-0000-0000-000052400000}"/>
    <cellStyle name="Normal 13 2 2 3 2 2 2 2 3" xfId="27175" xr:uid="{00000000-0005-0000-0000-000053400000}"/>
    <cellStyle name="Normal 13 2 2 3 2 2 2 3" xfId="13185" xr:uid="{00000000-0005-0000-0000-000054400000}"/>
    <cellStyle name="Normal 13 2 2 3 2 2 2 4" xfId="22509" xr:uid="{00000000-0005-0000-0000-000055400000}"/>
    <cellStyle name="Normal 13 2 2 3 2 2 3" xfId="5560" xr:uid="{00000000-0005-0000-0000-000056400000}"/>
    <cellStyle name="Normal 13 2 2 3 2 2 3 2" xfId="14884" xr:uid="{00000000-0005-0000-0000-000057400000}"/>
    <cellStyle name="Normal 13 2 2 3 2 2 3 3" xfId="24207" xr:uid="{00000000-0005-0000-0000-000058400000}"/>
    <cellStyle name="Normal 13 2 2 3 2 2 4" xfId="11630" xr:uid="{00000000-0005-0000-0000-000059400000}"/>
    <cellStyle name="Normal 13 2 2 3 2 2 5" xfId="20956" xr:uid="{00000000-0005-0000-0000-00005A400000}"/>
    <cellStyle name="Normal 13 2 2 3 2 3" xfId="3850" xr:uid="{00000000-0005-0000-0000-00005B400000}"/>
    <cellStyle name="Normal 13 2 2 3 2 3 2" xfId="8527" xr:uid="{00000000-0005-0000-0000-00005C400000}"/>
    <cellStyle name="Normal 13 2 2 3 2 3 2 2" xfId="17851" xr:uid="{00000000-0005-0000-0000-00005D400000}"/>
    <cellStyle name="Normal 13 2 2 3 2 3 2 3" xfId="27174" xr:uid="{00000000-0005-0000-0000-00005E400000}"/>
    <cellStyle name="Normal 13 2 2 3 2 3 3" xfId="13184" xr:uid="{00000000-0005-0000-0000-00005F400000}"/>
    <cellStyle name="Normal 13 2 2 3 2 3 4" xfId="22508" xr:uid="{00000000-0005-0000-0000-000060400000}"/>
    <cellStyle name="Normal 13 2 2 3 2 4" xfId="5559" xr:uid="{00000000-0005-0000-0000-000061400000}"/>
    <cellStyle name="Normal 13 2 2 3 2 4 2" xfId="14883" xr:uid="{00000000-0005-0000-0000-000062400000}"/>
    <cellStyle name="Normal 13 2 2 3 2 4 3" xfId="24206" xr:uid="{00000000-0005-0000-0000-000063400000}"/>
    <cellStyle name="Normal 13 2 2 3 2 5" xfId="11629" xr:uid="{00000000-0005-0000-0000-000064400000}"/>
    <cellStyle name="Normal 13 2 2 3 2 6" xfId="20955" xr:uid="{00000000-0005-0000-0000-000065400000}"/>
    <cellStyle name="Normal 13 2 2 3 3" xfId="2127" xr:uid="{00000000-0005-0000-0000-000066400000}"/>
    <cellStyle name="Normal 13 2 2 3 3 2" xfId="3852" xr:uid="{00000000-0005-0000-0000-000067400000}"/>
    <cellStyle name="Normal 13 2 2 3 3 2 2" xfId="8529" xr:uid="{00000000-0005-0000-0000-000068400000}"/>
    <cellStyle name="Normal 13 2 2 3 3 2 2 2" xfId="17853" xr:uid="{00000000-0005-0000-0000-000069400000}"/>
    <cellStyle name="Normal 13 2 2 3 3 2 2 3" xfId="27176" xr:uid="{00000000-0005-0000-0000-00006A400000}"/>
    <cellStyle name="Normal 13 2 2 3 3 2 3" xfId="13186" xr:uid="{00000000-0005-0000-0000-00006B400000}"/>
    <cellStyle name="Normal 13 2 2 3 3 2 4" xfId="22510" xr:uid="{00000000-0005-0000-0000-00006C400000}"/>
    <cellStyle name="Normal 13 2 2 3 3 3" xfId="5561" xr:uid="{00000000-0005-0000-0000-00006D400000}"/>
    <cellStyle name="Normal 13 2 2 3 3 3 2" xfId="14885" xr:uid="{00000000-0005-0000-0000-00006E400000}"/>
    <cellStyle name="Normal 13 2 2 3 3 3 3" xfId="24208" xr:uid="{00000000-0005-0000-0000-00006F400000}"/>
    <cellStyle name="Normal 13 2 2 3 3 4" xfId="11631" xr:uid="{00000000-0005-0000-0000-000070400000}"/>
    <cellStyle name="Normal 13 2 2 3 3 5" xfId="20957" xr:uid="{00000000-0005-0000-0000-000071400000}"/>
    <cellStyle name="Normal 13 2 2 3 4" xfId="3849" xr:uid="{00000000-0005-0000-0000-000072400000}"/>
    <cellStyle name="Normal 13 2 2 3 4 2" xfId="8526" xr:uid="{00000000-0005-0000-0000-000073400000}"/>
    <cellStyle name="Normal 13 2 2 3 4 2 2" xfId="17850" xr:uid="{00000000-0005-0000-0000-000074400000}"/>
    <cellStyle name="Normal 13 2 2 3 4 2 3" xfId="27173" xr:uid="{00000000-0005-0000-0000-000075400000}"/>
    <cellStyle name="Normal 13 2 2 3 4 3" xfId="13183" xr:uid="{00000000-0005-0000-0000-000076400000}"/>
    <cellStyle name="Normal 13 2 2 3 4 4" xfId="22507" xr:uid="{00000000-0005-0000-0000-000077400000}"/>
    <cellStyle name="Normal 13 2 2 3 5" xfId="5558" xr:uid="{00000000-0005-0000-0000-000078400000}"/>
    <cellStyle name="Normal 13 2 2 3 5 2" xfId="14882" xr:uid="{00000000-0005-0000-0000-000079400000}"/>
    <cellStyle name="Normal 13 2 2 3 5 3" xfId="24205" xr:uid="{00000000-0005-0000-0000-00007A400000}"/>
    <cellStyle name="Normal 13 2 2 3 6" xfId="11628" xr:uid="{00000000-0005-0000-0000-00007B400000}"/>
    <cellStyle name="Normal 13 2 2 3 7" xfId="20954" xr:uid="{00000000-0005-0000-0000-00007C400000}"/>
    <cellStyle name="Normal 13 2 2 4" xfId="2128" xr:uid="{00000000-0005-0000-0000-00007D400000}"/>
    <cellStyle name="Normal 13 2 2 4 2" xfId="2129" xr:uid="{00000000-0005-0000-0000-00007E400000}"/>
    <cellStyle name="Normal 13 2 2 4 2 2" xfId="3854" xr:uid="{00000000-0005-0000-0000-00007F400000}"/>
    <cellStyle name="Normal 13 2 2 4 2 2 2" xfId="8531" xr:uid="{00000000-0005-0000-0000-000080400000}"/>
    <cellStyle name="Normal 13 2 2 4 2 2 2 2" xfId="17855" xr:uid="{00000000-0005-0000-0000-000081400000}"/>
    <cellStyle name="Normal 13 2 2 4 2 2 2 3" xfId="27178" xr:uid="{00000000-0005-0000-0000-000082400000}"/>
    <cellStyle name="Normal 13 2 2 4 2 2 3" xfId="13188" xr:uid="{00000000-0005-0000-0000-000083400000}"/>
    <cellStyle name="Normal 13 2 2 4 2 2 4" xfId="22512" xr:uid="{00000000-0005-0000-0000-000084400000}"/>
    <cellStyle name="Normal 13 2 2 4 2 3" xfId="5563" xr:uid="{00000000-0005-0000-0000-000085400000}"/>
    <cellStyle name="Normal 13 2 2 4 2 3 2" xfId="14887" xr:uid="{00000000-0005-0000-0000-000086400000}"/>
    <cellStyle name="Normal 13 2 2 4 2 3 3" xfId="24210" xr:uid="{00000000-0005-0000-0000-000087400000}"/>
    <cellStyle name="Normal 13 2 2 4 2 4" xfId="11633" xr:uid="{00000000-0005-0000-0000-000088400000}"/>
    <cellStyle name="Normal 13 2 2 4 2 5" xfId="20959" xr:uid="{00000000-0005-0000-0000-000089400000}"/>
    <cellStyle name="Normal 13 2 2 4 3" xfId="3853" xr:uid="{00000000-0005-0000-0000-00008A400000}"/>
    <cellStyle name="Normal 13 2 2 4 3 2" xfId="8530" xr:uid="{00000000-0005-0000-0000-00008B400000}"/>
    <cellStyle name="Normal 13 2 2 4 3 2 2" xfId="17854" xr:uid="{00000000-0005-0000-0000-00008C400000}"/>
    <cellStyle name="Normal 13 2 2 4 3 2 3" xfId="27177" xr:uid="{00000000-0005-0000-0000-00008D400000}"/>
    <cellStyle name="Normal 13 2 2 4 3 3" xfId="13187" xr:uid="{00000000-0005-0000-0000-00008E400000}"/>
    <cellStyle name="Normal 13 2 2 4 3 4" xfId="22511" xr:uid="{00000000-0005-0000-0000-00008F400000}"/>
    <cellStyle name="Normal 13 2 2 4 4" xfId="5562" xr:uid="{00000000-0005-0000-0000-000090400000}"/>
    <cellStyle name="Normal 13 2 2 4 4 2" xfId="14886" xr:uid="{00000000-0005-0000-0000-000091400000}"/>
    <cellStyle name="Normal 13 2 2 4 4 3" xfId="24209" xr:uid="{00000000-0005-0000-0000-000092400000}"/>
    <cellStyle name="Normal 13 2 2 4 5" xfId="11632" xr:uid="{00000000-0005-0000-0000-000093400000}"/>
    <cellStyle name="Normal 13 2 2 4 6" xfId="20958" xr:uid="{00000000-0005-0000-0000-000094400000}"/>
    <cellStyle name="Normal 13 2 2 5" xfId="2130" xr:uid="{00000000-0005-0000-0000-000095400000}"/>
    <cellStyle name="Normal 13 2 2 5 2" xfId="3855" xr:uid="{00000000-0005-0000-0000-000096400000}"/>
    <cellStyle name="Normal 13 2 2 5 2 2" xfId="8532" xr:uid="{00000000-0005-0000-0000-000097400000}"/>
    <cellStyle name="Normal 13 2 2 5 2 2 2" xfId="17856" xr:uid="{00000000-0005-0000-0000-000098400000}"/>
    <cellStyle name="Normal 13 2 2 5 2 2 3" xfId="27179" xr:uid="{00000000-0005-0000-0000-000099400000}"/>
    <cellStyle name="Normal 13 2 2 5 2 3" xfId="13189" xr:uid="{00000000-0005-0000-0000-00009A400000}"/>
    <cellStyle name="Normal 13 2 2 5 2 4" xfId="22513" xr:uid="{00000000-0005-0000-0000-00009B400000}"/>
    <cellStyle name="Normal 13 2 2 5 3" xfId="5564" xr:uid="{00000000-0005-0000-0000-00009C400000}"/>
    <cellStyle name="Normal 13 2 2 5 3 2" xfId="14888" xr:uid="{00000000-0005-0000-0000-00009D400000}"/>
    <cellStyle name="Normal 13 2 2 5 3 3" xfId="24211" xr:uid="{00000000-0005-0000-0000-00009E400000}"/>
    <cellStyle name="Normal 13 2 2 5 4" xfId="11634" xr:uid="{00000000-0005-0000-0000-00009F400000}"/>
    <cellStyle name="Normal 13 2 2 5 5" xfId="20960" xr:uid="{00000000-0005-0000-0000-0000A0400000}"/>
    <cellStyle name="Normal 13 2 2 6" xfId="2131" xr:uid="{00000000-0005-0000-0000-0000A1400000}"/>
    <cellStyle name="Normal 13 2 2 6 2" xfId="3856" xr:uid="{00000000-0005-0000-0000-0000A2400000}"/>
    <cellStyle name="Normal 13 2 2 6 2 2" xfId="8533" xr:uid="{00000000-0005-0000-0000-0000A3400000}"/>
    <cellStyle name="Normal 13 2 2 6 2 2 2" xfId="17857" xr:uid="{00000000-0005-0000-0000-0000A4400000}"/>
    <cellStyle name="Normal 13 2 2 6 2 2 3" xfId="27180" xr:uid="{00000000-0005-0000-0000-0000A5400000}"/>
    <cellStyle name="Normal 13 2 2 6 2 3" xfId="13190" xr:uid="{00000000-0005-0000-0000-0000A6400000}"/>
    <cellStyle name="Normal 13 2 2 6 2 4" xfId="22514" xr:uid="{00000000-0005-0000-0000-0000A7400000}"/>
    <cellStyle name="Normal 13 2 2 6 3" xfId="5565" xr:uid="{00000000-0005-0000-0000-0000A8400000}"/>
    <cellStyle name="Normal 13 2 2 6 3 2" xfId="14889" xr:uid="{00000000-0005-0000-0000-0000A9400000}"/>
    <cellStyle name="Normal 13 2 2 6 3 3" xfId="24212" xr:uid="{00000000-0005-0000-0000-0000AA400000}"/>
    <cellStyle name="Normal 13 2 2 6 4" xfId="11635" xr:uid="{00000000-0005-0000-0000-0000AB400000}"/>
    <cellStyle name="Normal 13 2 2 6 5" xfId="20961" xr:uid="{00000000-0005-0000-0000-0000AC400000}"/>
    <cellStyle name="Normal 13 2 2 7" xfId="2132" xr:uid="{00000000-0005-0000-0000-0000AD400000}"/>
    <cellStyle name="Normal 13 2 2 7 2" xfId="3857" xr:uid="{00000000-0005-0000-0000-0000AE400000}"/>
    <cellStyle name="Normal 13 2 2 7 2 2" xfId="8534" xr:uid="{00000000-0005-0000-0000-0000AF400000}"/>
    <cellStyle name="Normal 13 2 2 7 2 2 2" xfId="17858" xr:uid="{00000000-0005-0000-0000-0000B0400000}"/>
    <cellStyle name="Normal 13 2 2 7 2 2 3" xfId="27181" xr:uid="{00000000-0005-0000-0000-0000B1400000}"/>
    <cellStyle name="Normal 13 2 2 7 2 3" xfId="13191" xr:uid="{00000000-0005-0000-0000-0000B2400000}"/>
    <cellStyle name="Normal 13 2 2 7 2 4" xfId="22515" xr:uid="{00000000-0005-0000-0000-0000B3400000}"/>
    <cellStyle name="Normal 13 2 2 7 3" xfId="5566" xr:uid="{00000000-0005-0000-0000-0000B4400000}"/>
    <cellStyle name="Normal 13 2 2 7 3 2" xfId="14890" xr:uid="{00000000-0005-0000-0000-0000B5400000}"/>
    <cellStyle name="Normal 13 2 2 7 3 3" xfId="24213" xr:uid="{00000000-0005-0000-0000-0000B6400000}"/>
    <cellStyle name="Normal 13 2 2 7 4" xfId="11636" xr:uid="{00000000-0005-0000-0000-0000B7400000}"/>
    <cellStyle name="Normal 13 2 2 7 5" xfId="20962" xr:uid="{00000000-0005-0000-0000-0000B8400000}"/>
    <cellStyle name="Normal 13 2 2 8" xfId="3844" xr:uid="{00000000-0005-0000-0000-0000B9400000}"/>
    <cellStyle name="Normal 13 2 2 8 2" xfId="8521" xr:uid="{00000000-0005-0000-0000-0000BA400000}"/>
    <cellStyle name="Normal 13 2 2 8 2 2" xfId="17845" xr:uid="{00000000-0005-0000-0000-0000BB400000}"/>
    <cellStyle name="Normal 13 2 2 8 2 3" xfId="27168" xr:uid="{00000000-0005-0000-0000-0000BC400000}"/>
    <cellStyle name="Normal 13 2 2 8 3" xfId="13178" xr:uid="{00000000-0005-0000-0000-0000BD400000}"/>
    <cellStyle name="Normal 13 2 2 8 4" xfId="22502" xr:uid="{00000000-0005-0000-0000-0000BE400000}"/>
    <cellStyle name="Normal 13 2 2 9" xfId="5553" xr:uid="{00000000-0005-0000-0000-0000BF400000}"/>
    <cellStyle name="Normal 13 2 2 9 2" xfId="14877" xr:uid="{00000000-0005-0000-0000-0000C0400000}"/>
    <cellStyle name="Normal 13 2 2 9 3" xfId="24200" xr:uid="{00000000-0005-0000-0000-0000C1400000}"/>
    <cellStyle name="Normal 13 2 3" xfId="2133" xr:uid="{00000000-0005-0000-0000-0000C2400000}"/>
    <cellStyle name="Normal 13 2 3 2" xfId="2134" xr:uid="{00000000-0005-0000-0000-0000C3400000}"/>
    <cellStyle name="Normal 13 2 3 2 2" xfId="2135" xr:uid="{00000000-0005-0000-0000-0000C4400000}"/>
    <cellStyle name="Normal 13 2 3 2 2 2" xfId="3860" xr:uid="{00000000-0005-0000-0000-0000C5400000}"/>
    <cellStyle name="Normal 13 2 3 2 2 2 2" xfId="8537" xr:uid="{00000000-0005-0000-0000-0000C6400000}"/>
    <cellStyle name="Normal 13 2 3 2 2 2 2 2" xfId="17861" xr:uid="{00000000-0005-0000-0000-0000C7400000}"/>
    <cellStyle name="Normal 13 2 3 2 2 2 2 3" xfId="27184" xr:uid="{00000000-0005-0000-0000-0000C8400000}"/>
    <cellStyle name="Normal 13 2 3 2 2 2 3" xfId="13194" xr:uid="{00000000-0005-0000-0000-0000C9400000}"/>
    <cellStyle name="Normal 13 2 3 2 2 2 4" xfId="22518" xr:uid="{00000000-0005-0000-0000-0000CA400000}"/>
    <cellStyle name="Normal 13 2 3 2 2 3" xfId="5569" xr:uid="{00000000-0005-0000-0000-0000CB400000}"/>
    <cellStyle name="Normal 13 2 3 2 2 3 2" xfId="14893" xr:uid="{00000000-0005-0000-0000-0000CC400000}"/>
    <cellStyle name="Normal 13 2 3 2 2 3 3" xfId="24216" xr:uid="{00000000-0005-0000-0000-0000CD400000}"/>
    <cellStyle name="Normal 13 2 3 2 2 4" xfId="11639" xr:uid="{00000000-0005-0000-0000-0000CE400000}"/>
    <cellStyle name="Normal 13 2 3 2 2 5" xfId="20965" xr:uid="{00000000-0005-0000-0000-0000CF400000}"/>
    <cellStyle name="Normal 13 2 3 2 3" xfId="3859" xr:uid="{00000000-0005-0000-0000-0000D0400000}"/>
    <cellStyle name="Normal 13 2 3 2 3 2" xfId="8536" xr:uid="{00000000-0005-0000-0000-0000D1400000}"/>
    <cellStyle name="Normal 13 2 3 2 3 2 2" xfId="17860" xr:uid="{00000000-0005-0000-0000-0000D2400000}"/>
    <cellStyle name="Normal 13 2 3 2 3 2 3" xfId="27183" xr:uid="{00000000-0005-0000-0000-0000D3400000}"/>
    <cellStyle name="Normal 13 2 3 2 3 3" xfId="13193" xr:uid="{00000000-0005-0000-0000-0000D4400000}"/>
    <cellStyle name="Normal 13 2 3 2 3 4" xfId="22517" xr:uid="{00000000-0005-0000-0000-0000D5400000}"/>
    <cellStyle name="Normal 13 2 3 2 4" xfId="5568" xr:uid="{00000000-0005-0000-0000-0000D6400000}"/>
    <cellStyle name="Normal 13 2 3 2 4 2" xfId="14892" xr:uid="{00000000-0005-0000-0000-0000D7400000}"/>
    <cellStyle name="Normal 13 2 3 2 4 3" xfId="24215" xr:uid="{00000000-0005-0000-0000-0000D8400000}"/>
    <cellStyle name="Normal 13 2 3 2 5" xfId="11638" xr:uid="{00000000-0005-0000-0000-0000D9400000}"/>
    <cellStyle name="Normal 13 2 3 2 6" xfId="20964" xr:uid="{00000000-0005-0000-0000-0000DA400000}"/>
    <cellStyle name="Normal 13 2 3 3" xfId="2136" xr:uid="{00000000-0005-0000-0000-0000DB400000}"/>
    <cellStyle name="Normal 13 2 3 3 2" xfId="3861" xr:uid="{00000000-0005-0000-0000-0000DC400000}"/>
    <cellStyle name="Normal 13 2 3 3 2 2" xfId="8538" xr:uid="{00000000-0005-0000-0000-0000DD400000}"/>
    <cellStyle name="Normal 13 2 3 3 2 2 2" xfId="17862" xr:uid="{00000000-0005-0000-0000-0000DE400000}"/>
    <cellStyle name="Normal 13 2 3 3 2 2 3" xfId="27185" xr:uid="{00000000-0005-0000-0000-0000DF400000}"/>
    <cellStyle name="Normal 13 2 3 3 2 3" xfId="13195" xr:uid="{00000000-0005-0000-0000-0000E0400000}"/>
    <cellStyle name="Normal 13 2 3 3 2 4" xfId="22519" xr:uid="{00000000-0005-0000-0000-0000E1400000}"/>
    <cellStyle name="Normal 13 2 3 3 3" xfId="5570" xr:uid="{00000000-0005-0000-0000-0000E2400000}"/>
    <cellStyle name="Normal 13 2 3 3 3 2" xfId="14894" xr:uid="{00000000-0005-0000-0000-0000E3400000}"/>
    <cellStyle name="Normal 13 2 3 3 3 3" xfId="24217" xr:uid="{00000000-0005-0000-0000-0000E4400000}"/>
    <cellStyle name="Normal 13 2 3 3 4" xfId="11640" xr:uid="{00000000-0005-0000-0000-0000E5400000}"/>
    <cellStyle name="Normal 13 2 3 3 5" xfId="20966" xr:uid="{00000000-0005-0000-0000-0000E6400000}"/>
    <cellStyle name="Normal 13 2 3 4" xfId="3858" xr:uid="{00000000-0005-0000-0000-0000E7400000}"/>
    <cellStyle name="Normal 13 2 3 4 2" xfId="8535" xr:uid="{00000000-0005-0000-0000-0000E8400000}"/>
    <cellStyle name="Normal 13 2 3 4 2 2" xfId="17859" xr:uid="{00000000-0005-0000-0000-0000E9400000}"/>
    <cellStyle name="Normal 13 2 3 4 2 3" xfId="27182" xr:uid="{00000000-0005-0000-0000-0000EA400000}"/>
    <cellStyle name="Normal 13 2 3 4 3" xfId="13192" xr:uid="{00000000-0005-0000-0000-0000EB400000}"/>
    <cellStyle name="Normal 13 2 3 4 4" xfId="22516" xr:uid="{00000000-0005-0000-0000-0000EC400000}"/>
    <cellStyle name="Normal 13 2 3 5" xfId="5567" xr:uid="{00000000-0005-0000-0000-0000ED400000}"/>
    <cellStyle name="Normal 13 2 3 5 2" xfId="14891" xr:uid="{00000000-0005-0000-0000-0000EE400000}"/>
    <cellStyle name="Normal 13 2 3 5 3" xfId="24214" xr:uid="{00000000-0005-0000-0000-0000EF400000}"/>
    <cellStyle name="Normal 13 2 3 6" xfId="11637" xr:uid="{00000000-0005-0000-0000-0000F0400000}"/>
    <cellStyle name="Normal 13 2 3 7" xfId="20963" xr:uid="{00000000-0005-0000-0000-0000F1400000}"/>
    <cellStyle name="Normal 13 2 4" xfId="2137" xr:uid="{00000000-0005-0000-0000-0000F2400000}"/>
    <cellStyle name="Normal 13 2 4 2" xfId="2138" xr:uid="{00000000-0005-0000-0000-0000F3400000}"/>
    <cellStyle name="Normal 13 2 4 2 2" xfId="2139" xr:uid="{00000000-0005-0000-0000-0000F4400000}"/>
    <cellStyle name="Normal 13 2 4 2 2 2" xfId="3864" xr:uid="{00000000-0005-0000-0000-0000F5400000}"/>
    <cellStyle name="Normal 13 2 4 2 2 2 2" xfId="8541" xr:uid="{00000000-0005-0000-0000-0000F6400000}"/>
    <cellStyle name="Normal 13 2 4 2 2 2 2 2" xfId="17865" xr:uid="{00000000-0005-0000-0000-0000F7400000}"/>
    <cellStyle name="Normal 13 2 4 2 2 2 2 3" xfId="27188" xr:uid="{00000000-0005-0000-0000-0000F8400000}"/>
    <cellStyle name="Normal 13 2 4 2 2 2 3" xfId="13198" xr:uid="{00000000-0005-0000-0000-0000F9400000}"/>
    <cellStyle name="Normal 13 2 4 2 2 2 4" xfId="22522" xr:uid="{00000000-0005-0000-0000-0000FA400000}"/>
    <cellStyle name="Normal 13 2 4 2 2 3" xfId="5573" xr:uid="{00000000-0005-0000-0000-0000FB400000}"/>
    <cellStyle name="Normal 13 2 4 2 2 3 2" xfId="14897" xr:uid="{00000000-0005-0000-0000-0000FC400000}"/>
    <cellStyle name="Normal 13 2 4 2 2 3 3" xfId="24220" xr:uid="{00000000-0005-0000-0000-0000FD400000}"/>
    <cellStyle name="Normal 13 2 4 2 2 4" xfId="11643" xr:uid="{00000000-0005-0000-0000-0000FE400000}"/>
    <cellStyle name="Normal 13 2 4 2 2 5" xfId="20969" xr:uid="{00000000-0005-0000-0000-0000FF400000}"/>
    <cellStyle name="Normal 13 2 4 2 3" xfId="3863" xr:uid="{00000000-0005-0000-0000-000000410000}"/>
    <cellStyle name="Normal 13 2 4 2 3 2" xfId="8540" xr:uid="{00000000-0005-0000-0000-000001410000}"/>
    <cellStyle name="Normal 13 2 4 2 3 2 2" xfId="17864" xr:uid="{00000000-0005-0000-0000-000002410000}"/>
    <cellStyle name="Normal 13 2 4 2 3 2 3" xfId="27187" xr:uid="{00000000-0005-0000-0000-000003410000}"/>
    <cellStyle name="Normal 13 2 4 2 3 3" xfId="13197" xr:uid="{00000000-0005-0000-0000-000004410000}"/>
    <cellStyle name="Normal 13 2 4 2 3 4" xfId="22521" xr:uid="{00000000-0005-0000-0000-000005410000}"/>
    <cellStyle name="Normal 13 2 4 2 4" xfId="5572" xr:uid="{00000000-0005-0000-0000-000006410000}"/>
    <cellStyle name="Normal 13 2 4 2 4 2" xfId="14896" xr:uid="{00000000-0005-0000-0000-000007410000}"/>
    <cellStyle name="Normal 13 2 4 2 4 3" xfId="24219" xr:uid="{00000000-0005-0000-0000-000008410000}"/>
    <cellStyle name="Normal 13 2 4 2 5" xfId="11642" xr:uid="{00000000-0005-0000-0000-000009410000}"/>
    <cellStyle name="Normal 13 2 4 2 6" xfId="20968" xr:uid="{00000000-0005-0000-0000-00000A410000}"/>
    <cellStyle name="Normal 13 2 4 3" xfId="2140" xr:uid="{00000000-0005-0000-0000-00000B410000}"/>
    <cellStyle name="Normal 13 2 4 3 2" xfId="3865" xr:uid="{00000000-0005-0000-0000-00000C410000}"/>
    <cellStyle name="Normal 13 2 4 3 2 2" xfId="8542" xr:uid="{00000000-0005-0000-0000-00000D410000}"/>
    <cellStyle name="Normal 13 2 4 3 2 2 2" xfId="17866" xr:uid="{00000000-0005-0000-0000-00000E410000}"/>
    <cellStyle name="Normal 13 2 4 3 2 2 3" xfId="27189" xr:uid="{00000000-0005-0000-0000-00000F410000}"/>
    <cellStyle name="Normal 13 2 4 3 2 3" xfId="13199" xr:uid="{00000000-0005-0000-0000-000010410000}"/>
    <cellStyle name="Normal 13 2 4 3 2 4" xfId="22523" xr:uid="{00000000-0005-0000-0000-000011410000}"/>
    <cellStyle name="Normal 13 2 4 3 3" xfId="5574" xr:uid="{00000000-0005-0000-0000-000012410000}"/>
    <cellStyle name="Normal 13 2 4 3 3 2" xfId="14898" xr:uid="{00000000-0005-0000-0000-000013410000}"/>
    <cellStyle name="Normal 13 2 4 3 3 3" xfId="24221" xr:uid="{00000000-0005-0000-0000-000014410000}"/>
    <cellStyle name="Normal 13 2 4 3 4" xfId="11644" xr:uid="{00000000-0005-0000-0000-000015410000}"/>
    <cellStyle name="Normal 13 2 4 3 5" xfId="20970" xr:uid="{00000000-0005-0000-0000-000016410000}"/>
    <cellStyle name="Normal 13 2 4 4" xfId="3862" xr:uid="{00000000-0005-0000-0000-000017410000}"/>
    <cellStyle name="Normal 13 2 4 4 2" xfId="8539" xr:uid="{00000000-0005-0000-0000-000018410000}"/>
    <cellStyle name="Normal 13 2 4 4 2 2" xfId="17863" xr:uid="{00000000-0005-0000-0000-000019410000}"/>
    <cellStyle name="Normal 13 2 4 4 2 3" xfId="27186" xr:uid="{00000000-0005-0000-0000-00001A410000}"/>
    <cellStyle name="Normal 13 2 4 4 3" xfId="13196" xr:uid="{00000000-0005-0000-0000-00001B410000}"/>
    <cellStyle name="Normal 13 2 4 4 4" xfId="22520" xr:uid="{00000000-0005-0000-0000-00001C410000}"/>
    <cellStyle name="Normal 13 2 4 5" xfId="5571" xr:uid="{00000000-0005-0000-0000-00001D410000}"/>
    <cellStyle name="Normal 13 2 4 5 2" xfId="14895" xr:uid="{00000000-0005-0000-0000-00001E410000}"/>
    <cellStyle name="Normal 13 2 4 5 3" xfId="24218" xr:uid="{00000000-0005-0000-0000-00001F410000}"/>
    <cellStyle name="Normal 13 2 4 6" xfId="11641" xr:uid="{00000000-0005-0000-0000-000020410000}"/>
    <cellStyle name="Normal 13 2 4 7" xfId="20967" xr:uid="{00000000-0005-0000-0000-000021410000}"/>
    <cellStyle name="Normal 13 2 5" xfId="2141" xr:uid="{00000000-0005-0000-0000-000022410000}"/>
    <cellStyle name="Normal 13 2 5 2" xfId="2142" xr:uid="{00000000-0005-0000-0000-000023410000}"/>
    <cellStyle name="Normal 13 2 5 2 2" xfId="3867" xr:uid="{00000000-0005-0000-0000-000024410000}"/>
    <cellStyle name="Normal 13 2 5 2 2 2" xfId="8544" xr:uid="{00000000-0005-0000-0000-000025410000}"/>
    <cellStyle name="Normal 13 2 5 2 2 2 2" xfId="17868" xr:uid="{00000000-0005-0000-0000-000026410000}"/>
    <cellStyle name="Normal 13 2 5 2 2 2 3" xfId="27191" xr:uid="{00000000-0005-0000-0000-000027410000}"/>
    <cellStyle name="Normal 13 2 5 2 2 3" xfId="13201" xr:uid="{00000000-0005-0000-0000-000028410000}"/>
    <cellStyle name="Normal 13 2 5 2 2 4" xfId="22525" xr:uid="{00000000-0005-0000-0000-000029410000}"/>
    <cellStyle name="Normal 13 2 5 2 3" xfId="5576" xr:uid="{00000000-0005-0000-0000-00002A410000}"/>
    <cellStyle name="Normal 13 2 5 2 3 2" xfId="14900" xr:uid="{00000000-0005-0000-0000-00002B410000}"/>
    <cellStyle name="Normal 13 2 5 2 3 3" xfId="24223" xr:uid="{00000000-0005-0000-0000-00002C410000}"/>
    <cellStyle name="Normal 13 2 5 2 4" xfId="11646" xr:uid="{00000000-0005-0000-0000-00002D410000}"/>
    <cellStyle name="Normal 13 2 5 2 5" xfId="20972" xr:uid="{00000000-0005-0000-0000-00002E410000}"/>
    <cellStyle name="Normal 13 2 5 3" xfId="3866" xr:uid="{00000000-0005-0000-0000-00002F410000}"/>
    <cellStyle name="Normal 13 2 5 3 2" xfId="8543" xr:uid="{00000000-0005-0000-0000-000030410000}"/>
    <cellStyle name="Normal 13 2 5 3 2 2" xfId="17867" xr:uid="{00000000-0005-0000-0000-000031410000}"/>
    <cellStyle name="Normal 13 2 5 3 2 3" xfId="27190" xr:uid="{00000000-0005-0000-0000-000032410000}"/>
    <cellStyle name="Normal 13 2 5 3 3" xfId="13200" xr:uid="{00000000-0005-0000-0000-000033410000}"/>
    <cellStyle name="Normal 13 2 5 3 4" xfId="22524" xr:uid="{00000000-0005-0000-0000-000034410000}"/>
    <cellStyle name="Normal 13 2 5 4" xfId="5575" xr:uid="{00000000-0005-0000-0000-000035410000}"/>
    <cellStyle name="Normal 13 2 5 4 2" xfId="14899" xr:uid="{00000000-0005-0000-0000-000036410000}"/>
    <cellStyle name="Normal 13 2 5 4 3" xfId="24222" xr:uid="{00000000-0005-0000-0000-000037410000}"/>
    <cellStyle name="Normal 13 2 5 5" xfId="11645" xr:uid="{00000000-0005-0000-0000-000038410000}"/>
    <cellStyle name="Normal 13 2 5 6" xfId="20971" xr:uid="{00000000-0005-0000-0000-000039410000}"/>
    <cellStyle name="Normal 13 2 6" xfId="2143" xr:uid="{00000000-0005-0000-0000-00003A410000}"/>
    <cellStyle name="Normal 13 2 6 2" xfId="3868" xr:uid="{00000000-0005-0000-0000-00003B410000}"/>
    <cellStyle name="Normal 13 2 6 2 2" xfId="8545" xr:uid="{00000000-0005-0000-0000-00003C410000}"/>
    <cellStyle name="Normal 13 2 6 2 2 2" xfId="17869" xr:uid="{00000000-0005-0000-0000-00003D410000}"/>
    <cellStyle name="Normal 13 2 6 2 2 3" xfId="27192" xr:uid="{00000000-0005-0000-0000-00003E410000}"/>
    <cellStyle name="Normal 13 2 6 2 3" xfId="13202" xr:uid="{00000000-0005-0000-0000-00003F410000}"/>
    <cellStyle name="Normal 13 2 6 2 4" xfId="22526" xr:uid="{00000000-0005-0000-0000-000040410000}"/>
    <cellStyle name="Normal 13 2 6 3" xfId="5577" xr:uid="{00000000-0005-0000-0000-000041410000}"/>
    <cellStyle name="Normal 13 2 6 3 2" xfId="14901" xr:uid="{00000000-0005-0000-0000-000042410000}"/>
    <cellStyle name="Normal 13 2 6 3 3" xfId="24224" xr:uid="{00000000-0005-0000-0000-000043410000}"/>
    <cellStyle name="Normal 13 2 6 4" xfId="11647" xr:uid="{00000000-0005-0000-0000-000044410000}"/>
    <cellStyle name="Normal 13 2 6 5" xfId="20973" xr:uid="{00000000-0005-0000-0000-000045410000}"/>
    <cellStyle name="Normal 13 2 7" xfId="2144" xr:uid="{00000000-0005-0000-0000-000046410000}"/>
    <cellStyle name="Normal 13 2 7 2" xfId="3869" xr:uid="{00000000-0005-0000-0000-000047410000}"/>
    <cellStyle name="Normal 13 2 7 2 2" xfId="8546" xr:uid="{00000000-0005-0000-0000-000048410000}"/>
    <cellStyle name="Normal 13 2 7 2 2 2" xfId="17870" xr:uid="{00000000-0005-0000-0000-000049410000}"/>
    <cellStyle name="Normal 13 2 7 2 2 3" xfId="27193" xr:uid="{00000000-0005-0000-0000-00004A410000}"/>
    <cellStyle name="Normal 13 2 7 2 3" xfId="13203" xr:uid="{00000000-0005-0000-0000-00004B410000}"/>
    <cellStyle name="Normal 13 2 7 2 4" xfId="22527" xr:uid="{00000000-0005-0000-0000-00004C410000}"/>
    <cellStyle name="Normal 13 2 7 3" xfId="5578" xr:uid="{00000000-0005-0000-0000-00004D410000}"/>
    <cellStyle name="Normal 13 2 7 3 2" xfId="14902" xr:uid="{00000000-0005-0000-0000-00004E410000}"/>
    <cellStyle name="Normal 13 2 7 3 3" xfId="24225" xr:uid="{00000000-0005-0000-0000-00004F410000}"/>
    <cellStyle name="Normal 13 2 7 4" xfId="11648" xr:uid="{00000000-0005-0000-0000-000050410000}"/>
    <cellStyle name="Normal 13 2 7 5" xfId="20974" xr:uid="{00000000-0005-0000-0000-000051410000}"/>
    <cellStyle name="Normal 13 2 8" xfId="2145" xr:uid="{00000000-0005-0000-0000-000052410000}"/>
    <cellStyle name="Normal 13 2 8 2" xfId="3870" xr:uid="{00000000-0005-0000-0000-000053410000}"/>
    <cellStyle name="Normal 13 2 8 2 2" xfId="8547" xr:uid="{00000000-0005-0000-0000-000054410000}"/>
    <cellStyle name="Normal 13 2 8 2 2 2" xfId="17871" xr:uid="{00000000-0005-0000-0000-000055410000}"/>
    <cellStyle name="Normal 13 2 8 2 2 3" xfId="27194" xr:uid="{00000000-0005-0000-0000-000056410000}"/>
    <cellStyle name="Normal 13 2 8 2 3" xfId="13204" xr:uid="{00000000-0005-0000-0000-000057410000}"/>
    <cellStyle name="Normal 13 2 8 2 4" xfId="22528" xr:uid="{00000000-0005-0000-0000-000058410000}"/>
    <cellStyle name="Normal 13 2 8 3" xfId="5579" xr:uid="{00000000-0005-0000-0000-000059410000}"/>
    <cellStyle name="Normal 13 2 8 3 2" xfId="14903" xr:uid="{00000000-0005-0000-0000-00005A410000}"/>
    <cellStyle name="Normal 13 2 8 3 3" xfId="24226" xr:uid="{00000000-0005-0000-0000-00005B410000}"/>
    <cellStyle name="Normal 13 2 8 4" xfId="11649" xr:uid="{00000000-0005-0000-0000-00005C410000}"/>
    <cellStyle name="Normal 13 2 8 5" xfId="20975" xr:uid="{00000000-0005-0000-0000-00005D410000}"/>
    <cellStyle name="Normal 13 2 9" xfId="3843" xr:uid="{00000000-0005-0000-0000-00005E410000}"/>
    <cellStyle name="Normal 13 2 9 2" xfId="8520" xr:uid="{00000000-0005-0000-0000-00005F410000}"/>
    <cellStyle name="Normal 13 2 9 2 2" xfId="17844" xr:uid="{00000000-0005-0000-0000-000060410000}"/>
    <cellStyle name="Normal 13 2 9 2 3" xfId="27167" xr:uid="{00000000-0005-0000-0000-000061410000}"/>
    <cellStyle name="Normal 13 2 9 3" xfId="13177" xr:uid="{00000000-0005-0000-0000-000062410000}"/>
    <cellStyle name="Normal 13 2 9 4" xfId="22501" xr:uid="{00000000-0005-0000-0000-000063410000}"/>
    <cellStyle name="Normal 13 3" xfId="2146" xr:uid="{00000000-0005-0000-0000-000064410000}"/>
    <cellStyle name="Normal 13 3 2" xfId="2147" xr:uid="{00000000-0005-0000-0000-000065410000}"/>
    <cellStyle name="Normal 13 3 2 2" xfId="2148" xr:uid="{00000000-0005-0000-0000-000066410000}"/>
    <cellStyle name="Normal 13 3 2 2 2" xfId="3873" xr:uid="{00000000-0005-0000-0000-000067410000}"/>
    <cellStyle name="Normal 13 3 2 2 2 2" xfId="8550" xr:uid="{00000000-0005-0000-0000-000068410000}"/>
    <cellStyle name="Normal 13 3 2 2 2 2 2" xfId="17874" xr:uid="{00000000-0005-0000-0000-000069410000}"/>
    <cellStyle name="Normal 13 3 2 2 2 2 3" xfId="27197" xr:uid="{00000000-0005-0000-0000-00006A410000}"/>
    <cellStyle name="Normal 13 3 2 2 2 3" xfId="13207" xr:uid="{00000000-0005-0000-0000-00006B410000}"/>
    <cellStyle name="Normal 13 3 2 2 2 4" xfId="22531" xr:uid="{00000000-0005-0000-0000-00006C410000}"/>
    <cellStyle name="Normal 13 3 2 2 3" xfId="5582" xr:uid="{00000000-0005-0000-0000-00006D410000}"/>
    <cellStyle name="Normal 13 3 2 2 3 2" xfId="14906" xr:uid="{00000000-0005-0000-0000-00006E410000}"/>
    <cellStyle name="Normal 13 3 2 2 3 3" xfId="24229" xr:uid="{00000000-0005-0000-0000-00006F410000}"/>
    <cellStyle name="Normal 13 3 2 2 4" xfId="11652" xr:uid="{00000000-0005-0000-0000-000070410000}"/>
    <cellStyle name="Normal 13 3 2 2 5" xfId="20978" xr:uid="{00000000-0005-0000-0000-000071410000}"/>
    <cellStyle name="Normal 13 3 2 3" xfId="3872" xr:uid="{00000000-0005-0000-0000-000072410000}"/>
    <cellStyle name="Normal 13 3 2 3 2" xfId="8549" xr:uid="{00000000-0005-0000-0000-000073410000}"/>
    <cellStyle name="Normal 13 3 2 3 2 2" xfId="17873" xr:uid="{00000000-0005-0000-0000-000074410000}"/>
    <cellStyle name="Normal 13 3 2 3 2 3" xfId="27196" xr:uid="{00000000-0005-0000-0000-000075410000}"/>
    <cellStyle name="Normal 13 3 2 3 3" xfId="13206" xr:uid="{00000000-0005-0000-0000-000076410000}"/>
    <cellStyle name="Normal 13 3 2 3 4" xfId="22530" xr:uid="{00000000-0005-0000-0000-000077410000}"/>
    <cellStyle name="Normal 13 3 2 4" xfId="5581" xr:uid="{00000000-0005-0000-0000-000078410000}"/>
    <cellStyle name="Normal 13 3 2 4 2" xfId="14905" xr:uid="{00000000-0005-0000-0000-000079410000}"/>
    <cellStyle name="Normal 13 3 2 4 3" xfId="24228" xr:uid="{00000000-0005-0000-0000-00007A410000}"/>
    <cellStyle name="Normal 13 3 2 5" xfId="11651" xr:uid="{00000000-0005-0000-0000-00007B410000}"/>
    <cellStyle name="Normal 13 3 2 6" xfId="20977" xr:uid="{00000000-0005-0000-0000-00007C410000}"/>
    <cellStyle name="Normal 13 3 3" xfId="2149" xr:uid="{00000000-0005-0000-0000-00007D410000}"/>
    <cellStyle name="Normal 13 3 3 2" xfId="3874" xr:uid="{00000000-0005-0000-0000-00007E410000}"/>
    <cellStyle name="Normal 13 3 3 2 2" xfId="8551" xr:uid="{00000000-0005-0000-0000-00007F410000}"/>
    <cellStyle name="Normal 13 3 3 2 2 2" xfId="17875" xr:uid="{00000000-0005-0000-0000-000080410000}"/>
    <cellStyle name="Normal 13 3 3 2 2 3" xfId="27198" xr:uid="{00000000-0005-0000-0000-000081410000}"/>
    <cellStyle name="Normal 13 3 3 2 3" xfId="13208" xr:uid="{00000000-0005-0000-0000-000082410000}"/>
    <cellStyle name="Normal 13 3 3 2 4" xfId="22532" xr:uid="{00000000-0005-0000-0000-000083410000}"/>
    <cellStyle name="Normal 13 3 3 3" xfId="5583" xr:uid="{00000000-0005-0000-0000-000084410000}"/>
    <cellStyle name="Normal 13 3 3 3 2" xfId="14907" xr:uid="{00000000-0005-0000-0000-000085410000}"/>
    <cellStyle name="Normal 13 3 3 3 3" xfId="24230" xr:uid="{00000000-0005-0000-0000-000086410000}"/>
    <cellStyle name="Normal 13 3 3 4" xfId="11653" xr:uid="{00000000-0005-0000-0000-000087410000}"/>
    <cellStyle name="Normal 13 3 3 5" xfId="20979" xr:uid="{00000000-0005-0000-0000-000088410000}"/>
    <cellStyle name="Normal 13 3 4" xfId="3871" xr:uid="{00000000-0005-0000-0000-000089410000}"/>
    <cellStyle name="Normal 13 3 4 2" xfId="8548" xr:uid="{00000000-0005-0000-0000-00008A410000}"/>
    <cellStyle name="Normal 13 3 4 2 2" xfId="17872" xr:uid="{00000000-0005-0000-0000-00008B410000}"/>
    <cellStyle name="Normal 13 3 4 2 3" xfId="27195" xr:uid="{00000000-0005-0000-0000-00008C410000}"/>
    <cellStyle name="Normal 13 3 4 3" xfId="13205" xr:uid="{00000000-0005-0000-0000-00008D410000}"/>
    <cellStyle name="Normal 13 3 4 4" xfId="22529" xr:uid="{00000000-0005-0000-0000-00008E410000}"/>
    <cellStyle name="Normal 13 3 5" xfId="5580" xr:uid="{00000000-0005-0000-0000-00008F410000}"/>
    <cellStyle name="Normal 13 3 5 2" xfId="14904" xr:uid="{00000000-0005-0000-0000-000090410000}"/>
    <cellStyle name="Normal 13 3 5 3" xfId="24227" xr:uid="{00000000-0005-0000-0000-000091410000}"/>
    <cellStyle name="Normal 13 3 6" xfId="11650" xr:uid="{00000000-0005-0000-0000-000092410000}"/>
    <cellStyle name="Normal 13 3 7" xfId="20976" xr:uid="{00000000-0005-0000-0000-000093410000}"/>
    <cellStyle name="Normal 13 4" xfId="2150" xr:uid="{00000000-0005-0000-0000-000094410000}"/>
    <cellStyle name="Normal 13 4 2" xfId="2151" xr:uid="{00000000-0005-0000-0000-000095410000}"/>
    <cellStyle name="Normal 13 4 2 2" xfId="2152" xr:uid="{00000000-0005-0000-0000-000096410000}"/>
    <cellStyle name="Normal 13 4 2 2 2" xfId="3877" xr:uid="{00000000-0005-0000-0000-000097410000}"/>
    <cellStyle name="Normal 13 4 2 2 2 2" xfId="8554" xr:uid="{00000000-0005-0000-0000-000098410000}"/>
    <cellStyle name="Normal 13 4 2 2 2 2 2" xfId="17878" xr:uid="{00000000-0005-0000-0000-000099410000}"/>
    <cellStyle name="Normal 13 4 2 2 2 2 3" xfId="27201" xr:uid="{00000000-0005-0000-0000-00009A410000}"/>
    <cellStyle name="Normal 13 4 2 2 2 3" xfId="13211" xr:uid="{00000000-0005-0000-0000-00009B410000}"/>
    <cellStyle name="Normal 13 4 2 2 2 4" xfId="22535" xr:uid="{00000000-0005-0000-0000-00009C410000}"/>
    <cellStyle name="Normal 13 4 2 2 3" xfId="5586" xr:uid="{00000000-0005-0000-0000-00009D410000}"/>
    <cellStyle name="Normal 13 4 2 2 3 2" xfId="14910" xr:uid="{00000000-0005-0000-0000-00009E410000}"/>
    <cellStyle name="Normal 13 4 2 2 3 3" xfId="24233" xr:uid="{00000000-0005-0000-0000-00009F410000}"/>
    <cellStyle name="Normal 13 4 2 2 4" xfId="11656" xr:uid="{00000000-0005-0000-0000-0000A0410000}"/>
    <cellStyle name="Normal 13 4 2 2 5" xfId="20982" xr:uid="{00000000-0005-0000-0000-0000A1410000}"/>
    <cellStyle name="Normal 13 4 2 3" xfId="3876" xr:uid="{00000000-0005-0000-0000-0000A2410000}"/>
    <cellStyle name="Normal 13 4 2 3 2" xfId="8553" xr:uid="{00000000-0005-0000-0000-0000A3410000}"/>
    <cellStyle name="Normal 13 4 2 3 2 2" xfId="17877" xr:uid="{00000000-0005-0000-0000-0000A4410000}"/>
    <cellStyle name="Normal 13 4 2 3 2 3" xfId="27200" xr:uid="{00000000-0005-0000-0000-0000A5410000}"/>
    <cellStyle name="Normal 13 4 2 3 3" xfId="13210" xr:uid="{00000000-0005-0000-0000-0000A6410000}"/>
    <cellStyle name="Normal 13 4 2 3 4" xfId="22534" xr:uid="{00000000-0005-0000-0000-0000A7410000}"/>
    <cellStyle name="Normal 13 4 2 4" xfId="5585" xr:uid="{00000000-0005-0000-0000-0000A8410000}"/>
    <cellStyle name="Normal 13 4 2 4 2" xfId="14909" xr:uid="{00000000-0005-0000-0000-0000A9410000}"/>
    <cellStyle name="Normal 13 4 2 4 3" xfId="24232" xr:uid="{00000000-0005-0000-0000-0000AA410000}"/>
    <cellStyle name="Normal 13 4 2 5" xfId="11655" xr:uid="{00000000-0005-0000-0000-0000AB410000}"/>
    <cellStyle name="Normal 13 4 2 6" xfId="20981" xr:uid="{00000000-0005-0000-0000-0000AC410000}"/>
    <cellStyle name="Normal 13 4 3" xfId="2153" xr:uid="{00000000-0005-0000-0000-0000AD410000}"/>
    <cellStyle name="Normal 13 4 3 2" xfId="3878" xr:uid="{00000000-0005-0000-0000-0000AE410000}"/>
    <cellStyle name="Normal 13 4 3 2 2" xfId="8555" xr:uid="{00000000-0005-0000-0000-0000AF410000}"/>
    <cellStyle name="Normal 13 4 3 2 2 2" xfId="17879" xr:uid="{00000000-0005-0000-0000-0000B0410000}"/>
    <cellStyle name="Normal 13 4 3 2 2 3" xfId="27202" xr:uid="{00000000-0005-0000-0000-0000B1410000}"/>
    <cellStyle name="Normal 13 4 3 2 3" xfId="13212" xr:uid="{00000000-0005-0000-0000-0000B2410000}"/>
    <cellStyle name="Normal 13 4 3 2 4" xfId="22536" xr:uid="{00000000-0005-0000-0000-0000B3410000}"/>
    <cellStyle name="Normal 13 4 3 3" xfId="5587" xr:uid="{00000000-0005-0000-0000-0000B4410000}"/>
    <cellStyle name="Normal 13 4 3 3 2" xfId="14911" xr:uid="{00000000-0005-0000-0000-0000B5410000}"/>
    <cellStyle name="Normal 13 4 3 3 3" xfId="24234" xr:uid="{00000000-0005-0000-0000-0000B6410000}"/>
    <cellStyle name="Normal 13 4 3 4" xfId="11657" xr:uid="{00000000-0005-0000-0000-0000B7410000}"/>
    <cellStyle name="Normal 13 4 3 5" xfId="20983" xr:uid="{00000000-0005-0000-0000-0000B8410000}"/>
    <cellStyle name="Normal 13 4 4" xfId="3875" xr:uid="{00000000-0005-0000-0000-0000B9410000}"/>
    <cellStyle name="Normal 13 4 4 2" xfId="8552" xr:uid="{00000000-0005-0000-0000-0000BA410000}"/>
    <cellStyle name="Normal 13 4 4 2 2" xfId="17876" xr:uid="{00000000-0005-0000-0000-0000BB410000}"/>
    <cellStyle name="Normal 13 4 4 2 3" xfId="27199" xr:uid="{00000000-0005-0000-0000-0000BC410000}"/>
    <cellStyle name="Normal 13 4 4 3" xfId="13209" xr:uid="{00000000-0005-0000-0000-0000BD410000}"/>
    <cellStyle name="Normal 13 4 4 4" xfId="22533" xr:uid="{00000000-0005-0000-0000-0000BE410000}"/>
    <cellStyle name="Normal 13 4 5" xfId="5584" xr:uid="{00000000-0005-0000-0000-0000BF410000}"/>
    <cellStyle name="Normal 13 4 5 2" xfId="14908" xr:uid="{00000000-0005-0000-0000-0000C0410000}"/>
    <cellStyle name="Normal 13 4 5 3" xfId="24231" xr:uid="{00000000-0005-0000-0000-0000C1410000}"/>
    <cellStyle name="Normal 13 4 6" xfId="11654" xr:uid="{00000000-0005-0000-0000-0000C2410000}"/>
    <cellStyle name="Normal 13 4 7" xfId="20980" xr:uid="{00000000-0005-0000-0000-0000C3410000}"/>
    <cellStyle name="Normal 13 5" xfId="2154" xr:uid="{00000000-0005-0000-0000-0000C4410000}"/>
    <cellStyle name="Normal 13 5 2" xfId="2155" xr:uid="{00000000-0005-0000-0000-0000C5410000}"/>
    <cellStyle name="Normal 13 5 2 2" xfId="2156" xr:uid="{00000000-0005-0000-0000-0000C6410000}"/>
    <cellStyle name="Normal 13 5 2 2 2" xfId="3881" xr:uid="{00000000-0005-0000-0000-0000C7410000}"/>
    <cellStyle name="Normal 13 5 2 2 2 2" xfId="8558" xr:uid="{00000000-0005-0000-0000-0000C8410000}"/>
    <cellStyle name="Normal 13 5 2 2 2 2 2" xfId="17882" xr:uid="{00000000-0005-0000-0000-0000C9410000}"/>
    <cellStyle name="Normal 13 5 2 2 2 2 3" xfId="27205" xr:uid="{00000000-0005-0000-0000-0000CA410000}"/>
    <cellStyle name="Normal 13 5 2 2 2 3" xfId="13215" xr:uid="{00000000-0005-0000-0000-0000CB410000}"/>
    <cellStyle name="Normal 13 5 2 2 2 4" xfId="22539" xr:uid="{00000000-0005-0000-0000-0000CC410000}"/>
    <cellStyle name="Normal 13 5 2 2 3" xfId="5590" xr:uid="{00000000-0005-0000-0000-0000CD410000}"/>
    <cellStyle name="Normal 13 5 2 2 3 2" xfId="14914" xr:uid="{00000000-0005-0000-0000-0000CE410000}"/>
    <cellStyle name="Normal 13 5 2 2 3 3" xfId="24237" xr:uid="{00000000-0005-0000-0000-0000CF410000}"/>
    <cellStyle name="Normal 13 5 2 2 4" xfId="11660" xr:uid="{00000000-0005-0000-0000-0000D0410000}"/>
    <cellStyle name="Normal 13 5 2 2 5" xfId="20986" xr:uid="{00000000-0005-0000-0000-0000D1410000}"/>
    <cellStyle name="Normal 13 5 2 3" xfId="3880" xr:uid="{00000000-0005-0000-0000-0000D2410000}"/>
    <cellStyle name="Normal 13 5 2 3 2" xfId="8557" xr:uid="{00000000-0005-0000-0000-0000D3410000}"/>
    <cellStyle name="Normal 13 5 2 3 2 2" xfId="17881" xr:uid="{00000000-0005-0000-0000-0000D4410000}"/>
    <cellStyle name="Normal 13 5 2 3 2 3" xfId="27204" xr:uid="{00000000-0005-0000-0000-0000D5410000}"/>
    <cellStyle name="Normal 13 5 2 3 3" xfId="13214" xr:uid="{00000000-0005-0000-0000-0000D6410000}"/>
    <cellStyle name="Normal 13 5 2 3 4" xfId="22538" xr:uid="{00000000-0005-0000-0000-0000D7410000}"/>
    <cellStyle name="Normal 13 5 2 4" xfId="5589" xr:uid="{00000000-0005-0000-0000-0000D8410000}"/>
    <cellStyle name="Normal 13 5 2 4 2" xfId="14913" xr:uid="{00000000-0005-0000-0000-0000D9410000}"/>
    <cellStyle name="Normal 13 5 2 4 3" xfId="24236" xr:uid="{00000000-0005-0000-0000-0000DA410000}"/>
    <cellStyle name="Normal 13 5 2 5" xfId="11659" xr:uid="{00000000-0005-0000-0000-0000DB410000}"/>
    <cellStyle name="Normal 13 5 2 6" xfId="20985" xr:uid="{00000000-0005-0000-0000-0000DC410000}"/>
    <cellStyle name="Normal 13 5 3" xfId="2157" xr:uid="{00000000-0005-0000-0000-0000DD410000}"/>
    <cellStyle name="Normal 13 5 3 2" xfId="3882" xr:uid="{00000000-0005-0000-0000-0000DE410000}"/>
    <cellStyle name="Normal 13 5 3 2 2" xfId="8559" xr:uid="{00000000-0005-0000-0000-0000DF410000}"/>
    <cellStyle name="Normal 13 5 3 2 2 2" xfId="17883" xr:uid="{00000000-0005-0000-0000-0000E0410000}"/>
    <cellStyle name="Normal 13 5 3 2 2 3" xfId="27206" xr:uid="{00000000-0005-0000-0000-0000E1410000}"/>
    <cellStyle name="Normal 13 5 3 2 3" xfId="13216" xr:uid="{00000000-0005-0000-0000-0000E2410000}"/>
    <cellStyle name="Normal 13 5 3 2 4" xfId="22540" xr:uid="{00000000-0005-0000-0000-0000E3410000}"/>
    <cellStyle name="Normal 13 5 3 3" xfId="5591" xr:uid="{00000000-0005-0000-0000-0000E4410000}"/>
    <cellStyle name="Normal 13 5 3 3 2" xfId="14915" xr:uid="{00000000-0005-0000-0000-0000E5410000}"/>
    <cellStyle name="Normal 13 5 3 3 3" xfId="24238" xr:uid="{00000000-0005-0000-0000-0000E6410000}"/>
    <cellStyle name="Normal 13 5 3 4" xfId="11661" xr:uid="{00000000-0005-0000-0000-0000E7410000}"/>
    <cellStyle name="Normal 13 5 3 5" xfId="20987" xr:uid="{00000000-0005-0000-0000-0000E8410000}"/>
    <cellStyle name="Normal 13 5 4" xfId="3879" xr:uid="{00000000-0005-0000-0000-0000E9410000}"/>
    <cellStyle name="Normal 13 5 4 2" xfId="8556" xr:uid="{00000000-0005-0000-0000-0000EA410000}"/>
    <cellStyle name="Normal 13 5 4 2 2" xfId="17880" xr:uid="{00000000-0005-0000-0000-0000EB410000}"/>
    <cellStyle name="Normal 13 5 4 2 3" xfId="27203" xr:uid="{00000000-0005-0000-0000-0000EC410000}"/>
    <cellStyle name="Normal 13 5 4 3" xfId="13213" xr:uid="{00000000-0005-0000-0000-0000ED410000}"/>
    <cellStyle name="Normal 13 5 4 4" xfId="22537" xr:uid="{00000000-0005-0000-0000-0000EE410000}"/>
    <cellStyle name="Normal 13 5 5" xfId="5588" xr:uid="{00000000-0005-0000-0000-0000EF410000}"/>
    <cellStyle name="Normal 13 5 5 2" xfId="14912" xr:uid="{00000000-0005-0000-0000-0000F0410000}"/>
    <cellStyle name="Normal 13 5 5 3" xfId="24235" xr:uid="{00000000-0005-0000-0000-0000F1410000}"/>
    <cellStyle name="Normal 13 5 6" xfId="11658" xr:uid="{00000000-0005-0000-0000-0000F2410000}"/>
    <cellStyle name="Normal 13 5 7" xfId="20984" xr:uid="{00000000-0005-0000-0000-0000F3410000}"/>
    <cellStyle name="Normal 13 6" xfId="2158" xr:uid="{00000000-0005-0000-0000-0000F4410000}"/>
    <cellStyle name="Normal 13 6 2" xfId="2159" xr:uid="{00000000-0005-0000-0000-0000F5410000}"/>
    <cellStyle name="Normal 13 6 2 2" xfId="3884" xr:uid="{00000000-0005-0000-0000-0000F6410000}"/>
    <cellStyle name="Normal 13 6 2 2 2" xfId="8561" xr:uid="{00000000-0005-0000-0000-0000F7410000}"/>
    <cellStyle name="Normal 13 6 2 2 2 2" xfId="17885" xr:uid="{00000000-0005-0000-0000-0000F8410000}"/>
    <cellStyle name="Normal 13 6 2 2 2 3" xfId="27208" xr:uid="{00000000-0005-0000-0000-0000F9410000}"/>
    <cellStyle name="Normal 13 6 2 2 3" xfId="13218" xr:uid="{00000000-0005-0000-0000-0000FA410000}"/>
    <cellStyle name="Normal 13 6 2 2 4" xfId="22542" xr:uid="{00000000-0005-0000-0000-0000FB410000}"/>
    <cellStyle name="Normal 13 6 2 3" xfId="5593" xr:uid="{00000000-0005-0000-0000-0000FC410000}"/>
    <cellStyle name="Normal 13 6 2 3 2" xfId="14917" xr:uid="{00000000-0005-0000-0000-0000FD410000}"/>
    <cellStyle name="Normal 13 6 2 3 3" xfId="24240" xr:uid="{00000000-0005-0000-0000-0000FE410000}"/>
    <cellStyle name="Normal 13 6 2 4" xfId="11663" xr:uid="{00000000-0005-0000-0000-0000FF410000}"/>
    <cellStyle name="Normal 13 6 2 5" xfId="20989" xr:uid="{00000000-0005-0000-0000-000000420000}"/>
    <cellStyle name="Normal 13 6 3" xfId="3883" xr:uid="{00000000-0005-0000-0000-000001420000}"/>
    <cellStyle name="Normal 13 6 3 2" xfId="8560" xr:uid="{00000000-0005-0000-0000-000002420000}"/>
    <cellStyle name="Normal 13 6 3 2 2" xfId="17884" xr:uid="{00000000-0005-0000-0000-000003420000}"/>
    <cellStyle name="Normal 13 6 3 2 3" xfId="27207" xr:uid="{00000000-0005-0000-0000-000004420000}"/>
    <cellStyle name="Normal 13 6 3 3" xfId="13217" xr:uid="{00000000-0005-0000-0000-000005420000}"/>
    <cellStyle name="Normal 13 6 3 4" xfId="22541" xr:uid="{00000000-0005-0000-0000-000006420000}"/>
    <cellStyle name="Normal 13 6 4" xfId="5592" xr:uid="{00000000-0005-0000-0000-000007420000}"/>
    <cellStyle name="Normal 13 6 4 2" xfId="14916" xr:uid="{00000000-0005-0000-0000-000008420000}"/>
    <cellStyle name="Normal 13 6 4 3" xfId="24239" xr:uid="{00000000-0005-0000-0000-000009420000}"/>
    <cellStyle name="Normal 13 6 5" xfId="11662" xr:uid="{00000000-0005-0000-0000-00000A420000}"/>
    <cellStyle name="Normal 13 6 6" xfId="20988" xr:uid="{00000000-0005-0000-0000-00000B420000}"/>
    <cellStyle name="Normal 13 7" xfId="2160" xr:uid="{00000000-0005-0000-0000-00000C420000}"/>
    <cellStyle name="Normal 13 7 2" xfId="3885" xr:uid="{00000000-0005-0000-0000-00000D420000}"/>
    <cellStyle name="Normal 13 7 2 2" xfId="8562" xr:uid="{00000000-0005-0000-0000-00000E420000}"/>
    <cellStyle name="Normal 13 7 2 2 2" xfId="17886" xr:uid="{00000000-0005-0000-0000-00000F420000}"/>
    <cellStyle name="Normal 13 7 2 2 3" xfId="27209" xr:uid="{00000000-0005-0000-0000-000010420000}"/>
    <cellStyle name="Normal 13 7 2 3" xfId="13219" xr:uid="{00000000-0005-0000-0000-000011420000}"/>
    <cellStyle name="Normal 13 7 2 4" xfId="22543" xr:uid="{00000000-0005-0000-0000-000012420000}"/>
    <cellStyle name="Normal 13 7 3" xfId="5594" xr:uid="{00000000-0005-0000-0000-000013420000}"/>
    <cellStyle name="Normal 13 7 3 2" xfId="14918" xr:uid="{00000000-0005-0000-0000-000014420000}"/>
    <cellStyle name="Normal 13 7 3 3" xfId="24241" xr:uid="{00000000-0005-0000-0000-000015420000}"/>
    <cellStyle name="Normal 13 7 4" xfId="11664" xr:uid="{00000000-0005-0000-0000-000016420000}"/>
    <cellStyle name="Normal 13 7 5" xfId="20990" xr:uid="{00000000-0005-0000-0000-000017420000}"/>
    <cellStyle name="Normal 13 8" xfId="2161" xr:uid="{00000000-0005-0000-0000-000018420000}"/>
    <cellStyle name="Normal 13 8 2" xfId="3886" xr:uid="{00000000-0005-0000-0000-000019420000}"/>
    <cellStyle name="Normal 13 8 2 2" xfId="8563" xr:uid="{00000000-0005-0000-0000-00001A420000}"/>
    <cellStyle name="Normal 13 8 2 2 2" xfId="17887" xr:uid="{00000000-0005-0000-0000-00001B420000}"/>
    <cellStyle name="Normal 13 8 2 2 3" xfId="27210" xr:uid="{00000000-0005-0000-0000-00001C420000}"/>
    <cellStyle name="Normal 13 8 2 3" xfId="13220" xr:uid="{00000000-0005-0000-0000-00001D420000}"/>
    <cellStyle name="Normal 13 8 2 4" xfId="22544" xr:uid="{00000000-0005-0000-0000-00001E420000}"/>
    <cellStyle name="Normal 13 8 3" xfId="5595" xr:uid="{00000000-0005-0000-0000-00001F420000}"/>
    <cellStyle name="Normal 13 8 3 2" xfId="14919" xr:uid="{00000000-0005-0000-0000-000020420000}"/>
    <cellStyle name="Normal 13 8 3 3" xfId="24242" xr:uid="{00000000-0005-0000-0000-000021420000}"/>
    <cellStyle name="Normal 13 8 4" xfId="11665" xr:uid="{00000000-0005-0000-0000-000022420000}"/>
    <cellStyle name="Normal 13 8 5" xfId="20991" xr:uid="{00000000-0005-0000-0000-000023420000}"/>
    <cellStyle name="Normal 13 9" xfId="2162" xr:uid="{00000000-0005-0000-0000-000024420000}"/>
    <cellStyle name="Normal 13 9 2" xfId="3887" xr:uid="{00000000-0005-0000-0000-000025420000}"/>
    <cellStyle name="Normal 13 9 2 2" xfId="8564" xr:uid="{00000000-0005-0000-0000-000026420000}"/>
    <cellStyle name="Normal 13 9 2 2 2" xfId="17888" xr:uid="{00000000-0005-0000-0000-000027420000}"/>
    <cellStyle name="Normal 13 9 2 2 3" xfId="27211" xr:uid="{00000000-0005-0000-0000-000028420000}"/>
    <cellStyle name="Normal 13 9 2 3" xfId="13221" xr:uid="{00000000-0005-0000-0000-000029420000}"/>
    <cellStyle name="Normal 13 9 2 4" xfId="22545" xr:uid="{00000000-0005-0000-0000-00002A420000}"/>
    <cellStyle name="Normal 13 9 3" xfId="5596" xr:uid="{00000000-0005-0000-0000-00002B420000}"/>
    <cellStyle name="Normal 13 9 3 2" xfId="14920" xr:uid="{00000000-0005-0000-0000-00002C420000}"/>
    <cellStyle name="Normal 13 9 3 3" xfId="24243" xr:uid="{00000000-0005-0000-0000-00002D420000}"/>
    <cellStyle name="Normal 13 9 4" xfId="11666" xr:uid="{00000000-0005-0000-0000-00002E420000}"/>
    <cellStyle name="Normal 13 9 5" xfId="20992" xr:uid="{00000000-0005-0000-0000-00002F420000}"/>
    <cellStyle name="Normal 14" xfId="1116" xr:uid="{00000000-0005-0000-0000-000030420000}"/>
    <cellStyle name="Normal 14 10" xfId="1250" xr:uid="{00000000-0005-0000-0000-000031420000}"/>
    <cellStyle name="Normal 14 11" xfId="10715" xr:uid="{00000000-0005-0000-0000-000032420000}"/>
    <cellStyle name="Normal 14 12" xfId="20039" xr:uid="{00000000-0005-0000-0000-000033420000}"/>
    <cellStyle name="Normal 14 13" xfId="28588" xr:uid="{00000000-0005-0000-0000-000034420000}"/>
    <cellStyle name="Normal 14 2" xfId="2164" xr:uid="{00000000-0005-0000-0000-000035420000}"/>
    <cellStyle name="Normal 14 2 2" xfId="2165" xr:uid="{00000000-0005-0000-0000-000036420000}"/>
    <cellStyle name="Normal 14 2 2 2" xfId="2166" xr:uid="{00000000-0005-0000-0000-000037420000}"/>
    <cellStyle name="Normal 14 2 2 2 2" xfId="3891" xr:uid="{00000000-0005-0000-0000-000038420000}"/>
    <cellStyle name="Normal 14 2 2 2 2 2" xfId="8568" xr:uid="{00000000-0005-0000-0000-000039420000}"/>
    <cellStyle name="Normal 14 2 2 2 2 2 2" xfId="17892" xr:uid="{00000000-0005-0000-0000-00003A420000}"/>
    <cellStyle name="Normal 14 2 2 2 2 2 3" xfId="27215" xr:uid="{00000000-0005-0000-0000-00003B420000}"/>
    <cellStyle name="Normal 14 2 2 2 2 3" xfId="13225" xr:uid="{00000000-0005-0000-0000-00003C420000}"/>
    <cellStyle name="Normal 14 2 2 2 2 4" xfId="22549" xr:uid="{00000000-0005-0000-0000-00003D420000}"/>
    <cellStyle name="Normal 14 2 2 2 3" xfId="5600" xr:uid="{00000000-0005-0000-0000-00003E420000}"/>
    <cellStyle name="Normal 14 2 2 2 3 2" xfId="14924" xr:uid="{00000000-0005-0000-0000-00003F420000}"/>
    <cellStyle name="Normal 14 2 2 2 3 3" xfId="24247" xr:uid="{00000000-0005-0000-0000-000040420000}"/>
    <cellStyle name="Normal 14 2 2 2 4" xfId="11670" xr:uid="{00000000-0005-0000-0000-000041420000}"/>
    <cellStyle name="Normal 14 2 2 2 5" xfId="20996" xr:uid="{00000000-0005-0000-0000-000042420000}"/>
    <cellStyle name="Normal 14 2 2 3" xfId="3890" xr:uid="{00000000-0005-0000-0000-000043420000}"/>
    <cellStyle name="Normal 14 2 2 3 2" xfId="8567" xr:uid="{00000000-0005-0000-0000-000044420000}"/>
    <cellStyle name="Normal 14 2 2 3 2 2" xfId="17891" xr:uid="{00000000-0005-0000-0000-000045420000}"/>
    <cellStyle name="Normal 14 2 2 3 2 3" xfId="27214" xr:uid="{00000000-0005-0000-0000-000046420000}"/>
    <cellStyle name="Normal 14 2 2 3 3" xfId="13224" xr:uid="{00000000-0005-0000-0000-000047420000}"/>
    <cellStyle name="Normal 14 2 2 3 4" xfId="22548" xr:uid="{00000000-0005-0000-0000-000048420000}"/>
    <cellStyle name="Normal 14 2 2 4" xfId="5599" xr:uid="{00000000-0005-0000-0000-000049420000}"/>
    <cellStyle name="Normal 14 2 2 4 2" xfId="14923" xr:uid="{00000000-0005-0000-0000-00004A420000}"/>
    <cellStyle name="Normal 14 2 2 4 3" xfId="24246" xr:uid="{00000000-0005-0000-0000-00004B420000}"/>
    <cellStyle name="Normal 14 2 2 5" xfId="11669" xr:uid="{00000000-0005-0000-0000-00004C420000}"/>
    <cellStyle name="Normal 14 2 2 6" xfId="20995" xr:uid="{00000000-0005-0000-0000-00004D420000}"/>
    <cellStyle name="Normal 14 2 2 7" xfId="28875" xr:uid="{00000000-0005-0000-0000-00004E420000}"/>
    <cellStyle name="Normal 14 2 3" xfId="2167" xr:uid="{00000000-0005-0000-0000-00004F420000}"/>
    <cellStyle name="Normal 14 2 3 2" xfId="3892" xr:uid="{00000000-0005-0000-0000-000050420000}"/>
    <cellStyle name="Normal 14 2 3 2 2" xfId="8569" xr:uid="{00000000-0005-0000-0000-000051420000}"/>
    <cellStyle name="Normal 14 2 3 2 2 2" xfId="17893" xr:uid="{00000000-0005-0000-0000-000052420000}"/>
    <cellStyle name="Normal 14 2 3 2 2 3" xfId="27216" xr:uid="{00000000-0005-0000-0000-000053420000}"/>
    <cellStyle name="Normal 14 2 3 2 3" xfId="13226" xr:uid="{00000000-0005-0000-0000-000054420000}"/>
    <cellStyle name="Normal 14 2 3 2 4" xfId="22550" xr:uid="{00000000-0005-0000-0000-000055420000}"/>
    <cellStyle name="Normal 14 2 3 3" xfId="5601" xr:uid="{00000000-0005-0000-0000-000056420000}"/>
    <cellStyle name="Normal 14 2 3 3 2" xfId="14925" xr:uid="{00000000-0005-0000-0000-000057420000}"/>
    <cellStyle name="Normal 14 2 3 3 3" xfId="24248" xr:uid="{00000000-0005-0000-0000-000058420000}"/>
    <cellStyle name="Normal 14 2 3 4" xfId="11671" xr:uid="{00000000-0005-0000-0000-000059420000}"/>
    <cellStyle name="Normal 14 2 3 5" xfId="20997" xr:uid="{00000000-0005-0000-0000-00005A420000}"/>
    <cellStyle name="Normal 14 2 3 6" xfId="28792" xr:uid="{00000000-0005-0000-0000-00005B420000}"/>
    <cellStyle name="Normal 14 2 4" xfId="3889" xr:uid="{00000000-0005-0000-0000-00005C420000}"/>
    <cellStyle name="Normal 14 2 4 2" xfId="8566" xr:uid="{00000000-0005-0000-0000-00005D420000}"/>
    <cellStyle name="Normal 14 2 4 2 2" xfId="17890" xr:uid="{00000000-0005-0000-0000-00005E420000}"/>
    <cellStyle name="Normal 14 2 4 2 3" xfId="27213" xr:uid="{00000000-0005-0000-0000-00005F420000}"/>
    <cellStyle name="Normal 14 2 4 3" xfId="13223" xr:uid="{00000000-0005-0000-0000-000060420000}"/>
    <cellStyle name="Normal 14 2 4 4" xfId="22547" xr:uid="{00000000-0005-0000-0000-000061420000}"/>
    <cellStyle name="Normal 14 2 5" xfId="5598" xr:uid="{00000000-0005-0000-0000-000062420000}"/>
    <cellStyle name="Normal 14 2 5 2" xfId="14922" xr:uid="{00000000-0005-0000-0000-000063420000}"/>
    <cellStyle name="Normal 14 2 5 3" xfId="24245" xr:uid="{00000000-0005-0000-0000-000064420000}"/>
    <cellStyle name="Normal 14 2 6" xfId="11668" xr:uid="{00000000-0005-0000-0000-000065420000}"/>
    <cellStyle name="Normal 14 2 7" xfId="20994" xr:uid="{00000000-0005-0000-0000-000066420000}"/>
    <cellStyle name="Normal 14 2 8" xfId="28732" xr:uid="{00000000-0005-0000-0000-000067420000}"/>
    <cellStyle name="Normal 14 3" xfId="2168" xr:uid="{00000000-0005-0000-0000-000068420000}"/>
    <cellStyle name="Normal 14 3 2" xfId="2169" xr:uid="{00000000-0005-0000-0000-000069420000}"/>
    <cellStyle name="Normal 14 3 2 2" xfId="2170" xr:uid="{00000000-0005-0000-0000-00006A420000}"/>
    <cellStyle name="Normal 14 3 2 2 2" xfId="3895" xr:uid="{00000000-0005-0000-0000-00006B420000}"/>
    <cellStyle name="Normal 14 3 2 2 2 2" xfId="8572" xr:uid="{00000000-0005-0000-0000-00006C420000}"/>
    <cellStyle name="Normal 14 3 2 2 2 2 2" xfId="17896" xr:uid="{00000000-0005-0000-0000-00006D420000}"/>
    <cellStyle name="Normal 14 3 2 2 2 2 3" xfId="27219" xr:uid="{00000000-0005-0000-0000-00006E420000}"/>
    <cellStyle name="Normal 14 3 2 2 2 3" xfId="13229" xr:uid="{00000000-0005-0000-0000-00006F420000}"/>
    <cellStyle name="Normal 14 3 2 2 2 4" xfId="22553" xr:uid="{00000000-0005-0000-0000-000070420000}"/>
    <cellStyle name="Normal 14 3 2 2 3" xfId="5604" xr:uid="{00000000-0005-0000-0000-000071420000}"/>
    <cellStyle name="Normal 14 3 2 2 3 2" xfId="14928" xr:uid="{00000000-0005-0000-0000-000072420000}"/>
    <cellStyle name="Normal 14 3 2 2 3 3" xfId="24251" xr:uid="{00000000-0005-0000-0000-000073420000}"/>
    <cellStyle name="Normal 14 3 2 2 4" xfId="11674" xr:uid="{00000000-0005-0000-0000-000074420000}"/>
    <cellStyle name="Normal 14 3 2 2 5" xfId="21000" xr:uid="{00000000-0005-0000-0000-000075420000}"/>
    <cellStyle name="Normal 14 3 2 3" xfId="3894" xr:uid="{00000000-0005-0000-0000-000076420000}"/>
    <cellStyle name="Normal 14 3 2 3 2" xfId="8571" xr:uid="{00000000-0005-0000-0000-000077420000}"/>
    <cellStyle name="Normal 14 3 2 3 2 2" xfId="17895" xr:uid="{00000000-0005-0000-0000-000078420000}"/>
    <cellStyle name="Normal 14 3 2 3 2 3" xfId="27218" xr:uid="{00000000-0005-0000-0000-000079420000}"/>
    <cellStyle name="Normal 14 3 2 3 3" xfId="13228" xr:uid="{00000000-0005-0000-0000-00007A420000}"/>
    <cellStyle name="Normal 14 3 2 3 4" xfId="22552" xr:uid="{00000000-0005-0000-0000-00007B420000}"/>
    <cellStyle name="Normal 14 3 2 4" xfId="5603" xr:uid="{00000000-0005-0000-0000-00007C420000}"/>
    <cellStyle name="Normal 14 3 2 4 2" xfId="14927" xr:uid="{00000000-0005-0000-0000-00007D420000}"/>
    <cellStyle name="Normal 14 3 2 4 3" xfId="24250" xr:uid="{00000000-0005-0000-0000-00007E420000}"/>
    <cellStyle name="Normal 14 3 2 5" xfId="11673" xr:uid="{00000000-0005-0000-0000-00007F420000}"/>
    <cellStyle name="Normal 14 3 2 6" xfId="20999" xr:uid="{00000000-0005-0000-0000-000080420000}"/>
    <cellStyle name="Normal 14 3 3" xfId="2171" xr:uid="{00000000-0005-0000-0000-000081420000}"/>
    <cellStyle name="Normal 14 3 3 2" xfId="3896" xr:uid="{00000000-0005-0000-0000-000082420000}"/>
    <cellStyle name="Normal 14 3 3 2 2" xfId="8573" xr:uid="{00000000-0005-0000-0000-000083420000}"/>
    <cellStyle name="Normal 14 3 3 2 2 2" xfId="17897" xr:uid="{00000000-0005-0000-0000-000084420000}"/>
    <cellStyle name="Normal 14 3 3 2 2 3" xfId="27220" xr:uid="{00000000-0005-0000-0000-000085420000}"/>
    <cellStyle name="Normal 14 3 3 2 3" xfId="13230" xr:uid="{00000000-0005-0000-0000-000086420000}"/>
    <cellStyle name="Normal 14 3 3 2 4" xfId="22554" xr:uid="{00000000-0005-0000-0000-000087420000}"/>
    <cellStyle name="Normal 14 3 3 3" xfId="5605" xr:uid="{00000000-0005-0000-0000-000088420000}"/>
    <cellStyle name="Normal 14 3 3 3 2" xfId="14929" xr:uid="{00000000-0005-0000-0000-000089420000}"/>
    <cellStyle name="Normal 14 3 3 3 3" xfId="24252" xr:uid="{00000000-0005-0000-0000-00008A420000}"/>
    <cellStyle name="Normal 14 3 3 4" xfId="11675" xr:uid="{00000000-0005-0000-0000-00008B420000}"/>
    <cellStyle name="Normal 14 3 3 5" xfId="21001" xr:uid="{00000000-0005-0000-0000-00008C420000}"/>
    <cellStyle name="Normal 14 3 4" xfId="3893" xr:uid="{00000000-0005-0000-0000-00008D420000}"/>
    <cellStyle name="Normal 14 3 4 2" xfId="8570" xr:uid="{00000000-0005-0000-0000-00008E420000}"/>
    <cellStyle name="Normal 14 3 4 2 2" xfId="17894" xr:uid="{00000000-0005-0000-0000-00008F420000}"/>
    <cellStyle name="Normal 14 3 4 2 3" xfId="27217" xr:uid="{00000000-0005-0000-0000-000090420000}"/>
    <cellStyle name="Normal 14 3 4 3" xfId="13227" xr:uid="{00000000-0005-0000-0000-000091420000}"/>
    <cellStyle name="Normal 14 3 4 4" xfId="22551" xr:uid="{00000000-0005-0000-0000-000092420000}"/>
    <cellStyle name="Normal 14 3 5" xfId="5602" xr:uid="{00000000-0005-0000-0000-000093420000}"/>
    <cellStyle name="Normal 14 3 5 2" xfId="14926" xr:uid="{00000000-0005-0000-0000-000094420000}"/>
    <cellStyle name="Normal 14 3 5 3" xfId="24249" xr:uid="{00000000-0005-0000-0000-000095420000}"/>
    <cellStyle name="Normal 14 3 6" xfId="11672" xr:uid="{00000000-0005-0000-0000-000096420000}"/>
    <cellStyle name="Normal 14 3 7" xfId="20998" xr:uid="{00000000-0005-0000-0000-000097420000}"/>
    <cellStyle name="Normal 14 3 8" xfId="28864" xr:uid="{00000000-0005-0000-0000-000098420000}"/>
    <cellStyle name="Normal 14 4" xfId="2172" xr:uid="{00000000-0005-0000-0000-000099420000}"/>
    <cellStyle name="Normal 14 4 2" xfId="2173" xr:uid="{00000000-0005-0000-0000-00009A420000}"/>
    <cellStyle name="Normal 14 4 2 2" xfId="3898" xr:uid="{00000000-0005-0000-0000-00009B420000}"/>
    <cellStyle name="Normal 14 4 2 2 2" xfId="8575" xr:uid="{00000000-0005-0000-0000-00009C420000}"/>
    <cellStyle name="Normal 14 4 2 2 2 2" xfId="17899" xr:uid="{00000000-0005-0000-0000-00009D420000}"/>
    <cellStyle name="Normal 14 4 2 2 2 3" xfId="27222" xr:uid="{00000000-0005-0000-0000-00009E420000}"/>
    <cellStyle name="Normal 14 4 2 2 3" xfId="13232" xr:uid="{00000000-0005-0000-0000-00009F420000}"/>
    <cellStyle name="Normal 14 4 2 2 4" xfId="22556" xr:uid="{00000000-0005-0000-0000-0000A0420000}"/>
    <cellStyle name="Normal 14 4 2 3" xfId="5607" xr:uid="{00000000-0005-0000-0000-0000A1420000}"/>
    <cellStyle name="Normal 14 4 2 3 2" xfId="14931" xr:uid="{00000000-0005-0000-0000-0000A2420000}"/>
    <cellStyle name="Normal 14 4 2 3 3" xfId="24254" xr:uid="{00000000-0005-0000-0000-0000A3420000}"/>
    <cellStyle name="Normal 14 4 2 4" xfId="11677" xr:uid="{00000000-0005-0000-0000-0000A4420000}"/>
    <cellStyle name="Normal 14 4 2 5" xfId="21003" xr:uid="{00000000-0005-0000-0000-0000A5420000}"/>
    <cellStyle name="Normal 14 4 3" xfId="3897" xr:uid="{00000000-0005-0000-0000-0000A6420000}"/>
    <cellStyle name="Normal 14 4 3 2" xfId="8574" xr:uid="{00000000-0005-0000-0000-0000A7420000}"/>
    <cellStyle name="Normal 14 4 3 2 2" xfId="17898" xr:uid="{00000000-0005-0000-0000-0000A8420000}"/>
    <cellStyle name="Normal 14 4 3 2 3" xfId="27221" xr:uid="{00000000-0005-0000-0000-0000A9420000}"/>
    <cellStyle name="Normal 14 4 3 3" xfId="13231" xr:uid="{00000000-0005-0000-0000-0000AA420000}"/>
    <cellStyle name="Normal 14 4 3 4" xfId="22555" xr:uid="{00000000-0005-0000-0000-0000AB420000}"/>
    <cellStyle name="Normal 14 4 4" xfId="5606" xr:uid="{00000000-0005-0000-0000-0000AC420000}"/>
    <cellStyle name="Normal 14 4 4 2" xfId="14930" xr:uid="{00000000-0005-0000-0000-0000AD420000}"/>
    <cellStyle name="Normal 14 4 4 3" xfId="24253" xr:uid="{00000000-0005-0000-0000-0000AE420000}"/>
    <cellStyle name="Normal 14 4 5" xfId="11676" xr:uid="{00000000-0005-0000-0000-0000AF420000}"/>
    <cellStyle name="Normal 14 4 6" xfId="21002" xr:uid="{00000000-0005-0000-0000-0000B0420000}"/>
    <cellStyle name="Normal 14 4 7" xfId="28789" xr:uid="{00000000-0005-0000-0000-0000B1420000}"/>
    <cellStyle name="Normal 14 5" xfId="2174" xr:uid="{00000000-0005-0000-0000-0000B2420000}"/>
    <cellStyle name="Normal 14 5 2" xfId="3899" xr:uid="{00000000-0005-0000-0000-0000B3420000}"/>
    <cellStyle name="Normal 14 5 2 2" xfId="8576" xr:uid="{00000000-0005-0000-0000-0000B4420000}"/>
    <cellStyle name="Normal 14 5 2 2 2" xfId="17900" xr:uid="{00000000-0005-0000-0000-0000B5420000}"/>
    <cellStyle name="Normal 14 5 2 2 3" xfId="27223" xr:uid="{00000000-0005-0000-0000-0000B6420000}"/>
    <cellStyle name="Normal 14 5 2 3" xfId="13233" xr:uid="{00000000-0005-0000-0000-0000B7420000}"/>
    <cellStyle name="Normal 14 5 2 4" xfId="22557" xr:uid="{00000000-0005-0000-0000-0000B8420000}"/>
    <cellStyle name="Normal 14 5 3" xfId="5608" xr:uid="{00000000-0005-0000-0000-0000B9420000}"/>
    <cellStyle name="Normal 14 5 3 2" xfId="14932" xr:uid="{00000000-0005-0000-0000-0000BA420000}"/>
    <cellStyle name="Normal 14 5 3 3" xfId="24255" xr:uid="{00000000-0005-0000-0000-0000BB420000}"/>
    <cellStyle name="Normal 14 5 4" xfId="11678" xr:uid="{00000000-0005-0000-0000-0000BC420000}"/>
    <cellStyle name="Normal 14 5 5" xfId="21004" xr:uid="{00000000-0005-0000-0000-0000BD420000}"/>
    <cellStyle name="Normal 14 6" xfId="2175" xr:uid="{00000000-0005-0000-0000-0000BE420000}"/>
    <cellStyle name="Normal 14 6 2" xfId="3900" xr:uid="{00000000-0005-0000-0000-0000BF420000}"/>
    <cellStyle name="Normal 14 6 2 2" xfId="8577" xr:uid="{00000000-0005-0000-0000-0000C0420000}"/>
    <cellStyle name="Normal 14 6 2 2 2" xfId="17901" xr:uid="{00000000-0005-0000-0000-0000C1420000}"/>
    <cellStyle name="Normal 14 6 2 2 3" xfId="27224" xr:uid="{00000000-0005-0000-0000-0000C2420000}"/>
    <cellStyle name="Normal 14 6 2 3" xfId="13234" xr:uid="{00000000-0005-0000-0000-0000C3420000}"/>
    <cellStyle name="Normal 14 6 2 4" xfId="22558" xr:uid="{00000000-0005-0000-0000-0000C4420000}"/>
    <cellStyle name="Normal 14 6 3" xfId="5609" xr:uid="{00000000-0005-0000-0000-0000C5420000}"/>
    <cellStyle name="Normal 14 6 3 2" xfId="14933" xr:uid="{00000000-0005-0000-0000-0000C6420000}"/>
    <cellStyle name="Normal 14 6 3 3" xfId="24256" xr:uid="{00000000-0005-0000-0000-0000C7420000}"/>
    <cellStyle name="Normal 14 6 4" xfId="11679" xr:uid="{00000000-0005-0000-0000-0000C8420000}"/>
    <cellStyle name="Normal 14 6 5" xfId="21005" xr:uid="{00000000-0005-0000-0000-0000C9420000}"/>
    <cellStyle name="Normal 14 7" xfId="2176" xr:uid="{00000000-0005-0000-0000-0000CA420000}"/>
    <cellStyle name="Normal 14 7 2" xfId="3901" xr:uid="{00000000-0005-0000-0000-0000CB420000}"/>
    <cellStyle name="Normal 14 7 2 2" xfId="8578" xr:uid="{00000000-0005-0000-0000-0000CC420000}"/>
    <cellStyle name="Normal 14 7 2 2 2" xfId="17902" xr:uid="{00000000-0005-0000-0000-0000CD420000}"/>
    <cellStyle name="Normal 14 7 2 2 3" xfId="27225" xr:uid="{00000000-0005-0000-0000-0000CE420000}"/>
    <cellStyle name="Normal 14 7 2 3" xfId="13235" xr:uid="{00000000-0005-0000-0000-0000CF420000}"/>
    <cellStyle name="Normal 14 7 2 4" xfId="22559" xr:uid="{00000000-0005-0000-0000-0000D0420000}"/>
    <cellStyle name="Normal 14 7 3" xfId="5610" xr:uid="{00000000-0005-0000-0000-0000D1420000}"/>
    <cellStyle name="Normal 14 7 3 2" xfId="14934" xr:uid="{00000000-0005-0000-0000-0000D2420000}"/>
    <cellStyle name="Normal 14 7 3 3" xfId="24257" xr:uid="{00000000-0005-0000-0000-0000D3420000}"/>
    <cellStyle name="Normal 14 7 4" xfId="11680" xr:uid="{00000000-0005-0000-0000-0000D4420000}"/>
    <cellStyle name="Normal 14 7 5" xfId="21006" xr:uid="{00000000-0005-0000-0000-0000D5420000}"/>
    <cellStyle name="Normal 14 8" xfId="2163" xr:uid="{00000000-0005-0000-0000-0000D6420000}"/>
    <cellStyle name="Normal 14 8 2" xfId="3888" xr:uid="{00000000-0005-0000-0000-0000D7420000}"/>
    <cellStyle name="Normal 14 8 2 2" xfId="8565" xr:uid="{00000000-0005-0000-0000-0000D8420000}"/>
    <cellStyle name="Normal 14 8 2 2 2" xfId="17889" xr:uid="{00000000-0005-0000-0000-0000D9420000}"/>
    <cellStyle name="Normal 14 8 2 2 3" xfId="27212" xr:uid="{00000000-0005-0000-0000-0000DA420000}"/>
    <cellStyle name="Normal 14 8 2 3" xfId="13222" xr:uid="{00000000-0005-0000-0000-0000DB420000}"/>
    <cellStyle name="Normal 14 8 2 4" xfId="22546" xr:uid="{00000000-0005-0000-0000-0000DC420000}"/>
    <cellStyle name="Normal 14 8 3" xfId="5597" xr:uid="{00000000-0005-0000-0000-0000DD420000}"/>
    <cellStyle name="Normal 14 8 3 2" xfId="14921" xr:uid="{00000000-0005-0000-0000-0000DE420000}"/>
    <cellStyle name="Normal 14 8 3 3" xfId="24244" xr:uid="{00000000-0005-0000-0000-0000DF420000}"/>
    <cellStyle name="Normal 14 8 4" xfId="11667" xr:uid="{00000000-0005-0000-0000-0000E0420000}"/>
    <cellStyle name="Normal 14 8 5" xfId="20993" xr:uid="{00000000-0005-0000-0000-0000E1420000}"/>
    <cellStyle name="Normal 14 9" xfId="2909" xr:uid="{00000000-0005-0000-0000-0000E2420000}"/>
    <cellStyle name="Normal 15" xfId="1251" xr:uid="{00000000-0005-0000-0000-0000E3420000}"/>
    <cellStyle name="Normal 15 10" xfId="2178" xr:uid="{00000000-0005-0000-0000-0000E4420000}"/>
    <cellStyle name="Normal 15 10 2" xfId="3903" xr:uid="{00000000-0005-0000-0000-0000E5420000}"/>
    <cellStyle name="Normal 15 10 2 2" xfId="8580" xr:uid="{00000000-0005-0000-0000-0000E6420000}"/>
    <cellStyle name="Normal 15 10 2 2 2" xfId="17904" xr:uid="{00000000-0005-0000-0000-0000E7420000}"/>
    <cellStyle name="Normal 15 10 2 2 3" xfId="27227" xr:uid="{00000000-0005-0000-0000-0000E8420000}"/>
    <cellStyle name="Normal 15 10 2 3" xfId="13237" xr:uid="{00000000-0005-0000-0000-0000E9420000}"/>
    <cellStyle name="Normal 15 10 2 4" xfId="22561" xr:uid="{00000000-0005-0000-0000-0000EA420000}"/>
    <cellStyle name="Normal 15 10 3" xfId="5612" xr:uid="{00000000-0005-0000-0000-0000EB420000}"/>
    <cellStyle name="Normal 15 10 3 2" xfId="14936" xr:uid="{00000000-0005-0000-0000-0000EC420000}"/>
    <cellStyle name="Normal 15 10 3 3" xfId="24259" xr:uid="{00000000-0005-0000-0000-0000ED420000}"/>
    <cellStyle name="Normal 15 10 4" xfId="11682" xr:uid="{00000000-0005-0000-0000-0000EE420000}"/>
    <cellStyle name="Normal 15 10 5" xfId="21008" xr:uid="{00000000-0005-0000-0000-0000EF420000}"/>
    <cellStyle name="Normal 15 11" xfId="2177" xr:uid="{00000000-0005-0000-0000-0000F0420000}"/>
    <cellStyle name="Normal 15 11 2" xfId="3902" xr:uid="{00000000-0005-0000-0000-0000F1420000}"/>
    <cellStyle name="Normal 15 11 2 2" xfId="8579" xr:uid="{00000000-0005-0000-0000-0000F2420000}"/>
    <cellStyle name="Normal 15 11 2 2 2" xfId="17903" xr:uid="{00000000-0005-0000-0000-0000F3420000}"/>
    <cellStyle name="Normal 15 11 2 2 3" xfId="27226" xr:uid="{00000000-0005-0000-0000-0000F4420000}"/>
    <cellStyle name="Normal 15 11 2 3" xfId="13236" xr:uid="{00000000-0005-0000-0000-0000F5420000}"/>
    <cellStyle name="Normal 15 11 2 4" xfId="22560" xr:uid="{00000000-0005-0000-0000-0000F6420000}"/>
    <cellStyle name="Normal 15 11 3" xfId="5611" xr:uid="{00000000-0005-0000-0000-0000F7420000}"/>
    <cellStyle name="Normal 15 11 3 2" xfId="14935" xr:uid="{00000000-0005-0000-0000-0000F8420000}"/>
    <cellStyle name="Normal 15 11 3 3" xfId="24258" xr:uid="{00000000-0005-0000-0000-0000F9420000}"/>
    <cellStyle name="Normal 15 11 4" xfId="11681" xr:uid="{00000000-0005-0000-0000-0000FA420000}"/>
    <cellStyle name="Normal 15 11 5" xfId="21007" xr:uid="{00000000-0005-0000-0000-0000FB420000}"/>
    <cellStyle name="Normal 15 12" xfId="2910" xr:uid="{00000000-0005-0000-0000-0000FC420000}"/>
    <cellStyle name="Normal 15 13" xfId="3058" xr:uid="{00000000-0005-0000-0000-0000FD420000}"/>
    <cellStyle name="Normal 15 13 2" xfId="7737" xr:uid="{00000000-0005-0000-0000-0000FE420000}"/>
    <cellStyle name="Normal 15 13 2 2" xfId="17061" xr:uid="{00000000-0005-0000-0000-0000FF420000}"/>
    <cellStyle name="Normal 15 13 2 3" xfId="26384" xr:uid="{00000000-0005-0000-0000-000000430000}"/>
    <cellStyle name="Normal 15 13 3" xfId="12445" xr:uid="{00000000-0005-0000-0000-000001430000}"/>
    <cellStyle name="Normal 15 13 4" xfId="21771" xr:uid="{00000000-0005-0000-0000-000002430000}"/>
    <cellStyle name="Normal 15 14" xfId="4711" xr:uid="{00000000-0005-0000-0000-000003430000}"/>
    <cellStyle name="Normal 15 14 2" xfId="14035" xr:uid="{00000000-0005-0000-0000-000004430000}"/>
    <cellStyle name="Normal 15 14 3" xfId="23358" xr:uid="{00000000-0005-0000-0000-000005430000}"/>
    <cellStyle name="Normal 15 15" xfId="10839" xr:uid="{00000000-0005-0000-0000-000006430000}"/>
    <cellStyle name="Normal 15 16" xfId="20163" xr:uid="{00000000-0005-0000-0000-000007430000}"/>
    <cellStyle name="Normal 15 17" xfId="28739" xr:uid="{00000000-0005-0000-0000-000008430000}"/>
    <cellStyle name="Normal 15 2" xfId="1252" xr:uid="{00000000-0005-0000-0000-000009430000}"/>
    <cellStyle name="Normal 15 2 10" xfId="3059" xr:uid="{00000000-0005-0000-0000-00000A430000}"/>
    <cellStyle name="Normal 15 2 10 2" xfId="7738" xr:uid="{00000000-0005-0000-0000-00000B430000}"/>
    <cellStyle name="Normal 15 2 10 2 2" xfId="17062" xr:uid="{00000000-0005-0000-0000-00000C430000}"/>
    <cellStyle name="Normal 15 2 10 2 3" xfId="26385" xr:uid="{00000000-0005-0000-0000-00000D430000}"/>
    <cellStyle name="Normal 15 2 10 3" xfId="12446" xr:uid="{00000000-0005-0000-0000-00000E430000}"/>
    <cellStyle name="Normal 15 2 10 4" xfId="21772" xr:uid="{00000000-0005-0000-0000-00000F430000}"/>
    <cellStyle name="Normal 15 2 11" xfId="4712" xr:uid="{00000000-0005-0000-0000-000010430000}"/>
    <cellStyle name="Normal 15 2 11 2" xfId="14036" xr:uid="{00000000-0005-0000-0000-000011430000}"/>
    <cellStyle name="Normal 15 2 11 3" xfId="23359" xr:uid="{00000000-0005-0000-0000-000012430000}"/>
    <cellStyle name="Normal 15 2 12" xfId="10840" xr:uid="{00000000-0005-0000-0000-000013430000}"/>
    <cellStyle name="Normal 15 2 13" xfId="20164" xr:uid="{00000000-0005-0000-0000-000014430000}"/>
    <cellStyle name="Normal 15 2 14" xfId="28881" xr:uid="{00000000-0005-0000-0000-000015430000}"/>
    <cellStyle name="Normal 15 2 2" xfId="1253" xr:uid="{00000000-0005-0000-0000-000016430000}"/>
    <cellStyle name="Normal 15 2 2 2" xfId="1254" xr:uid="{00000000-0005-0000-0000-000017430000}"/>
    <cellStyle name="Normal 15 2 2 2 2" xfId="2182" xr:uid="{00000000-0005-0000-0000-000018430000}"/>
    <cellStyle name="Normal 15 2 2 2 2 2" xfId="2915" xr:uid="{00000000-0005-0000-0000-000019430000}"/>
    <cellStyle name="Normal 15 2 2 2 2 3" xfId="2914" xr:uid="{00000000-0005-0000-0000-00001A430000}"/>
    <cellStyle name="Normal 15 2 2 2 2 4" xfId="3907" xr:uid="{00000000-0005-0000-0000-00001B430000}"/>
    <cellStyle name="Normal 15 2 2 2 2 4 2" xfId="8584" xr:uid="{00000000-0005-0000-0000-00001C430000}"/>
    <cellStyle name="Normal 15 2 2 2 2 4 2 2" xfId="17908" xr:uid="{00000000-0005-0000-0000-00001D430000}"/>
    <cellStyle name="Normal 15 2 2 2 2 4 2 3" xfId="27231" xr:uid="{00000000-0005-0000-0000-00001E430000}"/>
    <cellStyle name="Normal 15 2 2 2 2 4 3" xfId="13241" xr:uid="{00000000-0005-0000-0000-00001F430000}"/>
    <cellStyle name="Normal 15 2 2 2 2 4 4" xfId="22565" xr:uid="{00000000-0005-0000-0000-000020430000}"/>
    <cellStyle name="Normal 15 2 2 2 2 5" xfId="5616" xr:uid="{00000000-0005-0000-0000-000021430000}"/>
    <cellStyle name="Normal 15 2 2 2 2 5 2" xfId="14940" xr:uid="{00000000-0005-0000-0000-000022430000}"/>
    <cellStyle name="Normal 15 2 2 2 2 5 3" xfId="24263" xr:uid="{00000000-0005-0000-0000-000023430000}"/>
    <cellStyle name="Normal 15 2 2 2 2 6" xfId="11686" xr:uid="{00000000-0005-0000-0000-000024430000}"/>
    <cellStyle name="Normal 15 2 2 2 2 7" xfId="21012" xr:uid="{00000000-0005-0000-0000-000025430000}"/>
    <cellStyle name="Normal 15 2 2 2 3" xfId="2181" xr:uid="{00000000-0005-0000-0000-000026430000}"/>
    <cellStyle name="Normal 15 2 2 2 3 2" xfId="3906" xr:uid="{00000000-0005-0000-0000-000027430000}"/>
    <cellStyle name="Normal 15 2 2 2 3 2 2" xfId="8583" xr:uid="{00000000-0005-0000-0000-000028430000}"/>
    <cellStyle name="Normal 15 2 2 2 3 2 2 2" xfId="17907" xr:uid="{00000000-0005-0000-0000-000029430000}"/>
    <cellStyle name="Normal 15 2 2 2 3 2 2 3" xfId="27230" xr:uid="{00000000-0005-0000-0000-00002A430000}"/>
    <cellStyle name="Normal 15 2 2 2 3 2 3" xfId="13240" xr:uid="{00000000-0005-0000-0000-00002B430000}"/>
    <cellStyle name="Normal 15 2 2 2 3 2 4" xfId="22564" xr:uid="{00000000-0005-0000-0000-00002C430000}"/>
    <cellStyle name="Normal 15 2 2 2 3 3" xfId="5615" xr:uid="{00000000-0005-0000-0000-00002D430000}"/>
    <cellStyle name="Normal 15 2 2 2 3 3 2" xfId="14939" xr:uid="{00000000-0005-0000-0000-00002E430000}"/>
    <cellStyle name="Normal 15 2 2 2 3 3 3" xfId="24262" xr:uid="{00000000-0005-0000-0000-00002F430000}"/>
    <cellStyle name="Normal 15 2 2 2 3 4" xfId="11685" xr:uid="{00000000-0005-0000-0000-000030430000}"/>
    <cellStyle name="Normal 15 2 2 2 3 5" xfId="21011" xr:uid="{00000000-0005-0000-0000-000031430000}"/>
    <cellStyle name="Normal 15 2 2 2 4" xfId="2913" xr:uid="{00000000-0005-0000-0000-000032430000}"/>
    <cellStyle name="Normal 15 2 2 2 5" xfId="3061" xr:uid="{00000000-0005-0000-0000-000033430000}"/>
    <cellStyle name="Normal 15 2 2 2 5 2" xfId="7740" xr:uid="{00000000-0005-0000-0000-000034430000}"/>
    <cellStyle name="Normal 15 2 2 2 5 2 2" xfId="17064" xr:uid="{00000000-0005-0000-0000-000035430000}"/>
    <cellStyle name="Normal 15 2 2 2 5 2 3" xfId="26387" xr:uid="{00000000-0005-0000-0000-000036430000}"/>
    <cellStyle name="Normal 15 2 2 2 5 3" xfId="12448" xr:uid="{00000000-0005-0000-0000-000037430000}"/>
    <cellStyle name="Normal 15 2 2 2 5 4" xfId="21774" xr:uid="{00000000-0005-0000-0000-000038430000}"/>
    <cellStyle name="Normal 15 2 2 2 6" xfId="4714" xr:uid="{00000000-0005-0000-0000-000039430000}"/>
    <cellStyle name="Normal 15 2 2 2 6 2" xfId="14038" xr:uid="{00000000-0005-0000-0000-00003A430000}"/>
    <cellStyle name="Normal 15 2 2 2 6 3" xfId="23361" xr:uid="{00000000-0005-0000-0000-00003B430000}"/>
    <cellStyle name="Normal 15 2 2 2 7" xfId="10842" xr:uid="{00000000-0005-0000-0000-00003C430000}"/>
    <cellStyle name="Normal 15 2 2 2 8" xfId="20166" xr:uid="{00000000-0005-0000-0000-00003D430000}"/>
    <cellStyle name="Normal 15 2 2 3" xfId="2183" xr:uid="{00000000-0005-0000-0000-00003E430000}"/>
    <cellStyle name="Normal 15 2 2 3 2" xfId="3908" xr:uid="{00000000-0005-0000-0000-00003F430000}"/>
    <cellStyle name="Normal 15 2 2 3 2 2" xfId="8585" xr:uid="{00000000-0005-0000-0000-000040430000}"/>
    <cellStyle name="Normal 15 2 2 3 2 2 2" xfId="17909" xr:uid="{00000000-0005-0000-0000-000041430000}"/>
    <cellStyle name="Normal 15 2 2 3 2 2 3" xfId="27232" xr:uid="{00000000-0005-0000-0000-000042430000}"/>
    <cellStyle name="Normal 15 2 2 3 2 3" xfId="13242" xr:uid="{00000000-0005-0000-0000-000043430000}"/>
    <cellStyle name="Normal 15 2 2 3 2 4" xfId="22566" xr:uid="{00000000-0005-0000-0000-000044430000}"/>
    <cellStyle name="Normal 15 2 2 3 3" xfId="5617" xr:uid="{00000000-0005-0000-0000-000045430000}"/>
    <cellStyle name="Normal 15 2 2 3 3 2" xfId="14941" xr:uid="{00000000-0005-0000-0000-000046430000}"/>
    <cellStyle name="Normal 15 2 2 3 3 3" xfId="24264" xr:uid="{00000000-0005-0000-0000-000047430000}"/>
    <cellStyle name="Normal 15 2 2 3 4" xfId="11687" xr:uid="{00000000-0005-0000-0000-000048430000}"/>
    <cellStyle name="Normal 15 2 2 3 5" xfId="21013" xr:uid="{00000000-0005-0000-0000-000049430000}"/>
    <cellStyle name="Normal 15 2 2 4" xfId="2180" xr:uid="{00000000-0005-0000-0000-00004A430000}"/>
    <cellStyle name="Normal 15 2 2 4 2" xfId="3905" xr:uid="{00000000-0005-0000-0000-00004B430000}"/>
    <cellStyle name="Normal 15 2 2 4 2 2" xfId="8582" xr:uid="{00000000-0005-0000-0000-00004C430000}"/>
    <cellStyle name="Normal 15 2 2 4 2 2 2" xfId="17906" xr:uid="{00000000-0005-0000-0000-00004D430000}"/>
    <cellStyle name="Normal 15 2 2 4 2 2 3" xfId="27229" xr:uid="{00000000-0005-0000-0000-00004E430000}"/>
    <cellStyle name="Normal 15 2 2 4 2 3" xfId="13239" xr:uid="{00000000-0005-0000-0000-00004F430000}"/>
    <cellStyle name="Normal 15 2 2 4 2 4" xfId="22563" xr:uid="{00000000-0005-0000-0000-000050430000}"/>
    <cellStyle name="Normal 15 2 2 4 3" xfId="5614" xr:uid="{00000000-0005-0000-0000-000051430000}"/>
    <cellStyle name="Normal 15 2 2 4 3 2" xfId="14938" xr:uid="{00000000-0005-0000-0000-000052430000}"/>
    <cellStyle name="Normal 15 2 2 4 3 3" xfId="24261" xr:uid="{00000000-0005-0000-0000-000053430000}"/>
    <cellStyle name="Normal 15 2 2 4 4" xfId="11684" xr:uid="{00000000-0005-0000-0000-000054430000}"/>
    <cellStyle name="Normal 15 2 2 4 5" xfId="21010" xr:uid="{00000000-0005-0000-0000-000055430000}"/>
    <cellStyle name="Normal 15 2 2 5" xfId="2912" xr:uid="{00000000-0005-0000-0000-000056430000}"/>
    <cellStyle name="Normal 15 2 2 6" xfId="3060" xr:uid="{00000000-0005-0000-0000-000057430000}"/>
    <cellStyle name="Normal 15 2 2 6 2" xfId="7739" xr:uid="{00000000-0005-0000-0000-000058430000}"/>
    <cellStyle name="Normal 15 2 2 6 2 2" xfId="17063" xr:uid="{00000000-0005-0000-0000-000059430000}"/>
    <cellStyle name="Normal 15 2 2 6 2 3" xfId="26386" xr:uid="{00000000-0005-0000-0000-00005A430000}"/>
    <cellStyle name="Normal 15 2 2 6 3" xfId="12447" xr:uid="{00000000-0005-0000-0000-00005B430000}"/>
    <cellStyle name="Normal 15 2 2 6 4" xfId="21773" xr:uid="{00000000-0005-0000-0000-00005C430000}"/>
    <cellStyle name="Normal 15 2 2 7" xfId="4713" xr:uid="{00000000-0005-0000-0000-00005D430000}"/>
    <cellStyle name="Normal 15 2 2 7 2" xfId="14037" xr:uid="{00000000-0005-0000-0000-00005E430000}"/>
    <cellStyle name="Normal 15 2 2 7 3" xfId="23360" xr:uid="{00000000-0005-0000-0000-00005F430000}"/>
    <cellStyle name="Normal 15 2 2 8" xfId="10841" xr:uid="{00000000-0005-0000-0000-000060430000}"/>
    <cellStyle name="Normal 15 2 2 9" xfId="20165" xr:uid="{00000000-0005-0000-0000-000061430000}"/>
    <cellStyle name="Normal 15 2 3" xfId="1255" xr:uid="{00000000-0005-0000-0000-000062430000}"/>
    <cellStyle name="Normal 15 2 3 2" xfId="2185" xr:uid="{00000000-0005-0000-0000-000063430000}"/>
    <cellStyle name="Normal 15 2 3 2 2" xfId="2186" xr:uid="{00000000-0005-0000-0000-000064430000}"/>
    <cellStyle name="Normal 15 2 3 2 2 2" xfId="3911" xr:uid="{00000000-0005-0000-0000-000065430000}"/>
    <cellStyle name="Normal 15 2 3 2 2 2 2" xfId="8588" xr:uid="{00000000-0005-0000-0000-000066430000}"/>
    <cellStyle name="Normal 15 2 3 2 2 2 2 2" xfId="17912" xr:uid="{00000000-0005-0000-0000-000067430000}"/>
    <cellStyle name="Normal 15 2 3 2 2 2 2 3" xfId="27235" xr:uid="{00000000-0005-0000-0000-000068430000}"/>
    <cellStyle name="Normal 15 2 3 2 2 2 3" xfId="13245" xr:uid="{00000000-0005-0000-0000-000069430000}"/>
    <cellStyle name="Normal 15 2 3 2 2 2 4" xfId="22569" xr:uid="{00000000-0005-0000-0000-00006A430000}"/>
    <cellStyle name="Normal 15 2 3 2 2 3" xfId="5620" xr:uid="{00000000-0005-0000-0000-00006B430000}"/>
    <cellStyle name="Normal 15 2 3 2 2 3 2" xfId="14944" xr:uid="{00000000-0005-0000-0000-00006C430000}"/>
    <cellStyle name="Normal 15 2 3 2 2 3 3" xfId="24267" xr:uid="{00000000-0005-0000-0000-00006D430000}"/>
    <cellStyle name="Normal 15 2 3 2 2 4" xfId="11690" xr:uid="{00000000-0005-0000-0000-00006E430000}"/>
    <cellStyle name="Normal 15 2 3 2 2 5" xfId="21016" xr:uid="{00000000-0005-0000-0000-00006F430000}"/>
    <cellStyle name="Normal 15 2 3 2 3" xfId="3910" xr:uid="{00000000-0005-0000-0000-000070430000}"/>
    <cellStyle name="Normal 15 2 3 2 3 2" xfId="8587" xr:uid="{00000000-0005-0000-0000-000071430000}"/>
    <cellStyle name="Normal 15 2 3 2 3 2 2" xfId="17911" xr:uid="{00000000-0005-0000-0000-000072430000}"/>
    <cellStyle name="Normal 15 2 3 2 3 2 3" xfId="27234" xr:uid="{00000000-0005-0000-0000-000073430000}"/>
    <cellStyle name="Normal 15 2 3 2 3 3" xfId="13244" xr:uid="{00000000-0005-0000-0000-000074430000}"/>
    <cellStyle name="Normal 15 2 3 2 3 4" xfId="22568" xr:uid="{00000000-0005-0000-0000-000075430000}"/>
    <cellStyle name="Normal 15 2 3 2 4" xfId="5619" xr:uid="{00000000-0005-0000-0000-000076430000}"/>
    <cellStyle name="Normal 15 2 3 2 4 2" xfId="14943" xr:uid="{00000000-0005-0000-0000-000077430000}"/>
    <cellStyle name="Normal 15 2 3 2 4 3" xfId="24266" xr:uid="{00000000-0005-0000-0000-000078430000}"/>
    <cellStyle name="Normal 15 2 3 2 5" xfId="11689" xr:uid="{00000000-0005-0000-0000-000079430000}"/>
    <cellStyle name="Normal 15 2 3 2 6" xfId="21015" xr:uid="{00000000-0005-0000-0000-00007A430000}"/>
    <cellStyle name="Normal 15 2 3 3" xfId="2187" xr:uid="{00000000-0005-0000-0000-00007B430000}"/>
    <cellStyle name="Normal 15 2 3 3 2" xfId="3912" xr:uid="{00000000-0005-0000-0000-00007C430000}"/>
    <cellStyle name="Normal 15 2 3 3 2 2" xfId="8589" xr:uid="{00000000-0005-0000-0000-00007D430000}"/>
    <cellStyle name="Normal 15 2 3 3 2 2 2" xfId="17913" xr:uid="{00000000-0005-0000-0000-00007E430000}"/>
    <cellStyle name="Normal 15 2 3 3 2 2 3" xfId="27236" xr:uid="{00000000-0005-0000-0000-00007F430000}"/>
    <cellStyle name="Normal 15 2 3 3 2 3" xfId="13246" xr:uid="{00000000-0005-0000-0000-000080430000}"/>
    <cellStyle name="Normal 15 2 3 3 2 4" xfId="22570" xr:uid="{00000000-0005-0000-0000-000081430000}"/>
    <cellStyle name="Normal 15 2 3 3 3" xfId="5621" xr:uid="{00000000-0005-0000-0000-000082430000}"/>
    <cellStyle name="Normal 15 2 3 3 3 2" xfId="14945" xr:uid="{00000000-0005-0000-0000-000083430000}"/>
    <cellStyle name="Normal 15 2 3 3 3 3" xfId="24268" xr:uid="{00000000-0005-0000-0000-000084430000}"/>
    <cellStyle name="Normal 15 2 3 3 4" xfId="11691" xr:uid="{00000000-0005-0000-0000-000085430000}"/>
    <cellStyle name="Normal 15 2 3 3 5" xfId="21017" xr:uid="{00000000-0005-0000-0000-000086430000}"/>
    <cellStyle name="Normal 15 2 3 4" xfId="2184" xr:uid="{00000000-0005-0000-0000-000087430000}"/>
    <cellStyle name="Normal 15 2 3 4 2" xfId="3909" xr:uid="{00000000-0005-0000-0000-000088430000}"/>
    <cellStyle name="Normal 15 2 3 4 2 2" xfId="8586" xr:uid="{00000000-0005-0000-0000-000089430000}"/>
    <cellStyle name="Normal 15 2 3 4 2 2 2" xfId="17910" xr:uid="{00000000-0005-0000-0000-00008A430000}"/>
    <cellStyle name="Normal 15 2 3 4 2 2 3" xfId="27233" xr:uid="{00000000-0005-0000-0000-00008B430000}"/>
    <cellStyle name="Normal 15 2 3 4 2 3" xfId="13243" xr:uid="{00000000-0005-0000-0000-00008C430000}"/>
    <cellStyle name="Normal 15 2 3 4 2 4" xfId="22567" xr:uid="{00000000-0005-0000-0000-00008D430000}"/>
    <cellStyle name="Normal 15 2 3 4 3" xfId="5618" xr:uid="{00000000-0005-0000-0000-00008E430000}"/>
    <cellStyle name="Normal 15 2 3 4 3 2" xfId="14942" xr:uid="{00000000-0005-0000-0000-00008F430000}"/>
    <cellStyle name="Normal 15 2 3 4 3 3" xfId="24265" xr:uid="{00000000-0005-0000-0000-000090430000}"/>
    <cellStyle name="Normal 15 2 3 4 4" xfId="11688" xr:uid="{00000000-0005-0000-0000-000091430000}"/>
    <cellStyle name="Normal 15 2 3 4 5" xfId="21014" xr:uid="{00000000-0005-0000-0000-000092430000}"/>
    <cellStyle name="Normal 15 2 3 5" xfId="3062" xr:uid="{00000000-0005-0000-0000-000093430000}"/>
    <cellStyle name="Normal 15 2 3 5 2" xfId="7741" xr:uid="{00000000-0005-0000-0000-000094430000}"/>
    <cellStyle name="Normal 15 2 3 5 2 2" xfId="17065" xr:uid="{00000000-0005-0000-0000-000095430000}"/>
    <cellStyle name="Normal 15 2 3 5 2 3" xfId="26388" xr:uid="{00000000-0005-0000-0000-000096430000}"/>
    <cellStyle name="Normal 15 2 3 5 3" xfId="12449" xr:uid="{00000000-0005-0000-0000-000097430000}"/>
    <cellStyle name="Normal 15 2 3 5 4" xfId="21775" xr:uid="{00000000-0005-0000-0000-000098430000}"/>
    <cellStyle name="Normal 15 2 3 6" xfId="4715" xr:uid="{00000000-0005-0000-0000-000099430000}"/>
    <cellStyle name="Normal 15 2 3 6 2" xfId="14039" xr:uid="{00000000-0005-0000-0000-00009A430000}"/>
    <cellStyle name="Normal 15 2 3 6 3" xfId="23362" xr:uid="{00000000-0005-0000-0000-00009B430000}"/>
    <cellStyle name="Normal 15 2 3 7" xfId="10843" xr:uid="{00000000-0005-0000-0000-00009C430000}"/>
    <cellStyle name="Normal 15 2 3 8" xfId="20167" xr:uid="{00000000-0005-0000-0000-00009D430000}"/>
    <cellStyle name="Normal 15 2 4" xfId="2188" xr:uid="{00000000-0005-0000-0000-00009E430000}"/>
    <cellStyle name="Normal 15 2 4 2" xfId="2189" xr:uid="{00000000-0005-0000-0000-00009F430000}"/>
    <cellStyle name="Normal 15 2 4 2 2" xfId="3914" xr:uid="{00000000-0005-0000-0000-0000A0430000}"/>
    <cellStyle name="Normal 15 2 4 2 2 2" xfId="8591" xr:uid="{00000000-0005-0000-0000-0000A1430000}"/>
    <cellStyle name="Normal 15 2 4 2 2 2 2" xfId="17915" xr:uid="{00000000-0005-0000-0000-0000A2430000}"/>
    <cellStyle name="Normal 15 2 4 2 2 2 3" xfId="27238" xr:uid="{00000000-0005-0000-0000-0000A3430000}"/>
    <cellStyle name="Normal 15 2 4 2 2 3" xfId="13248" xr:uid="{00000000-0005-0000-0000-0000A4430000}"/>
    <cellStyle name="Normal 15 2 4 2 2 4" xfId="22572" xr:uid="{00000000-0005-0000-0000-0000A5430000}"/>
    <cellStyle name="Normal 15 2 4 2 3" xfId="5623" xr:uid="{00000000-0005-0000-0000-0000A6430000}"/>
    <cellStyle name="Normal 15 2 4 2 3 2" xfId="14947" xr:uid="{00000000-0005-0000-0000-0000A7430000}"/>
    <cellStyle name="Normal 15 2 4 2 3 3" xfId="24270" xr:uid="{00000000-0005-0000-0000-0000A8430000}"/>
    <cellStyle name="Normal 15 2 4 2 4" xfId="11693" xr:uid="{00000000-0005-0000-0000-0000A9430000}"/>
    <cellStyle name="Normal 15 2 4 2 5" xfId="21019" xr:uid="{00000000-0005-0000-0000-0000AA430000}"/>
    <cellStyle name="Normal 15 2 4 3" xfId="3913" xr:uid="{00000000-0005-0000-0000-0000AB430000}"/>
    <cellStyle name="Normal 15 2 4 3 2" xfId="8590" xr:uid="{00000000-0005-0000-0000-0000AC430000}"/>
    <cellStyle name="Normal 15 2 4 3 2 2" xfId="17914" xr:uid="{00000000-0005-0000-0000-0000AD430000}"/>
    <cellStyle name="Normal 15 2 4 3 2 3" xfId="27237" xr:uid="{00000000-0005-0000-0000-0000AE430000}"/>
    <cellStyle name="Normal 15 2 4 3 3" xfId="13247" xr:uid="{00000000-0005-0000-0000-0000AF430000}"/>
    <cellStyle name="Normal 15 2 4 3 4" xfId="22571" xr:uid="{00000000-0005-0000-0000-0000B0430000}"/>
    <cellStyle name="Normal 15 2 4 4" xfId="5622" xr:uid="{00000000-0005-0000-0000-0000B1430000}"/>
    <cellStyle name="Normal 15 2 4 4 2" xfId="14946" xr:uid="{00000000-0005-0000-0000-0000B2430000}"/>
    <cellStyle name="Normal 15 2 4 4 3" xfId="24269" xr:uid="{00000000-0005-0000-0000-0000B3430000}"/>
    <cellStyle name="Normal 15 2 4 5" xfId="11692" xr:uid="{00000000-0005-0000-0000-0000B4430000}"/>
    <cellStyle name="Normal 15 2 4 6" xfId="21018" xr:uid="{00000000-0005-0000-0000-0000B5430000}"/>
    <cellStyle name="Normal 15 2 5" xfId="2190" xr:uid="{00000000-0005-0000-0000-0000B6430000}"/>
    <cellStyle name="Normal 15 2 5 2" xfId="3915" xr:uid="{00000000-0005-0000-0000-0000B7430000}"/>
    <cellStyle name="Normal 15 2 5 2 2" xfId="8592" xr:uid="{00000000-0005-0000-0000-0000B8430000}"/>
    <cellStyle name="Normal 15 2 5 2 2 2" xfId="17916" xr:uid="{00000000-0005-0000-0000-0000B9430000}"/>
    <cellStyle name="Normal 15 2 5 2 2 3" xfId="27239" xr:uid="{00000000-0005-0000-0000-0000BA430000}"/>
    <cellStyle name="Normal 15 2 5 2 3" xfId="13249" xr:uid="{00000000-0005-0000-0000-0000BB430000}"/>
    <cellStyle name="Normal 15 2 5 2 4" xfId="22573" xr:uid="{00000000-0005-0000-0000-0000BC430000}"/>
    <cellStyle name="Normal 15 2 5 3" xfId="5624" xr:uid="{00000000-0005-0000-0000-0000BD430000}"/>
    <cellStyle name="Normal 15 2 5 3 2" xfId="14948" xr:uid="{00000000-0005-0000-0000-0000BE430000}"/>
    <cellStyle name="Normal 15 2 5 3 3" xfId="24271" xr:uid="{00000000-0005-0000-0000-0000BF430000}"/>
    <cellStyle name="Normal 15 2 5 4" xfId="11694" xr:uid="{00000000-0005-0000-0000-0000C0430000}"/>
    <cellStyle name="Normal 15 2 5 5" xfId="21020" xr:uid="{00000000-0005-0000-0000-0000C1430000}"/>
    <cellStyle name="Normal 15 2 6" xfId="2191" xr:uid="{00000000-0005-0000-0000-0000C2430000}"/>
    <cellStyle name="Normal 15 2 6 2" xfId="3916" xr:uid="{00000000-0005-0000-0000-0000C3430000}"/>
    <cellStyle name="Normal 15 2 6 2 2" xfId="8593" xr:uid="{00000000-0005-0000-0000-0000C4430000}"/>
    <cellStyle name="Normal 15 2 6 2 2 2" xfId="17917" xr:uid="{00000000-0005-0000-0000-0000C5430000}"/>
    <cellStyle name="Normal 15 2 6 2 2 3" xfId="27240" xr:uid="{00000000-0005-0000-0000-0000C6430000}"/>
    <cellStyle name="Normal 15 2 6 2 3" xfId="13250" xr:uid="{00000000-0005-0000-0000-0000C7430000}"/>
    <cellStyle name="Normal 15 2 6 2 4" xfId="22574" xr:uid="{00000000-0005-0000-0000-0000C8430000}"/>
    <cellStyle name="Normal 15 2 6 3" xfId="5625" xr:uid="{00000000-0005-0000-0000-0000C9430000}"/>
    <cellStyle name="Normal 15 2 6 3 2" xfId="14949" xr:uid="{00000000-0005-0000-0000-0000CA430000}"/>
    <cellStyle name="Normal 15 2 6 3 3" xfId="24272" xr:uid="{00000000-0005-0000-0000-0000CB430000}"/>
    <cellStyle name="Normal 15 2 6 4" xfId="11695" xr:uid="{00000000-0005-0000-0000-0000CC430000}"/>
    <cellStyle name="Normal 15 2 6 5" xfId="21021" xr:uid="{00000000-0005-0000-0000-0000CD430000}"/>
    <cellStyle name="Normal 15 2 7" xfId="2192" xr:uid="{00000000-0005-0000-0000-0000CE430000}"/>
    <cellStyle name="Normal 15 2 7 2" xfId="3917" xr:uid="{00000000-0005-0000-0000-0000CF430000}"/>
    <cellStyle name="Normal 15 2 7 2 2" xfId="8594" xr:uid="{00000000-0005-0000-0000-0000D0430000}"/>
    <cellStyle name="Normal 15 2 7 2 2 2" xfId="17918" xr:uid="{00000000-0005-0000-0000-0000D1430000}"/>
    <cellStyle name="Normal 15 2 7 2 2 3" xfId="27241" xr:uid="{00000000-0005-0000-0000-0000D2430000}"/>
    <cellStyle name="Normal 15 2 7 2 3" xfId="13251" xr:uid="{00000000-0005-0000-0000-0000D3430000}"/>
    <cellStyle name="Normal 15 2 7 2 4" xfId="22575" xr:uid="{00000000-0005-0000-0000-0000D4430000}"/>
    <cellStyle name="Normal 15 2 7 3" xfId="5626" xr:uid="{00000000-0005-0000-0000-0000D5430000}"/>
    <cellStyle name="Normal 15 2 7 3 2" xfId="14950" xr:uid="{00000000-0005-0000-0000-0000D6430000}"/>
    <cellStyle name="Normal 15 2 7 3 3" xfId="24273" xr:uid="{00000000-0005-0000-0000-0000D7430000}"/>
    <cellStyle name="Normal 15 2 7 4" xfId="11696" xr:uid="{00000000-0005-0000-0000-0000D8430000}"/>
    <cellStyle name="Normal 15 2 7 5" xfId="21022" xr:uid="{00000000-0005-0000-0000-0000D9430000}"/>
    <cellStyle name="Normal 15 2 8" xfId="2179" xr:uid="{00000000-0005-0000-0000-0000DA430000}"/>
    <cellStyle name="Normal 15 2 8 2" xfId="3904" xr:uid="{00000000-0005-0000-0000-0000DB430000}"/>
    <cellStyle name="Normal 15 2 8 2 2" xfId="8581" xr:uid="{00000000-0005-0000-0000-0000DC430000}"/>
    <cellStyle name="Normal 15 2 8 2 2 2" xfId="17905" xr:uid="{00000000-0005-0000-0000-0000DD430000}"/>
    <cellStyle name="Normal 15 2 8 2 2 3" xfId="27228" xr:uid="{00000000-0005-0000-0000-0000DE430000}"/>
    <cellStyle name="Normal 15 2 8 2 3" xfId="13238" xr:uid="{00000000-0005-0000-0000-0000DF430000}"/>
    <cellStyle name="Normal 15 2 8 2 4" xfId="22562" xr:uid="{00000000-0005-0000-0000-0000E0430000}"/>
    <cellStyle name="Normal 15 2 8 3" xfId="5613" xr:uid="{00000000-0005-0000-0000-0000E1430000}"/>
    <cellStyle name="Normal 15 2 8 3 2" xfId="14937" xr:uid="{00000000-0005-0000-0000-0000E2430000}"/>
    <cellStyle name="Normal 15 2 8 3 3" xfId="24260" xr:uid="{00000000-0005-0000-0000-0000E3430000}"/>
    <cellStyle name="Normal 15 2 8 4" xfId="11683" xr:uid="{00000000-0005-0000-0000-0000E4430000}"/>
    <cellStyle name="Normal 15 2 8 5" xfId="21009" xr:uid="{00000000-0005-0000-0000-0000E5430000}"/>
    <cellStyle name="Normal 15 2 9" xfId="2911" xr:uid="{00000000-0005-0000-0000-0000E6430000}"/>
    <cellStyle name="Normal 15 3" xfId="1256" xr:uid="{00000000-0005-0000-0000-0000E7430000}"/>
    <cellStyle name="Normal 15 3 2" xfId="1257" xr:uid="{00000000-0005-0000-0000-0000E8430000}"/>
    <cellStyle name="Normal 15 3 2 2" xfId="2195" xr:uid="{00000000-0005-0000-0000-0000E9430000}"/>
    <cellStyle name="Normal 15 3 2 2 2" xfId="3920" xr:uid="{00000000-0005-0000-0000-0000EA430000}"/>
    <cellStyle name="Normal 15 3 2 2 2 2" xfId="8597" xr:uid="{00000000-0005-0000-0000-0000EB430000}"/>
    <cellStyle name="Normal 15 3 2 2 2 2 2" xfId="17921" xr:uid="{00000000-0005-0000-0000-0000EC430000}"/>
    <cellStyle name="Normal 15 3 2 2 2 2 3" xfId="27244" xr:uid="{00000000-0005-0000-0000-0000ED430000}"/>
    <cellStyle name="Normal 15 3 2 2 2 3" xfId="13254" xr:uid="{00000000-0005-0000-0000-0000EE430000}"/>
    <cellStyle name="Normal 15 3 2 2 2 4" xfId="22578" xr:uid="{00000000-0005-0000-0000-0000EF430000}"/>
    <cellStyle name="Normal 15 3 2 2 3" xfId="5629" xr:uid="{00000000-0005-0000-0000-0000F0430000}"/>
    <cellStyle name="Normal 15 3 2 2 3 2" xfId="14953" xr:uid="{00000000-0005-0000-0000-0000F1430000}"/>
    <cellStyle name="Normal 15 3 2 2 3 3" xfId="24276" xr:uid="{00000000-0005-0000-0000-0000F2430000}"/>
    <cellStyle name="Normal 15 3 2 2 4" xfId="11699" xr:uid="{00000000-0005-0000-0000-0000F3430000}"/>
    <cellStyle name="Normal 15 3 2 2 5" xfId="21025" xr:uid="{00000000-0005-0000-0000-0000F4430000}"/>
    <cellStyle name="Normal 15 3 2 3" xfId="2194" xr:uid="{00000000-0005-0000-0000-0000F5430000}"/>
    <cellStyle name="Normal 15 3 2 3 2" xfId="3919" xr:uid="{00000000-0005-0000-0000-0000F6430000}"/>
    <cellStyle name="Normal 15 3 2 3 2 2" xfId="8596" xr:uid="{00000000-0005-0000-0000-0000F7430000}"/>
    <cellStyle name="Normal 15 3 2 3 2 2 2" xfId="17920" xr:uid="{00000000-0005-0000-0000-0000F8430000}"/>
    <cellStyle name="Normal 15 3 2 3 2 2 3" xfId="27243" xr:uid="{00000000-0005-0000-0000-0000F9430000}"/>
    <cellStyle name="Normal 15 3 2 3 2 3" xfId="13253" xr:uid="{00000000-0005-0000-0000-0000FA430000}"/>
    <cellStyle name="Normal 15 3 2 3 2 4" xfId="22577" xr:uid="{00000000-0005-0000-0000-0000FB430000}"/>
    <cellStyle name="Normal 15 3 2 3 3" xfId="5628" xr:uid="{00000000-0005-0000-0000-0000FC430000}"/>
    <cellStyle name="Normal 15 3 2 3 3 2" xfId="14952" xr:uid="{00000000-0005-0000-0000-0000FD430000}"/>
    <cellStyle name="Normal 15 3 2 3 3 3" xfId="24275" xr:uid="{00000000-0005-0000-0000-0000FE430000}"/>
    <cellStyle name="Normal 15 3 2 3 4" xfId="11698" xr:uid="{00000000-0005-0000-0000-0000FF430000}"/>
    <cellStyle name="Normal 15 3 2 3 5" xfId="21024" xr:uid="{00000000-0005-0000-0000-000000440000}"/>
    <cellStyle name="Normal 15 3 2 4" xfId="3064" xr:uid="{00000000-0005-0000-0000-000001440000}"/>
    <cellStyle name="Normal 15 3 2 4 2" xfId="7743" xr:uid="{00000000-0005-0000-0000-000002440000}"/>
    <cellStyle name="Normal 15 3 2 4 2 2" xfId="17067" xr:uid="{00000000-0005-0000-0000-000003440000}"/>
    <cellStyle name="Normal 15 3 2 4 2 3" xfId="26390" xr:uid="{00000000-0005-0000-0000-000004440000}"/>
    <cellStyle name="Normal 15 3 2 4 3" xfId="12451" xr:uid="{00000000-0005-0000-0000-000005440000}"/>
    <cellStyle name="Normal 15 3 2 4 4" xfId="21777" xr:uid="{00000000-0005-0000-0000-000006440000}"/>
    <cellStyle name="Normal 15 3 2 5" xfId="4717" xr:uid="{00000000-0005-0000-0000-000007440000}"/>
    <cellStyle name="Normal 15 3 2 5 2" xfId="14041" xr:uid="{00000000-0005-0000-0000-000008440000}"/>
    <cellStyle name="Normal 15 3 2 5 3" xfId="23364" xr:uid="{00000000-0005-0000-0000-000009440000}"/>
    <cellStyle name="Normal 15 3 2 6" xfId="10845" xr:uid="{00000000-0005-0000-0000-00000A440000}"/>
    <cellStyle name="Normal 15 3 2 7" xfId="20169" xr:uid="{00000000-0005-0000-0000-00000B440000}"/>
    <cellStyle name="Normal 15 3 3" xfId="2196" xr:uid="{00000000-0005-0000-0000-00000C440000}"/>
    <cellStyle name="Normal 15 3 3 2" xfId="3921" xr:uid="{00000000-0005-0000-0000-00000D440000}"/>
    <cellStyle name="Normal 15 3 3 2 2" xfId="8598" xr:uid="{00000000-0005-0000-0000-00000E440000}"/>
    <cellStyle name="Normal 15 3 3 2 2 2" xfId="17922" xr:uid="{00000000-0005-0000-0000-00000F440000}"/>
    <cellStyle name="Normal 15 3 3 2 2 3" xfId="27245" xr:uid="{00000000-0005-0000-0000-000010440000}"/>
    <cellStyle name="Normal 15 3 3 2 3" xfId="13255" xr:uid="{00000000-0005-0000-0000-000011440000}"/>
    <cellStyle name="Normal 15 3 3 2 4" xfId="22579" xr:uid="{00000000-0005-0000-0000-000012440000}"/>
    <cellStyle name="Normal 15 3 3 3" xfId="5630" xr:uid="{00000000-0005-0000-0000-000013440000}"/>
    <cellStyle name="Normal 15 3 3 3 2" xfId="14954" xr:uid="{00000000-0005-0000-0000-000014440000}"/>
    <cellStyle name="Normal 15 3 3 3 3" xfId="24277" xr:uid="{00000000-0005-0000-0000-000015440000}"/>
    <cellStyle name="Normal 15 3 3 4" xfId="11700" xr:uid="{00000000-0005-0000-0000-000016440000}"/>
    <cellStyle name="Normal 15 3 3 5" xfId="21026" xr:uid="{00000000-0005-0000-0000-000017440000}"/>
    <cellStyle name="Normal 15 3 4" xfId="2193" xr:uid="{00000000-0005-0000-0000-000018440000}"/>
    <cellStyle name="Normal 15 3 4 2" xfId="3918" xr:uid="{00000000-0005-0000-0000-000019440000}"/>
    <cellStyle name="Normal 15 3 4 2 2" xfId="8595" xr:uid="{00000000-0005-0000-0000-00001A440000}"/>
    <cellStyle name="Normal 15 3 4 2 2 2" xfId="17919" xr:uid="{00000000-0005-0000-0000-00001B440000}"/>
    <cellStyle name="Normal 15 3 4 2 2 3" xfId="27242" xr:uid="{00000000-0005-0000-0000-00001C440000}"/>
    <cellStyle name="Normal 15 3 4 2 3" xfId="13252" xr:uid="{00000000-0005-0000-0000-00001D440000}"/>
    <cellStyle name="Normal 15 3 4 2 4" xfId="22576" xr:uid="{00000000-0005-0000-0000-00001E440000}"/>
    <cellStyle name="Normal 15 3 4 3" xfId="5627" xr:uid="{00000000-0005-0000-0000-00001F440000}"/>
    <cellStyle name="Normal 15 3 4 3 2" xfId="14951" xr:uid="{00000000-0005-0000-0000-000020440000}"/>
    <cellStyle name="Normal 15 3 4 3 3" xfId="24274" xr:uid="{00000000-0005-0000-0000-000021440000}"/>
    <cellStyle name="Normal 15 3 4 4" xfId="11697" xr:uid="{00000000-0005-0000-0000-000022440000}"/>
    <cellStyle name="Normal 15 3 4 5" xfId="21023" xr:uid="{00000000-0005-0000-0000-000023440000}"/>
    <cellStyle name="Normal 15 3 5" xfId="3063" xr:uid="{00000000-0005-0000-0000-000024440000}"/>
    <cellStyle name="Normal 15 3 5 2" xfId="7742" xr:uid="{00000000-0005-0000-0000-000025440000}"/>
    <cellStyle name="Normal 15 3 5 2 2" xfId="17066" xr:uid="{00000000-0005-0000-0000-000026440000}"/>
    <cellStyle name="Normal 15 3 5 2 3" xfId="26389" xr:uid="{00000000-0005-0000-0000-000027440000}"/>
    <cellStyle name="Normal 15 3 5 3" xfId="12450" xr:uid="{00000000-0005-0000-0000-000028440000}"/>
    <cellStyle name="Normal 15 3 5 4" xfId="21776" xr:uid="{00000000-0005-0000-0000-000029440000}"/>
    <cellStyle name="Normal 15 3 6" xfId="4716" xr:uid="{00000000-0005-0000-0000-00002A440000}"/>
    <cellStyle name="Normal 15 3 6 2" xfId="14040" xr:uid="{00000000-0005-0000-0000-00002B440000}"/>
    <cellStyle name="Normal 15 3 6 3" xfId="23363" xr:uid="{00000000-0005-0000-0000-00002C440000}"/>
    <cellStyle name="Normal 15 3 7" xfId="10844" xr:uid="{00000000-0005-0000-0000-00002D440000}"/>
    <cellStyle name="Normal 15 3 8" xfId="20168" xr:uid="{00000000-0005-0000-0000-00002E440000}"/>
    <cellStyle name="Normal 15 3 9" xfId="28798" xr:uid="{00000000-0005-0000-0000-00002F440000}"/>
    <cellStyle name="Normal 15 4" xfId="1258" xr:uid="{00000000-0005-0000-0000-000030440000}"/>
    <cellStyle name="Normal 15 4 2" xfId="2198" xr:uid="{00000000-0005-0000-0000-000031440000}"/>
    <cellStyle name="Normal 15 4 2 2" xfId="2199" xr:uid="{00000000-0005-0000-0000-000032440000}"/>
    <cellStyle name="Normal 15 4 2 2 2" xfId="3924" xr:uid="{00000000-0005-0000-0000-000033440000}"/>
    <cellStyle name="Normal 15 4 2 2 2 2" xfId="8601" xr:uid="{00000000-0005-0000-0000-000034440000}"/>
    <cellStyle name="Normal 15 4 2 2 2 2 2" xfId="17925" xr:uid="{00000000-0005-0000-0000-000035440000}"/>
    <cellStyle name="Normal 15 4 2 2 2 2 3" xfId="27248" xr:uid="{00000000-0005-0000-0000-000036440000}"/>
    <cellStyle name="Normal 15 4 2 2 2 3" xfId="13258" xr:uid="{00000000-0005-0000-0000-000037440000}"/>
    <cellStyle name="Normal 15 4 2 2 2 4" xfId="22582" xr:uid="{00000000-0005-0000-0000-000038440000}"/>
    <cellStyle name="Normal 15 4 2 2 3" xfId="5633" xr:uid="{00000000-0005-0000-0000-000039440000}"/>
    <cellStyle name="Normal 15 4 2 2 3 2" xfId="14957" xr:uid="{00000000-0005-0000-0000-00003A440000}"/>
    <cellStyle name="Normal 15 4 2 2 3 3" xfId="24280" xr:uid="{00000000-0005-0000-0000-00003B440000}"/>
    <cellStyle name="Normal 15 4 2 2 4" xfId="11703" xr:uid="{00000000-0005-0000-0000-00003C440000}"/>
    <cellStyle name="Normal 15 4 2 2 5" xfId="21029" xr:uid="{00000000-0005-0000-0000-00003D440000}"/>
    <cellStyle name="Normal 15 4 2 3" xfId="3923" xr:uid="{00000000-0005-0000-0000-00003E440000}"/>
    <cellStyle name="Normal 15 4 2 3 2" xfId="8600" xr:uid="{00000000-0005-0000-0000-00003F440000}"/>
    <cellStyle name="Normal 15 4 2 3 2 2" xfId="17924" xr:uid="{00000000-0005-0000-0000-000040440000}"/>
    <cellStyle name="Normal 15 4 2 3 2 3" xfId="27247" xr:uid="{00000000-0005-0000-0000-000041440000}"/>
    <cellStyle name="Normal 15 4 2 3 3" xfId="13257" xr:uid="{00000000-0005-0000-0000-000042440000}"/>
    <cellStyle name="Normal 15 4 2 3 4" xfId="22581" xr:uid="{00000000-0005-0000-0000-000043440000}"/>
    <cellStyle name="Normal 15 4 2 4" xfId="5632" xr:uid="{00000000-0005-0000-0000-000044440000}"/>
    <cellStyle name="Normal 15 4 2 4 2" xfId="14956" xr:uid="{00000000-0005-0000-0000-000045440000}"/>
    <cellStyle name="Normal 15 4 2 4 3" xfId="24279" xr:uid="{00000000-0005-0000-0000-000046440000}"/>
    <cellStyle name="Normal 15 4 2 5" xfId="11702" xr:uid="{00000000-0005-0000-0000-000047440000}"/>
    <cellStyle name="Normal 15 4 2 6" xfId="21028" xr:uid="{00000000-0005-0000-0000-000048440000}"/>
    <cellStyle name="Normal 15 4 3" xfId="2200" xr:uid="{00000000-0005-0000-0000-000049440000}"/>
    <cellStyle name="Normal 15 4 3 2" xfId="3925" xr:uid="{00000000-0005-0000-0000-00004A440000}"/>
    <cellStyle name="Normal 15 4 3 2 2" xfId="8602" xr:uid="{00000000-0005-0000-0000-00004B440000}"/>
    <cellStyle name="Normal 15 4 3 2 2 2" xfId="17926" xr:uid="{00000000-0005-0000-0000-00004C440000}"/>
    <cellStyle name="Normal 15 4 3 2 2 3" xfId="27249" xr:uid="{00000000-0005-0000-0000-00004D440000}"/>
    <cellStyle name="Normal 15 4 3 2 3" xfId="13259" xr:uid="{00000000-0005-0000-0000-00004E440000}"/>
    <cellStyle name="Normal 15 4 3 2 4" xfId="22583" xr:uid="{00000000-0005-0000-0000-00004F440000}"/>
    <cellStyle name="Normal 15 4 3 3" xfId="5634" xr:uid="{00000000-0005-0000-0000-000050440000}"/>
    <cellStyle name="Normal 15 4 3 3 2" xfId="14958" xr:uid="{00000000-0005-0000-0000-000051440000}"/>
    <cellStyle name="Normal 15 4 3 3 3" xfId="24281" xr:uid="{00000000-0005-0000-0000-000052440000}"/>
    <cellStyle name="Normal 15 4 3 4" xfId="11704" xr:uid="{00000000-0005-0000-0000-000053440000}"/>
    <cellStyle name="Normal 15 4 3 5" xfId="21030" xr:uid="{00000000-0005-0000-0000-000054440000}"/>
    <cellStyle name="Normal 15 4 4" xfId="2197" xr:uid="{00000000-0005-0000-0000-000055440000}"/>
    <cellStyle name="Normal 15 4 4 2" xfId="3922" xr:uid="{00000000-0005-0000-0000-000056440000}"/>
    <cellStyle name="Normal 15 4 4 2 2" xfId="8599" xr:uid="{00000000-0005-0000-0000-000057440000}"/>
    <cellStyle name="Normal 15 4 4 2 2 2" xfId="17923" xr:uid="{00000000-0005-0000-0000-000058440000}"/>
    <cellStyle name="Normal 15 4 4 2 2 3" xfId="27246" xr:uid="{00000000-0005-0000-0000-000059440000}"/>
    <cellStyle name="Normal 15 4 4 2 3" xfId="13256" xr:uid="{00000000-0005-0000-0000-00005A440000}"/>
    <cellStyle name="Normal 15 4 4 2 4" xfId="22580" xr:uid="{00000000-0005-0000-0000-00005B440000}"/>
    <cellStyle name="Normal 15 4 4 3" xfId="5631" xr:uid="{00000000-0005-0000-0000-00005C440000}"/>
    <cellStyle name="Normal 15 4 4 3 2" xfId="14955" xr:uid="{00000000-0005-0000-0000-00005D440000}"/>
    <cellStyle name="Normal 15 4 4 3 3" xfId="24278" xr:uid="{00000000-0005-0000-0000-00005E440000}"/>
    <cellStyle name="Normal 15 4 4 4" xfId="11701" xr:uid="{00000000-0005-0000-0000-00005F440000}"/>
    <cellStyle name="Normal 15 4 4 5" xfId="21027" xr:uid="{00000000-0005-0000-0000-000060440000}"/>
    <cellStyle name="Normal 15 4 5" xfId="3065" xr:uid="{00000000-0005-0000-0000-000061440000}"/>
    <cellStyle name="Normal 15 4 5 2" xfId="7744" xr:uid="{00000000-0005-0000-0000-000062440000}"/>
    <cellStyle name="Normal 15 4 5 2 2" xfId="17068" xr:uid="{00000000-0005-0000-0000-000063440000}"/>
    <cellStyle name="Normal 15 4 5 2 3" xfId="26391" xr:uid="{00000000-0005-0000-0000-000064440000}"/>
    <cellStyle name="Normal 15 4 5 3" xfId="12452" xr:uid="{00000000-0005-0000-0000-000065440000}"/>
    <cellStyle name="Normal 15 4 5 4" xfId="21778" xr:uid="{00000000-0005-0000-0000-000066440000}"/>
    <cellStyle name="Normal 15 4 6" xfId="4718" xr:uid="{00000000-0005-0000-0000-000067440000}"/>
    <cellStyle name="Normal 15 4 6 2" xfId="14042" xr:uid="{00000000-0005-0000-0000-000068440000}"/>
    <cellStyle name="Normal 15 4 6 3" xfId="23365" xr:uid="{00000000-0005-0000-0000-000069440000}"/>
    <cellStyle name="Normal 15 4 7" xfId="10846" xr:uid="{00000000-0005-0000-0000-00006A440000}"/>
    <cellStyle name="Normal 15 4 8" xfId="20170" xr:uid="{00000000-0005-0000-0000-00006B440000}"/>
    <cellStyle name="Normal 15 5" xfId="2201" xr:uid="{00000000-0005-0000-0000-00006C440000}"/>
    <cellStyle name="Normal 15 5 2" xfId="2202" xr:uid="{00000000-0005-0000-0000-00006D440000}"/>
    <cellStyle name="Normal 15 5 2 2" xfId="2203" xr:uid="{00000000-0005-0000-0000-00006E440000}"/>
    <cellStyle name="Normal 15 5 2 2 2" xfId="3928" xr:uid="{00000000-0005-0000-0000-00006F440000}"/>
    <cellStyle name="Normal 15 5 2 2 2 2" xfId="8605" xr:uid="{00000000-0005-0000-0000-000070440000}"/>
    <cellStyle name="Normal 15 5 2 2 2 2 2" xfId="17929" xr:uid="{00000000-0005-0000-0000-000071440000}"/>
    <cellStyle name="Normal 15 5 2 2 2 2 3" xfId="27252" xr:uid="{00000000-0005-0000-0000-000072440000}"/>
    <cellStyle name="Normal 15 5 2 2 2 3" xfId="13262" xr:uid="{00000000-0005-0000-0000-000073440000}"/>
    <cellStyle name="Normal 15 5 2 2 2 4" xfId="22586" xr:uid="{00000000-0005-0000-0000-000074440000}"/>
    <cellStyle name="Normal 15 5 2 2 3" xfId="5637" xr:uid="{00000000-0005-0000-0000-000075440000}"/>
    <cellStyle name="Normal 15 5 2 2 3 2" xfId="14961" xr:uid="{00000000-0005-0000-0000-000076440000}"/>
    <cellStyle name="Normal 15 5 2 2 3 3" xfId="24284" xr:uid="{00000000-0005-0000-0000-000077440000}"/>
    <cellStyle name="Normal 15 5 2 2 4" xfId="11707" xr:uid="{00000000-0005-0000-0000-000078440000}"/>
    <cellStyle name="Normal 15 5 2 2 5" xfId="21033" xr:uid="{00000000-0005-0000-0000-000079440000}"/>
    <cellStyle name="Normal 15 5 2 3" xfId="3927" xr:uid="{00000000-0005-0000-0000-00007A440000}"/>
    <cellStyle name="Normal 15 5 2 3 2" xfId="8604" xr:uid="{00000000-0005-0000-0000-00007B440000}"/>
    <cellStyle name="Normal 15 5 2 3 2 2" xfId="17928" xr:uid="{00000000-0005-0000-0000-00007C440000}"/>
    <cellStyle name="Normal 15 5 2 3 2 3" xfId="27251" xr:uid="{00000000-0005-0000-0000-00007D440000}"/>
    <cellStyle name="Normal 15 5 2 3 3" xfId="13261" xr:uid="{00000000-0005-0000-0000-00007E440000}"/>
    <cellStyle name="Normal 15 5 2 3 4" xfId="22585" xr:uid="{00000000-0005-0000-0000-00007F440000}"/>
    <cellStyle name="Normal 15 5 2 4" xfId="5636" xr:uid="{00000000-0005-0000-0000-000080440000}"/>
    <cellStyle name="Normal 15 5 2 4 2" xfId="14960" xr:uid="{00000000-0005-0000-0000-000081440000}"/>
    <cellStyle name="Normal 15 5 2 4 3" xfId="24283" xr:uid="{00000000-0005-0000-0000-000082440000}"/>
    <cellStyle name="Normal 15 5 2 5" xfId="11706" xr:uid="{00000000-0005-0000-0000-000083440000}"/>
    <cellStyle name="Normal 15 5 2 6" xfId="21032" xr:uid="{00000000-0005-0000-0000-000084440000}"/>
    <cellStyle name="Normal 15 5 3" xfId="2204" xr:uid="{00000000-0005-0000-0000-000085440000}"/>
    <cellStyle name="Normal 15 5 3 2" xfId="3929" xr:uid="{00000000-0005-0000-0000-000086440000}"/>
    <cellStyle name="Normal 15 5 3 2 2" xfId="8606" xr:uid="{00000000-0005-0000-0000-000087440000}"/>
    <cellStyle name="Normal 15 5 3 2 2 2" xfId="17930" xr:uid="{00000000-0005-0000-0000-000088440000}"/>
    <cellStyle name="Normal 15 5 3 2 2 3" xfId="27253" xr:uid="{00000000-0005-0000-0000-000089440000}"/>
    <cellStyle name="Normal 15 5 3 2 3" xfId="13263" xr:uid="{00000000-0005-0000-0000-00008A440000}"/>
    <cellStyle name="Normal 15 5 3 2 4" xfId="22587" xr:uid="{00000000-0005-0000-0000-00008B440000}"/>
    <cellStyle name="Normal 15 5 3 3" xfId="5638" xr:uid="{00000000-0005-0000-0000-00008C440000}"/>
    <cellStyle name="Normal 15 5 3 3 2" xfId="14962" xr:uid="{00000000-0005-0000-0000-00008D440000}"/>
    <cellStyle name="Normal 15 5 3 3 3" xfId="24285" xr:uid="{00000000-0005-0000-0000-00008E440000}"/>
    <cellStyle name="Normal 15 5 3 4" xfId="11708" xr:uid="{00000000-0005-0000-0000-00008F440000}"/>
    <cellStyle name="Normal 15 5 3 5" xfId="21034" xr:uid="{00000000-0005-0000-0000-000090440000}"/>
    <cellStyle name="Normal 15 5 4" xfId="3926" xr:uid="{00000000-0005-0000-0000-000091440000}"/>
    <cellStyle name="Normal 15 5 4 2" xfId="8603" xr:uid="{00000000-0005-0000-0000-000092440000}"/>
    <cellStyle name="Normal 15 5 4 2 2" xfId="17927" xr:uid="{00000000-0005-0000-0000-000093440000}"/>
    <cellStyle name="Normal 15 5 4 2 3" xfId="27250" xr:uid="{00000000-0005-0000-0000-000094440000}"/>
    <cellStyle name="Normal 15 5 4 3" xfId="13260" xr:uid="{00000000-0005-0000-0000-000095440000}"/>
    <cellStyle name="Normal 15 5 4 4" xfId="22584" xr:uid="{00000000-0005-0000-0000-000096440000}"/>
    <cellStyle name="Normal 15 5 5" xfId="5635" xr:uid="{00000000-0005-0000-0000-000097440000}"/>
    <cellStyle name="Normal 15 5 5 2" xfId="14959" xr:uid="{00000000-0005-0000-0000-000098440000}"/>
    <cellStyle name="Normal 15 5 5 3" xfId="24282" xr:uid="{00000000-0005-0000-0000-000099440000}"/>
    <cellStyle name="Normal 15 5 6" xfId="11705" xr:uid="{00000000-0005-0000-0000-00009A440000}"/>
    <cellStyle name="Normal 15 5 7" xfId="21031" xr:uid="{00000000-0005-0000-0000-00009B440000}"/>
    <cellStyle name="Normal 15 6" xfId="2205" xr:uid="{00000000-0005-0000-0000-00009C440000}"/>
    <cellStyle name="Normal 15 6 2" xfId="2206" xr:uid="{00000000-0005-0000-0000-00009D440000}"/>
    <cellStyle name="Normal 15 6 2 2" xfId="2207" xr:uid="{00000000-0005-0000-0000-00009E440000}"/>
    <cellStyle name="Normal 15 6 2 2 2" xfId="3932" xr:uid="{00000000-0005-0000-0000-00009F440000}"/>
    <cellStyle name="Normal 15 6 2 2 2 2" xfId="8609" xr:uid="{00000000-0005-0000-0000-0000A0440000}"/>
    <cellStyle name="Normal 15 6 2 2 2 2 2" xfId="17933" xr:uid="{00000000-0005-0000-0000-0000A1440000}"/>
    <cellStyle name="Normal 15 6 2 2 2 2 3" xfId="27256" xr:uid="{00000000-0005-0000-0000-0000A2440000}"/>
    <cellStyle name="Normal 15 6 2 2 2 3" xfId="13266" xr:uid="{00000000-0005-0000-0000-0000A3440000}"/>
    <cellStyle name="Normal 15 6 2 2 2 4" xfId="22590" xr:uid="{00000000-0005-0000-0000-0000A4440000}"/>
    <cellStyle name="Normal 15 6 2 2 3" xfId="5641" xr:uid="{00000000-0005-0000-0000-0000A5440000}"/>
    <cellStyle name="Normal 15 6 2 2 3 2" xfId="14965" xr:uid="{00000000-0005-0000-0000-0000A6440000}"/>
    <cellStyle name="Normal 15 6 2 2 3 3" xfId="24288" xr:uid="{00000000-0005-0000-0000-0000A7440000}"/>
    <cellStyle name="Normal 15 6 2 2 4" xfId="11711" xr:uid="{00000000-0005-0000-0000-0000A8440000}"/>
    <cellStyle name="Normal 15 6 2 2 5" xfId="21037" xr:uid="{00000000-0005-0000-0000-0000A9440000}"/>
    <cellStyle name="Normal 15 6 2 3" xfId="3931" xr:uid="{00000000-0005-0000-0000-0000AA440000}"/>
    <cellStyle name="Normal 15 6 2 3 2" xfId="8608" xr:uid="{00000000-0005-0000-0000-0000AB440000}"/>
    <cellStyle name="Normal 15 6 2 3 2 2" xfId="17932" xr:uid="{00000000-0005-0000-0000-0000AC440000}"/>
    <cellStyle name="Normal 15 6 2 3 2 3" xfId="27255" xr:uid="{00000000-0005-0000-0000-0000AD440000}"/>
    <cellStyle name="Normal 15 6 2 3 3" xfId="13265" xr:uid="{00000000-0005-0000-0000-0000AE440000}"/>
    <cellStyle name="Normal 15 6 2 3 4" xfId="22589" xr:uid="{00000000-0005-0000-0000-0000AF440000}"/>
    <cellStyle name="Normal 15 6 2 4" xfId="5640" xr:uid="{00000000-0005-0000-0000-0000B0440000}"/>
    <cellStyle name="Normal 15 6 2 4 2" xfId="14964" xr:uid="{00000000-0005-0000-0000-0000B1440000}"/>
    <cellStyle name="Normal 15 6 2 4 3" xfId="24287" xr:uid="{00000000-0005-0000-0000-0000B2440000}"/>
    <cellStyle name="Normal 15 6 2 5" xfId="11710" xr:uid="{00000000-0005-0000-0000-0000B3440000}"/>
    <cellStyle name="Normal 15 6 2 6" xfId="21036" xr:uid="{00000000-0005-0000-0000-0000B4440000}"/>
    <cellStyle name="Normal 15 6 3" xfId="2208" xr:uid="{00000000-0005-0000-0000-0000B5440000}"/>
    <cellStyle name="Normal 15 6 3 2" xfId="3933" xr:uid="{00000000-0005-0000-0000-0000B6440000}"/>
    <cellStyle name="Normal 15 6 3 2 2" xfId="8610" xr:uid="{00000000-0005-0000-0000-0000B7440000}"/>
    <cellStyle name="Normal 15 6 3 2 2 2" xfId="17934" xr:uid="{00000000-0005-0000-0000-0000B8440000}"/>
    <cellStyle name="Normal 15 6 3 2 2 3" xfId="27257" xr:uid="{00000000-0005-0000-0000-0000B9440000}"/>
    <cellStyle name="Normal 15 6 3 2 3" xfId="13267" xr:uid="{00000000-0005-0000-0000-0000BA440000}"/>
    <cellStyle name="Normal 15 6 3 2 4" xfId="22591" xr:uid="{00000000-0005-0000-0000-0000BB440000}"/>
    <cellStyle name="Normal 15 6 3 3" xfId="5642" xr:uid="{00000000-0005-0000-0000-0000BC440000}"/>
    <cellStyle name="Normal 15 6 3 3 2" xfId="14966" xr:uid="{00000000-0005-0000-0000-0000BD440000}"/>
    <cellStyle name="Normal 15 6 3 3 3" xfId="24289" xr:uid="{00000000-0005-0000-0000-0000BE440000}"/>
    <cellStyle name="Normal 15 6 3 4" xfId="11712" xr:uid="{00000000-0005-0000-0000-0000BF440000}"/>
    <cellStyle name="Normal 15 6 3 5" xfId="21038" xr:uid="{00000000-0005-0000-0000-0000C0440000}"/>
    <cellStyle name="Normal 15 6 4" xfId="3930" xr:uid="{00000000-0005-0000-0000-0000C1440000}"/>
    <cellStyle name="Normal 15 6 4 2" xfId="8607" xr:uid="{00000000-0005-0000-0000-0000C2440000}"/>
    <cellStyle name="Normal 15 6 4 2 2" xfId="17931" xr:uid="{00000000-0005-0000-0000-0000C3440000}"/>
    <cellStyle name="Normal 15 6 4 2 3" xfId="27254" xr:uid="{00000000-0005-0000-0000-0000C4440000}"/>
    <cellStyle name="Normal 15 6 4 3" xfId="13264" xr:uid="{00000000-0005-0000-0000-0000C5440000}"/>
    <cellStyle name="Normal 15 6 4 4" xfId="22588" xr:uid="{00000000-0005-0000-0000-0000C6440000}"/>
    <cellStyle name="Normal 15 6 5" xfId="5639" xr:uid="{00000000-0005-0000-0000-0000C7440000}"/>
    <cellStyle name="Normal 15 6 5 2" xfId="14963" xr:uid="{00000000-0005-0000-0000-0000C8440000}"/>
    <cellStyle name="Normal 15 6 5 3" xfId="24286" xr:uid="{00000000-0005-0000-0000-0000C9440000}"/>
    <cellStyle name="Normal 15 6 6" xfId="11709" xr:uid="{00000000-0005-0000-0000-0000CA440000}"/>
    <cellStyle name="Normal 15 6 7" xfId="21035" xr:uid="{00000000-0005-0000-0000-0000CB440000}"/>
    <cellStyle name="Normal 15 7" xfId="2209" xr:uid="{00000000-0005-0000-0000-0000CC440000}"/>
    <cellStyle name="Normal 15 7 2" xfId="2210" xr:uid="{00000000-0005-0000-0000-0000CD440000}"/>
    <cellStyle name="Normal 15 7 2 2" xfId="3935" xr:uid="{00000000-0005-0000-0000-0000CE440000}"/>
    <cellStyle name="Normal 15 7 2 2 2" xfId="8612" xr:uid="{00000000-0005-0000-0000-0000CF440000}"/>
    <cellStyle name="Normal 15 7 2 2 2 2" xfId="17936" xr:uid="{00000000-0005-0000-0000-0000D0440000}"/>
    <cellStyle name="Normal 15 7 2 2 2 3" xfId="27259" xr:uid="{00000000-0005-0000-0000-0000D1440000}"/>
    <cellStyle name="Normal 15 7 2 2 3" xfId="13269" xr:uid="{00000000-0005-0000-0000-0000D2440000}"/>
    <cellStyle name="Normal 15 7 2 2 4" xfId="22593" xr:uid="{00000000-0005-0000-0000-0000D3440000}"/>
    <cellStyle name="Normal 15 7 2 3" xfId="5644" xr:uid="{00000000-0005-0000-0000-0000D4440000}"/>
    <cellStyle name="Normal 15 7 2 3 2" xfId="14968" xr:uid="{00000000-0005-0000-0000-0000D5440000}"/>
    <cellStyle name="Normal 15 7 2 3 3" xfId="24291" xr:uid="{00000000-0005-0000-0000-0000D6440000}"/>
    <cellStyle name="Normal 15 7 2 4" xfId="11714" xr:uid="{00000000-0005-0000-0000-0000D7440000}"/>
    <cellStyle name="Normal 15 7 2 5" xfId="21040" xr:uid="{00000000-0005-0000-0000-0000D8440000}"/>
    <cellStyle name="Normal 15 7 3" xfId="3934" xr:uid="{00000000-0005-0000-0000-0000D9440000}"/>
    <cellStyle name="Normal 15 7 3 2" xfId="8611" xr:uid="{00000000-0005-0000-0000-0000DA440000}"/>
    <cellStyle name="Normal 15 7 3 2 2" xfId="17935" xr:uid="{00000000-0005-0000-0000-0000DB440000}"/>
    <cellStyle name="Normal 15 7 3 2 3" xfId="27258" xr:uid="{00000000-0005-0000-0000-0000DC440000}"/>
    <cellStyle name="Normal 15 7 3 3" xfId="13268" xr:uid="{00000000-0005-0000-0000-0000DD440000}"/>
    <cellStyle name="Normal 15 7 3 4" xfId="22592" xr:uid="{00000000-0005-0000-0000-0000DE440000}"/>
    <cellStyle name="Normal 15 7 4" xfId="5643" xr:uid="{00000000-0005-0000-0000-0000DF440000}"/>
    <cellStyle name="Normal 15 7 4 2" xfId="14967" xr:uid="{00000000-0005-0000-0000-0000E0440000}"/>
    <cellStyle name="Normal 15 7 4 3" xfId="24290" xr:uid="{00000000-0005-0000-0000-0000E1440000}"/>
    <cellStyle name="Normal 15 7 5" xfId="11713" xr:uid="{00000000-0005-0000-0000-0000E2440000}"/>
    <cellStyle name="Normal 15 7 6" xfId="21039" xr:uid="{00000000-0005-0000-0000-0000E3440000}"/>
    <cellStyle name="Normal 15 8" xfId="2211" xr:uid="{00000000-0005-0000-0000-0000E4440000}"/>
    <cellStyle name="Normal 15 8 2" xfId="3936" xr:uid="{00000000-0005-0000-0000-0000E5440000}"/>
    <cellStyle name="Normal 15 8 2 2" xfId="8613" xr:uid="{00000000-0005-0000-0000-0000E6440000}"/>
    <cellStyle name="Normal 15 8 2 2 2" xfId="17937" xr:uid="{00000000-0005-0000-0000-0000E7440000}"/>
    <cellStyle name="Normal 15 8 2 2 3" xfId="27260" xr:uid="{00000000-0005-0000-0000-0000E8440000}"/>
    <cellStyle name="Normal 15 8 2 3" xfId="13270" xr:uid="{00000000-0005-0000-0000-0000E9440000}"/>
    <cellStyle name="Normal 15 8 2 4" xfId="22594" xr:uid="{00000000-0005-0000-0000-0000EA440000}"/>
    <cellStyle name="Normal 15 8 3" xfId="5645" xr:uid="{00000000-0005-0000-0000-0000EB440000}"/>
    <cellStyle name="Normal 15 8 3 2" xfId="14969" xr:uid="{00000000-0005-0000-0000-0000EC440000}"/>
    <cellStyle name="Normal 15 8 3 3" xfId="24292" xr:uid="{00000000-0005-0000-0000-0000ED440000}"/>
    <cellStyle name="Normal 15 8 4" xfId="11715" xr:uid="{00000000-0005-0000-0000-0000EE440000}"/>
    <cellStyle name="Normal 15 8 5" xfId="21041" xr:uid="{00000000-0005-0000-0000-0000EF440000}"/>
    <cellStyle name="Normal 15 9" xfId="2212" xr:uid="{00000000-0005-0000-0000-0000F0440000}"/>
    <cellStyle name="Normal 15 9 2" xfId="3937" xr:uid="{00000000-0005-0000-0000-0000F1440000}"/>
    <cellStyle name="Normal 15 9 2 2" xfId="8614" xr:uid="{00000000-0005-0000-0000-0000F2440000}"/>
    <cellStyle name="Normal 15 9 2 2 2" xfId="17938" xr:uid="{00000000-0005-0000-0000-0000F3440000}"/>
    <cellStyle name="Normal 15 9 2 2 3" xfId="27261" xr:uid="{00000000-0005-0000-0000-0000F4440000}"/>
    <cellStyle name="Normal 15 9 2 3" xfId="13271" xr:uid="{00000000-0005-0000-0000-0000F5440000}"/>
    <cellStyle name="Normal 15 9 2 4" xfId="22595" xr:uid="{00000000-0005-0000-0000-0000F6440000}"/>
    <cellStyle name="Normal 15 9 3" xfId="5646" xr:uid="{00000000-0005-0000-0000-0000F7440000}"/>
    <cellStyle name="Normal 15 9 3 2" xfId="14970" xr:uid="{00000000-0005-0000-0000-0000F8440000}"/>
    <cellStyle name="Normal 15 9 3 3" xfId="24293" xr:uid="{00000000-0005-0000-0000-0000F9440000}"/>
    <cellStyle name="Normal 15 9 4" xfId="11716" xr:uid="{00000000-0005-0000-0000-0000FA440000}"/>
    <cellStyle name="Normal 15 9 5" xfId="21042" xr:uid="{00000000-0005-0000-0000-0000FB440000}"/>
    <cellStyle name="Normal 16" xfId="1259" xr:uid="{00000000-0005-0000-0000-0000FC440000}"/>
    <cellStyle name="Normal 16 10" xfId="3066" xr:uid="{00000000-0005-0000-0000-0000FD440000}"/>
    <cellStyle name="Normal 16 10 2" xfId="7745" xr:uid="{00000000-0005-0000-0000-0000FE440000}"/>
    <cellStyle name="Normal 16 10 2 2" xfId="17069" xr:uid="{00000000-0005-0000-0000-0000FF440000}"/>
    <cellStyle name="Normal 16 10 2 3" xfId="26392" xr:uid="{00000000-0005-0000-0000-000000450000}"/>
    <cellStyle name="Normal 16 10 3" xfId="12453" xr:uid="{00000000-0005-0000-0000-000001450000}"/>
    <cellStyle name="Normal 16 10 4" xfId="21779" xr:uid="{00000000-0005-0000-0000-000002450000}"/>
    <cellStyle name="Normal 16 11" xfId="4719" xr:uid="{00000000-0005-0000-0000-000003450000}"/>
    <cellStyle name="Normal 16 11 2" xfId="14043" xr:uid="{00000000-0005-0000-0000-000004450000}"/>
    <cellStyle name="Normal 16 11 3" xfId="23366" xr:uid="{00000000-0005-0000-0000-000005450000}"/>
    <cellStyle name="Normal 16 12" xfId="10847" xr:uid="{00000000-0005-0000-0000-000006450000}"/>
    <cellStyle name="Normal 16 13" xfId="20171" xr:uid="{00000000-0005-0000-0000-000007450000}"/>
    <cellStyle name="Normal 16 14" xfId="28740" xr:uid="{00000000-0005-0000-0000-000008450000}"/>
    <cellStyle name="Normal 16 2" xfId="1260" xr:uid="{00000000-0005-0000-0000-000009450000}"/>
    <cellStyle name="Normal 16 2 2" xfId="1261" xr:uid="{00000000-0005-0000-0000-00000A450000}"/>
    <cellStyle name="Normal 16 2 2 2" xfId="1262" xr:uid="{00000000-0005-0000-0000-00000B450000}"/>
    <cellStyle name="Normal 16 2 2 2 2" xfId="2216" xr:uid="{00000000-0005-0000-0000-00000C450000}"/>
    <cellStyle name="Normal 16 2 2 2 2 2" xfId="3941" xr:uid="{00000000-0005-0000-0000-00000D450000}"/>
    <cellStyle name="Normal 16 2 2 2 2 2 2" xfId="8618" xr:uid="{00000000-0005-0000-0000-00000E450000}"/>
    <cellStyle name="Normal 16 2 2 2 2 2 2 2" xfId="17942" xr:uid="{00000000-0005-0000-0000-00000F450000}"/>
    <cellStyle name="Normal 16 2 2 2 2 2 2 3" xfId="27265" xr:uid="{00000000-0005-0000-0000-000010450000}"/>
    <cellStyle name="Normal 16 2 2 2 2 2 3" xfId="13275" xr:uid="{00000000-0005-0000-0000-000011450000}"/>
    <cellStyle name="Normal 16 2 2 2 2 2 4" xfId="22599" xr:uid="{00000000-0005-0000-0000-000012450000}"/>
    <cellStyle name="Normal 16 2 2 2 2 3" xfId="5650" xr:uid="{00000000-0005-0000-0000-000013450000}"/>
    <cellStyle name="Normal 16 2 2 2 2 3 2" xfId="14974" xr:uid="{00000000-0005-0000-0000-000014450000}"/>
    <cellStyle name="Normal 16 2 2 2 2 3 3" xfId="24297" xr:uid="{00000000-0005-0000-0000-000015450000}"/>
    <cellStyle name="Normal 16 2 2 2 2 4" xfId="11720" xr:uid="{00000000-0005-0000-0000-000016450000}"/>
    <cellStyle name="Normal 16 2 2 2 2 5" xfId="21046" xr:uid="{00000000-0005-0000-0000-000017450000}"/>
    <cellStyle name="Normal 16 2 2 2 3" xfId="3069" xr:uid="{00000000-0005-0000-0000-000018450000}"/>
    <cellStyle name="Normal 16 2 2 2 3 2" xfId="7748" xr:uid="{00000000-0005-0000-0000-000019450000}"/>
    <cellStyle name="Normal 16 2 2 2 3 2 2" xfId="17072" xr:uid="{00000000-0005-0000-0000-00001A450000}"/>
    <cellStyle name="Normal 16 2 2 2 3 2 3" xfId="26395" xr:uid="{00000000-0005-0000-0000-00001B450000}"/>
    <cellStyle name="Normal 16 2 2 2 3 3" xfId="12456" xr:uid="{00000000-0005-0000-0000-00001C450000}"/>
    <cellStyle name="Normal 16 2 2 2 3 4" xfId="21782" xr:uid="{00000000-0005-0000-0000-00001D450000}"/>
    <cellStyle name="Normal 16 2 2 2 4" xfId="4722" xr:uid="{00000000-0005-0000-0000-00001E450000}"/>
    <cellStyle name="Normal 16 2 2 2 4 2" xfId="14046" xr:uid="{00000000-0005-0000-0000-00001F450000}"/>
    <cellStyle name="Normal 16 2 2 2 4 3" xfId="23369" xr:uid="{00000000-0005-0000-0000-000020450000}"/>
    <cellStyle name="Normal 16 2 2 2 5" xfId="10850" xr:uid="{00000000-0005-0000-0000-000021450000}"/>
    <cellStyle name="Normal 16 2 2 2 6" xfId="20174" xr:uid="{00000000-0005-0000-0000-000022450000}"/>
    <cellStyle name="Normal 16 2 2 3" xfId="2215" xr:uid="{00000000-0005-0000-0000-000023450000}"/>
    <cellStyle name="Normal 16 2 2 3 2" xfId="3940" xr:uid="{00000000-0005-0000-0000-000024450000}"/>
    <cellStyle name="Normal 16 2 2 3 2 2" xfId="8617" xr:uid="{00000000-0005-0000-0000-000025450000}"/>
    <cellStyle name="Normal 16 2 2 3 2 2 2" xfId="17941" xr:uid="{00000000-0005-0000-0000-000026450000}"/>
    <cellStyle name="Normal 16 2 2 3 2 2 3" xfId="27264" xr:uid="{00000000-0005-0000-0000-000027450000}"/>
    <cellStyle name="Normal 16 2 2 3 2 3" xfId="13274" xr:uid="{00000000-0005-0000-0000-000028450000}"/>
    <cellStyle name="Normal 16 2 2 3 2 4" xfId="22598" xr:uid="{00000000-0005-0000-0000-000029450000}"/>
    <cellStyle name="Normal 16 2 2 3 3" xfId="5649" xr:uid="{00000000-0005-0000-0000-00002A450000}"/>
    <cellStyle name="Normal 16 2 2 3 3 2" xfId="14973" xr:uid="{00000000-0005-0000-0000-00002B450000}"/>
    <cellStyle name="Normal 16 2 2 3 3 3" xfId="24296" xr:uid="{00000000-0005-0000-0000-00002C450000}"/>
    <cellStyle name="Normal 16 2 2 3 4" xfId="11719" xr:uid="{00000000-0005-0000-0000-00002D450000}"/>
    <cellStyle name="Normal 16 2 2 3 5" xfId="21045" xr:uid="{00000000-0005-0000-0000-00002E450000}"/>
    <cellStyle name="Normal 16 2 2 4" xfId="3068" xr:uid="{00000000-0005-0000-0000-00002F450000}"/>
    <cellStyle name="Normal 16 2 2 4 2" xfId="7747" xr:uid="{00000000-0005-0000-0000-000030450000}"/>
    <cellStyle name="Normal 16 2 2 4 2 2" xfId="17071" xr:uid="{00000000-0005-0000-0000-000031450000}"/>
    <cellStyle name="Normal 16 2 2 4 2 3" xfId="26394" xr:uid="{00000000-0005-0000-0000-000032450000}"/>
    <cellStyle name="Normal 16 2 2 4 3" xfId="12455" xr:uid="{00000000-0005-0000-0000-000033450000}"/>
    <cellStyle name="Normal 16 2 2 4 4" xfId="21781" xr:uid="{00000000-0005-0000-0000-000034450000}"/>
    <cellStyle name="Normal 16 2 2 5" xfId="4721" xr:uid="{00000000-0005-0000-0000-000035450000}"/>
    <cellStyle name="Normal 16 2 2 5 2" xfId="14045" xr:uid="{00000000-0005-0000-0000-000036450000}"/>
    <cellStyle name="Normal 16 2 2 5 3" xfId="23368" xr:uid="{00000000-0005-0000-0000-000037450000}"/>
    <cellStyle name="Normal 16 2 2 6" xfId="10849" xr:uid="{00000000-0005-0000-0000-000038450000}"/>
    <cellStyle name="Normal 16 2 2 7" xfId="20173" xr:uid="{00000000-0005-0000-0000-000039450000}"/>
    <cellStyle name="Normal 16 2 3" xfId="1263" xr:uid="{00000000-0005-0000-0000-00003A450000}"/>
    <cellStyle name="Normal 16 2 3 2" xfId="2217" xr:uid="{00000000-0005-0000-0000-00003B450000}"/>
    <cellStyle name="Normal 16 2 3 2 2" xfId="3942" xr:uid="{00000000-0005-0000-0000-00003C450000}"/>
    <cellStyle name="Normal 16 2 3 2 2 2" xfId="8619" xr:uid="{00000000-0005-0000-0000-00003D450000}"/>
    <cellStyle name="Normal 16 2 3 2 2 2 2" xfId="17943" xr:uid="{00000000-0005-0000-0000-00003E450000}"/>
    <cellStyle name="Normal 16 2 3 2 2 2 3" xfId="27266" xr:uid="{00000000-0005-0000-0000-00003F450000}"/>
    <cellStyle name="Normal 16 2 3 2 2 3" xfId="13276" xr:uid="{00000000-0005-0000-0000-000040450000}"/>
    <cellStyle name="Normal 16 2 3 2 2 4" xfId="22600" xr:uid="{00000000-0005-0000-0000-000041450000}"/>
    <cellStyle name="Normal 16 2 3 2 3" xfId="5651" xr:uid="{00000000-0005-0000-0000-000042450000}"/>
    <cellStyle name="Normal 16 2 3 2 3 2" xfId="14975" xr:uid="{00000000-0005-0000-0000-000043450000}"/>
    <cellStyle name="Normal 16 2 3 2 3 3" xfId="24298" xr:uid="{00000000-0005-0000-0000-000044450000}"/>
    <cellStyle name="Normal 16 2 3 2 4" xfId="11721" xr:uid="{00000000-0005-0000-0000-000045450000}"/>
    <cellStyle name="Normal 16 2 3 2 5" xfId="21047" xr:uid="{00000000-0005-0000-0000-000046450000}"/>
    <cellStyle name="Normal 16 2 3 3" xfId="3070" xr:uid="{00000000-0005-0000-0000-000047450000}"/>
    <cellStyle name="Normal 16 2 3 3 2" xfId="7749" xr:uid="{00000000-0005-0000-0000-000048450000}"/>
    <cellStyle name="Normal 16 2 3 3 2 2" xfId="17073" xr:uid="{00000000-0005-0000-0000-000049450000}"/>
    <cellStyle name="Normal 16 2 3 3 2 3" xfId="26396" xr:uid="{00000000-0005-0000-0000-00004A450000}"/>
    <cellStyle name="Normal 16 2 3 3 3" xfId="12457" xr:uid="{00000000-0005-0000-0000-00004B450000}"/>
    <cellStyle name="Normal 16 2 3 3 4" xfId="21783" xr:uid="{00000000-0005-0000-0000-00004C450000}"/>
    <cellStyle name="Normal 16 2 3 4" xfId="4723" xr:uid="{00000000-0005-0000-0000-00004D450000}"/>
    <cellStyle name="Normal 16 2 3 4 2" xfId="14047" xr:uid="{00000000-0005-0000-0000-00004E450000}"/>
    <cellStyle name="Normal 16 2 3 4 3" xfId="23370" xr:uid="{00000000-0005-0000-0000-00004F450000}"/>
    <cellStyle name="Normal 16 2 3 5" xfId="10851" xr:uid="{00000000-0005-0000-0000-000050450000}"/>
    <cellStyle name="Normal 16 2 3 6" xfId="20175" xr:uid="{00000000-0005-0000-0000-000051450000}"/>
    <cellStyle name="Normal 16 2 4" xfId="2214" xr:uid="{00000000-0005-0000-0000-000052450000}"/>
    <cellStyle name="Normal 16 2 4 2" xfId="3939" xr:uid="{00000000-0005-0000-0000-000053450000}"/>
    <cellStyle name="Normal 16 2 4 2 2" xfId="8616" xr:uid="{00000000-0005-0000-0000-000054450000}"/>
    <cellStyle name="Normal 16 2 4 2 2 2" xfId="17940" xr:uid="{00000000-0005-0000-0000-000055450000}"/>
    <cellStyle name="Normal 16 2 4 2 2 3" xfId="27263" xr:uid="{00000000-0005-0000-0000-000056450000}"/>
    <cellStyle name="Normal 16 2 4 2 3" xfId="13273" xr:uid="{00000000-0005-0000-0000-000057450000}"/>
    <cellStyle name="Normal 16 2 4 2 4" xfId="22597" xr:uid="{00000000-0005-0000-0000-000058450000}"/>
    <cellStyle name="Normal 16 2 4 3" xfId="5648" xr:uid="{00000000-0005-0000-0000-000059450000}"/>
    <cellStyle name="Normal 16 2 4 3 2" xfId="14972" xr:uid="{00000000-0005-0000-0000-00005A450000}"/>
    <cellStyle name="Normal 16 2 4 3 3" xfId="24295" xr:uid="{00000000-0005-0000-0000-00005B450000}"/>
    <cellStyle name="Normal 16 2 4 4" xfId="11718" xr:uid="{00000000-0005-0000-0000-00005C450000}"/>
    <cellStyle name="Normal 16 2 4 5" xfId="21044" xr:uid="{00000000-0005-0000-0000-00005D450000}"/>
    <cellStyle name="Normal 16 2 5" xfId="3067" xr:uid="{00000000-0005-0000-0000-00005E450000}"/>
    <cellStyle name="Normal 16 2 5 2" xfId="7746" xr:uid="{00000000-0005-0000-0000-00005F450000}"/>
    <cellStyle name="Normal 16 2 5 2 2" xfId="17070" xr:uid="{00000000-0005-0000-0000-000060450000}"/>
    <cellStyle name="Normal 16 2 5 2 3" xfId="26393" xr:uid="{00000000-0005-0000-0000-000061450000}"/>
    <cellStyle name="Normal 16 2 5 3" xfId="12454" xr:uid="{00000000-0005-0000-0000-000062450000}"/>
    <cellStyle name="Normal 16 2 5 4" xfId="21780" xr:uid="{00000000-0005-0000-0000-000063450000}"/>
    <cellStyle name="Normal 16 2 6" xfId="4720" xr:uid="{00000000-0005-0000-0000-000064450000}"/>
    <cellStyle name="Normal 16 2 6 2" xfId="14044" xr:uid="{00000000-0005-0000-0000-000065450000}"/>
    <cellStyle name="Normal 16 2 6 3" xfId="23367" xr:uid="{00000000-0005-0000-0000-000066450000}"/>
    <cellStyle name="Normal 16 2 7" xfId="10848" xr:uid="{00000000-0005-0000-0000-000067450000}"/>
    <cellStyle name="Normal 16 2 8" xfId="20172" xr:uid="{00000000-0005-0000-0000-000068450000}"/>
    <cellStyle name="Normal 16 3" xfId="1264" xr:uid="{00000000-0005-0000-0000-000069450000}"/>
    <cellStyle name="Normal 16 3 2" xfId="1265" xr:uid="{00000000-0005-0000-0000-00006A450000}"/>
    <cellStyle name="Normal 16 3 2 2" xfId="2220" xr:uid="{00000000-0005-0000-0000-00006B450000}"/>
    <cellStyle name="Normal 16 3 2 2 2" xfId="3945" xr:uid="{00000000-0005-0000-0000-00006C450000}"/>
    <cellStyle name="Normal 16 3 2 2 2 2" xfId="8622" xr:uid="{00000000-0005-0000-0000-00006D450000}"/>
    <cellStyle name="Normal 16 3 2 2 2 2 2" xfId="17946" xr:uid="{00000000-0005-0000-0000-00006E450000}"/>
    <cellStyle name="Normal 16 3 2 2 2 2 3" xfId="27269" xr:uid="{00000000-0005-0000-0000-00006F450000}"/>
    <cellStyle name="Normal 16 3 2 2 2 3" xfId="13279" xr:uid="{00000000-0005-0000-0000-000070450000}"/>
    <cellStyle name="Normal 16 3 2 2 2 4" xfId="22603" xr:uid="{00000000-0005-0000-0000-000071450000}"/>
    <cellStyle name="Normal 16 3 2 2 3" xfId="5654" xr:uid="{00000000-0005-0000-0000-000072450000}"/>
    <cellStyle name="Normal 16 3 2 2 3 2" xfId="14978" xr:uid="{00000000-0005-0000-0000-000073450000}"/>
    <cellStyle name="Normal 16 3 2 2 3 3" xfId="24301" xr:uid="{00000000-0005-0000-0000-000074450000}"/>
    <cellStyle name="Normal 16 3 2 2 4" xfId="11724" xr:uid="{00000000-0005-0000-0000-000075450000}"/>
    <cellStyle name="Normal 16 3 2 2 5" xfId="21050" xr:uid="{00000000-0005-0000-0000-000076450000}"/>
    <cellStyle name="Normal 16 3 2 3" xfId="2219" xr:uid="{00000000-0005-0000-0000-000077450000}"/>
    <cellStyle name="Normal 16 3 2 3 2" xfId="3944" xr:uid="{00000000-0005-0000-0000-000078450000}"/>
    <cellStyle name="Normal 16 3 2 3 2 2" xfId="8621" xr:uid="{00000000-0005-0000-0000-000079450000}"/>
    <cellStyle name="Normal 16 3 2 3 2 2 2" xfId="17945" xr:uid="{00000000-0005-0000-0000-00007A450000}"/>
    <cellStyle name="Normal 16 3 2 3 2 2 3" xfId="27268" xr:uid="{00000000-0005-0000-0000-00007B450000}"/>
    <cellStyle name="Normal 16 3 2 3 2 3" xfId="13278" xr:uid="{00000000-0005-0000-0000-00007C450000}"/>
    <cellStyle name="Normal 16 3 2 3 2 4" xfId="22602" xr:uid="{00000000-0005-0000-0000-00007D450000}"/>
    <cellStyle name="Normal 16 3 2 3 3" xfId="5653" xr:uid="{00000000-0005-0000-0000-00007E450000}"/>
    <cellStyle name="Normal 16 3 2 3 3 2" xfId="14977" xr:uid="{00000000-0005-0000-0000-00007F450000}"/>
    <cellStyle name="Normal 16 3 2 3 3 3" xfId="24300" xr:uid="{00000000-0005-0000-0000-000080450000}"/>
    <cellStyle name="Normal 16 3 2 3 4" xfId="11723" xr:uid="{00000000-0005-0000-0000-000081450000}"/>
    <cellStyle name="Normal 16 3 2 3 5" xfId="21049" xr:uid="{00000000-0005-0000-0000-000082450000}"/>
    <cellStyle name="Normal 16 3 2 4" xfId="3072" xr:uid="{00000000-0005-0000-0000-000083450000}"/>
    <cellStyle name="Normal 16 3 2 4 2" xfId="7751" xr:uid="{00000000-0005-0000-0000-000084450000}"/>
    <cellStyle name="Normal 16 3 2 4 2 2" xfId="17075" xr:uid="{00000000-0005-0000-0000-000085450000}"/>
    <cellStyle name="Normal 16 3 2 4 2 3" xfId="26398" xr:uid="{00000000-0005-0000-0000-000086450000}"/>
    <cellStyle name="Normal 16 3 2 4 3" xfId="12459" xr:uid="{00000000-0005-0000-0000-000087450000}"/>
    <cellStyle name="Normal 16 3 2 4 4" xfId="21785" xr:uid="{00000000-0005-0000-0000-000088450000}"/>
    <cellStyle name="Normal 16 3 2 5" xfId="4725" xr:uid="{00000000-0005-0000-0000-000089450000}"/>
    <cellStyle name="Normal 16 3 2 5 2" xfId="14049" xr:uid="{00000000-0005-0000-0000-00008A450000}"/>
    <cellStyle name="Normal 16 3 2 5 3" xfId="23372" xr:uid="{00000000-0005-0000-0000-00008B450000}"/>
    <cellStyle name="Normal 16 3 2 6" xfId="10853" xr:uid="{00000000-0005-0000-0000-00008C450000}"/>
    <cellStyle name="Normal 16 3 2 7" xfId="20177" xr:uid="{00000000-0005-0000-0000-00008D450000}"/>
    <cellStyle name="Normal 16 3 3" xfId="2221" xr:uid="{00000000-0005-0000-0000-00008E450000}"/>
    <cellStyle name="Normal 16 3 3 2" xfId="3946" xr:uid="{00000000-0005-0000-0000-00008F450000}"/>
    <cellStyle name="Normal 16 3 3 2 2" xfId="8623" xr:uid="{00000000-0005-0000-0000-000090450000}"/>
    <cellStyle name="Normal 16 3 3 2 2 2" xfId="17947" xr:uid="{00000000-0005-0000-0000-000091450000}"/>
    <cellStyle name="Normal 16 3 3 2 2 3" xfId="27270" xr:uid="{00000000-0005-0000-0000-000092450000}"/>
    <cellStyle name="Normal 16 3 3 2 3" xfId="13280" xr:uid="{00000000-0005-0000-0000-000093450000}"/>
    <cellStyle name="Normal 16 3 3 2 4" xfId="22604" xr:uid="{00000000-0005-0000-0000-000094450000}"/>
    <cellStyle name="Normal 16 3 3 3" xfId="5655" xr:uid="{00000000-0005-0000-0000-000095450000}"/>
    <cellStyle name="Normal 16 3 3 3 2" xfId="14979" xr:uid="{00000000-0005-0000-0000-000096450000}"/>
    <cellStyle name="Normal 16 3 3 3 3" xfId="24302" xr:uid="{00000000-0005-0000-0000-000097450000}"/>
    <cellStyle name="Normal 16 3 3 4" xfId="11725" xr:uid="{00000000-0005-0000-0000-000098450000}"/>
    <cellStyle name="Normal 16 3 3 5" xfId="21051" xr:uid="{00000000-0005-0000-0000-000099450000}"/>
    <cellStyle name="Normal 16 3 4" xfId="2218" xr:uid="{00000000-0005-0000-0000-00009A450000}"/>
    <cellStyle name="Normal 16 3 4 2" xfId="3943" xr:uid="{00000000-0005-0000-0000-00009B450000}"/>
    <cellStyle name="Normal 16 3 4 2 2" xfId="8620" xr:uid="{00000000-0005-0000-0000-00009C450000}"/>
    <cellStyle name="Normal 16 3 4 2 2 2" xfId="17944" xr:uid="{00000000-0005-0000-0000-00009D450000}"/>
    <cellStyle name="Normal 16 3 4 2 2 3" xfId="27267" xr:uid="{00000000-0005-0000-0000-00009E450000}"/>
    <cellStyle name="Normal 16 3 4 2 3" xfId="13277" xr:uid="{00000000-0005-0000-0000-00009F450000}"/>
    <cellStyle name="Normal 16 3 4 2 4" xfId="22601" xr:uid="{00000000-0005-0000-0000-0000A0450000}"/>
    <cellStyle name="Normal 16 3 4 3" xfId="5652" xr:uid="{00000000-0005-0000-0000-0000A1450000}"/>
    <cellStyle name="Normal 16 3 4 3 2" xfId="14976" xr:uid="{00000000-0005-0000-0000-0000A2450000}"/>
    <cellStyle name="Normal 16 3 4 3 3" xfId="24299" xr:uid="{00000000-0005-0000-0000-0000A3450000}"/>
    <cellStyle name="Normal 16 3 4 4" xfId="11722" xr:uid="{00000000-0005-0000-0000-0000A4450000}"/>
    <cellStyle name="Normal 16 3 4 5" xfId="21048" xr:uid="{00000000-0005-0000-0000-0000A5450000}"/>
    <cellStyle name="Normal 16 3 5" xfId="3071" xr:uid="{00000000-0005-0000-0000-0000A6450000}"/>
    <cellStyle name="Normal 16 3 5 2" xfId="7750" xr:uid="{00000000-0005-0000-0000-0000A7450000}"/>
    <cellStyle name="Normal 16 3 5 2 2" xfId="17074" xr:uid="{00000000-0005-0000-0000-0000A8450000}"/>
    <cellStyle name="Normal 16 3 5 2 3" xfId="26397" xr:uid="{00000000-0005-0000-0000-0000A9450000}"/>
    <cellStyle name="Normal 16 3 5 3" xfId="12458" xr:uid="{00000000-0005-0000-0000-0000AA450000}"/>
    <cellStyle name="Normal 16 3 5 4" xfId="21784" xr:uid="{00000000-0005-0000-0000-0000AB450000}"/>
    <cellStyle name="Normal 16 3 6" xfId="4724" xr:uid="{00000000-0005-0000-0000-0000AC450000}"/>
    <cellStyle name="Normal 16 3 6 2" xfId="14048" xr:uid="{00000000-0005-0000-0000-0000AD450000}"/>
    <cellStyle name="Normal 16 3 6 3" xfId="23371" xr:uid="{00000000-0005-0000-0000-0000AE450000}"/>
    <cellStyle name="Normal 16 3 7" xfId="10852" xr:uid="{00000000-0005-0000-0000-0000AF450000}"/>
    <cellStyle name="Normal 16 3 8" xfId="20176" xr:uid="{00000000-0005-0000-0000-0000B0450000}"/>
    <cellStyle name="Normal 16 4" xfId="1266" xr:uid="{00000000-0005-0000-0000-0000B1450000}"/>
    <cellStyle name="Normal 16 4 2" xfId="2223" xr:uid="{00000000-0005-0000-0000-0000B2450000}"/>
    <cellStyle name="Normal 16 4 2 2" xfId="3948" xr:uid="{00000000-0005-0000-0000-0000B3450000}"/>
    <cellStyle name="Normal 16 4 2 2 2" xfId="8625" xr:uid="{00000000-0005-0000-0000-0000B4450000}"/>
    <cellStyle name="Normal 16 4 2 2 2 2" xfId="17949" xr:uid="{00000000-0005-0000-0000-0000B5450000}"/>
    <cellStyle name="Normal 16 4 2 2 2 3" xfId="27272" xr:uid="{00000000-0005-0000-0000-0000B6450000}"/>
    <cellStyle name="Normal 16 4 2 2 3" xfId="13282" xr:uid="{00000000-0005-0000-0000-0000B7450000}"/>
    <cellStyle name="Normal 16 4 2 2 4" xfId="22606" xr:uid="{00000000-0005-0000-0000-0000B8450000}"/>
    <cellStyle name="Normal 16 4 2 3" xfId="5657" xr:uid="{00000000-0005-0000-0000-0000B9450000}"/>
    <cellStyle name="Normal 16 4 2 3 2" xfId="14981" xr:uid="{00000000-0005-0000-0000-0000BA450000}"/>
    <cellStyle name="Normal 16 4 2 3 3" xfId="24304" xr:uid="{00000000-0005-0000-0000-0000BB450000}"/>
    <cellStyle name="Normal 16 4 2 4" xfId="11727" xr:uid="{00000000-0005-0000-0000-0000BC450000}"/>
    <cellStyle name="Normal 16 4 2 5" xfId="21053" xr:uid="{00000000-0005-0000-0000-0000BD450000}"/>
    <cellStyle name="Normal 16 4 3" xfId="2222" xr:uid="{00000000-0005-0000-0000-0000BE450000}"/>
    <cellStyle name="Normal 16 4 3 2" xfId="3947" xr:uid="{00000000-0005-0000-0000-0000BF450000}"/>
    <cellStyle name="Normal 16 4 3 2 2" xfId="8624" xr:uid="{00000000-0005-0000-0000-0000C0450000}"/>
    <cellStyle name="Normal 16 4 3 2 2 2" xfId="17948" xr:uid="{00000000-0005-0000-0000-0000C1450000}"/>
    <cellStyle name="Normal 16 4 3 2 2 3" xfId="27271" xr:uid="{00000000-0005-0000-0000-0000C2450000}"/>
    <cellStyle name="Normal 16 4 3 2 3" xfId="13281" xr:uid="{00000000-0005-0000-0000-0000C3450000}"/>
    <cellStyle name="Normal 16 4 3 2 4" xfId="22605" xr:uid="{00000000-0005-0000-0000-0000C4450000}"/>
    <cellStyle name="Normal 16 4 3 3" xfId="5656" xr:uid="{00000000-0005-0000-0000-0000C5450000}"/>
    <cellStyle name="Normal 16 4 3 3 2" xfId="14980" xr:uid="{00000000-0005-0000-0000-0000C6450000}"/>
    <cellStyle name="Normal 16 4 3 3 3" xfId="24303" xr:uid="{00000000-0005-0000-0000-0000C7450000}"/>
    <cellStyle name="Normal 16 4 3 4" xfId="11726" xr:uid="{00000000-0005-0000-0000-0000C8450000}"/>
    <cellStyle name="Normal 16 4 3 5" xfId="21052" xr:uid="{00000000-0005-0000-0000-0000C9450000}"/>
    <cellStyle name="Normal 16 4 4" xfId="3073" xr:uid="{00000000-0005-0000-0000-0000CA450000}"/>
    <cellStyle name="Normal 16 4 4 2" xfId="7752" xr:uid="{00000000-0005-0000-0000-0000CB450000}"/>
    <cellStyle name="Normal 16 4 4 2 2" xfId="17076" xr:uid="{00000000-0005-0000-0000-0000CC450000}"/>
    <cellStyle name="Normal 16 4 4 2 3" xfId="26399" xr:uid="{00000000-0005-0000-0000-0000CD450000}"/>
    <cellStyle name="Normal 16 4 4 3" xfId="12460" xr:uid="{00000000-0005-0000-0000-0000CE450000}"/>
    <cellStyle name="Normal 16 4 4 4" xfId="21786" xr:uid="{00000000-0005-0000-0000-0000CF450000}"/>
    <cellStyle name="Normal 16 4 5" xfId="4726" xr:uid="{00000000-0005-0000-0000-0000D0450000}"/>
    <cellStyle name="Normal 16 4 5 2" xfId="14050" xr:uid="{00000000-0005-0000-0000-0000D1450000}"/>
    <cellStyle name="Normal 16 4 5 3" xfId="23373" xr:uid="{00000000-0005-0000-0000-0000D2450000}"/>
    <cellStyle name="Normal 16 4 6" xfId="10854" xr:uid="{00000000-0005-0000-0000-0000D3450000}"/>
    <cellStyle name="Normal 16 4 7" xfId="20178" xr:uid="{00000000-0005-0000-0000-0000D4450000}"/>
    <cellStyle name="Normal 16 5" xfId="2224" xr:uid="{00000000-0005-0000-0000-0000D5450000}"/>
    <cellStyle name="Normal 16 5 2" xfId="3949" xr:uid="{00000000-0005-0000-0000-0000D6450000}"/>
    <cellStyle name="Normal 16 5 2 2" xfId="8626" xr:uid="{00000000-0005-0000-0000-0000D7450000}"/>
    <cellStyle name="Normal 16 5 2 2 2" xfId="17950" xr:uid="{00000000-0005-0000-0000-0000D8450000}"/>
    <cellStyle name="Normal 16 5 2 2 3" xfId="27273" xr:uid="{00000000-0005-0000-0000-0000D9450000}"/>
    <cellStyle name="Normal 16 5 2 3" xfId="13283" xr:uid="{00000000-0005-0000-0000-0000DA450000}"/>
    <cellStyle name="Normal 16 5 2 4" xfId="22607" xr:uid="{00000000-0005-0000-0000-0000DB450000}"/>
    <cellStyle name="Normal 16 5 3" xfId="5658" xr:uid="{00000000-0005-0000-0000-0000DC450000}"/>
    <cellStyle name="Normal 16 5 3 2" xfId="14982" xr:uid="{00000000-0005-0000-0000-0000DD450000}"/>
    <cellStyle name="Normal 16 5 3 3" xfId="24305" xr:uid="{00000000-0005-0000-0000-0000DE450000}"/>
    <cellStyle name="Normal 16 5 4" xfId="11728" xr:uid="{00000000-0005-0000-0000-0000DF450000}"/>
    <cellStyle name="Normal 16 5 5" xfId="21054" xr:uid="{00000000-0005-0000-0000-0000E0450000}"/>
    <cellStyle name="Normal 16 6" xfId="2225" xr:uid="{00000000-0005-0000-0000-0000E1450000}"/>
    <cellStyle name="Normal 16 6 2" xfId="3950" xr:uid="{00000000-0005-0000-0000-0000E2450000}"/>
    <cellStyle name="Normal 16 6 2 2" xfId="8627" xr:uid="{00000000-0005-0000-0000-0000E3450000}"/>
    <cellStyle name="Normal 16 6 2 2 2" xfId="17951" xr:uid="{00000000-0005-0000-0000-0000E4450000}"/>
    <cellStyle name="Normal 16 6 2 2 3" xfId="27274" xr:uid="{00000000-0005-0000-0000-0000E5450000}"/>
    <cellStyle name="Normal 16 6 2 3" xfId="13284" xr:uid="{00000000-0005-0000-0000-0000E6450000}"/>
    <cellStyle name="Normal 16 6 2 4" xfId="22608" xr:uid="{00000000-0005-0000-0000-0000E7450000}"/>
    <cellStyle name="Normal 16 6 3" xfId="5659" xr:uid="{00000000-0005-0000-0000-0000E8450000}"/>
    <cellStyle name="Normal 16 6 3 2" xfId="14983" xr:uid="{00000000-0005-0000-0000-0000E9450000}"/>
    <cellStyle name="Normal 16 6 3 3" xfId="24306" xr:uid="{00000000-0005-0000-0000-0000EA450000}"/>
    <cellStyle name="Normal 16 6 4" xfId="11729" xr:uid="{00000000-0005-0000-0000-0000EB450000}"/>
    <cellStyle name="Normal 16 6 5" xfId="21055" xr:uid="{00000000-0005-0000-0000-0000EC450000}"/>
    <cellStyle name="Normal 16 7" xfId="2226" xr:uid="{00000000-0005-0000-0000-0000ED450000}"/>
    <cellStyle name="Normal 16 7 2" xfId="3951" xr:uid="{00000000-0005-0000-0000-0000EE450000}"/>
    <cellStyle name="Normal 16 7 2 2" xfId="8628" xr:uid="{00000000-0005-0000-0000-0000EF450000}"/>
    <cellStyle name="Normal 16 7 2 2 2" xfId="17952" xr:uid="{00000000-0005-0000-0000-0000F0450000}"/>
    <cellStyle name="Normal 16 7 2 2 3" xfId="27275" xr:uid="{00000000-0005-0000-0000-0000F1450000}"/>
    <cellStyle name="Normal 16 7 2 3" xfId="13285" xr:uid="{00000000-0005-0000-0000-0000F2450000}"/>
    <cellStyle name="Normal 16 7 2 4" xfId="22609" xr:uid="{00000000-0005-0000-0000-0000F3450000}"/>
    <cellStyle name="Normal 16 7 3" xfId="5660" xr:uid="{00000000-0005-0000-0000-0000F4450000}"/>
    <cellStyle name="Normal 16 7 3 2" xfId="14984" xr:uid="{00000000-0005-0000-0000-0000F5450000}"/>
    <cellStyle name="Normal 16 7 3 3" xfId="24307" xr:uid="{00000000-0005-0000-0000-0000F6450000}"/>
    <cellStyle name="Normal 16 7 4" xfId="11730" xr:uid="{00000000-0005-0000-0000-0000F7450000}"/>
    <cellStyle name="Normal 16 7 5" xfId="21056" xr:uid="{00000000-0005-0000-0000-0000F8450000}"/>
    <cellStyle name="Normal 16 8" xfId="2213" xr:uid="{00000000-0005-0000-0000-0000F9450000}"/>
    <cellStyle name="Normal 16 8 2" xfId="3938" xr:uid="{00000000-0005-0000-0000-0000FA450000}"/>
    <cellStyle name="Normal 16 8 2 2" xfId="8615" xr:uid="{00000000-0005-0000-0000-0000FB450000}"/>
    <cellStyle name="Normal 16 8 2 2 2" xfId="17939" xr:uid="{00000000-0005-0000-0000-0000FC450000}"/>
    <cellStyle name="Normal 16 8 2 2 3" xfId="27262" xr:uid="{00000000-0005-0000-0000-0000FD450000}"/>
    <cellStyle name="Normal 16 8 2 3" xfId="13272" xr:uid="{00000000-0005-0000-0000-0000FE450000}"/>
    <cellStyle name="Normal 16 8 2 4" xfId="22596" xr:uid="{00000000-0005-0000-0000-0000FF450000}"/>
    <cellStyle name="Normal 16 8 3" xfId="5647" xr:uid="{00000000-0005-0000-0000-000000460000}"/>
    <cellStyle name="Normal 16 8 3 2" xfId="14971" xr:uid="{00000000-0005-0000-0000-000001460000}"/>
    <cellStyle name="Normal 16 8 3 3" xfId="24294" xr:uid="{00000000-0005-0000-0000-000002460000}"/>
    <cellStyle name="Normal 16 8 4" xfId="11717" xr:uid="{00000000-0005-0000-0000-000003460000}"/>
    <cellStyle name="Normal 16 8 5" xfId="21043" xr:uid="{00000000-0005-0000-0000-000004460000}"/>
    <cellStyle name="Normal 16 9" xfId="2926" xr:uid="{00000000-0005-0000-0000-000005460000}"/>
    <cellStyle name="Normal 17" xfId="1267" xr:uid="{00000000-0005-0000-0000-000006460000}"/>
    <cellStyle name="Normal 17 10" xfId="2228" xr:uid="{00000000-0005-0000-0000-000007460000}"/>
    <cellStyle name="Normal 17 10 2" xfId="3953" xr:uid="{00000000-0005-0000-0000-000008460000}"/>
    <cellStyle name="Normal 17 10 2 2" xfId="8630" xr:uid="{00000000-0005-0000-0000-000009460000}"/>
    <cellStyle name="Normal 17 10 2 2 2" xfId="17954" xr:uid="{00000000-0005-0000-0000-00000A460000}"/>
    <cellStyle name="Normal 17 10 2 2 3" xfId="27277" xr:uid="{00000000-0005-0000-0000-00000B460000}"/>
    <cellStyle name="Normal 17 10 2 3" xfId="13287" xr:uid="{00000000-0005-0000-0000-00000C460000}"/>
    <cellStyle name="Normal 17 10 2 4" xfId="22611" xr:uid="{00000000-0005-0000-0000-00000D460000}"/>
    <cellStyle name="Normal 17 10 3" xfId="5662" xr:uid="{00000000-0005-0000-0000-00000E460000}"/>
    <cellStyle name="Normal 17 10 3 2" xfId="14986" xr:uid="{00000000-0005-0000-0000-00000F460000}"/>
    <cellStyle name="Normal 17 10 3 3" xfId="24309" xr:uid="{00000000-0005-0000-0000-000010460000}"/>
    <cellStyle name="Normal 17 10 4" xfId="11732" xr:uid="{00000000-0005-0000-0000-000011460000}"/>
    <cellStyle name="Normal 17 10 5" xfId="21058" xr:uid="{00000000-0005-0000-0000-000012460000}"/>
    <cellStyle name="Normal 17 11" xfId="2227" xr:uid="{00000000-0005-0000-0000-000013460000}"/>
    <cellStyle name="Normal 17 11 2" xfId="3952" xr:uid="{00000000-0005-0000-0000-000014460000}"/>
    <cellStyle name="Normal 17 11 2 2" xfId="8629" xr:uid="{00000000-0005-0000-0000-000015460000}"/>
    <cellStyle name="Normal 17 11 2 2 2" xfId="17953" xr:uid="{00000000-0005-0000-0000-000016460000}"/>
    <cellStyle name="Normal 17 11 2 2 3" xfId="27276" xr:uid="{00000000-0005-0000-0000-000017460000}"/>
    <cellStyle name="Normal 17 11 2 3" xfId="13286" xr:uid="{00000000-0005-0000-0000-000018460000}"/>
    <cellStyle name="Normal 17 11 2 4" xfId="22610" xr:uid="{00000000-0005-0000-0000-000019460000}"/>
    <cellStyle name="Normal 17 11 3" xfId="5661" xr:uid="{00000000-0005-0000-0000-00001A460000}"/>
    <cellStyle name="Normal 17 11 3 2" xfId="14985" xr:uid="{00000000-0005-0000-0000-00001B460000}"/>
    <cellStyle name="Normal 17 11 3 3" xfId="24308" xr:uid="{00000000-0005-0000-0000-00001C460000}"/>
    <cellStyle name="Normal 17 11 4" xfId="11731" xr:uid="{00000000-0005-0000-0000-00001D460000}"/>
    <cellStyle name="Normal 17 11 5" xfId="21057" xr:uid="{00000000-0005-0000-0000-00001E460000}"/>
    <cellStyle name="Normal 17 12" xfId="3074" xr:uid="{00000000-0005-0000-0000-00001F460000}"/>
    <cellStyle name="Normal 17 12 2" xfId="7753" xr:uid="{00000000-0005-0000-0000-000020460000}"/>
    <cellStyle name="Normal 17 12 2 2" xfId="17077" xr:uid="{00000000-0005-0000-0000-000021460000}"/>
    <cellStyle name="Normal 17 12 2 3" xfId="26400" xr:uid="{00000000-0005-0000-0000-000022460000}"/>
    <cellStyle name="Normal 17 12 3" xfId="12461" xr:uid="{00000000-0005-0000-0000-000023460000}"/>
    <cellStyle name="Normal 17 12 4" xfId="21787" xr:uid="{00000000-0005-0000-0000-000024460000}"/>
    <cellStyle name="Normal 17 13" xfId="4727" xr:uid="{00000000-0005-0000-0000-000025460000}"/>
    <cellStyle name="Normal 17 13 2" xfId="14051" xr:uid="{00000000-0005-0000-0000-000026460000}"/>
    <cellStyle name="Normal 17 13 3" xfId="23374" xr:uid="{00000000-0005-0000-0000-000027460000}"/>
    <cellStyle name="Normal 17 14" xfId="10855" xr:uid="{00000000-0005-0000-0000-000028460000}"/>
    <cellStyle name="Normal 17 15" xfId="20179" xr:uid="{00000000-0005-0000-0000-000029460000}"/>
    <cellStyle name="Normal 17 16" xfId="28744" xr:uid="{00000000-0005-0000-0000-00002A460000}"/>
    <cellStyle name="Normal 17 2" xfId="1268" xr:uid="{00000000-0005-0000-0000-00002B460000}"/>
    <cellStyle name="Normal 17 2 10" xfId="4728" xr:uid="{00000000-0005-0000-0000-00002C460000}"/>
    <cellStyle name="Normal 17 2 10 2" xfId="14052" xr:uid="{00000000-0005-0000-0000-00002D460000}"/>
    <cellStyle name="Normal 17 2 10 3" xfId="23375" xr:uid="{00000000-0005-0000-0000-00002E460000}"/>
    <cellStyle name="Normal 17 2 11" xfId="10856" xr:uid="{00000000-0005-0000-0000-00002F460000}"/>
    <cellStyle name="Normal 17 2 12" xfId="20180" xr:uid="{00000000-0005-0000-0000-000030460000}"/>
    <cellStyle name="Normal 17 2 2" xfId="1269" xr:uid="{00000000-0005-0000-0000-000031460000}"/>
    <cellStyle name="Normal 17 2 2 2" xfId="1270" xr:uid="{00000000-0005-0000-0000-000032460000}"/>
    <cellStyle name="Normal 17 2 2 2 2" xfId="2232" xr:uid="{00000000-0005-0000-0000-000033460000}"/>
    <cellStyle name="Normal 17 2 2 2 2 2" xfId="3957" xr:uid="{00000000-0005-0000-0000-000034460000}"/>
    <cellStyle name="Normal 17 2 2 2 2 2 2" xfId="8634" xr:uid="{00000000-0005-0000-0000-000035460000}"/>
    <cellStyle name="Normal 17 2 2 2 2 2 2 2" xfId="17958" xr:uid="{00000000-0005-0000-0000-000036460000}"/>
    <cellStyle name="Normal 17 2 2 2 2 2 2 3" xfId="27281" xr:uid="{00000000-0005-0000-0000-000037460000}"/>
    <cellStyle name="Normal 17 2 2 2 2 2 3" xfId="13291" xr:uid="{00000000-0005-0000-0000-000038460000}"/>
    <cellStyle name="Normal 17 2 2 2 2 2 4" xfId="22615" xr:uid="{00000000-0005-0000-0000-000039460000}"/>
    <cellStyle name="Normal 17 2 2 2 2 3" xfId="5666" xr:uid="{00000000-0005-0000-0000-00003A460000}"/>
    <cellStyle name="Normal 17 2 2 2 2 3 2" xfId="14990" xr:uid="{00000000-0005-0000-0000-00003B460000}"/>
    <cellStyle name="Normal 17 2 2 2 2 3 3" xfId="24313" xr:uid="{00000000-0005-0000-0000-00003C460000}"/>
    <cellStyle name="Normal 17 2 2 2 2 4" xfId="11736" xr:uid="{00000000-0005-0000-0000-00003D460000}"/>
    <cellStyle name="Normal 17 2 2 2 2 5" xfId="21062" xr:uid="{00000000-0005-0000-0000-00003E460000}"/>
    <cellStyle name="Normal 17 2 2 2 3" xfId="2231" xr:uid="{00000000-0005-0000-0000-00003F460000}"/>
    <cellStyle name="Normal 17 2 2 2 3 2" xfId="3956" xr:uid="{00000000-0005-0000-0000-000040460000}"/>
    <cellStyle name="Normal 17 2 2 2 3 2 2" xfId="8633" xr:uid="{00000000-0005-0000-0000-000041460000}"/>
    <cellStyle name="Normal 17 2 2 2 3 2 2 2" xfId="17957" xr:uid="{00000000-0005-0000-0000-000042460000}"/>
    <cellStyle name="Normal 17 2 2 2 3 2 2 3" xfId="27280" xr:uid="{00000000-0005-0000-0000-000043460000}"/>
    <cellStyle name="Normal 17 2 2 2 3 2 3" xfId="13290" xr:uid="{00000000-0005-0000-0000-000044460000}"/>
    <cellStyle name="Normal 17 2 2 2 3 2 4" xfId="22614" xr:uid="{00000000-0005-0000-0000-000045460000}"/>
    <cellStyle name="Normal 17 2 2 2 3 3" xfId="5665" xr:uid="{00000000-0005-0000-0000-000046460000}"/>
    <cellStyle name="Normal 17 2 2 2 3 3 2" xfId="14989" xr:uid="{00000000-0005-0000-0000-000047460000}"/>
    <cellStyle name="Normal 17 2 2 2 3 3 3" xfId="24312" xr:uid="{00000000-0005-0000-0000-000048460000}"/>
    <cellStyle name="Normal 17 2 2 2 3 4" xfId="11735" xr:uid="{00000000-0005-0000-0000-000049460000}"/>
    <cellStyle name="Normal 17 2 2 2 3 5" xfId="21061" xr:uid="{00000000-0005-0000-0000-00004A460000}"/>
    <cellStyle name="Normal 17 2 2 2 4" xfId="3077" xr:uid="{00000000-0005-0000-0000-00004B460000}"/>
    <cellStyle name="Normal 17 2 2 2 4 2" xfId="7756" xr:uid="{00000000-0005-0000-0000-00004C460000}"/>
    <cellStyle name="Normal 17 2 2 2 4 2 2" xfId="17080" xr:uid="{00000000-0005-0000-0000-00004D460000}"/>
    <cellStyle name="Normal 17 2 2 2 4 2 3" xfId="26403" xr:uid="{00000000-0005-0000-0000-00004E460000}"/>
    <cellStyle name="Normal 17 2 2 2 4 3" xfId="12464" xr:uid="{00000000-0005-0000-0000-00004F460000}"/>
    <cellStyle name="Normal 17 2 2 2 4 4" xfId="21790" xr:uid="{00000000-0005-0000-0000-000050460000}"/>
    <cellStyle name="Normal 17 2 2 2 5" xfId="4730" xr:uid="{00000000-0005-0000-0000-000051460000}"/>
    <cellStyle name="Normal 17 2 2 2 5 2" xfId="14054" xr:uid="{00000000-0005-0000-0000-000052460000}"/>
    <cellStyle name="Normal 17 2 2 2 5 3" xfId="23377" xr:uid="{00000000-0005-0000-0000-000053460000}"/>
    <cellStyle name="Normal 17 2 2 2 6" xfId="10858" xr:uid="{00000000-0005-0000-0000-000054460000}"/>
    <cellStyle name="Normal 17 2 2 2 7" xfId="20182" xr:uid="{00000000-0005-0000-0000-000055460000}"/>
    <cellStyle name="Normal 17 2 2 3" xfId="2233" xr:uid="{00000000-0005-0000-0000-000056460000}"/>
    <cellStyle name="Normal 17 2 2 3 2" xfId="3958" xr:uid="{00000000-0005-0000-0000-000057460000}"/>
    <cellStyle name="Normal 17 2 2 3 2 2" xfId="8635" xr:uid="{00000000-0005-0000-0000-000058460000}"/>
    <cellStyle name="Normal 17 2 2 3 2 2 2" xfId="17959" xr:uid="{00000000-0005-0000-0000-000059460000}"/>
    <cellStyle name="Normal 17 2 2 3 2 2 3" xfId="27282" xr:uid="{00000000-0005-0000-0000-00005A460000}"/>
    <cellStyle name="Normal 17 2 2 3 2 3" xfId="13292" xr:uid="{00000000-0005-0000-0000-00005B460000}"/>
    <cellStyle name="Normal 17 2 2 3 2 4" xfId="22616" xr:uid="{00000000-0005-0000-0000-00005C460000}"/>
    <cellStyle name="Normal 17 2 2 3 3" xfId="5667" xr:uid="{00000000-0005-0000-0000-00005D460000}"/>
    <cellStyle name="Normal 17 2 2 3 3 2" xfId="14991" xr:uid="{00000000-0005-0000-0000-00005E460000}"/>
    <cellStyle name="Normal 17 2 2 3 3 3" xfId="24314" xr:uid="{00000000-0005-0000-0000-00005F460000}"/>
    <cellStyle name="Normal 17 2 2 3 4" xfId="11737" xr:uid="{00000000-0005-0000-0000-000060460000}"/>
    <cellStyle name="Normal 17 2 2 3 5" xfId="21063" xr:uid="{00000000-0005-0000-0000-000061460000}"/>
    <cellStyle name="Normal 17 2 2 4" xfId="2230" xr:uid="{00000000-0005-0000-0000-000062460000}"/>
    <cellStyle name="Normal 17 2 2 4 2" xfId="3955" xr:uid="{00000000-0005-0000-0000-000063460000}"/>
    <cellStyle name="Normal 17 2 2 4 2 2" xfId="8632" xr:uid="{00000000-0005-0000-0000-000064460000}"/>
    <cellStyle name="Normal 17 2 2 4 2 2 2" xfId="17956" xr:uid="{00000000-0005-0000-0000-000065460000}"/>
    <cellStyle name="Normal 17 2 2 4 2 2 3" xfId="27279" xr:uid="{00000000-0005-0000-0000-000066460000}"/>
    <cellStyle name="Normal 17 2 2 4 2 3" xfId="13289" xr:uid="{00000000-0005-0000-0000-000067460000}"/>
    <cellStyle name="Normal 17 2 2 4 2 4" xfId="22613" xr:uid="{00000000-0005-0000-0000-000068460000}"/>
    <cellStyle name="Normal 17 2 2 4 3" xfId="5664" xr:uid="{00000000-0005-0000-0000-000069460000}"/>
    <cellStyle name="Normal 17 2 2 4 3 2" xfId="14988" xr:uid="{00000000-0005-0000-0000-00006A460000}"/>
    <cellStyle name="Normal 17 2 2 4 3 3" xfId="24311" xr:uid="{00000000-0005-0000-0000-00006B460000}"/>
    <cellStyle name="Normal 17 2 2 4 4" xfId="11734" xr:uid="{00000000-0005-0000-0000-00006C460000}"/>
    <cellStyle name="Normal 17 2 2 4 5" xfId="21060" xr:uid="{00000000-0005-0000-0000-00006D460000}"/>
    <cellStyle name="Normal 17 2 2 5" xfId="3076" xr:uid="{00000000-0005-0000-0000-00006E460000}"/>
    <cellStyle name="Normal 17 2 2 5 2" xfId="7755" xr:uid="{00000000-0005-0000-0000-00006F460000}"/>
    <cellStyle name="Normal 17 2 2 5 2 2" xfId="17079" xr:uid="{00000000-0005-0000-0000-000070460000}"/>
    <cellStyle name="Normal 17 2 2 5 2 3" xfId="26402" xr:uid="{00000000-0005-0000-0000-000071460000}"/>
    <cellStyle name="Normal 17 2 2 5 3" xfId="12463" xr:uid="{00000000-0005-0000-0000-000072460000}"/>
    <cellStyle name="Normal 17 2 2 5 4" xfId="21789" xr:uid="{00000000-0005-0000-0000-000073460000}"/>
    <cellStyle name="Normal 17 2 2 6" xfId="4729" xr:uid="{00000000-0005-0000-0000-000074460000}"/>
    <cellStyle name="Normal 17 2 2 6 2" xfId="14053" xr:uid="{00000000-0005-0000-0000-000075460000}"/>
    <cellStyle name="Normal 17 2 2 6 3" xfId="23376" xr:uid="{00000000-0005-0000-0000-000076460000}"/>
    <cellStyle name="Normal 17 2 2 7" xfId="10857" xr:uid="{00000000-0005-0000-0000-000077460000}"/>
    <cellStyle name="Normal 17 2 2 8" xfId="20181" xr:uid="{00000000-0005-0000-0000-000078460000}"/>
    <cellStyle name="Normal 17 2 3" xfId="1271" xr:uid="{00000000-0005-0000-0000-000079460000}"/>
    <cellStyle name="Normal 17 2 3 2" xfId="2235" xr:uid="{00000000-0005-0000-0000-00007A460000}"/>
    <cellStyle name="Normal 17 2 3 2 2" xfId="2236" xr:uid="{00000000-0005-0000-0000-00007B460000}"/>
    <cellStyle name="Normal 17 2 3 2 2 2" xfId="3961" xr:uid="{00000000-0005-0000-0000-00007C460000}"/>
    <cellStyle name="Normal 17 2 3 2 2 2 2" xfId="8638" xr:uid="{00000000-0005-0000-0000-00007D460000}"/>
    <cellStyle name="Normal 17 2 3 2 2 2 2 2" xfId="17962" xr:uid="{00000000-0005-0000-0000-00007E460000}"/>
    <cellStyle name="Normal 17 2 3 2 2 2 2 3" xfId="27285" xr:uid="{00000000-0005-0000-0000-00007F460000}"/>
    <cellStyle name="Normal 17 2 3 2 2 2 3" xfId="13295" xr:uid="{00000000-0005-0000-0000-000080460000}"/>
    <cellStyle name="Normal 17 2 3 2 2 2 4" xfId="22619" xr:uid="{00000000-0005-0000-0000-000081460000}"/>
    <cellStyle name="Normal 17 2 3 2 2 3" xfId="5670" xr:uid="{00000000-0005-0000-0000-000082460000}"/>
    <cellStyle name="Normal 17 2 3 2 2 3 2" xfId="14994" xr:uid="{00000000-0005-0000-0000-000083460000}"/>
    <cellStyle name="Normal 17 2 3 2 2 3 3" xfId="24317" xr:uid="{00000000-0005-0000-0000-000084460000}"/>
    <cellStyle name="Normal 17 2 3 2 2 4" xfId="11740" xr:uid="{00000000-0005-0000-0000-000085460000}"/>
    <cellStyle name="Normal 17 2 3 2 2 5" xfId="21066" xr:uid="{00000000-0005-0000-0000-000086460000}"/>
    <cellStyle name="Normal 17 2 3 2 3" xfId="3960" xr:uid="{00000000-0005-0000-0000-000087460000}"/>
    <cellStyle name="Normal 17 2 3 2 3 2" xfId="8637" xr:uid="{00000000-0005-0000-0000-000088460000}"/>
    <cellStyle name="Normal 17 2 3 2 3 2 2" xfId="17961" xr:uid="{00000000-0005-0000-0000-000089460000}"/>
    <cellStyle name="Normal 17 2 3 2 3 2 3" xfId="27284" xr:uid="{00000000-0005-0000-0000-00008A460000}"/>
    <cellStyle name="Normal 17 2 3 2 3 3" xfId="13294" xr:uid="{00000000-0005-0000-0000-00008B460000}"/>
    <cellStyle name="Normal 17 2 3 2 3 4" xfId="22618" xr:uid="{00000000-0005-0000-0000-00008C460000}"/>
    <cellStyle name="Normal 17 2 3 2 4" xfId="5669" xr:uid="{00000000-0005-0000-0000-00008D460000}"/>
    <cellStyle name="Normal 17 2 3 2 4 2" xfId="14993" xr:uid="{00000000-0005-0000-0000-00008E460000}"/>
    <cellStyle name="Normal 17 2 3 2 4 3" xfId="24316" xr:uid="{00000000-0005-0000-0000-00008F460000}"/>
    <cellStyle name="Normal 17 2 3 2 5" xfId="11739" xr:uid="{00000000-0005-0000-0000-000090460000}"/>
    <cellStyle name="Normal 17 2 3 2 6" xfId="21065" xr:uid="{00000000-0005-0000-0000-000091460000}"/>
    <cellStyle name="Normal 17 2 3 3" xfId="2237" xr:uid="{00000000-0005-0000-0000-000092460000}"/>
    <cellStyle name="Normal 17 2 3 3 2" xfId="3962" xr:uid="{00000000-0005-0000-0000-000093460000}"/>
    <cellStyle name="Normal 17 2 3 3 2 2" xfId="8639" xr:uid="{00000000-0005-0000-0000-000094460000}"/>
    <cellStyle name="Normal 17 2 3 3 2 2 2" xfId="17963" xr:uid="{00000000-0005-0000-0000-000095460000}"/>
    <cellStyle name="Normal 17 2 3 3 2 2 3" xfId="27286" xr:uid="{00000000-0005-0000-0000-000096460000}"/>
    <cellStyle name="Normal 17 2 3 3 2 3" xfId="13296" xr:uid="{00000000-0005-0000-0000-000097460000}"/>
    <cellStyle name="Normal 17 2 3 3 2 4" xfId="22620" xr:uid="{00000000-0005-0000-0000-000098460000}"/>
    <cellStyle name="Normal 17 2 3 3 3" xfId="5671" xr:uid="{00000000-0005-0000-0000-000099460000}"/>
    <cellStyle name="Normal 17 2 3 3 3 2" xfId="14995" xr:uid="{00000000-0005-0000-0000-00009A460000}"/>
    <cellStyle name="Normal 17 2 3 3 3 3" xfId="24318" xr:uid="{00000000-0005-0000-0000-00009B460000}"/>
    <cellStyle name="Normal 17 2 3 3 4" xfId="11741" xr:uid="{00000000-0005-0000-0000-00009C460000}"/>
    <cellStyle name="Normal 17 2 3 3 5" xfId="21067" xr:uid="{00000000-0005-0000-0000-00009D460000}"/>
    <cellStyle name="Normal 17 2 3 4" xfId="2234" xr:uid="{00000000-0005-0000-0000-00009E460000}"/>
    <cellStyle name="Normal 17 2 3 4 2" xfId="3959" xr:uid="{00000000-0005-0000-0000-00009F460000}"/>
    <cellStyle name="Normal 17 2 3 4 2 2" xfId="8636" xr:uid="{00000000-0005-0000-0000-0000A0460000}"/>
    <cellStyle name="Normal 17 2 3 4 2 2 2" xfId="17960" xr:uid="{00000000-0005-0000-0000-0000A1460000}"/>
    <cellStyle name="Normal 17 2 3 4 2 2 3" xfId="27283" xr:uid="{00000000-0005-0000-0000-0000A2460000}"/>
    <cellStyle name="Normal 17 2 3 4 2 3" xfId="13293" xr:uid="{00000000-0005-0000-0000-0000A3460000}"/>
    <cellStyle name="Normal 17 2 3 4 2 4" xfId="22617" xr:uid="{00000000-0005-0000-0000-0000A4460000}"/>
    <cellStyle name="Normal 17 2 3 4 3" xfId="5668" xr:uid="{00000000-0005-0000-0000-0000A5460000}"/>
    <cellStyle name="Normal 17 2 3 4 3 2" xfId="14992" xr:uid="{00000000-0005-0000-0000-0000A6460000}"/>
    <cellStyle name="Normal 17 2 3 4 3 3" xfId="24315" xr:uid="{00000000-0005-0000-0000-0000A7460000}"/>
    <cellStyle name="Normal 17 2 3 4 4" xfId="11738" xr:uid="{00000000-0005-0000-0000-0000A8460000}"/>
    <cellStyle name="Normal 17 2 3 4 5" xfId="21064" xr:uid="{00000000-0005-0000-0000-0000A9460000}"/>
    <cellStyle name="Normal 17 2 3 5" xfId="3078" xr:uid="{00000000-0005-0000-0000-0000AA460000}"/>
    <cellStyle name="Normal 17 2 3 5 2" xfId="7757" xr:uid="{00000000-0005-0000-0000-0000AB460000}"/>
    <cellStyle name="Normal 17 2 3 5 2 2" xfId="17081" xr:uid="{00000000-0005-0000-0000-0000AC460000}"/>
    <cellStyle name="Normal 17 2 3 5 2 3" xfId="26404" xr:uid="{00000000-0005-0000-0000-0000AD460000}"/>
    <cellStyle name="Normal 17 2 3 5 3" xfId="12465" xr:uid="{00000000-0005-0000-0000-0000AE460000}"/>
    <cellStyle name="Normal 17 2 3 5 4" xfId="21791" xr:uid="{00000000-0005-0000-0000-0000AF460000}"/>
    <cellStyle name="Normal 17 2 3 6" xfId="4731" xr:uid="{00000000-0005-0000-0000-0000B0460000}"/>
    <cellStyle name="Normal 17 2 3 6 2" xfId="14055" xr:uid="{00000000-0005-0000-0000-0000B1460000}"/>
    <cellStyle name="Normal 17 2 3 6 3" xfId="23378" xr:uid="{00000000-0005-0000-0000-0000B2460000}"/>
    <cellStyle name="Normal 17 2 3 7" xfId="10859" xr:uid="{00000000-0005-0000-0000-0000B3460000}"/>
    <cellStyle name="Normal 17 2 3 8" xfId="20183" xr:uid="{00000000-0005-0000-0000-0000B4460000}"/>
    <cellStyle name="Normal 17 2 4" xfId="2238" xr:uid="{00000000-0005-0000-0000-0000B5460000}"/>
    <cellStyle name="Normal 17 2 4 2" xfId="2239" xr:uid="{00000000-0005-0000-0000-0000B6460000}"/>
    <cellStyle name="Normal 17 2 4 2 2" xfId="3964" xr:uid="{00000000-0005-0000-0000-0000B7460000}"/>
    <cellStyle name="Normal 17 2 4 2 2 2" xfId="8641" xr:uid="{00000000-0005-0000-0000-0000B8460000}"/>
    <cellStyle name="Normal 17 2 4 2 2 2 2" xfId="17965" xr:uid="{00000000-0005-0000-0000-0000B9460000}"/>
    <cellStyle name="Normal 17 2 4 2 2 2 3" xfId="27288" xr:uid="{00000000-0005-0000-0000-0000BA460000}"/>
    <cellStyle name="Normal 17 2 4 2 2 3" xfId="13298" xr:uid="{00000000-0005-0000-0000-0000BB460000}"/>
    <cellStyle name="Normal 17 2 4 2 2 4" xfId="22622" xr:uid="{00000000-0005-0000-0000-0000BC460000}"/>
    <cellStyle name="Normal 17 2 4 2 3" xfId="5673" xr:uid="{00000000-0005-0000-0000-0000BD460000}"/>
    <cellStyle name="Normal 17 2 4 2 3 2" xfId="14997" xr:uid="{00000000-0005-0000-0000-0000BE460000}"/>
    <cellStyle name="Normal 17 2 4 2 3 3" xfId="24320" xr:uid="{00000000-0005-0000-0000-0000BF460000}"/>
    <cellStyle name="Normal 17 2 4 2 4" xfId="11743" xr:uid="{00000000-0005-0000-0000-0000C0460000}"/>
    <cellStyle name="Normal 17 2 4 2 5" xfId="21069" xr:uid="{00000000-0005-0000-0000-0000C1460000}"/>
    <cellStyle name="Normal 17 2 4 3" xfId="3963" xr:uid="{00000000-0005-0000-0000-0000C2460000}"/>
    <cellStyle name="Normal 17 2 4 3 2" xfId="8640" xr:uid="{00000000-0005-0000-0000-0000C3460000}"/>
    <cellStyle name="Normal 17 2 4 3 2 2" xfId="17964" xr:uid="{00000000-0005-0000-0000-0000C4460000}"/>
    <cellStyle name="Normal 17 2 4 3 2 3" xfId="27287" xr:uid="{00000000-0005-0000-0000-0000C5460000}"/>
    <cellStyle name="Normal 17 2 4 3 3" xfId="13297" xr:uid="{00000000-0005-0000-0000-0000C6460000}"/>
    <cellStyle name="Normal 17 2 4 3 4" xfId="22621" xr:uid="{00000000-0005-0000-0000-0000C7460000}"/>
    <cellStyle name="Normal 17 2 4 4" xfId="5672" xr:uid="{00000000-0005-0000-0000-0000C8460000}"/>
    <cellStyle name="Normal 17 2 4 4 2" xfId="14996" xr:uid="{00000000-0005-0000-0000-0000C9460000}"/>
    <cellStyle name="Normal 17 2 4 4 3" xfId="24319" xr:uid="{00000000-0005-0000-0000-0000CA460000}"/>
    <cellStyle name="Normal 17 2 4 5" xfId="11742" xr:uid="{00000000-0005-0000-0000-0000CB460000}"/>
    <cellStyle name="Normal 17 2 4 6" xfId="21068" xr:uid="{00000000-0005-0000-0000-0000CC460000}"/>
    <cellStyle name="Normal 17 2 5" xfId="2240" xr:uid="{00000000-0005-0000-0000-0000CD460000}"/>
    <cellStyle name="Normal 17 2 5 2" xfId="3965" xr:uid="{00000000-0005-0000-0000-0000CE460000}"/>
    <cellStyle name="Normal 17 2 5 2 2" xfId="8642" xr:uid="{00000000-0005-0000-0000-0000CF460000}"/>
    <cellStyle name="Normal 17 2 5 2 2 2" xfId="17966" xr:uid="{00000000-0005-0000-0000-0000D0460000}"/>
    <cellStyle name="Normal 17 2 5 2 2 3" xfId="27289" xr:uid="{00000000-0005-0000-0000-0000D1460000}"/>
    <cellStyle name="Normal 17 2 5 2 3" xfId="13299" xr:uid="{00000000-0005-0000-0000-0000D2460000}"/>
    <cellStyle name="Normal 17 2 5 2 4" xfId="22623" xr:uid="{00000000-0005-0000-0000-0000D3460000}"/>
    <cellStyle name="Normal 17 2 5 3" xfId="5674" xr:uid="{00000000-0005-0000-0000-0000D4460000}"/>
    <cellStyle name="Normal 17 2 5 3 2" xfId="14998" xr:uid="{00000000-0005-0000-0000-0000D5460000}"/>
    <cellStyle name="Normal 17 2 5 3 3" xfId="24321" xr:uid="{00000000-0005-0000-0000-0000D6460000}"/>
    <cellStyle name="Normal 17 2 5 4" xfId="11744" xr:uid="{00000000-0005-0000-0000-0000D7460000}"/>
    <cellStyle name="Normal 17 2 5 5" xfId="21070" xr:uid="{00000000-0005-0000-0000-0000D8460000}"/>
    <cellStyle name="Normal 17 2 6" xfId="2241" xr:uid="{00000000-0005-0000-0000-0000D9460000}"/>
    <cellStyle name="Normal 17 2 6 2" xfId="3966" xr:uid="{00000000-0005-0000-0000-0000DA460000}"/>
    <cellStyle name="Normal 17 2 6 2 2" xfId="8643" xr:uid="{00000000-0005-0000-0000-0000DB460000}"/>
    <cellStyle name="Normal 17 2 6 2 2 2" xfId="17967" xr:uid="{00000000-0005-0000-0000-0000DC460000}"/>
    <cellStyle name="Normal 17 2 6 2 2 3" xfId="27290" xr:uid="{00000000-0005-0000-0000-0000DD460000}"/>
    <cellStyle name="Normal 17 2 6 2 3" xfId="13300" xr:uid="{00000000-0005-0000-0000-0000DE460000}"/>
    <cellStyle name="Normal 17 2 6 2 4" xfId="22624" xr:uid="{00000000-0005-0000-0000-0000DF460000}"/>
    <cellStyle name="Normal 17 2 6 3" xfId="5675" xr:uid="{00000000-0005-0000-0000-0000E0460000}"/>
    <cellStyle name="Normal 17 2 6 3 2" xfId="14999" xr:uid="{00000000-0005-0000-0000-0000E1460000}"/>
    <cellStyle name="Normal 17 2 6 3 3" xfId="24322" xr:uid="{00000000-0005-0000-0000-0000E2460000}"/>
    <cellStyle name="Normal 17 2 6 4" xfId="11745" xr:uid="{00000000-0005-0000-0000-0000E3460000}"/>
    <cellStyle name="Normal 17 2 6 5" xfId="21071" xr:uid="{00000000-0005-0000-0000-0000E4460000}"/>
    <cellStyle name="Normal 17 2 7" xfId="2242" xr:uid="{00000000-0005-0000-0000-0000E5460000}"/>
    <cellStyle name="Normal 17 2 7 2" xfId="3967" xr:uid="{00000000-0005-0000-0000-0000E6460000}"/>
    <cellStyle name="Normal 17 2 7 2 2" xfId="8644" xr:uid="{00000000-0005-0000-0000-0000E7460000}"/>
    <cellStyle name="Normal 17 2 7 2 2 2" xfId="17968" xr:uid="{00000000-0005-0000-0000-0000E8460000}"/>
    <cellStyle name="Normal 17 2 7 2 2 3" xfId="27291" xr:uid="{00000000-0005-0000-0000-0000E9460000}"/>
    <cellStyle name="Normal 17 2 7 2 3" xfId="13301" xr:uid="{00000000-0005-0000-0000-0000EA460000}"/>
    <cellStyle name="Normal 17 2 7 2 4" xfId="22625" xr:uid="{00000000-0005-0000-0000-0000EB460000}"/>
    <cellStyle name="Normal 17 2 7 3" xfId="5676" xr:uid="{00000000-0005-0000-0000-0000EC460000}"/>
    <cellStyle name="Normal 17 2 7 3 2" xfId="15000" xr:uid="{00000000-0005-0000-0000-0000ED460000}"/>
    <cellStyle name="Normal 17 2 7 3 3" xfId="24323" xr:uid="{00000000-0005-0000-0000-0000EE460000}"/>
    <cellStyle name="Normal 17 2 7 4" xfId="11746" xr:uid="{00000000-0005-0000-0000-0000EF460000}"/>
    <cellStyle name="Normal 17 2 7 5" xfId="21072" xr:uid="{00000000-0005-0000-0000-0000F0460000}"/>
    <cellStyle name="Normal 17 2 8" xfId="2229" xr:uid="{00000000-0005-0000-0000-0000F1460000}"/>
    <cellStyle name="Normal 17 2 8 2" xfId="3954" xr:uid="{00000000-0005-0000-0000-0000F2460000}"/>
    <cellStyle name="Normal 17 2 8 2 2" xfId="8631" xr:uid="{00000000-0005-0000-0000-0000F3460000}"/>
    <cellStyle name="Normal 17 2 8 2 2 2" xfId="17955" xr:uid="{00000000-0005-0000-0000-0000F4460000}"/>
    <cellStyle name="Normal 17 2 8 2 2 3" xfId="27278" xr:uid="{00000000-0005-0000-0000-0000F5460000}"/>
    <cellStyle name="Normal 17 2 8 2 3" xfId="13288" xr:uid="{00000000-0005-0000-0000-0000F6460000}"/>
    <cellStyle name="Normal 17 2 8 2 4" xfId="22612" xr:uid="{00000000-0005-0000-0000-0000F7460000}"/>
    <cellStyle name="Normal 17 2 8 3" xfId="5663" xr:uid="{00000000-0005-0000-0000-0000F8460000}"/>
    <cellStyle name="Normal 17 2 8 3 2" xfId="14987" xr:uid="{00000000-0005-0000-0000-0000F9460000}"/>
    <cellStyle name="Normal 17 2 8 3 3" xfId="24310" xr:uid="{00000000-0005-0000-0000-0000FA460000}"/>
    <cellStyle name="Normal 17 2 8 4" xfId="11733" xr:uid="{00000000-0005-0000-0000-0000FB460000}"/>
    <cellStyle name="Normal 17 2 8 5" xfId="21059" xr:uid="{00000000-0005-0000-0000-0000FC460000}"/>
    <cellStyle name="Normal 17 2 9" xfId="3075" xr:uid="{00000000-0005-0000-0000-0000FD460000}"/>
    <cellStyle name="Normal 17 2 9 2" xfId="7754" xr:uid="{00000000-0005-0000-0000-0000FE460000}"/>
    <cellStyle name="Normal 17 2 9 2 2" xfId="17078" xr:uid="{00000000-0005-0000-0000-0000FF460000}"/>
    <cellStyle name="Normal 17 2 9 2 3" xfId="26401" xr:uid="{00000000-0005-0000-0000-000000470000}"/>
    <cellStyle name="Normal 17 2 9 3" xfId="12462" xr:uid="{00000000-0005-0000-0000-000001470000}"/>
    <cellStyle name="Normal 17 2 9 4" xfId="21788" xr:uid="{00000000-0005-0000-0000-000002470000}"/>
    <cellStyle name="Normal 17 3" xfId="1272" xr:uid="{00000000-0005-0000-0000-000003470000}"/>
    <cellStyle name="Normal 17 3 2" xfId="1273" xr:uid="{00000000-0005-0000-0000-000004470000}"/>
    <cellStyle name="Normal 17 3 2 2" xfId="2245" xr:uid="{00000000-0005-0000-0000-000005470000}"/>
    <cellStyle name="Normal 17 3 2 2 2" xfId="3970" xr:uid="{00000000-0005-0000-0000-000006470000}"/>
    <cellStyle name="Normal 17 3 2 2 2 2" xfId="8647" xr:uid="{00000000-0005-0000-0000-000007470000}"/>
    <cellStyle name="Normal 17 3 2 2 2 2 2" xfId="17971" xr:uid="{00000000-0005-0000-0000-000008470000}"/>
    <cellStyle name="Normal 17 3 2 2 2 2 3" xfId="27294" xr:uid="{00000000-0005-0000-0000-000009470000}"/>
    <cellStyle name="Normal 17 3 2 2 2 3" xfId="13304" xr:uid="{00000000-0005-0000-0000-00000A470000}"/>
    <cellStyle name="Normal 17 3 2 2 2 4" xfId="22628" xr:uid="{00000000-0005-0000-0000-00000B470000}"/>
    <cellStyle name="Normal 17 3 2 2 3" xfId="5679" xr:uid="{00000000-0005-0000-0000-00000C470000}"/>
    <cellStyle name="Normal 17 3 2 2 3 2" xfId="15003" xr:uid="{00000000-0005-0000-0000-00000D470000}"/>
    <cellStyle name="Normal 17 3 2 2 3 3" xfId="24326" xr:uid="{00000000-0005-0000-0000-00000E470000}"/>
    <cellStyle name="Normal 17 3 2 2 4" xfId="11749" xr:uid="{00000000-0005-0000-0000-00000F470000}"/>
    <cellStyle name="Normal 17 3 2 2 5" xfId="21075" xr:uid="{00000000-0005-0000-0000-000010470000}"/>
    <cellStyle name="Normal 17 3 2 3" xfId="2244" xr:uid="{00000000-0005-0000-0000-000011470000}"/>
    <cellStyle name="Normal 17 3 2 3 2" xfId="3969" xr:uid="{00000000-0005-0000-0000-000012470000}"/>
    <cellStyle name="Normal 17 3 2 3 2 2" xfId="8646" xr:uid="{00000000-0005-0000-0000-000013470000}"/>
    <cellStyle name="Normal 17 3 2 3 2 2 2" xfId="17970" xr:uid="{00000000-0005-0000-0000-000014470000}"/>
    <cellStyle name="Normal 17 3 2 3 2 2 3" xfId="27293" xr:uid="{00000000-0005-0000-0000-000015470000}"/>
    <cellStyle name="Normal 17 3 2 3 2 3" xfId="13303" xr:uid="{00000000-0005-0000-0000-000016470000}"/>
    <cellStyle name="Normal 17 3 2 3 2 4" xfId="22627" xr:uid="{00000000-0005-0000-0000-000017470000}"/>
    <cellStyle name="Normal 17 3 2 3 3" xfId="5678" xr:uid="{00000000-0005-0000-0000-000018470000}"/>
    <cellStyle name="Normal 17 3 2 3 3 2" xfId="15002" xr:uid="{00000000-0005-0000-0000-000019470000}"/>
    <cellStyle name="Normal 17 3 2 3 3 3" xfId="24325" xr:uid="{00000000-0005-0000-0000-00001A470000}"/>
    <cellStyle name="Normal 17 3 2 3 4" xfId="11748" xr:uid="{00000000-0005-0000-0000-00001B470000}"/>
    <cellStyle name="Normal 17 3 2 3 5" xfId="21074" xr:uid="{00000000-0005-0000-0000-00001C470000}"/>
    <cellStyle name="Normal 17 3 2 4" xfId="3080" xr:uid="{00000000-0005-0000-0000-00001D470000}"/>
    <cellStyle name="Normal 17 3 2 4 2" xfId="7759" xr:uid="{00000000-0005-0000-0000-00001E470000}"/>
    <cellStyle name="Normal 17 3 2 4 2 2" xfId="17083" xr:uid="{00000000-0005-0000-0000-00001F470000}"/>
    <cellStyle name="Normal 17 3 2 4 2 3" xfId="26406" xr:uid="{00000000-0005-0000-0000-000020470000}"/>
    <cellStyle name="Normal 17 3 2 4 3" xfId="12467" xr:uid="{00000000-0005-0000-0000-000021470000}"/>
    <cellStyle name="Normal 17 3 2 4 4" xfId="21793" xr:uid="{00000000-0005-0000-0000-000022470000}"/>
    <cellStyle name="Normal 17 3 2 5" xfId="4733" xr:uid="{00000000-0005-0000-0000-000023470000}"/>
    <cellStyle name="Normal 17 3 2 5 2" xfId="14057" xr:uid="{00000000-0005-0000-0000-000024470000}"/>
    <cellStyle name="Normal 17 3 2 5 3" xfId="23380" xr:uid="{00000000-0005-0000-0000-000025470000}"/>
    <cellStyle name="Normal 17 3 2 6" xfId="10861" xr:uid="{00000000-0005-0000-0000-000026470000}"/>
    <cellStyle name="Normal 17 3 2 7" xfId="20185" xr:uid="{00000000-0005-0000-0000-000027470000}"/>
    <cellStyle name="Normal 17 3 3" xfId="2246" xr:uid="{00000000-0005-0000-0000-000028470000}"/>
    <cellStyle name="Normal 17 3 3 2" xfId="3971" xr:uid="{00000000-0005-0000-0000-000029470000}"/>
    <cellStyle name="Normal 17 3 3 2 2" xfId="8648" xr:uid="{00000000-0005-0000-0000-00002A470000}"/>
    <cellStyle name="Normal 17 3 3 2 2 2" xfId="17972" xr:uid="{00000000-0005-0000-0000-00002B470000}"/>
    <cellStyle name="Normal 17 3 3 2 2 3" xfId="27295" xr:uid="{00000000-0005-0000-0000-00002C470000}"/>
    <cellStyle name="Normal 17 3 3 2 3" xfId="13305" xr:uid="{00000000-0005-0000-0000-00002D470000}"/>
    <cellStyle name="Normal 17 3 3 2 4" xfId="22629" xr:uid="{00000000-0005-0000-0000-00002E470000}"/>
    <cellStyle name="Normal 17 3 3 3" xfId="5680" xr:uid="{00000000-0005-0000-0000-00002F470000}"/>
    <cellStyle name="Normal 17 3 3 3 2" xfId="15004" xr:uid="{00000000-0005-0000-0000-000030470000}"/>
    <cellStyle name="Normal 17 3 3 3 3" xfId="24327" xr:uid="{00000000-0005-0000-0000-000031470000}"/>
    <cellStyle name="Normal 17 3 3 4" xfId="11750" xr:uid="{00000000-0005-0000-0000-000032470000}"/>
    <cellStyle name="Normal 17 3 3 5" xfId="21076" xr:uid="{00000000-0005-0000-0000-000033470000}"/>
    <cellStyle name="Normal 17 3 4" xfId="2243" xr:uid="{00000000-0005-0000-0000-000034470000}"/>
    <cellStyle name="Normal 17 3 4 2" xfId="3968" xr:uid="{00000000-0005-0000-0000-000035470000}"/>
    <cellStyle name="Normal 17 3 4 2 2" xfId="8645" xr:uid="{00000000-0005-0000-0000-000036470000}"/>
    <cellStyle name="Normal 17 3 4 2 2 2" xfId="17969" xr:uid="{00000000-0005-0000-0000-000037470000}"/>
    <cellStyle name="Normal 17 3 4 2 2 3" xfId="27292" xr:uid="{00000000-0005-0000-0000-000038470000}"/>
    <cellStyle name="Normal 17 3 4 2 3" xfId="13302" xr:uid="{00000000-0005-0000-0000-000039470000}"/>
    <cellStyle name="Normal 17 3 4 2 4" xfId="22626" xr:uid="{00000000-0005-0000-0000-00003A470000}"/>
    <cellStyle name="Normal 17 3 4 3" xfId="5677" xr:uid="{00000000-0005-0000-0000-00003B470000}"/>
    <cellStyle name="Normal 17 3 4 3 2" xfId="15001" xr:uid="{00000000-0005-0000-0000-00003C470000}"/>
    <cellStyle name="Normal 17 3 4 3 3" xfId="24324" xr:uid="{00000000-0005-0000-0000-00003D470000}"/>
    <cellStyle name="Normal 17 3 4 4" xfId="11747" xr:uid="{00000000-0005-0000-0000-00003E470000}"/>
    <cellStyle name="Normal 17 3 4 5" xfId="21073" xr:uid="{00000000-0005-0000-0000-00003F470000}"/>
    <cellStyle name="Normal 17 3 5" xfId="3079" xr:uid="{00000000-0005-0000-0000-000040470000}"/>
    <cellStyle name="Normal 17 3 5 2" xfId="7758" xr:uid="{00000000-0005-0000-0000-000041470000}"/>
    <cellStyle name="Normal 17 3 5 2 2" xfId="17082" xr:uid="{00000000-0005-0000-0000-000042470000}"/>
    <cellStyle name="Normal 17 3 5 2 3" xfId="26405" xr:uid="{00000000-0005-0000-0000-000043470000}"/>
    <cellStyle name="Normal 17 3 5 3" xfId="12466" xr:uid="{00000000-0005-0000-0000-000044470000}"/>
    <cellStyle name="Normal 17 3 5 4" xfId="21792" xr:uid="{00000000-0005-0000-0000-000045470000}"/>
    <cellStyle name="Normal 17 3 6" xfId="4732" xr:uid="{00000000-0005-0000-0000-000046470000}"/>
    <cellStyle name="Normal 17 3 6 2" xfId="14056" xr:uid="{00000000-0005-0000-0000-000047470000}"/>
    <cellStyle name="Normal 17 3 6 3" xfId="23379" xr:uid="{00000000-0005-0000-0000-000048470000}"/>
    <cellStyle name="Normal 17 3 7" xfId="10860" xr:uid="{00000000-0005-0000-0000-000049470000}"/>
    <cellStyle name="Normal 17 3 8" xfId="20184" xr:uid="{00000000-0005-0000-0000-00004A470000}"/>
    <cellStyle name="Normal 17 4" xfId="1274" xr:uid="{00000000-0005-0000-0000-00004B470000}"/>
    <cellStyle name="Normal 17 4 2" xfId="2248" xr:uid="{00000000-0005-0000-0000-00004C470000}"/>
    <cellStyle name="Normal 17 4 2 2" xfId="2249" xr:uid="{00000000-0005-0000-0000-00004D470000}"/>
    <cellStyle name="Normal 17 4 2 2 2" xfId="3974" xr:uid="{00000000-0005-0000-0000-00004E470000}"/>
    <cellStyle name="Normal 17 4 2 2 2 2" xfId="8651" xr:uid="{00000000-0005-0000-0000-00004F470000}"/>
    <cellStyle name="Normal 17 4 2 2 2 2 2" xfId="17975" xr:uid="{00000000-0005-0000-0000-000050470000}"/>
    <cellStyle name="Normal 17 4 2 2 2 2 3" xfId="27298" xr:uid="{00000000-0005-0000-0000-000051470000}"/>
    <cellStyle name="Normal 17 4 2 2 2 3" xfId="13308" xr:uid="{00000000-0005-0000-0000-000052470000}"/>
    <cellStyle name="Normal 17 4 2 2 2 4" xfId="22632" xr:uid="{00000000-0005-0000-0000-000053470000}"/>
    <cellStyle name="Normal 17 4 2 2 3" xfId="5683" xr:uid="{00000000-0005-0000-0000-000054470000}"/>
    <cellStyle name="Normal 17 4 2 2 3 2" xfId="15007" xr:uid="{00000000-0005-0000-0000-000055470000}"/>
    <cellStyle name="Normal 17 4 2 2 3 3" xfId="24330" xr:uid="{00000000-0005-0000-0000-000056470000}"/>
    <cellStyle name="Normal 17 4 2 2 4" xfId="11753" xr:uid="{00000000-0005-0000-0000-000057470000}"/>
    <cellStyle name="Normal 17 4 2 2 5" xfId="21079" xr:uid="{00000000-0005-0000-0000-000058470000}"/>
    <cellStyle name="Normal 17 4 2 3" xfId="3973" xr:uid="{00000000-0005-0000-0000-000059470000}"/>
    <cellStyle name="Normal 17 4 2 3 2" xfId="8650" xr:uid="{00000000-0005-0000-0000-00005A470000}"/>
    <cellStyle name="Normal 17 4 2 3 2 2" xfId="17974" xr:uid="{00000000-0005-0000-0000-00005B470000}"/>
    <cellStyle name="Normal 17 4 2 3 2 3" xfId="27297" xr:uid="{00000000-0005-0000-0000-00005C470000}"/>
    <cellStyle name="Normal 17 4 2 3 3" xfId="13307" xr:uid="{00000000-0005-0000-0000-00005D470000}"/>
    <cellStyle name="Normal 17 4 2 3 4" xfId="22631" xr:uid="{00000000-0005-0000-0000-00005E470000}"/>
    <cellStyle name="Normal 17 4 2 4" xfId="5682" xr:uid="{00000000-0005-0000-0000-00005F470000}"/>
    <cellStyle name="Normal 17 4 2 4 2" xfId="15006" xr:uid="{00000000-0005-0000-0000-000060470000}"/>
    <cellStyle name="Normal 17 4 2 4 3" xfId="24329" xr:uid="{00000000-0005-0000-0000-000061470000}"/>
    <cellStyle name="Normal 17 4 2 5" xfId="11752" xr:uid="{00000000-0005-0000-0000-000062470000}"/>
    <cellStyle name="Normal 17 4 2 6" xfId="21078" xr:uid="{00000000-0005-0000-0000-000063470000}"/>
    <cellStyle name="Normal 17 4 3" xfId="2250" xr:uid="{00000000-0005-0000-0000-000064470000}"/>
    <cellStyle name="Normal 17 4 3 2" xfId="3975" xr:uid="{00000000-0005-0000-0000-000065470000}"/>
    <cellStyle name="Normal 17 4 3 2 2" xfId="8652" xr:uid="{00000000-0005-0000-0000-000066470000}"/>
    <cellStyle name="Normal 17 4 3 2 2 2" xfId="17976" xr:uid="{00000000-0005-0000-0000-000067470000}"/>
    <cellStyle name="Normal 17 4 3 2 2 3" xfId="27299" xr:uid="{00000000-0005-0000-0000-000068470000}"/>
    <cellStyle name="Normal 17 4 3 2 3" xfId="13309" xr:uid="{00000000-0005-0000-0000-000069470000}"/>
    <cellStyle name="Normal 17 4 3 2 4" xfId="22633" xr:uid="{00000000-0005-0000-0000-00006A470000}"/>
    <cellStyle name="Normal 17 4 3 3" xfId="5684" xr:uid="{00000000-0005-0000-0000-00006B470000}"/>
    <cellStyle name="Normal 17 4 3 3 2" xfId="15008" xr:uid="{00000000-0005-0000-0000-00006C470000}"/>
    <cellStyle name="Normal 17 4 3 3 3" xfId="24331" xr:uid="{00000000-0005-0000-0000-00006D470000}"/>
    <cellStyle name="Normal 17 4 3 4" xfId="11754" xr:uid="{00000000-0005-0000-0000-00006E470000}"/>
    <cellStyle name="Normal 17 4 3 5" xfId="21080" xr:uid="{00000000-0005-0000-0000-00006F470000}"/>
    <cellStyle name="Normal 17 4 4" xfId="2247" xr:uid="{00000000-0005-0000-0000-000070470000}"/>
    <cellStyle name="Normal 17 4 4 2" xfId="3972" xr:uid="{00000000-0005-0000-0000-000071470000}"/>
    <cellStyle name="Normal 17 4 4 2 2" xfId="8649" xr:uid="{00000000-0005-0000-0000-000072470000}"/>
    <cellStyle name="Normal 17 4 4 2 2 2" xfId="17973" xr:uid="{00000000-0005-0000-0000-000073470000}"/>
    <cellStyle name="Normal 17 4 4 2 2 3" xfId="27296" xr:uid="{00000000-0005-0000-0000-000074470000}"/>
    <cellStyle name="Normal 17 4 4 2 3" xfId="13306" xr:uid="{00000000-0005-0000-0000-000075470000}"/>
    <cellStyle name="Normal 17 4 4 2 4" xfId="22630" xr:uid="{00000000-0005-0000-0000-000076470000}"/>
    <cellStyle name="Normal 17 4 4 3" xfId="5681" xr:uid="{00000000-0005-0000-0000-000077470000}"/>
    <cellStyle name="Normal 17 4 4 3 2" xfId="15005" xr:uid="{00000000-0005-0000-0000-000078470000}"/>
    <cellStyle name="Normal 17 4 4 3 3" xfId="24328" xr:uid="{00000000-0005-0000-0000-000079470000}"/>
    <cellStyle name="Normal 17 4 4 4" xfId="11751" xr:uid="{00000000-0005-0000-0000-00007A470000}"/>
    <cellStyle name="Normal 17 4 4 5" xfId="21077" xr:uid="{00000000-0005-0000-0000-00007B470000}"/>
    <cellStyle name="Normal 17 4 5" xfId="3081" xr:uid="{00000000-0005-0000-0000-00007C470000}"/>
    <cellStyle name="Normal 17 4 5 2" xfId="7760" xr:uid="{00000000-0005-0000-0000-00007D470000}"/>
    <cellStyle name="Normal 17 4 5 2 2" xfId="17084" xr:uid="{00000000-0005-0000-0000-00007E470000}"/>
    <cellStyle name="Normal 17 4 5 2 3" xfId="26407" xr:uid="{00000000-0005-0000-0000-00007F470000}"/>
    <cellStyle name="Normal 17 4 5 3" xfId="12468" xr:uid="{00000000-0005-0000-0000-000080470000}"/>
    <cellStyle name="Normal 17 4 5 4" xfId="21794" xr:uid="{00000000-0005-0000-0000-000081470000}"/>
    <cellStyle name="Normal 17 4 6" xfId="4734" xr:uid="{00000000-0005-0000-0000-000082470000}"/>
    <cellStyle name="Normal 17 4 6 2" xfId="14058" xr:uid="{00000000-0005-0000-0000-000083470000}"/>
    <cellStyle name="Normal 17 4 6 3" xfId="23381" xr:uid="{00000000-0005-0000-0000-000084470000}"/>
    <cellStyle name="Normal 17 4 7" xfId="10862" xr:uid="{00000000-0005-0000-0000-000085470000}"/>
    <cellStyle name="Normal 17 4 8" xfId="20186" xr:uid="{00000000-0005-0000-0000-000086470000}"/>
    <cellStyle name="Normal 17 5" xfId="2251" xr:uid="{00000000-0005-0000-0000-000087470000}"/>
    <cellStyle name="Normal 17 5 2" xfId="2252" xr:uid="{00000000-0005-0000-0000-000088470000}"/>
    <cellStyle name="Normal 17 5 2 2" xfId="2253" xr:uid="{00000000-0005-0000-0000-000089470000}"/>
    <cellStyle name="Normal 17 5 2 2 2" xfId="3978" xr:uid="{00000000-0005-0000-0000-00008A470000}"/>
    <cellStyle name="Normal 17 5 2 2 2 2" xfId="8655" xr:uid="{00000000-0005-0000-0000-00008B470000}"/>
    <cellStyle name="Normal 17 5 2 2 2 2 2" xfId="17979" xr:uid="{00000000-0005-0000-0000-00008C470000}"/>
    <cellStyle name="Normal 17 5 2 2 2 2 3" xfId="27302" xr:uid="{00000000-0005-0000-0000-00008D470000}"/>
    <cellStyle name="Normal 17 5 2 2 2 3" xfId="13312" xr:uid="{00000000-0005-0000-0000-00008E470000}"/>
    <cellStyle name="Normal 17 5 2 2 2 4" xfId="22636" xr:uid="{00000000-0005-0000-0000-00008F470000}"/>
    <cellStyle name="Normal 17 5 2 2 3" xfId="5687" xr:uid="{00000000-0005-0000-0000-000090470000}"/>
    <cellStyle name="Normal 17 5 2 2 3 2" xfId="15011" xr:uid="{00000000-0005-0000-0000-000091470000}"/>
    <cellStyle name="Normal 17 5 2 2 3 3" xfId="24334" xr:uid="{00000000-0005-0000-0000-000092470000}"/>
    <cellStyle name="Normal 17 5 2 2 4" xfId="11757" xr:uid="{00000000-0005-0000-0000-000093470000}"/>
    <cellStyle name="Normal 17 5 2 2 5" xfId="21083" xr:uid="{00000000-0005-0000-0000-000094470000}"/>
    <cellStyle name="Normal 17 5 2 3" xfId="3977" xr:uid="{00000000-0005-0000-0000-000095470000}"/>
    <cellStyle name="Normal 17 5 2 3 2" xfId="8654" xr:uid="{00000000-0005-0000-0000-000096470000}"/>
    <cellStyle name="Normal 17 5 2 3 2 2" xfId="17978" xr:uid="{00000000-0005-0000-0000-000097470000}"/>
    <cellStyle name="Normal 17 5 2 3 2 3" xfId="27301" xr:uid="{00000000-0005-0000-0000-000098470000}"/>
    <cellStyle name="Normal 17 5 2 3 3" xfId="13311" xr:uid="{00000000-0005-0000-0000-000099470000}"/>
    <cellStyle name="Normal 17 5 2 3 4" xfId="22635" xr:uid="{00000000-0005-0000-0000-00009A470000}"/>
    <cellStyle name="Normal 17 5 2 4" xfId="5686" xr:uid="{00000000-0005-0000-0000-00009B470000}"/>
    <cellStyle name="Normal 17 5 2 4 2" xfId="15010" xr:uid="{00000000-0005-0000-0000-00009C470000}"/>
    <cellStyle name="Normal 17 5 2 4 3" xfId="24333" xr:uid="{00000000-0005-0000-0000-00009D470000}"/>
    <cellStyle name="Normal 17 5 2 5" xfId="11756" xr:uid="{00000000-0005-0000-0000-00009E470000}"/>
    <cellStyle name="Normal 17 5 2 6" xfId="21082" xr:uid="{00000000-0005-0000-0000-00009F470000}"/>
    <cellStyle name="Normal 17 5 3" xfId="2254" xr:uid="{00000000-0005-0000-0000-0000A0470000}"/>
    <cellStyle name="Normal 17 5 3 2" xfId="3979" xr:uid="{00000000-0005-0000-0000-0000A1470000}"/>
    <cellStyle name="Normal 17 5 3 2 2" xfId="8656" xr:uid="{00000000-0005-0000-0000-0000A2470000}"/>
    <cellStyle name="Normal 17 5 3 2 2 2" xfId="17980" xr:uid="{00000000-0005-0000-0000-0000A3470000}"/>
    <cellStyle name="Normal 17 5 3 2 2 3" xfId="27303" xr:uid="{00000000-0005-0000-0000-0000A4470000}"/>
    <cellStyle name="Normal 17 5 3 2 3" xfId="13313" xr:uid="{00000000-0005-0000-0000-0000A5470000}"/>
    <cellStyle name="Normal 17 5 3 2 4" xfId="22637" xr:uid="{00000000-0005-0000-0000-0000A6470000}"/>
    <cellStyle name="Normal 17 5 3 3" xfId="5688" xr:uid="{00000000-0005-0000-0000-0000A7470000}"/>
    <cellStyle name="Normal 17 5 3 3 2" xfId="15012" xr:uid="{00000000-0005-0000-0000-0000A8470000}"/>
    <cellStyle name="Normal 17 5 3 3 3" xfId="24335" xr:uid="{00000000-0005-0000-0000-0000A9470000}"/>
    <cellStyle name="Normal 17 5 3 4" xfId="11758" xr:uid="{00000000-0005-0000-0000-0000AA470000}"/>
    <cellStyle name="Normal 17 5 3 5" xfId="21084" xr:uid="{00000000-0005-0000-0000-0000AB470000}"/>
    <cellStyle name="Normal 17 5 4" xfId="3976" xr:uid="{00000000-0005-0000-0000-0000AC470000}"/>
    <cellStyle name="Normal 17 5 4 2" xfId="8653" xr:uid="{00000000-0005-0000-0000-0000AD470000}"/>
    <cellStyle name="Normal 17 5 4 2 2" xfId="17977" xr:uid="{00000000-0005-0000-0000-0000AE470000}"/>
    <cellStyle name="Normal 17 5 4 2 3" xfId="27300" xr:uid="{00000000-0005-0000-0000-0000AF470000}"/>
    <cellStyle name="Normal 17 5 4 3" xfId="13310" xr:uid="{00000000-0005-0000-0000-0000B0470000}"/>
    <cellStyle name="Normal 17 5 4 4" xfId="22634" xr:uid="{00000000-0005-0000-0000-0000B1470000}"/>
    <cellStyle name="Normal 17 5 5" xfId="5685" xr:uid="{00000000-0005-0000-0000-0000B2470000}"/>
    <cellStyle name="Normal 17 5 5 2" xfId="15009" xr:uid="{00000000-0005-0000-0000-0000B3470000}"/>
    <cellStyle name="Normal 17 5 5 3" xfId="24332" xr:uid="{00000000-0005-0000-0000-0000B4470000}"/>
    <cellStyle name="Normal 17 5 6" xfId="11755" xr:uid="{00000000-0005-0000-0000-0000B5470000}"/>
    <cellStyle name="Normal 17 5 7" xfId="21081" xr:uid="{00000000-0005-0000-0000-0000B6470000}"/>
    <cellStyle name="Normal 17 6" xfId="2255" xr:uid="{00000000-0005-0000-0000-0000B7470000}"/>
    <cellStyle name="Normal 17 6 2" xfId="2256" xr:uid="{00000000-0005-0000-0000-0000B8470000}"/>
    <cellStyle name="Normal 17 6 2 2" xfId="2257" xr:uid="{00000000-0005-0000-0000-0000B9470000}"/>
    <cellStyle name="Normal 17 6 2 2 2" xfId="3982" xr:uid="{00000000-0005-0000-0000-0000BA470000}"/>
    <cellStyle name="Normal 17 6 2 2 2 2" xfId="8659" xr:uid="{00000000-0005-0000-0000-0000BB470000}"/>
    <cellStyle name="Normal 17 6 2 2 2 2 2" xfId="17983" xr:uid="{00000000-0005-0000-0000-0000BC470000}"/>
    <cellStyle name="Normal 17 6 2 2 2 2 3" xfId="27306" xr:uid="{00000000-0005-0000-0000-0000BD470000}"/>
    <cellStyle name="Normal 17 6 2 2 2 3" xfId="13316" xr:uid="{00000000-0005-0000-0000-0000BE470000}"/>
    <cellStyle name="Normal 17 6 2 2 2 4" xfId="22640" xr:uid="{00000000-0005-0000-0000-0000BF470000}"/>
    <cellStyle name="Normal 17 6 2 2 3" xfId="5691" xr:uid="{00000000-0005-0000-0000-0000C0470000}"/>
    <cellStyle name="Normal 17 6 2 2 3 2" xfId="15015" xr:uid="{00000000-0005-0000-0000-0000C1470000}"/>
    <cellStyle name="Normal 17 6 2 2 3 3" xfId="24338" xr:uid="{00000000-0005-0000-0000-0000C2470000}"/>
    <cellStyle name="Normal 17 6 2 2 4" xfId="11761" xr:uid="{00000000-0005-0000-0000-0000C3470000}"/>
    <cellStyle name="Normal 17 6 2 2 5" xfId="21087" xr:uid="{00000000-0005-0000-0000-0000C4470000}"/>
    <cellStyle name="Normal 17 6 2 3" xfId="3981" xr:uid="{00000000-0005-0000-0000-0000C5470000}"/>
    <cellStyle name="Normal 17 6 2 3 2" xfId="8658" xr:uid="{00000000-0005-0000-0000-0000C6470000}"/>
    <cellStyle name="Normal 17 6 2 3 2 2" xfId="17982" xr:uid="{00000000-0005-0000-0000-0000C7470000}"/>
    <cellStyle name="Normal 17 6 2 3 2 3" xfId="27305" xr:uid="{00000000-0005-0000-0000-0000C8470000}"/>
    <cellStyle name="Normal 17 6 2 3 3" xfId="13315" xr:uid="{00000000-0005-0000-0000-0000C9470000}"/>
    <cellStyle name="Normal 17 6 2 3 4" xfId="22639" xr:uid="{00000000-0005-0000-0000-0000CA470000}"/>
    <cellStyle name="Normal 17 6 2 4" xfId="5690" xr:uid="{00000000-0005-0000-0000-0000CB470000}"/>
    <cellStyle name="Normal 17 6 2 4 2" xfId="15014" xr:uid="{00000000-0005-0000-0000-0000CC470000}"/>
    <cellStyle name="Normal 17 6 2 4 3" xfId="24337" xr:uid="{00000000-0005-0000-0000-0000CD470000}"/>
    <cellStyle name="Normal 17 6 2 5" xfId="11760" xr:uid="{00000000-0005-0000-0000-0000CE470000}"/>
    <cellStyle name="Normal 17 6 2 6" xfId="21086" xr:uid="{00000000-0005-0000-0000-0000CF470000}"/>
    <cellStyle name="Normal 17 6 3" xfId="2258" xr:uid="{00000000-0005-0000-0000-0000D0470000}"/>
    <cellStyle name="Normal 17 6 3 2" xfId="3983" xr:uid="{00000000-0005-0000-0000-0000D1470000}"/>
    <cellStyle name="Normal 17 6 3 2 2" xfId="8660" xr:uid="{00000000-0005-0000-0000-0000D2470000}"/>
    <cellStyle name="Normal 17 6 3 2 2 2" xfId="17984" xr:uid="{00000000-0005-0000-0000-0000D3470000}"/>
    <cellStyle name="Normal 17 6 3 2 2 3" xfId="27307" xr:uid="{00000000-0005-0000-0000-0000D4470000}"/>
    <cellStyle name="Normal 17 6 3 2 3" xfId="13317" xr:uid="{00000000-0005-0000-0000-0000D5470000}"/>
    <cellStyle name="Normal 17 6 3 2 4" xfId="22641" xr:uid="{00000000-0005-0000-0000-0000D6470000}"/>
    <cellStyle name="Normal 17 6 3 3" xfId="5692" xr:uid="{00000000-0005-0000-0000-0000D7470000}"/>
    <cellStyle name="Normal 17 6 3 3 2" xfId="15016" xr:uid="{00000000-0005-0000-0000-0000D8470000}"/>
    <cellStyle name="Normal 17 6 3 3 3" xfId="24339" xr:uid="{00000000-0005-0000-0000-0000D9470000}"/>
    <cellStyle name="Normal 17 6 3 4" xfId="11762" xr:uid="{00000000-0005-0000-0000-0000DA470000}"/>
    <cellStyle name="Normal 17 6 3 5" xfId="21088" xr:uid="{00000000-0005-0000-0000-0000DB470000}"/>
    <cellStyle name="Normal 17 6 4" xfId="3980" xr:uid="{00000000-0005-0000-0000-0000DC470000}"/>
    <cellStyle name="Normal 17 6 4 2" xfId="8657" xr:uid="{00000000-0005-0000-0000-0000DD470000}"/>
    <cellStyle name="Normal 17 6 4 2 2" xfId="17981" xr:uid="{00000000-0005-0000-0000-0000DE470000}"/>
    <cellStyle name="Normal 17 6 4 2 3" xfId="27304" xr:uid="{00000000-0005-0000-0000-0000DF470000}"/>
    <cellStyle name="Normal 17 6 4 3" xfId="13314" xr:uid="{00000000-0005-0000-0000-0000E0470000}"/>
    <cellStyle name="Normal 17 6 4 4" xfId="22638" xr:uid="{00000000-0005-0000-0000-0000E1470000}"/>
    <cellStyle name="Normal 17 6 5" xfId="5689" xr:uid="{00000000-0005-0000-0000-0000E2470000}"/>
    <cellStyle name="Normal 17 6 5 2" xfId="15013" xr:uid="{00000000-0005-0000-0000-0000E3470000}"/>
    <cellStyle name="Normal 17 6 5 3" xfId="24336" xr:uid="{00000000-0005-0000-0000-0000E4470000}"/>
    <cellStyle name="Normal 17 6 6" xfId="11759" xr:uid="{00000000-0005-0000-0000-0000E5470000}"/>
    <cellStyle name="Normal 17 6 7" xfId="21085" xr:uid="{00000000-0005-0000-0000-0000E6470000}"/>
    <cellStyle name="Normal 17 7" xfId="2259" xr:uid="{00000000-0005-0000-0000-0000E7470000}"/>
    <cellStyle name="Normal 17 7 2" xfId="2260" xr:uid="{00000000-0005-0000-0000-0000E8470000}"/>
    <cellStyle name="Normal 17 7 2 2" xfId="3985" xr:uid="{00000000-0005-0000-0000-0000E9470000}"/>
    <cellStyle name="Normal 17 7 2 2 2" xfId="8662" xr:uid="{00000000-0005-0000-0000-0000EA470000}"/>
    <cellStyle name="Normal 17 7 2 2 2 2" xfId="17986" xr:uid="{00000000-0005-0000-0000-0000EB470000}"/>
    <cellStyle name="Normal 17 7 2 2 2 3" xfId="27309" xr:uid="{00000000-0005-0000-0000-0000EC470000}"/>
    <cellStyle name="Normal 17 7 2 2 3" xfId="13319" xr:uid="{00000000-0005-0000-0000-0000ED470000}"/>
    <cellStyle name="Normal 17 7 2 2 4" xfId="22643" xr:uid="{00000000-0005-0000-0000-0000EE470000}"/>
    <cellStyle name="Normal 17 7 2 3" xfId="5694" xr:uid="{00000000-0005-0000-0000-0000EF470000}"/>
    <cellStyle name="Normal 17 7 2 3 2" xfId="15018" xr:uid="{00000000-0005-0000-0000-0000F0470000}"/>
    <cellStyle name="Normal 17 7 2 3 3" xfId="24341" xr:uid="{00000000-0005-0000-0000-0000F1470000}"/>
    <cellStyle name="Normal 17 7 2 4" xfId="11764" xr:uid="{00000000-0005-0000-0000-0000F2470000}"/>
    <cellStyle name="Normal 17 7 2 5" xfId="21090" xr:uid="{00000000-0005-0000-0000-0000F3470000}"/>
    <cellStyle name="Normal 17 7 3" xfId="3984" xr:uid="{00000000-0005-0000-0000-0000F4470000}"/>
    <cellStyle name="Normal 17 7 3 2" xfId="8661" xr:uid="{00000000-0005-0000-0000-0000F5470000}"/>
    <cellStyle name="Normal 17 7 3 2 2" xfId="17985" xr:uid="{00000000-0005-0000-0000-0000F6470000}"/>
    <cellStyle name="Normal 17 7 3 2 3" xfId="27308" xr:uid="{00000000-0005-0000-0000-0000F7470000}"/>
    <cellStyle name="Normal 17 7 3 3" xfId="13318" xr:uid="{00000000-0005-0000-0000-0000F8470000}"/>
    <cellStyle name="Normal 17 7 3 4" xfId="22642" xr:uid="{00000000-0005-0000-0000-0000F9470000}"/>
    <cellStyle name="Normal 17 7 4" xfId="5693" xr:uid="{00000000-0005-0000-0000-0000FA470000}"/>
    <cellStyle name="Normal 17 7 4 2" xfId="15017" xr:uid="{00000000-0005-0000-0000-0000FB470000}"/>
    <cellStyle name="Normal 17 7 4 3" xfId="24340" xr:uid="{00000000-0005-0000-0000-0000FC470000}"/>
    <cellStyle name="Normal 17 7 5" xfId="11763" xr:uid="{00000000-0005-0000-0000-0000FD470000}"/>
    <cellStyle name="Normal 17 7 6" xfId="21089" xr:uid="{00000000-0005-0000-0000-0000FE470000}"/>
    <cellStyle name="Normal 17 8" xfId="2261" xr:uid="{00000000-0005-0000-0000-0000FF470000}"/>
    <cellStyle name="Normal 17 8 2" xfId="3986" xr:uid="{00000000-0005-0000-0000-000000480000}"/>
    <cellStyle name="Normal 17 8 2 2" xfId="8663" xr:uid="{00000000-0005-0000-0000-000001480000}"/>
    <cellStyle name="Normal 17 8 2 2 2" xfId="17987" xr:uid="{00000000-0005-0000-0000-000002480000}"/>
    <cellStyle name="Normal 17 8 2 2 3" xfId="27310" xr:uid="{00000000-0005-0000-0000-000003480000}"/>
    <cellStyle name="Normal 17 8 2 3" xfId="13320" xr:uid="{00000000-0005-0000-0000-000004480000}"/>
    <cellStyle name="Normal 17 8 2 4" xfId="22644" xr:uid="{00000000-0005-0000-0000-000005480000}"/>
    <cellStyle name="Normal 17 8 3" xfId="5695" xr:uid="{00000000-0005-0000-0000-000006480000}"/>
    <cellStyle name="Normal 17 8 3 2" xfId="15019" xr:uid="{00000000-0005-0000-0000-000007480000}"/>
    <cellStyle name="Normal 17 8 3 3" xfId="24342" xr:uid="{00000000-0005-0000-0000-000008480000}"/>
    <cellStyle name="Normal 17 8 4" xfId="11765" xr:uid="{00000000-0005-0000-0000-000009480000}"/>
    <cellStyle name="Normal 17 8 5" xfId="21091" xr:uid="{00000000-0005-0000-0000-00000A480000}"/>
    <cellStyle name="Normal 17 9" xfId="2262" xr:uid="{00000000-0005-0000-0000-00000B480000}"/>
    <cellStyle name="Normal 17 9 2" xfId="3987" xr:uid="{00000000-0005-0000-0000-00000C480000}"/>
    <cellStyle name="Normal 17 9 2 2" xfId="8664" xr:uid="{00000000-0005-0000-0000-00000D480000}"/>
    <cellStyle name="Normal 17 9 2 2 2" xfId="17988" xr:uid="{00000000-0005-0000-0000-00000E480000}"/>
    <cellStyle name="Normal 17 9 2 2 3" xfId="27311" xr:uid="{00000000-0005-0000-0000-00000F480000}"/>
    <cellStyle name="Normal 17 9 2 3" xfId="13321" xr:uid="{00000000-0005-0000-0000-000010480000}"/>
    <cellStyle name="Normal 17 9 2 4" xfId="22645" xr:uid="{00000000-0005-0000-0000-000011480000}"/>
    <cellStyle name="Normal 17 9 3" xfId="5696" xr:uid="{00000000-0005-0000-0000-000012480000}"/>
    <cellStyle name="Normal 17 9 3 2" xfId="15020" xr:uid="{00000000-0005-0000-0000-000013480000}"/>
    <cellStyle name="Normal 17 9 3 3" xfId="24343" xr:uid="{00000000-0005-0000-0000-000014480000}"/>
    <cellStyle name="Normal 17 9 4" xfId="11766" xr:uid="{00000000-0005-0000-0000-000015480000}"/>
    <cellStyle name="Normal 17 9 5" xfId="21092" xr:uid="{00000000-0005-0000-0000-000016480000}"/>
    <cellStyle name="Normal 18" xfId="1275" xr:uid="{00000000-0005-0000-0000-000017480000}"/>
    <cellStyle name="Normal 18 10" xfId="4735" xr:uid="{00000000-0005-0000-0000-000018480000}"/>
    <cellStyle name="Normal 18 10 2" xfId="14059" xr:uid="{00000000-0005-0000-0000-000019480000}"/>
    <cellStyle name="Normal 18 10 3" xfId="23382" xr:uid="{00000000-0005-0000-0000-00001A480000}"/>
    <cellStyle name="Normal 18 11" xfId="10863" xr:uid="{00000000-0005-0000-0000-00001B480000}"/>
    <cellStyle name="Normal 18 12" xfId="20187" xr:uid="{00000000-0005-0000-0000-00001C480000}"/>
    <cellStyle name="Normal 18 13" xfId="28745" xr:uid="{00000000-0005-0000-0000-00001D480000}"/>
    <cellStyle name="Normal 18 2" xfId="1276" xr:uid="{00000000-0005-0000-0000-00001E480000}"/>
    <cellStyle name="Normal 18 2 2" xfId="1277" xr:uid="{00000000-0005-0000-0000-00001F480000}"/>
    <cellStyle name="Normal 18 2 2 2" xfId="1278" xr:uid="{00000000-0005-0000-0000-000020480000}"/>
    <cellStyle name="Normal 18 2 2 2 2" xfId="2266" xr:uid="{00000000-0005-0000-0000-000021480000}"/>
    <cellStyle name="Normal 18 2 2 2 2 2" xfId="3991" xr:uid="{00000000-0005-0000-0000-000022480000}"/>
    <cellStyle name="Normal 18 2 2 2 2 2 2" xfId="8668" xr:uid="{00000000-0005-0000-0000-000023480000}"/>
    <cellStyle name="Normal 18 2 2 2 2 2 2 2" xfId="17992" xr:uid="{00000000-0005-0000-0000-000024480000}"/>
    <cellStyle name="Normal 18 2 2 2 2 2 2 3" xfId="27315" xr:uid="{00000000-0005-0000-0000-000025480000}"/>
    <cellStyle name="Normal 18 2 2 2 2 2 3" xfId="13325" xr:uid="{00000000-0005-0000-0000-000026480000}"/>
    <cellStyle name="Normal 18 2 2 2 2 2 4" xfId="22649" xr:uid="{00000000-0005-0000-0000-000027480000}"/>
    <cellStyle name="Normal 18 2 2 2 2 3" xfId="5700" xr:uid="{00000000-0005-0000-0000-000028480000}"/>
    <cellStyle name="Normal 18 2 2 2 2 3 2" xfId="15024" xr:uid="{00000000-0005-0000-0000-000029480000}"/>
    <cellStyle name="Normal 18 2 2 2 2 3 3" xfId="24347" xr:uid="{00000000-0005-0000-0000-00002A480000}"/>
    <cellStyle name="Normal 18 2 2 2 2 4" xfId="11770" xr:uid="{00000000-0005-0000-0000-00002B480000}"/>
    <cellStyle name="Normal 18 2 2 2 2 5" xfId="21096" xr:uid="{00000000-0005-0000-0000-00002C480000}"/>
    <cellStyle name="Normal 18 2 2 2 3" xfId="3085" xr:uid="{00000000-0005-0000-0000-00002D480000}"/>
    <cellStyle name="Normal 18 2 2 2 3 2" xfId="7764" xr:uid="{00000000-0005-0000-0000-00002E480000}"/>
    <cellStyle name="Normal 18 2 2 2 3 2 2" xfId="17088" xr:uid="{00000000-0005-0000-0000-00002F480000}"/>
    <cellStyle name="Normal 18 2 2 2 3 2 3" xfId="26411" xr:uid="{00000000-0005-0000-0000-000030480000}"/>
    <cellStyle name="Normal 18 2 2 2 3 3" xfId="12472" xr:uid="{00000000-0005-0000-0000-000031480000}"/>
    <cellStyle name="Normal 18 2 2 2 3 4" xfId="21798" xr:uid="{00000000-0005-0000-0000-000032480000}"/>
    <cellStyle name="Normal 18 2 2 2 4" xfId="4738" xr:uid="{00000000-0005-0000-0000-000033480000}"/>
    <cellStyle name="Normal 18 2 2 2 4 2" xfId="14062" xr:uid="{00000000-0005-0000-0000-000034480000}"/>
    <cellStyle name="Normal 18 2 2 2 4 3" xfId="23385" xr:uid="{00000000-0005-0000-0000-000035480000}"/>
    <cellStyle name="Normal 18 2 2 2 5" xfId="10866" xr:uid="{00000000-0005-0000-0000-000036480000}"/>
    <cellStyle name="Normal 18 2 2 2 6" xfId="20190" xr:uid="{00000000-0005-0000-0000-000037480000}"/>
    <cellStyle name="Normal 18 2 2 3" xfId="2265" xr:uid="{00000000-0005-0000-0000-000038480000}"/>
    <cellStyle name="Normal 18 2 2 3 2" xfId="3990" xr:uid="{00000000-0005-0000-0000-000039480000}"/>
    <cellStyle name="Normal 18 2 2 3 2 2" xfId="8667" xr:uid="{00000000-0005-0000-0000-00003A480000}"/>
    <cellStyle name="Normal 18 2 2 3 2 2 2" xfId="17991" xr:uid="{00000000-0005-0000-0000-00003B480000}"/>
    <cellStyle name="Normal 18 2 2 3 2 2 3" xfId="27314" xr:uid="{00000000-0005-0000-0000-00003C480000}"/>
    <cellStyle name="Normal 18 2 2 3 2 3" xfId="13324" xr:uid="{00000000-0005-0000-0000-00003D480000}"/>
    <cellStyle name="Normal 18 2 2 3 2 4" xfId="22648" xr:uid="{00000000-0005-0000-0000-00003E480000}"/>
    <cellStyle name="Normal 18 2 2 3 3" xfId="5699" xr:uid="{00000000-0005-0000-0000-00003F480000}"/>
    <cellStyle name="Normal 18 2 2 3 3 2" xfId="15023" xr:uid="{00000000-0005-0000-0000-000040480000}"/>
    <cellStyle name="Normal 18 2 2 3 3 3" xfId="24346" xr:uid="{00000000-0005-0000-0000-000041480000}"/>
    <cellStyle name="Normal 18 2 2 3 4" xfId="11769" xr:uid="{00000000-0005-0000-0000-000042480000}"/>
    <cellStyle name="Normal 18 2 2 3 5" xfId="21095" xr:uid="{00000000-0005-0000-0000-000043480000}"/>
    <cellStyle name="Normal 18 2 2 4" xfId="3084" xr:uid="{00000000-0005-0000-0000-000044480000}"/>
    <cellStyle name="Normal 18 2 2 4 2" xfId="7763" xr:uid="{00000000-0005-0000-0000-000045480000}"/>
    <cellStyle name="Normal 18 2 2 4 2 2" xfId="17087" xr:uid="{00000000-0005-0000-0000-000046480000}"/>
    <cellStyle name="Normal 18 2 2 4 2 3" xfId="26410" xr:uid="{00000000-0005-0000-0000-000047480000}"/>
    <cellStyle name="Normal 18 2 2 4 3" xfId="12471" xr:uid="{00000000-0005-0000-0000-000048480000}"/>
    <cellStyle name="Normal 18 2 2 4 4" xfId="21797" xr:uid="{00000000-0005-0000-0000-000049480000}"/>
    <cellStyle name="Normal 18 2 2 5" xfId="4737" xr:uid="{00000000-0005-0000-0000-00004A480000}"/>
    <cellStyle name="Normal 18 2 2 5 2" xfId="14061" xr:uid="{00000000-0005-0000-0000-00004B480000}"/>
    <cellStyle name="Normal 18 2 2 5 3" xfId="23384" xr:uid="{00000000-0005-0000-0000-00004C480000}"/>
    <cellStyle name="Normal 18 2 2 6" xfId="10865" xr:uid="{00000000-0005-0000-0000-00004D480000}"/>
    <cellStyle name="Normal 18 2 2 7" xfId="20189" xr:uid="{00000000-0005-0000-0000-00004E480000}"/>
    <cellStyle name="Normal 18 2 3" xfId="1279" xr:uid="{00000000-0005-0000-0000-00004F480000}"/>
    <cellStyle name="Normal 18 2 3 2" xfId="2267" xr:uid="{00000000-0005-0000-0000-000050480000}"/>
    <cellStyle name="Normal 18 2 3 2 2" xfId="3992" xr:uid="{00000000-0005-0000-0000-000051480000}"/>
    <cellStyle name="Normal 18 2 3 2 2 2" xfId="8669" xr:uid="{00000000-0005-0000-0000-000052480000}"/>
    <cellStyle name="Normal 18 2 3 2 2 2 2" xfId="17993" xr:uid="{00000000-0005-0000-0000-000053480000}"/>
    <cellStyle name="Normal 18 2 3 2 2 2 3" xfId="27316" xr:uid="{00000000-0005-0000-0000-000054480000}"/>
    <cellStyle name="Normal 18 2 3 2 2 3" xfId="13326" xr:uid="{00000000-0005-0000-0000-000055480000}"/>
    <cellStyle name="Normal 18 2 3 2 2 4" xfId="22650" xr:uid="{00000000-0005-0000-0000-000056480000}"/>
    <cellStyle name="Normal 18 2 3 2 3" xfId="5701" xr:uid="{00000000-0005-0000-0000-000057480000}"/>
    <cellStyle name="Normal 18 2 3 2 3 2" xfId="15025" xr:uid="{00000000-0005-0000-0000-000058480000}"/>
    <cellStyle name="Normal 18 2 3 2 3 3" xfId="24348" xr:uid="{00000000-0005-0000-0000-000059480000}"/>
    <cellStyle name="Normal 18 2 3 2 4" xfId="11771" xr:uid="{00000000-0005-0000-0000-00005A480000}"/>
    <cellStyle name="Normal 18 2 3 2 5" xfId="21097" xr:uid="{00000000-0005-0000-0000-00005B480000}"/>
    <cellStyle name="Normal 18 2 3 3" xfId="3086" xr:uid="{00000000-0005-0000-0000-00005C480000}"/>
    <cellStyle name="Normal 18 2 3 3 2" xfId="7765" xr:uid="{00000000-0005-0000-0000-00005D480000}"/>
    <cellStyle name="Normal 18 2 3 3 2 2" xfId="17089" xr:uid="{00000000-0005-0000-0000-00005E480000}"/>
    <cellStyle name="Normal 18 2 3 3 2 3" xfId="26412" xr:uid="{00000000-0005-0000-0000-00005F480000}"/>
    <cellStyle name="Normal 18 2 3 3 3" xfId="12473" xr:uid="{00000000-0005-0000-0000-000060480000}"/>
    <cellStyle name="Normal 18 2 3 3 4" xfId="21799" xr:uid="{00000000-0005-0000-0000-000061480000}"/>
    <cellStyle name="Normal 18 2 3 4" xfId="4739" xr:uid="{00000000-0005-0000-0000-000062480000}"/>
    <cellStyle name="Normal 18 2 3 4 2" xfId="14063" xr:uid="{00000000-0005-0000-0000-000063480000}"/>
    <cellStyle name="Normal 18 2 3 4 3" xfId="23386" xr:uid="{00000000-0005-0000-0000-000064480000}"/>
    <cellStyle name="Normal 18 2 3 5" xfId="10867" xr:uid="{00000000-0005-0000-0000-000065480000}"/>
    <cellStyle name="Normal 18 2 3 6" xfId="20191" xr:uid="{00000000-0005-0000-0000-000066480000}"/>
    <cellStyle name="Normal 18 2 4" xfId="2264" xr:uid="{00000000-0005-0000-0000-000067480000}"/>
    <cellStyle name="Normal 18 2 4 2" xfId="3989" xr:uid="{00000000-0005-0000-0000-000068480000}"/>
    <cellStyle name="Normal 18 2 4 2 2" xfId="8666" xr:uid="{00000000-0005-0000-0000-000069480000}"/>
    <cellStyle name="Normal 18 2 4 2 2 2" xfId="17990" xr:uid="{00000000-0005-0000-0000-00006A480000}"/>
    <cellStyle name="Normal 18 2 4 2 2 3" xfId="27313" xr:uid="{00000000-0005-0000-0000-00006B480000}"/>
    <cellStyle name="Normal 18 2 4 2 3" xfId="13323" xr:uid="{00000000-0005-0000-0000-00006C480000}"/>
    <cellStyle name="Normal 18 2 4 2 4" xfId="22647" xr:uid="{00000000-0005-0000-0000-00006D480000}"/>
    <cellStyle name="Normal 18 2 4 3" xfId="5698" xr:uid="{00000000-0005-0000-0000-00006E480000}"/>
    <cellStyle name="Normal 18 2 4 3 2" xfId="15022" xr:uid="{00000000-0005-0000-0000-00006F480000}"/>
    <cellStyle name="Normal 18 2 4 3 3" xfId="24345" xr:uid="{00000000-0005-0000-0000-000070480000}"/>
    <cellStyle name="Normal 18 2 4 4" xfId="11768" xr:uid="{00000000-0005-0000-0000-000071480000}"/>
    <cellStyle name="Normal 18 2 4 5" xfId="21094" xr:uid="{00000000-0005-0000-0000-000072480000}"/>
    <cellStyle name="Normal 18 2 5" xfId="3083" xr:uid="{00000000-0005-0000-0000-000073480000}"/>
    <cellStyle name="Normal 18 2 5 2" xfId="7762" xr:uid="{00000000-0005-0000-0000-000074480000}"/>
    <cellStyle name="Normal 18 2 5 2 2" xfId="17086" xr:uid="{00000000-0005-0000-0000-000075480000}"/>
    <cellStyle name="Normal 18 2 5 2 3" xfId="26409" xr:uid="{00000000-0005-0000-0000-000076480000}"/>
    <cellStyle name="Normal 18 2 5 3" xfId="12470" xr:uid="{00000000-0005-0000-0000-000077480000}"/>
    <cellStyle name="Normal 18 2 5 4" xfId="21796" xr:uid="{00000000-0005-0000-0000-000078480000}"/>
    <cellStyle name="Normal 18 2 6" xfId="4736" xr:uid="{00000000-0005-0000-0000-000079480000}"/>
    <cellStyle name="Normal 18 2 6 2" xfId="14060" xr:uid="{00000000-0005-0000-0000-00007A480000}"/>
    <cellStyle name="Normal 18 2 6 3" xfId="23383" xr:uid="{00000000-0005-0000-0000-00007B480000}"/>
    <cellStyle name="Normal 18 2 7" xfId="10864" xr:uid="{00000000-0005-0000-0000-00007C480000}"/>
    <cellStyle name="Normal 18 2 8" xfId="20188" xr:uid="{00000000-0005-0000-0000-00007D480000}"/>
    <cellStyle name="Normal 18 3" xfId="1280" xr:uid="{00000000-0005-0000-0000-00007E480000}"/>
    <cellStyle name="Normal 18 3 2" xfId="1281" xr:uid="{00000000-0005-0000-0000-00007F480000}"/>
    <cellStyle name="Normal 18 3 2 2" xfId="2270" xr:uid="{00000000-0005-0000-0000-000080480000}"/>
    <cellStyle name="Normal 18 3 2 2 2" xfId="3995" xr:uid="{00000000-0005-0000-0000-000081480000}"/>
    <cellStyle name="Normal 18 3 2 2 2 2" xfId="8672" xr:uid="{00000000-0005-0000-0000-000082480000}"/>
    <cellStyle name="Normal 18 3 2 2 2 2 2" xfId="17996" xr:uid="{00000000-0005-0000-0000-000083480000}"/>
    <cellStyle name="Normal 18 3 2 2 2 2 3" xfId="27319" xr:uid="{00000000-0005-0000-0000-000084480000}"/>
    <cellStyle name="Normal 18 3 2 2 2 3" xfId="13329" xr:uid="{00000000-0005-0000-0000-000085480000}"/>
    <cellStyle name="Normal 18 3 2 2 2 4" xfId="22653" xr:uid="{00000000-0005-0000-0000-000086480000}"/>
    <cellStyle name="Normal 18 3 2 2 3" xfId="5704" xr:uid="{00000000-0005-0000-0000-000087480000}"/>
    <cellStyle name="Normal 18 3 2 2 3 2" xfId="15028" xr:uid="{00000000-0005-0000-0000-000088480000}"/>
    <cellStyle name="Normal 18 3 2 2 3 3" xfId="24351" xr:uid="{00000000-0005-0000-0000-000089480000}"/>
    <cellStyle name="Normal 18 3 2 2 4" xfId="11774" xr:uid="{00000000-0005-0000-0000-00008A480000}"/>
    <cellStyle name="Normal 18 3 2 2 5" xfId="21100" xr:uid="{00000000-0005-0000-0000-00008B480000}"/>
    <cellStyle name="Normal 18 3 2 3" xfId="2269" xr:uid="{00000000-0005-0000-0000-00008C480000}"/>
    <cellStyle name="Normal 18 3 2 3 2" xfId="3994" xr:uid="{00000000-0005-0000-0000-00008D480000}"/>
    <cellStyle name="Normal 18 3 2 3 2 2" xfId="8671" xr:uid="{00000000-0005-0000-0000-00008E480000}"/>
    <cellStyle name="Normal 18 3 2 3 2 2 2" xfId="17995" xr:uid="{00000000-0005-0000-0000-00008F480000}"/>
    <cellStyle name="Normal 18 3 2 3 2 2 3" xfId="27318" xr:uid="{00000000-0005-0000-0000-000090480000}"/>
    <cellStyle name="Normal 18 3 2 3 2 3" xfId="13328" xr:uid="{00000000-0005-0000-0000-000091480000}"/>
    <cellStyle name="Normal 18 3 2 3 2 4" xfId="22652" xr:uid="{00000000-0005-0000-0000-000092480000}"/>
    <cellStyle name="Normal 18 3 2 3 3" xfId="5703" xr:uid="{00000000-0005-0000-0000-000093480000}"/>
    <cellStyle name="Normal 18 3 2 3 3 2" xfId="15027" xr:uid="{00000000-0005-0000-0000-000094480000}"/>
    <cellStyle name="Normal 18 3 2 3 3 3" xfId="24350" xr:uid="{00000000-0005-0000-0000-000095480000}"/>
    <cellStyle name="Normal 18 3 2 3 4" xfId="11773" xr:uid="{00000000-0005-0000-0000-000096480000}"/>
    <cellStyle name="Normal 18 3 2 3 5" xfId="21099" xr:uid="{00000000-0005-0000-0000-000097480000}"/>
    <cellStyle name="Normal 18 3 2 4" xfId="3088" xr:uid="{00000000-0005-0000-0000-000098480000}"/>
    <cellStyle name="Normal 18 3 2 4 2" xfId="7767" xr:uid="{00000000-0005-0000-0000-000099480000}"/>
    <cellStyle name="Normal 18 3 2 4 2 2" xfId="17091" xr:uid="{00000000-0005-0000-0000-00009A480000}"/>
    <cellStyle name="Normal 18 3 2 4 2 3" xfId="26414" xr:uid="{00000000-0005-0000-0000-00009B480000}"/>
    <cellStyle name="Normal 18 3 2 4 3" xfId="12475" xr:uid="{00000000-0005-0000-0000-00009C480000}"/>
    <cellStyle name="Normal 18 3 2 4 4" xfId="21801" xr:uid="{00000000-0005-0000-0000-00009D480000}"/>
    <cellStyle name="Normal 18 3 2 5" xfId="4741" xr:uid="{00000000-0005-0000-0000-00009E480000}"/>
    <cellStyle name="Normal 18 3 2 5 2" xfId="14065" xr:uid="{00000000-0005-0000-0000-00009F480000}"/>
    <cellStyle name="Normal 18 3 2 5 3" xfId="23388" xr:uid="{00000000-0005-0000-0000-0000A0480000}"/>
    <cellStyle name="Normal 18 3 2 6" xfId="10869" xr:uid="{00000000-0005-0000-0000-0000A1480000}"/>
    <cellStyle name="Normal 18 3 2 7" xfId="20193" xr:uid="{00000000-0005-0000-0000-0000A2480000}"/>
    <cellStyle name="Normal 18 3 3" xfId="2271" xr:uid="{00000000-0005-0000-0000-0000A3480000}"/>
    <cellStyle name="Normal 18 3 3 2" xfId="3996" xr:uid="{00000000-0005-0000-0000-0000A4480000}"/>
    <cellStyle name="Normal 18 3 3 2 2" xfId="8673" xr:uid="{00000000-0005-0000-0000-0000A5480000}"/>
    <cellStyle name="Normal 18 3 3 2 2 2" xfId="17997" xr:uid="{00000000-0005-0000-0000-0000A6480000}"/>
    <cellStyle name="Normal 18 3 3 2 2 3" xfId="27320" xr:uid="{00000000-0005-0000-0000-0000A7480000}"/>
    <cellStyle name="Normal 18 3 3 2 3" xfId="13330" xr:uid="{00000000-0005-0000-0000-0000A8480000}"/>
    <cellStyle name="Normal 18 3 3 2 4" xfId="22654" xr:uid="{00000000-0005-0000-0000-0000A9480000}"/>
    <cellStyle name="Normal 18 3 3 3" xfId="5705" xr:uid="{00000000-0005-0000-0000-0000AA480000}"/>
    <cellStyle name="Normal 18 3 3 3 2" xfId="15029" xr:uid="{00000000-0005-0000-0000-0000AB480000}"/>
    <cellStyle name="Normal 18 3 3 3 3" xfId="24352" xr:uid="{00000000-0005-0000-0000-0000AC480000}"/>
    <cellStyle name="Normal 18 3 3 4" xfId="11775" xr:uid="{00000000-0005-0000-0000-0000AD480000}"/>
    <cellStyle name="Normal 18 3 3 5" xfId="21101" xr:uid="{00000000-0005-0000-0000-0000AE480000}"/>
    <cellStyle name="Normal 18 3 4" xfId="2268" xr:uid="{00000000-0005-0000-0000-0000AF480000}"/>
    <cellStyle name="Normal 18 3 4 2" xfId="3993" xr:uid="{00000000-0005-0000-0000-0000B0480000}"/>
    <cellStyle name="Normal 18 3 4 2 2" xfId="8670" xr:uid="{00000000-0005-0000-0000-0000B1480000}"/>
    <cellStyle name="Normal 18 3 4 2 2 2" xfId="17994" xr:uid="{00000000-0005-0000-0000-0000B2480000}"/>
    <cellStyle name="Normal 18 3 4 2 2 3" xfId="27317" xr:uid="{00000000-0005-0000-0000-0000B3480000}"/>
    <cellStyle name="Normal 18 3 4 2 3" xfId="13327" xr:uid="{00000000-0005-0000-0000-0000B4480000}"/>
    <cellStyle name="Normal 18 3 4 2 4" xfId="22651" xr:uid="{00000000-0005-0000-0000-0000B5480000}"/>
    <cellStyle name="Normal 18 3 4 3" xfId="5702" xr:uid="{00000000-0005-0000-0000-0000B6480000}"/>
    <cellStyle name="Normal 18 3 4 3 2" xfId="15026" xr:uid="{00000000-0005-0000-0000-0000B7480000}"/>
    <cellStyle name="Normal 18 3 4 3 3" xfId="24349" xr:uid="{00000000-0005-0000-0000-0000B8480000}"/>
    <cellStyle name="Normal 18 3 4 4" xfId="11772" xr:uid="{00000000-0005-0000-0000-0000B9480000}"/>
    <cellStyle name="Normal 18 3 4 5" xfId="21098" xr:uid="{00000000-0005-0000-0000-0000BA480000}"/>
    <cellStyle name="Normal 18 3 5" xfId="3087" xr:uid="{00000000-0005-0000-0000-0000BB480000}"/>
    <cellStyle name="Normal 18 3 5 2" xfId="7766" xr:uid="{00000000-0005-0000-0000-0000BC480000}"/>
    <cellStyle name="Normal 18 3 5 2 2" xfId="17090" xr:uid="{00000000-0005-0000-0000-0000BD480000}"/>
    <cellStyle name="Normal 18 3 5 2 3" xfId="26413" xr:uid="{00000000-0005-0000-0000-0000BE480000}"/>
    <cellStyle name="Normal 18 3 5 3" xfId="12474" xr:uid="{00000000-0005-0000-0000-0000BF480000}"/>
    <cellStyle name="Normal 18 3 5 4" xfId="21800" xr:uid="{00000000-0005-0000-0000-0000C0480000}"/>
    <cellStyle name="Normal 18 3 6" xfId="4740" xr:uid="{00000000-0005-0000-0000-0000C1480000}"/>
    <cellStyle name="Normal 18 3 6 2" xfId="14064" xr:uid="{00000000-0005-0000-0000-0000C2480000}"/>
    <cellStyle name="Normal 18 3 6 3" xfId="23387" xr:uid="{00000000-0005-0000-0000-0000C3480000}"/>
    <cellStyle name="Normal 18 3 7" xfId="10868" xr:uid="{00000000-0005-0000-0000-0000C4480000}"/>
    <cellStyle name="Normal 18 3 8" xfId="20192" xr:uid="{00000000-0005-0000-0000-0000C5480000}"/>
    <cellStyle name="Normal 18 4" xfId="1282" xr:uid="{00000000-0005-0000-0000-0000C6480000}"/>
    <cellStyle name="Normal 18 4 2" xfId="2273" xr:uid="{00000000-0005-0000-0000-0000C7480000}"/>
    <cellStyle name="Normal 18 4 2 2" xfId="3998" xr:uid="{00000000-0005-0000-0000-0000C8480000}"/>
    <cellStyle name="Normal 18 4 2 2 2" xfId="8675" xr:uid="{00000000-0005-0000-0000-0000C9480000}"/>
    <cellStyle name="Normal 18 4 2 2 2 2" xfId="17999" xr:uid="{00000000-0005-0000-0000-0000CA480000}"/>
    <cellStyle name="Normal 18 4 2 2 2 3" xfId="27322" xr:uid="{00000000-0005-0000-0000-0000CB480000}"/>
    <cellStyle name="Normal 18 4 2 2 3" xfId="13332" xr:uid="{00000000-0005-0000-0000-0000CC480000}"/>
    <cellStyle name="Normal 18 4 2 2 4" xfId="22656" xr:uid="{00000000-0005-0000-0000-0000CD480000}"/>
    <cellStyle name="Normal 18 4 2 3" xfId="5707" xr:uid="{00000000-0005-0000-0000-0000CE480000}"/>
    <cellStyle name="Normal 18 4 2 3 2" xfId="15031" xr:uid="{00000000-0005-0000-0000-0000CF480000}"/>
    <cellStyle name="Normal 18 4 2 3 3" xfId="24354" xr:uid="{00000000-0005-0000-0000-0000D0480000}"/>
    <cellStyle name="Normal 18 4 2 4" xfId="11777" xr:uid="{00000000-0005-0000-0000-0000D1480000}"/>
    <cellStyle name="Normal 18 4 2 5" xfId="21103" xr:uid="{00000000-0005-0000-0000-0000D2480000}"/>
    <cellStyle name="Normal 18 4 3" xfId="2272" xr:uid="{00000000-0005-0000-0000-0000D3480000}"/>
    <cellStyle name="Normal 18 4 3 2" xfId="3997" xr:uid="{00000000-0005-0000-0000-0000D4480000}"/>
    <cellStyle name="Normal 18 4 3 2 2" xfId="8674" xr:uid="{00000000-0005-0000-0000-0000D5480000}"/>
    <cellStyle name="Normal 18 4 3 2 2 2" xfId="17998" xr:uid="{00000000-0005-0000-0000-0000D6480000}"/>
    <cellStyle name="Normal 18 4 3 2 2 3" xfId="27321" xr:uid="{00000000-0005-0000-0000-0000D7480000}"/>
    <cellStyle name="Normal 18 4 3 2 3" xfId="13331" xr:uid="{00000000-0005-0000-0000-0000D8480000}"/>
    <cellStyle name="Normal 18 4 3 2 4" xfId="22655" xr:uid="{00000000-0005-0000-0000-0000D9480000}"/>
    <cellStyle name="Normal 18 4 3 3" xfId="5706" xr:uid="{00000000-0005-0000-0000-0000DA480000}"/>
    <cellStyle name="Normal 18 4 3 3 2" xfId="15030" xr:uid="{00000000-0005-0000-0000-0000DB480000}"/>
    <cellStyle name="Normal 18 4 3 3 3" xfId="24353" xr:uid="{00000000-0005-0000-0000-0000DC480000}"/>
    <cellStyle name="Normal 18 4 3 4" xfId="11776" xr:uid="{00000000-0005-0000-0000-0000DD480000}"/>
    <cellStyle name="Normal 18 4 3 5" xfId="21102" xr:uid="{00000000-0005-0000-0000-0000DE480000}"/>
    <cellStyle name="Normal 18 4 4" xfId="3089" xr:uid="{00000000-0005-0000-0000-0000DF480000}"/>
    <cellStyle name="Normal 18 4 4 2" xfId="7768" xr:uid="{00000000-0005-0000-0000-0000E0480000}"/>
    <cellStyle name="Normal 18 4 4 2 2" xfId="17092" xr:uid="{00000000-0005-0000-0000-0000E1480000}"/>
    <cellStyle name="Normal 18 4 4 2 3" xfId="26415" xr:uid="{00000000-0005-0000-0000-0000E2480000}"/>
    <cellStyle name="Normal 18 4 4 3" xfId="12476" xr:uid="{00000000-0005-0000-0000-0000E3480000}"/>
    <cellStyle name="Normal 18 4 4 4" xfId="21802" xr:uid="{00000000-0005-0000-0000-0000E4480000}"/>
    <cellStyle name="Normal 18 4 5" xfId="4742" xr:uid="{00000000-0005-0000-0000-0000E5480000}"/>
    <cellStyle name="Normal 18 4 5 2" xfId="14066" xr:uid="{00000000-0005-0000-0000-0000E6480000}"/>
    <cellStyle name="Normal 18 4 5 3" xfId="23389" xr:uid="{00000000-0005-0000-0000-0000E7480000}"/>
    <cellStyle name="Normal 18 4 6" xfId="10870" xr:uid="{00000000-0005-0000-0000-0000E8480000}"/>
    <cellStyle name="Normal 18 4 7" xfId="20194" xr:uid="{00000000-0005-0000-0000-0000E9480000}"/>
    <cellStyle name="Normal 18 5" xfId="2274" xr:uid="{00000000-0005-0000-0000-0000EA480000}"/>
    <cellStyle name="Normal 18 5 2" xfId="3999" xr:uid="{00000000-0005-0000-0000-0000EB480000}"/>
    <cellStyle name="Normal 18 5 2 2" xfId="8676" xr:uid="{00000000-0005-0000-0000-0000EC480000}"/>
    <cellStyle name="Normal 18 5 2 2 2" xfId="18000" xr:uid="{00000000-0005-0000-0000-0000ED480000}"/>
    <cellStyle name="Normal 18 5 2 2 3" xfId="27323" xr:uid="{00000000-0005-0000-0000-0000EE480000}"/>
    <cellStyle name="Normal 18 5 2 3" xfId="13333" xr:uid="{00000000-0005-0000-0000-0000EF480000}"/>
    <cellStyle name="Normal 18 5 2 4" xfId="22657" xr:uid="{00000000-0005-0000-0000-0000F0480000}"/>
    <cellStyle name="Normal 18 5 3" xfId="5708" xr:uid="{00000000-0005-0000-0000-0000F1480000}"/>
    <cellStyle name="Normal 18 5 3 2" xfId="15032" xr:uid="{00000000-0005-0000-0000-0000F2480000}"/>
    <cellStyle name="Normal 18 5 3 3" xfId="24355" xr:uid="{00000000-0005-0000-0000-0000F3480000}"/>
    <cellStyle name="Normal 18 5 4" xfId="11778" xr:uid="{00000000-0005-0000-0000-0000F4480000}"/>
    <cellStyle name="Normal 18 5 5" xfId="21104" xr:uid="{00000000-0005-0000-0000-0000F5480000}"/>
    <cellStyle name="Normal 18 6" xfId="2275" xr:uid="{00000000-0005-0000-0000-0000F6480000}"/>
    <cellStyle name="Normal 18 6 2" xfId="4000" xr:uid="{00000000-0005-0000-0000-0000F7480000}"/>
    <cellStyle name="Normal 18 6 2 2" xfId="8677" xr:uid="{00000000-0005-0000-0000-0000F8480000}"/>
    <cellStyle name="Normal 18 6 2 2 2" xfId="18001" xr:uid="{00000000-0005-0000-0000-0000F9480000}"/>
    <cellStyle name="Normal 18 6 2 2 3" xfId="27324" xr:uid="{00000000-0005-0000-0000-0000FA480000}"/>
    <cellStyle name="Normal 18 6 2 3" xfId="13334" xr:uid="{00000000-0005-0000-0000-0000FB480000}"/>
    <cellStyle name="Normal 18 6 2 4" xfId="22658" xr:uid="{00000000-0005-0000-0000-0000FC480000}"/>
    <cellStyle name="Normal 18 6 3" xfId="5709" xr:uid="{00000000-0005-0000-0000-0000FD480000}"/>
    <cellStyle name="Normal 18 6 3 2" xfId="15033" xr:uid="{00000000-0005-0000-0000-0000FE480000}"/>
    <cellStyle name="Normal 18 6 3 3" xfId="24356" xr:uid="{00000000-0005-0000-0000-0000FF480000}"/>
    <cellStyle name="Normal 18 6 4" xfId="11779" xr:uid="{00000000-0005-0000-0000-000000490000}"/>
    <cellStyle name="Normal 18 6 5" xfId="21105" xr:uid="{00000000-0005-0000-0000-000001490000}"/>
    <cellStyle name="Normal 18 7" xfId="2276" xr:uid="{00000000-0005-0000-0000-000002490000}"/>
    <cellStyle name="Normal 18 7 2" xfId="4001" xr:uid="{00000000-0005-0000-0000-000003490000}"/>
    <cellStyle name="Normal 18 7 2 2" xfId="8678" xr:uid="{00000000-0005-0000-0000-000004490000}"/>
    <cellStyle name="Normal 18 7 2 2 2" xfId="18002" xr:uid="{00000000-0005-0000-0000-000005490000}"/>
    <cellStyle name="Normal 18 7 2 2 3" xfId="27325" xr:uid="{00000000-0005-0000-0000-000006490000}"/>
    <cellStyle name="Normal 18 7 2 3" xfId="13335" xr:uid="{00000000-0005-0000-0000-000007490000}"/>
    <cellStyle name="Normal 18 7 2 4" xfId="22659" xr:uid="{00000000-0005-0000-0000-000008490000}"/>
    <cellStyle name="Normal 18 7 3" xfId="5710" xr:uid="{00000000-0005-0000-0000-000009490000}"/>
    <cellStyle name="Normal 18 7 3 2" xfId="15034" xr:uid="{00000000-0005-0000-0000-00000A490000}"/>
    <cellStyle name="Normal 18 7 3 3" xfId="24357" xr:uid="{00000000-0005-0000-0000-00000B490000}"/>
    <cellStyle name="Normal 18 7 4" xfId="11780" xr:uid="{00000000-0005-0000-0000-00000C490000}"/>
    <cellStyle name="Normal 18 7 5" xfId="21106" xr:uid="{00000000-0005-0000-0000-00000D490000}"/>
    <cellStyle name="Normal 18 8" xfId="2263" xr:uid="{00000000-0005-0000-0000-00000E490000}"/>
    <cellStyle name="Normal 18 8 2" xfId="3988" xr:uid="{00000000-0005-0000-0000-00000F490000}"/>
    <cellStyle name="Normal 18 8 2 2" xfId="8665" xr:uid="{00000000-0005-0000-0000-000010490000}"/>
    <cellStyle name="Normal 18 8 2 2 2" xfId="17989" xr:uid="{00000000-0005-0000-0000-000011490000}"/>
    <cellStyle name="Normal 18 8 2 2 3" xfId="27312" xr:uid="{00000000-0005-0000-0000-000012490000}"/>
    <cellStyle name="Normal 18 8 2 3" xfId="13322" xr:uid="{00000000-0005-0000-0000-000013490000}"/>
    <cellStyle name="Normal 18 8 2 4" xfId="22646" xr:uid="{00000000-0005-0000-0000-000014490000}"/>
    <cellStyle name="Normal 18 8 3" xfId="5697" xr:uid="{00000000-0005-0000-0000-000015490000}"/>
    <cellStyle name="Normal 18 8 3 2" xfId="15021" xr:uid="{00000000-0005-0000-0000-000016490000}"/>
    <cellStyle name="Normal 18 8 3 3" xfId="24344" xr:uid="{00000000-0005-0000-0000-000017490000}"/>
    <cellStyle name="Normal 18 8 4" xfId="11767" xr:uid="{00000000-0005-0000-0000-000018490000}"/>
    <cellStyle name="Normal 18 8 5" xfId="21093" xr:uid="{00000000-0005-0000-0000-000019490000}"/>
    <cellStyle name="Normal 18 9" xfId="3082" xr:uid="{00000000-0005-0000-0000-00001A490000}"/>
    <cellStyle name="Normal 18 9 2" xfId="7761" xr:uid="{00000000-0005-0000-0000-00001B490000}"/>
    <cellStyle name="Normal 18 9 2 2" xfId="17085" xr:uid="{00000000-0005-0000-0000-00001C490000}"/>
    <cellStyle name="Normal 18 9 2 3" xfId="26408" xr:uid="{00000000-0005-0000-0000-00001D490000}"/>
    <cellStyle name="Normal 18 9 3" xfId="12469" xr:uid="{00000000-0005-0000-0000-00001E490000}"/>
    <cellStyle name="Normal 18 9 4" xfId="21795" xr:uid="{00000000-0005-0000-0000-00001F490000}"/>
    <cellStyle name="Normal 19" xfId="1283" xr:uid="{00000000-0005-0000-0000-000020490000}"/>
    <cellStyle name="Normal 19 10" xfId="2277" xr:uid="{00000000-0005-0000-0000-000021490000}"/>
    <cellStyle name="Normal 19 10 2" xfId="4002" xr:uid="{00000000-0005-0000-0000-000022490000}"/>
    <cellStyle name="Normal 19 10 2 2" xfId="8679" xr:uid="{00000000-0005-0000-0000-000023490000}"/>
    <cellStyle name="Normal 19 10 2 2 2" xfId="18003" xr:uid="{00000000-0005-0000-0000-000024490000}"/>
    <cellStyle name="Normal 19 10 2 2 3" xfId="27326" xr:uid="{00000000-0005-0000-0000-000025490000}"/>
    <cellStyle name="Normal 19 10 2 3" xfId="13336" xr:uid="{00000000-0005-0000-0000-000026490000}"/>
    <cellStyle name="Normal 19 10 2 4" xfId="22660" xr:uid="{00000000-0005-0000-0000-000027490000}"/>
    <cellStyle name="Normal 19 10 3" xfId="5711" xr:uid="{00000000-0005-0000-0000-000028490000}"/>
    <cellStyle name="Normal 19 10 3 2" xfId="15035" xr:uid="{00000000-0005-0000-0000-000029490000}"/>
    <cellStyle name="Normal 19 10 3 3" xfId="24358" xr:uid="{00000000-0005-0000-0000-00002A490000}"/>
    <cellStyle name="Normal 19 10 4" xfId="11781" xr:uid="{00000000-0005-0000-0000-00002B490000}"/>
    <cellStyle name="Normal 19 10 5" xfId="21107" xr:uid="{00000000-0005-0000-0000-00002C490000}"/>
    <cellStyle name="Normal 19 11" xfId="3090" xr:uid="{00000000-0005-0000-0000-00002D490000}"/>
    <cellStyle name="Normal 19 11 2" xfId="7769" xr:uid="{00000000-0005-0000-0000-00002E490000}"/>
    <cellStyle name="Normal 19 11 2 2" xfId="17093" xr:uid="{00000000-0005-0000-0000-00002F490000}"/>
    <cellStyle name="Normal 19 11 2 3" xfId="26416" xr:uid="{00000000-0005-0000-0000-000030490000}"/>
    <cellStyle name="Normal 19 11 3" xfId="12477" xr:uid="{00000000-0005-0000-0000-000031490000}"/>
    <cellStyle name="Normal 19 11 4" xfId="21803" xr:uid="{00000000-0005-0000-0000-000032490000}"/>
    <cellStyle name="Normal 19 12" xfId="4743" xr:uid="{00000000-0005-0000-0000-000033490000}"/>
    <cellStyle name="Normal 19 12 2" xfId="14067" xr:uid="{00000000-0005-0000-0000-000034490000}"/>
    <cellStyle name="Normal 19 12 3" xfId="23390" xr:uid="{00000000-0005-0000-0000-000035490000}"/>
    <cellStyle name="Normal 19 13" xfId="10871" xr:uid="{00000000-0005-0000-0000-000036490000}"/>
    <cellStyle name="Normal 19 14" xfId="20195" xr:uid="{00000000-0005-0000-0000-000037490000}"/>
    <cellStyle name="Normal 19 15" xfId="28746" xr:uid="{00000000-0005-0000-0000-000038490000}"/>
    <cellStyle name="Normal 19 2" xfId="1284" xr:uid="{00000000-0005-0000-0000-000039490000}"/>
    <cellStyle name="Normal 19 2 10" xfId="4744" xr:uid="{00000000-0005-0000-0000-00003A490000}"/>
    <cellStyle name="Normal 19 2 10 2" xfId="14068" xr:uid="{00000000-0005-0000-0000-00003B490000}"/>
    <cellStyle name="Normal 19 2 10 3" xfId="23391" xr:uid="{00000000-0005-0000-0000-00003C490000}"/>
    <cellStyle name="Normal 19 2 11" xfId="10872" xr:uid="{00000000-0005-0000-0000-00003D490000}"/>
    <cellStyle name="Normal 19 2 12" xfId="20196" xr:uid="{00000000-0005-0000-0000-00003E490000}"/>
    <cellStyle name="Normal 19 2 13" xfId="28883" xr:uid="{00000000-0005-0000-0000-00003F490000}"/>
    <cellStyle name="Normal 19 2 2" xfId="1285" xr:uid="{00000000-0005-0000-0000-000040490000}"/>
    <cellStyle name="Normal 19 2 2 2" xfId="2280" xr:uid="{00000000-0005-0000-0000-000041490000}"/>
    <cellStyle name="Normal 19 2 2 2 2" xfId="2281" xr:uid="{00000000-0005-0000-0000-000042490000}"/>
    <cellStyle name="Normal 19 2 2 2 2 2" xfId="4006" xr:uid="{00000000-0005-0000-0000-000043490000}"/>
    <cellStyle name="Normal 19 2 2 2 2 2 2" xfId="8683" xr:uid="{00000000-0005-0000-0000-000044490000}"/>
    <cellStyle name="Normal 19 2 2 2 2 2 2 2" xfId="18007" xr:uid="{00000000-0005-0000-0000-000045490000}"/>
    <cellStyle name="Normal 19 2 2 2 2 2 2 3" xfId="27330" xr:uid="{00000000-0005-0000-0000-000046490000}"/>
    <cellStyle name="Normal 19 2 2 2 2 2 3" xfId="13340" xr:uid="{00000000-0005-0000-0000-000047490000}"/>
    <cellStyle name="Normal 19 2 2 2 2 2 4" xfId="22664" xr:uid="{00000000-0005-0000-0000-000048490000}"/>
    <cellStyle name="Normal 19 2 2 2 2 3" xfId="5715" xr:uid="{00000000-0005-0000-0000-000049490000}"/>
    <cellStyle name="Normal 19 2 2 2 2 3 2" xfId="15039" xr:uid="{00000000-0005-0000-0000-00004A490000}"/>
    <cellStyle name="Normal 19 2 2 2 2 3 3" xfId="24362" xr:uid="{00000000-0005-0000-0000-00004B490000}"/>
    <cellStyle name="Normal 19 2 2 2 2 4" xfId="11785" xr:uid="{00000000-0005-0000-0000-00004C490000}"/>
    <cellStyle name="Normal 19 2 2 2 2 5" xfId="21111" xr:uid="{00000000-0005-0000-0000-00004D490000}"/>
    <cellStyle name="Normal 19 2 2 2 3" xfId="4005" xr:uid="{00000000-0005-0000-0000-00004E490000}"/>
    <cellStyle name="Normal 19 2 2 2 3 2" xfId="8682" xr:uid="{00000000-0005-0000-0000-00004F490000}"/>
    <cellStyle name="Normal 19 2 2 2 3 2 2" xfId="18006" xr:uid="{00000000-0005-0000-0000-000050490000}"/>
    <cellStyle name="Normal 19 2 2 2 3 2 3" xfId="27329" xr:uid="{00000000-0005-0000-0000-000051490000}"/>
    <cellStyle name="Normal 19 2 2 2 3 3" xfId="13339" xr:uid="{00000000-0005-0000-0000-000052490000}"/>
    <cellStyle name="Normal 19 2 2 2 3 4" xfId="22663" xr:uid="{00000000-0005-0000-0000-000053490000}"/>
    <cellStyle name="Normal 19 2 2 2 4" xfId="5714" xr:uid="{00000000-0005-0000-0000-000054490000}"/>
    <cellStyle name="Normal 19 2 2 2 4 2" xfId="15038" xr:uid="{00000000-0005-0000-0000-000055490000}"/>
    <cellStyle name="Normal 19 2 2 2 4 3" xfId="24361" xr:uid="{00000000-0005-0000-0000-000056490000}"/>
    <cellStyle name="Normal 19 2 2 2 5" xfId="11784" xr:uid="{00000000-0005-0000-0000-000057490000}"/>
    <cellStyle name="Normal 19 2 2 2 6" xfId="21110" xr:uid="{00000000-0005-0000-0000-000058490000}"/>
    <cellStyle name="Normal 19 2 2 3" xfId="2282" xr:uid="{00000000-0005-0000-0000-000059490000}"/>
    <cellStyle name="Normal 19 2 2 3 2" xfId="4007" xr:uid="{00000000-0005-0000-0000-00005A490000}"/>
    <cellStyle name="Normal 19 2 2 3 2 2" xfId="8684" xr:uid="{00000000-0005-0000-0000-00005B490000}"/>
    <cellStyle name="Normal 19 2 2 3 2 2 2" xfId="18008" xr:uid="{00000000-0005-0000-0000-00005C490000}"/>
    <cellStyle name="Normal 19 2 2 3 2 2 3" xfId="27331" xr:uid="{00000000-0005-0000-0000-00005D490000}"/>
    <cellStyle name="Normal 19 2 2 3 2 3" xfId="13341" xr:uid="{00000000-0005-0000-0000-00005E490000}"/>
    <cellStyle name="Normal 19 2 2 3 2 4" xfId="22665" xr:uid="{00000000-0005-0000-0000-00005F490000}"/>
    <cellStyle name="Normal 19 2 2 3 3" xfId="5716" xr:uid="{00000000-0005-0000-0000-000060490000}"/>
    <cellStyle name="Normal 19 2 2 3 3 2" xfId="15040" xr:uid="{00000000-0005-0000-0000-000061490000}"/>
    <cellStyle name="Normal 19 2 2 3 3 3" xfId="24363" xr:uid="{00000000-0005-0000-0000-000062490000}"/>
    <cellStyle name="Normal 19 2 2 3 4" xfId="11786" xr:uid="{00000000-0005-0000-0000-000063490000}"/>
    <cellStyle name="Normal 19 2 2 3 5" xfId="21112" xr:uid="{00000000-0005-0000-0000-000064490000}"/>
    <cellStyle name="Normal 19 2 2 4" xfId="2279" xr:uid="{00000000-0005-0000-0000-000065490000}"/>
    <cellStyle name="Normal 19 2 2 4 2" xfId="4004" xr:uid="{00000000-0005-0000-0000-000066490000}"/>
    <cellStyle name="Normal 19 2 2 4 2 2" xfId="8681" xr:uid="{00000000-0005-0000-0000-000067490000}"/>
    <cellStyle name="Normal 19 2 2 4 2 2 2" xfId="18005" xr:uid="{00000000-0005-0000-0000-000068490000}"/>
    <cellStyle name="Normal 19 2 2 4 2 2 3" xfId="27328" xr:uid="{00000000-0005-0000-0000-000069490000}"/>
    <cellStyle name="Normal 19 2 2 4 2 3" xfId="13338" xr:uid="{00000000-0005-0000-0000-00006A490000}"/>
    <cellStyle name="Normal 19 2 2 4 2 4" xfId="22662" xr:uid="{00000000-0005-0000-0000-00006B490000}"/>
    <cellStyle name="Normal 19 2 2 4 3" xfId="5713" xr:uid="{00000000-0005-0000-0000-00006C490000}"/>
    <cellStyle name="Normal 19 2 2 4 3 2" xfId="15037" xr:uid="{00000000-0005-0000-0000-00006D490000}"/>
    <cellStyle name="Normal 19 2 2 4 3 3" xfId="24360" xr:uid="{00000000-0005-0000-0000-00006E490000}"/>
    <cellStyle name="Normal 19 2 2 4 4" xfId="11783" xr:uid="{00000000-0005-0000-0000-00006F490000}"/>
    <cellStyle name="Normal 19 2 2 4 5" xfId="21109" xr:uid="{00000000-0005-0000-0000-000070490000}"/>
    <cellStyle name="Normal 19 2 2 5" xfId="3092" xr:uid="{00000000-0005-0000-0000-000071490000}"/>
    <cellStyle name="Normal 19 2 2 5 2" xfId="7771" xr:uid="{00000000-0005-0000-0000-000072490000}"/>
    <cellStyle name="Normal 19 2 2 5 2 2" xfId="17095" xr:uid="{00000000-0005-0000-0000-000073490000}"/>
    <cellStyle name="Normal 19 2 2 5 2 3" xfId="26418" xr:uid="{00000000-0005-0000-0000-000074490000}"/>
    <cellStyle name="Normal 19 2 2 5 3" xfId="12479" xr:uid="{00000000-0005-0000-0000-000075490000}"/>
    <cellStyle name="Normal 19 2 2 5 4" xfId="21805" xr:uid="{00000000-0005-0000-0000-000076490000}"/>
    <cellStyle name="Normal 19 2 2 6" xfId="4745" xr:uid="{00000000-0005-0000-0000-000077490000}"/>
    <cellStyle name="Normal 19 2 2 6 2" xfId="14069" xr:uid="{00000000-0005-0000-0000-000078490000}"/>
    <cellStyle name="Normal 19 2 2 6 3" xfId="23392" xr:uid="{00000000-0005-0000-0000-000079490000}"/>
    <cellStyle name="Normal 19 2 2 7" xfId="10873" xr:uid="{00000000-0005-0000-0000-00007A490000}"/>
    <cellStyle name="Normal 19 2 2 8" xfId="20197" xr:uid="{00000000-0005-0000-0000-00007B490000}"/>
    <cellStyle name="Normal 19 2 3" xfId="2283" xr:uid="{00000000-0005-0000-0000-00007C490000}"/>
    <cellStyle name="Normal 19 2 3 2" xfId="2284" xr:uid="{00000000-0005-0000-0000-00007D490000}"/>
    <cellStyle name="Normal 19 2 3 2 2" xfId="2285" xr:uid="{00000000-0005-0000-0000-00007E490000}"/>
    <cellStyle name="Normal 19 2 3 2 2 2" xfId="4010" xr:uid="{00000000-0005-0000-0000-00007F490000}"/>
    <cellStyle name="Normal 19 2 3 2 2 2 2" xfId="8687" xr:uid="{00000000-0005-0000-0000-000080490000}"/>
    <cellStyle name="Normal 19 2 3 2 2 2 2 2" xfId="18011" xr:uid="{00000000-0005-0000-0000-000081490000}"/>
    <cellStyle name="Normal 19 2 3 2 2 2 2 3" xfId="27334" xr:uid="{00000000-0005-0000-0000-000082490000}"/>
    <cellStyle name="Normal 19 2 3 2 2 2 3" xfId="13344" xr:uid="{00000000-0005-0000-0000-000083490000}"/>
    <cellStyle name="Normal 19 2 3 2 2 2 4" xfId="22668" xr:uid="{00000000-0005-0000-0000-000084490000}"/>
    <cellStyle name="Normal 19 2 3 2 2 3" xfId="5719" xr:uid="{00000000-0005-0000-0000-000085490000}"/>
    <cellStyle name="Normal 19 2 3 2 2 3 2" xfId="15043" xr:uid="{00000000-0005-0000-0000-000086490000}"/>
    <cellStyle name="Normal 19 2 3 2 2 3 3" xfId="24366" xr:uid="{00000000-0005-0000-0000-000087490000}"/>
    <cellStyle name="Normal 19 2 3 2 2 4" xfId="11789" xr:uid="{00000000-0005-0000-0000-000088490000}"/>
    <cellStyle name="Normal 19 2 3 2 2 5" xfId="21115" xr:uid="{00000000-0005-0000-0000-000089490000}"/>
    <cellStyle name="Normal 19 2 3 2 3" xfId="4009" xr:uid="{00000000-0005-0000-0000-00008A490000}"/>
    <cellStyle name="Normal 19 2 3 2 3 2" xfId="8686" xr:uid="{00000000-0005-0000-0000-00008B490000}"/>
    <cellStyle name="Normal 19 2 3 2 3 2 2" xfId="18010" xr:uid="{00000000-0005-0000-0000-00008C490000}"/>
    <cellStyle name="Normal 19 2 3 2 3 2 3" xfId="27333" xr:uid="{00000000-0005-0000-0000-00008D490000}"/>
    <cellStyle name="Normal 19 2 3 2 3 3" xfId="13343" xr:uid="{00000000-0005-0000-0000-00008E490000}"/>
    <cellStyle name="Normal 19 2 3 2 3 4" xfId="22667" xr:uid="{00000000-0005-0000-0000-00008F490000}"/>
    <cellStyle name="Normal 19 2 3 2 4" xfId="5718" xr:uid="{00000000-0005-0000-0000-000090490000}"/>
    <cellStyle name="Normal 19 2 3 2 4 2" xfId="15042" xr:uid="{00000000-0005-0000-0000-000091490000}"/>
    <cellStyle name="Normal 19 2 3 2 4 3" xfId="24365" xr:uid="{00000000-0005-0000-0000-000092490000}"/>
    <cellStyle name="Normal 19 2 3 2 5" xfId="11788" xr:uid="{00000000-0005-0000-0000-000093490000}"/>
    <cellStyle name="Normal 19 2 3 2 6" xfId="21114" xr:uid="{00000000-0005-0000-0000-000094490000}"/>
    <cellStyle name="Normal 19 2 3 3" xfId="2286" xr:uid="{00000000-0005-0000-0000-000095490000}"/>
    <cellStyle name="Normal 19 2 3 3 2" xfId="4011" xr:uid="{00000000-0005-0000-0000-000096490000}"/>
    <cellStyle name="Normal 19 2 3 3 2 2" xfId="8688" xr:uid="{00000000-0005-0000-0000-000097490000}"/>
    <cellStyle name="Normal 19 2 3 3 2 2 2" xfId="18012" xr:uid="{00000000-0005-0000-0000-000098490000}"/>
    <cellStyle name="Normal 19 2 3 3 2 2 3" xfId="27335" xr:uid="{00000000-0005-0000-0000-000099490000}"/>
    <cellStyle name="Normal 19 2 3 3 2 3" xfId="13345" xr:uid="{00000000-0005-0000-0000-00009A490000}"/>
    <cellStyle name="Normal 19 2 3 3 2 4" xfId="22669" xr:uid="{00000000-0005-0000-0000-00009B490000}"/>
    <cellStyle name="Normal 19 2 3 3 3" xfId="5720" xr:uid="{00000000-0005-0000-0000-00009C490000}"/>
    <cellStyle name="Normal 19 2 3 3 3 2" xfId="15044" xr:uid="{00000000-0005-0000-0000-00009D490000}"/>
    <cellStyle name="Normal 19 2 3 3 3 3" xfId="24367" xr:uid="{00000000-0005-0000-0000-00009E490000}"/>
    <cellStyle name="Normal 19 2 3 3 4" xfId="11790" xr:uid="{00000000-0005-0000-0000-00009F490000}"/>
    <cellStyle name="Normal 19 2 3 3 5" xfId="21116" xr:uid="{00000000-0005-0000-0000-0000A0490000}"/>
    <cellStyle name="Normal 19 2 3 4" xfId="4008" xr:uid="{00000000-0005-0000-0000-0000A1490000}"/>
    <cellStyle name="Normal 19 2 3 4 2" xfId="8685" xr:uid="{00000000-0005-0000-0000-0000A2490000}"/>
    <cellStyle name="Normal 19 2 3 4 2 2" xfId="18009" xr:uid="{00000000-0005-0000-0000-0000A3490000}"/>
    <cellStyle name="Normal 19 2 3 4 2 3" xfId="27332" xr:uid="{00000000-0005-0000-0000-0000A4490000}"/>
    <cellStyle name="Normal 19 2 3 4 3" xfId="13342" xr:uid="{00000000-0005-0000-0000-0000A5490000}"/>
    <cellStyle name="Normal 19 2 3 4 4" xfId="22666" xr:uid="{00000000-0005-0000-0000-0000A6490000}"/>
    <cellStyle name="Normal 19 2 3 5" xfId="5717" xr:uid="{00000000-0005-0000-0000-0000A7490000}"/>
    <cellStyle name="Normal 19 2 3 5 2" xfId="15041" xr:uid="{00000000-0005-0000-0000-0000A8490000}"/>
    <cellStyle name="Normal 19 2 3 5 3" xfId="24364" xr:uid="{00000000-0005-0000-0000-0000A9490000}"/>
    <cellStyle name="Normal 19 2 3 6" xfId="11787" xr:uid="{00000000-0005-0000-0000-0000AA490000}"/>
    <cellStyle name="Normal 19 2 3 7" xfId="21113" xr:uid="{00000000-0005-0000-0000-0000AB490000}"/>
    <cellStyle name="Normal 19 2 4" xfId="2287" xr:uid="{00000000-0005-0000-0000-0000AC490000}"/>
    <cellStyle name="Normal 19 2 4 2" xfId="2288" xr:uid="{00000000-0005-0000-0000-0000AD490000}"/>
    <cellStyle name="Normal 19 2 4 2 2" xfId="4013" xr:uid="{00000000-0005-0000-0000-0000AE490000}"/>
    <cellStyle name="Normal 19 2 4 2 2 2" xfId="8690" xr:uid="{00000000-0005-0000-0000-0000AF490000}"/>
    <cellStyle name="Normal 19 2 4 2 2 2 2" xfId="18014" xr:uid="{00000000-0005-0000-0000-0000B0490000}"/>
    <cellStyle name="Normal 19 2 4 2 2 2 3" xfId="27337" xr:uid="{00000000-0005-0000-0000-0000B1490000}"/>
    <cellStyle name="Normal 19 2 4 2 2 3" xfId="13347" xr:uid="{00000000-0005-0000-0000-0000B2490000}"/>
    <cellStyle name="Normal 19 2 4 2 2 4" xfId="22671" xr:uid="{00000000-0005-0000-0000-0000B3490000}"/>
    <cellStyle name="Normal 19 2 4 2 3" xfId="5722" xr:uid="{00000000-0005-0000-0000-0000B4490000}"/>
    <cellStyle name="Normal 19 2 4 2 3 2" xfId="15046" xr:uid="{00000000-0005-0000-0000-0000B5490000}"/>
    <cellStyle name="Normal 19 2 4 2 3 3" xfId="24369" xr:uid="{00000000-0005-0000-0000-0000B6490000}"/>
    <cellStyle name="Normal 19 2 4 2 4" xfId="11792" xr:uid="{00000000-0005-0000-0000-0000B7490000}"/>
    <cellStyle name="Normal 19 2 4 2 5" xfId="21118" xr:uid="{00000000-0005-0000-0000-0000B8490000}"/>
    <cellStyle name="Normal 19 2 4 3" xfId="4012" xr:uid="{00000000-0005-0000-0000-0000B9490000}"/>
    <cellStyle name="Normal 19 2 4 3 2" xfId="8689" xr:uid="{00000000-0005-0000-0000-0000BA490000}"/>
    <cellStyle name="Normal 19 2 4 3 2 2" xfId="18013" xr:uid="{00000000-0005-0000-0000-0000BB490000}"/>
    <cellStyle name="Normal 19 2 4 3 2 3" xfId="27336" xr:uid="{00000000-0005-0000-0000-0000BC490000}"/>
    <cellStyle name="Normal 19 2 4 3 3" xfId="13346" xr:uid="{00000000-0005-0000-0000-0000BD490000}"/>
    <cellStyle name="Normal 19 2 4 3 4" xfId="22670" xr:uid="{00000000-0005-0000-0000-0000BE490000}"/>
    <cellStyle name="Normal 19 2 4 4" xfId="5721" xr:uid="{00000000-0005-0000-0000-0000BF490000}"/>
    <cellStyle name="Normal 19 2 4 4 2" xfId="15045" xr:uid="{00000000-0005-0000-0000-0000C0490000}"/>
    <cellStyle name="Normal 19 2 4 4 3" xfId="24368" xr:uid="{00000000-0005-0000-0000-0000C1490000}"/>
    <cellStyle name="Normal 19 2 4 5" xfId="11791" xr:uid="{00000000-0005-0000-0000-0000C2490000}"/>
    <cellStyle name="Normal 19 2 4 6" xfId="21117" xr:uid="{00000000-0005-0000-0000-0000C3490000}"/>
    <cellStyle name="Normal 19 2 5" xfId="2289" xr:uid="{00000000-0005-0000-0000-0000C4490000}"/>
    <cellStyle name="Normal 19 2 5 2" xfId="4014" xr:uid="{00000000-0005-0000-0000-0000C5490000}"/>
    <cellStyle name="Normal 19 2 5 2 2" xfId="8691" xr:uid="{00000000-0005-0000-0000-0000C6490000}"/>
    <cellStyle name="Normal 19 2 5 2 2 2" xfId="18015" xr:uid="{00000000-0005-0000-0000-0000C7490000}"/>
    <cellStyle name="Normal 19 2 5 2 2 3" xfId="27338" xr:uid="{00000000-0005-0000-0000-0000C8490000}"/>
    <cellStyle name="Normal 19 2 5 2 3" xfId="13348" xr:uid="{00000000-0005-0000-0000-0000C9490000}"/>
    <cellStyle name="Normal 19 2 5 2 4" xfId="22672" xr:uid="{00000000-0005-0000-0000-0000CA490000}"/>
    <cellStyle name="Normal 19 2 5 3" xfId="5723" xr:uid="{00000000-0005-0000-0000-0000CB490000}"/>
    <cellStyle name="Normal 19 2 5 3 2" xfId="15047" xr:uid="{00000000-0005-0000-0000-0000CC490000}"/>
    <cellStyle name="Normal 19 2 5 3 3" xfId="24370" xr:uid="{00000000-0005-0000-0000-0000CD490000}"/>
    <cellStyle name="Normal 19 2 5 4" xfId="11793" xr:uid="{00000000-0005-0000-0000-0000CE490000}"/>
    <cellStyle name="Normal 19 2 5 5" xfId="21119" xr:uid="{00000000-0005-0000-0000-0000CF490000}"/>
    <cellStyle name="Normal 19 2 6" xfId="2290" xr:uid="{00000000-0005-0000-0000-0000D0490000}"/>
    <cellStyle name="Normal 19 2 6 2" xfId="4015" xr:uid="{00000000-0005-0000-0000-0000D1490000}"/>
    <cellStyle name="Normal 19 2 6 2 2" xfId="8692" xr:uid="{00000000-0005-0000-0000-0000D2490000}"/>
    <cellStyle name="Normal 19 2 6 2 2 2" xfId="18016" xr:uid="{00000000-0005-0000-0000-0000D3490000}"/>
    <cellStyle name="Normal 19 2 6 2 2 3" xfId="27339" xr:uid="{00000000-0005-0000-0000-0000D4490000}"/>
    <cellStyle name="Normal 19 2 6 2 3" xfId="13349" xr:uid="{00000000-0005-0000-0000-0000D5490000}"/>
    <cellStyle name="Normal 19 2 6 2 4" xfId="22673" xr:uid="{00000000-0005-0000-0000-0000D6490000}"/>
    <cellStyle name="Normal 19 2 6 3" xfId="5724" xr:uid="{00000000-0005-0000-0000-0000D7490000}"/>
    <cellStyle name="Normal 19 2 6 3 2" xfId="15048" xr:uid="{00000000-0005-0000-0000-0000D8490000}"/>
    <cellStyle name="Normal 19 2 6 3 3" xfId="24371" xr:uid="{00000000-0005-0000-0000-0000D9490000}"/>
    <cellStyle name="Normal 19 2 6 4" xfId="11794" xr:uid="{00000000-0005-0000-0000-0000DA490000}"/>
    <cellStyle name="Normal 19 2 6 5" xfId="21120" xr:uid="{00000000-0005-0000-0000-0000DB490000}"/>
    <cellStyle name="Normal 19 2 7" xfId="2291" xr:uid="{00000000-0005-0000-0000-0000DC490000}"/>
    <cellStyle name="Normal 19 2 7 2" xfId="4016" xr:uid="{00000000-0005-0000-0000-0000DD490000}"/>
    <cellStyle name="Normal 19 2 7 2 2" xfId="8693" xr:uid="{00000000-0005-0000-0000-0000DE490000}"/>
    <cellStyle name="Normal 19 2 7 2 2 2" xfId="18017" xr:uid="{00000000-0005-0000-0000-0000DF490000}"/>
    <cellStyle name="Normal 19 2 7 2 2 3" xfId="27340" xr:uid="{00000000-0005-0000-0000-0000E0490000}"/>
    <cellStyle name="Normal 19 2 7 2 3" xfId="13350" xr:uid="{00000000-0005-0000-0000-0000E1490000}"/>
    <cellStyle name="Normal 19 2 7 2 4" xfId="22674" xr:uid="{00000000-0005-0000-0000-0000E2490000}"/>
    <cellStyle name="Normal 19 2 7 3" xfId="5725" xr:uid="{00000000-0005-0000-0000-0000E3490000}"/>
    <cellStyle name="Normal 19 2 7 3 2" xfId="15049" xr:uid="{00000000-0005-0000-0000-0000E4490000}"/>
    <cellStyle name="Normal 19 2 7 3 3" xfId="24372" xr:uid="{00000000-0005-0000-0000-0000E5490000}"/>
    <cellStyle name="Normal 19 2 7 4" xfId="11795" xr:uid="{00000000-0005-0000-0000-0000E6490000}"/>
    <cellStyle name="Normal 19 2 7 5" xfId="21121" xr:uid="{00000000-0005-0000-0000-0000E7490000}"/>
    <cellStyle name="Normal 19 2 8" xfId="2278" xr:uid="{00000000-0005-0000-0000-0000E8490000}"/>
    <cellStyle name="Normal 19 2 8 2" xfId="4003" xr:uid="{00000000-0005-0000-0000-0000E9490000}"/>
    <cellStyle name="Normal 19 2 8 2 2" xfId="8680" xr:uid="{00000000-0005-0000-0000-0000EA490000}"/>
    <cellStyle name="Normal 19 2 8 2 2 2" xfId="18004" xr:uid="{00000000-0005-0000-0000-0000EB490000}"/>
    <cellStyle name="Normal 19 2 8 2 2 3" xfId="27327" xr:uid="{00000000-0005-0000-0000-0000EC490000}"/>
    <cellStyle name="Normal 19 2 8 2 3" xfId="13337" xr:uid="{00000000-0005-0000-0000-0000ED490000}"/>
    <cellStyle name="Normal 19 2 8 2 4" xfId="22661" xr:uid="{00000000-0005-0000-0000-0000EE490000}"/>
    <cellStyle name="Normal 19 2 8 3" xfId="5712" xr:uid="{00000000-0005-0000-0000-0000EF490000}"/>
    <cellStyle name="Normal 19 2 8 3 2" xfId="15036" xr:uid="{00000000-0005-0000-0000-0000F0490000}"/>
    <cellStyle name="Normal 19 2 8 3 3" xfId="24359" xr:uid="{00000000-0005-0000-0000-0000F1490000}"/>
    <cellStyle name="Normal 19 2 8 4" xfId="11782" xr:uid="{00000000-0005-0000-0000-0000F2490000}"/>
    <cellStyle name="Normal 19 2 8 5" xfId="21108" xr:uid="{00000000-0005-0000-0000-0000F3490000}"/>
    <cellStyle name="Normal 19 2 9" xfId="3091" xr:uid="{00000000-0005-0000-0000-0000F4490000}"/>
    <cellStyle name="Normal 19 2 9 2" xfId="7770" xr:uid="{00000000-0005-0000-0000-0000F5490000}"/>
    <cellStyle name="Normal 19 2 9 2 2" xfId="17094" xr:uid="{00000000-0005-0000-0000-0000F6490000}"/>
    <cellStyle name="Normal 19 2 9 2 3" xfId="26417" xr:uid="{00000000-0005-0000-0000-0000F7490000}"/>
    <cellStyle name="Normal 19 2 9 3" xfId="12478" xr:uid="{00000000-0005-0000-0000-0000F8490000}"/>
    <cellStyle name="Normal 19 2 9 4" xfId="21804" xr:uid="{00000000-0005-0000-0000-0000F9490000}"/>
    <cellStyle name="Normal 19 3" xfId="1286" xr:uid="{00000000-0005-0000-0000-0000FA490000}"/>
    <cellStyle name="Normal 19 3 2" xfId="2293" xr:uid="{00000000-0005-0000-0000-0000FB490000}"/>
    <cellStyle name="Normal 19 3 2 2" xfId="2294" xr:uid="{00000000-0005-0000-0000-0000FC490000}"/>
    <cellStyle name="Normal 19 3 2 2 2" xfId="4019" xr:uid="{00000000-0005-0000-0000-0000FD490000}"/>
    <cellStyle name="Normal 19 3 2 2 2 2" xfId="8696" xr:uid="{00000000-0005-0000-0000-0000FE490000}"/>
    <cellStyle name="Normal 19 3 2 2 2 2 2" xfId="18020" xr:uid="{00000000-0005-0000-0000-0000FF490000}"/>
    <cellStyle name="Normal 19 3 2 2 2 2 3" xfId="27343" xr:uid="{00000000-0005-0000-0000-0000004A0000}"/>
    <cellStyle name="Normal 19 3 2 2 2 3" xfId="13353" xr:uid="{00000000-0005-0000-0000-0000014A0000}"/>
    <cellStyle name="Normal 19 3 2 2 2 4" xfId="22677" xr:uid="{00000000-0005-0000-0000-0000024A0000}"/>
    <cellStyle name="Normal 19 3 2 2 3" xfId="5728" xr:uid="{00000000-0005-0000-0000-0000034A0000}"/>
    <cellStyle name="Normal 19 3 2 2 3 2" xfId="15052" xr:uid="{00000000-0005-0000-0000-0000044A0000}"/>
    <cellStyle name="Normal 19 3 2 2 3 3" xfId="24375" xr:uid="{00000000-0005-0000-0000-0000054A0000}"/>
    <cellStyle name="Normal 19 3 2 2 4" xfId="11798" xr:uid="{00000000-0005-0000-0000-0000064A0000}"/>
    <cellStyle name="Normal 19 3 2 2 5" xfId="21124" xr:uid="{00000000-0005-0000-0000-0000074A0000}"/>
    <cellStyle name="Normal 19 3 2 3" xfId="4018" xr:uid="{00000000-0005-0000-0000-0000084A0000}"/>
    <cellStyle name="Normal 19 3 2 3 2" xfId="8695" xr:uid="{00000000-0005-0000-0000-0000094A0000}"/>
    <cellStyle name="Normal 19 3 2 3 2 2" xfId="18019" xr:uid="{00000000-0005-0000-0000-00000A4A0000}"/>
    <cellStyle name="Normal 19 3 2 3 2 3" xfId="27342" xr:uid="{00000000-0005-0000-0000-00000B4A0000}"/>
    <cellStyle name="Normal 19 3 2 3 3" xfId="13352" xr:uid="{00000000-0005-0000-0000-00000C4A0000}"/>
    <cellStyle name="Normal 19 3 2 3 4" xfId="22676" xr:uid="{00000000-0005-0000-0000-00000D4A0000}"/>
    <cellStyle name="Normal 19 3 2 4" xfId="5727" xr:uid="{00000000-0005-0000-0000-00000E4A0000}"/>
    <cellStyle name="Normal 19 3 2 4 2" xfId="15051" xr:uid="{00000000-0005-0000-0000-00000F4A0000}"/>
    <cellStyle name="Normal 19 3 2 4 3" xfId="24374" xr:uid="{00000000-0005-0000-0000-0000104A0000}"/>
    <cellStyle name="Normal 19 3 2 5" xfId="11797" xr:uid="{00000000-0005-0000-0000-0000114A0000}"/>
    <cellStyle name="Normal 19 3 2 6" xfId="21123" xr:uid="{00000000-0005-0000-0000-0000124A0000}"/>
    <cellStyle name="Normal 19 3 3" xfId="2295" xr:uid="{00000000-0005-0000-0000-0000134A0000}"/>
    <cellStyle name="Normal 19 3 3 2" xfId="4020" xr:uid="{00000000-0005-0000-0000-0000144A0000}"/>
    <cellStyle name="Normal 19 3 3 2 2" xfId="8697" xr:uid="{00000000-0005-0000-0000-0000154A0000}"/>
    <cellStyle name="Normal 19 3 3 2 2 2" xfId="18021" xr:uid="{00000000-0005-0000-0000-0000164A0000}"/>
    <cellStyle name="Normal 19 3 3 2 2 3" xfId="27344" xr:uid="{00000000-0005-0000-0000-0000174A0000}"/>
    <cellStyle name="Normal 19 3 3 2 3" xfId="13354" xr:uid="{00000000-0005-0000-0000-0000184A0000}"/>
    <cellStyle name="Normal 19 3 3 2 4" xfId="22678" xr:uid="{00000000-0005-0000-0000-0000194A0000}"/>
    <cellStyle name="Normal 19 3 3 3" xfId="5729" xr:uid="{00000000-0005-0000-0000-00001A4A0000}"/>
    <cellStyle name="Normal 19 3 3 3 2" xfId="15053" xr:uid="{00000000-0005-0000-0000-00001B4A0000}"/>
    <cellStyle name="Normal 19 3 3 3 3" xfId="24376" xr:uid="{00000000-0005-0000-0000-00001C4A0000}"/>
    <cellStyle name="Normal 19 3 3 4" xfId="11799" xr:uid="{00000000-0005-0000-0000-00001D4A0000}"/>
    <cellStyle name="Normal 19 3 3 5" xfId="21125" xr:uid="{00000000-0005-0000-0000-00001E4A0000}"/>
    <cellStyle name="Normal 19 3 4" xfId="2292" xr:uid="{00000000-0005-0000-0000-00001F4A0000}"/>
    <cellStyle name="Normal 19 3 4 2" xfId="4017" xr:uid="{00000000-0005-0000-0000-0000204A0000}"/>
    <cellStyle name="Normal 19 3 4 2 2" xfId="8694" xr:uid="{00000000-0005-0000-0000-0000214A0000}"/>
    <cellStyle name="Normal 19 3 4 2 2 2" xfId="18018" xr:uid="{00000000-0005-0000-0000-0000224A0000}"/>
    <cellStyle name="Normal 19 3 4 2 2 3" xfId="27341" xr:uid="{00000000-0005-0000-0000-0000234A0000}"/>
    <cellStyle name="Normal 19 3 4 2 3" xfId="13351" xr:uid="{00000000-0005-0000-0000-0000244A0000}"/>
    <cellStyle name="Normal 19 3 4 2 4" xfId="22675" xr:uid="{00000000-0005-0000-0000-0000254A0000}"/>
    <cellStyle name="Normal 19 3 4 3" xfId="5726" xr:uid="{00000000-0005-0000-0000-0000264A0000}"/>
    <cellStyle name="Normal 19 3 4 3 2" xfId="15050" xr:uid="{00000000-0005-0000-0000-0000274A0000}"/>
    <cellStyle name="Normal 19 3 4 3 3" xfId="24373" xr:uid="{00000000-0005-0000-0000-0000284A0000}"/>
    <cellStyle name="Normal 19 3 4 4" xfId="11796" xr:uid="{00000000-0005-0000-0000-0000294A0000}"/>
    <cellStyle name="Normal 19 3 4 5" xfId="21122" xr:uid="{00000000-0005-0000-0000-00002A4A0000}"/>
    <cellStyle name="Normal 19 3 5" xfId="3093" xr:uid="{00000000-0005-0000-0000-00002B4A0000}"/>
    <cellStyle name="Normal 19 3 5 2" xfId="7772" xr:uid="{00000000-0005-0000-0000-00002C4A0000}"/>
    <cellStyle name="Normal 19 3 5 2 2" xfId="17096" xr:uid="{00000000-0005-0000-0000-00002D4A0000}"/>
    <cellStyle name="Normal 19 3 5 2 3" xfId="26419" xr:uid="{00000000-0005-0000-0000-00002E4A0000}"/>
    <cellStyle name="Normal 19 3 5 3" xfId="12480" xr:uid="{00000000-0005-0000-0000-00002F4A0000}"/>
    <cellStyle name="Normal 19 3 5 4" xfId="21806" xr:uid="{00000000-0005-0000-0000-0000304A0000}"/>
    <cellStyle name="Normal 19 3 6" xfId="4746" xr:uid="{00000000-0005-0000-0000-0000314A0000}"/>
    <cellStyle name="Normal 19 3 6 2" xfId="14070" xr:uid="{00000000-0005-0000-0000-0000324A0000}"/>
    <cellStyle name="Normal 19 3 6 3" xfId="23393" xr:uid="{00000000-0005-0000-0000-0000334A0000}"/>
    <cellStyle name="Normal 19 3 7" xfId="10874" xr:uid="{00000000-0005-0000-0000-0000344A0000}"/>
    <cellStyle name="Normal 19 3 8" xfId="20198" xr:uid="{00000000-0005-0000-0000-0000354A0000}"/>
    <cellStyle name="Normal 19 3 9" xfId="28799" xr:uid="{00000000-0005-0000-0000-0000364A0000}"/>
    <cellStyle name="Normal 19 4" xfId="2296" xr:uid="{00000000-0005-0000-0000-0000374A0000}"/>
    <cellStyle name="Normal 19 4 2" xfId="2297" xr:uid="{00000000-0005-0000-0000-0000384A0000}"/>
    <cellStyle name="Normal 19 4 2 2" xfId="2298" xr:uid="{00000000-0005-0000-0000-0000394A0000}"/>
    <cellStyle name="Normal 19 4 2 2 2" xfId="4023" xr:uid="{00000000-0005-0000-0000-00003A4A0000}"/>
    <cellStyle name="Normal 19 4 2 2 2 2" xfId="8700" xr:uid="{00000000-0005-0000-0000-00003B4A0000}"/>
    <cellStyle name="Normal 19 4 2 2 2 2 2" xfId="18024" xr:uid="{00000000-0005-0000-0000-00003C4A0000}"/>
    <cellStyle name="Normal 19 4 2 2 2 2 3" xfId="27347" xr:uid="{00000000-0005-0000-0000-00003D4A0000}"/>
    <cellStyle name="Normal 19 4 2 2 2 3" xfId="13357" xr:uid="{00000000-0005-0000-0000-00003E4A0000}"/>
    <cellStyle name="Normal 19 4 2 2 2 4" xfId="22681" xr:uid="{00000000-0005-0000-0000-00003F4A0000}"/>
    <cellStyle name="Normal 19 4 2 2 3" xfId="5732" xr:uid="{00000000-0005-0000-0000-0000404A0000}"/>
    <cellStyle name="Normal 19 4 2 2 3 2" xfId="15056" xr:uid="{00000000-0005-0000-0000-0000414A0000}"/>
    <cellStyle name="Normal 19 4 2 2 3 3" xfId="24379" xr:uid="{00000000-0005-0000-0000-0000424A0000}"/>
    <cellStyle name="Normal 19 4 2 2 4" xfId="11802" xr:uid="{00000000-0005-0000-0000-0000434A0000}"/>
    <cellStyle name="Normal 19 4 2 2 5" xfId="21128" xr:uid="{00000000-0005-0000-0000-0000444A0000}"/>
    <cellStyle name="Normal 19 4 2 3" xfId="4022" xr:uid="{00000000-0005-0000-0000-0000454A0000}"/>
    <cellStyle name="Normal 19 4 2 3 2" xfId="8699" xr:uid="{00000000-0005-0000-0000-0000464A0000}"/>
    <cellStyle name="Normal 19 4 2 3 2 2" xfId="18023" xr:uid="{00000000-0005-0000-0000-0000474A0000}"/>
    <cellStyle name="Normal 19 4 2 3 2 3" xfId="27346" xr:uid="{00000000-0005-0000-0000-0000484A0000}"/>
    <cellStyle name="Normal 19 4 2 3 3" xfId="13356" xr:uid="{00000000-0005-0000-0000-0000494A0000}"/>
    <cellStyle name="Normal 19 4 2 3 4" xfId="22680" xr:uid="{00000000-0005-0000-0000-00004A4A0000}"/>
    <cellStyle name="Normal 19 4 2 4" xfId="5731" xr:uid="{00000000-0005-0000-0000-00004B4A0000}"/>
    <cellStyle name="Normal 19 4 2 4 2" xfId="15055" xr:uid="{00000000-0005-0000-0000-00004C4A0000}"/>
    <cellStyle name="Normal 19 4 2 4 3" xfId="24378" xr:uid="{00000000-0005-0000-0000-00004D4A0000}"/>
    <cellStyle name="Normal 19 4 2 5" xfId="11801" xr:uid="{00000000-0005-0000-0000-00004E4A0000}"/>
    <cellStyle name="Normal 19 4 2 6" xfId="21127" xr:uid="{00000000-0005-0000-0000-00004F4A0000}"/>
    <cellStyle name="Normal 19 4 3" xfId="2299" xr:uid="{00000000-0005-0000-0000-0000504A0000}"/>
    <cellStyle name="Normal 19 4 3 2" xfId="4024" xr:uid="{00000000-0005-0000-0000-0000514A0000}"/>
    <cellStyle name="Normal 19 4 3 2 2" xfId="8701" xr:uid="{00000000-0005-0000-0000-0000524A0000}"/>
    <cellStyle name="Normal 19 4 3 2 2 2" xfId="18025" xr:uid="{00000000-0005-0000-0000-0000534A0000}"/>
    <cellStyle name="Normal 19 4 3 2 2 3" xfId="27348" xr:uid="{00000000-0005-0000-0000-0000544A0000}"/>
    <cellStyle name="Normal 19 4 3 2 3" xfId="13358" xr:uid="{00000000-0005-0000-0000-0000554A0000}"/>
    <cellStyle name="Normal 19 4 3 2 4" xfId="22682" xr:uid="{00000000-0005-0000-0000-0000564A0000}"/>
    <cellStyle name="Normal 19 4 3 3" xfId="5733" xr:uid="{00000000-0005-0000-0000-0000574A0000}"/>
    <cellStyle name="Normal 19 4 3 3 2" xfId="15057" xr:uid="{00000000-0005-0000-0000-0000584A0000}"/>
    <cellStyle name="Normal 19 4 3 3 3" xfId="24380" xr:uid="{00000000-0005-0000-0000-0000594A0000}"/>
    <cellStyle name="Normal 19 4 3 4" xfId="11803" xr:uid="{00000000-0005-0000-0000-00005A4A0000}"/>
    <cellStyle name="Normal 19 4 3 5" xfId="21129" xr:uid="{00000000-0005-0000-0000-00005B4A0000}"/>
    <cellStyle name="Normal 19 4 4" xfId="4021" xr:uid="{00000000-0005-0000-0000-00005C4A0000}"/>
    <cellStyle name="Normal 19 4 4 2" xfId="8698" xr:uid="{00000000-0005-0000-0000-00005D4A0000}"/>
    <cellStyle name="Normal 19 4 4 2 2" xfId="18022" xr:uid="{00000000-0005-0000-0000-00005E4A0000}"/>
    <cellStyle name="Normal 19 4 4 2 3" xfId="27345" xr:uid="{00000000-0005-0000-0000-00005F4A0000}"/>
    <cellStyle name="Normal 19 4 4 3" xfId="13355" xr:uid="{00000000-0005-0000-0000-0000604A0000}"/>
    <cellStyle name="Normal 19 4 4 4" xfId="22679" xr:uid="{00000000-0005-0000-0000-0000614A0000}"/>
    <cellStyle name="Normal 19 4 5" xfId="5730" xr:uid="{00000000-0005-0000-0000-0000624A0000}"/>
    <cellStyle name="Normal 19 4 5 2" xfId="15054" xr:uid="{00000000-0005-0000-0000-0000634A0000}"/>
    <cellStyle name="Normal 19 4 5 3" xfId="24377" xr:uid="{00000000-0005-0000-0000-0000644A0000}"/>
    <cellStyle name="Normal 19 4 6" xfId="11800" xr:uid="{00000000-0005-0000-0000-0000654A0000}"/>
    <cellStyle name="Normal 19 4 7" xfId="21126" xr:uid="{00000000-0005-0000-0000-0000664A0000}"/>
    <cellStyle name="Normal 19 5" xfId="2300" xr:uid="{00000000-0005-0000-0000-0000674A0000}"/>
    <cellStyle name="Normal 19 5 2" xfId="2301" xr:uid="{00000000-0005-0000-0000-0000684A0000}"/>
    <cellStyle name="Normal 19 5 2 2" xfId="2302" xr:uid="{00000000-0005-0000-0000-0000694A0000}"/>
    <cellStyle name="Normal 19 5 2 2 2" xfId="4027" xr:uid="{00000000-0005-0000-0000-00006A4A0000}"/>
    <cellStyle name="Normal 19 5 2 2 2 2" xfId="8704" xr:uid="{00000000-0005-0000-0000-00006B4A0000}"/>
    <cellStyle name="Normal 19 5 2 2 2 2 2" xfId="18028" xr:uid="{00000000-0005-0000-0000-00006C4A0000}"/>
    <cellStyle name="Normal 19 5 2 2 2 2 3" xfId="27351" xr:uid="{00000000-0005-0000-0000-00006D4A0000}"/>
    <cellStyle name="Normal 19 5 2 2 2 3" xfId="13361" xr:uid="{00000000-0005-0000-0000-00006E4A0000}"/>
    <cellStyle name="Normal 19 5 2 2 2 4" xfId="22685" xr:uid="{00000000-0005-0000-0000-00006F4A0000}"/>
    <cellStyle name="Normal 19 5 2 2 3" xfId="5736" xr:uid="{00000000-0005-0000-0000-0000704A0000}"/>
    <cellStyle name="Normal 19 5 2 2 3 2" xfId="15060" xr:uid="{00000000-0005-0000-0000-0000714A0000}"/>
    <cellStyle name="Normal 19 5 2 2 3 3" xfId="24383" xr:uid="{00000000-0005-0000-0000-0000724A0000}"/>
    <cellStyle name="Normal 19 5 2 2 4" xfId="11806" xr:uid="{00000000-0005-0000-0000-0000734A0000}"/>
    <cellStyle name="Normal 19 5 2 2 5" xfId="21132" xr:uid="{00000000-0005-0000-0000-0000744A0000}"/>
    <cellStyle name="Normal 19 5 2 3" xfId="4026" xr:uid="{00000000-0005-0000-0000-0000754A0000}"/>
    <cellStyle name="Normal 19 5 2 3 2" xfId="8703" xr:uid="{00000000-0005-0000-0000-0000764A0000}"/>
    <cellStyle name="Normal 19 5 2 3 2 2" xfId="18027" xr:uid="{00000000-0005-0000-0000-0000774A0000}"/>
    <cellStyle name="Normal 19 5 2 3 2 3" xfId="27350" xr:uid="{00000000-0005-0000-0000-0000784A0000}"/>
    <cellStyle name="Normal 19 5 2 3 3" xfId="13360" xr:uid="{00000000-0005-0000-0000-0000794A0000}"/>
    <cellStyle name="Normal 19 5 2 3 4" xfId="22684" xr:uid="{00000000-0005-0000-0000-00007A4A0000}"/>
    <cellStyle name="Normal 19 5 2 4" xfId="5735" xr:uid="{00000000-0005-0000-0000-00007B4A0000}"/>
    <cellStyle name="Normal 19 5 2 4 2" xfId="15059" xr:uid="{00000000-0005-0000-0000-00007C4A0000}"/>
    <cellStyle name="Normal 19 5 2 4 3" xfId="24382" xr:uid="{00000000-0005-0000-0000-00007D4A0000}"/>
    <cellStyle name="Normal 19 5 2 5" xfId="11805" xr:uid="{00000000-0005-0000-0000-00007E4A0000}"/>
    <cellStyle name="Normal 19 5 2 6" xfId="21131" xr:uid="{00000000-0005-0000-0000-00007F4A0000}"/>
    <cellStyle name="Normal 19 5 3" xfId="2303" xr:uid="{00000000-0005-0000-0000-0000804A0000}"/>
    <cellStyle name="Normal 19 5 3 2" xfId="4028" xr:uid="{00000000-0005-0000-0000-0000814A0000}"/>
    <cellStyle name="Normal 19 5 3 2 2" xfId="8705" xr:uid="{00000000-0005-0000-0000-0000824A0000}"/>
    <cellStyle name="Normal 19 5 3 2 2 2" xfId="18029" xr:uid="{00000000-0005-0000-0000-0000834A0000}"/>
    <cellStyle name="Normal 19 5 3 2 2 3" xfId="27352" xr:uid="{00000000-0005-0000-0000-0000844A0000}"/>
    <cellStyle name="Normal 19 5 3 2 3" xfId="13362" xr:uid="{00000000-0005-0000-0000-0000854A0000}"/>
    <cellStyle name="Normal 19 5 3 2 4" xfId="22686" xr:uid="{00000000-0005-0000-0000-0000864A0000}"/>
    <cellStyle name="Normal 19 5 3 3" xfId="5737" xr:uid="{00000000-0005-0000-0000-0000874A0000}"/>
    <cellStyle name="Normal 19 5 3 3 2" xfId="15061" xr:uid="{00000000-0005-0000-0000-0000884A0000}"/>
    <cellStyle name="Normal 19 5 3 3 3" xfId="24384" xr:uid="{00000000-0005-0000-0000-0000894A0000}"/>
    <cellStyle name="Normal 19 5 3 4" xfId="11807" xr:uid="{00000000-0005-0000-0000-00008A4A0000}"/>
    <cellStyle name="Normal 19 5 3 5" xfId="21133" xr:uid="{00000000-0005-0000-0000-00008B4A0000}"/>
    <cellStyle name="Normal 19 5 4" xfId="4025" xr:uid="{00000000-0005-0000-0000-00008C4A0000}"/>
    <cellStyle name="Normal 19 5 4 2" xfId="8702" xr:uid="{00000000-0005-0000-0000-00008D4A0000}"/>
    <cellStyle name="Normal 19 5 4 2 2" xfId="18026" xr:uid="{00000000-0005-0000-0000-00008E4A0000}"/>
    <cellStyle name="Normal 19 5 4 2 3" xfId="27349" xr:uid="{00000000-0005-0000-0000-00008F4A0000}"/>
    <cellStyle name="Normal 19 5 4 3" xfId="13359" xr:uid="{00000000-0005-0000-0000-0000904A0000}"/>
    <cellStyle name="Normal 19 5 4 4" xfId="22683" xr:uid="{00000000-0005-0000-0000-0000914A0000}"/>
    <cellStyle name="Normal 19 5 5" xfId="5734" xr:uid="{00000000-0005-0000-0000-0000924A0000}"/>
    <cellStyle name="Normal 19 5 5 2" xfId="15058" xr:uid="{00000000-0005-0000-0000-0000934A0000}"/>
    <cellStyle name="Normal 19 5 5 3" xfId="24381" xr:uid="{00000000-0005-0000-0000-0000944A0000}"/>
    <cellStyle name="Normal 19 5 6" xfId="11804" xr:uid="{00000000-0005-0000-0000-0000954A0000}"/>
    <cellStyle name="Normal 19 5 7" xfId="21130" xr:uid="{00000000-0005-0000-0000-0000964A0000}"/>
    <cellStyle name="Normal 19 6" xfId="2304" xr:uid="{00000000-0005-0000-0000-0000974A0000}"/>
    <cellStyle name="Normal 19 6 2" xfId="2305" xr:uid="{00000000-0005-0000-0000-0000984A0000}"/>
    <cellStyle name="Normal 19 6 2 2" xfId="4030" xr:uid="{00000000-0005-0000-0000-0000994A0000}"/>
    <cellStyle name="Normal 19 6 2 2 2" xfId="8707" xr:uid="{00000000-0005-0000-0000-00009A4A0000}"/>
    <cellStyle name="Normal 19 6 2 2 2 2" xfId="18031" xr:uid="{00000000-0005-0000-0000-00009B4A0000}"/>
    <cellStyle name="Normal 19 6 2 2 2 3" xfId="27354" xr:uid="{00000000-0005-0000-0000-00009C4A0000}"/>
    <cellStyle name="Normal 19 6 2 2 3" xfId="13364" xr:uid="{00000000-0005-0000-0000-00009D4A0000}"/>
    <cellStyle name="Normal 19 6 2 2 4" xfId="22688" xr:uid="{00000000-0005-0000-0000-00009E4A0000}"/>
    <cellStyle name="Normal 19 6 2 3" xfId="5739" xr:uid="{00000000-0005-0000-0000-00009F4A0000}"/>
    <cellStyle name="Normal 19 6 2 3 2" xfId="15063" xr:uid="{00000000-0005-0000-0000-0000A04A0000}"/>
    <cellStyle name="Normal 19 6 2 3 3" xfId="24386" xr:uid="{00000000-0005-0000-0000-0000A14A0000}"/>
    <cellStyle name="Normal 19 6 2 4" xfId="11809" xr:uid="{00000000-0005-0000-0000-0000A24A0000}"/>
    <cellStyle name="Normal 19 6 2 5" xfId="21135" xr:uid="{00000000-0005-0000-0000-0000A34A0000}"/>
    <cellStyle name="Normal 19 6 3" xfId="4029" xr:uid="{00000000-0005-0000-0000-0000A44A0000}"/>
    <cellStyle name="Normal 19 6 3 2" xfId="8706" xr:uid="{00000000-0005-0000-0000-0000A54A0000}"/>
    <cellStyle name="Normal 19 6 3 2 2" xfId="18030" xr:uid="{00000000-0005-0000-0000-0000A64A0000}"/>
    <cellStyle name="Normal 19 6 3 2 3" xfId="27353" xr:uid="{00000000-0005-0000-0000-0000A74A0000}"/>
    <cellStyle name="Normal 19 6 3 3" xfId="13363" xr:uid="{00000000-0005-0000-0000-0000A84A0000}"/>
    <cellStyle name="Normal 19 6 3 4" xfId="22687" xr:uid="{00000000-0005-0000-0000-0000A94A0000}"/>
    <cellStyle name="Normal 19 6 4" xfId="5738" xr:uid="{00000000-0005-0000-0000-0000AA4A0000}"/>
    <cellStyle name="Normal 19 6 4 2" xfId="15062" xr:uid="{00000000-0005-0000-0000-0000AB4A0000}"/>
    <cellStyle name="Normal 19 6 4 3" xfId="24385" xr:uid="{00000000-0005-0000-0000-0000AC4A0000}"/>
    <cellStyle name="Normal 19 6 5" xfId="11808" xr:uid="{00000000-0005-0000-0000-0000AD4A0000}"/>
    <cellStyle name="Normal 19 6 6" xfId="21134" xr:uid="{00000000-0005-0000-0000-0000AE4A0000}"/>
    <cellStyle name="Normal 19 7" xfId="2306" xr:uid="{00000000-0005-0000-0000-0000AF4A0000}"/>
    <cellStyle name="Normal 19 7 2" xfId="4031" xr:uid="{00000000-0005-0000-0000-0000B04A0000}"/>
    <cellStyle name="Normal 19 7 2 2" xfId="8708" xr:uid="{00000000-0005-0000-0000-0000B14A0000}"/>
    <cellStyle name="Normal 19 7 2 2 2" xfId="18032" xr:uid="{00000000-0005-0000-0000-0000B24A0000}"/>
    <cellStyle name="Normal 19 7 2 2 3" xfId="27355" xr:uid="{00000000-0005-0000-0000-0000B34A0000}"/>
    <cellStyle name="Normal 19 7 2 3" xfId="13365" xr:uid="{00000000-0005-0000-0000-0000B44A0000}"/>
    <cellStyle name="Normal 19 7 2 4" xfId="22689" xr:uid="{00000000-0005-0000-0000-0000B54A0000}"/>
    <cellStyle name="Normal 19 7 3" xfId="5740" xr:uid="{00000000-0005-0000-0000-0000B64A0000}"/>
    <cellStyle name="Normal 19 7 3 2" xfId="15064" xr:uid="{00000000-0005-0000-0000-0000B74A0000}"/>
    <cellStyle name="Normal 19 7 3 3" xfId="24387" xr:uid="{00000000-0005-0000-0000-0000B84A0000}"/>
    <cellStyle name="Normal 19 7 4" xfId="11810" xr:uid="{00000000-0005-0000-0000-0000B94A0000}"/>
    <cellStyle name="Normal 19 7 5" xfId="21136" xr:uid="{00000000-0005-0000-0000-0000BA4A0000}"/>
    <cellStyle name="Normal 19 8" xfId="2307" xr:uid="{00000000-0005-0000-0000-0000BB4A0000}"/>
    <cellStyle name="Normal 19 8 2" xfId="4032" xr:uid="{00000000-0005-0000-0000-0000BC4A0000}"/>
    <cellStyle name="Normal 19 8 2 2" xfId="8709" xr:uid="{00000000-0005-0000-0000-0000BD4A0000}"/>
    <cellStyle name="Normal 19 8 2 2 2" xfId="18033" xr:uid="{00000000-0005-0000-0000-0000BE4A0000}"/>
    <cellStyle name="Normal 19 8 2 2 3" xfId="27356" xr:uid="{00000000-0005-0000-0000-0000BF4A0000}"/>
    <cellStyle name="Normal 19 8 2 3" xfId="13366" xr:uid="{00000000-0005-0000-0000-0000C04A0000}"/>
    <cellStyle name="Normal 19 8 2 4" xfId="22690" xr:uid="{00000000-0005-0000-0000-0000C14A0000}"/>
    <cellStyle name="Normal 19 8 3" xfId="5741" xr:uid="{00000000-0005-0000-0000-0000C24A0000}"/>
    <cellStyle name="Normal 19 8 3 2" xfId="15065" xr:uid="{00000000-0005-0000-0000-0000C34A0000}"/>
    <cellStyle name="Normal 19 8 3 3" xfId="24388" xr:uid="{00000000-0005-0000-0000-0000C44A0000}"/>
    <cellStyle name="Normal 19 8 4" xfId="11811" xr:uid="{00000000-0005-0000-0000-0000C54A0000}"/>
    <cellStyle name="Normal 19 8 5" xfId="21137" xr:uid="{00000000-0005-0000-0000-0000C64A0000}"/>
    <cellStyle name="Normal 19 9" xfId="2308" xr:uid="{00000000-0005-0000-0000-0000C74A0000}"/>
    <cellStyle name="Normal 19 9 2" xfId="4033" xr:uid="{00000000-0005-0000-0000-0000C84A0000}"/>
    <cellStyle name="Normal 19 9 2 2" xfId="8710" xr:uid="{00000000-0005-0000-0000-0000C94A0000}"/>
    <cellStyle name="Normal 19 9 2 2 2" xfId="18034" xr:uid="{00000000-0005-0000-0000-0000CA4A0000}"/>
    <cellStyle name="Normal 19 9 2 2 3" xfId="27357" xr:uid="{00000000-0005-0000-0000-0000CB4A0000}"/>
    <cellStyle name="Normal 19 9 2 3" xfId="13367" xr:uid="{00000000-0005-0000-0000-0000CC4A0000}"/>
    <cellStyle name="Normal 19 9 2 4" xfId="22691" xr:uid="{00000000-0005-0000-0000-0000CD4A0000}"/>
    <cellStyle name="Normal 19 9 3" xfId="5742" xr:uid="{00000000-0005-0000-0000-0000CE4A0000}"/>
    <cellStyle name="Normal 19 9 3 2" xfId="15066" xr:uid="{00000000-0005-0000-0000-0000CF4A0000}"/>
    <cellStyle name="Normal 19 9 3 3" xfId="24389" xr:uid="{00000000-0005-0000-0000-0000D04A0000}"/>
    <cellStyle name="Normal 19 9 4" xfId="11812" xr:uid="{00000000-0005-0000-0000-0000D14A0000}"/>
    <cellStyle name="Normal 19 9 5" xfId="21138" xr:uid="{00000000-0005-0000-0000-0000D24A0000}"/>
    <cellStyle name="Normal 2" xfId="3" xr:uid="{00000000-0005-0000-0000-0000D34A0000}"/>
    <cellStyle name="Normal 2 10" xfId="115" xr:uid="{00000000-0005-0000-0000-0000D44A0000}"/>
    <cellStyle name="Normal 2 10 2" xfId="1350" xr:uid="{00000000-0005-0000-0000-0000D54A0000}"/>
    <cellStyle name="Normal 2 10 2 2" xfId="6657" xr:uid="{00000000-0005-0000-0000-0000D64A0000}"/>
    <cellStyle name="Normal 2 10 2 2 2" xfId="15981" xr:uid="{00000000-0005-0000-0000-0000D74A0000}"/>
    <cellStyle name="Normal 2 10 2 2 3" xfId="25304" xr:uid="{00000000-0005-0000-0000-0000D84A0000}"/>
    <cellStyle name="Normal 2 10 2 3" xfId="10919" xr:uid="{00000000-0005-0000-0000-0000D94A0000}"/>
    <cellStyle name="Normal 2 10 2 4" xfId="20243" xr:uid="{00000000-0005-0000-0000-0000DA4A0000}"/>
    <cellStyle name="Normal 2 10 3" xfId="3138" xr:uid="{00000000-0005-0000-0000-0000DB4A0000}"/>
    <cellStyle name="Normal 2 10 3 2" xfId="7817" xr:uid="{00000000-0005-0000-0000-0000DC4A0000}"/>
    <cellStyle name="Normal 2 10 3 2 2" xfId="17141" xr:uid="{00000000-0005-0000-0000-0000DD4A0000}"/>
    <cellStyle name="Normal 2 10 3 2 3" xfId="26464" xr:uid="{00000000-0005-0000-0000-0000DE4A0000}"/>
    <cellStyle name="Normal 2 10 3 3" xfId="12524" xr:uid="{00000000-0005-0000-0000-0000DF4A0000}"/>
    <cellStyle name="Normal 2 10 3 4" xfId="21850" xr:uid="{00000000-0005-0000-0000-0000E04A0000}"/>
    <cellStyle name="Normal 2 10 4" xfId="4803" xr:uid="{00000000-0005-0000-0000-0000E14A0000}"/>
    <cellStyle name="Normal 2 10 4 2" xfId="14127" xr:uid="{00000000-0005-0000-0000-0000E24A0000}"/>
    <cellStyle name="Normal 2 10 4 3" xfId="23450" xr:uid="{00000000-0005-0000-0000-0000E34A0000}"/>
    <cellStyle name="Normal 2 11" xfId="16" xr:uid="{00000000-0005-0000-0000-0000E44A0000}"/>
    <cellStyle name="Normal 2 11 10" xfId="9731" xr:uid="{00000000-0005-0000-0000-0000E54A0000}"/>
    <cellStyle name="Normal 2 11 11" xfId="19055" xr:uid="{00000000-0005-0000-0000-0000E64A0000}"/>
    <cellStyle name="Normal 2 11 2" xfId="116" xr:uid="{00000000-0005-0000-0000-0000E74A0000}"/>
    <cellStyle name="Normal 2 11 2 2" xfId="220" xr:uid="{00000000-0005-0000-0000-0000E84A0000}"/>
    <cellStyle name="Normal 2 11 2 2 2" xfId="360" xr:uid="{00000000-0005-0000-0000-0000E94A0000}"/>
    <cellStyle name="Normal 2 11 2 2 2 2" xfId="600" xr:uid="{00000000-0005-0000-0000-0000EA4A0000}"/>
    <cellStyle name="Normal 2 11 2 2 2 2 2" xfId="1088" xr:uid="{00000000-0005-0000-0000-0000EB4A0000}"/>
    <cellStyle name="Normal 2 11 2 2 2 2 2 2" xfId="6735" xr:uid="{00000000-0005-0000-0000-0000EC4A0000}"/>
    <cellStyle name="Normal 2 11 2 2 2 2 2 2 2" xfId="16059" xr:uid="{00000000-0005-0000-0000-0000ED4A0000}"/>
    <cellStyle name="Normal 2 11 2 2 2 2 2 2 3" xfId="25382" xr:uid="{00000000-0005-0000-0000-0000EE4A0000}"/>
    <cellStyle name="Normal 2 11 2 2 2 2 2 3" xfId="10689" xr:uid="{00000000-0005-0000-0000-0000EF4A0000}"/>
    <cellStyle name="Normal 2 11 2 2 2 2 2 4" xfId="20013" xr:uid="{00000000-0005-0000-0000-0000F04A0000}"/>
    <cellStyle name="Normal 2 11 2 2 2 2 3" xfId="7055" xr:uid="{00000000-0005-0000-0000-0000F14A0000}"/>
    <cellStyle name="Normal 2 11 2 2 2 2 3 2" xfId="16379" xr:uid="{00000000-0005-0000-0000-0000F24A0000}"/>
    <cellStyle name="Normal 2 11 2 2 2 2 3 3" xfId="25702" xr:uid="{00000000-0005-0000-0000-0000F34A0000}"/>
    <cellStyle name="Normal 2 11 2 2 2 2 4" xfId="9711" xr:uid="{00000000-0005-0000-0000-0000F44A0000}"/>
    <cellStyle name="Normal 2 11 2 2 2 2 4 2" xfId="19035" xr:uid="{00000000-0005-0000-0000-0000F54A0000}"/>
    <cellStyle name="Normal 2 11 2 2 2 2 4 3" xfId="28358" xr:uid="{00000000-0005-0000-0000-0000F64A0000}"/>
    <cellStyle name="Normal 2 11 2 2 2 2 5" xfId="10205" xr:uid="{00000000-0005-0000-0000-0000F74A0000}"/>
    <cellStyle name="Normal 2 11 2 2 2 2 6" xfId="19529" xr:uid="{00000000-0005-0000-0000-0000F84A0000}"/>
    <cellStyle name="Normal 2 11 2 2 2 3" xfId="848" xr:uid="{00000000-0005-0000-0000-0000F94A0000}"/>
    <cellStyle name="Normal 2 11 2 2 2 3 2" xfId="7347" xr:uid="{00000000-0005-0000-0000-0000FA4A0000}"/>
    <cellStyle name="Normal 2 11 2 2 2 3 2 2" xfId="16671" xr:uid="{00000000-0005-0000-0000-0000FB4A0000}"/>
    <cellStyle name="Normal 2 11 2 2 2 3 2 3" xfId="25994" xr:uid="{00000000-0005-0000-0000-0000FC4A0000}"/>
    <cellStyle name="Normal 2 11 2 2 2 3 3" xfId="10449" xr:uid="{00000000-0005-0000-0000-0000FD4A0000}"/>
    <cellStyle name="Normal 2 11 2 2 2 3 4" xfId="19773" xr:uid="{00000000-0005-0000-0000-0000FE4A0000}"/>
    <cellStyle name="Normal 2 11 2 2 2 4" xfId="7193" xr:uid="{00000000-0005-0000-0000-0000FF4A0000}"/>
    <cellStyle name="Normal 2 11 2 2 2 4 2" xfId="16517" xr:uid="{00000000-0005-0000-0000-0000004B0000}"/>
    <cellStyle name="Normal 2 11 2 2 2 4 3" xfId="25840" xr:uid="{00000000-0005-0000-0000-0000014B0000}"/>
    <cellStyle name="Normal 2 11 2 2 2 5" xfId="9471" xr:uid="{00000000-0005-0000-0000-0000024B0000}"/>
    <cellStyle name="Normal 2 11 2 2 2 5 2" xfId="18795" xr:uid="{00000000-0005-0000-0000-0000034B0000}"/>
    <cellStyle name="Normal 2 11 2 2 2 5 3" xfId="28118" xr:uid="{00000000-0005-0000-0000-0000044B0000}"/>
    <cellStyle name="Normal 2 11 2 2 2 6" xfId="9965" xr:uid="{00000000-0005-0000-0000-0000054B0000}"/>
    <cellStyle name="Normal 2 11 2 2 2 7" xfId="19289" xr:uid="{00000000-0005-0000-0000-0000064B0000}"/>
    <cellStyle name="Normal 2 11 2 2 3" xfId="478" xr:uid="{00000000-0005-0000-0000-0000074B0000}"/>
    <cellStyle name="Normal 2 11 2 2 3 2" xfId="966" xr:uid="{00000000-0005-0000-0000-0000084B0000}"/>
    <cellStyle name="Normal 2 11 2 2 3 2 2" xfId="6816" xr:uid="{00000000-0005-0000-0000-0000094B0000}"/>
    <cellStyle name="Normal 2 11 2 2 3 2 2 2" xfId="16140" xr:uid="{00000000-0005-0000-0000-00000A4B0000}"/>
    <cellStyle name="Normal 2 11 2 2 3 2 2 3" xfId="25463" xr:uid="{00000000-0005-0000-0000-00000B4B0000}"/>
    <cellStyle name="Normal 2 11 2 2 3 2 3" xfId="10567" xr:uid="{00000000-0005-0000-0000-00000C4B0000}"/>
    <cellStyle name="Normal 2 11 2 2 3 2 4" xfId="19891" xr:uid="{00000000-0005-0000-0000-00000D4B0000}"/>
    <cellStyle name="Normal 2 11 2 2 3 3" xfId="7128" xr:uid="{00000000-0005-0000-0000-00000E4B0000}"/>
    <cellStyle name="Normal 2 11 2 2 3 3 2" xfId="16452" xr:uid="{00000000-0005-0000-0000-00000F4B0000}"/>
    <cellStyle name="Normal 2 11 2 2 3 3 3" xfId="25775" xr:uid="{00000000-0005-0000-0000-0000104B0000}"/>
    <cellStyle name="Normal 2 11 2 2 3 4" xfId="9589" xr:uid="{00000000-0005-0000-0000-0000114B0000}"/>
    <cellStyle name="Normal 2 11 2 2 3 4 2" xfId="18913" xr:uid="{00000000-0005-0000-0000-0000124B0000}"/>
    <cellStyle name="Normal 2 11 2 2 3 4 3" xfId="28236" xr:uid="{00000000-0005-0000-0000-0000134B0000}"/>
    <cellStyle name="Normal 2 11 2 2 3 5" xfId="10083" xr:uid="{00000000-0005-0000-0000-0000144B0000}"/>
    <cellStyle name="Normal 2 11 2 2 3 6" xfId="19407" xr:uid="{00000000-0005-0000-0000-0000154B0000}"/>
    <cellStyle name="Normal 2 11 2 2 4" xfId="726" xr:uid="{00000000-0005-0000-0000-0000164B0000}"/>
    <cellStyle name="Normal 2 11 2 2 4 2" xfId="6990" xr:uid="{00000000-0005-0000-0000-0000174B0000}"/>
    <cellStyle name="Normal 2 11 2 2 4 2 2" xfId="16314" xr:uid="{00000000-0005-0000-0000-0000184B0000}"/>
    <cellStyle name="Normal 2 11 2 2 4 2 3" xfId="25637" xr:uid="{00000000-0005-0000-0000-0000194B0000}"/>
    <cellStyle name="Normal 2 11 2 2 4 3" xfId="10327" xr:uid="{00000000-0005-0000-0000-00001A4B0000}"/>
    <cellStyle name="Normal 2 11 2 2 4 4" xfId="19651" xr:uid="{00000000-0005-0000-0000-00001B4B0000}"/>
    <cellStyle name="Normal 2 11 2 2 5" xfId="7258" xr:uid="{00000000-0005-0000-0000-00001C4B0000}"/>
    <cellStyle name="Normal 2 11 2 2 5 2" xfId="16582" xr:uid="{00000000-0005-0000-0000-00001D4B0000}"/>
    <cellStyle name="Normal 2 11 2 2 5 3" xfId="25905" xr:uid="{00000000-0005-0000-0000-00001E4B0000}"/>
    <cellStyle name="Normal 2 11 2 2 6" xfId="9348" xr:uid="{00000000-0005-0000-0000-00001F4B0000}"/>
    <cellStyle name="Normal 2 11 2 2 6 2" xfId="18672" xr:uid="{00000000-0005-0000-0000-0000204B0000}"/>
    <cellStyle name="Normal 2 11 2 2 6 3" xfId="27995" xr:uid="{00000000-0005-0000-0000-0000214B0000}"/>
    <cellStyle name="Normal 2 11 2 2 7" xfId="9842" xr:uid="{00000000-0005-0000-0000-0000224B0000}"/>
    <cellStyle name="Normal 2 11 2 2 8" xfId="19166" xr:uid="{00000000-0005-0000-0000-0000234B0000}"/>
    <cellStyle name="Normal 2 11 2 3" xfId="300" xr:uid="{00000000-0005-0000-0000-0000244B0000}"/>
    <cellStyle name="Normal 2 11 2 3 2" xfId="544" xr:uid="{00000000-0005-0000-0000-0000254B0000}"/>
    <cellStyle name="Normal 2 11 2 3 2 2" xfId="1032" xr:uid="{00000000-0005-0000-0000-0000264B0000}"/>
    <cellStyle name="Normal 2 11 2 3 2 2 2" xfId="6774" xr:uid="{00000000-0005-0000-0000-0000274B0000}"/>
    <cellStyle name="Normal 2 11 2 3 2 2 2 2" xfId="16098" xr:uid="{00000000-0005-0000-0000-0000284B0000}"/>
    <cellStyle name="Normal 2 11 2 3 2 2 2 3" xfId="25421" xr:uid="{00000000-0005-0000-0000-0000294B0000}"/>
    <cellStyle name="Normal 2 11 2 3 2 2 3" xfId="10633" xr:uid="{00000000-0005-0000-0000-00002A4B0000}"/>
    <cellStyle name="Normal 2 11 2 3 2 2 4" xfId="19957" xr:uid="{00000000-0005-0000-0000-00002B4B0000}"/>
    <cellStyle name="Normal 2 11 2 3 2 3" xfId="7094" xr:uid="{00000000-0005-0000-0000-00002C4B0000}"/>
    <cellStyle name="Normal 2 11 2 3 2 3 2" xfId="16418" xr:uid="{00000000-0005-0000-0000-00002D4B0000}"/>
    <cellStyle name="Normal 2 11 2 3 2 3 3" xfId="25741" xr:uid="{00000000-0005-0000-0000-00002E4B0000}"/>
    <cellStyle name="Normal 2 11 2 3 2 4" xfId="9655" xr:uid="{00000000-0005-0000-0000-00002F4B0000}"/>
    <cellStyle name="Normal 2 11 2 3 2 4 2" xfId="18979" xr:uid="{00000000-0005-0000-0000-0000304B0000}"/>
    <cellStyle name="Normal 2 11 2 3 2 4 3" xfId="28302" xr:uid="{00000000-0005-0000-0000-0000314B0000}"/>
    <cellStyle name="Normal 2 11 2 3 2 5" xfId="10149" xr:uid="{00000000-0005-0000-0000-0000324B0000}"/>
    <cellStyle name="Normal 2 11 2 3 2 6" xfId="19473" xr:uid="{00000000-0005-0000-0000-0000334B0000}"/>
    <cellStyle name="Normal 2 11 2 3 3" xfId="792" xr:uid="{00000000-0005-0000-0000-0000344B0000}"/>
    <cellStyle name="Normal 2 11 2 3 3 2" xfId="4686" xr:uid="{00000000-0005-0000-0000-0000354B0000}"/>
    <cellStyle name="Normal 2 11 2 3 3 2 2" xfId="14010" xr:uid="{00000000-0005-0000-0000-0000364B0000}"/>
    <cellStyle name="Normal 2 11 2 3 3 2 3" xfId="23333" xr:uid="{00000000-0005-0000-0000-0000374B0000}"/>
    <cellStyle name="Normal 2 11 2 3 3 3" xfId="10393" xr:uid="{00000000-0005-0000-0000-0000384B0000}"/>
    <cellStyle name="Normal 2 11 2 3 3 4" xfId="19717" xr:uid="{00000000-0005-0000-0000-0000394B0000}"/>
    <cellStyle name="Normal 2 11 2 3 4" xfId="7226" xr:uid="{00000000-0005-0000-0000-00003A4B0000}"/>
    <cellStyle name="Normal 2 11 2 3 4 2" xfId="16550" xr:uid="{00000000-0005-0000-0000-00003B4B0000}"/>
    <cellStyle name="Normal 2 11 2 3 4 3" xfId="25873" xr:uid="{00000000-0005-0000-0000-00003C4B0000}"/>
    <cellStyle name="Normal 2 11 2 3 5" xfId="9415" xr:uid="{00000000-0005-0000-0000-00003D4B0000}"/>
    <cellStyle name="Normal 2 11 2 3 5 2" xfId="18739" xr:uid="{00000000-0005-0000-0000-00003E4B0000}"/>
    <cellStyle name="Normal 2 11 2 3 5 3" xfId="28062" xr:uid="{00000000-0005-0000-0000-00003F4B0000}"/>
    <cellStyle name="Normal 2 11 2 3 6" xfId="9909" xr:uid="{00000000-0005-0000-0000-0000404B0000}"/>
    <cellStyle name="Normal 2 11 2 3 7" xfId="19233" xr:uid="{00000000-0005-0000-0000-0000414B0000}"/>
    <cellStyle name="Normal 2 11 2 4" xfId="419" xr:uid="{00000000-0005-0000-0000-0000424B0000}"/>
    <cellStyle name="Normal 2 11 2 4 2" xfId="907" xr:uid="{00000000-0005-0000-0000-0000434B0000}"/>
    <cellStyle name="Normal 2 11 2 4 2 2" xfId="6858" xr:uid="{00000000-0005-0000-0000-0000444B0000}"/>
    <cellStyle name="Normal 2 11 2 4 2 2 2" xfId="16182" xr:uid="{00000000-0005-0000-0000-0000454B0000}"/>
    <cellStyle name="Normal 2 11 2 4 2 2 3" xfId="25505" xr:uid="{00000000-0005-0000-0000-0000464B0000}"/>
    <cellStyle name="Normal 2 11 2 4 2 3" xfId="10508" xr:uid="{00000000-0005-0000-0000-0000474B0000}"/>
    <cellStyle name="Normal 2 11 2 4 2 4" xfId="19832" xr:uid="{00000000-0005-0000-0000-0000484B0000}"/>
    <cellStyle name="Normal 2 11 2 4 3" xfId="7164" xr:uid="{00000000-0005-0000-0000-0000494B0000}"/>
    <cellStyle name="Normal 2 11 2 4 3 2" xfId="16488" xr:uid="{00000000-0005-0000-0000-00004A4B0000}"/>
    <cellStyle name="Normal 2 11 2 4 3 3" xfId="25811" xr:uid="{00000000-0005-0000-0000-00004B4B0000}"/>
    <cellStyle name="Normal 2 11 2 4 4" xfId="9530" xr:uid="{00000000-0005-0000-0000-00004C4B0000}"/>
    <cellStyle name="Normal 2 11 2 4 4 2" xfId="18854" xr:uid="{00000000-0005-0000-0000-00004D4B0000}"/>
    <cellStyle name="Normal 2 11 2 4 4 3" xfId="28177" xr:uid="{00000000-0005-0000-0000-00004E4B0000}"/>
    <cellStyle name="Normal 2 11 2 4 5" xfId="10024" xr:uid="{00000000-0005-0000-0000-00004F4B0000}"/>
    <cellStyle name="Normal 2 11 2 4 6" xfId="19348" xr:uid="{00000000-0005-0000-0000-0000504B0000}"/>
    <cellStyle name="Normal 2 11 2 5" xfId="667" xr:uid="{00000000-0005-0000-0000-0000514B0000}"/>
    <cellStyle name="Normal 2 11 2 5 2" xfId="7035" xr:uid="{00000000-0005-0000-0000-0000524B0000}"/>
    <cellStyle name="Normal 2 11 2 5 2 2" xfId="16359" xr:uid="{00000000-0005-0000-0000-0000534B0000}"/>
    <cellStyle name="Normal 2 11 2 5 2 3" xfId="25682" xr:uid="{00000000-0005-0000-0000-0000544B0000}"/>
    <cellStyle name="Normal 2 11 2 5 3" xfId="10268" xr:uid="{00000000-0005-0000-0000-0000554B0000}"/>
    <cellStyle name="Normal 2 11 2 5 4" xfId="19592" xr:uid="{00000000-0005-0000-0000-0000564B0000}"/>
    <cellStyle name="Normal 2 11 2 6" xfId="7285" xr:uid="{00000000-0005-0000-0000-0000574B0000}"/>
    <cellStyle name="Normal 2 11 2 6 2" xfId="16609" xr:uid="{00000000-0005-0000-0000-0000584B0000}"/>
    <cellStyle name="Normal 2 11 2 6 3" xfId="25932" xr:uid="{00000000-0005-0000-0000-0000594B0000}"/>
    <cellStyle name="Normal 2 11 2 7" xfId="9289" xr:uid="{00000000-0005-0000-0000-00005A4B0000}"/>
    <cellStyle name="Normal 2 11 2 7 2" xfId="18613" xr:uid="{00000000-0005-0000-0000-00005B4B0000}"/>
    <cellStyle name="Normal 2 11 2 7 3" xfId="27936" xr:uid="{00000000-0005-0000-0000-00005C4B0000}"/>
    <cellStyle name="Normal 2 11 2 8" xfId="9783" xr:uid="{00000000-0005-0000-0000-00005D4B0000}"/>
    <cellStyle name="Normal 2 11 2 9" xfId="19107" xr:uid="{00000000-0005-0000-0000-00005E4B0000}"/>
    <cellStyle name="Normal 2 11 3" xfId="181" xr:uid="{00000000-0005-0000-0000-00005F4B0000}"/>
    <cellStyle name="Normal 2 11 3 2" xfId="321" xr:uid="{00000000-0005-0000-0000-0000604B0000}"/>
    <cellStyle name="Normal 2 11 3 2 2" xfId="561" xr:uid="{00000000-0005-0000-0000-0000614B0000}"/>
    <cellStyle name="Normal 2 11 3 2 2 2" xfId="1049" xr:uid="{00000000-0005-0000-0000-0000624B0000}"/>
    <cellStyle name="Normal 2 11 3 2 2 2 2" xfId="6762" xr:uid="{00000000-0005-0000-0000-0000634B0000}"/>
    <cellStyle name="Normal 2 11 3 2 2 2 2 2" xfId="16086" xr:uid="{00000000-0005-0000-0000-0000644B0000}"/>
    <cellStyle name="Normal 2 11 3 2 2 2 2 3" xfId="25409" xr:uid="{00000000-0005-0000-0000-0000654B0000}"/>
    <cellStyle name="Normal 2 11 3 2 2 2 3" xfId="10650" xr:uid="{00000000-0005-0000-0000-0000664B0000}"/>
    <cellStyle name="Normal 2 11 3 2 2 2 4" xfId="19974" xr:uid="{00000000-0005-0000-0000-0000674B0000}"/>
    <cellStyle name="Normal 2 11 3 2 2 3" xfId="7079" xr:uid="{00000000-0005-0000-0000-0000684B0000}"/>
    <cellStyle name="Normal 2 11 3 2 2 3 2" xfId="16403" xr:uid="{00000000-0005-0000-0000-0000694B0000}"/>
    <cellStyle name="Normal 2 11 3 2 2 3 3" xfId="25726" xr:uid="{00000000-0005-0000-0000-00006A4B0000}"/>
    <cellStyle name="Normal 2 11 3 2 2 4" xfId="9672" xr:uid="{00000000-0005-0000-0000-00006B4B0000}"/>
    <cellStyle name="Normal 2 11 3 2 2 4 2" xfId="18996" xr:uid="{00000000-0005-0000-0000-00006C4B0000}"/>
    <cellStyle name="Normal 2 11 3 2 2 4 3" xfId="28319" xr:uid="{00000000-0005-0000-0000-00006D4B0000}"/>
    <cellStyle name="Normal 2 11 3 2 2 5" xfId="10166" xr:uid="{00000000-0005-0000-0000-00006E4B0000}"/>
    <cellStyle name="Normal 2 11 3 2 2 6" xfId="19490" xr:uid="{00000000-0005-0000-0000-00006F4B0000}"/>
    <cellStyle name="Normal 2 11 3 2 3" xfId="809" xr:uid="{00000000-0005-0000-0000-0000704B0000}"/>
    <cellStyle name="Normal 2 11 3 2 3 2" xfId="6936" xr:uid="{00000000-0005-0000-0000-0000714B0000}"/>
    <cellStyle name="Normal 2 11 3 2 3 2 2" xfId="16260" xr:uid="{00000000-0005-0000-0000-0000724B0000}"/>
    <cellStyle name="Normal 2 11 3 2 3 2 3" xfId="25583" xr:uid="{00000000-0005-0000-0000-0000734B0000}"/>
    <cellStyle name="Normal 2 11 3 2 3 3" xfId="10410" xr:uid="{00000000-0005-0000-0000-0000744B0000}"/>
    <cellStyle name="Normal 2 11 3 2 3 4" xfId="19734" xr:uid="{00000000-0005-0000-0000-0000754B0000}"/>
    <cellStyle name="Normal 2 11 3 2 4" xfId="7211" xr:uid="{00000000-0005-0000-0000-0000764B0000}"/>
    <cellStyle name="Normal 2 11 3 2 4 2" xfId="16535" xr:uid="{00000000-0005-0000-0000-0000774B0000}"/>
    <cellStyle name="Normal 2 11 3 2 4 3" xfId="25858" xr:uid="{00000000-0005-0000-0000-0000784B0000}"/>
    <cellStyle name="Normal 2 11 3 2 5" xfId="9432" xr:uid="{00000000-0005-0000-0000-0000794B0000}"/>
    <cellStyle name="Normal 2 11 3 2 5 2" xfId="18756" xr:uid="{00000000-0005-0000-0000-00007A4B0000}"/>
    <cellStyle name="Normal 2 11 3 2 5 3" xfId="28079" xr:uid="{00000000-0005-0000-0000-00007B4B0000}"/>
    <cellStyle name="Normal 2 11 3 2 6" xfId="9926" xr:uid="{00000000-0005-0000-0000-00007C4B0000}"/>
    <cellStyle name="Normal 2 11 3 2 7" xfId="19250" xr:uid="{00000000-0005-0000-0000-00007D4B0000}"/>
    <cellStyle name="Normal 2 11 3 3" xfId="439" xr:uid="{00000000-0005-0000-0000-00007E4B0000}"/>
    <cellStyle name="Normal 2 11 3 3 2" xfId="927" xr:uid="{00000000-0005-0000-0000-00007F4B0000}"/>
    <cellStyle name="Normal 2 11 3 3 2 2" xfId="6843" xr:uid="{00000000-0005-0000-0000-0000804B0000}"/>
    <cellStyle name="Normal 2 11 3 3 2 2 2" xfId="16167" xr:uid="{00000000-0005-0000-0000-0000814B0000}"/>
    <cellStyle name="Normal 2 11 3 3 2 2 3" xfId="25490" xr:uid="{00000000-0005-0000-0000-0000824B0000}"/>
    <cellStyle name="Normal 2 11 3 3 2 3" xfId="10528" xr:uid="{00000000-0005-0000-0000-0000834B0000}"/>
    <cellStyle name="Normal 2 11 3 3 2 4" xfId="19852" xr:uid="{00000000-0005-0000-0000-0000844B0000}"/>
    <cellStyle name="Normal 2 11 3 3 3" xfId="7148" xr:uid="{00000000-0005-0000-0000-0000854B0000}"/>
    <cellStyle name="Normal 2 11 3 3 3 2" xfId="16472" xr:uid="{00000000-0005-0000-0000-0000864B0000}"/>
    <cellStyle name="Normal 2 11 3 3 3 3" xfId="25795" xr:uid="{00000000-0005-0000-0000-0000874B0000}"/>
    <cellStyle name="Normal 2 11 3 3 4" xfId="9550" xr:uid="{00000000-0005-0000-0000-0000884B0000}"/>
    <cellStyle name="Normal 2 11 3 3 4 2" xfId="18874" xr:uid="{00000000-0005-0000-0000-0000894B0000}"/>
    <cellStyle name="Normal 2 11 3 3 4 3" xfId="28197" xr:uid="{00000000-0005-0000-0000-00008A4B0000}"/>
    <cellStyle name="Normal 2 11 3 3 5" xfId="10044" xr:uid="{00000000-0005-0000-0000-00008B4B0000}"/>
    <cellStyle name="Normal 2 11 3 3 6" xfId="19368" xr:uid="{00000000-0005-0000-0000-00008C4B0000}"/>
    <cellStyle name="Normal 2 11 3 4" xfId="687" xr:uid="{00000000-0005-0000-0000-00008D4B0000}"/>
    <cellStyle name="Normal 2 11 3 4 2" xfId="7023" xr:uid="{00000000-0005-0000-0000-00008E4B0000}"/>
    <cellStyle name="Normal 2 11 3 4 2 2" xfId="16347" xr:uid="{00000000-0005-0000-0000-00008F4B0000}"/>
    <cellStyle name="Normal 2 11 3 4 2 3" xfId="25670" xr:uid="{00000000-0005-0000-0000-0000904B0000}"/>
    <cellStyle name="Normal 2 11 3 4 3" xfId="10288" xr:uid="{00000000-0005-0000-0000-0000914B0000}"/>
    <cellStyle name="Normal 2 11 3 4 4" xfId="19612" xr:uid="{00000000-0005-0000-0000-0000924B0000}"/>
    <cellStyle name="Normal 2 11 3 5" xfId="7279" xr:uid="{00000000-0005-0000-0000-0000934B0000}"/>
    <cellStyle name="Normal 2 11 3 5 2" xfId="16603" xr:uid="{00000000-0005-0000-0000-0000944B0000}"/>
    <cellStyle name="Normal 2 11 3 5 3" xfId="25926" xr:uid="{00000000-0005-0000-0000-0000954B0000}"/>
    <cellStyle name="Normal 2 11 3 6" xfId="9309" xr:uid="{00000000-0005-0000-0000-0000964B0000}"/>
    <cellStyle name="Normal 2 11 3 6 2" xfId="18633" xr:uid="{00000000-0005-0000-0000-0000974B0000}"/>
    <cellStyle name="Normal 2 11 3 6 3" xfId="27956" xr:uid="{00000000-0005-0000-0000-0000984B0000}"/>
    <cellStyle name="Normal 2 11 3 7" xfId="9803" xr:uid="{00000000-0005-0000-0000-0000994B0000}"/>
    <cellStyle name="Normal 2 11 3 8" xfId="19127" xr:uid="{00000000-0005-0000-0000-00009A4B0000}"/>
    <cellStyle name="Normal 2 11 4" xfId="286" xr:uid="{00000000-0005-0000-0000-00009B4B0000}"/>
    <cellStyle name="Normal 2 11 4 2" xfId="533" xr:uid="{00000000-0005-0000-0000-00009C4B0000}"/>
    <cellStyle name="Normal 2 11 4 2 2" xfId="1021" xr:uid="{00000000-0005-0000-0000-00009D4B0000}"/>
    <cellStyle name="Normal 2 11 4 2 2 2" xfId="6284" xr:uid="{00000000-0005-0000-0000-00009E4B0000}"/>
    <cellStyle name="Normal 2 11 4 2 2 2 2" xfId="15608" xr:uid="{00000000-0005-0000-0000-00009F4B0000}"/>
    <cellStyle name="Normal 2 11 4 2 2 2 3" xfId="24931" xr:uid="{00000000-0005-0000-0000-0000A04B0000}"/>
    <cellStyle name="Normal 2 11 4 2 2 3" xfId="10622" xr:uid="{00000000-0005-0000-0000-0000A14B0000}"/>
    <cellStyle name="Normal 2 11 4 2 2 4" xfId="19946" xr:uid="{00000000-0005-0000-0000-0000A24B0000}"/>
    <cellStyle name="Normal 2 11 4 2 3" xfId="7103" xr:uid="{00000000-0005-0000-0000-0000A34B0000}"/>
    <cellStyle name="Normal 2 11 4 2 3 2" xfId="16427" xr:uid="{00000000-0005-0000-0000-0000A44B0000}"/>
    <cellStyle name="Normal 2 11 4 2 3 3" xfId="25750" xr:uid="{00000000-0005-0000-0000-0000A54B0000}"/>
    <cellStyle name="Normal 2 11 4 2 4" xfId="9644" xr:uid="{00000000-0005-0000-0000-0000A64B0000}"/>
    <cellStyle name="Normal 2 11 4 2 4 2" xfId="18968" xr:uid="{00000000-0005-0000-0000-0000A74B0000}"/>
    <cellStyle name="Normal 2 11 4 2 4 3" xfId="28291" xr:uid="{00000000-0005-0000-0000-0000A84B0000}"/>
    <cellStyle name="Normal 2 11 4 2 5" xfId="10138" xr:uid="{00000000-0005-0000-0000-0000A94B0000}"/>
    <cellStyle name="Normal 2 11 4 2 6" xfId="19462" xr:uid="{00000000-0005-0000-0000-0000AA4B0000}"/>
    <cellStyle name="Normal 2 11 4 3" xfId="781" xr:uid="{00000000-0005-0000-0000-0000AB4B0000}"/>
    <cellStyle name="Normal 2 11 4 3 2" xfId="6956" xr:uid="{00000000-0005-0000-0000-0000AC4B0000}"/>
    <cellStyle name="Normal 2 11 4 3 2 2" xfId="16280" xr:uid="{00000000-0005-0000-0000-0000AD4B0000}"/>
    <cellStyle name="Normal 2 11 4 3 2 3" xfId="25603" xr:uid="{00000000-0005-0000-0000-0000AE4B0000}"/>
    <cellStyle name="Normal 2 11 4 3 3" xfId="10382" xr:uid="{00000000-0005-0000-0000-0000AF4B0000}"/>
    <cellStyle name="Normal 2 11 4 3 4" xfId="19706" xr:uid="{00000000-0005-0000-0000-0000B04B0000}"/>
    <cellStyle name="Normal 2 11 4 4" xfId="7235" xr:uid="{00000000-0005-0000-0000-0000B14B0000}"/>
    <cellStyle name="Normal 2 11 4 4 2" xfId="16559" xr:uid="{00000000-0005-0000-0000-0000B24B0000}"/>
    <cellStyle name="Normal 2 11 4 4 3" xfId="25882" xr:uid="{00000000-0005-0000-0000-0000B34B0000}"/>
    <cellStyle name="Normal 2 11 4 5" xfId="9403" xr:uid="{00000000-0005-0000-0000-0000B44B0000}"/>
    <cellStyle name="Normal 2 11 4 5 2" xfId="18727" xr:uid="{00000000-0005-0000-0000-0000B54B0000}"/>
    <cellStyle name="Normal 2 11 4 5 3" xfId="28050" xr:uid="{00000000-0005-0000-0000-0000B64B0000}"/>
    <cellStyle name="Normal 2 11 4 6" xfId="9897" xr:uid="{00000000-0005-0000-0000-0000B74B0000}"/>
    <cellStyle name="Normal 2 11 4 7" xfId="19221" xr:uid="{00000000-0005-0000-0000-0000B84B0000}"/>
    <cellStyle name="Normal 2 11 5" xfId="380" xr:uid="{00000000-0005-0000-0000-0000B94B0000}"/>
    <cellStyle name="Normal 2 11 5 2" xfId="868" xr:uid="{00000000-0005-0000-0000-0000BA4B0000}"/>
    <cellStyle name="Normal 2 11 5 2 2" xfId="6895" xr:uid="{00000000-0005-0000-0000-0000BB4B0000}"/>
    <cellStyle name="Normal 2 11 5 2 2 2" xfId="16219" xr:uid="{00000000-0005-0000-0000-0000BC4B0000}"/>
    <cellStyle name="Normal 2 11 5 2 2 3" xfId="25542" xr:uid="{00000000-0005-0000-0000-0000BD4B0000}"/>
    <cellStyle name="Normal 2 11 5 2 3" xfId="10469" xr:uid="{00000000-0005-0000-0000-0000BE4B0000}"/>
    <cellStyle name="Normal 2 11 5 2 4" xfId="19793" xr:uid="{00000000-0005-0000-0000-0000BF4B0000}"/>
    <cellStyle name="Normal 2 11 5 3" xfId="7181" xr:uid="{00000000-0005-0000-0000-0000C04B0000}"/>
    <cellStyle name="Normal 2 11 5 3 2" xfId="16505" xr:uid="{00000000-0005-0000-0000-0000C14B0000}"/>
    <cellStyle name="Normal 2 11 5 3 3" xfId="25828" xr:uid="{00000000-0005-0000-0000-0000C24B0000}"/>
    <cellStyle name="Normal 2 11 5 4" xfId="9491" xr:uid="{00000000-0005-0000-0000-0000C34B0000}"/>
    <cellStyle name="Normal 2 11 5 4 2" xfId="18815" xr:uid="{00000000-0005-0000-0000-0000C44B0000}"/>
    <cellStyle name="Normal 2 11 5 4 3" xfId="28138" xr:uid="{00000000-0005-0000-0000-0000C54B0000}"/>
    <cellStyle name="Normal 2 11 5 5" xfId="9985" xr:uid="{00000000-0005-0000-0000-0000C64B0000}"/>
    <cellStyle name="Normal 2 11 5 6" xfId="19309" xr:uid="{00000000-0005-0000-0000-0000C74B0000}"/>
    <cellStyle name="Normal 2 11 6" xfId="640" xr:uid="{00000000-0005-0000-0000-0000C84B0000}"/>
    <cellStyle name="Normal 2 11 6 2" xfId="7039" xr:uid="{00000000-0005-0000-0000-0000C94B0000}"/>
    <cellStyle name="Normal 2 11 6 2 2" xfId="16363" xr:uid="{00000000-0005-0000-0000-0000CA4B0000}"/>
    <cellStyle name="Normal 2 11 6 2 3" xfId="25686" xr:uid="{00000000-0005-0000-0000-0000CB4B0000}"/>
    <cellStyle name="Normal 2 11 6 3" xfId="10241" xr:uid="{00000000-0005-0000-0000-0000CC4B0000}"/>
    <cellStyle name="Normal 2 11 6 4" xfId="19565" xr:uid="{00000000-0005-0000-0000-0000CD4B0000}"/>
    <cellStyle name="Normal 2 11 7" xfId="2887" xr:uid="{00000000-0005-0000-0000-0000CE4B0000}"/>
    <cellStyle name="Normal 2 11 8" xfId="7321" xr:uid="{00000000-0005-0000-0000-0000CF4B0000}"/>
    <cellStyle name="Normal 2 11 8 2" xfId="16645" xr:uid="{00000000-0005-0000-0000-0000D04B0000}"/>
    <cellStyle name="Normal 2 11 8 3" xfId="25968" xr:uid="{00000000-0005-0000-0000-0000D14B0000}"/>
    <cellStyle name="Normal 2 11 9" xfId="9237" xr:uid="{00000000-0005-0000-0000-0000D24B0000}"/>
    <cellStyle name="Normal 2 11 9 2" xfId="18561" xr:uid="{00000000-0005-0000-0000-0000D34B0000}"/>
    <cellStyle name="Normal 2 11 9 3" xfId="27884" xr:uid="{00000000-0005-0000-0000-0000D44B0000}"/>
    <cellStyle name="Normal 2 12" xfId="117" xr:uid="{00000000-0005-0000-0000-0000D54B0000}"/>
    <cellStyle name="Normal 2 12 2" xfId="221" xr:uid="{00000000-0005-0000-0000-0000D64B0000}"/>
    <cellStyle name="Normal 2 12 2 2" xfId="361" xr:uid="{00000000-0005-0000-0000-0000D74B0000}"/>
    <cellStyle name="Normal 2 12 2 2 2" xfId="601" xr:uid="{00000000-0005-0000-0000-0000D84B0000}"/>
    <cellStyle name="Normal 2 12 2 2 2 2" xfId="1089" xr:uid="{00000000-0005-0000-0000-0000D94B0000}"/>
    <cellStyle name="Normal 2 12 2 2 2 2 2" xfId="6734" xr:uid="{00000000-0005-0000-0000-0000DA4B0000}"/>
    <cellStyle name="Normal 2 12 2 2 2 2 2 2" xfId="16058" xr:uid="{00000000-0005-0000-0000-0000DB4B0000}"/>
    <cellStyle name="Normal 2 12 2 2 2 2 2 3" xfId="25381" xr:uid="{00000000-0005-0000-0000-0000DC4B0000}"/>
    <cellStyle name="Normal 2 12 2 2 2 2 3" xfId="10690" xr:uid="{00000000-0005-0000-0000-0000DD4B0000}"/>
    <cellStyle name="Normal 2 12 2 2 2 2 4" xfId="20014" xr:uid="{00000000-0005-0000-0000-0000DE4B0000}"/>
    <cellStyle name="Normal 2 12 2 2 2 3" xfId="5238" xr:uid="{00000000-0005-0000-0000-0000DF4B0000}"/>
    <cellStyle name="Normal 2 12 2 2 2 3 2" xfId="14562" xr:uid="{00000000-0005-0000-0000-0000E04B0000}"/>
    <cellStyle name="Normal 2 12 2 2 2 3 3" xfId="23885" xr:uid="{00000000-0005-0000-0000-0000E14B0000}"/>
    <cellStyle name="Normal 2 12 2 2 2 4" xfId="9712" xr:uid="{00000000-0005-0000-0000-0000E24B0000}"/>
    <cellStyle name="Normal 2 12 2 2 2 4 2" xfId="19036" xr:uid="{00000000-0005-0000-0000-0000E34B0000}"/>
    <cellStyle name="Normal 2 12 2 2 2 4 3" xfId="28359" xr:uid="{00000000-0005-0000-0000-0000E44B0000}"/>
    <cellStyle name="Normal 2 12 2 2 2 5" xfId="10206" xr:uid="{00000000-0005-0000-0000-0000E54B0000}"/>
    <cellStyle name="Normal 2 12 2 2 2 6" xfId="19530" xr:uid="{00000000-0005-0000-0000-0000E64B0000}"/>
    <cellStyle name="Normal 2 12 2 2 3" xfId="849" xr:uid="{00000000-0005-0000-0000-0000E74B0000}"/>
    <cellStyle name="Normal 2 12 2 2 3 2" xfId="6909" xr:uid="{00000000-0005-0000-0000-0000E84B0000}"/>
    <cellStyle name="Normal 2 12 2 2 3 2 2" xfId="16233" xr:uid="{00000000-0005-0000-0000-0000E94B0000}"/>
    <cellStyle name="Normal 2 12 2 2 3 2 3" xfId="25556" xr:uid="{00000000-0005-0000-0000-0000EA4B0000}"/>
    <cellStyle name="Normal 2 12 2 2 3 3" xfId="10450" xr:uid="{00000000-0005-0000-0000-0000EB4B0000}"/>
    <cellStyle name="Normal 2 12 2 2 3 4" xfId="19774" xr:uid="{00000000-0005-0000-0000-0000EC4B0000}"/>
    <cellStyle name="Normal 2 12 2 2 4" xfId="7192" xr:uid="{00000000-0005-0000-0000-0000ED4B0000}"/>
    <cellStyle name="Normal 2 12 2 2 4 2" xfId="16516" xr:uid="{00000000-0005-0000-0000-0000EE4B0000}"/>
    <cellStyle name="Normal 2 12 2 2 4 3" xfId="25839" xr:uid="{00000000-0005-0000-0000-0000EF4B0000}"/>
    <cellStyle name="Normal 2 12 2 2 5" xfId="9472" xr:uid="{00000000-0005-0000-0000-0000F04B0000}"/>
    <cellStyle name="Normal 2 12 2 2 5 2" xfId="18796" xr:uid="{00000000-0005-0000-0000-0000F14B0000}"/>
    <cellStyle name="Normal 2 12 2 2 5 3" xfId="28119" xr:uid="{00000000-0005-0000-0000-0000F24B0000}"/>
    <cellStyle name="Normal 2 12 2 2 6" xfId="9966" xr:uid="{00000000-0005-0000-0000-0000F34B0000}"/>
    <cellStyle name="Normal 2 12 2 2 7" xfId="19290" xr:uid="{00000000-0005-0000-0000-0000F44B0000}"/>
    <cellStyle name="Normal 2 12 2 3" xfId="479" xr:uid="{00000000-0005-0000-0000-0000F54B0000}"/>
    <cellStyle name="Normal 2 12 2 3 2" xfId="967" xr:uid="{00000000-0005-0000-0000-0000F64B0000}"/>
    <cellStyle name="Normal 2 12 2 3 2 2" xfId="5481" xr:uid="{00000000-0005-0000-0000-0000F74B0000}"/>
    <cellStyle name="Normal 2 12 2 3 2 2 2" xfId="14805" xr:uid="{00000000-0005-0000-0000-0000F84B0000}"/>
    <cellStyle name="Normal 2 12 2 3 2 2 3" xfId="24128" xr:uid="{00000000-0005-0000-0000-0000F94B0000}"/>
    <cellStyle name="Normal 2 12 2 3 2 3" xfId="10568" xr:uid="{00000000-0005-0000-0000-0000FA4B0000}"/>
    <cellStyle name="Normal 2 12 2 3 2 4" xfId="19892" xr:uid="{00000000-0005-0000-0000-0000FB4B0000}"/>
    <cellStyle name="Normal 2 12 2 3 3" xfId="7127" xr:uid="{00000000-0005-0000-0000-0000FC4B0000}"/>
    <cellStyle name="Normal 2 12 2 3 3 2" xfId="16451" xr:uid="{00000000-0005-0000-0000-0000FD4B0000}"/>
    <cellStyle name="Normal 2 12 2 3 3 3" xfId="25774" xr:uid="{00000000-0005-0000-0000-0000FE4B0000}"/>
    <cellStyle name="Normal 2 12 2 3 4" xfId="9590" xr:uid="{00000000-0005-0000-0000-0000FF4B0000}"/>
    <cellStyle name="Normal 2 12 2 3 4 2" xfId="18914" xr:uid="{00000000-0005-0000-0000-0000004C0000}"/>
    <cellStyle name="Normal 2 12 2 3 4 3" xfId="28237" xr:uid="{00000000-0005-0000-0000-0000014C0000}"/>
    <cellStyle name="Normal 2 12 2 3 5" xfId="10084" xr:uid="{00000000-0005-0000-0000-0000024C0000}"/>
    <cellStyle name="Normal 2 12 2 3 6" xfId="19408" xr:uid="{00000000-0005-0000-0000-0000034C0000}"/>
    <cellStyle name="Normal 2 12 2 4" xfId="727" xr:uid="{00000000-0005-0000-0000-0000044C0000}"/>
    <cellStyle name="Normal 2 12 2 4 2" xfId="6993" xr:uid="{00000000-0005-0000-0000-0000054C0000}"/>
    <cellStyle name="Normal 2 12 2 4 2 2" xfId="16317" xr:uid="{00000000-0005-0000-0000-0000064C0000}"/>
    <cellStyle name="Normal 2 12 2 4 2 3" xfId="25640" xr:uid="{00000000-0005-0000-0000-0000074C0000}"/>
    <cellStyle name="Normal 2 12 2 4 3" xfId="10328" xr:uid="{00000000-0005-0000-0000-0000084C0000}"/>
    <cellStyle name="Normal 2 12 2 4 4" xfId="19652" xr:uid="{00000000-0005-0000-0000-0000094C0000}"/>
    <cellStyle name="Normal 2 12 2 5" xfId="7257" xr:uid="{00000000-0005-0000-0000-00000A4C0000}"/>
    <cellStyle name="Normal 2 12 2 5 2" xfId="16581" xr:uid="{00000000-0005-0000-0000-00000B4C0000}"/>
    <cellStyle name="Normal 2 12 2 5 3" xfId="25904" xr:uid="{00000000-0005-0000-0000-00000C4C0000}"/>
    <cellStyle name="Normal 2 12 2 6" xfId="9349" xr:uid="{00000000-0005-0000-0000-00000D4C0000}"/>
    <cellStyle name="Normal 2 12 2 6 2" xfId="18673" xr:uid="{00000000-0005-0000-0000-00000E4C0000}"/>
    <cellStyle name="Normal 2 12 2 6 3" xfId="27996" xr:uid="{00000000-0005-0000-0000-00000F4C0000}"/>
    <cellStyle name="Normal 2 12 2 7" xfId="9843" xr:uid="{00000000-0005-0000-0000-0000104C0000}"/>
    <cellStyle name="Normal 2 12 2 8" xfId="19167" xr:uid="{00000000-0005-0000-0000-0000114C0000}"/>
    <cellStyle name="Normal 2 12 3" xfId="301" xr:uid="{00000000-0005-0000-0000-0000124C0000}"/>
    <cellStyle name="Normal 2 12 3 2" xfId="545" xr:uid="{00000000-0005-0000-0000-0000134C0000}"/>
    <cellStyle name="Normal 2 12 3 2 2" xfId="1033" xr:uid="{00000000-0005-0000-0000-0000144C0000}"/>
    <cellStyle name="Normal 2 12 3 2 2 2" xfId="6282" xr:uid="{00000000-0005-0000-0000-0000154C0000}"/>
    <cellStyle name="Normal 2 12 3 2 2 2 2" xfId="15606" xr:uid="{00000000-0005-0000-0000-0000164C0000}"/>
    <cellStyle name="Normal 2 12 3 2 2 2 3" xfId="24929" xr:uid="{00000000-0005-0000-0000-0000174C0000}"/>
    <cellStyle name="Normal 2 12 3 2 2 3" xfId="10634" xr:uid="{00000000-0005-0000-0000-0000184C0000}"/>
    <cellStyle name="Normal 2 12 3 2 2 4" xfId="19958" xr:uid="{00000000-0005-0000-0000-0000194C0000}"/>
    <cellStyle name="Normal 2 12 3 2 3" xfId="7093" xr:uid="{00000000-0005-0000-0000-00001A4C0000}"/>
    <cellStyle name="Normal 2 12 3 2 3 2" xfId="16417" xr:uid="{00000000-0005-0000-0000-00001B4C0000}"/>
    <cellStyle name="Normal 2 12 3 2 3 3" xfId="25740" xr:uid="{00000000-0005-0000-0000-00001C4C0000}"/>
    <cellStyle name="Normal 2 12 3 2 4" xfId="9656" xr:uid="{00000000-0005-0000-0000-00001D4C0000}"/>
    <cellStyle name="Normal 2 12 3 2 4 2" xfId="18980" xr:uid="{00000000-0005-0000-0000-00001E4C0000}"/>
    <cellStyle name="Normal 2 12 3 2 4 3" xfId="28303" xr:uid="{00000000-0005-0000-0000-00001F4C0000}"/>
    <cellStyle name="Normal 2 12 3 2 5" xfId="10150" xr:uid="{00000000-0005-0000-0000-0000204C0000}"/>
    <cellStyle name="Normal 2 12 3 2 6" xfId="19474" xr:uid="{00000000-0005-0000-0000-0000214C0000}"/>
    <cellStyle name="Normal 2 12 3 3" xfId="793" xr:uid="{00000000-0005-0000-0000-0000224C0000}"/>
    <cellStyle name="Normal 2 12 3 3 2" xfId="6944" xr:uid="{00000000-0005-0000-0000-0000234C0000}"/>
    <cellStyle name="Normal 2 12 3 3 2 2" xfId="16268" xr:uid="{00000000-0005-0000-0000-0000244C0000}"/>
    <cellStyle name="Normal 2 12 3 3 2 3" xfId="25591" xr:uid="{00000000-0005-0000-0000-0000254C0000}"/>
    <cellStyle name="Normal 2 12 3 3 3" xfId="10394" xr:uid="{00000000-0005-0000-0000-0000264C0000}"/>
    <cellStyle name="Normal 2 12 3 3 4" xfId="19718" xr:uid="{00000000-0005-0000-0000-0000274C0000}"/>
    <cellStyle name="Normal 2 12 3 4" xfId="7225" xr:uid="{00000000-0005-0000-0000-0000284C0000}"/>
    <cellStyle name="Normal 2 12 3 4 2" xfId="16549" xr:uid="{00000000-0005-0000-0000-0000294C0000}"/>
    <cellStyle name="Normal 2 12 3 4 3" xfId="25872" xr:uid="{00000000-0005-0000-0000-00002A4C0000}"/>
    <cellStyle name="Normal 2 12 3 5" xfId="9416" xr:uid="{00000000-0005-0000-0000-00002B4C0000}"/>
    <cellStyle name="Normal 2 12 3 5 2" xfId="18740" xr:uid="{00000000-0005-0000-0000-00002C4C0000}"/>
    <cellStyle name="Normal 2 12 3 5 3" xfId="28063" xr:uid="{00000000-0005-0000-0000-00002D4C0000}"/>
    <cellStyle name="Normal 2 12 3 6" xfId="9910" xr:uid="{00000000-0005-0000-0000-00002E4C0000}"/>
    <cellStyle name="Normal 2 12 3 7" xfId="19234" xr:uid="{00000000-0005-0000-0000-00002F4C0000}"/>
    <cellStyle name="Normal 2 12 4" xfId="420" xr:uid="{00000000-0005-0000-0000-0000304C0000}"/>
    <cellStyle name="Normal 2 12 4 2" xfId="908" xr:uid="{00000000-0005-0000-0000-0000314C0000}"/>
    <cellStyle name="Normal 2 12 4 2 2" xfId="6857" xr:uid="{00000000-0005-0000-0000-0000324C0000}"/>
    <cellStyle name="Normal 2 12 4 2 2 2" xfId="16181" xr:uid="{00000000-0005-0000-0000-0000334C0000}"/>
    <cellStyle name="Normal 2 12 4 2 2 3" xfId="25504" xr:uid="{00000000-0005-0000-0000-0000344C0000}"/>
    <cellStyle name="Normal 2 12 4 2 3" xfId="10509" xr:uid="{00000000-0005-0000-0000-0000354C0000}"/>
    <cellStyle name="Normal 2 12 4 2 4" xfId="19833" xr:uid="{00000000-0005-0000-0000-0000364C0000}"/>
    <cellStyle name="Normal 2 12 4 3" xfId="7163" xr:uid="{00000000-0005-0000-0000-0000374C0000}"/>
    <cellStyle name="Normal 2 12 4 3 2" xfId="16487" xr:uid="{00000000-0005-0000-0000-0000384C0000}"/>
    <cellStyle name="Normal 2 12 4 3 3" xfId="25810" xr:uid="{00000000-0005-0000-0000-0000394C0000}"/>
    <cellStyle name="Normal 2 12 4 4" xfId="9531" xr:uid="{00000000-0005-0000-0000-00003A4C0000}"/>
    <cellStyle name="Normal 2 12 4 4 2" xfId="18855" xr:uid="{00000000-0005-0000-0000-00003B4C0000}"/>
    <cellStyle name="Normal 2 12 4 4 3" xfId="28178" xr:uid="{00000000-0005-0000-0000-00003C4C0000}"/>
    <cellStyle name="Normal 2 12 4 5" xfId="10025" xr:uid="{00000000-0005-0000-0000-00003D4C0000}"/>
    <cellStyle name="Normal 2 12 4 6" xfId="19349" xr:uid="{00000000-0005-0000-0000-00003E4C0000}"/>
    <cellStyle name="Normal 2 12 5" xfId="668" xr:uid="{00000000-0005-0000-0000-00003F4C0000}"/>
    <cellStyle name="Normal 2 12 5 2" xfId="7034" xr:uid="{00000000-0005-0000-0000-0000404C0000}"/>
    <cellStyle name="Normal 2 12 5 2 2" xfId="16358" xr:uid="{00000000-0005-0000-0000-0000414C0000}"/>
    <cellStyle name="Normal 2 12 5 2 3" xfId="25681" xr:uid="{00000000-0005-0000-0000-0000424C0000}"/>
    <cellStyle name="Normal 2 12 5 3" xfId="10269" xr:uid="{00000000-0005-0000-0000-0000434C0000}"/>
    <cellStyle name="Normal 2 12 5 4" xfId="19593" xr:uid="{00000000-0005-0000-0000-0000444C0000}"/>
    <cellStyle name="Normal 2 12 6" xfId="7290" xr:uid="{00000000-0005-0000-0000-0000454C0000}"/>
    <cellStyle name="Normal 2 12 6 2" xfId="16614" xr:uid="{00000000-0005-0000-0000-0000464C0000}"/>
    <cellStyle name="Normal 2 12 6 3" xfId="25937" xr:uid="{00000000-0005-0000-0000-0000474C0000}"/>
    <cellStyle name="Normal 2 12 7" xfId="9290" xr:uid="{00000000-0005-0000-0000-0000484C0000}"/>
    <cellStyle name="Normal 2 12 7 2" xfId="18614" xr:uid="{00000000-0005-0000-0000-0000494C0000}"/>
    <cellStyle name="Normal 2 12 7 3" xfId="27937" xr:uid="{00000000-0005-0000-0000-00004A4C0000}"/>
    <cellStyle name="Normal 2 12 8" xfId="9784" xr:uid="{00000000-0005-0000-0000-00004B4C0000}"/>
    <cellStyle name="Normal 2 12 9" xfId="19108" xr:uid="{00000000-0005-0000-0000-00004C4C0000}"/>
    <cellStyle name="Normal 2 13" xfId="118" xr:uid="{00000000-0005-0000-0000-00004D4C0000}"/>
    <cellStyle name="Normal 2 13 2" xfId="222" xr:uid="{00000000-0005-0000-0000-00004E4C0000}"/>
    <cellStyle name="Normal 2 13 2 2" xfId="362" xr:uid="{00000000-0005-0000-0000-00004F4C0000}"/>
    <cellStyle name="Normal 2 13 2 2 2" xfId="602" xr:uid="{00000000-0005-0000-0000-0000504C0000}"/>
    <cellStyle name="Normal 2 13 2 2 2 2" xfId="1090" xr:uid="{00000000-0005-0000-0000-0000514C0000}"/>
    <cellStyle name="Normal 2 13 2 2 2 2 2" xfId="6733" xr:uid="{00000000-0005-0000-0000-0000524C0000}"/>
    <cellStyle name="Normal 2 13 2 2 2 2 2 2" xfId="16057" xr:uid="{00000000-0005-0000-0000-0000534C0000}"/>
    <cellStyle name="Normal 2 13 2 2 2 2 2 3" xfId="25380" xr:uid="{00000000-0005-0000-0000-0000544C0000}"/>
    <cellStyle name="Normal 2 13 2 2 2 2 3" xfId="10691" xr:uid="{00000000-0005-0000-0000-0000554C0000}"/>
    <cellStyle name="Normal 2 13 2 2 2 2 4" xfId="20015" xr:uid="{00000000-0005-0000-0000-0000564C0000}"/>
    <cellStyle name="Normal 2 13 2 2 2 3" xfId="7043" xr:uid="{00000000-0005-0000-0000-0000574C0000}"/>
    <cellStyle name="Normal 2 13 2 2 2 3 2" xfId="16367" xr:uid="{00000000-0005-0000-0000-0000584C0000}"/>
    <cellStyle name="Normal 2 13 2 2 2 3 3" xfId="25690" xr:uid="{00000000-0005-0000-0000-0000594C0000}"/>
    <cellStyle name="Normal 2 13 2 2 2 4" xfId="9713" xr:uid="{00000000-0005-0000-0000-00005A4C0000}"/>
    <cellStyle name="Normal 2 13 2 2 2 4 2" xfId="19037" xr:uid="{00000000-0005-0000-0000-00005B4C0000}"/>
    <cellStyle name="Normal 2 13 2 2 2 4 3" xfId="28360" xr:uid="{00000000-0005-0000-0000-00005C4C0000}"/>
    <cellStyle name="Normal 2 13 2 2 2 5" xfId="10207" xr:uid="{00000000-0005-0000-0000-00005D4C0000}"/>
    <cellStyle name="Normal 2 13 2 2 2 6" xfId="19531" xr:uid="{00000000-0005-0000-0000-00005E4C0000}"/>
    <cellStyle name="Normal 2 13 2 2 3" xfId="850" xr:uid="{00000000-0005-0000-0000-00005F4C0000}"/>
    <cellStyle name="Normal 2 13 2 2 3 2" xfId="6910" xr:uid="{00000000-0005-0000-0000-0000604C0000}"/>
    <cellStyle name="Normal 2 13 2 2 3 2 2" xfId="16234" xr:uid="{00000000-0005-0000-0000-0000614C0000}"/>
    <cellStyle name="Normal 2 13 2 2 3 2 3" xfId="25557" xr:uid="{00000000-0005-0000-0000-0000624C0000}"/>
    <cellStyle name="Normal 2 13 2 2 3 3" xfId="10451" xr:uid="{00000000-0005-0000-0000-0000634C0000}"/>
    <cellStyle name="Normal 2 13 2 2 3 4" xfId="19775" xr:uid="{00000000-0005-0000-0000-0000644C0000}"/>
    <cellStyle name="Normal 2 13 2 2 4" xfId="7191" xr:uid="{00000000-0005-0000-0000-0000654C0000}"/>
    <cellStyle name="Normal 2 13 2 2 4 2" xfId="16515" xr:uid="{00000000-0005-0000-0000-0000664C0000}"/>
    <cellStyle name="Normal 2 13 2 2 4 3" xfId="25838" xr:uid="{00000000-0005-0000-0000-0000674C0000}"/>
    <cellStyle name="Normal 2 13 2 2 5" xfId="9473" xr:uid="{00000000-0005-0000-0000-0000684C0000}"/>
    <cellStyle name="Normal 2 13 2 2 5 2" xfId="18797" xr:uid="{00000000-0005-0000-0000-0000694C0000}"/>
    <cellStyle name="Normal 2 13 2 2 5 3" xfId="28120" xr:uid="{00000000-0005-0000-0000-00006A4C0000}"/>
    <cellStyle name="Normal 2 13 2 2 6" xfId="9967" xr:uid="{00000000-0005-0000-0000-00006B4C0000}"/>
    <cellStyle name="Normal 2 13 2 2 7" xfId="19291" xr:uid="{00000000-0005-0000-0000-00006C4C0000}"/>
    <cellStyle name="Normal 2 13 2 3" xfId="480" xr:uid="{00000000-0005-0000-0000-00006D4C0000}"/>
    <cellStyle name="Normal 2 13 2 3 2" xfId="968" xr:uid="{00000000-0005-0000-0000-00006E4C0000}"/>
    <cellStyle name="Normal 2 13 2 3 2 2" xfId="5482" xr:uid="{00000000-0005-0000-0000-00006F4C0000}"/>
    <cellStyle name="Normal 2 13 2 3 2 2 2" xfId="14806" xr:uid="{00000000-0005-0000-0000-0000704C0000}"/>
    <cellStyle name="Normal 2 13 2 3 2 2 3" xfId="24129" xr:uid="{00000000-0005-0000-0000-0000714C0000}"/>
    <cellStyle name="Normal 2 13 2 3 2 3" xfId="10569" xr:uid="{00000000-0005-0000-0000-0000724C0000}"/>
    <cellStyle name="Normal 2 13 2 3 2 4" xfId="19893" xr:uid="{00000000-0005-0000-0000-0000734C0000}"/>
    <cellStyle name="Normal 2 13 2 3 3" xfId="5896" xr:uid="{00000000-0005-0000-0000-0000744C0000}"/>
    <cellStyle name="Normal 2 13 2 3 3 2" xfId="15220" xr:uid="{00000000-0005-0000-0000-0000754C0000}"/>
    <cellStyle name="Normal 2 13 2 3 3 3" xfId="24543" xr:uid="{00000000-0005-0000-0000-0000764C0000}"/>
    <cellStyle name="Normal 2 13 2 3 4" xfId="9591" xr:uid="{00000000-0005-0000-0000-0000774C0000}"/>
    <cellStyle name="Normal 2 13 2 3 4 2" xfId="18915" xr:uid="{00000000-0005-0000-0000-0000784C0000}"/>
    <cellStyle name="Normal 2 13 2 3 4 3" xfId="28238" xr:uid="{00000000-0005-0000-0000-0000794C0000}"/>
    <cellStyle name="Normal 2 13 2 3 5" xfId="10085" xr:uid="{00000000-0005-0000-0000-00007A4C0000}"/>
    <cellStyle name="Normal 2 13 2 3 6" xfId="19409" xr:uid="{00000000-0005-0000-0000-00007B4C0000}"/>
    <cellStyle name="Normal 2 13 2 4" xfId="728" xr:uid="{00000000-0005-0000-0000-00007C4C0000}"/>
    <cellStyle name="Normal 2 13 2 4 2" xfId="5334" xr:uid="{00000000-0005-0000-0000-00007D4C0000}"/>
    <cellStyle name="Normal 2 13 2 4 2 2" xfId="14658" xr:uid="{00000000-0005-0000-0000-00007E4C0000}"/>
    <cellStyle name="Normal 2 13 2 4 2 3" xfId="23981" xr:uid="{00000000-0005-0000-0000-00007F4C0000}"/>
    <cellStyle name="Normal 2 13 2 4 3" xfId="10329" xr:uid="{00000000-0005-0000-0000-0000804C0000}"/>
    <cellStyle name="Normal 2 13 2 4 4" xfId="19653" xr:uid="{00000000-0005-0000-0000-0000814C0000}"/>
    <cellStyle name="Normal 2 13 2 5" xfId="7256" xr:uid="{00000000-0005-0000-0000-0000824C0000}"/>
    <cellStyle name="Normal 2 13 2 5 2" xfId="16580" xr:uid="{00000000-0005-0000-0000-0000834C0000}"/>
    <cellStyle name="Normal 2 13 2 5 3" xfId="25903" xr:uid="{00000000-0005-0000-0000-0000844C0000}"/>
    <cellStyle name="Normal 2 13 2 6" xfId="9350" xr:uid="{00000000-0005-0000-0000-0000854C0000}"/>
    <cellStyle name="Normal 2 13 2 6 2" xfId="18674" xr:uid="{00000000-0005-0000-0000-0000864C0000}"/>
    <cellStyle name="Normal 2 13 2 6 3" xfId="27997" xr:uid="{00000000-0005-0000-0000-0000874C0000}"/>
    <cellStyle name="Normal 2 13 2 7" xfId="9844" xr:uid="{00000000-0005-0000-0000-0000884C0000}"/>
    <cellStyle name="Normal 2 13 2 8" xfId="19168" xr:uid="{00000000-0005-0000-0000-0000894C0000}"/>
    <cellStyle name="Normal 2 13 3" xfId="302" xr:uid="{00000000-0005-0000-0000-00008A4C0000}"/>
    <cellStyle name="Normal 2 13 3 2" xfId="546" xr:uid="{00000000-0005-0000-0000-00008B4C0000}"/>
    <cellStyle name="Normal 2 13 3 2 2" xfId="1034" xr:uid="{00000000-0005-0000-0000-00008C4C0000}"/>
    <cellStyle name="Normal 2 13 3 2 2 2" xfId="6773" xr:uid="{00000000-0005-0000-0000-00008D4C0000}"/>
    <cellStyle name="Normal 2 13 3 2 2 2 2" xfId="16097" xr:uid="{00000000-0005-0000-0000-00008E4C0000}"/>
    <cellStyle name="Normal 2 13 3 2 2 2 3" xfId="25420" xr:uid="{00000000-0005-0000-0000-00008F4C0000}"/>
    <cellStyle name="Normal 2 13 3 2 2 3" xfId="10635" xr:uid="{00000000-0005-0000-0000-0000904C0000}"/>
    <cellStyle name="Normal 2 13 3 2 2 4" xfId="19959" xr:uid="{00000000-0005-0000-0000-0000914C0000}"/>
    <cellStyle name="Normal 2 13 3 2 3" xfId="7092" xr:uid="{00000000-0005-0000-0000-0000924C0000}"/>
    <cellStyle name="Normal 2 13 3 2 3 2" xfId="16416" xr:uid="{00000000-0005-0000-0000-0000934C0000}"/>
    <cellStyle name="Normal 2 13 3 2 3 3" xfId="25739" xr:uid="{00000000-0005-0000-0000-0000944C0000}"/>
    <cellStyle name="Normal 2 13 3 2 4" xfId="9657" xr:uid="{00000000-0005-0000-0000-0000954C0000}"/>
    <cellStyle name="Normal 2 13 3 2 4 2" xfId="18981" xr:uid="{00000000-0005-0000-0000-0000964C0000}"/>
    <cellStyle name="Normal 2 13 3 2 4 3" xfId="28304" xr:uid="{00000000-0005-0000-0000-0000974C0000}"/>
    <cellStyle name="Normal 2 13 3 2 5" xfId="10151" xr:uid="{00000000-0005-0000-0000-0000984C0000}"/>
    <cellStyle name="Normal 2 13 3 2 6" xfId="19475" xr:uid="{00000000-0005-0000-0000-0000994C0000}"/>
    <cellStyle name="Normal 2 13 3 3" xfId="794" xr:uid="{00000000-0005-0000-0000-00009A4C0000}"/>
    <cellStyle name="Normal 2 13 3 3 2" xfId="6947" xr:uid="{00000000-0005-0000-0000-00009B4C0000}"/>
    <cellStyle name="Normal 2 13 3 3 2 2" xfId="16271" xr:uid="{00000000-0005-0000-0000-00009C4C0000}"/>
    <cellStyle name="Normal 2 13 3 3 2 3" xfId="25594" xr:uid="{00000000-0005-0000-0000-00009D4C0000}"/>
    <cellStyle name="Normal 2 13 3 3 3" xfId="10395" xr:uid="{00000000-0005-0000-0000-00009E4C0000}"/>
    <cellStyle name="Normal 2 13 3 3 4" xfId="19719" xr:uid="{00000000-0005-0000-0000-00009F4C0000}"/>
    <cellStyle name="Normal 2 13 3 4" xfId="7224" xr:uid="{00000000-0005-0000-0000-0000A04C0000}"/>
    <cellStyle name="Normal 2 13 3 4 2" xfId="16548" xr:uid="{00000000-0005-0000-0000-0000A14C0000}"/>
    <cellStyle name="Normal 2 13 3 4 3" xfId="25871" xr:uid="{00000000-0005-0000-0000-0000A24C0000}"/>
    <cellStyle name="Normal 2 13 3 5" xfId="9417" xr:uid="{00000000-0005-0000-0000-0000A34C0000}"/>
    <cellStyle name="Normal 2 13 3 5 2" xfId="18741" xr:uid="{00000000-0005-0000-0000-0000A44C0000}"/>
    <cellStyle name="Normal 2 13 3 5 3" xfId="28064" xr:uid="{00000000-0005-0000-0000-0000A54C0000}"/>
    <cellStyle name="Normal 2 13 3 6" xfId="9911" xr:uid="{00000000-0005-0000-0000-0000A64C0000}"/>
    <cellStyle name="Normal 2 13 3 7" xfId="19235" xr:uid="{00000000-0005-0000-0000-0000A74C0000}"/>
    <cellStyle name="Normal 2 13 4" xfId="421" xr:uid="{00000000-0005-0000-0000-0000A84C0000}"/>
    <cellStyle name="Normal 2 13 4 2" xfId="909" xr:uid="{00000000-0005-0000-0000-0000A94C0000}"/>
    <cellStyle name="Normal 2 13 4 2 2" xfId="6856" xr:uid="{00000000-0005-0000-0000-0000AA4C0000}"/>
    <cellStyle name="Normal 2 13 4 2 2 2" xfId="16180" xr:uid="{00000000-0005-0000-0000-0000AB4C0000}"/>
    <cellStyle name="Normal 2 13 4 2 2 3" xfId="25503" xr:uid="{00000000-0005-0000-0000-0000AC4C0000}"/>
    <cellStyle name="Normal 2 13 4 2 3" xfId="10510" xr:uid="{00000000-0005-0000-0000-0000AD4C0000}"/>
    <cellStyle name="Normal 2 13 4 2 4" xfId="19834" xr:uid="{00000000-0005-0000-0000-0000AE4C0000}"/>
    <cellStyle name="Normal 2 13 4 3" xfId="7162" xr:uid="{00000000-0005-0000-0000-0000AF4C0000}"/>
    <cellStyle name="Normal 2 13 4 3 2" xfId="16486" xr:uid="{00000000-0005-0000-0000-0000B04C0000}"/>
    <cellStyle name="Normal 2 13 4 3 3" xfId="25809" xr:uid="{00000000-0005-0000-0000-0000B14C0000}"/>
    <cellStyle name="Normal 2 13 4 4" xfId="9532" xr:uid="{00000000-0005-0000-0000-0000B24C0000}"/>
    <cellStyle name="Normal 2 13 4 4 2" xfId="18856" xr:uid="{00000000-0005-0000-0000-0000B34C0000}"/>
    <cellStyle name="Normal 2 13 4 4 3" xfId="28179" xr:uid="{00000000-0005-0000-0000-0000B44C0000}"/>
    <cellStyle name="Normal 2 13 4 5" xfId="10026" xr:uid="{00000000-0005-0000-0000-0000B54C0000}"/>
    <cellStyle name="Normal 2 13 4 6" xfId="19350" xr:uid="{00000000-0005-0000-0000-0000B64C0000}"/>
    <cellStyle name="Normal 2 13 5" xfId="669" xr:uid="{00000000-0005-0000-0000-0000B74C0000}"/>
    <cellStyle name="Normal 2 13 5 2" xfId="7033" xr:uid="{00000000-0005-0000-0000-0000B84C0000}"/>
    <cellStyle name="Normal 2 13 5 2 2" xfId="16357" xr:uid="{00000000-0005-0000-0000-0000B94C0000}"/>
    <cellStyle name="Normal 2 13 5 2 3" xfId="25680" xr:uid="{00000000-0005-0000-0000-0000BA4C0000}"/>
    <cellStyle name="Normal 2 13 5 3" xfId="10270" xr:uid="{00000000-0005-0000-0000-0000BB4C0000}"/>
    <cellStyle name="Normal 2 13 5 4" xfId="19594" xr:uid="{00000000-0005-0000-0000-0000BC4C0000}"/>
    <cellStyle name="Normal 2 13 6" xfId="7289" xr:uid="{00000000-0005-0000-0000-0000BD4C0000}"/>
    <cellStyle name="Normal 2 13 6 2" xfId="16613" xr:uid="{00000000-0005-0000-0000-0000BE4C0000}"/>
    <cellStyle name="Normal 2 13 6 3" xfId="25936" xr:uid="{00000000-0005-0000-0000-0000BF4C0000}"/>
    <cellStyle name="Normal 2 13 7" xfId="9291" xr:uid="{00000000-0005-0000-0000-0000C04C0000}"/>
    <cellStyle name="Normal 2 13 7 2" xfId="18615" xr:uid="{00000000-0005-0000-0000-0000C14C0000}"/>
    <cellStyle name="Normal 2 13 7 3" xfId="27938" xr:uid="{00000000-0005-0000-0000-0000C24C0000}"/>
    <cellStyle name="Normal 2 13 8" xfId="9785" xr:uid="{00000000-0005-0000-0000-0000C34C0000}"/>
    <cellStyle name="Normal 2 13 9" xfId="19109" xr:uid="{00000000-0005-0000-0000-0000C44C0000}"/>
    <cellStyle name="Normal 2 14" xfId="119" xr:uid="{00000000-0005-0000-0000-0000C54C0000}"/>
    <cellStyle name="Normal 2 14 2" xfId="223" xr:uid="{00000000-0005-0000-0000-0000C64C0000}"/>
    <cellStyle name="Normal 2 14 2 2" xfId="363" xr:uid="{00000000-0005-0000-0000-0000C74C0000}"/>
    <cellStyle name="Normal 2 14 2 2 2" xfId="603" xr:uid="{00000000-0005-0000-0000-0000C84C0000}"/>
    <cellStyle name="Normal 2 14 2 2 2 2" xfId="1091" xr:uid="{00000000-0005-0000-0000-0000C94C0000}"/>
    <cellStyle name="Normal 2 14 2 2 2 2 2" xfId="6732" xr:uid="{00000000-0005-0000-0000-0000CA4C0000}"/>
    <cellStyle name="Normal 2 14 2 2 2 2 2 2" xfId="16056" xr:uid="{00000000-0005-0000-0000-0000CB4C0000}"/>
    <cellStyle name="Normal 2 14 2 2 2 2 2 3" xfId="25379" xr:uid="{00000000-0005-0000-0000-0000CC4C0000}"/>
    <cellStyle name="Normal 2 14 2 2 2 2 3" xfId="10692" xr:uid="{00000000-0005-0000-0000-0000CD4C0000}"/>
    <cellStyle name="Normal 2 14 2 2 2 2 4" xfId="20016" xr:uid="{00000000-0005-0000-0000-0000CE4C0000}"/>
    <cellStyle name="Normal 2 14 2 2 2 3" xfId="7053" xr:uid="{00000000-0005-0000-0000-0000CF4C0000}"/>
    <cellStyle name="Normal 2 14 2 2 2 3 2" xfId="16377" xr:uid="{00000000-0005-0000-0000-0000D04C0000}"/>
    <cellStyle name="Normal 2 14 2 2 2 3 3" xfId="25700" xr:uid="{00000000-0005-0000-0000-0000D14C0000}"/>
    <cellStyle name="Normal 2 14 2 2 2 4" xfId="9714" xr:uid="{00000000-0005-0000-0000-0000D24C0000}"/>
    <cellStyle name="Normal 2 14 2 2 2 4 2" xfId="19038" xr:uid="{00000000-0005-0000-0000-0000D34C0000}"/>
    <cellStyle name="Normal 2 14 2 2 2 4 3" xfId="28361" xr:uid="{00000000-0005-0000-0000-0000D44C0000}"/>
    <cellStyle name="Normal 2 14 2 2 2 5" xfId="10208" xr:uid="{00000000-0005-0000-0000-0000D54C0000}"/>
    <cellStyle name="Normal 2 14 2 2 2 6" xfId="19532" xr:uid="{00000000-0005-0000-0000-0000D64C0000}"/>
    <cellStyle name="Normal 2 14 2 2 3" xfId="851" xr:uid="{00000000-0005-0000-0000-0000D74C0000}"/>
    <cellStyle name="Normal 2 14 2 2 3 2" xfId="5472" xr:uid="{00000000-0005-0000-0000-0000D84C0000}"/>
    <cellStyle name="Normal 2 14 2 2 3 2 2" xfId="14796" xr:uid="{00000000-0005-0000-0000-0000D94C0000}"/>
    <cellStyle name="Normal 2 14 2 2 3 2 3" xfId="24119" xr:uid="{00000000-0005-0000-0000-0000DA4C0000}"/>
    <cellStyle name="Normal 2 14 2 2 3 3" xfId="10452" xr:uid="{00000000-0005-0000-0000-0000DB4C0000}"/>
    <cellStyle name="Normal 2 14 2 2 3 4" xfId="19776" xr:uid="{00000000-0005-0000-0000-0000DC4C0000}"/>
    <cellStyle name="Normal 2 14 2 2 4" xfId="7190" xr:uid="{00000000-0005-0000-0000-0000DD4C0000}"/>
    <cellStyle name="Normal 2 14 2 2 4 2" xfId="16514" xr:uid="{00000000-0005-0000-0000-0000DE4C0000}"/>
    <cellStyle name="Normal 2 14 2 2 4 3" xfId="25837" xr:uid="{00000000-0005-0000-0000-0000DF4C0000}"/>
    <cellStyle name="Normal 2 14 2 2 5" xfId="9474" xr:uid="{00000000-0005-0000-0000-0000E04C0000}"/>
    <cellStyle name="Normal 2 14 2 2 5 2" xfId="18798" xr:uid="{00000000-0005-0000-0000-0000E14C0000}"/>
    <cellStyle name="Normal 2 14 2 2 5 3" xfId="28121" xr:uid="{00000000-0005-0000-0000-0000E24C0000}"/>
    <cellStyle name="Normal 2 14 2 2 6" xfId="9968" xr:uid="{00000000-0005-0000-0000-0000E34C0000}"/>
    <cellStyle name="Normal 2 14 2 2 7" xfId="19292" xr:uid="{00000000-0005-0000-0000-0000E44C0000}"/>
    <cellStyle name="Normal 2 14 2 3" xfId="481" xr:uid="{00000000-0005-0000-0000-0000E54C0000}"/>
    <cellStyle name="Normal 2 14 2 3 2" xfId="969" xr:uid="{00000000-0005-0000-0000-0000E64C0000}"/>
    <cellStyle name="Normal 2 14 2 3 2 2" xfId="6811" xr:uid="{00000000-0005-0000-0000-0000E74C0000}"/>
    <cellStyle name="Normal 2 14 2 3 2 2 2" xfId="16135" xr:uid="{00000000-0005-0000-0000-0000E84C0000}"/>
    <cellStyle name="Normal 2 14 2 3 2 2 3" xfId="25458" xr:uid="{00000000-0005-0000-0000-0000E94C0000}"/>
    <cellStyle name="Normal 2 14 2 3 2 3" xfId="10570" xr:uid="{00000000-0005-0000-0000-0000EA4C0000}"/>
    <cellStyle name="Normal 2 14 2 3 2 4" xfId="19894" xr:uid="{00000000-0005-0000-0000-0000EB4C0000}"/>
    <cellStyle name="Normal 2 14 2 3 3" xfId="5979" xr:uid="{00000000-0005-0000-0000-0000EC4C0000}"/>
    <cellStyle name="Normal 2 14 2 3 3 2" xfId="15303" xr:uid="{00000000-0005-0000-0000-0000ED4C0000}"/>
    <cellStyle name="Normal 2 14 2 3 3 3" xfId="24626" xr:uid="{00000000-0005-0000-0000-0000EE4C0000}"/>
    <cellStyle name="Normal 2 14 2 3 4" xfId="9592" xr:uid="{00000000-0005-0000-0000-0000EF4C0000}"/>
    <cellStyle name="Normal 2 14 2 3 4 2" xfId="18916" xr:uid="{00000000-0005-0000-0000-0000F04C0000}"/>
    <cellStyle name="Normal 2 14 2 3 4 3" xfId="28239" xr:uid="{00000000-0005-0000-0000-0000F14C0000}"/>
    <cellStyle name="Normal 2 14 2 3 5" xfId="10086" xr:uid="{00000000-0005-0000-0000-0000F24C0000}"/>
    <cellStyle name="Normal 2 14 2 3 6" xfId="19410" xr:uid="{00000000-0005-0000-0000-0000F34C0000}"/>
    <cellStyle name="Normal 2 14 2 4" xfId="729" xr:uid="{00000000-0005-0000-0000-0000F44C0000}"/>
    <cellStyle name="Normal 2 14 2 4 2" xfId="6991" xr:uid="{00000000-0005-0000-0000-0000F54C0000}"/>
    <cellStyle name="Normal 2 14 2 4 2 2" xfId="16315" xr:uid="{00000000-0005-0000-0000-0000F64C0000}"/>
    <cellStyle name="Normal 2 14 2 4 2 3" xfId="25638" xr:uid="{00000000-0005-0000-0000-0000F74C0000}"/>
    <cellStyle name="Normal 2 14 2 4 3" xfId="10330" xr:uid="{00000000-0005-0000-0000-0000F84C0000}"/>
    <cellStyle name="Normal 2 14 2 4 4" xfId="19654" xr:uid="{00000000-0005-0000-0000-0000F94C0000}"/>
    <cellStyle name="Normal 2 14 2 5" xfId="7255" xr:uid="{00000000-0005-0000-0000-0000FA4C0000}"/>
    <cellStyle name="Normal 2 14 2 5 2" xfId="16579" xr:uid="{00000000-0005-0000-0000-0000FB4C0000}"/>
    <cellStyle name="Normal 2 14 2 5 3" xfId="25902" xr:uid="{00000000-0005-0000-0000-0000FC4C0000}"/>
    <cellStyle name="Normal 2 14 2 6" xfId="9351" xr:uid="{00000000-0005-0000-0000-0000FD4C0000}"/>
    <cellStyle name="Normal 2 14 2 6 2" xfId="18675" xr:uid="{00000000-0005-0000-0000-0000FE4C0000}"/>
    <cellStyle name="Normal 2 14 2 6 3" xfId="27998" xr:uid="{00000000-0005-0000-0000-0000FF4C0000}"/>
    <cellStyle name="Normal 2 14 2 7" xfId="9845" xr:uid="{00000000-0005-0000-0000-0000004D0000}"/>
    <cellStyle name="Normal 2 14 2 8" xfId="19169" xr:uid="{00000000-0005-0000-0000-0000014D0000}"/>
    <cellStyle name="Normal 2 14 3" xfId="303" xr:uid="{00000000-0005-0000-0000-0000024D0000}"/>
    <cellStyle name="Normal 2 14 3 2" xfId="547" xr:uid="{00000000-0005-0000-0000-0000034D0000}"/>
    <cellStyle name="Normal 2 14 3 2 2" xfId="1035" xr:uid="{00000000-0005-0000-0000-0000044D0000}"/>
    <cellStyle name="Normal 2 14 3 2 2 2" xfId="6276" xr:uid="{00000000-0005-0000-0000-0000054D0000}"/>
    <cellStyle name="Normal 2 14 3 2 2 2 2" xfId="15600" xr:uid="{00000000-0005-0000-0000-0000064D0000}"/>
    <cellStyle name="Normal 2 14 3 2 2 2 3" xfId="24923" xr:uid="{00000000-0005-0000-0000-0000074D0000}"/>
    <cellStyle name="Normal 2 14 3 2 2 3" xfId="10636" xr:uid="{00000000-0005-0000-0000-0000084D0000}"/>
    <cellStyle name="Normal 2 14 3 2 2 4" xfId="19960" xr:uid="{00000000-0005-0000-0000-0000094D0000}"/>
    <cellStyle name="Normal 2 14 3 2 3" xfId="7091" xr:uid="{00000000-0005-0000-0000-00000A4D0000}"/>
    <cellStyle name="Normal 2 14 3 2 3 2" xfId="16415" xr:uid="{00000000-0005-0000-0000-00000B4D0000}"/>
    <cellStyle name="Normal 2 14 3 2 3 3" xfId="25738" xr:uid="{00000000-0005-0000-0000-00000C4D0000}"/>
    <cellStyle name="Normal 2 14 3 2 4" xfId="9658" xr:uid="{00000000-0005-0000-0000-00000D4D0000}"/>
    <cellStyle name="Normal 2 14 3 2 4 2" xfId="18982" xr:uid="{00000000-0005-0000-0000-00000E4D0000}"/>
    <cellStyle name="Normal 2 14 3 2 4 3" xfId="28305" xr:uid="{00000000-0005-0000-0000-00000F4D0000}"/>
    <cellStyle name="Normal 2 14 3 2 5" xfId="10152" xr:uid="{00000000-0005-0000-0000-0000104D0000}"/>
    <cellStyle name="Normal 2 14 3 2 6" xfId="19476" xr:uid="{00000000-0005-0000-0000-0000114D0000}"/>
    <cellStyle name="Normal 2 14 3 3" xfId="795" xr:uid="{00000000-0005-0000-0000-0000124D0000}"/>
    <cellStyle name="Normal 2 14 3 3 2" xfId="5460" xr:uid="{00000000-0005-0000-0000-0000134D0000}"/>
    <cellStyle name="Normal 2 14 3 3 2 2" xfId="14784" xr:uid="{00000000-0005-0000-0000-0000144D0000}"/>
    <cellStyle name="Normal 2 14 3 3 2 3" xfId="24107" xr:uid="{00000000-0005-0000-0000-0000154D0000}"/>
    <cellStyle name="Normal 2 14 3 3 3" xfId="10396" xr:uid="{00000000-0005-0000-0000-0000164D0000}"/>
    <cellStyle name="Normal 2 14 3 3 4" xfId="19720" xr:uid="{00000000-0005-0000-0000-0000174D0000}"/>
    <cellStyle name="Normal 2 14 3 4" xfId="7223" xr:uid="{00000000-0005-0000-0000-0000184D0000}"/>
    <cellStyle name="Normal 2 14 3 4 2" xfId="16547" xr:uid="{00000000-0005-0000-0000-0000194D0000}"/>
    <cellStyle name="Normal 2 14 3 4 3" xfId="25870" xr:uid="{00000000-0005-0000-0000-00001A4D0000}"/>
    <cellStyle name="Normal 2 14 3 5" xfId="9418" xr:uid="{00000000-0005-0000-0000-00001B4D0000}"/>
    <cellStyle name="Normal 2 14 3 5 2" xfId="18742" xr:uid="{00000000-0005-0000-0000-00001C4D0000}"/>
    <cellStyle name="Normal 2 14 3 5 3" xfId="28065" xr:uid="{00000000-0005-0000-0000-00001D4D0000}"/>
    <cellStyle name="Normal 2 14 3 6" xfId="9912" xr:uid="{00000000-0005-0000-0000-00001E4D0000}"/>
    <cellStyle name="Normal 2 14 3 7" xfId="19236" xr:uid="{00000000-0005-0000-0000-00001F4D0000}"/>
    <cellStyle name="Normal 2 14 4" xfId="422" xr:uid="{00000000-0005-0000-0000-0000204D0000}"/>
    <cellStyle name="Normal 2 14 4 2" xfId="910" xr:uid="{00000000-0005-0000-0000-0000214D0000}"/>
    <cellStyle name="Normal 2 14 4 2 2" xfId="6855" xr:uid="{00000000-0005-0000-0000-0000224D0000}"/>
    <cellStyle name="Normal 2 14 4 2 2 2" xfId="16179" xr:uid="{00000000-0005-0000-0000-0000234D0000}"/>
    <cellStyle name="Normal 2 14 4 2 2 3" xfId="25502" xr:uid="{00000000-0005-0000-0000-0000244D0000}"/>
    <cellStyle name="Normal 2 14 4 2 3" xfId="10511" xr:uid="{00000000-0005-0000-0000-0000254D0000}"/>
    <cellStyle name="Normal 2 14 4 2 4" xfId="19835" xr:uid="{00000000-0005-0000-0000-0000264D0000}"/>
    <cellStyle name="Normal 2 14 4 3" xfId="7161" xr:uid="{00000000-0005-0000-0000-0000274D0000}"/>
    <cellStyle name="Normal 2 14 4 3 2" xfId="16485" xr:uid="{00000000-0005-0000-0000-0000284D0000}"/>
    <cellStyle name="Normal 2 14 4 3 3" xfId="25808" xr:uid="{00000000-0005-0000-0000-0000294D0000}"/>
    <cellStyle name="Normal 2 14 4 4" xfId="9533" xr:uid="{00000000-0005-0000-0000-00002A4D0000}"/>
    <cellStyle name="Normal 2 14 4 4 2" xfId="18857" xr:uid="{00000000-0005-0000-0000-00002B4D0000}"/>
    <cellStyle name="Normal 2 14 4 4 3" xfId="28180" xr:uid="{00000000-0005-0000-0000-00002C4D0000}"/>
    <cellStyle name="Normal 2 14 4 5" xfId="10027" xr:uid="{00000000-0005-0000-0000-00002D4D0000}"/>
    <cellStyle name="Normal 2 14 4 6" xfId="19351" xr:uid="{00000000-0005-0000-0000-00002E4D0000}"/>
    <cellStyle name="Normal 2 14 5" xfId="670" xr:uid="{00000000-0005-0000-0000-00002F4D0000}"/>
    <cellStyle name="Normal 2 14 5 2" xfId="7032" xr:uid="{00000000-0005-0000-0000-0000304D0000}"/>
    <cellStyle name="Normal 2 14 5 2 2" xfId="16356" xr:uid="{00000000-0005-0000-0000-0000314D0000}"/>
    <cellStyle name="Normal 2 14 5 2 3" xfId="25679" xr:uid="{00000000-0005-0000-0000-0000324D0000}"/>
    <cellStyle name="Normal 2 14 5 3" xfId="10271" xr:uid="{00000000-0005-0000-0000-0000334D0000}"/>
    <cellStyle name="Normal 2 14 5 4" xfId="19595" xr:uid="{00000000-0005-0000-0000-0000344D0000}"/>
    <cellStyle name="Normal 2 14 6" xfId="7288" xr:uid="{00000000-0005-0000-0000-0000354D0000}"/>
    <cellStyle name="Normal 2 14 6 2" xfId="16612" xr:uid="{00000000-0005-0000-0000-0000364D0000}"/>
    <cellStyle name="Normal 2 14 6 3" xfId="25935" xr:uid="{00000000-0005-0000-0000-0000374D0000}"/>
    <cellStyle name="Normal 2 14 7" xfId="9292" xr:uid="{00000000-0005-0000-0000-0000384D0000}"/>
    <cellStyle name="Normal 2 14 7 2" xfId="18616" xr:uid="{00000000-0005-0000-0000-0000394D0000}"/>
    <cellStyle name="Normal 2 14 7 3" xfId="27939" xr:uid="{00000000-0005-0000-0000-00003A4D0000}"/>
    <cellStyle name="Normal 2 14 8" xfId="9786" xr:uid="{00000000-0005-0000-0000-00003B4D0000}"/>
    <cellStyle name="Normal 2 14 9" xfId="19110" xr:uid="{00000000-0005-0000-0000-00003C4D0000}"/>
    <cellStyle name="Normal 2 15" xfId="120" xr:uid="{00000000-0005-0000-0000-00003D4D0000}"/>
    <cellStyle name="Normal 2 15 2" xfId="224" xr:uid="{00000000-0005-0000-0000-00003E4D0000}"/>
    <cellStyle name="Normal 2 15 2 2" xfId="364" xr:uid="{00000000-0005-0000-0000-00003F4D0000}"/>
    <cellStyle name="Normal 2 15 2 2 2" xfId="604" xr:uid="{00000000-0005-0000-0000-0000404D0000}"/>
    <cellStyle name="Normal 2 15 2 2 2 2" xfId="1092" xr:uid="{00000000-0005-0000-0000-0000414D0000}"/>
    <cellStyle name="Normal 2 15 2 2 2 2 2" xfId="6731" xr:uid="{00000000-0005-0000-0000-0000424D0000}"/>
    <cellStyle name="Normal 2 15 2 2 2 2 2 2" xfId="16055" xr:uid="{00000000-0005-0000-0000-0000434D0000}"/>
    <cellStyle name="Normal 2 15 2 2 2 2 2 3" xfId="25378" xr:uid="{00000000-0005-0000-0000-0000444D0000}"/>
    <cellStyle name="Normal 2 15 2 2 2 2 3" xfId="10693" xr:uid="{00000000-0005-0000-0000-0000454D0000}"/>
    <cellStyle name="Normal 2 15 2 2 2 2 4" xfId="20017" xr:uid="{00000000-0005-0000-0000-0000464D0000}"/>
    <cellStyle name="Normal 2 15 2 2 2 3" xfId="7052" xr:uid="{00000000-0005-0000-0000-0000474D0000}"/>
    <cellStyle name="Normal 2 15 2 2 2 3 2" xfId="16376" xr:uid="{00000000-0005-0000-0000-0000484D0000}"/>
    <cellStyle name="Normal 2 15 2 2 2 3 3" xfId="25699" xr:uid="{00000000-0005-0000-0000-0000494D0000}"/>
    <cellStyle name="Normal 2 15 2 2 2 4" xfId="9715" xr:uid="{00000000-0005-0000-0000-00004A4D0000}"/>
    <cellStyle name="Normal 2 15 2 2 2 4 2" xfId="19039" xr:uid="{00000000-0005-0000-0000-00004B4D0000}"/>
    <cellStyle name="Normal 2 15 2 2 2 4 3" xfId="28362" xr:uid="{00000000-0005-0000-0000-00004C4D0000}"/>
    <cellStyle name="Normal 2 15 2 2 2 5" xfId="10209" xr:uid="{00000000-0005-0000-0000-00004D4D0000}"/>
    <cellStyle name="Normal 2 15 2 2 2 6" xfId="19533" xr:uid="{00000000-0005-0000-0000-00004E4D0000}"/>
    <cellStyle name="Normal 2 15 2 2 3" xfId="852" xr:uid="{00000000-0005-0000-0000-00004F4D0000}"/>
    <cellStyle name="Normal 2 15 2 2 3 2" xfId="7346" xr:uid="{00000000-0005-0000-0000-0000504D0000}"/>
    <cellStyle name="Normal 2 15 2 2 3 2 2" xfId="16670" xr:uid="{00000000-0005-0000-0000-0000514D0000}"/>
    <cellStyle name="Normal 2 15 2 2 3 2 3" xfId="25993" xr:uid="{00000000-0005-0000-0000-0000524D0000}"/>
    <cellStyle name="Normal 2 15 2 2 3 3" xfId="10453" xr:uid="{00000000-0005-0000-0000-0000534D0000}"/>
    <cellStyle name="Normal 2 15 2 2 3 4" xfId="19777" xr:uid="{00000000-0005-0000-0000-0000544D0000}"/>
    <cellStyle name="Normal 2 15 2 2 4" xfId="7189" xr:uid="{00000000-0005-0000-0000-0000554D0000}"/>
    <cellStyle name="Normal 2 15 2 2 4 2" xfId="16513" xr:uid="{00000000-0005-0000-0000-0000564D0000}"/>
    <cellStyle name="Normal 2 15 2 2 4 3" xfId="25836" xr:uid="{00000000-0005-0000-0000-0000574D0000}"/>
    <cellStyle name="Normal 2 15 2 2 5" xfId="9475" xr:uid="{00000000-0005-0000-0000-0000584D0000}"/>
    <cellStyle name="Normal 2 15 2 2 5 2" xfId="18799" xr:uid="{00000000-0005-0000-0000-0000594D0000}"/>
    <cellStyle name="Normal 2 15 2 2 5 3" xfId="28122" xr:uid="{00000000-0005-0000-0000-00005A4D0000}"/>
    <cellStyle name="Normal 2 15 2 2 6" xfId="9969" xr:uid="{00000000-0005-0000-0000-00005B4D0000}"/>
    <cellStyle name="Normal 2 15 2 2 7" xfId="19293" xr:uid="{00000000-0005-0000-0000-00005C4D0000}"/>
    <cellStyle name="Normal 2 15 2 3" xfId="482" xr:uid="{00000000-0005-0000-0000-00005D4D0000}"/>
    <cellStyle name="Normal 2 15 2 3 2" xfId="970" xr:uid="{00000000-0005-0000-0000-00005E4D0000}"/>
    <cellStyle name="Normal 2 15 2 3 2 2" xfId="4563" xr:uid="{00000000-0005-0000-0000-00005F4D0000}"/>
    <cellStyle name="Normal 2 15 2 3 2 2 2" xfId="13887" xr:uid="{00000000-0005-0000-0000-0000604D0000}"/>
    <cellStyle name="Normal 2 15 2 3 2 2 3" xfId="23210" xr:uid="{00000000-0005-0000-0000-0000614D0000}"/>
    <cellStyle name="Normal 2 15 2 3 2 3" xfId="10571" xr:uid="{00000000-0005-0000-0000-0000624D0000}"/>
    <cellStyle name="Normal 2 15 2 3 2 4" xfId="19895" xr:uid="{00000000-0005-0000-0000-0000634D0000}"/>
    <cellStyle name="Normal 2 15 2 3 3" xfId="7121" xr:uid="{00000000-0005-0000-0000-0000644D0000}"/>
    <cellStyle name="Normal 2 15 2 3 3 2" xfId="16445" xr:uid="{00000000-0005-0000-0000-0000654D0000}"/>
    <cellStyle name="Normal 2 15 2 3 3 3" xfId="25768" xr:uid="{00000000-0005-0000-0000-0000664D0000}"/>
    <cellStyle name="Normal 2 15 2 3 4" xfId="9593" xr:uid="{00000000-0005-0000-0000-0000674D0000}"/>
    <cellStyle name="Normal 2 15 2 3 4 2" xfId="18917" xr:uid="{00000000-0005-0000-0000-0000684D0000}"/>
    <cellStyle name="Normal 2 15 2 3 4 3" xfId="28240" xr:uid="{00000000-0005-0000-0000-0000694D0000}"/>
    <cellStyle name="Normal 2 15 2 3 5" xfId="10087" xr:uid="{00000000-0005-0000-0000-00006A4D0000}"/>
    <cellStyle name="Normal 2 15 2 3 6" xfId="19411" xr:uid="{00000000-0005-0000-0000-00006B4D0000}"/>
    <cellStyle name="Normal 2 15 2 4" xfId="730" xr:uid="{00000000-0005-0000-0000-00006C4D0000}"/>
    <cellStyle name="Normal 2 15 2 4 2" xfId="6992" xr:uid="{00000000-0005-0000-0000-00006D4D0000}"/>
    <cellStyle name="Normal 2 15 2 4 2 2" xfId="16316" xr:uid="{00000000-0005-0000-0000-00006E4D0000}"/>
    <cellStyle name="Normal 2 15 2 4 2 3" xfId="25639" xr:uid="{00000000-0005-0000-0000-00006F4D0000}"/>
    <cellStyle name="Normal 2 15 2 4 3" xfId="10331" xr:uid="{00000000-0005-0000-0000-0000704D0000}"/>
    <cellStyle name="Normal 2 15 2 4 4" xfId="19655" xr:uid="{00000000-0005-0000-0000-0000714D0000}"/>
    <cellStyle name="Normal 2 15 2 5" xfId="7254" xr:uid="{00000000-0005-0000-0000-0000724D0000}"/>
    <cellStyle name="Normal 2 15 2 5 2" xfId="16578" xr:uid="{00000000-0005-0000-0000-0000734D0000}"/>
    <cellStyle name="Normal 2 15 2 5 3" xfId="25901" xr:uid="{00000000-0005-0000-0000-0000744D0000}"/>
    <cellStyle name="Normal 2 15 2 6" xfId="9352" xr:uid="{00000000-0005-0000-0000-0000754D0000}"/>
    <cellStyle name="Normal 2 15 2 6 2" xfId="18676" xr:uid="{00000000-0005-0000-0000-0000764D0000}"/>
    <cellStyle name="Normal 2 15 2 6 3" xfId="27999" xr:uid="{00000000-0005-0000-0000-0000774D0000}"/>
    <cellStyle name="Normal 2 15 2 7" xfId="9846" xr:uid="{00000000-0005-0000-0000-0000784D0000}"/>
    <cellStyle name="Normal 2 15 2 8" xfId="19170" xr:uid="{00000000-0005-0000-0000-0000794D0000}"/>
    <cellStyle name="Normal 2 15 3" xfId="304" xr:uid="{00000000-0005-0000-0000-00007A4D0000}"/>
    <cellStyle name="Normal 2 15 3 2" xfId="548" xr:uid="{00000000-0005-0000-0000-00007B4D0000}"/>
    <cellStyle name="Normal 2 15 3 2 2" xfId="1036" xr:uid="{00000000-0005-0000-0000-00007C4D0000}"/>
    <cellStyle name="Normal 2 15 3 2 2 2" xfId="7341" xr:uid="{00000000-0005-0000-0000-00007D4D0000}"/>
    <cellStyle name="Normal 2 15 3 2 2 2 2" xfId="16665" xr:uid="{00000000-0005-0000-0000-00007E4D0000}"/>
    <cellStyle name="Normal 2 15 3 2 2 2 3" xfId="25988" xr:uid="{00000000-0005-0000-0000-00007F4D0000}"/>
    <cellStyle name="Normal 2 15 3 2 2 3" xfId="10637" xr:uid="{00000000-0005-0000-0000-0000804D0000}"/>
    <cellStyle name="Normal 2 15 3 2 2 4" xfId="19961" xr:uid="{00000000-0005-0000-0000-0000814D0000}"/>
    <cellStyle name="Normal 2 15 3 2 3" xfId="7090" xr:uid="{00000000-0005-0000-0000-0000824D0000}"/>
    <cellStyle name="Normal 2 15 3 2 3 2" xfId="16414" xr:uid="{00000000-0005-0000-0000-0000834D0000}"/>
    <cellStyle name="Normal 2 15 3 2 3 3" xfId="25737" xr:uid="{00000000-0005-0000-0000-0000844D0000}"/>
    <cellStyle name="Normal 2 15 3 2 4" xfId="9659" xr:uid="{00000000-0005-0000-0000-0000854D0000}"/>
    <cellStyle name="Normal 2 15 3 2 4 2" xfId="18983" xr:uid="{00000000-0005-0000-0000-0000864D0000}"/>
    <cellStyle name="Normal 2 15 3 2 4 3" xfId="28306" xr:uid="{00000000-0005-0000-0000-0000874D0000}"/>
    <cellStyle name="Normal 2 15 3 2 5" xfId="10153" xr:uid="{00000000-0005-0000-0000-0000884D0000}"/>
    <cellStyle name="Normal 2 15 3 2 6" xfId="19477" xr:uid="{00000000-0005-0000-0000-0000894D0000}"/>
    <cellStyle name="Normal 2 15 3 3" xfId="796" xr:uid="{00000000-0005-0000-0000-00008A4D0000}"/>
    <cellStyle name="Normal 2 15 3 3 2" xfId="6945" xr:uid="{00000000-0005-0000-0000-00008B4D0000}"/>
    <cellStyle name="Normal 2 15 3 3 2 2" xfId="16269" xr:uid="{00000000-0005-0000-0000-00008C4D0000}"/>
    <cellStyle name="Normal 2 15 3 3 2 3" xfId="25592" xr:uid="{00000000-0005-0000-0000-00008D4D0000}"/>
    <cellStyle name="Normal 2 15 3 3 3" xfId="10397" xr:uid="{00000000-0005-0000-0000-00008E4D0000}"/>
    <cellStyle name="Normal 2 15 3 3 4" xfId="19721" xr:uid="{00000000-0005-0000-0000-00008F4D0000}"/>
    <cellStyle name="Normal 2 15 3 4" xfId="7222" xr:uid="{00000000-0005-0000-0000-0000904D0000}"/>
    <cellStyle name="Normal 2 15 3 4 2" xfId="16546" xr:uid="{00000000-0005-0000-0000-0000914D0000}"/>
    <cellStyle name="Normal 2 15 3 4 3" xfId="25869" xr:uid="{00000000-0005-0000-0000-0000924D0000}"/>
    <cellStyle name="Normal 2 15 3 5" xfId="9419" xr:uid="{00000000-0005-0000-0000-0000934D0000}"/>
    <cellStyle name="Normal 2 15 3 5 2" xfId="18743" xr:uid="{00000000-0005-0000-0000-0000944D0000}"/>
    <cellStyle name="Normal 2 15 3 5 3" xfId="28066" xr:uid="{00000000-0005-0000-0000-0000954D0000}"/>
    <cellStyle name="Normal 2 15 3 6" xfId="9913" xr:uid="{00000000-0005-0000-0000-0000964D0000}"/>
    <cellStyle name="Normal 2 15 3 7" xfId="19237" xr:uid="{00000000-0005-0000-0000-0000974D0000}"/>
    <cellStyle name="Normal 2 15 4" xfId="423" xr:uid="{00000000-0005-0000-0000-0000984D0000}"/>
    <cellStyle name="Normal 2 15 4 2" xfId="911" xr:uid="{00000000-0005-0000-0000-0000994D0000}"/>
    <cellStyle name="Normal 2 15 4 2 2" xfId="6854" xr:uid="{00000000-0005-0000-0000-00009A4D0000}"/>
    <cellStyle name="Normal 2 15 4 2 2 2" xfId="16178" xr:uid="{00000000-0005-0000-0000-00009B4D0000}"/>
    <cellStyle name="Normal 2 15 4 2 2 3" xfId="25501" xr:uid="{00000000-0005-0000-0000-00009C4D0000}"/>
    <cellStyle name="Normal 2 15 4 2 3" xfId="10512" xr:uid="{00000000-0005-0000-0000-00009D4D0000}"/>
    <cellStyle name="Normal 2 15 4 2 4" xfId="19836" xr:uid="{00000000-0005-0000-0000-00009E4D0000}"/>
    <cellStyle name="Normal 2 15 4 3" xfId="7160" xr:uid="{00000000-0005-0000-0000-00009F4D0000}"/>
    <cellStyle name="Normal 2 15 4 3 2" xfId="16484" xr:uid="{00000000-0005-0000-0000-0000A04D0000}"/>
    <cellStyle name="Normal 2 15 4 3 3" xfId="25807" xr:uid="{00000000-0005-0000-0000-0000A14D0000}"/>
    <cellStyle name="Normal 2 15 4 4" xfId="9534" xr:uid="{00000000-0005-0000-0000-0000A24D0000}"/>
    <cellStyle name="Normal 2 15 4 4 2" xfId="18858" xr:uid="{00000000-0005-0000-0000-0000A34D0000}"/>
    <cellStyle name="Normal 2 15 4 4 3" xfId="28181" xr:uid="{00000000-0005-0000-0000-0000A44D0000}"/>
    <cellStyle name="Normal 2 15 4 5" xfId="10028" xr:uid="{00000000-0005-0000-0000-0000A54D0000}"/>
    <cellStyle name="Normal 2 15 4 6" xfId="19352" xr:uid="{00000000-0005-0000-0000-0000A64D0000}"/>
    <cellStyle name="Normal 2 15 5" xfId="671" xr:uid="{00000000-0005-0000-0000-0000A74D0000}"/>
    <cellStyle name="Normal 2 15 5 2" xfId="4612" xr:uid="{00000000-0005-0000-0000-0000A84D0000}"/>
    <cellStyle name="Normal 2 15 5 2 2" xfId="13936" xr:uid="{00000000-0005-0000-0000-0000A94D0000}"/>
    <cellStyle name="Normal 2 15 5 2 3" xfId="23259" xr:uid="{00000000-0005-0000-0000-0000AA4D0000}"/>
    <cellStyle name="Normal 2 15 5 3" xfId="10272" xr:uid="{00000000-0005-0000-0000-0000AB4D0000}"/>
    <cellStyle name="Normal 2 15 5 4" xfId="19596" xr:uid="{00000000-0005-0000-0000-0000AC4D0000}"/>
    <cellStyle name="Normal 2 15 6" xfId="7287" xr:uid="{00000000-0005-0000-0000-0000AD4D0000}"/>
    <cellStyle name="Normal 2 15 6 2" xfId="16611" xr:uid="{00000000-0005-0000-0000-0000AE4D0000}"/>
    <cellStyle name="Normal 2 15 6 3" xfId="25934" xr:uid="{00000000-0005-0000-0000-0000AF4D0000}"/>
    <cellStyle name="Normal 2 15 7" xfId="9293" xr:uid="{00000000-0005-0000-0000-0000B04D0000}"/>
    <cellStyle name="Normal 2 15 7 2" xfId="18617" xr:uid="{00000000-0005-0000-0000-0000B14D0000}"/>
    <cellStyle name="Normal 2 15 7 3" xfId="27940" xr:uid="{00000000-0005-0000-0000-0000B24D0000}"/>
    <cellStyle name="Normal 2 15 8" xfId="9787" xr:uid="{00000000-0005-0000-0000-0000B34D0000}"/>
    <cellStyle name="Normal 2 15 9" xfId="19111" xr:uid="{00000000-0005-0000-0000-0000B44D0000}"/>
    <cellStyle name="Normal 2 16" xfId="121" xr:uid="{00000000-0005-0000-0000-0000B54D0000}"/>
    <cellStyle name="Normal 2 16 2" xfId="225" xr:uid="{00000000-0005-0000-0000-0000B64D0000}"/>
    <cellStyle name="Normal 2 16 2 2" xfId="365" xr:uid="{00000000-0005-0000-0000-0000B74D0000}"/>
    <cellStyle name="Normal 2 16 2 2 2" xfId="605" xr:uid="{00000000-0005-0000-0000-0000B84D0000}"/>
    <cellStyle name="Normal 2 16 2 2 2 2" xfId="1093" xr:uid="{00000000-0005-0000-0000-0000B94D0000}"/>
    <cellStyle name="Normal 2 16 2 2 2 2 2" xfId="6730" xr:uid="{00000000-0005-0000-0000-0000BA4D0000}"/>
    <cellStyle name="Normal 2 16 2 2 2 2 2 2" xfId="16054" xr:uid="{00000000-0005-0000-0000-0000BB4D0000}"/>
    <cellStyle name="Normal 2 16 2 2 2 2 2 3" xfId="25377" xr:uid="{00000000-0005-0000-0000-0000BC4D0000}"/>
    <cellStyle name="Normal 2 16 2 2 2 2 3" xfId="10694" xr:uid="{00000000-0005-0000-0000-0000BD4D0000}"/>
    <cellStyle name="Normal 2 16 2 2 2 2 4" xfId="20018" xr:uid="{00000000-0005-0000-0000-0000BE4D0000}"/>
    <cellStyle name="Normal 2 16 2 2 2 3" xfId="7051" xr:uid="{00000000-0005-0000-0000-0000BF4D0000}"/>
    <cellStyle name="Normal 2 16 2 2 2 3 2" xfId="16375" xr:uid="{00000000-0005-0000-0000-0000C04D0000}"/>
    <cellStyle name="Normal 2 16 2 2 2 3 3" xfId="25698" xr:uid="{00000000-0005-0000-0000-0000C14D0000}"/>
    <cellStyle name="Normal 2 16 2 2 2 4" xfId="9716" xr:uid="{00000000-0005-0000-0000-0000C24D0000}"/>
    <cellStyle name="Normal 2 16 2 2 2 4 2" xfId="19040" xr:uid="{00000000-0005-0000-0000-0000C34D0000}"/>
    <cellStyle name="Normal 2 16 2 2 2 4 3" xfId="28363" xr:uid="{00000000-0005-0000-0000-0000C44D0000}"/>
    <cellStyle name="Normal 2 16 2 2 2 5" xfId="10210" xr:uid="{00000000-0005-0000-0000-0000C54D0000}"/>
    <cellStyle name="Normal 2 16 2 2 2 6" xfId="19534" xr:uid="{00000000-0005-0000-0000-0000C64D0000}"/>
    <cellStyle name="Normal 2 16 2 2 3" xfId="853" xr:uid="{00000000-0005-0000-0000-0000C74D0000}"/>
    <cellStyle name="Normal 2 16 2 2 3 2" xfId="6896" xr:uid="{00000000-0005-0000-0000-0000C84D0000}"/>
    <cellStyle name="Normal 2 16 2 2 3 2 2" xfId="16220" xr:uid="{00000000-0005-0000-0000-0000C94D0000}"/>
    <cellStyle name="Normal 2 16 2 2 3 2 3" xfId="25543" xr:uid="{00000000-0005-0000-0000-0000CA4D0000}"/>
    <cellStyle name="Normal 2 16 2 2 3 3" xfId="10454" xr:uid="{00000000-0005-0000-0000-0000CB4D0000}"/>
    <cellStyle name="Normal 2 16 2 2 3 4" xfId="19778" xr:uid="{00000000-0005-0000-0000-0000CC4D0000}"/>
    <cellStyle name="Normal 2 16 2 2 4" xfId="7188" xr:uid="{00000000-0005-0000-0000-0000CD4D0000}"/>
    <cellStyle name="Normal 2 16 2 2 4 2" xfId="16512" xr:uid="{00000000-0005-0000-0000-0000CE4D0000}"/>
    <cellStyle name="Normal 2 16 2 2 4 3" xfId="25835" xr:uid="{00000000-0005-0000-0000-0000CF4D0000}"/>
    <cellStyle name="Normal 2 16 2 2 5" xfId="9476" xr:uid="{00000000-0005-0000-0000-0000D04D0000}"/>
    <cellStyle name="Normal 2 16 2 2 5 2" xfId="18800" xr:uid="{00000000-0005-0000-0000-0000D14D0000}"/>
    <cellStyle name="Normal 2 16 2 2 5 3" xfId="28123" xr:uid="{00000000-0005-0000-0000-0000D24D0000}"/>
    <cellStyle name="Normal 2 16 2 2 6" xfId="9970" xr:uid="{00000000-0005-0000-0000-0000D34D0000}"/>
    <cellStyle name="Normal 2 16 2 2 7" xfId="19294" xr:uid="{00000000-0005-0000-0000-0000D44D0000}"/>
    <cellStyle name="Normal 2 16 2 3" xfId="483" xr:uid="{00000000-0005-0000-0000-0000D54D0000}"/>
    <cellStyle name="Normal 2 16 2 3 2" xfId="971" xr:uid="{00000000-0005-0000-0000-0000D64D0000}"/>
    <cellStyle name="Normal 2 16 2 3 2 2" xfId="6814" xr:uid="{00000000-0005-0000-0000-0000D74D0000}"/>
    <cellStyle name="Normal 2 16 2 3 2 2 2" xfId="16138" xr:uid="{00000000-0005-0000-0000-0000D84D0000}"/>
    <cellStyle name="Normal 2 16 2 3 2 2 3" xfId="25461" xr:uid="{00000000-0005-0000-0000-0000D94D0000}"/>
    <cellStyle name="Normal 2 16 2 3 2 3" xfId="10572" xr:uid="{00000000-0005-0000-0000-0000DA4D0000}"/>
    <cellStyle name="Normal 2 16 2 3 2 4" xfId="19896" xr:uid="{00000000-0005-0000-0000-0000DB4D0000}"/>
    <cellStyle name="Normal 2 16 2 3 3" xfId="7124" xr:uid="{00000000-0005-0000-0000-0000DC4D0000}"/>
    <cellStyle name="Normal 2 16 2 3 3 2" xfId="16448" xr:uid="{00000000-0005-0000-0000-0000DD4D0000}"/>
    <cellStyle name="Normal 2 16 2 3 3 3" xfId="25771" xr:uid="{00000000-0005-0000-0000-0000DE4D0000}"/>
    <cellStyle name="Normal 2 16 2 3 4" xfId="9594" xr:uid="{00000000-0005-0000-0000-0000DF4D0000}"/>
    <cellStyle name="Normal 2 16 2 3 4 2" xfId="18918" xr:uid="{00000000-0005-0000-0000-0000E04D0000}"/>
    <cellStyle name="Normal 2 16 2 3 4 3" xfId="28241" xr:uid="{00000000-0005-0000-0000-0000E14D0000}"/>
    <cellStyle name="Normal 2 16 2 3 5" xfId="10088" xr:uid="{00000000-0005-0000-0000-0000E24D0000}"/>
    <cellStyle name="Normal 2 16 2 3 6" xfId="19412" xr:uid="{00000000-0005-0000-0000-0000E34D0000}"/>
    <cellStyle name="Normal 2 16 2 4" xfId="731" xr:uid="{00000000-0005-0000-0000-0000E44D0000}"/>
    <cellStyle name="Normal 2 16 2 4 2" xfId="4626" xr:uid="{00000000-0005-0000-0000-0000E54D0000}"/>
    <cellStyle name="Normal 2 16 2 4 2 2" xfId="13950" xr:uid="{00000000-0005-0000-0000-0000E64D0000}"/>
    <cellStyle name="Normal 2 16 2 4 2 3" xfId="23273" xr:uid="{00000000-0005-0000-0000-0000E74D0000}"/>
    <cellStyle name="Normal 2 16 2 4 3" xfId="10332" xr:uid="{00000000-0005-0000-0000-0000E84D0000}"/>
    <cellStyle name="Normal 2 16 2 4 4" xfId="19656" xr:uid="{00000000-0005-0000-0000-0000E94D0000}"/>
    <cellStyle name="Normal 2 16 2 5" xfId="7253" xr:uid="{00000000-0005-0000-0000-0000EA4D0000}"/>
    <cellStyle name="Normal 2 16 2 5 2" xfId="16577" xr:uid="{00000000-0005-0000-0000-0000EB4D0000}"/>
    <cellStyle name="Normal 2 16 2 5 3" xfId="25900" xr:uid="{00000000-0005-0000-0000-0000EC4D0000}"/>
    <cellStyle name="Normal 2 16 2 6" xfId="9353" xr:uid="{00000000-0005-0000-0000-0000ED4D0000}"/>
    <cellStyle name="Normal 2 16 2 6 2" xfId="18677" xr:uid="{00000000-0005-0000-0000-0000EE4D0000}"/>
    <cellStyle name="Normal 2 16 2 6 3" xfId="28000" xr:uid="{00000000-0005-0000-0000-0000EF4D0000}"/>
    <cellStyle name="Normal 2 16 2 7" xfId="9847" xr:uid="{00000000-0005-0000-0000-0000F04D0000}"/>
    <cellStyle name="Normal 2 16 2 8" xfId="19171" xr:uid="{00000000-0005-0000-0000-0000F14D0000}"/>
    <cellStyle name="Normal 2 16 3" xfId="305" xr:uid="{00000000-0005-0000-0000-0000F24D0000}"/>
    <cellStyle name="Normal 2 16 3 2" xfId="549" xr:uid="{00000000-0005-0000-0000-0000F34D0000}"/>
    <cellStyle name="Normal 2 16 3 2 2" xfId="1037" xr:uid="{00000000-0005-0000-0000-0000F44D0000}"/>
    <cellStyle name="Normal 2 16 3 2 2 2" xfId="6772" xr:uid="{00000000-0005-0000-0000-0000F54D0000}"/>
    <cellStyle name="Normal 2 16 3 2 2 2 2" xfId="16096" xr:uid="{00000000-0005-0000-0000-0000F64D0000}"/>
    <cellStyle name="Normal 2 16 3 2 2 2 3" xfId="25419" xr:uid="{00000000-0005-0000-0000-0000F74D0000}"/>
    <cellStyle name="Normal 2 16 3 2 2 3" xfId="10638" xr:uid="{00000000-0005-0000-0000-0000F84D0000}"/>
    <cellStyle name="Normal 2 16 3 2 2 4" xfId="19962" xr:uid="{00000000-0005-0000-0000-0000F94D0000}"/>
    <cellStyle name="Normal 2 16 3 2 3" xfId="7089" xr:uid="{00000000-0005-0000-0000-0000FA4D0000}"/>
    <cellStyle name="Normal 2 16 3 2 3 2" xfId="16413" xr:uid="{00000000-0005-0000-0000-0000FB4D0000}"/>
    <cellStyle name="Normal 2 16 3 2 3 3" xfId="25736" xr:uid="{00000000-0005-0000-0000-0000FC4D0000}"/>
    <cellStyle name="Normal 2 16 3 2 4" xfId="9660" xr:uid="{00000000-0005-0000-0000-0000FD4D0000}"/>
    <cellStyle name="Normal 2 16 3 2 4 2" xfId="18984" xr:uid="{00000000-0005-0000-0000-0000FE4D0000}"/>
    <cellStyle name="Normal 2 16 3 2 4 3" xfId="28307" xr:uid="{00000000-0005-0000-0000-0000FF4D0000}"/>
    <cellStyle name="Normal 2 16 3 2 5" xfId="10154" xr:uid="{00000000-0005-0000-0000-0000004E0000}"/>
    <cellStyle name="Normal 2 16 3 2 6" xfId="19478" xr:uid="{00000000-0005-0000-0000-0000014E0000}"/>
    <cellStyle name="Normal 2 16 3 3" xfId="797" xr:uid="{00000000-0005-0000-0000-0000024E0000}"/>
    <cellStyle name="Normal 2 16 3 3 2" xfId="6946" xr:uid="{00000000-0005-0000-0000-0000034E0000}"/>
    <cellStyle name="Normal 2 16 3 3 2 2" xfId="16270" xr:uid="{00000000-0005-0000-0000-0000044E0000}"/>
    <cellStyle name="Normal 2 16 3 3 2 3" xfId="25593" xr:uid="{00000000-0005-0000-0000-0000054E0000}"/>
    <cellStyle name="Normal 2 16 3 3 3" xfId="10398" xr:uid="{00000000-0005-0000-0000-0000064E0000}"/>
    <cellStyle name="Normal 2 16 3 3 4" xfId="19722" xr:uid="{00000000-0005-0000-0000-0000074E0000}"/>
    <cellStyle name="Normal 2 16 3 4" xfId="7221" xr:uid="{00000000-0005-0000-0000-0000084E0000}"/>
    <cellStyle name="Normal 2 16 3 4 2" xfId="16545" xr:uid="{00000000-0005-0000-0000-0000094E0000}"/>
    <cellStyle name="Normal 2 16 3 4 3" xfId="25868" xr:uid="{00000000-0005-0000-0000-00000A4E0000}"/>
    <cellStyle name="Normal 2 16 3 5" xfId="9420" xr:uid="{00000000-0005-0000-0000-00000B4E0000}"/>
    <cellStyle name="Normal 2 16 3 5 2" xfId="18744" xr:uid="{00000000-0005-0000-0000-00000C4E0000}"/>
    <cellStyle name="Normal 2 16 3 5 3" xfId="28067" xr:uid="{00000000-0005-0000-0000-00000D4E0000}"/>
    <cellStyle name="Normal 2 16 3 6" xfId="9914" xr:uid="{00000000-0005-0000-0000-00000E4E0000}"/>
    <cellStyle name="Normal 2 16 3 7" xfId="19238" xr:uid="{00000000-0005-0000-0000-00000F4E0000}"/>
    <cellStyle name="Normal 2 16 4" xfId="424" xr:uid="{00000000-0005-0000-0000-0000104E0000}"/>
    <cellStyle name="Normal 2 16 4 2" xfId="912" xr:uid="{00000000-0005-0000-0000-0000114E0000}"/>
    <cellStyle name="Normal 2 16 4 2 2" xfId="6853" xr:uid="{00000000-0005-0000-0000-0000124E0000}"/>
    <cellStyle name="Normal 2 16 4 2 2 2" xfId="16177" xr:uid="{00000000-0005-0000-0000-0000134E0000}"/>
    <cellStyle name="Normal 2 16 4 2 2 3" xfId="25500" xr:uid="{00000000-0005-0000-0000-0000144E0000}"/>
    <cellStyle name="Normal 2 16 4 2 3" xfId="10513" xr:uid="{00000000-0005-0000-0000-0000154E0000}"/>
    <cellStyle name="Normal 2 16 4 2 4" xfId="19837" xr:uid="{00000000-0005-0000-0000-0000164E0000}"/>
    <cellStyle name="Normal 2 16 4 3" xfId="7159" xr:uid="{00000000-0005-0000-0000-0000174E0000}"/>
    <cellStyle name="Normal 2 16 4 3 2" xfId="16483" xr:uid="{00000000-0005-0000-0000-0000184E0000}"/>
    <cellStyle name="Normal 2 16 4 3 3" xfId="25806" xr:uid="{00000000-0005-0000-0000-0000194E0000}"/>
    <cellStyle name="Normal 2 16 4 4" xfId="9535" xr:uid="{00000000-0005-0000-0000-00001A4E0000}"/>
    <cellStyle name="Normal 2 16 4 4 2" xfId="18859" xr:uid="{00000000-0005-0000-0000-00001B4E0000}"/>
    <cellStyle name="Normal 2 16 4 4 3" xfId="28182" xr:uid="{00000000-0005-0000-0000-00001C4E0000}"/>
    <cellStyle name="Normal 2 16 4 5" xfId="10029" xr:uid="{00000000-0005-0000-0000-00001D4E0000}"/>
    <cellStyle name="Normal 2 16 4 6" xfId="19353" xr:uid="{00000000-0005-0000-0000-00001E4E0000}"/>
    <cellStyle name="Normal 2 16 5" xfId="672" xr:uid="{00000000-0005-0000-0000-00001F4E0000}"/>
    <cellStyle name="Normal 2 16 5 2" xfId="5983" xr:uid="{00000000-0005-0000-0000-0000204E0000}"/>
    <cellStyle name="Normal 2 16 5 2 2" xfId="15307" xr:uid="{00000000-0005-0000-0000-0000214E0000}"/>
    <cellStyle name="Normal 2 16 5 2 3" xfId="24630" xr:uid="{00000000-0005-0000-0000-0000224E0000}"/>
    <cellStyle name="Normal 2 16 5 3" xfId="10273" xr:uid="{00000000-0005-0000-0000-0000234E0000}"/>
    <cellStyle name="Normal 2 16 5 4" xfId="19597" xr:uid="{00000000-0005-0000-0000-0000244E0000}"/>
    <cellStyle name="Normal 2 16 6" xfId="7286" xr:uid="{00000000-0005-0000-0000-0000254E0000}"/>
    <cellStyle name="Normal 2 16 6 2" xfId="16610" xr:uid="{00000000-0005-0000-0000-0000264E0000}"/>
    <cellStyle name="Normal 2 16 6 3" xfId="25933" xr:uid="{00000000-0005-0000-0000-0000274E0000}"/>
    <cellStyle name="Normal 2 16 7" xfId="9294" xr:uid="{00000000-0005-0000-0000-0000284E0000}"/>
    <cellStyle name="Normal 2 16 7 2" xfId="18618" xr:uid="{00000000-0005-0000-0000-0000294E0000}"/>
    <cellStyle name="Normal 2 16 7 3" xfId="27941" xr:uid="{00000000-0005-0000-0000-00002A4E0000}"/>
    <cellStyle name="Normal 2 16 8" xfId="9788" xr:uid="{00000000-0005-0000-0000-00002B4E0000}"/>
    <cellStyle name="Normal 2 16 9" xfId="19112" xr:uid="{00000000-0005-0000-0000-00002C4E0000}"/>
    <cellStyle name="Normal 2 17" xfId="114" xr:uid="{00000000-0005-0000-0000-00002D4E0000}"/>
    <cellStyle name="Normal 2 18" xfId="283" xr:uid="{00000000-0005-0000-0000-00002E4E0000}"/>
    <cellStyle name="Normal 2 19" xfId="258" xr:uid="{00000000-0005-0000-0000-00002F4E0000}"/>
    <cellStyle name="Normal 2 19 2" xfId="512" xr:uid="{00000000-0005-0000-0000-0000304E0000}"/>
    <cellStyle name="Normal 2 19 2 2" xfId="1000" xr:uid="{00000000-0005-0000-0000-0000314E0000}"/>
    <cellStyle name="Normal 2 19 2 2 2" xfId="5489" xr:uid="{00000000-0005-0000-0000-0000324E0000}"/>
    <cellStyle name="Normal 2 19 2 2 2 2" xfId="14813" xr:uid="{00000000-0005-0000-0000-0000334E0000}"/>
    <cellStyle name="Normal 2 19 2 2 2 3" xfId="24136" xr:uid="{00000000-0005-0000-0000-0000344E0000}"/>
    <cellStyle name="Normal 2 19 2 2 3" xfId="10601" xr:uid="{00000000-0005-0000-0000-0000354E0000}"/>
    <cellStyle name="Normal 2 19 2 2 4" xfId="19925" xr:uid="{00000000-0005-0000-0000-0000364E0000}"/>
    <cellStyle name="Normal 2 19 2 3" xfId="7112" xr:uid="{00000000-0005-0000-0000-0000374E0000}"/>
    <cellStyle name="Normal 2 19 2 3 2" xfId="16436" xr:uid="{00000000-0005-0000-0000-0000384E0000}"/>
    <cellStyle name="Normal 2 19 2 3 3" xfId="25759" xr:uid="{00000000-0005-0000-0000-0000394E0000}"/>
    <cellStyle name="Normal 2 19 2 4" xfId="9623" xr:uid="{00000000-0005-0000-0000-00003A4E0000}"/>
    <cellStyle name="Normal 2 19 2 4 2" xfId="18947" xr:uid="{00000000-0005-0000-0000-00003B4E0000}"/>
    <cellStyle name="Normal 2 19 2 4 3" xfId="28270" xr:uid="{00000000-0005-0000-0000-00003C4E0000}"/>
    <cellStyle name="Normal 2 19 2 5" xfId="10117" xr:uid="{00000000-0005-0000-0000-00003D4E0000}"/>
    <cellStyle name="Normal 2 19 2 6" xfId="19441" xr:uid="{00000000-0005-0000-0000-00003E4E0000}"/>
    <cellStyle name="Normal 2 19 3" xfId="760" xr:uid="{00000000-0005-0000-0000-00003F4E0000}"/>
    <cellStyle name="Normal 2 19 3 2" xfId="6971" xr:uid="{00000000-0005-0000-0000-0000404E0000}"/>
    <cellStyle name="Normal 2 19 3 2 2" xfId="16295" xr:uid="{00000000-0005-0000-0000-0000414E0000}"/>
    <cellStyle name="Normal 2 19 3 2 3" xfId="25618" xr:uid="{00000000-0005-0000-0000-0000424E0000}"/>
    <cellStyle name="Normal 2 19 3 3" xfId="10361" xr:uid="{00000000-0005-0000-0000-0000434E0000}"/>
    <cellStyle name="Normal 2 19 3 4" xfId="19685" xr:uid="{00000000-0005-0000-0000-0000444E0000}"/>
    <cellStyle name="Normal 2 19 4" xfId="7243" xr:uid="{00000000-0005-0000-0000-0000454E0000}"/>
    <cellStyle name="Normal 2 19 4 2" xfId="16567" xr:uid="{00000000-0005-0000-0000-0000464E0000}"/>
    <cellStyle name="Normal 2 19 4 3" xfId="25890" xr:uid="{00000000-0005-0000-0000-0000474E0000}"/>
    <cellStyle name="Normal 2 19 5" xfId="9382" xr:uid="{00000000-0005-0000-0000-0000484E0000}"/>
    <cellStyle name="Normal 2 19 5 2" xfId="18706" xr:uid="{00000000-0005-0000-0000-0000494E0000}"/>
    <cellStyle name="Normal 2 19 5 3" xfId="28029" xr:uid="{00000000-0005-0000-0000-00004A4E0000}"/>
    <cellStyle name="Normal 2 19 6" xfId="9876" xr:uid="{00000000-0005-0000-0000-00004B4E0000}"/>
    <cellStyle name="Normal 2 19 7" xfId="19200" xr:uid="{00000000-0005-0000-0000-00004C4E0000}"/>
    <cellStyle name="Normal 2 19 8" xfId="28546" xr:uid="{00000000-0005-0000-0000-00004D4E0000}"/>
    <cellStyle name="Normal 2 2" xfId="122" xr:uid="{00000000-0005-0000-0000-00004E4E0000}"/>
    <cellStyle name="Normal 2 2 10" xfId="123" xr:uid="{00000000-0005-0000-0000-00004F4E0000}"/>
    <cellStyle name="Normal 2 2 11" xfId="124" xr:uid="{00000000-0005-0000-0000-0000504E0000}"/>
    <cellStyle name="Normal 2 2 12" xfId="125" xr:uid="{00000000-0005-0000-0000-0000514E0000}"/>
    <cellStyle name="Normal 2 2 13" xfId="126" xr:uid="{00000000-0005-0000-0000-0000524E0000}"/>
    <cellStyle name="Normal 2 2 14" xfId="127" xr:uid="{00000000-0005-0000-0000-0000534E0000}"/>
    <cellStyle name="Normal 2 2 15" xfId="128" xr:uid="{00000000-0005-0000-0000-0000544E0000}"/>
    <cellStyle name="Normal 2 2 16" xfId="226" xr:uid="{00000000-0005-0000-0000-0000554E0000}"/>
    <cellStyle name="Normal 2 2 16 2" xfId="366" xr:uid="{00000000-0005-0000-0000-0000564E0000}"/>
    <cellStyle name="Normal 2 2 16 2 2" xfId="606" xr:uid="{00000000-0005-0000-0000-0000574E0000}"/>
    <cellStyle name="Normal 2 2 16 2 2 2" xfId="1094" xr:uid="{00000000-0005-0000-0000-0000584E0000}"/>
    <cellStyle name="Normal 2 2 16 2 2 2 2" xfId="6729" xr:uid="{00000000-0005-0000-0000-0000594E0000}"/>
    <cellStyle name="Normal 2 2 16 2 2 2 2 2" xfId="16053" xr:uid="{00000000-0005-0000-0000-00005A4E0000}"/>
    <cellStyle name="Normal 2 2 16 2 2 2 2 3" xfId="25376" xr:uid="{00000000-0005-0000-0000-00005B4E0000}"/>
    <cellStyle name="Normal 2 2 16 2 2 2 3" xfId="10695" xr:uid="{00000000-0005-0000-0000-00005C4E0000}"/>
    <cellStyle name="Normal 2 2 16 2 2 2 4" xfId="20019" xr:uid="{00000000-0005-0000-0000-00005D4E0000}"/>
    <cellStyle name="Normal 2 2 16 2 2 3" xfId="7050" xr:uid="{00000000-0005-0000-0000-00005E4E0000}"/>
    <cellStyle name="Normal 2 2 16 2 2 3 2" xfId="16374" xr:uid="{00000000-0005-0000-0000-00005F4E0000}"/>
    <cellStyle name="Normal 2 2 16 2 2 3 3" xfId="25697" xr:uid="{00000000-0005-0000-0000-0000604E0000}"/>
    <cellStyle name="Normal 2 2 16 2 2 4" xfId="9717" xr:uid="{00000000-0005-0000-0000-0000614E0000}"/>
    <cellStyle name="Normal 2 2 16 2 2 4 2" xfId="19041" xr:uid="{00000000-0005-0000-0000-0000624E0000}"/>
    <cellStyle name="Normal 2 2 16 2 2 4 3" xfId="28364" xr:uid="{00000000-0005-0000-0000-0000634E0000}"/>
    <cellStyle name="Normal 2 2 16 2 2 5" xfId="10211" xr:uid="{00000000-0005-0000-0000-0000644E0000}"/>
    <cellStyle name="Normal 2 2 16 2 2 6" xfId="19535" xr:uid="{00000000-0005-0000-0000-0000654E0000}"/>
    <cellStyle name="Normal 2 2 16 2 3" xfId="854" xr:uid="{00000000-0005-0000-0000-0000664E0000}"/>
    <cellStyle name="Normal 2 2 16 2 3 2" xfId="6908" xr:uid="{00000000-0005-0000-0000-0000674E0000}"/>
    <cellStyle name="Normal 2 2 16 2 3 2 2" xfId="16232" xr:uid="{00000000-0005-0000-0000-0000684E0000}"/>
    <cellStyle name="Normal 2 2 16 2 3 2 3" xfId="25555" xr:uid="{00000000-0005-0000-0000-0000694E0000}"/>
    <cellStyle name="Normal 2 2 16 2 3 3" xfId="10455" xr:uid="{00000000-0005-0000-0000-00006A4E0000}"/>
    <cellStyle name="Normal 2 2 16 2 3 4" xfId="19779" xr:uid="{00000000-0005-0000-0000-00006B4E0000}"/>
    <cellStyle name="Normal 2 2 16 2 4" xfId="7187" xr:uid="{00000000-0005-0000-0000-00006C4E0000}"/>
    <cellStyle name="Normal 2 2 16 2 4 2" xfId="16511" xr:uid="{00000000-0005-0000-0000-00006D4E0000}"/>
    <cellStyle name="Normal 2 2 16 2 4 3" xfId="25834" xr:uid="{00000000-0005-0000-0000-00006E4E0000}"/>
    <cellStyle name="Normal 2 2 16 2 5" xfId="9477" xr:uid="{00000000-0005-0000-0000-00006F4E0000}"/>
    <cellStyle name="Normal 2 2 16 2 5 2" xfId="18801" xr:uid="{00000000-0005-0000-0000-0000704E0000}"/>
    <cellStyle name="Normal 2 2 16 2 5 3" xfId="28124" xr:uid="{00000000-0005-0000-0000-0000714E0000}"/>
    <cellStyle name="Normal 2 2 16 2 6" xfId="9971" xr:uid="{00000000-0005-0000-0000-0000724E0000}"/>
    <cellStyle name="Normal 2 2 16 2 7" xfId="19295" xr:uid="{00000000-0005-0000-0000-0000734E0000}"/>
    <cellStyle name="Normal 2 2 16 3" xfId="484" xr:uid="{00000000-0005-0000-0000-0000744E0000}"/>
    <cellStyle name="Normal 2 2 16 3 2" xfId="972" xr:uid="{00000000-0005-0000-0000-0000754E0000}"/>
    <cellStyle name="Normal 2 2 16 3 2 2" xfId="5483" xr:uid="{00000000-0005-0000-0000-0000764E0000}"/>
    <cellStyle name="Normal 2 2 16 3 2 2 2" xfId="14807" xr:uid="{00000000-0005-0000-0000-0000774E0000}"/>
    <cellStyle name="Normal 2 2 16 3 2 2 3" xfId="24130" xr:uid="{00000000-0005-0000-0000-0000784E0000}"/>
    <cellStyle name="Normal 2 2 16 3 2 3" xfId="10573" xr:uid="{00000000-0005-0000-0000-0000794E0000}"/>
    <cellStyle name="Normal 2 2 16 3 2 4" xfId="19897" xr:uid="{00000000-0005-0000-0000-00007A4E0000}"/>
    <cellStyle name="Normal 2 2 16 3 3" xfId="7123" xr:uid="{00000000-0005-0000-0000-00007B4E0000}"/>
    <cellStyle name="Normal 2 2 16 3 3 2" xfId="16447" xr:uid="{00000000-0005-0000-0000-00007C4E0000}"/>
    <cellStyle name="Normal 2 2 16 3 3 3" xfId="25770" xr:uid="{00000000-0005-0000-0000-00007D4E0000}"/>
    <cellStyle name="Normal 2 2 16 3 4" xfId="9595" xr:uid="{00000000-0005-0000-0000-00007E4E0000}"/>
    <cellStyle name="Normal 2 2 16 3 4 2" xfId="18919" xr:uid="{00000000-0005-0000-0000-00007F4E0000}"/>
    <cellStyle name="Normal 2 2 16 3 4 3" xfId="28242" xr:uid="{00000000-0005-0000-0000-0000804E0000}"/>
    <cellStyle name="Normal 2 2 16 3 5" xfId="10089" xr:uid="{00000000-0005-0000-0000-0000814E0000}"/>
    <cellStyle name="Normal 2 2 16 3 6" xfId="19413" xr:uid="{00000000-0005-0000-0000-0000824E0000}"/>
    <cellStyle name="Normal 2 2 16 4" xfId="732" xr:uid="{00000000-0005-0000-0000-0000834E0000}"/>
    <cellStyle name="Normal 2 2 16 4 2" xfId="5362" xr:uid="{00000000-0005-0000-0000-0000844E0000}"/>
    <cellStyle name="Normal 2 2 16 4 2 2" xfId="14686" xr:uid="{00000000-0005-0000-0000-0000854E0000}"/>
    <cellStyle name="Normal 2 2 16 4 2 3" xfId="24009" xr:uid="{00000000-0005-0000-0000-0000864E0000}"/>
    <cellStyle name="Normal 2 2 16 4 3" xfId="10333" xr:uid="{00000000-0005-0000-0000-0000874E0000}"/>
    <cellStyle name="Normal 2 2 16 4 4" xfId="19657" xr:uid="{00000000-0005-0000-0000-0000884E0000}"/>
    <cellStyle name="Normal 2 2 16 5" xfId="7252" xr:uid="{00000000-0005-0000-0000-0000894E0000}"/>
    <cellStyle name="Normal 2 2 16 5 2" xfId="16576" xr:uid="{00000000-0005-0000-0000-00008A4E0000}"/>
    <cellStyle name="Normal 2 2 16 5 3" xfId="25899" xr:uid="{00000000-0005-0000-0000-00008B4E0000}"/>
    <cellStyle name="Normal 2 2 16 6" xfId="9354" xr:uid="{00000000-0005-0000-0000-00008C4E0000}"/>
    <cellStyle name="Normal 2 2 16 6 2" xfId="18678" xr:uid="{00000000-0005-0000-0000-00008D4E0000}"/>
    <cellStyle name="Normal 2 2 16 6 3" xfId="28001" xr:uid="{00000000-0005-0000-0000-00008E4E0000}"/>
    <cellStyle name="Normal 2 2 16 7" xfId="9848" xr:uid="{00000000-0005-0000-0000-00008F4E0000}"/>
    <cellStyle name="Normal 2 2 16 8" xfId="19172" xr:uid="{00000000-0005-0000-0000-0000904E0000}"/>
    <cellStyle name="Normal 2 2 17" xfId="272" xr:uid="{00000000-0005-0000-0000-0000914E0000}"/>
    <cellStyle name="Normal 2 2 18" xfId="425" xr:uid="{00000000-0005-0000-0000-0000924E0000}"/>
    <cellStyle name="Normal 2 2 18 2" xfId="913" xr:uid="{00000000-0005-0000-0000-0000934E0000}"/>
    <cellStyle name="Normal 2 2 18 2 2" xfId="7345" xr:uid="{00000000-0005-0000-0000-0000944E0000}"/>
    <cellStyle name="Normal 2 2 18 2 2 2" xfId="16669" xr:uid="{00000000-0005-0000-0000-0000954E0000}"/>
    <cellStyle name="Normal 2 2 18 2 2 3" xfId="25992" xr:uid="{00000000-0005-0000-0000-0000964E0000}"/>
    <cellStyle name="Normal 2 2 18 2 3" xfId="10514" xr:uid="{00000000-0005-0000-0000-0000974E0000}"/>
    <cellStyle name="Normal 2 2 18 2 4" xfId="19838" xr:uid="{00000000-0005-0000-0000-0000984E0000}"/>
    <cellStyle name="Normal 2 2 18 3" xfId="7158" xr:uid="{00000000-0005-0000-0000-0000994E0000}"/>
    <cellStyle name="Normal 2 2 18 3 2" xfId="16482" xr:uid="{00000000-0005-0000-0000-00009A4E0000}"/>
    <cellStyle name="Normal 2 2 18 3 3" xfId="25805" xr:uid="{00000000-0005-0000-0000-00009B4E0000}"/>
    <cellStyle name="Normal 2 2 18 4" xfId="9536" xr:uid="{00000000-0005-0000-0000-00009C4E0000}"/>
    <cellStyle name="Normal 2 2 18 4 2" xfId="18860" xr:uid="{00000000-0005-0000-0000-00009D4E0000}"/>
    <cellStyle name="Normal 2 2 18 4 3" xfId="28183" xr:uid="{00000000-0005-0000-0000-00009E4E0000}"/>
    <cellStyle name="Normal 2 2 18 5" xfId="10030" xr:uid="{00000000-0005-0000-0000-00009F4E0000}"/>
    <cellStyle name="Normal 2 2 18 6" xfId="19354" xr:uid="{00000000-0005-0000-0000-0000A04E0000}"/>
    <cellStyle name="Normal 2 2 19" xfId="673" xr:uid="{00000000-0005-0000-0000-0000A14E0000}"/>
    <cellStyle name="Normal 2 2 19 2" xfId="4629" xr:uid="{00000000-0005-0000-0000-0000A24E0000}"/>
    <cellStyle name="Normal 2 2 19 2 2" xfId="13953" xr:uid="{00000000-0005-0000-0000-0000A34E0000}"/>
    <cellStyle name="Normal 2 2 19 2 3" xfId="23276" xr:uid="{00000000-0005-0000-0000-0000A44E0000}"/>
    <cellStyle name="Normal 2 2 19 3" xfId="10274" xr:uid="{00000000-0005-0000-0000-0000A54E0000}"/>
    <cellStyle name="Normal 2 2 19 4" xfId="19598" xr:uid="{00000000-0005-0000-0000-0000A64E0000}"/>
    <cellStyle name="Normal 2 2 2" xfId="129" xr:uid="{00000000-0005-0000-0000-0000A74E0000}"/>
    <cellStyle name="Normal 2 2 2 10" xfId="130" xr:uid="{00000000-0005-0000-0000-0000A84E0000}"/>
    <cellStyle name="Normal 2 2 2 11" xfId="131" xr:uid="{00000000-0005-0000-0000-0000A94E0000}"/>
    <cellStyle name="Normal 2 2 2 12" xfId="132" xr:uid="{00000000-0005-0000-0000-0000AA4E0000}"/>
    <cellStyle name="Normal 2 2 2 13" xfId="133" xr:uid="{00000000-0005-0000-0000-0000AB4E0000}"/>
    <cellStyle name="Normal 2 2 2 14" xfId="306" xr:uid="{00000000-0005-0000-0000-0000AC4E0000}"/>
    <cellStyle name="Normal 2 2 2 15" xfId="273" xr:uid="{00000000-0005-0000-0000-0000AD4E0000}"/>
    <cellStyle name="Normal 2 2 2 15 2" xfId="526" xr:uid="{00000000-0005-0000-0000-0000AE4E0000}"/>
    <cellStyle name="Normal 2 2 2 15 2 2" xfId="1014" xr:uid="{00000000-0005-0000-0000-0000AF4E0000}"/>
    <cellStyle name="Normal 2 2 2 15 2 2 2" xfId="6787" xr:uid="{00000000-0005-0000-0000-0000B04E0000}"/>
    <cellStyle name="Normal 2 2 2 15 2 2 2 2" xfId="16111" xr:uid="{00000000-0005-0000-0000-0000B14E0000}"/>
    <cellStyle name="Normal 2 2 2 15 2 2 2 3" xfId="25434" xr:uid="{00000000-0005-0000-0000-0000B24E0000}"/>
    <cellStyle name="Normal 2 2 2 15 2 2 3" xfId="10615" xr:uid="{00000000-0005-0000-0000-0000B34E0000}"/>
    <cellStyle name="Normal 2 2 2 15 2 2 4" xfId="19939" xr:uid="{00000000-0005-0000-0000-0000B44E0000}"/>
    <cellStyle name="Normal 2 2 2 15 2 3" xfId="7107" xr:uid="{00000000-0005-0000-0000-0000B54E0000}"/>
    <cellStyle name="Normal 2 2 2 15 2 3 2" xfId="16431" xr:uid="{00000000-0005-0000-0000-0000B64E0000}"/>
    <cellStyle name="Normal 2 2 2 15 2 3 3" xfId="25754" xr:uid="{00000000-0005-0000-0000-0000B74E0000}"/>
    <cellStyle name="Normal 2 2 2 15 2 4" xfId="9637" xr:uid="{00000000-0005-0000-0000-0000B84E0000}"/>
    <cellStyle name="Normal 2 2 2 15 2 4 2" xfId="18961" xr:uid="{00000000-0005-0000-0000-0000B94E0000}"/>
    <cellStyle name="Normal 2 2 2 15 2 4 3" xfId="28284" xr:uid="{00000000-0005-0000-0000-0000BA4E0000}"/>
    <cellStyle name="Normal 2 2 2 15 2 5" xfId="10131" xr:uid="{00000000-0005-0000-0000-0000BB4E0000}"/>
    <cellStyle name="Normal 2 2 2 15 2 6" xfId="19455" xr:uid="{00000000-0005-0000-0000-0000BC4E0000}"/>
    <cellStyle name="Normal 2 2 2 15 3" xfId="774" xr:uid="{00000000-0005-0000-0000-0000BD4E0000}"/>
    <cellStyle name="Normal 2 2 2 15 3 2" xfId="4677" xr:uid="{00000000-0005-0000-0000-0000BE4E0000}"/>
    <cellStyle name="Normal 2 2 2 15 3 2 2" xfId="14001" xr:uid="{00000000-0005-0000-0000-0000BF4E0000}"/>
    <cellStyle name="Normal 2 2 2 15 3 2 3" xfId="23324" xr:uid="{00000000-0005-0000-0000-0000C04E0000}"/>
    <cellStyle name="Normal 2 2 2 15 3 3" xfId="10375" xr:uid="{00000000-0005-0000-0000-0000C14E0000}"/>
    <cellStyle name="Normal 2 2 2 15 3 4" xfId="19699" xr:uid="{00000000-0005-0000-0000-0000C24E0000}"/>
    <cellStyle name="Normal 2 2 2 15 4" xfId="7242" xr:uid="{00000000-0005-0000-0000-0000C34E0000}"/>
    <cellStyle name="Normal 2 2 2 15 4 2" xfId="16566" xr:uid="{00000000-0005-0000-0000-0000C44E0000}"/>
    <cellStyle name="Normal 2 2 2 15 4 3" xfId="25889" xr:uid="{00000000-0005-0000-0000-0000C54E0000}"/>
    <cellStyle name="Normal 2 2 2 15 5" xfId="9396" xr:uid="{00000000-0005-0000-0000-0000C64E0000}"/>
    <cellStyle name="Normal 2 2 2 15 5 2" xfId="18720" xr:uid="{00000000-0005-0000-0000-0000C74E0000}"/>
    <cellStyle name="Normal 2 2 2 15 5 3" xfId="28043" xr:uid="{00000000-0005-0000-0000-0000C84E0000}"/>
    <cellStyle name="Normal 2 2 2 15 6" xfId="9890" xr:uid="{00000000-0005-0000-0000-0000C94E0000}"/>
    <cellStyle name="Normal 2 2 2 15 7" xfId="19214" xr:uid="{00000000-0005-0000-0000-0000CA4E0000}"/>
    <cellStyle name="Normal 2 2 2 16" xfId="1149" xr:uid="{00000000-0005-0000-0000-0000CB4E0000}"/>
    <cellStyle name="Normal 2 2 2 16 2" xfId="6700" xr:uid="{00000000-0005-0000-0000-0000CC4E0000}"/>
    <cellStyle name="Normal 2 2 2 16 2 2" xfId="16024" xr:uid="{00000000-0005-0000-0000-0000CD4E0000}"/>
    <cellStyle name="Normal 2 2 2 16 2 3" xfId="25347" xr:uid="{00000000-0005-0000-0000-0000CE4E0000}"/>
    <cellStyle name="Normal 2 2 2 16 3" xfId="10748" xr:uid="{00000000-0005-0000-0000-0000CF4E0000}"/>
    <cellStyle name="Normal 2 2 2 16 4" xfId="20072" xr:uid="{00000000-0005-0000-0000-0000D04E0000}"/>
    <cellStyle name="Normal 2 2 2 17" xfId="2967" xr:uid="{00000000-0005-0000-0000-0000D14E0000}"/>
    <cellStyle name="Normal 2 2 2 17 2" xfId="7646" xr:uid="{00000000-0005-0000-0000-0000D24E0000}"/>
    <cellStyle name="Normal 2 2 2 17 2 2" xfId="16970" xr:uid="{00000000-0005-0000-0000-0000D34E0000}"/>
    <cellStyle name="Normal 2 2 2 17 2 3" xfId="26293" xr:uid="{00000000-0005-0000-0000-0000D44E0000}"/>
    <cellStyle name="Normal 2 2 2 17 3" xfId="12368" xr:uid="{00000000-0005-0000-0000-0000D54E0000}"/>
    <cellStyle name="Normal 2 2 2 17 4" xfId="21694" xr:uid="{00000000-0005-0000-0000-0000D64E0000}"/>
    <cellStyle name="Normal 2 2 2 18" xfId="4610" xr:uid="{00000000-0005-0000-0000-0000D74E0000}"/>
    <cellStyle name="Normal 2 2 2 18 2" xfId="13934" xr:uid="{00000000-0005-0000-0000-0000D84E0000}"/>
    <cellStyle name="Normal 2 2 2 18 3" xfId="23257" xr:uid="{00000000-0005-0000-0000-0000D94E0000}"/>
    <cellStyle name="Normal 2 2 2 19" xfId="28478" xr:uid="{00000000-0005-0000-0000-0000DA4E0000}"/>
    <cellStyle name="Normal 2 2 2 2" xfId="134" xr:uid="{00000000-0005-0000-0000-0000DB4E0000}"/>
    <cellStyle name="Normal 2 2 2 2 2" xfId="135" xr:uid="{00000000-0005-0000-0000-0000DC4E0000}"/>
    <cellStyle name="Normal 2 2 2 2 2 2" xfId="2311" xr:uid="{00000000-0005-0000-0000-0000DD4E0000}"/>
    <cellStyle name="Normal 2 2 2 2 2 2 2" xfId="4036" xr:uid="{00000000-0005-0000-0000-0000DE4E0000}"/>
    <cellStyle name="Normal 2 2 2 2 2 2 2 2" xfId="8713" xr:uid="{00000000-0005-0000-0000-0000DF4E0000}"/>
    <cellStyle name="Normal 2 2 2 2 2 2 2 2 2" xfId="18037" xr:uid="{00000000-0005-0000-0000-0000E04E0000}"/>
    <cellStyle name="Normal 2 2 2 2 2 2 2 2 3" xfId="27360" xr:uid="{00000000-0005-0000-0000-0000E14E0000}"/>
    <cellStyle name="Normal 2 2 2 2 2 2 2 3" xfId="13370" xr:uid="{00000000-0005-0000-0000-0000E24E0000}"/>
    <cellStyle name="Normal 2 2 2 2 2 2 2 4" xfId="22694" xr:uid="{00000000-0005-0000-0000-0000E34E0000}"/>
    <cellStyle name="Normal 2 2 2 2 2 2 3" xfId="5746" xr:uid="{00000000-0005-0000-0000-0000E44E0000}"/>
    <cellStyle name="Normal 2 2 2 2 2 2 3 2" xfId="15070" xr:uid="{00000000-0005-0000-0000-0000E54E0000}"/>
    <cellStyle name="Normal 2 2 2 2 2 2 3 3" xfId="24393" xr:uid="{00000000-0005-0000-0000-0000E64E0000}"/>
    <cellStyle name="Normal 2 2 2 2 2 2 4" xfId="11815" xr:uid="{00000000-0005-0000-0000-0000E74E0000}"/>
    <cellStyle name="Normal 2 2 2 2 2 2 5" xfId="21141" xr:uid="{00000000-0005-0000-0000-0000E84E0000}"/>
    <cellStyle name="Normal 2 2 2 2 2 3" xfId="2310" xr:uid="{00000000-0005-0000-0000-0000E94E0000}"/>
    <cellStyle name="Normal 2 2 2 2 2 3 2" xfId="7533" xr:uid="{00000000-0005-0000-0000-0000EA4E0000}"/>
    <cellStyle name="Normal 2 2 2 2 2 3 2 2" xfId="16857" xr:uid="{00000000-0005-0000-0000-0000EB4E0000}"/>
    <cellStyle name="Normal 2 2 2 2 2 3 2 3" xfId="26180" xr:uid="{00000000-0005-0000-0000-0000EC4E0000}"/>
    <cellStyle name="Normal 2 2 2 2 2 3 3" xfId="11814" xr:uid="{00000000-0005-0000-0000-0000ED4E0000}"/>
    <cellStyle name="Normal 2 2 2 2 2 3 4" xfId="21140" xr:uid="{00000000-0005-0000-0000-0000EE4E0000}"/>
    <cellStyle name="Normal 2 2 2 2 2 4" xfId="4035" xr:uid="{00000000-0005-0000-0000-0000EF4E0000}"/>
    <cellStyle name="Normal 2 2 2 2 2 4 2" xfId="8712" xr:uid="{00000000-0005-0000-0000-0000F04E0000}"/>
    <cellStyle name="Normal 2 2 2 2 2 4 2 2" xfId="18036" xr:uid="{00000000-0005-0000-0000-0000F14E0000}"/>
    <cellStyle name="Normal 2 2 2 2 2 4 2 3" xfId="27359" xr:uid="{00000000-0005-0000-0000-0000F24E0000}"/>
    <cellStyle name="Normal 2 2 2 2 2 4 3" xfId="13369" xr:uid="{00000000-0005-0000-0000-0000F34E0000}"/>
    <cellStyle name="Normal 2 2 2 2 2 4 4" xfId="22693" xr:uid="{00000000-0005-0000-0000-0000F44E0000}"/>
    <cellStyle name="Normal 2 2 2 2 2 5" xfId="5745" xr:uid="{00000000-0005-0000-0000-0000F54E0000}"/>
    <cellStyle name="Normal 2 2 2 2 2 5 2" xfId="15069" xr:uid="{00000000-0005-0000-0000-0000F64E0000}"/>
    <cellStyle name="Normal 2 2 2 2 2 5 3" xfId="24392" xr:uid="{00000000-0005-0000-0000-0000F74E0000}"/>
    <cellStyle name="Normal 2 2 2 2 3" xfId="136" xr:uid="{00000000-0005-0000-0000-0000F84E0000}"/>
    <cellStyle name="Normal 2 2 2 2 3 2" xfId="2312" xr:uid="{00000000-0005-0000-0000-0000F94E0000}"/>
    <cellStyle name="Normal 2 2 2 2 3 2 2" xfId="7534" xr:uid="{00000000-0005-0000-0000-0000FA4E0000}"/>
    <cellStyle name="Normal 2 2 2 2 3 2 2 2" xfId="16858" xr:uid="{00000000-0005-0000-0000-0000FB4E0000}"/>
    <cellStyle name="Normal 2 2 2 2 3 2 2 3" xfId="26181" xr:uid="{00000000-0005-0000-0000-0000FC4E0000}"/>
    <cellStyle name="Normal 2 2 2 2 3 2 3" xfId="11816" xr:uid="{00000000-0005-0000-0000-0000FD4E0000}"/>
    <cellStyle name="Normal 2 2 2 2 3 2 4" xfId="21142" xr:uid="{00000000-0005-0000-0000-0000FE4E0000}"/>
    <cellStyle name="Normal 2 2 2 2 3 3" xfId="4037" xr:uid="{00000000-0005-0000-0000-0000FF4E0000}"/>
    <cellStyle name="Normal 2 2 2 2 3 3 2" xfId="8714" xr:uid="{00000000-0005-0000-0000-0000004F0000}"/>
    <cellStyle name="Normal 2 2 2 2 3 3 2 2" xfId="18038" xr:uid="{00000000-0005-0000-0000-0000014F0000}"/>
    <cellStyle name="Normal 2 2 2 2 3 3 2 3" xfId="27361" xr:uid="{00000000-0005-0000-0000-0000024F0000}"/>
    <cellStyle name="Normal 2 2 2 2 3 3 3" xfId="13371" xr:uid="{00000000-0005-0000-0000-0000034F0000}"/>
    <cellStyle name="Normal 2 2 2 2 3 3 4" xfId="22695" xr:uid="{00000000-0005-0000-0000-0000044F0000}"/>
    <cellStyle name="Normal 2 2 2 2 3 4" xfId="5747" xr:uid="{00000000-0005-0000-0000-0000054F0000}"/>
    <cellStyle name="Normal 2 2 2 2 3 4 2" xfId="15071" xr:uid="{00000000-0005-0000-0000-0000064F0000}"/>
    <cellStyle name="Normal 2 2 2 2 3 4 3" xfId="24394" xr:uid="{00000000-0005-0000-0000-0000074F0000}"/>
    <cellStyle name="Normal 2 2 2 2 4" xfId="137" xr:uid="{00000000-0005-0000-0000-0000084F0000}"/>
    <cellStyle name="Normal 2 2 2 2 4 2" xfId="2313" xr:uid="{00000000-0005-0000-0000-0000094F0000}"/>
    <cellStyle name="Normal 2 2 2 2 4 2 2" xfId="7535" xr:uid="{00000000-0005-0000-0000-00000A4F0000}"/>
    <cellStyle name="Normal 2 2 2 2 4 2 2 2" xfId="16859" xr:uid="{00000000-0005-0000-0000-00000B4F0000}"/>
    <cellStyle name="Normal 2 2 2 2 4 2 2 3" xfId="26182" xr:uid="{00000000-0005-0000-0000-00000C4F0000}"/>
    <cellStyle name="Normal 2 2 2 2 4 2 3" xfId="11817" xr:uid="{00000000-0005-0000-0000-00000D4F0000}"/>
    <cellStyle name="Normal 2 2 2 2 4 2 4" xfId="21143" xr:uid="{00000000-0005-0000-0000-00000E4F0000}"/>
    <cellStyle name="Normal 2 2 2 2 4 3" xfId="4038" xr:uid="{00000000-0005-0000-0000-00000F4F0000}"/>
    <cellStyle name="Normal 2 2 2 2 4 3 2" xfId="8715" xr:uid="{00000000-0005-0000-0000-0000104F0000}"/>
    <cellStyle name="Normal 2 2 2 2 4 3 2 2" xfId="18039" xr:uid="{00000000-0005-0000-0000-0000114F0000}"/>
    <cellStyle name="Normal 2 2 2 2 4 3 2 3" xfId="27362" xr:uid="{00000000-0005-0000-0000-0000124F0000}"/>
    <cellStyle name="Normal 2 2 2 2 4 3 3" xfId="13372" xr:uid="{00000000-0005-0000-0000-0000134F0000}"/>
    <cellStyle name="Normal 2 2 2 2 4 3 4" xfId="22696" xr:uid="{00000000-0005-0000-0000-0000144F0000}"/>
    <cellStyle name="Normal 2 2 2 2 4 4" xfId="5748" xr:uid="{00000000-0005-0000-0000-0000154F0000}"/>
    <cellStyle name="Normal 2 2 2 2 4 4 2" xfId="15072" xr:uid="{00000000-0005-0000-0000-0000164F0000}"/>
    <cellStyle name="Normal 2 2 2 2 4 4 3" xfId="24395" xr:uid="{00000000-0005-0000-0000-0000174F0000}"/>
    <cellStyle name="Normal 2 2 2 2 5" xfId="138" xr:uid="{00000000-0005-0000-0000-0000184F0000}"/>
    <cellStyle name="Normal 2 2 2 2 5 2" xfId="2314" xr:uid="{00000000-0005-0000-0000-0000194F0000}"/>
    <cellStyle name="Normal 2 2 2 2 5 2 2" xfId="7536" xr:uid="{00000000-0005-0000-0000-00001A4F0000}"/>
    <cellStyle name="Normal 2 2 2 2 5 2 2 2" xfId="16860" xr:uid="{00000000-0005-0000-0000-00001B4F0000}"/>
    <cellStyle name="Normal 2 2 2 2 5 2 2 3" xfId="26183" xr:uid="{00000000-0005-0000-0000-00001C4F0000}"/>
    <cellStyle name="Normal 2 2 2 2 5 2 3" xfId="11818" xr:uid="{00000000-0005-0000-0000-00001D4F0000}"/>
    <cellStyle name="Normal 2 2 2 2 5 2 4" xfId="21144" xr:uid="{00000000-0005-0000-0000-00001E4F0000}"/>
    <cellStyle name="Normal 2 2 2 2 5 3" xfId="4039" xr:uid="{00000000-0005-0000-0000-00001F4F0000}"/>
    <cellStyle name="Normal 2 2 2 2 5 3 2" xfId="8716" xr:uid="{00000000-0005-0000-0000-0000204F0000}"/>
    <cellStyle name="Normal 2 2 2 2 5 3 2 2" xfId="18040" xr:uid="{00000000-0005-0000-0000-0000214F0000}"/>
    <cellStyle name="Normal 2 2 2 2 5 3 2 3" xfId="27363" xr:uid="{00000000-0005-0000-0000-0000224F0000}"/>
    <cellStyle name="Normal 2 2 2 2 5 3 3" xfId="13373" xr:uid="{00000000-0005-0000-0000-0000234F0000}"/>
    <cellStyle name="Normal 2 2 2 2 5 3 4" xfId="22697" xr:uid="{00000000-0005-0000-0000-0000244F0000}"/>
    <cellStyle name="Normal 2 2 2 2 5 4" xfId="5749" xr:uid="{00000000-0005-0000-0000-0000254F0000}"/>
    <cellStyle name="Normal 2 2 2 2 5 4 2" xfId="15073" xr:uid="{00000000-0005-0000-0000-0000264F0000}"/>
    <cellStyle name="Normal 2 2 2 2 5 4 3" xfId="24396" xr:uid="{00000000-0005-0000-0000-0000274F0000}"/>
    <cellStyle name="Normal 2 2 2 2 6" xfId="139" xr:uid="{00000000-0005-0000-0000-0000284F0000}"/>
    <cellStyle name="Normal 2 2 2 2 6 2" xfId="2309" xr:uid="{00000000-0005-0000-0000-0000294F0000}"/>
    <cellStyle name="Normal 2 2 2 2 6 2 2" xfId="7532" xr:uid="{00000000-0005-0000-0000-00002A4F0000}"/>
    <cellStyle name="Normal 2 2 2 2 6 2 2 2" xfId="16856" xr:uid="{00000000-0005-0000-0000-00002B4F0000}"/>
    <cellStyle name="Normal 2 2 2 2 6 2 2 3" xfId="26179" xr:uid="{00000000-0005-0000-0000-00002C4F0000}"/>
    <cellStyle name="Normal 2 2 2 2 6 2 3" xfId="11813" xr:uid="{00000000-0005-0000-0000-00002D4F0000}"/>
    <cellStyle name="Normal 2 2 2 2 6 2 4" xfId="21139" xr:uid="{00000000-0005-0000-0000-00002E4F0000}"/>
    <cellStyle name="Normal 2 2 2 2 6 3" xfId="4034" xr:uid="{00000000-0005-0000-0000-00002F4F0000}"/>
    <cellStyle name="Normal 2 2 2 2 6 3 2" xfId="8711" xr:uid="{00000000-0005-0000-0000-0000304F0000}"/>
    <cellStyle name="Normal 2 2 2 2 6 3 2 2" xfId="18035" xr:uid="{00000000-0005-0000-0000-0000314F0000}"/>
    <cellStyle name="Normal 2 2 2 2 6 3 2 3" xfId="27358" xr:uid="{00000000-0005-0000-0000-0000324F0000}"/>
    <cellStyle name="Normal 2 2 2 2 6 3 3" xfId="13368" xr:uid="{00000000-0005-0000-0000-0000334F0000}"/>
    <cellStyle name="Normal 2 2 2 2 6 3 4" xfId="22692" xr:uid="{00000000-0005-0000-0000-0000344F0000}"/>
    <cellStyle name="Normal 2 2 2 2 6 4" xfId="5744" xr:uid="{00000000-0005-0000-0000-0000354F0000}"/>
    <cellStyle name="Normal 2 2 2 2 6 4 2" xfId="15068" xr:uid="{00000000-0005-0000-0000-0000364F0000}"/>
    <cellStyle name="Normal 2 2 2 2 6 4 3" xfId="24391" xr:uid="{00000000-0005-0000-0000-0000374F0000}"/>
    <cellStyle name="Normal 2 2 2 2 7" xfId="140" xr:uid="{00000000-0005-0000-0000-0000384F0000}"/>
    <cellStyle name="Normal 2 2 2 2 8" xfId="141" xr:uid="{00000000-0005-0000-0000-0000394F0000}"/>
    <cellStyle name="Normal 2 2 2 2 9" xfId="1168" xr:uid="{00000000-0005-0000-0000-00003A4F0000}"/>
    <cellStyle name="Normal 2 2 2 3" xfId="142" xr:uid="{00000000-0005-0000-0000-00003B4F0000}"/>
    <cellStyle name="Normal 2 2 2 4" xfId="143" xr:uid="{00000000-0005-0000-0000-00003C4F0000}"/>
    <cellStyle name="Normal 2 2 2 5" xfId="144" xr:uid="{00000000-0005-0000-0000-00003D4F0000}"/>
    <cellStyle name="Normal 2 2 2 6" xfId="145" xr:uid="{00000000-0005-0000-0000-00003E4F0000}"/>
    <cellStyle name="Normal 2 2 2 7" xfId="146" xr:uid="{00000000-0005-0000-0000-00003F4F0000}"/>
    <cellStyle name="Normal 2 2 2 8" xfId="147" xr:uid="{00000000-0005-0000-0000-0000404F0000}"/>
    <cellStyle name="Normal 2 2 2 9" xfId="148" xr:uid="{00000000-0005-0000-0000-0000414F0000}"/>
    <cellStyle name="Normal 2 2 20" xfId="9295" xr:uid="{00000000-0005-0000-0000-0000424F0000}"/>
    <cellStyle name="Normal 2 2 20 2" xfId="18619" xr:uid="{00000000-0005-0000-0000-0000434F0000}"/>
    <cellStyle name="Normal 2 2 20 3" xfId="27942" xr:uid="{00000000-0005-0000-0000-0000444F0000}"/>
    <cellStyle name="Normal 2 2 21" xfId="9789" xr:uid="{00000000-0005-0000-0000-0000454F0000}"/>
    <cellStyle name="Normal 2 2 22" xfId="19113" xr:uid="{00000000-0005-0000-0000-0000464F0000}"/>
    <cellStyle name="Normal 2 2 23" xfId="28461" xr:uid="{00000000-0005-0000-0000-0000474F0000}"/>
    <cellStyle name="Normal 2 2 3" xfId="149" xr:uid="{00000000-0005-0000-0000-0000484F0000}"/>
    <cellStyle name="Normal 2 2 3 2" xfId="307" xr:uid="{00000000-0005-0000-0000-0000494F0000}"/>
    <cellStyle name="Normal 2 2 3 2 2" xfId="1287" xr:uid="{00000000-0005-0000-0000-00004A4F0000}"/>
    <cellStyle name="Normal 2 2 3 2 2 2" xfId="28734" xr:uid="{00000000-0005-0000-0000-00004B4F0000}"/>
    <cellStyle name="Normal 2 2 3 2 2 3" xfId="28793" xr:uid="{00000000-0005-0000-0000-00004C4F0000}"/>
    <cellStyle name="Normal 2 2 3 2 3" xfId="28585" xr:uid="{00000000-0005-0000-0000-00004D4F0000}"/>
    <cellStyle name="Normal 2 2 3 2 4" xfId="28788" xr:uid="{00000000-0005-0000-0000-00004E4F0000}"/>
    <cellStyle name="Normal 2 2 3 3" xfId="279" xr:uid="{00000000-0005-0000-0000-00004F4F0000}"/>
    <cellStyle name="Normal 2 2 3 3 2" xfId="2315" xr:uid="{00000000-0005-0000-0000-0000504F0000}"/>
    <cellStyle name="Normal 2 2 3 3 2 2" xfId="28876" xr:uid="{00000000-0005-0000-0000-0000514F0000}"/>
    <cellStyle name="Normal 2 2 3 3 3" xfId="28733" xr:uid="{00000000-0005-0000-0000-0000524F0000}"/>
    <cellStyle name="Normal 2 2 3 4" xfId="28566" xr:uid="{00000000-0005-0000-0000-0000534F0000}"/>
    <cellStyle name="Normal 2 2 3 5" xfId="28785" xr:uid="{00000000-0005-0000-0000-0000544F0000}"/>
    <cellStyle name="Normal 2 2 3_DHO-SF" xfId="28577" xr:uid="{00000000-0005-0000-0000-0000554F0000}"/>
    <cellStyle name="Normal 2 2 4" xfId="150" xr:uid="{00000000-0005-0000-0000-0000564F0000}"/>
    <cellStyle name="Normal 2 2 4 2" xfId="2316" xr:uid="{00000000-0005-0000-0000-0000574F0000}"/>
    <cellStyle name="Normal 2 2 4 2 2" xfId="4040" xr:uid="{00000000-0005-0000-0000-0000584F0000}"/>
    <cellStyle name="Normal 2 2 4 2 2 2" xfId="8717" xr:uid="{00000000-0005-0000-0000-0000594F0000}"/>
    <cellStyle name="Normal 2 2 4 2 2 2 2" xfId="18041" xr:uid="{00000000-0005-0000-0000-00005A4F0000}"/>
    <cellStyle name="Normal 2 2 4 2 2 2 3" xfId="27364" xr:uid="{00000000-0005-0000-0000-00005B4F0000}"/>
    <cellStyle name="Normal 2 2 4 2 2 3" xfId="13374" xr:uid="{00000000-0005-0000-0000-00005C4F0000}"/>
    <cellStyle name="Normal 2 2 4 2 2 4" xfId="22698" xr:uid="{00000000-0005-0000-0000-00005D4F0000}"/>
    <cellStyle name="Normal 2 2 4 2 3" xfId="5751" xr:uid="{00000000-0005-0000-0000-00005E4F0000}"/>
    <cellStyle name="Normal 2 2 4 2 3 2" xfId="15075" xr:uid="{00000000-0005-0000-0000-00005F4F0000}"/>
    <cellStyle name="Normal 2 2 4 2 3 3" xfId="24398" xr:uid="{00000000-0005-0000-0000-0000604F0000}"/>
    <cellStyle name="Normal 2 2 4 2 4" xfId="11819" xr:uid="{00000000-0005-0000-0000-0000614F0000}"/>
    <cellStyle name="Normal 2 2 4 2 5" xfId="21145" xr:uid="{00000000-0005-0000-0000-0000624F0000}"/>
    <cellStyle name="Normal 2 2 4 2 6" xfId="28844" xr:uid="{00000000-0005-0000-0000-0000634F0000}"/>
    <cellStyle name="Normal 2 2 4 3" xfId="1162" xr:uid="{00000000-0005-0000-0000-0000644F0000}"/>
    <cellStyle name="Normal 2 2 4 3 2" xfId="28782" xr:uid="{00000000-0005-0000-0000-0000654F0000}"/>
    <cellStyle name="Normal 2 2 4 4" xfId="28477" xr:uid="{00000000-0005-0000-0000-0000664F0000}"/>
    <cellStyle name="Normal 2 2 5" xfId="151" xr:uid="{00000000-0005-0000-0000-0000674F0000}"/>
    <cellStyle name="Normal 2 2 5 2" xfId="2888" xr:uid="{00000000-0005-0000-0000-0000684F0000}"/>
    <cellStyle name="Normal 2 2 5 3" xfId="28839" xr:uid="{00000000-0005-0000-0000-0000694F0000}"/>
    <cellStyle name="Normal 2 2 6" xfId="152" xr:uid="{00000000-0005-0000-0000-00006A4F0000}"/>
    <cellStyle name="Normal 2 2 6 2" xfId="28781" xr:uid="{00000000-0005-0000-0000-00006B4F0000}"/>
    <cellStyle name="Normal 2 2 7" xfId="153" xr:uid="{00000000-0005-0000-0000-00006C4F0000}"/>
    <cellStyle name="Normal 2 2 8" xfId="154" xr:uid="{00000000-0005-0000-0000-00006D4F0000}"/>
    <cellStyle name="Normal 2 2 8 2" xfId="227" xr:uid="{00000000-0005-0000-0000-00006E4F0000}"/>
    <cellStyle name="Normal 2 2 8 2 2" xfId="367" xr:uid="{00000000-0005-0000-0000-00006F4F0000}"/>
    <cellStyle name="Normal 2 2 8 2 2 2" xfId="607" xr:uid="{00000000-0005-0000-0000-0000704F0000}"/>
    <cellStyle name="Normal 2 2 8 2 2 2 2" xfId="1095" xr:uid="{00000000-0005-0000-0000-0000714F0000}"/>
    <cellStyle name="Normal 2 2 8 2 2 2 2 2" xfId="6728" xr:uid="{00000000-0005-0000-0000-0000724F0000}"/>
    <cellStyle name="Normal 2 2 8 2 2 2 2 2 2" xfId="16052" xr:uid="{00000000-0005-0000-0000-0000734F0000}"/>
    <cellStyle name="Normal 2 2 8 2 2 2 2 2 3" xfId="25375" xr:uid="{00000000-0005-0000-0000-0000744F0000}"/>
    <cellStyle name="Normal 2 2 8 2 2 2 2 3" xfId="10696" xr:uid="{00000000-0005-0000-0000-0000754F0000}"/>
    <cellStyle name="Normal 2 2 8 2 2 2 2 4" xfId="20020" xr:uid="{00000000-0005-0000-0000-0000764F0000}"/>
    <cellStyle name="Normal 2 2 8 2 2 2 3" xfId="7049" xr:uid="{00000000-0005-0000-0000-0000774F0000}"/>
    <cellStyle name="Normal 2 2 8 2 2 2 3 2" xfId="16373" xr:uid="{00000000-0005-0000-0000-0000784F0000}"/>
    <cellStyle name="Normal 2 2 8 2 2 2 3 3" xfId="25696" xr:uid="{00000000-0005-0000-0000-0000794F0000}"/>
    <cellStyle name="Normal 2 2 8 2 2 2 4" xfId="9718" xr:uid="{00000000-0005-0000-0000-00007A4F0000}"/>
    <cellStyle name="Normal 2 2 8 2 2 2 4 2" xfId="19042" xr:uid="{00000000-0005-0000-0000-00007B4F0000}"/>
    <cellStyle name="Normal 2 2 8 2 2 2 4 3" xfId="28365" xr:uid="{00000000-0005-0000-0000-00007C4F0000}"/>
    <cellStyle name="Normal 2 2 8 2 2 2 5" xfId="10212" xr:uid="{00000000-0005-0000-0000-00007D4F0000}"/>
    <cellStyle name="Normal 2 2 8 2 2 2 6" xfId="19536" xr:uid="{00000000-0005-0000-0000-00007E4F0000}"/>
    <cellStyle name="Normal 2 2 8 2 2 3" xfId="855" xr:uid="{00000000-0005-0000-0000-00007F4F0000}"/>
    <cellStyle name="Normal 2 2 8 2 2 3 2" xfId="6907" xr:uid="{00000000-0005-0000-0000-0000804F0000}"/>
    <cellStyle name="Normal 2 2 8 2 2 3 2 2" xfId="16231" xr:uid="{00000000-0005-0000-0000-0000814F0000}"/>
    <cellStyle name="Normal 2 2 8 2 2 3 2 3" xfId="25554" xr:uid="{00000000-0005-0000-0000-0000824F0000}"/>
    <cellStyle name="Normal 2 2 8 2 2 3 3" xfId="10456" xr:uid="{00000000-0005-0000-0000-0000834F0000}"/>
    <cellStyle name="Normal 2 2 8 2 2 3 4" xfId="19780" xr:uid="{00000000-0005-0000-0000-0000844F0000}"/>
    <cellStyle name="Normal 2 2 8 2 2 4" xfId="7186" xr:uid="{00000000-0005-0000-0000-0000854F0000}"/>
    <cellStyle name="Normal 2 2 8 2 2 4 2" xfId="16510" xr:uid="{00000000-0005-0000-0000-0000864F0000}"/>
    <cellStyle name="Normal 2 2 8 2 2 4 3" xfId="25833" xr:uid="{00000000-0005-0000-0000-0000874F0000}"/>
    <cellStyle name="Normal 2 2 8 2 2 5" xfId="9478" xr:uid="{00000000-0005-0000-0000-0000884F0000}"/>
    <cellStyle name="Normal 2 2 8 2 2 5 2" xfId="18802" xr:uid="{00000000-0005-0000-0000-0000894F0000}"/>
    <cellStyle name="Normal 2 2 8 2 2 5 3" xfId="28125" xr:uid="{00000000-0005-0000-0000-00008A4F0000}"/>
    <cellStyle name="Normal 2 2 8 2 2 6" xfId="9972" xr:uid="{00000000-0005-0000-0000-00008B4F0000}"/>
    <cellStyle name="Normal 2 2 8 2 2 7" xfId="19296" xr:uid="{00000000-0005-0000-0000-00008C4F0000}"/>
    <cellStyle name="Normal 2 2 8 2 3" xfId="485" xr:uid="{00000000-0005-0000-0000-00008D4F0000}"/>
    <cellStyle name="Normal 2 2 8 2 3 2" xfId="973" xr:uid="{00000000-0005-0000-0000-00008E4F0000}"/>
    <cellStyle name="Normal 2 2 8 2 3 2 2" xfId="5484" xr:uid="{00000000-0005-0000-0000-00008F4F0000}"/>
    <cellStyle name="Normal 2 2 8 2 3 2 2 2" xfId="14808" xr:uid="{00000000-0005-0000-0000-0000904F0000}"/>
    <cellStyle name="Normal 2 2 8 2 3 2 2 3" xfId="24131" xr:uid="{00000000-0005-0000-0000-0000914F0000}"/>
    <cellStyle name="Normal 2 2 8 2 3 2 3" xfId="10574" xr:uid="{00000000-0005-0000-0000-0000924F0000}"/>
    <cellStyle name="Normal 2 2 8 2 3 2 4" xfId="19898" xr:uid="{00000000-0005-0000-0000-0000934F0000}"/>
    <cellStyle name="Normal 2 2 8 2 3 3" xfId="7122" xr:uid="{00000000-0005-0000-0000-0000944F0000}"/>
    <cellStyle name="Normal 2 2 8 2 3 3 2" xfId="16446" xr:uid="{00000000-0005-0000-0000-0000954F0000}"/>
    <cellStyle name="Normal 2 2 8 2 3 3 3" xfId="25769" xr:uid="{00000000-0005-0000-0000-0000964F0000}"/>
    <cellStyle name="Normal 2 2 8 2 3 4" xfId="9596" xr:uid="{00000000-0005-0000-0000-0000974F0000}"/>
    <cellStyle name="Normal 2 2 8 2 3 4 2" xfId="18920" xr:uid="{00000000-0005-0000-0000-0000984F0000}"/>
    <cellStyle name="Normal 2 2 8 2 3 4 3" xfId="28243" xr:uid="{00000000-0005-0000-0000-0000994F0000}"/>
    <cellStyle name="Normal 2 2 8 2 3 5" xfId="10090" xr:uid="{00000000-0005-0000-0000-00009A4F0000}"/>
    <cellStyle name="Normal 2 2 8 2 3 6" xfId="19414" xr:uid="{00000000-0005-0000-0000-00009B4F0000}"/>
    <cellStyle name="Normal 2 2 8 2 4" xfId="733" xr:uid="{00000000-0005-0000-0000-00009C4F0000}"/>
    <cellStyle name="Normal 2 2 8 2 4 2" xfId="5379" xr:uid="{00000000-0005-0000-0000-00009D4F0000}"/>
    <cellStyle name="Normal 2 2 8 2 4 2 2" xfId="14703" xr:uid="{00000000-0005-0000-0000-00009E4F0000}"/>
    <cellStyle name="Normal 2 2 8 2 4 2 3" xfId="24026" xr:uid="{00000000-0005-0000-0000-00009F4F0000}"/>
    <cellStyle name="Normal 2 2 8 2 4 3" xfId="10334" xr:uid="{00000000-0005-0000-0000-0000A04F0000}"/>
    <cellStyle name="Normal 2 2 8 2 4 4" xfId="19658" xr:uid="{00000000-0005-0000-0000-0000A14F0000}"/>
    <cellStyle name="Normal 2 2 8 2 5" xfId="7251" xr:uid="{00000000-0005-0000-0000-0000A24F0000}"/>
    <cellStyle name="Normal 2 2 8 2 5 2" xfId="16575" xr:uid="{00000000-0005-0000-0000-0000A34F0000}"/>
    <cellStyle name="Normal 2 2 8 2 5 3" xfId="25898" xr:uid="{00000000-0005-0000-0000-0000A44F0000}"/>
    <cellStyle name="Normal 2 2 8 2 6" xfId="9355" xr:uid="{00000000-0005-0000-0000-0000A54F0000}"/>
    <cellStyle name="Normal 2 2 8 2 6 2" xfId="18679" xr:uid="{00000000-0005-0000-0000-0000A64F0000}"/>
    <cellStyle name="Normal 2 2 8 2 6 3" xfId="28002" xr:uid="{00000000-0005-0000-0000-0000A74F0000}"/>
    <cellStyle name="Normal 2 2 8 2 7" xfId="9849" xr:uid="{00000000-0005-0000-0000-0000A84F0000}"/>
    <cellStyle name="Normal 2 2 8 2 8" xfId="19173" xr:uid="{00000000-0005-0000-0000-0000A94F0000}"/>
    <cellStyle name="Normal 2 2 8 3" xfId="308" xr:uid="{00000000-0005-0000-0000-0000AA4F0000}"/>
    <cellStyle name="Normal 2 2 8 3 2" xfId="550" xr:uid="{00000000-0005-0000-0000-0000AB4F0000}"/>
    <cellStyle name="Normal 2 2 8 3 2 2" xfId="1038" xr:uid="{00000000-0005-0000-0000-0000AC4F0000}"/>
    <cellStyle name="Normal 2 2 8 3 2 2 2" xfId="6771" xr:uid="{00000000-0005-0000-0000-0000AD4F0000}"/>
    <cellStyle name="Normal 2 2 8 3 2 2 2 2" xfId="16095" xr:uid="{00000000-0005-0000-0000-0000AE4F0000}"/>
    <cellStyle name="Normal 2 2 8 3 2 2 2 3" xfId="25418" xr:uid="{00000000-0005-0000-0000-0000AF4F0000}"/>
    <cellStyle name="Normal 2 2 8 3 2 2 3" xfId="10639" xr:uid="{00000000-0005-0000-0000-0000B04F0000}"/>
    <cellStyle name="Normal 2 2 8 3 2 2 4" xfId="19963" xr:uid="{00000000-0005-0000-0000-0000B14F0000}"/>
    <cellStyle name="Normal 2 2 8 3 2 3" xfId="5226" xr:uid="{00000000-0005-0000-0000-0000B24F0000}"/>
    <cellStyle name="Normal 2 2 8 3 2 3 2" xfId="14550" xr:uid="{00000000-0005-0000-0000-0000B34F0000}"/>
    <cellStyle name="Normal 2 2 8 3 2 3 3" xfId="23873" xr:uid="{00000000-0005-0000-0000-0000B44F0000}"/>
    <cellStyle name="Normal 2 2 8 3 2 4" xfId="9661" xr:uid="{00000000-0005-0000-0000-0000B54F0000}"/>
    <cellStyle name="Normal 2 2 8 3 2 4 2" xfId="18985" xr:uid="{00000000-0005-0000-0000-0000B64F0000}"/>
    <cellStyle name="Normal 2 2 8 3 2 4 3" xfId="28308" xr:uid="{00000000-0005-0000-0000-0000B74F0000}"/>
    <cellStyle name="Normal 2 2 8 3 2 5" xfId="10155" xr:uid="{00000000-0005-0000-0000-0000B84F0000}"/>
    <cellStyle name="Normal 2 2 8 3 2 6" xfId="19479" xr:uid="{00000000-0005-0000-0000-0000B94F0000}"/>
    <cellStyle name="Normal 2 2 8 3 3" xfId="798" xr:uid="{00000000-0005-0000-0000-0000BA4F0000}"/>
    <cellStyle name="Normal 2 2 8 3 3 2" xfId="6314" xr:uid="{00000000-0005-0000-0000-0000BB4F0000}"/>
    <cellStyle name="Normal 2 2 8 3 3 2 2" xfId="15638" xr:uid="{00000000-0005-0000-0000-0000BC4F0000}"/>
    <cellStyle name="Normal 2 2 8 3 3 2 3" xfId="24961" xr:uid="{00000000-0005-0000-0000-0000BD4F0000}"/>
    <cellStyle name="Normal 2 2 8 3 3 3" xfId="10399" xr:uid="{00000000-0005-0000-0000-0000BE4F0000}"/>
    <cellStyle name="Normal 2 2 8 3 3 4" xfId="19723" xr:uid="{00000000-0005-0000-0000-0000BF4F0000}"/>
    <cellStyle name="Normal 2 2 8 3 4" xfId="7220" xr:uid="{00000000-0005-0000-0000-0000C04F0000}"/>
    <cellStyle name="Normal 2 2 8 3 4 2" xfId="16544" xr:uid="{00000000-0005-0000-0000-0000C14F0000}"/>
    <cellStyle name="Normal 2 2 8 3 4 3" xfId="25867" xr:uid="{00000000-0005-0000-0000-0000C24F0000}"/>
    <cellStyle name="Normal 2 2 8 3 5" xfId="9421" xr:uid="{00000000-0005-0000-0000-0000C34F0000}"/>
    <cellStyle name="Normal 2 2 8 3 5 2" xfId="18745" xr:uid="{00000000-0005-0000-0000-0000C44F0000}"/>
    <cellStyle name="Normal 2 2 8 3 5 3" xfId="28068" xr:uid="{00000000-0005-0000-0000-0000C54F0000}"/>
    <cellStyle name="Normal 2 2 8 3 6" xfId="9915" xr:uid="{00000000-0005-0000-0000-0000C64F0000}"/>
    <cellStyle name="Normal 2 2 8 3 7" xfId="19239" xr:uid="{00000000-0005-0000-0000-0000C74F0000}"/>
    <cellStyle name="Normal 2 2 8 4" xfId="426" xr:uid="{00000000-0005-0000-0000-0000C84F0000}"/>
    <cellStyle name="Normal 2 2 8 4 2" xfId="914" xr:uid="{00000000-0005-0000-0000-0000C94F0000}"/>
    <cellStyle name="Normal 2 2 8 4 2 2" xfId="6852" xr:uid="{00000000-0005-0000-0000-0000CA4F0000}"/>
    <cellStyle name="Normal 2 2 8 4 2 2 2" xfId="16176" xr:uid="{00000000-0005-0000-0000-0000CB4F0000}"/>
    <cellStyle name="Normal 2 2 8 4 2 2 3" xfId="25499" xr:uid="{00000000-0005-0000-0000-0000CC4F0000}"/>
    <cellStyle name="Normal 2 2 8 4 2 3" xfId="10515" xr:uid="{00000000-0005-0000-0000-0000CD4F0000}"/>
    <cellStyle name="Normal 2 2 8 4 2 4" xfId="19839" xr:uid="{00000000-0005-0000-0000-0000CE4F0000}"/>
    <cellStyle name="Normal 2 2 8 4 3" xfId="7157" xr:uid="{00000000-0005-0000-0000-0000CF4F0000}"/>
    <cellStyle name="Normal 2 2 8 4 3 2" xfId="16481" xr:uid="{00000000-0005-0000-0000-0000D04F0000}"/>
    <cellStyle name="Normal 2 2 8 4 3 3" xfId="25804" xr:uid="{00000000-0005-0000-0000-0000D14F0000}"/>
    <cellStyle name="Normal 2 2 8 4 4" xfId="9537" xr:uid="{00000000-0005-0000-0000-0000D24F0000}"/>
    <cellStyle name="Normal 2 2 8 4 4 2" xfId="18861" xr:uid="{00000000-0005-0000-0000-0000D34F0000}"/>
    <cellStyle name="Normal 2 2 8 4 4 3" xfId="28184" xr:uid="{00000000-0005-0000-0000-0000D44F0000}"/>
    <cellStyle name="Normal 2 2 8 4 5" xfId="10031" xr:uid="{00000000-0005-0000-0000-0000D54F0000}"/>
    <cellStyle name="Normal 2 2 8 4 6" xfId="19355" xr:uid="{00000000-0005-0000-0000-0000D64F0000}"/>
    <cellStyle name="Normal 2 2 8 5" xfId="674" xr:uid="{00000000-0005-0000-0000-0000D74F0000}"/>
    <cellStyle name="Normal 2 2 8 5 2" xfId="7328" xr:uid="{00000000-0005-0000-0000-0000D84F0000}"/>
    <cellStyle name="Normal 2 2 8 5 2 2" xfId="16652" xr:uid="{00000000-0005-0000-0000-0000D94F0000}"/>
    <cellStyle name="Normal 2 2 8 5 2 3" xfId="25975" xr:uid="{00000000-0005-0000-0000-0000DA4F0000}"/>
    <cellStyle name="Normal 2 2 8 5 3" xfId="10275" xr:uid="{00000000-0005-0000-0000-0000DB4F0000}"/>
    <cellStyle name="Normal 2 2 8 5 4" xfId="19599" xr:uid="{00000000-0005-0000-0000-0000DC4F0000}"/>
    <cellStyle name="Normal 2 2 8 6" xfId="7284" xr:uid="{00000000-0005-0000-0000-0000DD4F0000}"/>
    <cellStyle name="Normal 2 2 8 6 2" xfId="16608" xr:uid="{00000000-0005-0000-0000-0000DE4F0000}"/>
    <cellStyle name="Normal 2 2 8 6 3" xfId="25931" xr:uid="{00000000-0005-0000-0000-0000DF4F0000}"/>
    <cellStyle name="Normal 2 2 8 7" xfId="9296" xr:uid="{00000000-0005-0000-0000-0000E04F0000}"/>
    <cellStyle name="Normal 2 2 8 7 2" xfId="18620" xr:uid="{00000000-0005-0000-0000-0000E14F0000}"/>
    <cellStyle name="Normal 2 2 8 7 3" xfId="27943" xr:uid="{00000000-0005-0000-0000-0000E24F0000}"/>
    <cellStyle name="Normal 2 2 8 8" xfId="9790" xr:uid="{00000000-0005-0000-0000-0000E34F0000}"/>
    <cellStyle name="Normal 2 2 8 9" xfId="19114" xr:uid="{00000000-0005-0000-0000-0000E44F0000}"/>
    <cellStyle name="Normal 2 2 9" xfId="155" xr:uid="{00000000-0005-0000-0000-0000E54F0000}"/>
    <cellStyle name="Normal 2 2_DHO-SF" xfId="28578" xr:uid="{00000000-0005-0000-0000-0000E64F0000}"/>
    <cellStyle name="Normal 2 20" xfId="623" xr:uid="{00000000-0005-0000-0000-0000E74F0000}"/>
    <cellStyle name="Normal 2 21" xfId="1135" xr:uid="{00000000-0005-0000-0000-0000E84F0000}"/>
    <cellStyle name="Normal 2 21 2" xfId="6302" xr:uid="{00000000-0005-0000-0000-0000E94F0000}"/>
    <cellStyle name="Normal 2 21 2 2" xfId="15626" xr:uid="{00000000-0005-0000-0000-0000EA4F0000}"/>
    <cellStyle name="Normal 2 21 2 3" xfId="24949" xr:uid="{00000000-0005-0000-0000-0000EB4F0000}"/>
    <cellStyle name="Normal 2 21 3" xfId="10734" xr:uid="{00000000-0005-0000-0000-0000EC4F0000}"/>
    <cellStyle name="Normal 2 21 4" xfId="20058" xr:uid="{00000000-0005-0000-0000-0000ED4F0000}"/>
    <cellStyle name="Normal 2 22" xfId="2953" xr:uid="{00000000-0005-0000-0000-0000EE4F0000}"/>
    <cellStyle name="Normal 2 22 2" xfId="7632" xr:uid="{00000000-0005-0000-0000-0000EF4F0000}"/>
    <cellStyle name="Normal 2 22 2 2" xfId="16956" xr:uid="{00000000-0005-0000-0000-0000F04F0000}"/>
    <cellStyle name="Normal 2 22 2 3" xfId="26279" xr:uid="{00000000-0005-0000-0000-0000F14F0000}"/>
    <cellStyle name="Normal 2 22 3" xfId="12354" xr:uid="{00000000-0005-0000-0000-0000F24F0000}"/>
    <cellStyle name="Normal 2 22 4" xfId="21680" xr:uid="{00000000-0005-0000-0000-0000F34F0000}"/>
    <cellStyle name="Normal 2 23" xfId="4595" xr:uid="{00000000-0005-0000-0000-0000F44F0000}"/>
    <cellStyle name="Normal 2 23 2" xfId="13919" xr:uid="{00000000-0005-0000-0000-0000F54F0000}"/>
    <cellStyle name="Normal 2 23 3" xfId="23242" xr:uid="{00000000-0005-0000-0000-0000F64F0000}"/>
    <cellStyle name="Normal 2 24" xfId="28460" xr:uid="{00000000-0005-0000-0000-0000F74F0000}"/>
    <cellStyle name="Normal 2 3" xfId="156" xr:uid="{00000000-0005-0000-0000-0000F84F0000}"/>
    <cellStyle name="Normal 2 3 2" xfId="157" xr:uid="{00000000-0005-0000-0000-0000F94F0000}"/>
    <cellStyle name="Normal 2 3 2 10" xfId="9297" xr:uid="{00000000-0005-0000-0000-0000FA4F0000}"/>
    <cellStyle name="Normal 2 3 2 10 2" xfId="18621" xr:uid="{00000000-0005-0000-0000-0000FB4F0000}"/>
    <cellStyle name="Normal 2 3 2 10 3" xfId="27944" xr:uid="{00000000-0005-0000-0000-0000FC4F0000}"/>
    <cellStyle name="Normal 2 3 2 11" xfId="9791" xr:uid="{00000000-0005-0000-0000-0000FD4F0000}"/>
    <cellStyle name="Normal 2 3 2 12" xfId="19115" xr:uid="{00000000-0005-0000-0000-0000FE4F0000}"/>
    <cellStyle name="Normal 2 3 2 13" xfId="28735" xr:uid="{00000000-0005-0000-0000-0000FF4F0000}"/>
    <cellStyle name="Normal 2 3 2 2" xfId="228" xr:uid="{00000000-0005-0000-0000-000000500000}"/>
    <cellStyle name="Normal 2 3 2 2 10" xfId="9850" xr:uid="{00000000-0005-0000-0000-000001500000}"/>
    <cellStyle name="Normal 2 3 2 2 11" xfId="19174" xr:uid="{00000000-0005-0000-0000-000002500000}"/>
    <cellStyle name="Normal 2 3 2 2 12" xfId="28877" xr:uid="{00000000-0005-0000-0000-000003500000}"/>
    <cellStyle name="Normal 2 3 2 2 2" xfId="368" xr:uid="{00000000-0005-0000-0000-000004500000}"/>
    <cellStyle name="Normal 2 3 2 2 2 10" xfId="19297" xr:uid="{00000000-0005-0000-0000-000005500000}"/>
    <cellStyle name="Normal 2 3 2 2 2 2" xfId="608" xr:uid="{00000000-0005-0000-0000-000006500000}"/>
    <cellStyle name="Normal 2 3 2 2 2 2 2" xfId="1096" xr:uid="{00000000-0005-0000-0000-000007500000}"/>
    <cellStyle name="Normal 2 3 2 2 2 2 2 2" xfId="7339" xr:uid="{00000000-0005-0000-0000-000008500000}"/>
    <cellStyle name="Normal 2 3 2 2 2 2 2 2 2" xfId="16663" xr:uid="{00000000-0005-0000-0000-000009500000}"/>
    <cellStyle name="Normal 2 3 2 2 2 2 2 2 3" xfId="25986" xr:uid="{00000000-0005-0000-0000-00000A500000}"/>
    <cellStyle name="Normal 2 3 2 2 2 2 2 3" xfId="10697" xr:uid="{00000000-0005-0000-0000-00000B500000}"/>
    <cellStyle name="Normal 2 3 2 2 2 2 2 4" xfId="20021" xr:uid="{00000000-0005-0000-0000-00000C500000}"/>
    <cellStyle name="Normal 2 3 2 2 2 2 3" xfId="7048" xr:uid="{00000000-0005-0000-0000-00000D500000}"/>
    <cellStyle name="Normal 2 3 2 2 2 2 3 2" xfId="16372" xr:uid="{00000000-0005-0000-0000-00000E500000}"/>
    <cellStyle name="Normal 2 3 2 2 2 2 3 3" xfId="25695" xr:uid="{00000000-0005-0000-0000-00000F500000}"/>
    <cellStyle name="Normal 2 3 2 2 2 2 4" xfId="9719" xr:uid="{00000000-0005-0000-0000-000010500000}"/>
    <cellStyle name="Normal 2 3 2 2 2 2 4 2" xfId="19043" xr:uid="{00000000-0005-0000-0000-000011500000}"/>
    <cellStyle name="Normal 2 3 2 2 2 2 4 3" xfId="28366" xr:uid="{00000000-0005-0000-0000-000012500000}"/>
    <cellStyle name="Normal 2 3 2 2 2 2 5" xfId="10213" xr:uid="{00000000-0005-0000-0000-000013500000}"/>
    <cellStyle name="Normal 2 3 2 2 2 2 6" xfId="19537" xr:uid="{00000000-0005-0000-0000-000014500000}"/>
    <cellStyle name="Normal 2 3 2 2 2 3" xfId="856" xr:uid="{00000000-0005-0000-0000-000015500000}"/>
    <cellStyle name="Normal 2 3 2 2 2 3 2" xfId="6906" xr:uid="{00000000-0005-0000-0000-000016500000}"/>
    <cellStyle name="Normal 2 3 2 2 2 3 2 2" xfId="16230" xr:uid="{00000000-0005-0000-0000-000017500000}"/>
    <cellStyle name="Normal 2 3 2 2 2 3 2 3" xfId="25553" xr:uid="{00000000-0005-0000-0000-000018500000}"/>
    <cellStyle name="Normal 2 3 2 2 2 3 3" xfId="10457" xr:uid="{00000000-0005-0000-0000-000019500000}"/>
    <cellStyle name="Normal 2 3 2 2 2 3 4" xfId="19781" xr:uid="{00000000-0005-0000-0000-00001A500000}"/>
    <cellStyle name="Normal 2 3 2 2 2 4" xfId="1291" xr:uid="{00000000-0005-0000-0000-00001B500000}"/>
    <cellStyle name="Normal 2 3 2 2 2 4 2" xfId="6670" xr:uid="{00000000-0005-0000-0000-00001C500000}"/>
    <cellStyle name="Normal 2 3 2 2 2 4 2 2" xfId="15994" xr:uid="{00000000-0005-0000-0000-00001D500000}"/>
    <cellStyle name="Normal 2 3 2 2 2 4 2 3" xfId="25317" xr:uid="{00000000-0005-0000-0000-00001E500000}"/>
    <cellStyle name="Normal 2 3 2 2 2 4 3" xfId="10878" xr:uid="{00000000-0005-0000-0000-00001F500000}"/>
    <cellStyle name="Normal 2 3 2 2 2 4 4" xfId="20202" xr:uid="{00000000-0005-0000-0000-000020500000}"/>
    <cellStyle name="Normal 2 3 2 2 2 5" xfId="3097" xr:uid="{00000000-0005-0000-0000-000021500000}"/>
    <cellStyle name="Normal 2 3 2 2 2 5 2" xfId="7776" xr:uid="{00000000-0005-0000-0000-000022500000}"/>
    <cellStyle name="Normal 2 3 2 2 2 5 2 2" xfId="17100" xr:uid="{00000000-0005-0000-0000-000023500000}"/>
    <cellStyle name="Normal 2 3 2 2 2 5 2 3" xfId="26423" xr:uid="{00000000-0005-0000-0000-000024500000}"/>
    <cellStyle name="Normal 2 3 2 2 2 5 3" xfId="12484" xr:uid="{00000000-0005-0000-0000-000025500000}"/>
    <cellStyle name="Normal 2 3 2 2 2 5 4" xfId="21810" xr:uid="{00000000-0005-0000-0000-000026500000}"/>
    <cellStyle name="Normal 2 3 2 2 2 6" xfId="4751" xr:uid="{00000000-0005-0000-0000-000027500000}"/>
    <cellStyle name="Normal 2 3 2 2 2 6 2" xfId="14075" xr:uid="{00000000-0005-0000-0000-000028500000}"/>
    <cellStyle name="Normal 2 3 2 2 2 6 3" xfId="23398" xr:uid="{00000000-0005-0000-0000-000029500000}"/>
    <cellStyle name="Normal 2 3 2 2 2 7" xfId="7185" xr:uid="{00000000-0005-0000-0000-00002A500000}"/>
    <cellStyle name="Normal 2 3 2 2 2 7 2" xfId="16509" xr:uid="{00000000-0005-0000-0000-00002B500000}"/>
    <cellStyle name="Normal 2 3 2 2 2 7 3" xfId="25832" xr:uid="{00000000-0005-0000-0000-00002C500000}"/>
    <cellStyle name="Normal 2 3 2 2 2 8" xfId="9479" xr:uid="{00000000-0005-0000-0000-00002D500000}"/>
    <cellStyle name="Normal 2 3 2 2 2 8 2" xfId="18803" xr:uid="{00000000-0005-0000-0000-00002E500000}"/>
    <cellStyle name="Normal 2 3 2 2 2 8 3" xfId="28126" xr:uid="{00000000-0005-0000-0000-00002F500000}"/>
    <cellStyle name="Normal 2 3 2 2 2 9" xfId="9973" xr:uid="{00000000-0005-0000-0000-000030500000}"/>
    <cellStyle name="Normal 2 3 2 2 3" xfId="486" xr:uid="{00000000-0005-0000-0000-000031500000}"/>
    <cellStyle name="Normal 2 3 2 2 3 2" xfId="974" xr:uid="{00000000-0005-0000-0000-000032500000}"/>
    <cellStyle name="Normal 2 3 2 2 3 2 2" xfId="6812" xr:uid="{00000000-0005-0000-0000-000033500000}"/>
    <cellStyle name="Normal 2 3 2 2 3 2 2 2" xfId="16136" xr:uid="{00000000-0005-0000-0000-000034500000}"/>
    <cellStyle name="Normal 2 3 2 2 3 2 2 3" xfId="25459" xr:uid="{00000000-0005-0000-0000-000035500000}"/>
    <cellStyle name="Normal 2 3 2 2 3 2 3" xfId="10575" xr:uid="{00000000-0005-0000-0000-000036500000}"/>
    <cellStyle name="Normal 2 3 2 2 3 2 4" xfId="19899" xr:uid="{00000000-0005-0000-0000-000037500000}"/>
    <cellStyle name="Normal 2 3 2 2 3 3" xfId="5223" xr:uid="{00000000-0005-0000-0000-000038500000}"/>
    <cellStyle name="Normal 2 3 2 2 3 3 2" xfId="14547" xr:uid="{00000000-0005-0000-0000-000039500000}"/>
    <cellStyle name="Normal 2 3 2 2 3 3 3" xfId="23870" xr:uid="{00000000-0005-0000-0000-00003A500000}"/>
    <cellStyle name="Normal 2 3 2 2 3 4" xfId="9597" xr:uid="{00000000-0005-0000-0000-00003B500000}"/>
    <cellStyle name="Normal 2 3 2 2 3 4 2" xfId="18921" xr:uid="{00000000-0005-0000-0000-00003C500000}"/>
    <cellStyle name="Normal 2 3 2 2 3 4 3" xfId="28244" xr:uid="{00000000-0005-0000-0000-00003D500000}"/>
    <cellStyle name="Normal 2 3 2 2 3 5" xfId="10091" xr:uid="{00000000-0005-0000-0000-00003E500000}"/>
    <cellStyle name="Normal 2 3 2 2 3 6" xfId="19415" xr:uid="{00000000-0005-0000-0000-00003F500000}"/>
    <cellStyle name="Normal 2 3 2 2 4" xfId="734" xr:uid="{00000000-0005-0000-0000-000040500000}"/>
    <cellStyle name="Normal 2 3 2 2 4 2" xfId="5385" xr:uid="{00000000-0005-0000-0000-000041500000}"/>
    <cellStyle name="Normal 2 3 2 2 4 2 2" xfId="14709" xr:uid="{00000000-0005-0000-0000-000042500000}"/>
    <cellStyle name="Normal 2 3 2 2 4 2 3" xfId="24032" xr:uid="{00000000-0005-0000-0000-000043500000}"/>
    <cellStyle name="Normal 2 3 2 2 4 3" xfId="10335" xr:uid="{00000000-0005-0000-0000-000044500000}"/>
    <cellStyle name="Normal 2 3 2 2 4 4" xfId="19659" xr:uid="{00000000-0005-0000-0000-000045500000}"/>
    <cellStyle name="Normal 2 3 2 2 5" xfId="1290" xr:uid="{00000000-0005-0000-0000-000046500000}"/>
    <cellStyle name="Normal 2 3 2 2 5 2" xfId="5954" xr:uid="{00000000-0005-0000-0000-000047500000}"/>
    <cellStyle name="Normal 2 3 2 2 5 2 2" xfId="15278" xr:uid="{00000000-0005-0000-0000-000048500000}"/>
    <cellStyle name="Normal 2 3 2 2 5 2 3" xfId="24601" xr:uid="{00000000-0005-0000-0000-000049500000}"/>
    <cellStyle name="Normal 2 3 2 2 5 3" xfId="10877" xr:uid="{00000000-0005-0000-0000-00004A500000}"/>
    <cellStyle name="Normal 2 3 2 2 5 4" xfId="20201" xr:uid="{00000000-0005-0000-0000-00004B500000}"/>
    <cellStyle name="Normal 2 3 2 2 6" xfId="3096" xr:uid="{00000000-0005-0000-0000-00004C500000}"/>
    <cellStyle name="Normal 2 3 2 2 6 2" xfId="7775" xr:uid="{00000000-0005-0000-0000-00004D500000}"/>
    <cellStyle name="Normal 2 3 2 2 6 2 2" xfId="17099" xr:uid="{00000000-0005-0000-0000-00004E500000}"/>
    <cellStyle name="Normal 2 3 2 2 6 2 3" xfId="26422" xr:uid="{00000000-0005-0000-0000-00004F500000}"/>
    <cellStyle name="Normal 2 3 2 2 6 3" xfId="12483" xr:uid="{00000000-0005-0000-0000-000050500000}"/>
    <cellStyle name="Normal 2 3 2 2 6 4" xfId="21809" xr:uid="{00000000-0005-0000-0000-000051500000}"/>
    <cellStyle name="Normal 2 3 2 2 7" xfId="4750" xr:uid="{00000000-0005-0000-0000-000052500000}"/>
    <cellStyle name="Normal 2 3 2 2 7 2" xfId="14074" xr:uid="{00000000-0005-0000-0000-000053500000}"/>
    <cellStyle name="Normal 2 3 2 2 7 3" xfId="23397" xr:uid="{00000000-0005-0000-0000-000054500000}"/>
    <cellStyle name="Normal 2 3 2 2 8" xfId="7250" xr:uid="{00000000-0005-0000-0000-000055500000}"/>
    <cellStyle name="Normal 2 3 2 2 8 2" xfId="16574" xr:uid="{00000000-0005-0000-0000-000056500000}"/>
    <cellStyle name="Normal 2 3 2 2 8 3" xfId="25897" xr:uid="{00000000-0005-0000-0000-000057500000}"/>
    <cellStyle name="Normal 2 3 2 2 9" xfId="9356" xr:uid="{00000000-0005-0000-0000-000058500000}"/>
    <cellStyle name="Normal 2 3 2 2 9 2" xfId="18680" xr:uid="{00000000-0005-0000-0000-000059500000}"/>
    <cellStyle name="Normal 2 3 2 2 9 3" xfId="28003" xr:uid="{00000000-0005-0000-0000-00005A500000}"/>
    <cellStyle name="Normal 2 3 2 3" xfId="309" xr:uid="{00000000-0005-0000-0000-00005B500000}"/>
    <cellStyle name="Normal 2 3 2 3 10" xfId="19240" xr:uid="{00000000-0005-0000-0000-00005C500000}"/>
    <cellStyle name="Normal 2 3 2 3 11" xfId="28794" xr:uid="{00000000-0005-0000-0000-00005D500000}"/>
    <cellStyle name="Normal 2 3 2 3 2" xfId="551" xr:uid="{00000000-0005-0000-0000-00005E500000}"/>
    <cellStyle name="Normal 2 3 2 3 2 2" xfId="1039" xr:uid="{00000000-0005-0000-0000-00005F500000}"/>
    <cellStyle name="Normal 2 3 2 3 2 2 2" xfId="6770" xr:uid="{00000000-0005-0000-0000-000060500000}"/>
    <cellStyle name="Normal 2 3 2 3 2 2 2 2" xfId="16094" xr:uid="{00000000-0005-0000-0000-000061500000}"/>
    <cellStyle name="Normal 2 3 2 3 2 2 2 3" xfId="25417" xr:uid="{00000000-0005-0000-0000-000062500000}"/>
    <cellStyle name="Normal 2 3 2 3 2 2 3" xfId="10640" xr:uid="{00000000-0005-0000-0000-000063500000}"/>
    <cellStyle name="Normal 2 3 2 3 2 2 4" xfId="19964" xr:uid="{00000000-0005-0000-0000-000064500000}"/>
    <cellStyle name="Normal 2 3 2 3 2 3" xfId="7078" xr:uid="{00000000-0005-0000-0000-000065500000}"/>
    <cellStyle name="Normal 2 3 2 3 2 3 2" xfId="16402" xr:uid="{00000000-0005-0000-0000-000066500000}"/>
    <cellStyle name="Normal 2 3 2 3 2 3 3" xfId="25725" xr:uid="{00000000-0005-0000-0000-000067500000}"/>
    <cellStyle name="Normal 2 3 2 3 2 4" xfId="9662" xr:uid="{00000000-0005-0000-0000-000068500000}"/>
    <cellStyle name="Normal 2 3 2 3 2 4 2" xfId="18986" xr:uid="{00000000-0005-0000-0000-000069500000}"/>
    <cellStyle name="Normal 2 3 2 3 2 4 3" xfId="28309" xr:uid="{00000000-0005-0000-0000-00006A500000}"/>
    <cellStyle name="Normal 2 3 2 3 2 5" xfId="10156" xr:uid="{00000000-0005-0000-0000-00006B500000}"/>
    <cellStyle name="Normal 2 3 2 3 2 6" xfId="19480" xr:uid="{00000000-0005-0000-0000-00006C500000}"/>
    <cellStyle name="Normal 2 3 2 3 3" xfId="799" xr:uid="{00000000-0005-0000-0000-00006D500000}"/>
    <cellStyle name="Normal 2 3 2 3 3 2" xfId="5464" xr:uid="{00000000-0005-0000-0000-00006E500000}"/>
    <cellStyle name="Normal 2 3 2 3 3 2 2" xfId="14788" xr:uid="{00000000-0005-0000-0000-00006F500000}"/>
    <cellStyle name="Normal 2 3 2 3 3 2 3" xfId="24111" xr:uid="{00000000-0005-0000-0000-000070500000}"/>
    <cellStyle name="Normal 2 3 2 3 3 3" xfId="10400" xr:uid="{00000000-0005-0000-0000-000071500000}"/>
    <cellStyle name="Normal 2 3 2 3 3 4" xfId="19724" xr:uid="{00000000-0005-0000-0000-000072500000}"/>
    <cellStyle name="Normal 2 3 2 3 4" xfId="1292" xr:uid="{00000000-0005-0000-0000-000073500000}"/>
    <cellStyle name="Normal 2 3 2 3 4 2" xfId="6669" xr:uid="{00000000-0005-0000-0000-000074500000}"/>
    <cellStyle name="Normal 2 3 2 3 4 2 2" xfId="15993" xr:uid="{00000000-0005-0000-0000-000075500000}"/>
    <cellStyle name="Normal 2 3 2 3 4 2 3" xfId="25316" xr:uid="{00000000-0005-0000-0000-000076500000}"/>
    <cellStyle name="Normal 2 3 2 3 4 3" xfId="10879" xr:uid="{00000000-0005-0000-0000-000077500000}"/>
    <cellStyle name="Normal 2 3 2 3 4 4" xfId="20203" xr:uid="{00000000-0005-0000-0000-000078500000}"/>
    <cellStyle name="Normal 2 3 2 3 5" xfId="3098" xr:uid="{00000000-0005-0000-0000-000079500000}"/>
    <cellStyle name="Normal 2 3 2 3 5 2" xfId="7777" xr:uid="{00000000-0005-0000-0000-00007A500000}"/>
    <cellStyle name="Normal 2 3 2 3 5 2 2" xfId="17101" xr:uid="{00000000-0005-0000-0000-00007B500000}"/>
    <cellStyle name="Normal 2 3 2 3 5 2 3" xfId="26424" xr:uid="{00000000-0005-0000-0000-00007C500000}"/>
    <cellStyle name="Normal 2 3 2 3 5 3" xfId="12485" xr:uid="{00000000-0005-0000-0000-00007D500000}"/>
    <cellStyle name="Normal 2 3 2 3 5 4" xfId="21811" xr:uid="{00000000-0005-0000-0000-00007E500000}"/>
    <cellStyle name="Normal 2 3 2 3 6" xfId="4752" xr:uid="{00000000-0005-0000-0000-00007F500000}"/>
    <cellStyle name="Normal 2 3 2 3 6 2" xfId="14076" xr:uid="{00000000-0005-0000-0000-000080500000}"/>
    <cellStyle name="Normal 2 3 2 3 6 3" xfId="23399" xr:uid="{00000000-0005-0000-0000-000081500000}"/>
    <cellStyle name="Normal 2 3 2 3 7" xfId="7219" xr:uid="{00000000-0005-0000-0000-000082500000}"/>
    <cellStyle name="Normal 2 3 2 3 7 2" xfId="16543" xr:uid="{00000000-0005-0000-0000-000083500000}"/>
    <cellStyle name="Normal 2 3 2 3 7 3" xfId="25866" xr:uid="{00000000-0005-0000-0000-000084500000}"/>
    <cellStyle name="Normal 2 3 2 3 8" xfId="9422" xr:uid="{00000000-0005-0000-0000-000085500000}"/>
    <cellStyle name="Normal 2 3 2 3 8 2" xfId="18746" xr:uid="{00000000-0005-0000-0000-000086500000}"/>
    <cellStyle name="Normal 2 3 2 3 8 3" xfId="28069" xr:uid="{00000000-0005-0000-0000-000087500000}"/>
    <cellStyle name="Normal 2 3 2 3 9" xfId="9916" xr:uid="{00000000-0005-0000-0000-000088500000}"/>
    <cellStyle name="Normal 2 3 2 4" xfId="427" xr:uid="{00000000-0005-0000-0000-000089500000}"/>
    <cellStyle name="Normal 2 3 2 4 2" xfId="915" xr:uid="{00000000-0005-0000-0000-00008A500000}"/>
    <cellStyle name="Normal 2 3 2 4 2 2" xfId="4557" xr:uid="{00000000-0005-0000-0000-00008B500000}"/>
    <cellStyle name="Normal 2 3 2 4 2 2 2" xfId="13881" xr:uid="{00000000-0005-0000-0000-00008C500000}"/>
    <cellStyle name="Normal 2 3 2 4 2 2 3" xfId="23204" xr:uid="{00000000-0005-0000-0000-00008D500000}"/>
    <cellStyle name="Normal 2 3 2 4 2 3" xfId="10516" xr:uid="{00000000-0005-0000-0000-00008E500000}"/>
    <cellStyle name="Normal 2 3 2 4 2 4" xfId="19840" xr:uid="{00000000-0005-0000-0000-00008F500000}"/>
    <cellStyle name="Normal 2 3 2 4 3" xfId="7156" xr:uid="{00000000-0005-0000-0000-000090500000}"/>
    <cellStyle name="Normal 2 3 2 4 3 2" xfId="16480" xr:uid="{00000000-0005-0000-0000-000091500000}"/>
    <cellStyle name="Normal 2 3 2 4 3 3" xfId="25803" xr:uid="{00000000-0005-0000-0000-000092500000}"/>
    <cellStyle name="Normal 2 3 2 4 4" xfId="9538" xr:uid="{00000000-0005-0000-0000-000093500000}"/>
    <cellStyle name="Normal 2 3 2 4 4 2" xfId="18862" xr:uid="{00000000-0005-0000-0000-000094500000}"/>
    <cellStyle name="Normal 2 3 2 4 4 3" xfId="28185" xr:uid="{00000000-0005-0000-0000-000095500000}"/>
    <cellStyle name="Normal 2 3 2 4 5" xfId="10032" xr:uid="{00000000-0005-0000-0000-000096500000}"/>
    <cellStyle name="Normal 2 3 2 4 6" xfId="19356" xr:uid="{00000000-0005-0000-0000-000097500000}"/>
    <cellStyle name="Normal 2 3 2 5" xfId="675" xr:uid="{00000000-0005-0000-0000-000098500000}"/>
    <cellStyle name="Normal 2 3 2 5 2" xfId="4565" xr:uid="{00000000-0005-0000-0000-000099500000}"/>
    <cellStyle name="Normal 2 3 2 5 2 2" xfId="13889" xr:uid="{00000000-0005-0000-0000-00009A500000}"/>
    <cellStyle name="Normal 2 3 2 5 2 3" xfId="23212" xr:uid="{00000000-0005-0000-0000-00009B500000}"/>
    <cellStyle name="Normal 2 3 2 5 3" xfId="10276" xr:uid="{00000000-0005-0000-0000-00009C500000}"/>
    <cellStyle name="Normal 2 3 2 5 4" xfId="19600" xr:uid="{00000000-0005-0000-0000-00009D500000}"/>
    <cellStyle name="Normal 2 3 2 6" xfId="1289" xr:uid="{00000000-0005-0000-0000-00009E500000}"/>
    <cellStyle name="Normal 2 3 2 6 2" xfId="4615" xr:uid="{00000000-0005-0000-0000-00009F500000}"/>
    <cellStyle name="Normal 2 3 2 6 2 2" xfId="13939" xr:uid="{00000000-0005-0000-0000-0000A0500000}"/>
    <cellStyle name="Normal 2 3 2 6 2 3" xfId="23262" xr:uid="{00000000-0005-0000-0000-0000A1500000}"/>
    <cellStyle name="Normal 2 3 2 6 3" xfId="10876" xr:uid="{00000000-0005-0000-0000-0000A2500000}"/>
    <cellStyle name="Normal 2 3 2 6 4" xfId="20200" xr:uid="{00000000-0005-0000-0000-0000A3500000}"/>
    <cellStyle name="Normal 2 3 2 7" xfId="3095" xr:uid="{00000000-0005-0000-0000-0000A4500000}"/>
    <cellStyle name="Normal 2 3 2 7 2" xfId="7774" xr:uid="{00000000-0005-0000-0000-0000A5500000}"/>
    <cellStyle name="Normal 2 3 2 7 2 2" xfId="17098" xr:uid="{00000000-0005-0000-0000-0000A6500000}"/>
    <cellStyle name="Normal 2 3 2 7 2 3" xfId="26421" xr:uid="{00000000-0005-0000-0000-0000A7500000}"/>
    <cellStyle name="Normal 2 3 2 7 3" xfId="12482" xr:uid="{00000000-0005-0000-0000-0000A8500000}"/>
    <cellStyle name="Normal 2 3 2 7 4" xfId="21808" xr:uid="{00000000-0005-0000-0000-0000A9500000}"/>
    <cellStyle name="Normal 2 3 2 8" xfId="4749" xr:uid="{00000000-0005-0000-0000-0000AA500000}"/>
    <cellStyle name="Normal 2 3 2 8 2" xfId="14073" xr:uid="{00000000-0005-0000-0000-0000AB500000}"/>
    <cellStyle name="Normal 2 3 2 8 3" xfId="23396" xr:uid="{00000000-0005-0000-0000-0000AC500000}"/>
    <cellStyle name="Normal 2 3 2 9" xfId="7283" xr:uid="{00000000-0005-0000-0000-0000AD500000}"/>
    <cellStyle name="Normal 2 3 2 9 2" xfId="16607" xr:uid="{00000000-0005-0000-0000-0000AE500000}"/>
    <cellStyle name="Normal 2 3 2 9 3" xfId="25930" xr:uid="{00000000-0005-0000-0000-0000AF500000}"/>
    <cellStyle name="Normal 2 3 3" xfId="1293" xr:uid="{00000000-0005-0000-0000-0000B0500000}"/>
    <cellStyle name="Normal 2 3 3 2" xfId="1294" xr:uid="{00000000-0005-0000-0000-0000B1500000}"/>
    <cellStyle name="Normal 2 3 3 2 2" xfId="3100" xr:uid="{00000000-0005-0000-0000-0000B2500000}"/>
    <cellStyle name="Normal 2 3 3 2 2 2" xfId="7779" xr:uid="{00000000-0005-0000-0000-0000B3500000}"/>
    <cellStyle name="Normal 2 3 3 2 2 2 2" xfId="17103" xr:uid="{00000000-0005-0000-0000-0000B4500000}"/>
    <cellStyle name="Normal 2 3 3 2 2 2 3" xfId="26426" xr:uid="{00000000-0005-0000-0000-0000B5500000}"/>
    <cellStyle name="Normal 2 3 3 2 2 3" xfId="12487" xr:uid="{00000000-0005-0000-0000-0000B6500000}"/>
    <cellStyle name="Normal 2 3 3 2 2 4" xfId="21813" xr:uid="{00000000-0005-0000-0000-0000B7500000}"/>
    <cellStyle name="Normal 2 3 3 2 3" xfId="4754" xr:uid="{00000000-0005-0000-0000-0000B8500000}"/>
    <cellStyle name="Normal 2 3 3 2 3 2" xfId="14078" xr:uid="{00000000-0005-0000-0000-0000B9500000}"/>
    <cellStyle name="Normal 2 3 3 2 3 3" xfId="23401" xr:uid="{00000000-0005-0000-0000-0000BA500000}"/>
    <cellStyle name="Normal 2 3 3 2 4" xfId="10881" xr:uid="{00000000-0005-0000-0000-0000BB500000}"/>
    <cellStyle name="Normal 2 3 3 2 5" xfId="20205" xr:uid="{00000000-0005-0000-0000-0000BC500000}"/>
    <cellStyle name="Normal 2 3 3 3" xfId="3099" xr:uid="{00000000-0005-0000-0000-0000BD500000}"/>
    <cellStyle name="Normal 2 3 3 3 2" xfId="7778" xr:uid="{00000000-0005-0000-0000-0000BE500000}"/>
    <cellStyle name="Normal 2 3 3 3 2 2" xfId="17102" xr:uid="{00000000-0005-0000-0000-0000BF500000}"/>
    <cellStyle name="Normal 2 3 3 3 2 3" xfId="26425" xr:uid="{00000000-0005-0000-0000-0000C0500000}"/>
    <cellStyle name="Normal 2 3 3 3 3" xfId="12486" xr:uid="{00000000-0005-0000-0000-0000C1500000}"/>
    <cellStyle name="Normal 2 3 3 3 4" xfId="21812" xr:uid="{00000000-0005-0000-0000-0000C2500000}"/>
    <cellStyle name="Normal 2 3 3 4" xfId="4753" xr:uid="{00000000-0005-0000-0000-0000C3500000}"/>
    <cellStyle name="Normal 2 3 3 4 2" xfId="14077" xr:uid="{00000000-0005-0000-0000-0000C4500000}"/>
    <cellStyle name="Normal 2 3 3 4 3" xfId="23400" xr:uid="{00000000-0005-0000-0000-0000C5500000}"/>
    <cellStyle name="Normal 2 3 3 5" xfId="10880" xr:uid="{00000000-0005-0000-0000-0000C6500000}"/>
    <cellStyle name="Normal 2 3 3 6" xfId="20204" xr:uid="{00000000-0005-0000-0000-0000C7500000}"/>
    <cellStyle name="Normal 2 3 3 7" xfId="28855" xr:uid="{00000000-0005-0000-0000-0000C8500000}"/>
    <cellStyle name="Normal 2 3 4" xfId="1295" xr:uid="{00000000-0005-0000-0000-0000C9500000}"/>
    <cellStyle name="Normal 2 3 4 2" xfId="3101" xr:uid="{00000000-0005-0000-0000-0000CA500000}"/>
    <cellStyle name="Normal 2 3 4 2 2" xfId="7780" xr:uid="{00000000-0005-0000-0000-0000CB500000}"/>
    <cellStyle name="Normal 2 3 4 2 2 2" xfId="17104" xr:uid="{00000000-0005-0000-0000-0000CC500000}"/>
    <cellStyle name="Normal 2 3 4 2 2 3" xfId="26427" xr:uid="{00000000-0005-0000-0000-0000CD500000}"/>
    <cellStyle name="Normal 2 3 4 2 3" xfId="12488" xr:uid="{00000000-0005-0000-0000-0000CE500000}"/>
    <cellStyle name="Normal 2 3 4 2 4" xfId="21814" xr:uid="{00000000-0005-0000-0000-0000CF500000}"/>
    <cellStyle name="Normal 2 3 4 3" xfId="4755" xr:uid="{00000000-0005-0000-0000-0000D0500000}"/>
    <cellStyle name="Normal 2 3 4 3 2" xfId="14079" xr:uid="{00000000-0005-0000-0000-0000D1500000}"/>
    <cellStyle name="Normal 2 3 4 3 3" xfId="23402" xr:uid="{00000000-0005-0000-0000-0000D2500000}"/>
    <cellStyle name="Normal 2 3 4 4" xfId="10882" xr:uid="{00000000-0005-0000-0000-0000D3500000}"/>
    <cellStyle name="Normal 2 3 4 5" xfId="20206" xr:uid="{00000000-0005-0000-0000-0000D4500000}"/>
    <cellStyle name="Normal 2 3 4 6" xfId="28783" xr:uid="{00000000-0005-0000-0000-0000D5500000}"/>
    <cellStyle name="Normal 2 3 5" xfId="1288" xr:uid="{00000000-0005-0000-0000-0000D6500000}"/>
    <cellStyle name="Normal 2 3 5 2" xfId="3094" xr:uid="{00000000-0005-0000-0000-0000D7500000}"/>
    <cellStyle name="Normal 2 3 5 2 2" xfId="7773" xr:uid="{00000000-0005-0000-0000-0000D8500000}"/>
    <cellStyle name="Normal 2 3 5 2 2 2" xfId="17097" xr:uid="{00000000-0005-0000-0000-0000D9500000}"/>
    <cellStyle name="Normal 2 3 5 2 2 3" xfId="26420" xr:uid="{00000000-0005-0000-0000-0000DA500000}"/>
    <cellStyle name="Normal 2 3 5 2 3" xfId="12481" xr:uid="{00000000-0005-0000-0000-0000DB500000}"/>
    <cellStyle name="Normal 2 3 5 2 4" xfId="21807" xr:uid="{00000000-0005-0000-0000-0000DC500000}"/>
    <cellStyle name="Normal 2 3 5 3" xfId="4748" xr:uid="{00000000-0005-0000-0000-0000DD500000}"/>
    <cellStyle name="Normal 2 3 5 3 2" xfId="14072" xr:uid="{00000000-0005-0000-0000-0000DE500000}"/>
    <cellStyle name="Normal 2 3 5 3 3" xfId="23395" xr:uid="{00000000-0005-0000-0000-0000DF500000}"/>
    <cellStyle name="Normal 2 3 5 4" xfId="10875" xr:uid="{00000000-0005-0000-0000-0000E0500000}"/>
    <cellStyle name="Normal 2 3 5 5" xfId="20199" xr:uid="{00000000-0005-0000-0000-0000E1500000}"/>
    <cellStyle name="Normal 2 3 6" xfId="28545" xr:uid="{00000000-0005-0000-0000-0000E2500000}"/>
    <cellStyle name="Normal 2 4" xfId="158" xr:uid="{00000000-0005-0000-0000-0000E3500000}"/>
    <cellStyle name="Normal 2 4 2" xfId="159" xr:uid="{00000000-0005-0000-0000-0000E4500000}"/>
    <cellStyle name="Normal 2 4 2 2" xfId="1298" xr:uid="{00000000-0005-0000-0000-0000E5500000}"/>
    <cellStyle name="Normal 2 4 2 2 2" xfId="3104" xr:uid="{00000000-0005-0000-0000-0000E6500000}"/>
    <cellStyle name="Normal 2 4 2 2 2 2" xfId="7783" xr:uid="{00000000-0005-0000-0000-0000E7500000}"/>
    <cellStyle name="Normal 2 4 2 2 2 2 2" xfId="17107" xr:uid="{00000000-0005-0000-0000-0000E8500000}"/>
    <cellStyle name="Normal 2 4 2 2 2 2 3" xfId="26430" xr:uid="{00000000-0005-0000-0000-0000E9500000}"/>
    <cellStyle name="Normal 2 4 2 2 2 3" xfId="12491" xr:uid="{00000000-0005-0000-0000-0000EA500000}"/>
    <cellStyle name="Normal 2 4 2 2 2 4" xfId="21817" xr:uid="{00000000-0005-0000-0000-0000EB500000}"/>
    <cellStyle name="Normal 2 4 2 2 3" xfId="4758" xr:uid="{00000000-0005-0000-0000-0000EC500000}"/>
    <cellStyle name="Normal 2 4 2 2 3 2" xfId="14082" xr:uid="{00000000-0005-0000-0000-0000ED500000}"/>
    <cellStyle name="Normal 2 4 2 2 3 3" xfId="23405" xr:uid="{00000000-0005-0000-0000-0000EE500000}"/>
    <cellStyle name="Normal 2 4 2 2 4" xfId="10885" xr:uid="{00000000-0005-0000-0000-0000EF500000}"/>
    <cellStyle name="Normal 2 4 2 2 5" xfId="20209" xr:uid="{00000000-0005-0000-0000-0000F0500000}"/>
    <cellStyle name="Normal 2 4 2 2 6" xfId="28878" xr:uid="{00000000-0005-0000-0000-0000F1500000}"/>
    <cellStyle name="Normal 2 4 2 3" xfId="1297" xr:uid="{00000000-0005-0000-0000-0000F2500000}"/>
    <cellStyle name="Normal 2 4 2 3 2" xfId="6667" xr:uid="{00000000-0005-0000-0000-0000F3500000}"/>
    <cellStyle name="Normal 2 4 2 3 2 2" xfId="15991" xr:uid="{00000000-0005-0000-0000-0000F4500000}"/>
    <cellStyle name="Normal 2 4 2 3 2 3" xfId="25314" xr:uid="{00000000-0005-0000-0000-0000F5500000}"/>
    <cellStyle name="Normal 2 4 2 3 3" xfId="10884" xr:uid="{00000000-0005-0000-0000-0000F6500000}"/>
    <cellStyle name="Normal 2 4 2 3 4" xfId="20208" xr:uid="{00000000-0005-0000-0000-0000F7500000}"/>
    <cellStyle name="Normal 2 4 2 3 5" xfId="28795" xr:uid="{00000000-0005-0000-0000-0000F8500000}"/>
    <cellStyle name="Normal 2 4 2 4" xfId="3103" xr:uid="{00000000-0005-0000-0000-0000F9500000}"/>
    <cellStyle name="Normal 2 4 2 4 2" xfId="7782" xr:uid="{00000000-0005-0000-0000-0000FA500000}"/>
    <cellStyle name="Normal 2 4 2 4 2 2" xfId="17106" xr:uid="{00000000-0005-0000-0000-0000FB500000}"/>
    <cellStyle name="Normal 2 4 2 4 2 3" xfId="26429" xr:uid="{00000000-0005-0000-0000-0000FC500000}"/>
    <cellStyle name="Normal 2 4 2 4 3" xfId="12490" xr:uid="{00000000-0005-0000-0000-0000FD500000}"/>
    <cellStyle name="Normal 2 4 2 4 4" xfId="21816" xr:uid="{00000000-0005-0000-0000-0000FE500000}"/>
    <cellStyle name="Normal 2 4 2 5" xfId="4757" xr:uid="{00000000-0005-0000-0000-0000FF500000}"/>
    <cellStyle name="Normal 2 4 2 5 2" xfId="14081" xr:uid="{00000000-0005-0000-0000-000000510000}"/>
    <cellStyle name="Normal 2 4 2 5 3" xfId="23404" xr:uid="{00000000-0005-0000-0000-000001510000}"/>
    <cellStyle name="Normal 2 4 2 6" xfId="28736" xr:uid="{00000000-0005-0000-0000-000002510000}"/>
    <cellStyle name="Normal 2 4 3" xfId="310" xr:uid="{00000000-0005-0000-0000-000003510000}"/>
    <cellStyle name="Normal 2 4 3 2" xfId="1299" xr:uid="{00000000-0005-0000-0000-000004510000}"/>
    <cellStyle name="Normal 2 4 3 2 2" xfId="6666" xr:uid="{00000000-0005-0000-0000-000005510000}"/>
    <cellStyle name="Normal 2 4 3 2 2 2" xfId="15990" xr:uid="{00000000-0005-0000-0000-000006510000}"/>
    <cellStyle name="Normal 2 4 3 2 2 3" xfId="25313" xr:uid="{00000000-0005-0000-0000-000007510000}"/>
    <cellStyle name="Normal 2 4 3 2 3" xfId="10886" xr:uid="{00000000-0005-0000-0000-000008510000}"/>
    <cellStyle name="Normal 2 4 3 2 4" xfId="20210" xr:uid="{00000000-0005-0000-0000-000009510000}"/>
    <cellStyle name="Normal 2 4 3 3" xfId="3105" xr:uid="{00000000-0005-0000-0000-00000A510000}"/>
    <cellStyle name="Normal 2 4 3 3 2" xfId="7784" xr:uid="{00000000-0005-0000-0000-00000B510000}"/>
    <cellStyle name="Normal 2 4 3 3 2 2" xfId="17108" xr:uid="{00000000-0005-0000-0000-00000C510000}"/>
    <cellStyle name="Normal 2 4 3 3 2 3" xfId="26431" xr:uid="{00000000-0005-0000-0000-00000D510000}"/>
    <cellStyle name="Normal 2 4 3 3 3" xfId="12492" xr:uid="{00000000-0005-0000-0000-00000E510000}"/>
    <cellStyle name="Normal 2 4 3 3 4" xfId="21818" xr:uid="{00000000-0005-0000-0000-00000F510000}"/>
    <cellStyle name="Normal 2 4 3 4" xfId="4759" xr:uid="{00000000-0005-0000-0000-000010510000}"/>
    <cellStyle name="Normal 2 4 3 4 2" xfId="14083" xr:uid="{00000000-0005-0000-0000-000011510000}"/>
    <cellStyle name="Normal 2 4 3 4 3" xfId="23406" xr:uid="{00000000-0005-0000-0000-000012510000}"/>
    <cellStyle name="Normal 2 4 3 5" xfId="28860" xr:uid="{00000000-0005-0000-0000-000013510000}"/>
    <cellStyle name="Normal 2 4 4" xfId="278" xr:uid="{00000000-0005-0000-0000-000014510000}"/>
    <cellStyle name="Normal 2 4 4 2" xfId="1296" xr:uid="{00000000-0005-0000-0000-000015510000}"/>
    <cellStyle name="Normal 2 4 4 2 2" xfId="6668" xr:uid="{00000000-0005-0000-0000-000016510000}"/>
    <cellStyle name="Normal 2 4 4 2 2 2" xfId="15992" xr:uid="{00000000-0005-0000-0000-000017510000}"/>
    <cellStyle name="Normal 2 4 4 2 2 3" xfId="25315" xr:uid="{00000000-0005-0000-0000-000018510000}"/>
    <cellStyle name="Normal 2 4 4 2 3" xfId="10883" xr:uid="{00000000-0005-0000-0000-000019510000}"/>
    <cellStyle name="Normal 2 4 4 2 4" xfId="20207" xr:uid="{00000000-0005-0000-0000-00001A510000}"/>
    <cellStyle name="Normal 2 4 4 3" xfId="3102" xr:uid="{00000000-0005-0000-0000-00001B510000}"/>
    <cellStyle name="Normal 2 4 4 3 2" xfId="7781" xr:uid="{00000000-0005-0000-0000-00001C510000}"/>
    <cellStyle name="Normal 2 4 4 3 2 2" xfId="17105" xr:uid="{00000000-0005-0000-0000-00001D510000}"/>
    <cellStyle name="Normal 2 4 4 3 2 3" xfId="26428" xr:uid="{00000000-0005-0000-0000-00001E510000}"/>
    <cellStyle name="Normal 2 4 4 3 3" xfId="12489" xr:uid="{00000000-0005-0000-0000-00001F510000}"/>
    <cellStyle name="Normal 2 4 4 3 4" xfId="21815" xr:uid="{00000000-0005-0000-0000-000020510000}"/>
    <cellStyle name="Normal 2 4 4 4" xfId="4756" xr:uid="{00000000-0005-0000-0000-000021510000}"/>
    <cellStyle name="Normal 2 4 4 4 2" xfId="14080" xr:uid="{00000000-0005-0000-0000-000022510000}"/>
    <cellStyle name="Normal 2 4 4 4 3" xfId="23403" xr:uid="{00000000-0005-0000-0000-000023510000}"/>
    <cellStyle name="Normal 2 4 4 5" xfId="28786" xr:uid="{00000000-0005-0000-0000-000024510000}"/>
    <cellStyle name="Normal 2 4 5" xfId="2317" xr:uid="{00000000-0005-0000-0000-000025510000}"/>
    <cellStyle name="Normal 2 4 6" xfId="28582" xr:uid="{00000000-0005-0000-0000-000026510000}"/>
    <cellStyle name="Normal 2 5" xfId="160" xr:uid="{00000000-0005-0000-0000-000027510000}"/>
    <cellStyle name="Normal 2 5 2" xfId="1301" xr:uid="{00000000-0005-0000-0000-000028510000}"/>
    <cellStyle name="Normal 2 5 2 2" xfId="3107" xr:uid="{00000000-0005-0000-0000-000029510000}"/>
    <cellStyle name="Normal 2 5 2 2 2" xfId="7786" xr:uid="{00000000-0005-0000-0000-00002A510000}"/>
    <cellStyle name="Normal 2 5 2 2 2 2" xfId="17110" xr:uid="{00000000-0005-0000-0000-00002B510000}"/>
    <cellStyle name="Normal 2 5 2 2 2 3" xfId="26433" xr:uid="{00000000-0005-0000-0000-00002C510000}"/>
    <cellStyle name="Normal 2 5 2 2 3" xfId="12494" xr:uid="{00000000-0005-0000-0000-00002D510000}"/>
    <cellStyle name="Normal 2 5 2 2 4" xfId="21820" xr:uid="{00000000-0005-0000-0000-00002E510000}"/>
    <cellStyle name="Normal 2 5 2 3" xfId="4761" xr:uid="{00000000-0005-0000-0000-00002F510000}"/>
    <cellStyle name="Normal 2 5 2 3 2" xfId="14085" xr:uid="{00000000-0005-0000-0000-000030510000}"/>
    <cellStyle name="Normal 2 5 2 3 3" xfId="23408" xr:uid="{00000000-0005-0000-0000-000031510000}"/>
    <cellStyle name="Normal 2 5 2 4" xfId="10888" xr:uid="{00000000-0005-0000-0000-000032510000}"/>
    <cellStyle name="Normal 2 5 2 5" xfId="20212" xr:uid="{00000000-0005-0000-0000-000033510000}"/>
    <cellStyle name="Normal 2 5 2 6" xfId="28868" xr:uid="{00000000-0005-0000-0000-000034510000}"/>
    <cellStyle name="Normal 2 5 3" xfId="2318" xr:uid="{00000000-0005-0000-0000-000035510000}"/>
    <cellStyle name="Normal 2 5 3 2" xfId="4041" xr:uid="{00000000-0005-0000-0000-000036510000}"/>
    <cellStyle name="Normal 2 5 3 2 2" xfId="8718" xr:uid="{00000000-0005-0000-0000-000037510000}"/>
    <cellStyle name="Normal 2 5 3 2 2 2" xfId="18042" xr:uid="{00000000-0005-0000-0000-000038510000}"/>
    <cellStyle name="Normal 2 5 3 2 2 3" xfId="27365" xr:uid="{00000000-0005-0000-0000-000039510000}"/>
    <cellStyle name="Normal 2 5 3 2 3" xfId="13375" xr:uid="{00000000-0005-0000-0000-00003A510000}"/>
    <cellStyle name="Normal 2 5 3 2 4" xfId="22699" xr:uid="{00000000-0005-0000-0000-00003B510000}"/>
    <cellStyle name="Normal 2 5 3 3" xfId="5753" xr:uid="{00000000-0005-0000-0000-00003C510000}"/>
    <cellStyle name="Normal 2 5 3 3 2" xfId="15077" xr:uid="{00000000-0005-0000-0000-00003D510000}"/>
    <cellStyle name="Normal 2 5 3 3 3" xfId="24400" xr:uid="{00000000-0005-0000-0000-00003E510000}"/>
    <cellStyle name="Normal 2 5 3 4" xfId="11820" xr:uid="{00000000-0005-0000-0000-00003F510000}"/>
    <cellStyle name="Normal 2 5 3 5" xfId="21146" xr:uid="{00000000-0005-0000-0000-000040510000}"/>
    <cellStyle name="Normal 2 5 3 6" xfId="28790" xr:uid="{00000000-0005-0000-0000-000041510000}"/>
    <cellStyle name="Normal 2 5 4" xfId="1300" xr:uid="{00000000-0005-0000-0000-000042510000}"/>
    <cellStyle name="Normal 2 5 4 2" xfId="6665" xr:uid="{00000000-0005-0000-0000-000043510000}"/>
    <cellStyle name="Normal 2 5 4 2 2" xfId="15989" xr:uid="{00000000-0005-0000-0000-000044510000}"/>
    <cellStyle name="Normal 2 5 4 2 3" xfId="25312" xr:uid="{00000000-0005-0000-0000-000045510000}"/>
    <cellStyle name="Normal 2 5 4 3" xfId="10887" xr:uid="{00000000-0005-0000-0000-000046510000}"/>
    <cellStyle name="Normal 2 5 4 4" xfId="20211" xr:uid="{00000000-0005-0000-0000-000047510000}"/>
    <cellStyle name="Normal 2 5 5" xfId="3106" xr:uid="{00000000-0005-0000-0000-000048510000}"/>
    <cellStyle name="Normal 2 5 5 2" xfId="7785" xr:uid="{00000000-0005-0000-0000-000049510000}"/>
    <cellStyle name="Normal 2 5 5 2 2" xfId="17109" xr:uid="{00000000-0005-0000-0000-00004A510000}"/>
    <cellStyle name="Normal 2 5 5 2 3" xfId="26432" xr:uid="{00000000-0005-0000-0000-00004B510000}"/>
    <cellStyle name="Normal 2 5 5 3" xfId="12493" xr:uid="{00000000-0005-0000-0000-00004C510000}"/>
    <cellStyle name="Normal 2 5 5 4" xfId="21819" xr:uid="{00000000-0005-0000-0000-00004D510000}"/>
    <cellStyle name="Normal 2 5 6" xfId="4760" xr:uid="{00000000-0005-0000-0000-00004E510000}"/>
    <cellStyle name="Normal 2 5 6 2" xfId="14084" xr:uid="{00000000-0005-0000-0000-00004F510000}"/>
    <cellStyle name="Normal 2 5 6 3" xfId="23407" xr:uid="{00000000-0005-0000-0000-000050510000}"/>
    <cellStyle name="Normal 2 5 7" xfId="28651" xr:uid="{00000000-0005-0000-0000-000051510000}"/>
    <cellStyle name="Normal 2 6" xfId="161" xr:uid="{00000000-0005-0000-0000-000052510000}"/>
    <cellStyle name="Normal 2 6 2" xfId="2319" xr:uid="{00000000-0005-0000-0000-000053510000}"/>
    <cellStyle name="Normal 2 6 2 2" xfId="4042" xr:uid="{00000000-0005-0000-0000-000054510000}"/>
    <cellStyle name="Normal 2 6 2 2 2" xfId="8719" xr:uid="{00000000-0005-0000-0000-000055510000}"/>
    <cellStyle name="Normal 2 6 2 2 2 2" xfId="18043" xr:uid="{00000000-0005-0000-0000-000056510000}"/>
    <cellStyle name="Normal 2 6 2 2 2 3" xfId="27366" xr:uid="{00000000-0005-0000-0000-000057510000}"/>
    <cellStyle name="Normal 2 6 2 2 3" xfId="13376" xr:uid="{00000000-0005-0000-0000-000058510000}"/>
    <cellStyle name="Normal 2 6 2 2 4" xfId="22700" xr:uid="{00000000-0005-0000-0000-000059510000}"/>
    <cellStyle name="Normal 2 6 2 3" xfId="5754" xr:uid="{00000000-0005-0000-0000-00005A510000}"/>
    <cellStyle name="Normal 2 6 2 3 2" xfId="15078" xr:uid="{00000000-0005-0000-0000-00005B510000}"/>
    <cellStyle name="Normal 2 6 2 3 3" xfId="24401" xr:uid="{00000000-0005-0000-0000-00005C510000}"/>
    <cellStyle name="Normal 2 6 2 4" xfId="11821" xr:uid="{00000000-0005-0000-0000-00005D510000}"/>
    <cellStyle name="Normal 2 6 2 5" xfId="21147" xr:uid="{00000000-0005-0000-0000-00005E510000}"/>
    <cellStyle name="Normal 2 6 3" xfId="1302" xr:uid="{00000000-0005-0000-0000-00005F510000}"/>
    <cellStyle name="Normal 2 6 3 2" xfId="6664" xr:uid="{00000000-0005-0000-0000-000060510000}"/>
    <cellStyle name="Normal 2 6 3 2 2" xfId="15988" xr:uid="{00000000-0005-0000-0000-000061510000}"/>
    <cellStyle name="Normal 2 6 3 2 3" xfId="25311" xr:uid="{00000000-0005-0000-0000-000062510000}"/>
    <cellStyle name="Normal 2 6 3 3" xfId="10889" xr:uid="{00000000-0005-0000-0000-000063510000}"/>
    <cellStyle name="Normal 2 6 3 4" xfId="20213" xr:uid="{00000000-0005-0000-0000-000064510000}"/>
    <cellStyle name="Normal 2 6 4" xfId="3108" xr:uid="{00000000-0005-0000-0000-000065510000}"/>
    <cellStyle name="Normal 2 6 4 2" xfId="7787" xr:uid="{00000000-0005-0000-0000-000066510000}"/>
    <cellStyle name="Normal 2 6 4 2 2" xfId="17111" xr:uid="{00000000-0005-0000-0000-000067510000}"/>
    <cellStyle name="Normal 2 6 4 2 3" xfId="26434" xr:uid="{00000000-0005-0000-0000-000068510000}"/>
    <cellStyle name="Normal 2 6 4 3" xfId="12495" xr:uid="{00000000-0005-0000-0000-000069510000}"/>
    <cellStyle name="Normal 2 6 4 4" xfId="21821" xr:uid="{00000000-0005-0000-0000-00006A510000}"/>
    <cellStyle name="Normal 2 6 5" xfId="4762" xr:uid="{00000000-0005-0000-0000-00006B510000}"/>
    <cellStyle name="Normal 2 6 5 2" xfId="14086" xr:uid="{00000000-0005-0000-0000-00006C510000}"/>
    <cellStyle name="Normal 2 6 5 3" xfId="23409" xr:uid="{00000000-0005-0000-0000-00006D510000}"/>
    <cellStyle name="Normal 2 6 6" xfId="28383" xr:uid="{00000000-0005-0000-0000-00006E510000}"/>
    <cellStyle name="Normal 2 7" xfId="162" xr:uid="{00000000-0005-0000-0000-00006F510000}"/>
    <cellStyle name="Normal 2 7 2" xfId="1303" xr:uid="{00000000-0005-0000-0000-000070510000}"/>
    <cellStyle name="Normal 2 7 2 2" xfId="6663" xr:uid="{00000000-0005-0000-0000-000071510000}"/>
    <cellStyle name="Normal 2 7 2 2 2" xfId="15987" xr:uid="{00000000-0005-0000-0000-000072510000}"/>
    <cellStyle name="Normal 2 7 2 2 3" xfId="25310" xr:uid="{00000000-0005-0000-0000-000073510000}"/>
    <cellStyle name="Normal 2 7 2 3" xfId="10890" xr:uid="{00000000-0005-0000-0000-000074510000}"/>
    <cellStyle name="Normal 2 7 2 4" xfId="20214" xr:uid="{00000000-0005-0000-0000-000075510000}"/>
    <cellStyle name="Normal 2 7 2 5" xfId="28914" xr:uid="{00000000-0005-0000-0000-000076510000}"/>
    <cellStyle name="Normal 2 7 3" xfId="3109" xr:uid="{00000000-0005-0000-0000-000077510000}"/>
    <cellStyle name="Normal 2 7 3 2" xfId="7788" xr:uid="{00000000-0005-0000-0000-000078510000}"/>
    <cellStyle name="Normal 2 7 3 2 2" xfId="17112" xr:uid="{00000000-0005-0000-0000-000079510000}"/>
    <cellStyle name="Normal 2 7 3 2 3" xfId="26435" xr:uid="{00000000-0005-0000-0000-00007A510000}"/>
    <cellStyle name="Normal 2 7 3 3" xfId="12496" xr:uid="{00000000-0005-0000-0000-00007B510000}"/>
    <cellStyle name="Normal 2 7 3 4" xfId="21822" xr:uid="{00000000-0005-0000-0000-00007C510000}"/>
    <cellStyle name="Normal 2 7 4" xfId="4763" xr:uid="{00000000-0005-0000-0000-00007D510000}"/>
    <cellStyle name="Normal 2 7 4 2" xfId="14087" xr:uid="{00000000-0005-0000-0000-00007E510000}"/>
    <cellStyle name="Normal 2 7 4 3" xfId="23410" xr:uid="{00000000-0005-0000-0000-00007F510000}"/>
    <cellStyle name="Normal 2 7 5" xfId="28824" xr:uid="{00000000-0005-0000-0000-000080510000}"/>
    <cellStyle name="Normal 2 8" xfId="163" xr:uid="{00000000-0005-0000-0000-000081510000}"/>
    <cellStyle name="Normal 2 8 2" xfId="1304" xr:uid="{00000000-0005-0000-0000-000082510000}"/>
    <cellStyle name="Normal 2 9" xfId="164" xr:uid="{00000000-0005-0000-0000-000083510000}"/>
    <cellStyle name="Normal 2 9 2" xfId="1155" xr:uid="{00000000-0005-0000-0000-000084510000}"/>
    <cellStyle name="Normal 2_DHO-SF" xfId="28579" xr:uid="{00000000-0005-0000-0000-000085510000}"/>
    <cellStyle name="Normal 20" xfId="1305" xr:uid="{00000000-0005-0000-0000-000086510000}"/>
    <cellStyle name="Normal 20 2" xfId="2321" xr:uid="{00000000-0005-0000-0000-000087510000}"/>
    <cellStyle name="Normal 20 2 2" xfId="2322" xr:uid="{00000000-0005-0000-0000-000088510000}"/>
    <cellStyle name="Normal 20 2 2 2" xfId="2323" xr:uid="{00000000-0005-0000-0000-000089510000}"/>
    <cellStyle name="Normal 20 2 2 2 2" xfId="4046" xr:uid="{00000000-0005-0000-0000-00008A510000}"/>
    <cellStyle name="Normal 20 2 2 2 2 2" xfId="8723" xr:uid="{00000000-0005-0000-0000-00008B510000}"/>
    <cellStyle name="Normal 20 2 2 2 2 2 2" xfId="18047" xr:uid="{00000000-0005-0000-0000-00008C510000}"/>
    <cellStyle name="Normal 20 2 2 2 2 2 3" xfId="27370" xr:uid="{00000000-0005-0000-0000-00008D510000}"/>
    <cellStyle name="Normal 20 2 2 2 2 3" xfId="13380" xr:uid="{00000000-0005-0000-0000-00008E510000}"/>
    <cellStyle name="Normal 20 2 2 2 2 4" xfId="22704" xr:uid="{00000000-0005-0000-0000-00008F510000}"/>
    <cellStyle name="Normal 20 2 2 2 3" xfId="5758" xr:uid="{00000000-0005-0000-0000-000090510000}"/>
    <cellStyle name="Normal 20 2 2 2 3 2" xfId="15082" xr:uid="{00000000-0005-0000-0000-000091510000}"/>
    <cellStyle name="Normal 20 2 2 2 3 3" xfId="24405" xr:uid="{00000000-0005-0000-0000-000092510000}"/>
    <cellStyle name="Normal 20 2 2 2 4" xfId="11825" xr:uid="{00000000-0005-0000-0000-000093510000}"/>
    <cellStyle name="Normal 20 2 2 2 5" xfId="21151" xr:uid="{00000000-0005-0000-0000-000094510000}"/>
    <cellStyle name="Normal 20 2 2 3" xfId="4045" xr:uid="{00000000-0005-0000-0000-000095510000}"/>
    <cellStyle name="Normal 20 2 2 3 2" xfId="8722" xr:uid="{00000000-0005-0000-0000-000096510000}"/>
    <cellStyle name="Normal 20 2 2 3 2 2" xfId="18046" xr:uid="{00000000-0005-0000-0000-000097510000}"/>
    <cellStyle name="Normal 20 2 2 3 2 3" xfId="27369" xr:uid="{00000000-0005-0000-0000-000098510000}"/>
    <cellStyle name="Normal 20 2 2 3 3" xfId="13379" xr:uid="{00000000-0005-0000-0000-000099510000}"/>
    <cellStyle name="Normal 20 2 2 3 4" xfId="22703" xr:uid="{00000000-0005-0000-0000-00009A510000}"/>
    <cellStyle name="Normal 20 2 2 4" xfId="5757" xr:uid="{00000000-0005-0000-0000-00009B510000}"/>
    <cellStyle name="Normal 20 2 2 4 2" xfId="15081" xr:uid="{00000000-0005-0000-0000-00009C510000}"/>
    <cellStyle name="Normal 20 2 2 4 3" xfId="24404" xr:uid="{00000000-0005-0000-0000-00009D510000}"/>
    <cellStyle name="Normal 20 2 2 5" xfId="11824" xr:uid="{00000000-0005-0000-0000-00009E510000}"/>
    <cellStyle name="Normal 20 2 2 6" xfId="21150" xr:uid="{00000000-0005-0000-0000-00009F510000}"/>
    <cellStyle name="Normal 20 2 3" xfId="2324" xr:uid="{00000000-0005-0000-0000-0000A0510000}"/>
    <cellStyle name="Normal 20 2 3 2" xfId="4047" xr:uid="{00000000-0005-0000-0000-0000A1510000}"/>
    <cellStyle name="Normal 20 2 3 2 2" xfId="8724" xr:uid="{00000000-0005-0000-0000-0000A2510000}"/>
    <cellStyle name="Normal 20 2 3 2 2 2" xfId="18048" xr:uid="{00000000-0005-0000-0000-0000A3510000}"/>
    <cellStyle name="Normal 20 2 3 2 2 3" xfId="27371" xr:uid="{00000000-0005-0000-0000-0000A4510000}"/>
    <cellStyle name="Normal 20 2 3 2 3" xfId="13381" xr:uid="{00000000-0005-0000-0000-0000A5510000}"/>
    <cellStyle name="Normal 20 2 3 2 4" xfId="22705" xr:uid="{00000000-0005-0000-0000-0000A6510000}"/>
    <cellStyle name="Normal 20 2 3 3" xfId="5759" xr:uid="{00000000-0005-0000-0000-0000A7510000}"/>
    <cellStyle name="Normal 20 2 3 3 2" xfId="15083" xr:uid="{00000000-0005-0000-0000-0000A8510000}"/>
    <cellStyle name="Normal 20 2 3 3 3" xfId="24406" xr:uid="{00000000-0005-0000-0000-0000A9510000}"/>
    <cellStyle name="Normal 20 2 3 4" xfId="11826" xr:uid="{00000000-0005-0000-0000-0000AA510000}"/>
    <cellStyle name="Normal 20 2 3 5" xfId="21152" xr:uid="{00000000-0005-0000-0000-0000AB510000}"/>
    <cellStyle name="Normal 20 2 4" xfId="4044" xr:uid="{00000000-0005-0000-0000-0000AC510000}"/>
    <cellStyle name="Normal 20 2 4 2" xfId="8721" xr:uid="{00000000-0005-0000-0000-0000AD510000}"/>
    <cellStyle name="Normal 20 2 4 2 2" xfId="18045" xr:uid="{00000000-0005-0000-0000-0000AE510000}"/>
    <cellStyle name="Normal 20 2 4 2 3" xfId="27368" xr:uid="{00000000-0005-0000-0000-0000AF510000}"/>
    <cellStyle name="Normal 20 2 4 3" xfId="13378" xr:uid="{00000000-0005-0000-0000-0000B0510000}"/>
    <cellStyle name="Normal 20 2 4 4" xfId="22702" xr:uid="{00000000-0005-0000-0000-0000B1510000}"/>
    <cellStyle name="Normal 20 2 5" xfId="5756" xr:uid="{00000000-0005-0000-0000-0000B2510000}"/>
    <cellStyle name="Normal 20 2 5 2" xfId="15080" xr:uid="{00000000-0005-0000-0000-0000B3510000}"/>
    <cellStyle name="Normal 20 2 5 3" xfId="24403" xr:uid="{00000000-0005-0000-0000-0000B4510000}"/>
    <cellStyle name="Normal 20 2 6" xfId="11823" xr:uid="{00000000-0005-0000-0000-0000B5510000}"/>
    <cellStyle name="Normal 20 2 7" xfId="21149" xr:uid="{00000000-0005-0000-0000-0000B6510000}"/>
    <cellStyle name="Normal 20 3" xfId="2325" xr:uid="{00000000-0005-0000-0000-0000B7510000}"/>
    <cellStyle name="Normal 20 3 2" xfId="2326" xr:uid="{00000000-0005-0000-0000-0000B8510000}"/>
    <cellStyle name="Normal 20 3 2 2" xfId="2327" xr:uid="{00000000-0005-0000-0000-0000B9510000}"/>
    <cellStyle name="Normal 20 3 2 2 2" xfId="4050" xr:uid="{00000000-0005-0000-0000-0000BA510000}"/>
    <cellStyle name="Normal 20 3 2 2 2 2" xfId="8727" xr:uid="{00000000-0005-0000-0000-0000BB510000}"/>
    <cellStyle name="Normal 20 3 2 2 2 2 2" xfId="18051" xr:uid="{00000000-0005-0000-0000-0000BC510000}"/>
    <cellStyle name="Normal 20 3 2 2 2 2 3" xfId="27374" xr:uid="{00000000-0005-0000-0000-0000BD510000}"/>
    <cellStyle name="Normal 20 3 2 2 2 3" xfId="13384" xr:uid="{00000000-0005-0000-0000-0000BE510000}"/>
    <cellStyle name="Normal 20 3 2 2 2 4" xfId="22708" xr:uid="{00000000-0005-0000-0000-0000BF510000}"/>
    <cellStyle name="Normal 20 3 2 2 3" xfId="5762" xr:uid="{00000000-0005-0000-0000-0000C0510000}"/>
    <cellStyle name="Normal 20 3 2 2 3 2" xfId="15086" xr:uid="{00000000-0005-0000-0000-0000C1510000}"/>
    <cellStyle name="Normal 20 3 2 2 3 3" xfId="24409" xr:uid="{00000000-0005-0000-0000-0000C2510000}"/>
    <cellStyle name="Normal 20 3 2 2 4" xfId="11829" xr:uid="{00000000-0005-0000-0000-0000C3510000}"/>
    <cellStyle name="Normal 20 3 2 2 5" xfId="21155" xr:uid="{00000000-0005-0000-0000-0000C4510000}"/>
    <cellStyle name="Normal 20 3 2 3" xfId="4049" xr:uid="{00000000-0005-0000-0000-0000C5510000}"/>
    <cellStyle name="Normal 20 3 2 3 2" xfId="8726" xr:uid="{00000000-0005-0000-0000-0000C6510000}"/>
    <cellStyle name="Normal 20 3 2 3 2 2" xfId="18050" xr:uid="{00000000-0005-0000-0000-0000C7510000}"/>
    <cellStyle name="Normal 20 3 2 3 2 3" xfId="27373" xr:uid="{00000000-0005-0000-0000-0000C8510000}"/>
    <cellStyle name="Normal 20 3 2 3 3" xfId="13383" xr:uid="{00000000-0005-0000-0000-0000C9510000}"/>
    <cellStyle name="Normal 20 3 2 3 4" xfId="22707" xr:uid="{00000000-0005-0000-0000-0000CA510000}"/>
    <cellStyle name="Normal 20 3 2 4" xfId="5761" xr:uid="{00000000-0005-0000-0000-0000CB510000}"/>
    <cellStyle name="Normal 20 3 2 4 2" xfId="15085" xr:uid="{00000000-0005-0000-0000-0000CC510000}"/>
    <cellStyle name="Normal 20 3 2 4 3" xfId="24408" xr:uid="{00000000-0005-0000-0000-0000CD510000}"/>
    <cellStyle name="Normal 20 3 2 5" xfId="11828" xr:uid="{00000000-0005-0000-0000-0000CE510000}"/>
    <cellStyle name="Normal 20 3 2 6" xfId="21154" xr:uid="{00000000-0005-0000-0000-0000CF510000}"/>
    <cellStyle name="Normal 20 3 3" xfId="2328" xr:uid="{00000000-0005-0000-0000-0000D0510000}"/>
    <cellStyle name="Normal 20 3 3 2" xfId="4051" xr:uid="{00000000-0005-0000-0000-0000D1510000}"/>
    <cellStyle name="Normal 20 3 3 2 2" xfId="8728" xr:uid="{00000000-0005-0000-0000-0000D2510000}"/>
    <cellStyle name="Normal 20 3 3 2 2 2" xfId="18052" xr:uid="{00000000-0005-0000-0000-0000D3510000}"/>
    <cellStyle name="Normal 20 3 3 2 2 3" xfId="27375" xr:uid="{00000000-0005-0000-0000-0000D4510000}"/>
    <cellStyle name="Normal 20 3 3 2 3" xfId="13385" xr:uid="{00000000-0005-0000-0000-0000D5510000}"/>
    <cellStyle name="Normal 20 3 3 2 4" xfId="22709" xr:uid="{00000000-0005-0000-0000-0000D6510000}"/>
    <cellStyle name="Normal 20 3 3 3" xfId="5763" xr:uid="{00000000-0005-0000-0000-0000D7510000}"/>
    <cellStyle name="Normal 20 3 3 3 2" xfId="15087" xr:uid="{00000000-0005-0000-0000-0000D8510000}"/>
    <cellStyle name="Normal 20 3 3 3 3" xfId="24410" xr:uid="{00000000-0005-0000-0000-0000D9510000}"/>
    <cellStyle name="Normal 20 3 3 4" xfId="11830" xr:uid="{00000000-0005-0000-0000-0000DA510000}"/>
    <cellStyle name="Normal 20 3 3 5" xfId="21156" xr:uid="{00000000-0005-0000-0000-0000DB510000}"/>
    <cellStyle name="Normal 20 3 4" xfId="4048" xr:uid="{00000000-0005-0000-0000-0000DC510000}"/>
    <cellStyle name="Normal 20 3 4 2" xfId="8725" xr:uid="{00000000-0005-0000-0000-0000DD510000}"/>
    <cellStyle name="Normal 20 3 4 2 2" xfId="18049" xr:uid="{00000000-0005-0000-0000-0000DE510000}"/>
    <cellStyle name="Normal 20 3 4 2 3" xfId="27372" xr:uid="{00000000-0005-0000-0000-0000DF510000}"/>
    <cellStyle name="Normal 20 3 4 3" xfId="13382" xr:uid="{00000000-0005-0000-0000-0000E0510000}"/>
    <cellStyle name="Normal 20 3 4 4" xfId="22706" xr:uid="{00000000-0005-0000-0000-0000E1510000}"/>
    <cellStyle name="Normal 20 3 5" xfId="5760" xr:uid="{00000000-0005-0000-0000-0000E2510000}"/>
    <cellStyle name="Normal 20 3 5 2" xfId="15084" xr:uid="{00000000-0005-0000-0000-0000E3510000}"/>
    <cellStyle name="Normal 20 3 5 3" xfId="24407" xr:uid="{00000000-0005-0000-0000-0000E4510000}"/>
    <cellStyle name="Normal 20 3 6" xfId="11827" xr:uid="{00000000-0005-0000-0000-0000E5510000}"/>
    <cellStyle name="Normal 20 3 7" xfId="21153" xr:uid="{00000000-0005-0000-0000-0000E6510000}"/>
    <cellStyle name="Normal 20 4" xfId="2329" xr:uid="{00000000-0005-0000-0000-0000E7510000}"/>
    <cellStyle name="Normal 20 4 2" xfId="2330" xr:uid="{00000000-0005-0000-0000-0000E8510000}"/>
    <cellStyle name="Normal 20 4 2 2" xfId="4053" xr:uid="{00000000-0005-0000-0000-0000E9510000}"/>
    <cellStyle name="Normal 20 4 2 2 2" xfId="8730" xr:uid="{00000000-0005-0000-0000-0000EA510000}"/>
    <cellStyle name="Normal 20 4 2 2 2 2" xfId="18054" xr:uid="{00000000-0005-0000-0000-0000EB510000}"/>
    <cellStyle name="Normal 20 4 2 2 2 3" xfId="27377" xr:uid="{00000000-0005-0000-0000-0000EC510000}"/>
    <cellStyle name="Normal 20 4 2 2 3" xfId="13387" xr:uid="{00000000-0005-0000-0000-0000ED510000}"/>
    <cellStyle name="Normal 20 4 2 2 4" xfId="22711" xr:uid="{00000000-0005-0000-0000-0000EE510000}"/>
    <cellStyle name="Normal 20 4 2 3" xfId="5765" xr:uid="{00000000-0005-0000-0000-0000EF510000}"/>
    <cellStyle name="Normal 20 4 2 3 2" xfId="15089" xr:uid="{00000000-0005-0000-0000-0000F0510000}"/>
    <cellStyle name="Normal 20 4 2 3 3" xfId="24412" xr:uid="{00000000-0005-0000-0000-0000F1510000}"/>
    <cellStyle name="Normal 20 4 2 4" xfId="11832" xr:uid="{00000000-0005-0000-0000-0000F2510000}"/>
    <cellStyle name="Normal 20 4 2 5" xfId="21158" xr:uid="{00000000-0005-0000-0000-0000F3510000}"/>
    <cellStyle name="Normal 20 4 3" xfId="4052" xr:uid="{00000000-0005-0000-0000-0000F4510000}"/>
    <cellStyle name="Normal 20 4 3 2" xfId="8729" xr:uid="{00000000-0005-0000-0000-0000F5510000}"/>
    <cellStyle name="Normal 20 4 3 2 2" xfId="18053" xr:uid="{00000000-0005-0000-0000-0000F6510000}"/>
    <cellStyle name="Normal 20 4 3 2 3" xfId="27376" xr:uid="{00000000-0005-0000-0000-0000F7510000}"/>
    <cellStyle name="Normal 20 4 3 3" xfId="13386" xr:uid="{00000000-0005-0000-0000-0000F8510000}"/>
    <cellStyle name="Normal 20 4 3 4" xfId="22710" xr:uid="{00000000-0005-0000-0000-0000F9510000}"/>
    <cellStyle name="Normal 20 4 4" xfId="5764" xr:uid="{00000000-0005-0000-0000-0000FA510000}"/>
    <cellStyle name="Normal 20 4 4 2" xfId="15088" xr:uid="{00000000-0005-0000-0000-0000FB510000}"/>
    <cellStyle name="Normal 20 4 4 3" xfId="24411" xr:uid="{00000000-0005-0000-0000-0000FC510000}"/>
    <cellStyle name="Normal 20 4 5" xfId="11831" xr:uid="{00000000-0005-0000-0000-0000FD510000}"/>
    <cellStyle name="Normal 20 4 6" xfId="21157" xr:uid="{00000000-0005-0000-0000-0000FE510000}"/>
    <cellStyle name="Normal 20 5" xfId="2331" xr:uid="{00000000-0005-0000-0000-0000FF510000}"/>
    <cellStyle name="Normal 20 5 2" xfId="4054" xr:uid="{00000000-0005-0000-0000-000000520000}"/>
    <cellStyle name="Normal 20 5 2 2" xfId="8731" xr:uid="{00000000-0005-0000-0000-000001520000}"/>
    <cellStyle name="Normal 20 5 2 2 2" xfId="18055" xr:uid="{00000000-0005-0000-0000-000002520000}"/>
    <cellStyle name="Normal 20 5 2 2 3" xfId="27378" xr:uid="{00000000-0005-0000-0000-000003520000}"/>
    <cellStyle name="Normal 20 5 2 3" xfId="13388" xr:uid="{00000000-0005-0000-0000-000004520000}"/>
    <cellStyle name="Normal 20 5 2 4" xfId="22712" xr:uid="{00000000-0005-0000-0000-000005520000}"/>
    <cellStyle name="Normal 20 5 3" xfId="5766" xr:uid="{00000000-0005-0000-0000-000006520000}"/>
    <cellStyle name="Normal 20 5 3 2" xfId="15090" xr:uid="{00000000-0005-0000-0000-000007520000}"/>
    <cellStyle name="Normal 20 5 3 3" xfId="24413" xr:uid="{00000000-0005-0000-0000-000008520000}"/>
    <cellStyle name="Normal 20 5 4" xfId="11833" xr:uid="{00000000-0005-0000-0000-000009520000}"/>
    <cellStyle name="Normal 20 5 5" xfId="21159" xr:uid="{00000000-0005-0000-0000-00000A520000}"/>
    <cellStyle name="Normal 20 6" xfId="2332" xr:uid="{00000000-0005-0000-0000-00000B520000}"/>
    <cellStyle name="Normal 20 6 2" xfId="4055" xr:uid="{00000000-0005-0000-0000-00000C520000}"/>
    <cellStyle name="Normal 20 6 2 2" xfId="8732" xr:uid="{00000000-0005-0000-0000-00000D520000}"/>
    <cellStyle name="Normal 20 6 2 2 2" xfId="18056" xr:uid="{00000000-0005-0000-0000-00000E520000}"/>
    <cellStyle name="Normal 20 6 2 2 3" xfId="27379" xr:uid="{00000000-0005-0000-0000-00000F520000}"/>
    <cellStyle name="Normal 20 6 2 3" xfId="13389" xr:uid="{00000000-0005-0000-0000-000010520000}"/>
    <cellStyle name="Normal 20 6 2 4" xfId="22713" xr:uid="{00000000-0005-0000-0000-000011520000}"/>
    <cellStyle name="Normal 20 6 3" xfId="5767" xr:uid="{00000000-0005-0000-0000-000012520000}"/>
    <cellStyle name="Normal 20 6 3 2" xfId="15091" xr:uid="{00000000-0005-0000-0000-000013520000}"/>
    <cellStyle name="Normal 20 6 3 3" xfId="24414" xr:uid="{00000000-0005-0000-0000-000014520000}"/>
    <cellStyle name="Normal 20 6 4" xfId="11834" xr:uid="{00000000-0005-0000-0000-000015520000}"/>
    <cellStyle name="Normal 20 6 5" xfId="21160" xr:uid="{00000000-0005-0000-0000-000016520000}"/>
    <cellStyle name="Normal 20 7" xfId="2333" xr:uid="{00000000-0005-0000-0000-000017520000}"/>
    <cellStyle name="Normal 20 7 2" xfId="4056" xr:uid="{00000000-0005-0000-0000-000018520000}"/>
    <cellStyle name="Normal 20 7 2 2" xfId="8733" xr:uid="{00000000-0005-0000-0000-000019520000}"/>
    <cellStyle name="Normal 20 7 2 2 2" xfId="18057" xr:uid="{00000000-0005-0000-0000-00001A520000}"/>
    <cellStyle name="Normal 20 7 2 2 3" xfId="27380" xr:uid="{00000000-0005-0000-0000-00001B520000}"/>
    <cellStyle name="Normal 20 7 2 3" xfId="13390" xr:uid="{00000000-0005-0000-0000-00001C520000}"/>
    <cellStyle name="Normal 20 7 2 4" xfId="22714" xr:uid="{00000000-0005-0000-0000-00001D520000}"/>
    <cellStyle name="Normal 20 7 3" xfId="5768" xr:uid="{00000000-0005-0000-0000-00001E520000}"/>
    <cellStyle name="Normal 20 7 3 2" xfId="15092" xr:uid="{00000000-0005-0000-0000-00001F520000}"/>
    <cellStyle name="Normal 20 7 3 3" xfId="24415" xr:uid="{00000000-0005-0000-0000-000020520000}"/>
    <cellStyle name="Normal 20 7 4" xfId="11835" xr:uid="{00000000-0005-0000-0000-000021520000}"/>
    <cellStyle name="Normal 20 7 5" xfId="21161" xr:uid="{00000000-0005-0000-0000-000022520000}"/>
    <cellStyle name="Normal 20 8" xfId="2320" xr:uid="{00000000-0005-0000-0000-000023520000}"/>
    <cellStyle name="Normal 20 8 2" xfId="4043" xr:uid="{00000000-0005-0000-0000-000024520000}"/>
    <cellStyle name="Normal 20 8 2 2" xfId="8720" xr:uid="{00000000-0005-0000-0000-000025520000}"/>
    <cellStyle name="Normal 20 8 2 2 2" xfId="18044" xr:uid="{00000000-0005-0000-0000-000026520000}"/>
    <cellStyle name="Normal 20 8 2 2 3" xfId="27367" xr:uid="{00000000-0005-0000-0000-000027520000}"/>
    <cellStyle name="Normal 20 8 2 3" xfId="13377" xr:uid="{00000000-0005-0000-0000-000028520000}"/>
    <cellStyle name="Normal 20 8 2 4" xfId="22701" xr:uid="{00000000-0005-0000-0000-000029520000}"/>
    <cellStyle name="Normal 20 8 3" xfId="5755" xr:uid="{00000000-0005-0000-0000-00002A520000}"/>
    <cellStyle name="Normal 20 8 3 2" xfId="15079" xr:uid="{00000000-0005-0000-0000-00002B520000}"/>
    <cellStyle name="Normal 20 8 3 3" xfId="24402" xr:uid="{00000000-0005-0000-0000-00002C520000}"/>
    <cellStyle name="Normal 20 8 4" xfId="11822" xr:uid="{00000000-0005-0000-0000-00002D520000}"/>
    <cellStyle name="Normal 20 8 5" xfId="21148" xr:uid="{00000000-0005-0000-0000-00002E520000}"/>
    <cellStyle name="Normal 20 9" xfId="28469" xr:uid="{00000000-0005-0000-0000-00002F520000}"/>
    <cellStyle name="Normal 21" xfId="1306" xr:uid="{00000000-0005-0000-0000-000030520000}"/>
    <cellStyle name="Normal 21 10" xfId="2334" xr:uid="{00000000-0005-0000-0000-000031520000}"/>
    <cellStyle name="Normal 21 11" xfId="3110" xr:uid="{00000000-0005-0000-0000-000032520000}"/>
    <cellStyle name="Normal 21 11 2" xfId="7789" xr:uid="{00000000-0005-0000-0000-000033520000}"/>
    <cellStyle name="Normal 21 11 2 2" xfId="17113" xr:uid="{00000000-0005-0000-0000-000034520000}"/>
    <cellStyle name="Normal 21 11 2 3" xfId="26436" xr:uid="{00000000-0005-0000-0000-000035520000}"/>
    <cellStyle name="Normal 21 11 3" xfId="12497" xr:uid="{00000000-0005-0000-0000-000036520000}"/>
    <cellStyle name="Normal 21 11 4" xfId="21823" xr:uid="{00000000-0005-0000-0000-000037520000}"/>
    <cellStyle name="Normal 21 12" xfId="4765" xr:uid="{00000000-0005-0000-0000-000038520000}"/>
    <cellStyle name="Normal 21 12 2" xfId="14089" xr:uid="{00000000-0005-0000-0000-000039520000}"/>
    <cellStyle name="Normal 21 12 3" xfId="23412" xr:uid="{00000000-0005-0000-0000-00003A520000}"/>
    <cellStyle name="Normal 21 13" xfId="10891" xr:uid="{00000000-0005-0000-0000-00003B520000}"/>
    <cellStyle name="Normal 21 14" xfId="20215" xr:uid="{00000000-0005-0000-0000-00003C520000}"/>
    <cellStyle name="Normal 21 15" xfId="28479" xr:uid="{00000000-0005-0000-0000-00003D520000}"/>
    <cellStyle name="Normal 21 2" xfId="1307" xr:uid="{00000000-0005-0000-0000-00003E520000}"/>
    <cellStyle name="Normal 21 2 10" xfId="4766" xr:uid="{00000000-0005-0000-0000-00003F520000}"/>
    <cellStyle name="Normal 21 2 10 2" xfId="14090" xr:uid="{00000000-0005-0000-0000-000040520000}"/>
    <cellStyle name="Normal 21 2 10 3" xfId="23413" xr:uid="{00000000-0005-0000-0000-000041520000}"/>
    <cellStyle name="Normal 21 2 11" xfId="10892" xr:uid="{00000000-0005-0000-0000-000042520000}"/>
    <cellStyle name="Normal 21 2 12" xfId="20216" xr:uid="{00000000-0005-0000-0000-000043520000}"/>
    <cellStyle name="Normal 21 2 2" xfId="1308" xr:uid="{00000000-0005-0000-0000-000044520000}"/>
    <cellStyle name="Normal 21 2 2 2" xfId="2337" xr:uid="{00000000-0005-0000-0000-000045520000}"/>
    <cellStyle name="Normal 21 2 2 2 2" xfId="2338" xr:uid="{00000000-0005-0000-0000-000046520000}"/>
    <cellStyle name="Normal 21 2 2 2 2 2" xfId="4060" xr:uid="{00000000-0005-0000-0000-000047520000}"/>
    <cellStyle name="Normal 21 2 2 2 2 2 2" xfId="8737" xr:uid="{00000000-0005-0000-0000-000048520000}"/>
    <cellStyle name="Normal 21 2 2 2 2 2 2 2" xfId="18061" xr:uid="{00000000-0005-0000-0000-000049520000}"/>
    <cellStyle name="Normal 21 2 2 2 2 2 2 3" xfId="27384" xr:uid="{00000000-0005-0000-0000-00004A520000}"/>
    <cellStyle name="Normal 21 2 2 2 2 2 3" xfId="13394" xr:uid="{00000000-0005-0000-0000-00004B520000}"/>
    <cellStyle name="Normal 21 2 2 2 2 2 4" xfId="22718" xr:uid="{00000000-0005-0000-0000-00004C520000}"/>
    <cellStyle name="Normal 21 2 2 2 2 3" xfId="5772" xr:uid="{00000000-0005-0000-0000-00004D520000}"/>
    <cellStyle name="Normal 21 2 2 2 2 3 2" xfId="15096" xr:uid="{00000000-0005-0000-0000-00004E520000}"/>
    <cellStyle name="Normal 21 2 2 2 2 3 3" xfId="24419" xr:uid="{00000000-0005-0000-0000-00004F520000}"/>
    <cellStyle name="Normal 21 2 2 2 2 4" xfId="11839" xr:uid="{00000000-0005-0000-0000-000050520000}"/>
    <cellStyle name="Normal 21 2 2 2 2 5" xfId="21165" xr:uid="{00000000-0005-0000-0000-000051520000}"/>
    <cellStyle name="Normal 21 2 2 2 3" xfId="4059" xr:uid="{00000000-0005-0000-0000-000052520000}"/>
    <cellStyle name="Normal 21 2 2 2 3 2" xfId="8736" xr:uid="{00000000-0005-0000-0000-000053520000}"/>
    <cellStyle name="Normal 21 2 2 2 3 2 2" xfId="18060" xr:uid="{00000000-0005-0000-0000-000054520000}"/>
    <cellStyle name="Normal 21 2 2 2 3 2 3" xfId="27383" xr:uid="{00000000-0005-0000-0000-000055520000}"/>
    <cellStyle name="Normal 21 2 2 2 3 3" xfId="13393" xr:uid="{00000000-0005-0000-0000-000056520000}"/>
    <cellStyle name="Normal 21 2 2 2 3 4" xfId="22717" xr:uid="{00000000-0005-0000-0000-000057520000}"/>
    <cellStyle name="Normal 21 2 2 2 4" xfId="5771" xr:uid="{00000000-0005-0000-0000-000058520000}"/>
    <cellStyle name="Normal 21 2 2 2 4 2" xfId="15095" xr:uid="{00000000-0005-0000-0000-000059520000}"/>
    <cellStyle name="Normal 21 2 2 2 4 3" xfId="24418" xr:uid="{00000000-0005-0000-0000-00005A520000}"/>
    <cellStyle name="Normal 21 2 2 2 5" xfId="11838" xr:uid="{00000000-0005-0000-0000-00005B520000}"/>
    <cellStyle name="Normal 21 2 2 2 6" xfId="21164" xr:uid="{00000000-0005-0000-0000-00005C520000}"/>
    <cellStyle name="Normal 21 2 2 3" xfId="2339" xr:uid="{00000000-0005-0000-0000-00005D520000}"/>
    <cellStyle name="Normal 21 2 2 3 2" xfId="4061" xr:uid="{00000000-0005-0000-0000-00005E520000}"/>
    <cellStyle name="Normal 21 2 2 3 2 2" xfId="8738" xr:uid="{00000000-0005-0000-0000-00005F520000}"/>
    <cellStyle name="Normal 21 2 2 3 2 2 2" xfId="18062" xr:uid="{00000000-0005-0000-0000-000060520000}"/>
    <cellStyle name="Normal 21 2 2 3 2 2 3" xfId="27385" xr:uid="{00000000-0005-0000-0000-000061520000}"/>
    <cellStyle name="Normal 21 2 2 3 2 3" xfId="13395" xr:uid="{00000000-0005-0000-0000-000062520000}"/>
    <cellStyle name="Normal 21 2 2 3 2 4" xfId="22719" xr:uid="{00000000-0005-0000-0000-000063520000}"/>
    <cellStyle name="Normal 21 2 2 3 3" xfId="5773" xr:uid="{00000000-0005-0000-0000-000064520000}"/>
    <cellStyle name="Normal 21 2 2 3 3 2" xfId="15097" xr:uid="{00000000-0005-0000-0000-000065520000}"/>
    <cellStyle name="Normal 21 2 2 3 3 3" xfId="24420" xr:uid="{00000000-0005-0000-0000-000066520000}"/>
    <cellStyle name="Normal 21 2 2 3 4" xfId="11840" xr:uid="{00000000-0005-0000-0000-000067520000}"/>
    <cellStyle name="Normal 21 2 2 3 5" xfId="21166" xr:uid="{00000000-0005-0000-0000-000068520000}"/>
    <cellStyle name="Normal 21 2 2 4" xfId="2336" xr:uid="{00000000-0005-0000-0000-000069520000}"/>
    <cellStyle name="Normal 21 2 2 4 2" xfId="4058" xr:uid="{00000000-0005-0000-0000-00006A520000}"/>
    <cellStyle name="Normal 21 2 2 4 2 2" xfId="8735" xr:uid="{00000000-0005-0000-0000-00006B520000}"/>
    <cellStyle name="Normal 21 2 2 4 2 2 2" xfId="18059" xr:uid="{00000000-0005-0000-0000-00006C520000}"/>
    <cellStyle name="Normal 21 2 2 4 2 2 3" xfId="27382" xr:uid="{00000000-0005-0000-0000-00006D520000}"/>
    <cellStyle name="Normal 21 2 2 4 2 3" xfId="13392" xr:uid="{00000000-0005-0000-0000-00006E520000}"/>
    <cellStyle name="Normal 21 2 2 4 2 4" xfId="22716" xr:uid="{00000000-0005-0000-0000-00006F520000}"/>
    <cellStyle name="Normal 21 2 2 4 3" xfId="5770" xr:uid="{00000000-0005-0000-0000-000070520000}"/>
    <cellStyle name="Normal 21 2 2 4 3 2" xfId="15094" xr:uid="{00000000-0005-0000-0000-000071520000}"/>
    <cellStyle name="Normal 21 2 2 4 3 3" xfId="24417" xr:uid="{00000000-0005-0000-0000-000072520000}"/>
    <cellStyle name="Normal 21 2 2 4 4" xfId="11837" xr:uid="{00000000-0005-0000-0000-000073520000}"/>
    <cellStyle name="Normal 21 2 2 4 5" xfId="21163" xr:uid="{00000000-0005-0000-0000-000074520000}"/>
    <cellStyle name="Normal 21 2 2 5" xfId="3112" xr:uid="{00000000-0005-0000-0000-000075520000}"/>
    <cellStyle name="Normal 21 2 2 5 2" xfId="7791" xr:uid="{00000000-0005-0000-0000-000076520000}"/>
    <cellStyle name="Normal 21 2 2 5 2 2" xfId="17115" xr:uid="{00000000-0005-0000-0000-000077520000}"/>
    <cellStyle name="Normal 21 2 2 5 2 3" xfId="26438" xr:uid="{00000000-0005-0000-0000-000078520000}"/>
    <cellStyle name="Normal 21 2 2 5 3" xfId="12499" xr:uid="{00000000-0005-0000-0000-000079520000}"/>
    <cellStyle name="Normal 21 2 2 5 4" xfId="21825" xr:uid="{00000000-0005-0000-0000-00007A520000}"/>
    <cellStyle name="Normal 21 2 2 6" xfId="4767" xr:uid="{00000000-0005-0000-0000-00007B520000}"/>
    <cellStyle name="Normal 21 2 2 6 2" xfId="14091" xr:uid="{00000000-0005-0000-0000-00007C520000}"/>
    <cellStyle name="Normal 21 2 2 6 3" xfId="23414" xr:uid="{00000000-0005-0000-0000-00007D520000}"/>
    <cellStyle name="Normal 21 2 2 7" xfId="10893" xr:uid="{00000000-0005-0000-0000-00007E520000}"/>
    <cellStyle name="Normal 21 2 2 8" xfId="20217" xr:uid="{00000000-0005-0000-0000-00007F520000}"/>
    <cellStyle name="Normal 21 2 3" xfId="2340" xr:uid="{00000000-0005-0000-0000-000080520000}"/>
    <cellStyle name="Normal 21 2 3 2" xfId="2341" xr:uid="{00000000-0005-0000-0000-000081520000}"/>
    <cellStyle name="Normal 21 2 3 2 2" xfId="2342" xr:uid="{00000000-0005-0000-0000-000082520000}"/>
    <cellStyle name="Normal 21 2 3 2 2 2" xfId="4064" xr:uid="{00000000-0005-0000-0000-000083520000}"/>
    <cellStyle name="Normal 21 2 3 2 2 2 2" xfId="8741" xr:uid="{00000000-0005-0000-0000-000084520000}"/>
    <cellStyle name="Normal 21 2 3 2 2 2 2 2" xfId="18065" xr:uid="{00000000-0005-0000-0000-000085520000}"/>
    <cellStyle name="Normal 21 2 3 2 2 2 2 3" xfId="27388" xr:uid="{00000000-0005-0000-0000-000086520000}"/>
    <cellStyle name="Normal 21 2 3 2 2 2 3" xfId="13398" xr:uid="{00000000-0005-0000-0000-000087520000}"/>
    <cellStyle name="Normal 21 2 3 2 2 2 4" xfId="22722" xr:uid="{00000000-0005-0000-0000-000088520000}"/>
    <cellStyle name="Normal 21 2 3 2 2 3" xfId="5776" xr:uid="{00000000-0005-0000-0000-000089520000}"/>
    <cellStyle name="Normal 21 2 3 2 2 3 2" xfId="15100" xr:uid="{00000000-0005-0000-0000-00008A520000}"/>
    <cellStyle name="Normal 21 2 3 2 2 3 3" xfId="24423" xr:uid="{00000000-0005-0000-0000-00008B520000}"/>
    <cellStyle name="Normal 21 2 3 2 2 4" xfId="11843" xr:uid="{00000000-0005-0000-0000-00008C520000}"/>
    <cellStyle name="Normal 21 2 3 2 2 5" xfId="21169" xr:uid="{00000000-0005-0000-0000-00008D520000}"/>
    <cellStyle name="Normal 21 2 3 2 3" xfId="4063" xr:uid="{00000000-0005-0000-0000-00008E520000}"/>
    <cellStyle name="Normal 21 2 3 2 3 2" xfId="8740" xr:uid="{00000000-0005-0000-0000-00008F520000}"/>
    <cellStyle name="Normal 21 2 3 2 3 2 2" xfId="18064" xr:uid="{00000000-0005-0000-0000-000090520000}"/>
    <cellStyle name="Normal 21 2 3 2 3 2 3" xfId="27387" xr:uid="{00000000-0005-0000-0000-000091520000}"/>
    <cellStyle name="Normal 21 2 3 2 3 3" xfId="13397" xr:uid="{00000000-0005-0000-0000-000092520000}"/>
    <cellStyle name="Normal 21 2 3 2 3 4" xfId="22721" xr:uid="{00000000-0005-0000-0000-000093520000}"/>
    <cellStyle name="Normal 21 2 3 2 4" xfId="5775" xr:uid="{00000000-0005-0000-0000-000094520000}"/>
    <cellStyle name="Normal 21 2 3 2 4 2" xfId="15099" xr:uid="{00000000-0005-0000-0000-000095520000}"/>
    <cellStyle name="Normal 21 2 3 2 4 3" xfId="24422" xr:uid="{00000000-0005-0000-0000-000096520000}"/>
    <cellStyle name="Normal 21 2 3 2 5" xfId="11842" xr:uid="{00000000-0005-0000-0000-000097520000}"/>
    <cellStyle name="Normal 21 2 3 2 6" xfId="21168" xr:uid="{00000000-0005-0000-0000-000098520000}"/>
    <cellStyle name="Normal 21 2 3 3" xfId="2343" xr:uid="{00000000-0005-0000-0000-000099520000}"/>
    <cellStyle name="Normal 21 2 3 3 2" xfId="4065" xr:uid="{00000000-0005-0000-0000-00009A520000}"/>
    <cellStyle name="Normal 21 2 3 3 2 2" xfId="8742" xr:uid="{00000000-0005-0000-0000-00009B520000}"/>
    <cellStyle name="Normal 21 2 3 3 2 2 2" xfId="18066" xr:uid="{00000000-0005-0000-0000-00009C520000}"/>
    <cellStyle name="Normal 21 2 3 3 2 2 3" xfId="27389" xr:uid="{00000000-0005-0000-0000-00009D520000}"/>
    <cellStyle name="Normal 21 2 3 3 2 3" xfId="13399" xr:uid="{00000000-0005-0000-0000-00009E520000}"/>
    <cellStyle name="Normal 21 2 3 3 2 4" xfId="22723" xr:uid="{00000000-0005-0000-0000-00009F520000}"/>
    <cellStyle name="Normal 21 2 3 3 3" xfId="5777" xr:uid="{00000000-0005-0000-0000-0000A0520000}"/>
    <cellStyle name="Normal 21 2 3 3 3 2" xfId="15101" xr:uid="{00000000-0005-0000-0000-0000A1520000}"/>
    <cellStyle name="Normal 21 2 3 3 3 3" xfId="24424" xr:uid="{00000000-0005-0000-0000-0000A2520000}"/>
    <cellStyle name="Normal 21 2 3 3 4" xfId="11844" xr:uid="{00000000-0005-0000-0000-0000A3520000}"/>
    <cellStyle name="Normal 21 2 3 3 5" xfId="21170" xr:uid="{00000000-0005-0000-0000-0000A4520000}"/>
    <cellStyle name="Normal 21 2 3 4" xfId="4062" xr:uid="{00000000-0005-0000-0000-0000A5520000}"/>
    <cellStyle name="Normal 21 2 3 4 2" xfId="8739" xr:uid="{00000000-0005-0000-0000-0000A6520000}"/>
    <cellStyle name="Normal 21 2 3 4 2 2" xfId="18063" xr:uid="{00000000-0005-0000-0000-0000A7520000}"/>
    <cellStyle name="Normal 21 2 3 4 2 3" xfId="27386" xr:uid="{00000000-0005-0000-0000-0000A8520000}"/>
    <cellStyle name="Normal 21 2 3 4 3" xfId="13396" xr:uid="{00000000-0005-0000-0000-0000A9520000}"/>
    <cellStyle name="Normal 21 2 3 4 4" xfId="22720" xr:uid="{00000000-0005-0000-0000-0000AA520000}"/>
    <cellStyle name="Normal 21 2 3 5" xfId="5774" xr:uid="{00000000-0005-0000-0000-0000AB520000}"/>
    <cellStyle name="Normal 21 2 3 5 2" xfId="15098" xr:uid="{00000000-0005-0000-0000-0000AC520000}"/>
    <cellStyle name="Normal 21 2 3 5 3" xfId="24421" xr:uid="{00000000-0005-0000-0000-0000AD520000}"/>
    <cellStyle name="Normal 21 2 3 6" xfId="11841" xr:uid="{00000000-0005-0000-0000-0000AE520000}"/>
    <cellStyle name="Normal 21 2 3 7" xfId="21167" xr:uid="{00000000-0005-0000-0000-0000AF520000}"/>
    <cellStyle name="Normal 21 2 4" xfId="2344" xr:uid="{00000000-0005-0000-0000-0000B0520000}"/>
    <cellStyle name="Normal 21 2 4 2" xfId="2345" xr:uid="{00000000-0005-0000-0000-0000B1520000}"/>
    <cellStyle name="Normal 21 2 4 2 2" xfId="4067" xr:uid="{00000000-0005-0000-0000-0000B2520000}"/>
    <cellStyle name="Normal 21 2 4 2 2 2" xfId="8744" xr:uid="{00000000-0005-0000-0000-0000B3520000}"/>
    <cellStyle name="Normal 21 2 4 2 2 2 2" xfId="18068" xr:uid="{00000000-0005-0000-0000-0000B4520000}"/>
    <cellStyle name="Normal 21 2 4 2 2 2 3" xfId="27391" xr:uid="{00000000-0005-0000-0000-0000B5520000}"/>
    <cellStyle name="Normal 21 2 4 2 2 3" xfId="13401" xr:uid="{00000000-0005-0000-0000-0000B6520000}"/>
    <cellStyle name="Normal 21 2 4 2 2 4" xfId="22725" xr:uid="{00000000-0005-0000-0000-0000B7520000}"/>
    <cellStyle name="Normal 21 2 4 2 3" xfId="5779" xr:uid="{00000000-0005-0000-0000-0000B8520000}"/>
    <cellStyle name="Normal 21 2 4 2 3 2" xfId="15103" xr:uid="{00000000-0005-0000-0000-0000B9520000}"/>
    <cellStyle name="Normal 21 2 4 2 3 3" xfId="24426" xr:uid="{00000000-0005-0000-0000-0000BA520000}"/>
    <cellStyle name="Normal 21 2 4 2 4" xfId="11846" xr:uid="{00000000-0005-0000-0000-0000BB520000}"/>
    <cellStyle name="Normal 21 2 4 2 5" xfId="21172" xr:uid="{00000000-0005-0000-0000-0000BC520000}"/>
    <cellStyle name="Normal 21 2 4 3" xfId="4066" xr:uid="{00000000-0005-0000-0000-0000BD520000}"/>
    <cellStyle name="Normal 21 2 4 3 2" xfId="8743" xr:uid="{00000000-0005-0000-0000-0000BE520000}"/>
    <cellStyle name="Normal 21 2 4 3 2 2" xfId="18067" xr:uid="{00000000-0005-0000-0000-0000BF520000}"/>
    <cellStyle name="Normal 21 2 4 3 2 3" xfId="27390" xr:uid="{00000000-0005-0000-0000-0000C0520000}"/>
    <cellStyle name="Normal 21 2 4 3 3" xfId="13400" xr:uid="{00000000-0005-0000-0000-0000C1520000}"/>
    <cellStyle name="Normal 21 2 4 3 4" xfId="22724" xr:uid="{00000000-0005-0000-0000-0000C2520000}"/>
    <cellStyle name="Normal 21 2 4 4" xfId="5778" xr:uid="{00000000-0005-0000-0000-0000C3520000}"/>
    <cellStyle name="Normal 21 2 4 4 2" xfId="15102" xr:uid="{00000000-0005-0000-0000-0000C4520000}"/>
    <cellStyle name="Normal 21 2 4 4 3" xfId="24425" xr:uid="{00000000-0005-0000-0000-0000C5520000}"/>
    <cellStyle name="Normal 21 2 4 5" xfId="11845" xr:uid="{00000000-0005-0000-0000-0000C6520000}"/>
    <cellStyle name="Normal 21 2 4 6" xfId="21171" xr:uid="{00000000-0005-0000-0000-0000C7520000}"/>
    <cellStyle name="Normal 21 2 5" xfId="2346" xr:uid="{00000000-0005-0000-0000-0000C8520000}"/>
    <cellStyle name="Normal 21 2 5 2" xfId="4068" xr:uid="{00000000-0005-0000-0000-0000C9520000}"/>
    <cellStyle name="Normal 21 2 5 2 2" xfId="8745" xr:uid="{00000000-0005-0000-0000-0000CA520000}"/>
    <cellStyle name="Normal 21 2 5 2 2 2" xfId="18069" xr:uid="{00000000-0005-0000-0000-0000CB520000}"/>
    <cellStyle name="Normal 21 2 5 2 2 3" xfId="27392" xr:uid="{00000000-0005-0000-0000-0000CC520000}"/>
    <cellStyle name="Normal 21 2 5 2 3" xfId="13402" xr:uid="{00000000-0005-0000-0000-0000CD520000}"/>
    <cellStyle name="Normal 21 2 5 2 4" xfId="22726" xr:uid="{00000000-0005-0000-0000-0000CE520000}"/>
    <cellStyle name="Normal 21 2 5 3" xfId="5780" xr:uid="{00000000-0005-0000-0000-0000CF520000}"/>
    <cellStyle name="Normal 21 2 5 3 2" xfId="15104" xr:uid="{00000000-0005-0000-0000-0000D0520000}"/>
    <cellStyle name="Normal 21 2 5 3 3" xfId="24427" xr:uid="{00000000-0005-0000-0000-0000D1520000}"/>
    <cellStyle name="Normal 21 2 5 4" xfId="11847" xr:uid="{00000000-0005-0000-0000-0000D2520000}"/>
    <cellStyle name="Normal 21 2 5 5" xfId="21173" xr:uid="{00000000-0005-0000-0000-0000D3520000}"/>
    <cellStyle name="Normal 21 2 6" xfId="2347" xr:uid="{00000000-0005-0000-0000-0000D4520000}"/>
    <cellStyle name="Normal 21 2 6 2" xfId="4069" xr:uid="{00000000-0005-0000-0000-0000D5520000}"/>
    <cellStyle name="Normal 21 2 6 2 2" xfId="8746" xr:uid="{00000000-0005-0000-0000-0000D6520000}"/>
    <cellStyle name="Normal 21 2 6 2 2 2" xfId="18070" xr:uid="{00000000-0005-0000-0000-0000D7520000}"/>
    <cellStyle name="Normal 21 2 6 2 2 3" xfId="27393" xr:uid="{00000000-0005-0000-0000-0000D8520000}"/>
    <cellStyle name="Normal 21 2 6 2 3" xfId="13403" xr:uid="{00000000-0005-0000-0000-0000D9520000}"/>
    <cellStyle name="Normal 21 2 6 2 4" xfId="22727" xr:uid="{00000000-0005-0000-0000-0000DA520000}"/>
    <cellStyle name="Normal 21 2 6 3" xfId="5781" xr:uid="{00000000-0005-0000-0000-0000DB520000}"/>
    <cellStyle name="Normal 21 2 6 3 2" xfId="15105" xr:uid="{00000000-0005-0000-0000-0000DC520000}"/>
    <cellStyle name="Normal 21 2 6 3 3" xfId="24428" xr:uid="{00000000-0005-0000-0000-0000DD520000}"/>
    <cellStyle name="Normal 21 2 6 4" xfId="11848" xr:uid="{00000000-0005-0000-0000-0000DE520000}"/>
    <cellStyle name="Normal 21 2 6 5" xfId="21174" xr:uid="{00000000-0005-0000-0000-0000DF520000}"/>
    <cellStyle name="Normal 21 2 7" xfId="2348" xr:uid="{00000000-0005-0000-0000-0000E0520000}"/>
    <cellStyle name="Normal 21 2 7 2" xfId="4070" xr:uid="{00000000-0005-0000-0000-0000E1520000}"/>
    <cellStyle name="Normal 21 2 7 2 2" xfId="8747" xr:uid="{00000000-0005-0000-0000-0000E2520000}"/>
    <cellStyle name="Normal 21 2 7 2 2 2" xfId="18071" xr:uid="{00000000-0005-0000-0000-0000E3520000}"/>
    <cellStyle name="Normal 21 2 7 2 2 3" xfId="27394" xr:uid="{00000000-0005-0000-0000-0000E4520000}"/>
    <cellStyle name="Normal 21 2 7 2 3" xfId="13404" xr:uid="{00000000-0005-0000-0000-0000E5520000}"/>
    <cellStyle name="Normal 21 2 7 2 4" xfId="22728" xr:uid="{00000000-0005-0000-0000-0000E6520000}"/>
    <cellStyle name="Normal 21 2 7 3" xfId="5782" xr:uid="{00000000-0005-0000-0000-0000E7520000}"/>
    <cellStyle name="Normal 21 2 7 3 2" xfId="15106" xr:uid="{00000000-0005-0000-0000-0000E8520000}"/>
    <cellStyle name="Normal 21 2 7 3 3" xfId="24429" xr:uid="{00000000-0005-0000-0000-0000E9520000}"/>
    <cellStyle name="Normal 21 2 7 4" xfId="11849" xr:uid="{00000000-0005-0000-0000-0000EA520000}"/>
    <cellStyle name="Normal 21 2 7 5" xfId="21175" xr:uid="{00000000-0005-0000-0000-0000EB520000}"/>
    <cellStyle name="Normal 21 2 8" xfId="2335" xr:uid="{00000000-0005-0000-0000-0000EC520000}"/>
    <cellStyle name="Normal 21 2 8 2" xfId="4057" xr:uid="{00000000-0005-0000-0000-0000ED520000}"/>
    <cellStyle name="Normal 21 2 8 2 2" xfId="8734" xr:uid="{00000000-0005-0000-0000-0000EE520000}"/>
    <cellStyle name="Normal 21 2 8 2 2 2" xfId="18058" xr:uid="{00000000-0005-0000-0000-0000EF520000}"/>
    <cellStyle name="Normal 21 2 8 2 2 3" xfId="27381" xr:uid="{00000000-0005-0000-0000-0000F0520000}"/>
    <cellStyle name="Normal 21 2 8 2 3" xfId="13391" xr:uid="{00000000-0005-0000-0000-0000F1520000}"/>
    <cellStyle name="Normal 21 2 8 2 4" xfId="22715" xr:uid="{00000000-0005-0000-0000-0000F2520000}"/>
    <cellStyle name="Normal 21 2 8 3" xfId="5769" xr:uid="{00000000-0005-0000-0000-0000F3520000}"/>
    <cellStyle name="Normal 21 2 8 3 2" xfId="15093" xr:uid="{00000000-0005-0000-0000-0000F4520000}"/>
    <cellStyle name="Normal 21 2 8 3 3" xfId="24416" xr:uid="{00000000-0005-0000-0000-0000F5520000}"/>
    <cellStyle name="Normal 21 2 8 4" xfId="11836" xr:uid="{00000000-0005-0000-0000-0000F6520000}"/>
    <cellStyle name="Normal 21 2 8 5" xfId="21162" xr:uid="{00000000-0005-0000-0000-0000F7520000}"/>
    <cellStyle name="Normal 21 2 9" xfId="3111" xr:uid="{00000000-0005-0000-0000-0000F8520000}"/>
    <cellStyle name="Normal 21 2 9 2" xfId="7790" xr:uid="{00000000-0005-0000-0000-0000F9520000}"/>
    <cellStyle name="Normal 21 2 9 2 2" xfId="17114" xr:uid="{00000000-0005-0000-0000-0000FA520000}"/>
    <cellStyle name="Normal 21 2 9 2 3" xfId="26437" xr:uid="{00000000-0005-0000-0000-0000FB520000}"/>
    <cellStyle name="Normal 21 2 9 3" xfId="12498" xr:uid="{00000000-0005-0000-0000-0000FC520000}"/>
    <cellStyle name="Normal 21 2 9 4" xfId="21824" xr:uid="{00000000-0005-0000-0000-0000FD520000}"/>
    <cellStyle name="Normal 21 3" xfId="1309" xr:uid="{00000000-0005-0000-0000-0000FE520000}"/>
    <cellStyle name="Normal 21 3 2" xfId="2350" xr:uid="{00000000-0005-0000-0000-0000FF520000}"/>
    <cellStyle name="Normal 21 3 2 2" xfId="2351" xr:uid="{00000000-0005-0000-0000-000000530000}"/>
    <cellStyle name="Normal 21 3 2 2 2" xfId="4073" xr:uid="{00000000-0005-0000-0000-000001530000}"/>
    <cellStyle name="Normal 21 3 2 2 2 2" xfId="8750" xr:uid="{00000000-0005-0000-0000-000002530000}"/>
    <cellStyle name="Normal 21 3 2 2 2 2 2" xfId="18074" xr:uid="{00000000-0005-0000-0000-000003530000}"/>
    <cellStyle name="Normal 21 3 2 2 2 2 3" xfId="27397" xr:uid="{00000000-0005-0000-0000-000004530000}"/>
    <cellStyle name="Normal 21 3 2 2 2 3" xfId="13407" xr:uid="{00000000-0005-0000-0000-000005530000}"/>
    <cellStyle name="Normal 21 3 2 2 2 4" xfId="22731" xr:uid="{00000000-0005-0000-0000-000006530000}"/>
    <cellStyle name="Normal 21 3 2 2 3" xfId="5785" xr:uid="{00000000-0005-0000-0000-000007530000}"/>
    <cellStyle name="Normal 21 3 2 2 3 2" xfId="15109" xr:uid="{00000000-0005-0000-0000-000008530000}"/>
    <cellStyle name="Normal 21 3 2 2 3 3" xfId="24432" xr:uid="{00000000-0005-0000-0000-000009530000}"/>
    <cellStyle name="Normal 21 3 2 2 4" xfId="11852" xr:uid="{00000000-0005-0000-0000-00000A530000}"/>
    <cellStyle name="Normal 21 3 2 2 5" xfId="21178" xr:uid="{00000000-0005-0000-0000-00000B530000}"/>
    <cellStyle name="Normal 21 3 2 3" xfId="4072" xr:uid="{00000000-0005-0000-0000-00000C530000}"/>
    <cellStyle name="Normal 21 3 2 3 2" xfId="8749" xr:uid="{00000000-0005-0000-0000-00000D530000}"/>
    <cellStyle name="Normal 21 3 2 3 2 2" xfId="18073" xr:uid="{00000000-0005-0000-0000-00000E530000}"/>
    <cellStyle name="Normal 21 3 2 3 2 3" xfId="27396" xr:uid="{00000000-0005-0000-0000-00000F530000}"/>
    <cellStyle name="Normal 21 3 2 3 3" xfId="13406" xr:uid="{00000000-0005-0000-0000-000010530000}"/>
    <cellStyle name="Normal 21 3 2 3 4" xfId="22730" xr:uid="{00000000-0005-0000-0000-000011530000}"/>
    <cellStyle name="Normal 21 3 2 4" xfId="5784" xr:uid="{00000000-0005-0000-0000-000012530000}"/>
    <cellStyle name="Normal 21 3 2 4 2" xfId="15108" xr:uid="{00000000-0005-0000-0000-000013530000}"/>
    <cellStyle name="Normal 21 3 2 4 3" xfId="24431" xr:uid="{00000000-0005-0000-0000-000014530000}"/>
    <cellStyle name="Normal 21 3 2 5" xfId="11851" xr:uid="{00000000-0005-0000-0000-000015530000}"/>
    <cellStyle name="Normal 21 3 2 6" xfId="21177" xr:uid="{00000000-0005-0000-0000-000016530000}"/>
    <cellStyle name="Normal 21 3 3" xfId="2352" xr:uid="{00000000-0005-0000-0000-000017530000}"/>
    <cellStyle name="Normal 21 3 3 2" xfId="4074" xr:uid="{00000000-0005-0000-0000-000018530000}"/>
    <cellStyle name="Normal 21 3 3 2 2" xfId="8751" xr:uid="{00000000-0005-0000-0000-000019530000}"/>
    <cellStyle name="Normal 21 3 3 2 2 2" xfId="18075" xr:uid="{00000000-0005-0000-0000-00001A530000}"/>
    <cellStyle name="Normal 21 3 3 2 2 3" xfId="27398" xr:uid="{00000000-0005-0000-0000-00001B530000}"/>
    <cellStyle name="Normal 21 3 3 2 3" xfId="13408" xr:uid="{00000000-0005-0000-0000-00001C530000}"/>
    <cellStyle name="Normal 21 3 3 2 4" xfId="22732" xr:uid="{00000000-0005-0000-0000-00001D530000}"/>
    <cellStyle name="Normal 21 3 3 3" xfId="5786" xr:uid="{00000000-0005-0000-0000-00001E530000}"/>
    <cellStyle name="Normal 21 3 3 3 2" xfId="15110" xr:uid="{00000000-0005-0000-0000-00001F530000}"/>
    <cellStyle name="Normal 21 3 3 3 3" xfId="24433" xr:uid="{00000000-0005-0000-0000-000020530000}"/>
    <cellStyle name="Normal 21 3 3 4" xfId="11853" xr:uid="{00000000-0005-0000-0000-000021530000}"/>
    <cellStyle name="Normal 21 3 3 5" xfId="21179" xr:uid="{00000000-0005-0000-0000-000022530000}"/>
    <cellStyle name="Normal 21 3 4" xfId="2349" xr:uid="{00000000-0005-0000-0000-000023530000}"/>
    <cellStyle name="Normal 21 3 4 2" xfId="4071" xr:uid="{00000000-0005-0000-0000-000024530000}"/>
    <cellStyle name="Normal 21 3 4 2 2" xfId="8748" xr:uid="{00000000-0005-0000-0000-000025530000}"/>
    <cellStyle name="Normal 21 3 4 2 2 2" xfId="18072" xr:uid="{00000000-0005-0000-0000-000026530000}"/>
    <cellStyle name="Normal 21 3 4 2 2 3" xfId="27395" xr:uid="{00000000-0005-0000-0000-000027530000}"/>
    <cellStyle name="Normal 21 3 4 2 3" xfId="13405" xr:uid="{00000000-0005-0000-0000-000028530000}"/>
    <cellStyle name="Normal 21 3 4 2 4" xfId="22729" xr:uid="{00000000-0005-0000-0000-000029530000}"/>
    <cellStyle name="Normal 21 3 4 3" xfId="5783" xr:uid="{00000000-0005-0000-0000-00002A530000}"/>
    <cellStyle name="Normal 21 3 4 3 2" xfId="15107" xr:uid="{00000000-0005-0000-0000-00002B530000}"/>
    <cellStyle name="Normal 21 3 4 3 3" xfId="24430" xr:uid="{00000000-0005-0000-0000-00002C530000}"/>
    <cellStyle name="Normal 21 3 4 4" xfId="11850" xr:uid="{00000000-0005-0000-0000-00002D530000}"/>
    <cellStyle name="Normal 21 3 4 5" xfId="21176" xr:uid="{00000000-0005-0000-0000-00002E530000}"/>
    <cellStyle name="Normal 21 3 5" xfId="3113" xr:uid="{00000000-0005-0000-0000-00002F530000}"/>
    <cellStyle name="Normal 21 3 5 2" xfId="7792" xr:uid="{00000000-0005-0000-0000-000030530000}"/>
    <cellStyle name="Normal 21 3 5 2 2" xfId="17116" xr:uid="{00000000-0005-0000-0000-000031530000}"/>
    <cellStyle name="Normal 21 3 5 2 3" xfId="26439" xr:uid="{00000000-0005-0000-0000-000032530000}"/>
    <cellStyle name="Normal 21 3 5 3" xfId="12500" xr:uid="{00000000-0005-0000-0000-000033530000}"/>
    <cellStyle name="Normal 21 3 5 4" xfId="21826" xr:uid="{00000000-0005-0000-0000-000034530000}"/>
    <cellStyle name="Normal 21 3 6" xfId="4768" xr:uid="{00000000-0005-0000-0000-000035530000}"/>
    <cellStyle name="Normal 21 3 6 2" xfId="14092" xr:uid="{00000000-0005-0000-0000-000036530000}"/>
    <cellStyle name="Normal 21 3 6 3" xfId="23415" xr:uid="{00000000-0005-0000-0000-000037530000}"/>
    <cellStyle name="Normal 21 3 7" xfId="10894" xr:uid="{00000000-0005-0000-0000-000038530000}"/>
    <cellStyle name="Normal 21 3 8" xfId="20218" xr:uid="{00000000-0005-0000-0000-000039530000}"/>
    <cellStyle name="Normal 21 4" xfId="2353" xr:uid="{00000000-0005-0000-0000-00003A530000}"/>
    <cellStyle name="Normal 21 4 2" xfId="2354" xr:uid="{00000000-0005-0000-0000-00003B530000}"/>
    <cellStyle name="Normal 21 4 2 2" xfId="2355" xr:uid="{00000000-0005-0000-0000-00003C530000}"/>
    <cellStyle name="Normal 21 4 2 2 2" xfId="4077" xr:uid="{00000000-0005-0000-0000-00003D530000}"/>
    <cellStyle name="Normal 21 4 2 2 2 2" xfId="8754" xr:uid="{00000000-0005-0000-0000-00003E530000}"/>
    <cellStyle name="Normal 21 4 2 2 2 2 2" xfId="18078" xr:uid="{00000000-0005-0000-0000-00003F530000}"/>
    <cellStyle name="Normal 21 4 2 2 2 2 3" xfId="27401" xr:uid="{00000000-0005-0000-0000-000040530000}"/>
    <cellStyle name="Normal 21 4 2 2 2 3" xfId="13411" xr:uid="{00000000-0005-0000-0000-000041530000}"/>
    <cellStyle name="Normal 21 4 2 2 2 4" xfId="22735" xr:uid="{00000000-0005-0000-0000-000042530000}"/>
    <cellStyle name="Normal 21 4 2 2 3" xfId="5789" xr:uid="{00000000-0005-0000-0000-000043530000}"/>
    <cellStyle name="Normal 21 4 2 2 3 2" xfId="15113" xr:uid="{00000000-0005-0000-0000-000044530000}"/>
    <cellStyle name="Normal 21 4 2 2 3 3" xfId="24436" xr:uid="{00000000-0005-0000-0000-000045530000}"/>
    <cellStyle name="Normal 21 4 2 2 4" xfId="11856" xr:uid="{00000000-0005-0000-0000-000046530000}"/>
    <cellStyle name="Normal 21 4 2 2 5" xfId="21182" xr:uid="{00000000-0005-0000-0000-000047530000}"/>
    <cellStyle name="Normal 21 4 2 3" xfId="4076" xr:uid="{00000000-0005-0000-0000-000048530000}"/>
    <cellStyle name="Normal 21 4 2 3 2" xfId="8753" xr:uid="{00000000-0005-0000-0000-000049530000}"/>
    <cellStyle name="Normal 21 4 2 3 2 2" xfId="18077" xr:uid="{00000000-0005-0000-0000-00004A530000}"/>
    <cellStyle name="Normal 21 4 2 3 2 3" xfId="27400" xr:uid="{00000000-0005-0000-0000-00004B530000}"/>
    <cellStyle name="Normal 21 4 2 3 3" xfId="13410" xr:uid="{00000000-0005-0000-0000-00004C530000}"/>
    <cellStyle name="Normal 21 4 2 3 4" xfId="22734" xr:uid="{00000000-0005-0000-0000-00004D530000}"/>
    <cellStyle name="Normal 21 4 2 4" xfId="5788" xr:uid="{00000000-0005-0000-0000-00004E530000}"/>
    <cellStyle name="Normal 21 4 2 4 2" xfId="15112" xr:uid="{00000000-0005-0000-0000-00004F530000}"/>
    <cellStyle name="Normal 21 4 2 4 3" xfId="24435" xr:uid="{00000000-0005-0000-0000-000050530000}"/>
    <cellStyle name="Normal 21 4 2 5" xfId="11855" xr:uid="{00000000-0005-0000-0000-000051530000}"/>
    <cellStyle name="Normal 21 4 2 6" xfId="21181" xr:uid="{00000000-0005-0000-0000-000052530000}"/>
    <cellStyle name="Normal 21 4 3" xfId="2356" xr:uid="{00000000-0005-0000-0000-000053530000}"/>
    <cellStyle name="Normal 21 4 3 2" xfId="4078" xr:uid="{00000000-0005-0000-0000-000054530000}"/>
    <cellStyle name="Normal 21 4 3 2 2" xfId="8755" xr:uid="{00000000-0005-0000-0000-000055530000}"/>
    <cellStyle name="Normal 21 4 3 2 2 2" xfId="18079" xr:uid="{00000000-0005-0000-0000-000056530000}"/>
    <cellStyle name="Normal 21 4 3 2 2 3" xfId="27402" xr:uid="{00000000-0005-0000-0000-000057530000}"/>
    <cellStyle name="Normal 21 4 3 2 3" xfId="13412" xr:uid="{00000000-0005-0000-0000-000058530000}"/>
    <cellStyle name="Normal 21 4 3 2 4" xfId="22736" xr:uid="{00000000-0005-0000-0000-000059530000}"/>
    <cellStyle name="Normal 21 4 3 3" xfId="5790" xr:uid="{00000000-0005-0000-0000-00005A530000}"/>
    <cellStyle name="Normal 21 4 3 3 2" xfId="15114" xr:uid="{00000000-0005-0000-0000-00005B530000}"/>
    <cellStyle name="Normal 21 4 3 3 3" xfId="24437" xr:uid="{00000000-0005-0000-0000-00005C530000}"/>
    <cellStyle name="Normal 21 4 3 4" xfId="11857" xr:uid="{00000000-0005-0000-0000-00005D530000}"/>
    <cellStyle name="Normal 21 4 3 5" xfId="21183" xr:uid="{00000000-0005-0000-0000-00005E530000}"/>
    <cellStyle name="Normal 21 4 4" xfId="4075" xr:uid="{00000000-0005-0000-0000-00005F530000}"/>
    <cellStyle name="Normal 21 4 4 2" xfId="8752" xr:uid="{00000000-0005-0000-0000-000060530000}"/>
    <cellStyle name="Normal 21 4 4 2 2" xfId="18076" xr:uid="{00000000-0005-0000-0000-000061530000}"/>
    <cellStyle name="Normal 21 4 4 2 3" xfId="27399" xr:uid="{00000000-0005-0000-0000-000062530000}"/>
    <cellStyle name="Normal 21 4 4 3" xfId="13409" xr:uid="{00000000-0005-0000-0000-000063530000}"/>
    <cellStyle name="Normal 21 4 4 4" xfId="22733" xr:uid="{00000000-0005-0000-0000-000064530000}"/>
    <cellStyle name="Normal 21 4 5" xfId="5787" xr:uid="{00000000-0005-0000-0000-000065530000}"/>
    <cellStyle name="Normal 21 4 5 2" xfId="15111" xr:uid="{00000000-0005-0000-0000-000066530000}"/>
    <cellStyle name="Normal 21 4 5 3" xfId="24434" xr:uid="{00000000-0005-0000-0000-000067530000}"/>
    <cellStyle name="Normal 21 4 6" xfId="11854" xr:uid="{00000000-0005-0000-0000-000068530000}"/>
    <cellStyle name="Normal 21 4 7" xfId="21180" xr:uid="{00000000-0005-0000-0000-000069530000}"/>
    <cellStyle name="Normal 21 5" xfId="2357" xr:uid="{00000000-0005-0000-0000-00006A530000}"/>
    <cellStyle name="Normal 21 5 2" xfId="2358" xr:uid="{00000000-0005-0000-0000-00006B530000}"/>
    <cellStyle name="Normal 21 5 2 2" xfId="2359" xr:uid="{00000000-0005-0000-0000-00006C530000}"/>
    <cellStyle name="Normal 21 5 2 2 2" xfId="4081" xr:uid="{00000000-0005-0000-0000-00006D530000}"/>
    <cellStyle name="Normal 21 5 2 2 2 2" xfId="8758" xr:uid="{00000000-0005-0000-0000-00006E530000}"/>
    <cellStyle name="Normal 21 5 2 2 2 2 2" xfId="18082" xr:uid="{00000000-0005-0000-0000-00006F530000}"/>
    <cellStyle name="Normal 21 5 2 2 2 2 3" xfId="27405" xr:uid="{00000000-0005-0000-0000-000070530000}"/>
    <cellStyle name="Normal 21 5 2 2 2 3" xfId="13415" xr:uid="{00000000-0005-0000-0000-000071530000}"/>
    <cellStyle name="Normal 21 5 2 2 2 4" xfId="22739" xr:uid="{00000000-0005-0000-0000-000072530000}"/>
    <cellStyle name="Normal 21 5 2 2 3" xfId="5793" xr:uid="{00000000-0005-0000-0000-000073530000}"/>
    <cellStyle name="Normal 21 5 2 2 3 2" xfId="15117" xr:uid="{00000000-0005-0000-0000-000074530000}"/>
    <cellStyle name="Normal 21 5 2 2 3 3" xfId="24440" xr:uid="{00000000-0005-0000-0000-000075530000}"/>
    <cellStyle name="Normal 21 5 2 2 4" xfId="11860" xr:uid="{00000000-0005-0000-0000-000076530000}"/>
    <cellStyle name="Normal 21 5 2 2 5" xfId="21186" xr:uid="{00000000-0005-0000-0000-000077530000}"/>
    <cellStyle name="Normal 21 5 2 3" xfId="4080" xr:uid="{00000000-0005-0000-0000-000078530000}"/>
    <cellStyle name="Normal 21 5 2 3 2" xfId="8757" xr:uid="{00000000-0005-0000-0000-000079530000}"/>
    <cellStyle name="Normal 21 5 2 3 2 2" xfId="18081" xr:uid="{00000000-0005-0000-0000-00007A530000}"/>
    <cellStyle name="Normal 21 5 2 3 2 3" xfId="27404" xr:uid="{00000000-0005-0000-0000-00007B530000}"/>
    <cellStyle name="Normal 21 5 2 3 3" xfId="13414" xr:uid="{00000000-0005-0000-0000-00007C530000}"/>
    <cellStyle name="Normal 21 5 2 3 4" xfId="22738" xr:uid="{00000000-0005-0000-0000-00007D530000}"/>
    <cellStyle name="Normal 21 5 2 4" xfId="5792" xr:uid="{00000000-0005-0000-0000-00007E530000}"/>
    <cellStyle name="Normal 21 5 2 4 2" xfId="15116" xr:uid="{00000000-0005-0000-0000-00007F530000}"/>
    <cellStyle name="Normal 21 5 2 4 3" xfId="24439" xr:uid="{00000000-0005-0000-0000-000080530000}"/>
    <cellStyle name="Normal 21 5 2 5" xfId="11859" xr:uid="{00000000-0005-0000-0000-000081530000}"/>
    <cellStyle name="Normal 21 5 2 6" xfId="21185" xr:uid="{00000000-0005-0000-0000-000082530000}"/>
    <cellStyle name="Normal 21 5 3" xfId="2360" xr:uid="{00000000-0005-0000-0000-000083530000}"/>
    <cellStyle name="Normal 21 5 3 2" xfId="4082" xr:uid="{00000000-0005-0000-0000-000084530000}"/>
    <cellStyle name="Normal 21 5 3 2 2" xfId="8759" xr:uid="{00000000-0005-0000-0000-000085530000}"/>
    <cellStyle name="Normal 21 5 3 2 2 2" xfId="18083" xr:uid="{00000000-0005-0000-0000-000086530000}"/>
    <cellStyle name="Normal 21 5 3 2 2 3" xfId="27406" xr:uid="{00000000-0005-0000-0000-000087530000}"/>
    <cellStyle name="Normal 21 5 3 2 3" xfId="13416" xr:uid="{00000000-0005-0000-0000-000088530000}"/>
    <cellStyle name="Normal 21 5 3 2 4" xfId="22740" xr:uid="{00000000-0005-0000-0000-000089530000}"/>
    <cellStyle name="Normal 21 5 3 3" xfId="5794" xr:uid="{00000000-0005-0000-0000-00008A530000}"/>
    <cellStyle name="Normal 21 5 3 3 2" xfId="15118" xr:uid="{00000000-0005-0000-0000-00008B530000}"/>
    <cellStyle name="Normal 21 5 3 3 3" xfId="24441" xr:uid="{00000000-0005-0000-0000-00008C530000}"/>
    <cellStyle name="Normal 21 5 3 4" xfId="11861" xr:uid="{00000000-0005-0000-0000-00008D530000}"/>
    <cellStyle name="Normal 21 5 3 5" xfId="21187" xr:uid="{00000000-0005-0000-0000-00008E530000}"/>
    <cellStyle name="Normal 21 5 4" xfId="4079" xr:uid="{00000000-0005-0000-0000-00008F530000}"/>
    <cellStyle name="Normal 21 5 4 2" xfId="8756" xr:uid="{00000000-0005-0000-0000-000090530000}"/>
    <cellStyle name="Normal 21 5 4 2 2" xfId="18080" xr:uid="{00000000-0005-0000-0000-000091530000}"/>
    <cellStyle name="Normal 21 5 4 2 3" xfId="27403" xr:uid="{00000000-0005-0000-0000-000092530000}"/>
    <cellStyle name="Normal 21 5 4 3" xfId="13413" xr:uid="{00000000-0005-0000-0000-000093530000}"/>
    <cellStyle name="Normal 21 5 4 4" xfId="22737" xr:uid="{00000000-0005-0000-0000-000094530000}"/>
    <cellStyle name="Normal 21 5 5" xfId="5791" xr:uid="{00000000-0005-0000-0000-000095530000}"/>
    <cellStyle name="Normal 21 5 5 2" xfId="15115" xr:uid="{00000000-0005-0000-0000-000096530000}"/>
    <cellStyle name="Normal 21 5 5 3" xfId="24438" xr:uid="{00000000-0005-0000-0000-000097530000}"/>
    <cellStyle name="Normal 21 5 6" xfId="11858" xr:uid="{00000000-0005-0000-0000-000098530000}"/>
    <cellStyle name="Normal 21 5 7" xfId="21184" xr:uid="{00000000-0005-0000-0000-000099530000}"/>
    <cellStyle name="Normal 21 6" xfId="2361" xr:uid="{00000000-0005-0000-0000-00009A530000}"/>
    <cellStyle name="Normal 21 6 2" xfId="2362" xr:uid="{00000000-0005-0000-0000-00009B530000}"/>
    <cellStyle name="Normal 21 6 2 2" xfId="4083" xr:uid="{00000000-0005-0000-0000-00009C530000}"/>
    <cellStyle name="Normal 21 6 2 2 2" xfId="8760" xr:uid="{00000000-0005-0000-0000-00009D530000}"/>
    <cellStyle name="Normal 21 6 2 2 2 2" xfId="18084" xr:uid="{00000000-0005-0000-0000-00009E530000}"/>
    <cellStyle name="Normal 21 6 2 2 2 3" xfId="27407" xr:uid="{00000000-0005-0000-0000-00009F530000}"/>
    <cellStyle name="Normal 21 6 2 2 3" xfId="13417" xr:uid="{00000000-0005-0000-0000-0000A0530000}"/>
    <cellStyle name="Normal 21 6 2 2 4" xfId="22741" xr:uid="{00000000-0005-0000-0000-0000A1530000}"/>
    <cellStyle name="Normal 21 6 2 3" xfId="5795" xr:uid="{00000000-0005-0000-0000-0000A2530000}"/>
    <cellStyle name="Normal 21 6 2 3 2" xfId="15119" xr:uid="{00000000-0005-0000-0000-0000A3530000}"/>
    <cellStyle name="Normal 21 6 2 3 3" xfId="24442" xr:uid="{00000000-0005-0000-0000-0000A4530000}"/>
    <cellStyle name="Normal 21 6 2 4" xfId="11862" xr:uid="{00000000-0005-0000-0000-0000A5530000}"/>
    <cellStyle name="Normal 21 6 2 5" xfId="21188" xr:uid="{00000000-0005-0000-0000-0000A6530000}"/>
    <cellStyle name="Normal 21 6 3" xfId="2363" xr:uid="{00000000-0005-0000-0000-0000A7530000}"/>
    <cellStyle name="Normal 21 7" xfId="2364" xr:uid="{00000000-0005-0000-0000-0000A8530000}"/>
    <cellStyle name="Normal 21 7 2" xfId="4084" xr:uid="{00000000-0005-0000-0000-0000A9530000}"/>
    <cellStyle name="Normal 21 7 2 2" xfId="8761" xr:uid="{00000000-0005-0000-0000-0000AA530000}"/>
    <cellStyle name="Normal 21 7 2 2 2" xfId="18085" xr:uid="{00000000-0005-0000-0000-0000AB530000}"/>
    <cellStyle name="Normal 21 7 2 2 3" xfId="27408" xr:uid="{00000000-0005-0000-0000-0000AC530000}"/>
    <cellStyle name="Normal 21 7 2 3" xfId="13418" xr:uid="{00000000-0005-0000-0000-0000AD530000}"/>
    <cellStyle name="Normal 21 7 2 4" xfId="22742" xr:uid="{00000000-0005-0000-0000-0000AE530000}"/>
    <cellStyle name="Normal 21 7 3" xfId="5796" xr:uid="{00000000-0005-0000-0000-0000AF530000}"/>
    <cellStyle name="Normal 21 7 3 2" xfId="15120" xr:uid="{00000000-0005-0000-0000-0000B0530000}"/>
    <cellStyle name="Normal 21 7 3 3" xfId="24443" xr:uid="{00000000-0005-0000-0000-0000B1530000}"/>
    <cellStyle name="Normal 21 7 4" xfId="11863" xr:uid="{00000000-0005-0000-0000-0000B2530000}"/>
    <cellStyle name="Normal 21 7 5" xfId="21189" xr:uid="{00000000-0005-0000-0000-0000B3530000}"/>
    <cellStyle name="Normal 21 8" xfId="2365" xr:uid="{00000000-0005-0000-0000-0000B4530000}"/>
    <cellStyle name="Normal 21 8 2" xfId="4085" xr:uid="{00000000-0005-0000-0000-0000B5530000}"/>
    <cellStyle name="Normal 21 8 2 2" xfId="8762" xr:uid="{00000000-0005-0000-0000-0000B6530000}"/>
    <cellStyle name="Normal 21 8 2 2 2" xfId="18086" xr:uid="{00000000-0005-0000-0000-0000B7530000}"/>
    <cellStyle name="Normal 21 8 2 2 3" xfId="27409" xr:uid="{00000000-0005-0000-0000-0000B8530000}"/>
    <cellStyle name="Normal 21 8 2 3" xfId="13419" xr:uid="{00000000-0005-0000-0000-0000B9530000}"/>
    <cellStyle name="Normal 21 8 2 4" xfId="22743" xr:uid="{00000000-0005-0000-0000-0000BA530000}"/>
    <cellStyle name="Normal 21 8 3" xfId="5797" xr:uid="{00000000-0005-0000-0000-0000BB530000}"/>
    <cellStyle name="Normal 21 8 3 2" xfId="15121" xr:uid="{00000000-0005-0000-0000-0000BC530000}"/>
    <cellStyle name="Normal 21 8 3 3" xfId="24444" xr:uid="{00000000-0005-0000-0000-0000BD530000}"/>
    <cellStyle name="Normal 21 8 4" xfId="11864" xr:uid="{00000000-0005-0000-0000-0000BE530000}"/>
    <cellStyle name="Normal 21 8 5" xfId="21190" xr:uid="{00000000-0005-0000-0000-0000BF530000}"/>
    <cellStyle name="Normal 21 9" xfId="2366" xr:uid="{00000000-0005-0000-0000-0000C0530000}"/>
    <cellStyle name="Normal 21 9 2" xfId="2367" xr:uid="{00000000-0005-0000-0000-0000C1530000}"/>
    <cellStyle name="Normal 21 9 2 2" xfId="4086" xr:uid="{00000000-0005-0000-0000-0000C2530000}"/>
    <cellStyle name="Normal 21 9 2 2 2" xfId="8763" xr:uid="{00000000-0005-0000-0000-0000C3530000}"/>
    <cellStyle name="Normal 21 9 2 2 2 2" xfId="18087" xr:uid="{00000000-0005-0000-0000-0000C4530000}"/>
    <cellStyle name="Normal 21 9 2 2 2 3" xfId="27410" xr:uid="{00000000-0005-0000-0000-0000C5530000}"/>
    <cellStyle name="Normal 21 9 2 2 3" xfId="13420" xr:uid="{00000000-0005-0000-0000-0000C6530000}"/>
    <cellStyle name="Normal 21 9 2 2 4" xfId="22744" xr:uid="{00000000-0005-0000-0000-0000C7530000}"/>
    <cellStyle name="Normal 21 9 2 3" xfId="5798" xr:uid="{00000000-0005-0000-0000-0000C8530000}"/>
    <cellStyle name="Normal 21 9 2 3 2" xfId="15122" xr:uid="{00000000-0005-0000-0000-0000C9530000}"/>
    <cellStyle name="Normal 21 9 2 3 3" xfId="24445" xr:uid="{00000000-0005-0000-0000-0000CA530000}"/>
    <cellStyle name="Normal 21 9 2 4" xfId="11865" xr:uid="{00000000-0005-0000-0000-0000CB530000}"/>
    <cellStyle name="Normal 21 9 2 5" xfId="21191" xr:uid="{00000000-0005-0000-0000-0000CC530000}"/>
    <cellStyle name="Normal 22" xfId="1310" xr:uid="{00000000-0005-0000-0000-0000CD530000}"/>
    <cellStyle name="Normal 22 10" xfId="4769" xr:uid="{00000000-0005-0000-0000-0000CE530000}"/>
    <cellStyle name="Normal 22 10 2" xfId="14093" xr:uid="{00000000-0005-0000-0000-0000CF530000}"/>
    <cellStyle name="Normal 22 10 3" xfId="23416" xr:uid="{00000000-0005-0000-0000-0000D0530000}"/>
    <cellStyle name="Normal 22 11" xfId="10895" xr:uid="{00000000-0005-0000-0000-0000D1530000}"/>
    <cellStyle name="Normal 22 12" xfId="20219" xr:uid="{00000000-0005-0000-0000-0000D2530000}"/>
    <cellStyle name="Normal 22 13" xfId="28747" xr:uid="{00000000-0005-0000-0000-0000D3530000}"/>
    <cellStyle name="Normal 22 2" xfId="1311" xr:uid="{00000000-0005-0000-0000-0000D4530000}"/>
    <cellStyle name="Normal 22 2 2" xfId="2370" xr:uid="{00000000-0005-0000-0000-0000D5530000}"/>
    <cellStyle name="Normal 22 2 2 2" xfId="2371" xr:uid="{00000000-0005-0000-0000-0000D6530000}"/>
    <cellStyle name="Normal 22 2 2 2 2" xfId="4090" xr:uid="{00000000-0005-0000-0000-0000D7530000}"/>
    <cellStyle name="Normal 22 2 2 2 2 2" xfId="8767" xr:uid="{00000000-0005-0000-0000-0000D8530000}"/>
    <cellStyle name="Normal 22 2 2 2 2 2 2" xfId="18091" xr:uid="{00000000-0005-0000-0000-0000D9530000}"/>
    <cellStyle name="Normal 22 2 2 2 2 2 3" xfId="27414" xr:uid="{00000000-0005-0000-0000-0000DA530000}"/>
    <cellStyle name="Normal 22 2 2 2 2 3" xfId="13424" xr:uid="{00000000-0005-0000-0000-0000DB530000}"/>
    <cellStyle name="Normal 22 2 2 2 2 4" xfId="22748" xr:uid="{00000000-0005-0000-0000-0000DC530000}"/>
    <cellStyle name="Normal 22 2 2 2 3" xfId="5802" xr:uid="{00000000-0005-0000-0000-0000DD530000}"/>
    <cellStyle name="Normal 22 2 2 2 3 2" xfId="15126" xr:uid="{00000000-0005-0000-0000-0000DE530000}"/>
    <cellStyle name="Normal 22 2 2 2 3 3" xfId="24449" xr:uid="{00000000-0005-0000-0000-0000DF530000}"/>
    <cellStyle name="Normal 22 2 2 2 4" xfId="11869" xr:uid="{00000000-0005-0000-0000-0000E0530000}"/>
    <cellStyle name="Normal 22 2 2 2 5" xfId="21195" xr:uid="{00000000-0005-0000-0000-0000E1530000}"/>
    <cellStyle name="Normal 22 2 2 3" xfId="4089" xr:uid="{00000000-0005-0000-0000-0000E2530000}"/>
    <cellStyle name="Normal 22 2 2 3 2" xfId="8766" xr:uid="{00000000-0005-0000-0000-0000E3530000}"/>
    <cellStyle name="Normal 22 2 2 3 2 2" xfId="18090" xr:uid="{00000000-0005-0000-0000-0000E4530000}"/>
    <cellStyle name="Normal 22 2 2 3 2 3" xfId="27413" xr:uid="{00000000-0005-0000-0000-0000E5530000}"/>
    <cellStyle name="Normal 22 2 2 3 3" xfId="13423" xr:uid="{00000000-0005-0000-0000-0000E6530000}"/>
    <cellStyle name="Normal 22 2 2 3 4" xfId="22747" xr:uid="{00000000-0005-0000-0000-0000E7530000}"/>
    <cellStyle name="Normal 22 2 2 4" xfId="5801" xr:uid="{00000000-0005-0000-0000-0000E8530000}"/>
    <cellStyle name="Normal 22 2 2 4 2" xfId="15125" xr:uid="{00000000-0005-0000-0000-0000E9530000}"/>
    <cellStyle name="Normal 22 2 2 4 3" xfId="24448" xr:uid="{00000000-0005-0000-0000-0000EA530000}"/>
    <cellStyle name="Normal 22 2 2 5" xfId="11868" xr:uid="{00000000-0005-0000-0000-0000EB530000}"/>
    <cellStyle name="Normal 22 2 2 6" xfId="21194" xr:uid="{00000000-0005-0000-0000-0000EC530000}"/>
    <cellStyle name="Normal 22 2 3" xfId="2372" xr:uid="{00000000-0005-0000-0000-0000ED530000}"/>
    <cellStyle name="Normal 22 2 3 2" xfId="4091" xr:uid="{00000000-0005-0000-0000-0000EE530000}"/>
    <cellStyle name="Normal 22 2 3 2 2" xfId="8768" xr:uid="{00000000-0005-0000-0000-0000EF530000}"/>
    <cellStyle name="Normal 22 2 3 2 2 2" xfId="18092" xr:uid="{00000000-0005-0000-0000-0000F0530000}"/>
    <cellStyle name="Normal 22 2 3 2 2 3" xfId="27415" xr:uid="{00000000-0005-0000-0000-0000F1530000}"/>
    <cellStyle name="Normal 22 2 3 2 3" xfId="13425" xr:uid="{00000000-0005-0000-0000-0000F2530000}"/>
    <cellStyle name="Normal 22 2 3 2 4" xfId="22749" xr:uid="{00000000-0005-0000-0000-0000F3530000}"/>
    <cellStyle name="Normal 22 2 3 3" xfId="5803" xr:uid="{00000000-0005-0000-0000-0000F4530000}"/>
    <cellStyle name="Normal 22 2 3 3 2" xfId="15127" xr:uid="{00000000-0005-0000-0000-0000F5530000}"/>
    <cellStyle name="Normal 22 2 3 3 3" xfId="24450" xr:uid="{00000000-0005-0000-0000-0000F6530000}"/>
    <cellStyle name="Normal 22 2 3 4" xfId="11870" xr:uid="{00000000-0005-0000-0000-0000F7530000}"/>
    <cellStyle name="Normal 22 2 3 5" xfId="21196" xr:uid="{00000000-0005-0000-0000-0000F8530000}"/>
    <cellStyle name="Normal 22 2 4" xfId="2369" xr:uid="{00000000-0005-0000-0000-0000F9530000}"/>
    <cellStyle name="Normal 22 2 4 2" xfId="4088" xr:uid="{00000000-0005-0000-0000-0000FA530000}"/>
    <cellStyle name="Normal 22 2 4 2 2" xfId="8765" xr:uid="{00000000-0005-0000-0000-0000FB530000}"/>
    <cellStyle name="Normal 22 2 4 2 2 2" xfId="18089" xr:uid="{00000000-0005-0000-0000-0000FC530000}"/>
    <cellStyle name="Normal 22 2 4 2 2 3" xfId="27412" xr:uid="{00000000-0005-0000-0000-0000FD530000}"/>
    <cellStyle name="Normal 22 2 4 2 3" xfId="13422" xr:uid="{00000000-0005-0000-0000-0000FE530000}"/>
    <cellStyle name="Normal 22 2 4 2 4" xfId="22746" xr:uid="{00000000-0005-0000-0000-0000FF530000}"/>
    <cellStyle name="Normal 22 2 4 3" xfId="5800" xr:uid="{00000000-0005-0000-0000-000000540000}"/>
    <cellStyle name="Normal 22 2 4 3 2" xfId="15124" xr:uid="{00000000-0005-0000-0000-000001540000}"/>
    <cellStyle name="Normal 22 2 4 3 3" xfId="24447" xr:uid="{00000000-0005-0000-0000-000002540000}"/>
    <cellStyle name="Normal 22 2 4 4" xfId="11867" xr:uid="{00000000-0005-0000-0000-000003540000}"/>
    <cellStyle name="Normal 22 2 4 5" xfId="21193" xr:uid="{00000000-0005-0000-0000-000004540000}"/>
    <cellStyle name="Normal 22 2 5" xfId="3115" xr:uid="{00000000-0005-0000-0000-000005540000}"/>
    <cellStyle name="Normal 22 2 5 2" xfId="7794" xr:uid="{00000000-0005-0000-0000-000006540000}"/>
    <cellStyle name="Normal 22 2 5 2 2" xfId="17118" xr:uid="{00000000-0005-0000-0000-000007540000}"/>
    <cellStyle name="Normal 22 2 5 2 3" xfId="26441" xr:uid="{00000000-0005-0000-0000-000008540000}"/>
    <cellStyle name="Normal 22 2 5 3" xfId="12502" xr:uid="{00000000-0005-0000-0000-000009540000}"/>
    <cellStyle name="Normal 22 2 5 4" xfId="21828" xr:uid="{00000000-0005-0000-0000-00000A540000}"/>
    <cellStyle name="Normal 22 2 6" xfId="4770" xr:uid="{00000000-0005-0000-0000-00000B540000}"/>
    <cellStyle name="Normal 22 2 6 2" xfId="14094" xr:uid="{00000000-0005-0000-0000-00000C540000}"/>
    <cellStyle name="Normal 22 2 6 3" xfId="23417" xr:uid="{00000000-0005-0000-0000-00000D540000}"/>
    <cellStyle name="Normal 22 2 7" xfId="10896" xr:uid="{00000000-0005-0000-0000-00000E540000}"/>
    <cellStyle name="Normal 22 2 8" xfId="20220" xr:uid="{00000000-0005-0000-0000-00000F540000}"/>
    <cellStyle name="Normal 22 2 9" xfId="28885" xr:uid="{00000000-0005-0000-0000-000010540000}"/>
    <cellStyle name="Normal 22 3" xfId="2373" xr:uid="{00000000-0005-0000-0000-000011540000}"/>
    <cellStyle name="Normal 22 3 2" xfId="2374" xr:uid="{00000000-0005-0000-0000-000012540000}"/>
    <cellStyle name="Normal 22 3 2 2" xfId="2375" xr:uid="{00000000-0005-0000-0000-000013540000}"/>
    <cellStyle name="Normal 22 3 2 2 2" xfId="4094" xr:uid="{00000000-0005-0000-0000-000014540000}"/>
    <cellStyle name="Normal 22 3 2 2 2 2" xfId="8771" xr:uid="{00000000-0005-0000-0000-000015540000}"/>
    <cellStyle name="Normal 22 3 2 2 2 2 2" xfId="18095" xr:uid="{00000000-0005-0000-0000-000016540000}"/>
    <cellStyle name="Normal 22 3 2 2 2 2 3" xfId="27418" xr:uid="{00000000-0005-0000-0000-000017540000}"/>
    <cellStyle name="Normal 22 3 2 2 2 3" xfId="13428" xr:uid="{00000000-0005-0000-0000-000018540000}"/>
    <cellStyle name="Normal 22 3 2 2 2 4" xfId="22752" xr:uid="{00000000-0005-0000-0000-000019540000}"/>
    <cellStyle name="Normal 22 3 2 2 3" xfId="5806" xr:uid="{00000000-0005-0000-0000-00001A540000}"/>
    <cellStyle name="Normal 22 3 2 2 3 2" xfId="15130" xr:uid="{00000000-0005-0000-0000-00001B540000}"/>
    <cellStyle name="Normal 22 3 2 2 3 3" xfId="24453" xr:uid="{00000000-0005-0000-0000-00001C540000}"/>
    <cellStyle name="Normal 22 3 2 2 4" xfId="11873" xr:uid="{00000000-0005-0000-0000-00001D540000}"/>
    <cellStyle name="Normal 22 3 2 2 5" xfId="21199" xr:uid="{00000000-0005-0000-0000-00001E540000}"/>
    <cellStyle name="Normal 22 3 2 3" xfId="4093" xr:uid="{00000000-0005-0000-0000-00001F540000}"/>
    <cellStyle name="Normal 22 3 2 3 2" xfId="8770" xr:uid="{00000000-0005-0000-0000-000020540000}"/>
    <cellStyle name="Normal 22 3 2 3 2 2" xfId="18094" xr:uid="{00000000-0005-0000-0000-000021540000}"/>
    <cellStyle name="Normal 22 3 2 3 2 3" xfId="27417" xr:uid="{00000000-0005-0000-0000-000022540000}"/>
    <cellStyle name="Normal 22 3 2 3 3" xfId="13427" xr:uid="{00000000-0005-0000-0000-000023540000}"/>
    <cellStyle name="Normal 22 3 2 3 4" xfId="22751" xr:uid="{00000000-0005-0000-0000-000024540000}"/>
    <cellStyle name="Normal 22 3 2 4" xfId="5805" xr:uid="{00000000-0005-0000-0000-000025540000}"/>
    <cellStyle name="Normal 22 3 2 4 2" xfId="15129" xr:uid="{00000000-0005-0000-0000-000026540000}"/>
    <cellStyle name="Normal 22 3 2 4 3" xfId="24452" xr:uid="{00000000-0005-0000-0000-000027540000}"/>
    <cellStyle name="Normal 22 3 2 5" xfId="11872" xr:uid="{00000000-0005-0000-0000-000028540000}"/>
    <cellStyle name="Normal 22 3 2 6" xfId="21198" xr:uid="{00000000-0005-0000-0000-000029540000}"/>
    <cellStyle name="Normal 22 3 3" xfId="2376" xr:uid="{00000000-0005-0000-0000-00002A540000}"/>
    <cellStyle name="Normal 22 3 3 2" xfId="4095" xr:uid="{00000000-0005-0000-0000-00002B540000}"/>
    <cellStyle name="Normal 22 3 3 2 2" xfId="8772" xr:uid="{00000000-0005-0000-0000-00002C540000}"/>
    <cellStyle name="Normal 22 3 3 2 2 2" xfId="18096" xr:uid="{00000000-0005-0000-0000-00002D540000}"/>
    <cellStyle name="Normal 22 3 3 2 2 3" xfId="27419" xr:uid="{00000000-0005-0000-0000-00002E540000}"/>
    <cellStyle name="Normal 22 3 3 2 3" xfId="13429" xr:uid="{00000000-0005-0000-0000-00002F540000}"/>
    <cellStyle name="Normal 22 3 3 2 4" xfId="22753" xr:uid="{00000000-0005-0000-0000-000030540000}"/>
    <cellStyle name="Normal 22 3 3 3" xfId="5807" xr:uid="{00000000-0005-0000-0000-000031540000}"/>
    <cellStyle name="Normal 22 3 3 3 2" xfId="15131" xr:uid="{00000000-0005-0000-0000-000032540000}"/>
    <cellStyle name="Normal 22 3 3 3 3" xfId="24454" xr:uid="{00000000-0005-0000-0000-000033540000}"/>
    <cellStyle name="Normal 22 3 3 4" xfId="11874" xr:uid="{00000000-0005-0000-0000-000034540000}"/>
    <cellStyle name="Normal 22 3 3 5" xfId="21200" xr:uid="{00000000-0005-0000-0000-000035540000}"/>
    <cellStyle name="Normal 22 3 4" xfId="4092" xr:uid="{00000000-0005-0000-0000-000036540000}"/>
    <cellStyle name="Normal 22 3 4 2" xfId="8769" xr:uid="{00000000-0005-0000-0000-000037540000}"/>
    <cellStyle name="Normal 22 3 4 2 2" xfId="18093" xr:uid="{00000000-0005-0000-0000-000038540000}"/>
    <cellStyle name="Normal 22 3 4 2 3" xfId="27416" xr:uid="{00000000-0005-0000-0000-000039540000}"/>
    <cellStyle name="Normal 22 3 4 3" xfId="13426" xr:uid="{00000000-0005-0000-0000-00003A540000}"/>
    <cellStyle name="Normal 22 3 4 4" xfId="22750" xr:uid="{00000000-0005-0000-0000-00003B540000}"/>
    <cellStyle name="Normal 22 3 5" xfId="5804" xr:uid="{00000000-0005-0000-0000-00003C540000}"/>
    <cellStyle name="Normal 22 3 5 2" xfId="15128" xr:uid="{00000000-0005-0000-0000-00003D540000}"/>
    <cellStyle name="Normal 22 3 5 3" xfId="24451" xr:uid="{00000000-0005-0000-0000-00003E540000}"/>
    <cellStyle name="Normal 22 3 6" xfId="11871" xr:uid="{00000000-0005-0000-0000-00003F540000}"/>
    <cellStyle name="Normal 22 3 7" xfId="21197" xr:uid="{00000000-0005-0000-0000-000040540000}"/>
    <cellStyle name="Normal 22 3 8" xfId="28800" xr:uid="{00000000-0005-0000-0000-000041540000}"/>
    <cellStyle name="Normal 22 4" xfId="2377" xr:uid="{00000000-0005-0000-0000-000042540000}"/>
    <cellStyle name="Normal 22 4 2" xfId="2378" xr:uid="{00000000-0005-0000-0000-000043540000}"/>
    <cellStyle name="Normal 22 4 2 2" xfId="4097" xr:uid="{00000000-0005-0000-0000-000044540000}"/>
    <cellStyle name="Normal 22 4 2 2 2" xfId="8774" xr:uid="{00000000-0005-0000-0000-000045540000}"/>
    <cellStyle name="Normal 22 4 2 2 2 2" xfId="18098" xr:uid="{00000000-0005-0000-0000-000046540000}"/>
    <cellStyle name="Normal 22 4 2 2 2 3" xfId="27421" xr:uid="{00000000-0005-0000-0000-000047540000}"/>
    <cellStyle name="Normal 22 4 2 2 3" xfId="13431" xr:uid="{00000000-0005-0000-0000-000048540000}"/>
    <cellStyle name="Normal 22 4 2 2 4" xfId="22755" xr:uid="{00000000-0005-0000-0000-000049540000}"/>
    <cellStyle name="Normal 22 4 2 3" xfId="5809" xr:uid="{00000000-0005-0000-0000-00004A540000}"/>
    <cellStyle name="Normal 22 4 2 3 2" xfId="15133" xr:uid="{00000000-0005-0000-0000-00004B540000}"/>
    <cellStyle name="Normal 22 4 2 3 3" xfId="24456" xr:uid="{00000000-0005-0000-0000-00004C540000}"/>
    <cellStyle name="Normal 22 4 2 4" xfId="11876" xr:uid="{00000000-0005-0000-0000-00004D540000}"/>
    <cellStyle name="Normal 22 4 2 5" xfId="21202" xr:uid="{00000000-0005-0000-0000-00004E540000}"/>
    <cellStyle name="Normal 22 4 3" xfId="4096" xr:uid="{00000000-0005-0000-0000-00004F540000}"/>
    <cellStyle name="Normal 22 4 3 2" xfId="8773" xr:uid="{00000000-0005-0000-0000-000050540000}"/>
    <cellStyle name="Normal 22 4 3 2 2" xfId="18097" xr:uid="{00000000-0005-0000-0000-000051540000}"/>
    <cellStyle name="Normal 22 4 3 2 3" xfId="27420" xr:uid="{00000000-0005-0000-0000-000052540000}"/>
    <cellStyle name="Normal 22 4 3 3" xfId="13430" xr:uid="{00000000-0005-0000-0000-000053540000}"/>
    <cellStyle name="Normal 22 4 3 4" xfId="22754" xr:uid="{00000000-0005-0000-0000-000054540000}"/>
    <cellStyle name="Normal 22 4 4" xfId="5808" xr:uid="{00000000-0005-0000-0000-000055540000}"/>
    <cellStyle name="Normal 22 4 4 2" xfId="15132" xr:uid="{00000000-0005-0000-0000-000056540000}"/>
    <cellStyle name="Normal 22 4 4 3" xfId="24455" xr:uid="{00000000-0005-0000-0000-000057540000}"/>
    <cellStyle name="Normal 22 4 5" xfId="11875" xr:uid="{00000000-0005-0000-0000-000058540000}"/>
    <cellStyle name="Normal 22 4 6" xfId="21201" xr:uid="{00000000-0005-0000-0000-000059540000}"/>
    <cellStyle name="Normal 22 5" xfId="2379" xr:uid="{00000000-0005-0000-0000-00005A540000}"/>
    <cellStyle name="Normal 22 5 2" xfId="4098" xr:uid="{00000000-0005-0000-0000-00005B540000}"/>
    <cellStyle name="Normal 22 5 2 2" xfId="8775" xr:uid="{00000000-0005-0000-0000-00005C540000}"/>
    <cellStyle name="Normal 22 5 2 2 2" xfId="18099" xr:uid="{00000000-0005-0000-0000-00005D540000}"/>
    <cellStyle name="Normal 22 5 2 2 3" xfId="27422" xr:uid="{00000000-0005-0000-0000-00005E540000}"/>
    <cellStyle name="Normal 22 5 2 3" xfId="13432" xr:uid="{00000000-0005-0000-0000-00005F540000}"/>
    <cellStyle name="Normal 22 5 2 4" xfId="22756" xr:uid="{00000000-0005-0000-0000-000060540000}"/>
    <cellStyle name="Normal 22 5 3" xfId="5810" xr:uid="{00000000-0005-0000-0000-000061540000}"/>
    <cellStyle name="Normal 22 5 3 2" xfId="15134" xr:uid="{00000000-0005-0000-0000-000062540000}"/>
    <cellStyle name="Normal 22 5 3 3" xfId="24457" xr:uid="{00000000-0005-0000-0000-000063540000}"/>
    <cellStyle name="Normal 22 5 4" xfId="11877" xr:uid="{00000000-0005-0000-0000-000064540000}"/>
    <cellStyle name="Normal 22 5 5" xfId="21203" xr:uid="{00000000-0005-0000-0000-000065540000}"/>
    <cellStyle name="Normal 22 6" xfId="2380" xr:uid="{00000000-0005-0000-0000-000066540000}"/>
    <cellStyle name="Normal 22 6 2" xfId="4099" xr:uid="{00000000-0005-0000-0000-000067540000}"/>
    <cellStyle name="Normal 22 6 2 2" xfId="8776" xr:uid="{00000000-0005-0000-0000-000068540000}"/>
    <cellStyle name="Normal 22 6 2 2 2" xfId="18100" xr:uid="{00000000-0005-0000-0000-000069540000}"/>
    <cellStyle name="Normal 22 6 2 2 3" xfId="27423" xr:uid="{00000000-0005-0000-0000-00006A540000}"/>
    <cellStyle name="Normal 22 6 2 3" xfId="13433" xr:uid="{00000000-0005-0000-0000-00006B540000}"/>
    <cellStyle name="Normal 22 6 2 4" xfId="22757" xr:uid="{00000000-0005-0000-0000-00006C540000}"/>
    <cellStyle name="Normal 22 6 3" xfId="5811" xr:uid="{00000000-0005-0000-0000-00006D540000}"/>
    <cellStyle name="Normal 22 6 3 2" xfId="15135" xr:uid="{00000000-0005-0000-0000-00006E540000}"/>
    <cellStyle name="Normal 22 6 3 3" xfId="24458" xr:uid="{00000000-0005-0000-0000-00006F540000}"/>
    <cellStyle name="Normal 22 6 4" xfId="11878" xr:uid="{00000000-0005-0000-0000-000070540000}"/>
    <cellStyle name="Normal 22 6 5" xfId="21204" xr:uid="{00000000-0005-0000-0000-000071540000}"/>
    <cellStyle name="Normal 22 7" xfId="2381" xr:uid="{00000000-0005-0000-0000-000072540000}"/>
    <cellStyle name="Normal 22 7 2" xfId="4100" xr:uid="{00000000-0005-0000-0000-000073540000}"/>
    <cellStyle name="Normal 22 7 2 2" xfId="8777" xr:uid="{00000000-0005-0000-0000-000074540000}"/>
    <cellStyle name="Normal 22 7 2 2 2" xfId="18101" xr:uid="{00000000-0005-0000-0000-000075540000}"/>
    <cellStyle name="Normal 22 7 2 2 3" xfId="27424" xr:uid="{00000000-0005-0000-0000-000076540000}"/>
    <cellStyle name="Normal 22 7 2 3" xfId="13434" xr:uid="{00000000-0005-0000-0000-000077540000}"/>
    <cellStyle name="Normal 22 7 2 4" xfId="22758" xr:uid="{00000000-0005-0000-0000-000078540000}"/>
    <cellStyle name="Normal 22 7 3" xfId="5812" xr:uid="{00000000-0005-0000-0000-000079540000}"/>
    <cellStyle name="Normal 22 7 3 2" xfId="15136" xr:uid="{00000000-0005-0000-0000-00007A540000}"/>
    <cellStyle name="Normal 22 7 3 3" xfId="24459" xr:uid="{00000000-0005-0000-0000-00007B540000}"/>
    <cellStyle name="Normal 22 7 4" xfId="11879" xr:uid="{00000000-0005-0000-0000-00007C540000}"/>
    <cellStyle name="Normal 22 7 5" xfId="21205" xr:uid="{00000000-0005-0000-0000-00007D540000}"/>
    <cellStyle name="Normal 22 8" xfId="2368" xr:uid="{00000000-0005-0000-0000-00007E540000}"/>
    <cellStyle name="Normal 22 8 2" xfId="4087" xr:uid="{00000000-0005-0000-0000-00007F540000}"/>
    <cellStyle name="Normal 22 8 2 2" xfId="8764" xr:uid="{00000000-0005-0000-0000-000080540000}"/>
    <cellStyle name="Normal 22 8 2 2 2" xfId="18088" xr:uid="{00000000-0005-0000-0000-000081540000}"/>
    <cellStyle name="Normal 22 8 2 2 3" xfId="27411" xr:uid="{00000000-0005-0000-0000-000082540000}"/>
    <cellStyle name="Normal 22 8 2 3" xfId="13421" xr:uid="{00000000-0005-0000-0000-000083540000}"/>
    <cellStyle name="Normal 22 8 2 4" xfId="22745" xr:uid="{00000000-0005-0000-0000-000084540000}"/>
    <cellStyle name="Normal 22 8 3" xfId="5799" xr:uid="{00000000-0005-0000-0000-000085540000}"/>
    <cellStyle name="Normal 22 8 3 2" xfId="15123" xr:uid="{00000000-0005-0000-0000-000086540000}"/>
    <cellStyle name="Normal 22 8 3 3" xfId="24446" xr:uid="{00000000-0005-0000-0000-000087540000}"/>
    <cellStyle name="Normal 22 8 4" xfId="11866" xr:uid="{00000000-0005-0000-0000-000088540000}"/>
    <cellStyle name="Normal 22 8 5" xfId="21192" xr:uid="{00000000-0005-0000-0000-000089540000}"/>
    <cellStyle name="Normal 22 9" xfId="3114" xr:uid="{00000000-0005-0000-0000-00008A540000}"/>
    <cellStyle name="Normal 22 9 2" xfId="7793" xr:uid="{00000000-0005-0000-0000-00008B540000}"/>
    <cellStyle name="Normal 22 9 2 2" xfId="17117" xr:uid="{00000000-0005-0000-0000-00008C540000}"/>
    <cellStyle name="Normal 22 9 2 3" xfId="26440" xr:uid="{00000000-0005-0000-0000-00008D540000}"/>
    <cellStyle name="Normal 22 9 3" xfId="12501" xr:uid="{00000000-0005-0000-0000-00008E540000}"/>
    <cellStyle name="Normal 22 9 4" xfId="21827" xr:uid="{00000000-0005-0000-0000-00008F540000}"/>
    <cellStyle name="Normal 23" xfId="1312" xr:uid="{00000000-0005-0000-0000-000090540000}"/>
    <cellStyle name="Normal 23 2" xfId="2383" xr:uid="{00000000-0005-0000-0000-000091540000}"/>
    <cellStyle name="Normal 23 2 2" xfId="2384" xr:uid="{00000000-0005-0000-0000-000092540000}"/>
    <cellStyle name="Normal 23 2 2 2" xfId="2385" xr:uid="{00000000-0005-0000-0000-000093540000}"/>
    <cellStyle name="Normal 23 2 2 2 2" xfId="4103" xr:uid="{00000000-0005-0000-0000-000094540000}"/>
    <cellStyle name="Normal 23 2 2 2 2 2" xfId="8780" xr:uid="{00000000-0005-0000-0000-000095540000}"/>
    <cellStyle name="Normal 23 2 2 2 2 2 2" xfId="18104" xr:uid="{00000000-0005-0000-0000-000096540000}"/>
    <cellStyle name="Normal 23 2 2 2 2 2 3" xfId="27427" xr:uid="{00000000-0005-0000-0000-000097540000}"/>
    <cellStyle name="Normal 23 2 2 2 2 3" xfId="13437" xr:uid="{00000000-0005-0000-0000-000098540000}"/>
    <cellStyle name="Normal 23 2 2 2 2 4" xfId="22761" xr:uid="{00000000-0005-0000-0000-000099540000}"/>
    <cellStyle name="Normal 23 2 2 2 3" xfId="5816" xr:uid="{00000000-0005-0000-0000-00009A540000}"/>
    <cellStyle name="Normal 23 2 2 2 3 2" xfId="15140" xr:uid="{00000000-0005-0000-0000-00009B540000}"/>
    <cellStyle name="Normal 23 2 2 2 3 3" xfId="24463" xr:uid="{00000000-0005-0000-0000-00009C540000}"/>
    <cellStyle name="Normal 23 2 2 2 4" xfId="11882" xr:uid="{00000000-0005-0000-0000-00009D540000}"/>
    <cellStyle name="Normal 23 2 2 2 5" xfId="21208" xr:uid="{00000000-0005-0000-0000-00009E540000}"/>
    <cellStyle name="Normal 23 2 2 3" xfId="4102" xr:uid="{00000000-0005-0000-0000-00009F540000}"/>
    <cellStyle name="Normal 23 2 2 3 2" xfId="8779" xr:uid="{00000000-0005-0000-0000-0000A0540000}"/>
    <cellStyle name="Normal 23 2 2 3 2 2" xfId="18103" xr:uid="{00000000-0005-0000-0000-0000A1540000}"/>
    <cellStyle name="Normal 23 2 2 3 2 3" xfId="27426" xr:uid="{00000000-0005-0000-0000-0000A2540000}"/>
    <cellStyle name="Normal 23 2 2 3 3" xfId="13436" xr:uid="{00000000-0005-0000-0000-0000A3540000}"/>
    <cellStyle name="Normal 23 2 2 3 4" xfId="22760" xr:uid="{00000000-0005-0000-0000-0000A4540000}"/>
    <cellStyle name="Normal 23 2 2 4" xfId="5815" xr:uid="{00000000-0005-0000-0000-0000A5540000}"/>
    <cellStyle name="Normal 23 2 2 4 2" xfId="15139" xr:uid="{00000000-0005-0000-0000-0000A6540000}"/>
    <cellStyle name="Normal 23 2 2 4 3" xfId="24462" xr:uid="{00000000-0005-0000-0000-0000A7540000}"/>
    <cellStyle name="Normal 23 2 2 5" xfId="11881" xr:uid="{00000000-0005-0000-0000-0000A8540000}"/>
    <cellStyle name="Normal 23 2 2 6" xfId="21207" xr:uid="{00000000-0005-0000-0000-0000A9540000}"/>
    <cellStyle name="Normal 23 2 3" xfId="2386" xr:uid="{00000000-0005-0000-0000-0000AA540000}"/>
    <cellStyle name="Normal 23 2 3 2" xfId="4104" xr:uid="{00000000-0005-0000-0000-0000AB540000}"/>
    <cellStyle name="Normal 23 2 3 2 2" xfId="8781" xr:uid="{00000000-0005-0000-0000-0000AC540000}"/>
    <cellStyle name="Normal 23 2 3 2 2 2" xfId="18105" xr:uid="{00000000-0005-0000-0000-0000AD540000}"/>
    <cellStyle name="Normal 23 2 3 2 2 3" xfId="27428" xr:uid="{00000000-0005-0000-0000-0000AE540000}"/>
    <cellStyle name="Normal 23 2 3 2 3" xfId="13438" xr:uid="{00000000-0005-0000-0000-0000AF540000}"/>
    <cellStyle name="Normal 23 2 3 2 4" xfId="22762" xr:uid="{00000000-0005-0000-0000-0000B0540000}"/>
    <cellStyle name="Normal 23 2 3 3" xfId="5817" xr:uid="{00000000-0005-0000-0000-0000B1540000}"/>
    <cellStyle name="Normal 23 2 3 3 2" xfId="15141" xr:uid="{00000000-0005-0000-0000-0000B2540000}"/>
    <cellStyle name="Normal 23 2 3 3 3" xfId="24464" xr:uid="{00000000-0005-0000-0000-0000B3540000}"/>
    <cellStyle name="Normal 23 2 3 4" xfId="11883" xr:uid="{00000000-0005-0000-0000-0000B4540000}"/>
    <cellStyle name="Normal 23 2 3 5" xfId="21209" xr:uid="{00000000-0005-0000-0000-0000B5540000}"/>
    <cellStyle name="Normal 23 2 4" xfId="4101" xr:uid="{00000000-0005-0000-0000-0000B6540000}"/>
    <cellStyle name="Normal 23 2 4 2" xfId="8778" xr:uid="{00000000-0005-0000-0000-0000B7540000}"/>
    <cellStyle name="Normal 23 2 4 2 2" xfId="18102" xr:uid="{00000000-0005-0000-0000-0000B8540000}"/>
    <cellStyle name="Normal 23 2 4 2 3" xfId="27425" xr:uid="{00000000-0005-0000-0000-0000B9540000}"/>
    <cellStyle name="Normal 23 2 4 3" xfId="13435" xr:uid="{00000000-0005-0000-0000-0000BA540000}"/>
    <cellStyle name="Normal 23 2 4 4" xfId="22759" xr:uid="{00000000-0005-0000-0000-0000BB540000}"/>
    <cellStyle name="Normal 23 2 5" xfId="5814" xr:uid="{00000000-0005-0000-0000-0000BC540000}"/>
    <cellStyle name="Normal 23 2 5 2" xfId="15138" xr:uid="{00000000-0005-0000-0000-0000BD540000}"/>
    <cellStyle name="Normal 23 2 5 3" xfId="24461" xr:uid="{00000000-0005-0000-0000-0000BE540000}"/>
    <cellStyle name="Normal 23 2 6" xfId="11880" xr:uid="{00000000-0005-0000-0000-0000BF540000}"/>
    <cellStyle name="Normal 23 2 7" xfId="21206" xr:uid="{00000000-0005-0000-0000-0000C0540000}"/>
    <cellStyle name="Normal 23 2 8" xfId="28886" xr:uid="{00000000-0005-0000-0000-0000C1540000}"/>
    <cellStyle name="Normal 23 3" xfId="2387" xr:uid="{00000000-0005-0000-0000-0000C2540000}"/>
    <cellStyle name="Normal 23 3 2" xfId="2388" xr:uid="{00000000-0005-0000-0000-0000C3540000}"/>
    <cellStyle name="Normal 23 3 2 2" xfId="2389" xr:uid="{00000000-0005-0000-0000-0000C4540000}"/>
    <cellStyle name="Normal 23 3 2 2 2" xfId="4107" xr:uid="{00000000-0005-0000-0000-0000C5540000}"/>
    <cellStyle name="Normal 23 3 2 2 2 2" xfId="8784" xr:uid="{00000000-0005-0000-0000-0000C6540000}"/>
    <cellStyle name="Normal 23 3 2 2 2 2 2" xfId="18108" xr:uid="{00000000-0005-0000-0000-0000C7540000}"/>
    <cellStyle name="Normal 23 3 2 2 2 2 3" xfId="27431" xr:uid="{00000000-0005-0000-0000-0000C8540000}"/>
    <cellStyle name="Normal 23 3 2 2 2 3" xfId="13441" xr:uid="{00000000-0005-0000-0000-0000C9540000}"/>
    <cellStyle name="Normal 23 3 2 2 2 4" xfId="22765" xr:uid="{00000000-0005-0000-0000-0000CA540000}"/>
    <cellStyle name="Normal 23 3 2 2 3" xfId="5820" xr:uid="{00000000-0005-0000-0000-0000CB540000}"/>
    <cellStyle name="Normal 23 3 2 2 3 2" xfId="15144" xr:uid="{00000000-0005-0000-0000-0000CC540000}"/>
    <cellStyle name="Normal 23 3 2 2 3 3" xfId="24467" xr:uid="{00000000-0005-0000-0000-0000CD540000}"/>
    <cellStyle name="Normal 23 3 2 2 4" xfId="11886" xr:uid="{00000000-0005-0000-0000-0000CE540000}"/>
    <cellStyle name="Normal 23 3 2 2 5" xfId="21212" xr:uid="{00000000-0005-0000-0000-0000CF540000}"/>
    <cellStyle name="Normal 23 3 2 3" xfId="4106" xr:uid="{00000000-0005-0000-0000-0000D0540000}"/>
    <cellStyle name="Normal 23 3 2 3 2" xfId="8783" xr:uid="{00000000-0005-0000-0000-0000D1540000}"/>
    <cellStyle name="Normal 23 3 2 3 2 2" xfId="18107" xr:uid="{00000000-0005-0000-0000-0000D2540000}"/>
    <cellStyle name="Normal 23 3 2 3 2 3" xfId="27430" xr:uid="{00000000-0005-0000-0000-0000D3540000}"/>
    <cellStyle name="Normal 23 3 2 3 3" xfId="13440" xr:uid="{00000000-0005-0000-0000-0000D4540000}"/>
    <cellStyle name="Normal 23 3 2 3 4" xfId="22764" xr:uid="{00000000-0005-0000-0000-0000D5540000}"/>
    <cellStyle name="Normal 23 3 2 4" xfId="5819" xr:uid="{00000000-0005-0000-0000-0000D6540000}"/>
    <cellStyle name="Normal 23 3 2 4 2" xfId="15143" xr:uid="{00000000-0005-0000-0000-0000D7540000}"/>
    <cellStyle name="Normal 23 3 2 4 3" xfId="24466" xr:uid="{00000000-0005-0000-0000-0000D8540000}"/>
    <cellStyle name="Normal 23 3 2 5" xfId="11885" xr:uid="{00000000-0005-0000-0000-0000D9540000}"/>
    <cellStyle name="Normal 23 3 2 6" xfId="21211" xr:uid="{00000000-0005-0000-0000-0000DA540000}"/>
    <cellStyle name="Normal 23 3 3" xfId="2390" xr:uid="{00000000-0005-0000-0000-0000DB540000}"/>
    <cellStyle name="Normal 23 3 3 2" xfId="4108" xr:uid="{00000000-0005-0000-0000-0000DC540000}"/>
    <cellStyle name="Normal 23 3 3 2 2" xfId="8785" xr:uid="{00000000-0005-0000-0000-0000DD540000}"/>
    <cellStyle name="Normal 23 3 3 2 2 2" xfId="18109" xr:uid="{00000000-0005-0000-0000-0000DE540000}"/>
    <cellStyle name="Normal 23 3 3 2 2 3" xfId="27432" xr:uid="{00000000-0005-0000-0000-0000DF540000}"/>
    <cellStyle name="Normal 23 3 3 2 3" xfId="13442" xr:uid="{00000000-0005-0000-0000-0000E0540000}"/>
    <cellStyle name="Normal 23 3 3 2 4" xfId="22766" xr:uid="{00000000-0005-0000-0000-0000E1540000}"/>
    <cellStyle name="Normal 23 3 3 3" xfId="5821" xr:uid="{00000000-0005-0000-0000-0000E2540000}"/>
    <cellStyle name="Normal 23 3 3 3 2" xfId="15145" xr:uid="{00000000-0005-0000-0000-0000E3540000}"/>
    <cellStyle name="Normal 23 3 3 3 3" xfId="24468" xr:uid="{00000000-0005-0000-0000-0000E4540000}"/>
    <cellStyle name="Normal 23 3 3 4" xfId="11887" xr:uid="{00000000-0005-0000-0000-0000E5540000}"/>
    <cellStyle name="Normal 23 3 3 5" xfId="21213" xr:uid="{00000000-0005-0000-0000-0000E6540000}"/>
    <cellStyle name="Normal 23 3 4" xfId="4105" xr:uid="{00000000-0005-0000-0000-0000E7540000}"/>
    <cellStyle name="Normal 23 3 4 2" xfId="8782" xr:uid="{00000000-0005-0000-0000-0000E8540000}"/>
    <cellStyle name="Normal 23 3 4 2 2" xfId="18106" xr:uid="{00000000-0005-0000-0000-0000E9540000}"/>
    <cellStyle name="Normal 23 3 4 2 3" xfId="27429" xr:uid="{00000000-0005-0000-0000-0000EA540000}"/>
    <cellStyle name="Normal 23 3 4 3" xfId="13439" xr:uid="{00000000-0005-0000-0000-0000EB540000}"/>
    <cellStyle name="Normal 23 3 4 4" xfId="22763" xr:uid="{00000000-0005-0000-0000-0000EC540000}"/>
    <cellStyle name="Normal 23 3 5" xfId="5818" xr:uid="{00000000-0005-0000-0000-0000ED540000}"/>
    <cellStyle name="Normal 23 3 5 2" xfId="15142" xr:uid="{00000000-0005-0000-0000-0000EE540000}"/>
    <cellStyle name="Normal 23 3 5 3" xfId="24465" xr:uid="{00000000-0005-0000-0000-0000EF540000}"/>
    <cellStyle name="Normal 23 3 6" xfId="11884" xr:uid="{00000000-0005-0000-0000-0000F0540000}"/>
    <cellStyle name="Normal 23 3 7" xfId="21210" xr:uid="{00000000-0005-0000-0000-0000F1540000}"/>
    <cellStyle name="Normal 23 3 8" xfId="28801" xr:uid="{00000000-0005-0000-0000-0000F2540000}"/>
    <cellStyle name="Normal 23 4" xfId="2391" xr:uid="{00000000-0005-0000-0000-0000F3540000}"/>
    <cellStyle name="Normal 23 4 2" xfId="2392" xr:uid="{00000000-0005-0000-0000-0000F4540000}"/>
    <cellStyle name="Normal 23 4 2 2" xfId="4109" xr:uid="{00000000-0005-0000-0000-0000F5540000}"/>
    <cellStyle name="Normal 23 4 2 2 2" xfId="8786" xr:uid="{00000000-0005-0000-0000-0000F6540000}"/>
    <cellStyle name="Normal 23 4 2 2 2 2" xfId="18110" xr:uid="{00000000-0005-0000-0000-0000F7540000}"/>
    <cellStyle name="Normal 23 4 2 2 2 3" xfId="27433" xr:uid="{00000000-0005-0000-0000-0000F8540000}"/>
    <cellStyle name="Normal 23 4 2 2 3" xfId="13443" xr:uid="{00000000-0005-0000-0000-0000F9540000}"/>
    <cellStyle name="Normal 23 4 2 2 4" xfId="22767" xr:uid="{00000000-0005-0000-0000-0000FA540000}"/>
    <cellStyle name="Normal 23 4 2 3" xfId="5823" xr:uid="{00000000-0005-0000-0000-0000FB540000}"/>
    <cellStyle name="Normal 23 4 2 3 2" xfId="15147" xr:uid="{00000000-0005-0000-0000-0000FC540000}"/>
    <cellStyle name="Normal 23 4 2 3 3" xfId="24470" xr:uid="{00000000-0005-0000-0000-0000FD540000}"/>
    <cellStyle name="Normal 23 4 2 4" xfId="11888" xr:uid="{00000000-0005-0000-0000-0000FE540000}"/>
    <cellStyle name="Normal 23 4 2 5" xfId="21214" xr:uid="{00000000-0005-0000-0000-0000FF540000}"/>
    <cellStyle name="Normal 23 4 3" xfId="2393" xr:uid="{00000000-0005-0000-0000-000000550000}"/>
    <cellStyle name="Normal 23 5" xfId="2394" xr:uid="{00000000-0005-0000-0000-000001550000}"/>
    <cellStyle name="Normal 23 5 2" xfId="4110" xr:uid="{00000000-0005-0000-0000-000002550000}"/>
    <cellStyle name="Normal 23 5 2 2" xfId="8787" xr:uid="{00000000-0005-0000-0000-000003550000}"/>
    <cellStyle name="Normal 23 5 2 2 2" xfId="18111" xr:uid="{00000000-0005-0000-0000-000004550000}"/>
    <cellStyle name="Normal 23 5 2 2 3" xfId="27434" xr:uid="{00000000-0005-0000-0000-000005550000}"/>
    <cellStyle name="Normal 23 5 2 3" xfId="13444" xr:uid="{00000000-0005-0000-0000-000006550000}"/>
    <cellStyle name="Normal 23 5 2 4" xfId="22768" xr:uid="{00000000-0005-0000-0000-000007550000}"/>
    <cellStyle name="Normal 23 5 3" xfId="5824" xr:uid="{00000000-0005-0000-0000-000008550000}"/>
    <cellStyle name="Normal 23 5 3 2" xfId="15148" xr:uid="{00000000-0005-0000-0000-000009550000}"/>
    <cellStyle name="Normal 23 5 3 3" xfId="24471" xr:uid="{00000000-0005-0000-0000-00000A550000}"/>
    <cellStyle name="Normal 23 5 4" xfId="11889" xr:uid="{00000000-0005-0000-0000-00000B550000}"/>
    <cellStyle name="Normal 23 5 5" xfId="21215" xr:uid="{00000000-0005-0000-0000-00000C550000}"/>
    <cellStyle name="Normal 23 6" xfId="2395" xr:uid="{00000000-0005-0000-0000-00000D550000}"/>
    <cellStyle name="Normal 23 7" xfId="2382" xr:uid="{00000000-0005-0000-0000-00000E550000}"/>
    <cellStyle name="Normal 23 8" xfId="28748" xr:uid="{00000000-0005-0000-0000-00000F550000}"/>
    <cellStyle name="Normal 24" xfId="1313" xr:uid="{00000000-0005-0000-0000-000010550000}"/>
    <cellStyle name="Normal 24 2" xfId="2397" xr:uid="{00000000-0005-0000-0000-000011550000}"/>
    <cellStyle name="Normal 24 2 2" xfId="2398" xr:uid="{00000000-0005-0000-0000-000012550000}"/>
    <cellStyle name="Normal 24 2 2 2" xfId="2399" xr:uid="{00000000-0005-0000-0000-000013550000}"/>
    <cellStyle name="Normal 24 2 2 2 2" xfId="4113" xr:uid="{00000000-0005-0000-0000-000014550000}"/>
    <cellStyle name="Normal 24 2 2 2 2 2" xfId="8790" xr:uid="{00000000-0005-0000-0000-000015550000}"/>
    <cellStyle name="Normal 24 2 2 2 2 2 2" xfId="18114" xr:uid="{00000000-0005-0000-0000-000016550000}"/>
    <cellStyle name="Normal 24 2 2 2 2 2 3" xfId="27437" xr:uid="{00000000-0005-0000-0000-000017550000}"/>
    <cellStyle name="Normal 24 2 2 2 2 3" xfId="13447" xr:uid="{00000000-0005-0000-0000-000018550000}"/>
    <cellStyle name="Normal 24 2 2 2 2 4" xfId="22771" xr:uid="{00000000-0005-0000-0000-000019550000}"/>
    <cellStyle name="Normal 24 2 2 2 3" xfId="5829" xr:uid="{00000000-0005-0000-0000-00001A550000}"/>
    <cellStyle name="Normal 24 2 2 2 3 2" xfId="15153" xr:uid="{00000000-0005-0000-0000-00001B550000}"/>
    <cellStyle name="Normal 24 2 2 2 3 3" xfId="24476" xr:uid="{00000000-0005-0000-0000-00001C550000}"/>
    <cellStyle name="Normal 24 2 2 2 4" xfId="11892" xr:uid="{00000000-0005-0000-0000-00001D550000}"/>
    <cellStyle name="Normal 24 2 2 2 5" xfId="21218" xr:uid="{00000000-0005-0000-0000-00001E550000}"/>
    <cellStyle name="Normal 24 2 2 3" xfId="4112" xr:uid="{00000000-0005-0000-0000-00001F550000}"/>
    <cellStyle name="Normal 24 2 2 3 2" xfId="8789" xr:uid="{00000000-0005-0000-0000-000020550000}"/>
    <cellStyle name="Normal 24 2 2 3 2 2" xfId="18113" xr:uid="{00000000-0005-0000-0000-000021550000}"/>
    <cellStyle name="Normal 24 2 2 3 2 3" xfId="27436" xr:uid="{00000000-0005-0000-0000-000022550000}"/>
    <cellStyle name="Normal 24 2 2 3 3" xfId="13446" xr:uid="{00000000-0005-0000-0000-000023550000}"/>
    <cellStyle name="Normal 24 2 2 3 4" xfId="22770" xr:uid="{00000000-0005-0000-0000-000024550000}"/>
    <cellStyle name="Normal 24 2 2 4" xfId="5828" xr:uid="{00000000-0005-0000-0000-000025550000}"/>
    <cellStyle name="Normal 24 2 2 4 2" xfId="15152" xr:uid="{00000000-0005-0000-0000-000026550000}"/>
    <cellStyle name="Normal 24 2 2 4 3" xfId="24475" xr:uid="{00000000-0005-0000-0000-000027550000}"/>
    <cellStyle name="Normal 24 2 2 5" xfId="11891" xr:uid="{00000000-0005-0000-0000-000028550000}"/>
    <cellStyle name="Normal 24 2 2 6" xfId="21217" xr:uid="{00000000-0005-0000-0000-000029550000}"/>
    <cellStyle name="Normal 24 2 3" xfId="2400" xr:uid="{00000000-0005-0000-0000-00002A550000}"/>
    <cellStyle name="Normal 24 2 3 2" xfId="4114" xr:uid="{00000000-0005-0000-0000-00002B550000}"/>
    <cellStyle name="Normal 24 2 3 2 2" xfId="8791" xr:uid="{00000000-0005-0000-0000-00002C550000}"/>
    <cellStyle name="Normal 24 2 3 2 2 2" xfId="18115" xr:uid="{00000000-0005-0000-0000-00002D550000}"/>
    <cellStyle name="Normal 24 2 3 2 2 3" xfId="27438" xr:uid="{00000000-0005-0000-0000-00002E550000}"/>
    <cellStyle name="Normal 24 2 3 2 3" xfId="13448" xr:uid="{00000000-0005-0000-0000-00002F550000}"/>
    <cellStyle name="Normal 24 2 3 2 4" xfId="22772" xr:uid="{00000000-0005-0000-0000-000030550000}"/>
    <cellStyle name="Normal 24 2 3 3" xfId="5830" xr:uid="{00000000-0005-0000-0000-000031550000}"/>
    <cellStyle name="Normal 24 2 3 3 2" xfId="15154" xr:uid="{00000000-0005-0000-0000-000032550000}"/>
    <cellStyle name="Normal 24 2 3 3 3" xfId="24477" xr:uid="{00000000-0005-0000-0000-000033550000}"/>
    <cellStyle name="Normal 24 2 3 4" xfId="11893" xr:uid="{00000000-0005-0000-0000-000034550000}"/>
    <cellStyle name="Normal 24 2 3 5" xfId="21219" xr:uid="{00000000-0005-0000-0000-000035550000}"/>
    <cellStyle name="Normal 24 2 4" xfId="4111" xr:uid="{00000000-0005-0000-0000-000036550000}"/>
    <cellStyle name="Normal 24 2 4 2" xfId="8788" xr:uid="{00000000-0005-0000-0000-000037550000}"/>
    <cellStyle name="Normal 24 2 4 2 2" xfId="18112" xr:uid="{00000000-0005-0000-0000-000038550000}"/>
    <cellStyle name="Normal 24 2 4 2 3" xfId="27435" xr:uid="{00000000-0005-0000-0000-000039550000}"/>
    <cellStyle name="Normal 24 2 4 3" xfId="13445" xr:uid="{00000000-0005-0000-0000-00003A550000}"/>
    <cellStyle name="Normal 24 2 4 4" xfId="22769" xr:uid="{00000000-0005-0000-0000-00003B550000}"/>
    <cellStyle name="Normal 24 2 5" xfId="5827" xr:uid="{00000000-0005-0000-0000-00003C550000}"/>
    <cellStyle name="Normal 24 2 5 2" xfId="15151" xr:uid="{00000000-0005-0000-0000-00003D550000}"/>
    <cellStyle name="Normal 24 2 5 3" xfId="24474" xr:uid="{00000000-0005-0000-0000-00003E550000}"/>
    <cellStyle name="Normal 24 2 6" xfId="11890" xr:uid="{00000000-0005-0000-0000-00003F550000}"/>
    <cellStyle name="Normal 24 2 7" xfId="21216" xr:uid="{00000000-0005-0000-0000-000040550000}"/>
    <cellStyle name="Normal 24 2 8" xfId="28887" xr:uid="{00000000-0005-0000-0000-000041550000}"/>
    <cellStyle name="Normal 24 3" xfId="2401" xr:uid="{00000000-0005-0000-0000-000042550000}"/>
    <cellStyle name="Normal 24 3 2" xfId="2402" xr:uid="{00000000-0005-0000-0000-000043550000}"/>
    <cellStyle name="Normal 24 3 2 2" xfId="2403" xr:uid="{00000000-0005-0000-0000-000044550000}"/>
    <cellStyle name="Normal 24 3 2 2 2" xfId="4117" xr:uid="{00000000-0005-0000-0000-000045550000}"/>
    <cellStyle name="Normal 24 3 2 2 2 2" xfId="8794" xr:uid="{00000000-0005-0000-0000-000046550000}"/>
    <cellStyle name="Normal 24 3 2 2 2 2 2" xfId="18118" xr:uid="{00000000-0005-0000-0000-000047550000}"/>
    <cellStyle name="Normal 24 3 2 2 2 2 3" xfId="27441" xr:uid="{00000000-0005-0000-0000-000048550000}"/>
    <cellStyle name="Normal 24 3 2 2 2 3" xfId="13451" xr:uid="{00000000-0005-0000-0000-000049550000}"/>
    <cellStyle name="Normal 24 3 2 2 2 4" xfId="22775" xr:uid="{00000000-0005-0000-0000-00004A550000}"/>
    <cellStyle name="Normal 24 3 2 2 3" xfId="5833" xr:uid="{00000000-0005-0000-0000-00004B550000}"/>
    <cellStyle name="Normal 24 3 2 2 3 2" xfId="15157" xr:uid="{00000000-0005-0000-0000-00004C550000}"/>
    <cellStyle name="Normal 24 3 2 2 3 3" xfId="24480" xr:uid="{00000000-0005-0000-0000-00004D550000}"/>
    <cellStyle name="Normal 24 3 2 2 4" xfId="11896" xr:uid="{00000000-0005-0000-0000-00004E550000}"/>
    <cellStyle name="Normal 24 3 2 2 5" xfId="21222" xr:uid="{00000000-0005-0000-0000-00004F550000}"/>
    <cellStyle name="Normal 24 3 2 3" xfId="4116" xr:uid="{00000000-0005-0000-0000-000050550000}"/>
    <cellStyle name="Normal 24 3 2 3 2" xfId="8793" xr:uid="{00000000-0005-0000-0000-000051550000}"/>
    <cellStyle name="Normal 24 3 2 3 2 2" xfId="18117" xr:uid="{00000000-0005-0000-0000-000052550000}"/>
    <cellStyle name="Normal 24 3 2 3 2 3" xfId="27440" xr:uid="{00000000-0005-0000-0000-000053550000}"/>
    <cellStyle name="Normal 24 3 2 3 3" xfId="13450" xr:uid="{00000000-0005-0000-0000-000054550000}"/>
    <cellStyle name="Normal 24 3 2 3 4" xfId="22774" xr:uid="{00000000-0005-0000-0000-000055550000}"/>
    <cellStyle name="Normal 24 3 2 4" xfId="5832" xr:uid="{00000000-0005-0000-0000-000056550000}"/>
    <cellStyle name="Normal 24 3 2 4 2" xfId="15156" xr:uid="{00000000-0005-0000-0000-000057550000}"/>
    <cellStyle name="Normal 24 3 2 4 3" xfId="24479" xr:uid="{00000000-0005-0000-0000-000058550000}"/>
    <cellStyle name="Normal 24 3 2 5" xfId="11895" xr:uid="{00000000-0005-0000-0000-000059550000}"/>
    <cellStyle name="Normal 24 3 2 6" xfId="21221" xr:uid="{00000000-0005-0000-0000-00005A550000}"/>
    <cellStyle name="Normal 24 3 3" xfId="2404" xr:uid="{00000000-0005-0000-0000-00005B550000}"/>
    <cellStyle name="Normal 24 3 3 2" xfId="4118" xr:uid="{00000000-0005-0000-0000-00005C550000}"/>
    <cellStyle name="Normal 24 3 3 2 2" xfId="8795" xr:uid="{00000000-0005-0000-0000-00005D550000}"/>
    <cellStyle name="Normal 24 3 3 2 2 2" xfId="18119" xr:uid="{00000000-0005-0000-0000-00005E550000}"/>
    <cellStyle name="Normal 24 3 3 2 2 3" xfId="27442" xr:uid="{00000000-0005-0000-0000-00005F550000}"/>
    <cellStyle name="Normal 24 3 3 2 3" xfId="13452" xr:uid="{00000000-0005-0000-0000-000060550000}"/>
    <cellStyle name="Normal 24 3 3 2 4" xfId="22776" xr:uid="{00000000-0005-0000-0000-000061550000}"/>
    <cellStyle name="Normal 24 3 3 3" xfId="5834" xr:uid="{00000000-0005-0000-0000-000062550000}"/>
    <cellStyle name="Normal 24 3 3 3 2" xfId="15158" xr:uid="{00000000-0005-0000-0000-000063550000}"/>
    <cellStyle name="Normal 24 3 3 3 3" xfId="24481" xr:uid="{00000000-0005-0000-0000-000064550000}"/>
    <cellStyle name="Normal 24 3 3 4" xfId="11897" xr:uid="{00000000-0005-0000-0000-000065550000}"/>
    <cellStyle name="Normal 24 3 3 5" xfId="21223" xr:uid="{00000000-0005-0000-0000-000066550000}"/>
    <cellStyle name="Normal 24 3 4" xfId="4115" xr:uid="{00000000-0005-0000-0000-000067550000}"/>
    <cellStyle name="Normal 24 3 4 2" xfId="8792" xr:uid="{00000000-0005-0000-0000-000068550000}"/>
    <cellStyle name="Normal 24 3 4 2 2" xfId="18116" xr:uid="{00000000-0005-0000-0000-000069550000}"/>
    <cellStyle name="Normal 24 3 4 2 3" xfId="27439" xr:uid="{00000000-0005-0000-0000-00006A550000}"/>
    <cellStyle name="Normal 24 3 4 3" xfId="13449" xr:uid="{00000000-0005-0000-0000-00006B550000}"/>
    <cellStyle name="Normal 24 3 4 4" xfId="22773" xr:uid="{00000000-0005-0000-0000-00006C550000}"/>
    <cellStyle name="Normal 24 3 5" xfId="5831" xr:uid="{00000000-0005-0000-0000-00006D550000}"/>
    <cellStyle name="Normal 24 3 5 2" xfId="15155" xr:uid="{00000000-0005-0000-0000-00006E550000}"/>
    <cellStyle name="Normal 24 3 5 3" xfId="24478" xr:uid="{00000000-0005-0000-0000-00006F550000}"/>
    <cellStyle name="Normal 24 3 6" xfId="11894" xr:uid="{00000000-0005-0000-0000-000070550000}"/>
    <cellStyle name="Normal 24 3 7" xfId="21220" xr:uid="{00000000-0005-0000-0000-000071550000}"/>
    <cellStyle name="Normal 24 3 8" xfId="28802" xr:uid="{00000000-0005-0000-0000-000072550000}"/>
    <cellStyle name="Normal 24 4" xfId="2405" xr:uid="{00000000-0005-0000-0000-000073550000}"/>
    <cellStyle name="Normal 24 4 2" xfId="2406" xr:uid="{00000000-0005-0000-0000-000074550000}"/>
    <cellStyle name="Normal 24 4 2 2" xfId="4119" xr:uid="{00000000-0005-0000-0000-000075550000}"/>
    <cellStyle name="Normal 24 4 2 2 2" xfId="8796" xr:uid="{00000000-0005-0000-0000-000076550000}"/>
    <cellStyle name="Normal 24 4 2 2 2 2" xfId="18120" xr:uid="{00000000-0005-0000-0000-000077550000}"/>
    <cellStyle name="Normal 24 4 2 2 2 3" xfId="27443" xr:uid="{00000000-0005-0000-0000-000078550000}"/>
    <cellStyle name="Normal 24 4 2 2 3" xfId="13453" xr:uid="{00000000-0005-0000-0000-000079550000}"/>
    <cellStyle name="Normal 24 4 2 2 4" xfId="22777" xr:uid="{00000000-0005-0000-0000-00007A550000}"/>
    <cellStyle name="Normal 24 4 2 3" xfId="5836" xr:uid="{00000000-0005-0000-0000-00007B550000}"/>
    <cellStyle name="Normal 24 4 2 3 2" xfId="15160" xr:uid="{00000000-0005-0000-0000-00007C550000}"/>
    <cellStyle name="Normal 24 4 2 3 3" xfId="24483" xr:uid="{00000000-0005-0000-0000-00007D550000}"/>
    <cellStyle name="Normal 24 4 2 4" xfId="11898" xr:uid="{00000000-0005-0000-0000-00007E550000}"/>
    <cellStyle name="Normal 24 4 2 5" xfId="21224" xr:uid="{00000000-0005-0000-0000-00007F550000}"/>
    <cellStyle name="Normal 24 4 3" xfId="2407" xr:uid="{00000000-0005-0000-0000-000080550000}"/>
    <cellStyle name="Normal 24 5" xfId="2408" xr:uid="{00000000-0005-0000-0000-000081550000}"/>
    <cellStyle name="Normal 24 5 2" xfId="4120" xr:uid="{00000000-0005-0000-0000-000082550000}"/>
    <cellStyle name="Normal 24 5 2 2" xfId="8797" xr:uid="{00000000-0005-0000-0000-000083550000}"/>
    <cellStyle name="Normal 24 5 2 2 2" xfId="18121" xr:uid="{00000000-0005-0000-0000-000084550000}"/>
    <cellStyle name="Normal 24 5 2 2 3" xfId="27444" xr:uid="{00000000-0005-0000-0000-000085550000}"/>
    <cellStyle name="Normal 24 5 2 3" xfId="13454" xr:uid="{00000000-0005-0000-0000-000086550000}"/>
    <cellStyle name="Normal 24 5 2 4" xfId="22778" xr:uid="{00000000-0005-0000-0000-000087550000}"/>
    <cellStyle name="Normal 24 5 3" xfId="5838" xr:uid="{00000000-0005-0000-0000-000088550000}"/>
    <cellStyle name="Normal 24 5 3 2" xfId="15162" xr:uid="{00000000-0005-0000-0000-000089550000}"/>
    <cellStyle name="Normal 24 5 3 3" xfId="24485" xr:uid="{00000000-0005-0000-0000-00008A550000}"/>
    <cellStyle name="Normal 24 5 4" xfId="11899" xr:uid="{00000000-0005-0000-0000-00008B550000}"/>
    <cellStyle name="Normal 24 5 5" xfId="21225" xr:uid="{00000000-0005-0000-0000-00008C550000}"/>
    <cellStyle name="Normal 24 6" xfId="2409" xr:uid="{00000000-0005-0000-0000-00008D550000}"/>
    <cellStyle name="Normal 24 7" xfId="2396" xr:uid="{00000000-0005-0000-0000-00008E550000}"/>
    <cellStyle name="Normal 24 8" xfId="28749" xr:uid="{00000000-0005-0000-0000-00008F550000}"/>
    <cellStyle name="Normal 25" xfId="1314" xr:uid="{00000000-0005-0000-0000-000090550000}"/>
    <cellStyle name="Normal 25 2" xfId="2411" xr:uid="{00000000-0005-0000-0000-000091550000}"/>
    <cellStyle name="Normal 25 2 2" xfId="2412" xr:uid="{00000000-0005-0000-0000-000092550000}"/>
    <cellStyle name="Normal 25 2 2 2" xfId="4123" xr:uid="{00000000-0005-0000-0000-000093550000}"/>
    <cellStyle name="Normal 25 2 2 2 2" xfId="8800" xr:uid="{00000000-0005-0000-0000-000094550000}"/>
    <cellStyle name="Normal 25 2 2 2 2 2" xfId="18124" xr:uid="{00000000-0005-0000-0000-000095550000}"/>
    <cellStyle name="Normal 25 2 2 2 2 3" xfId="27447" xr:uid="{00000000-0005-0000-0000-000096550000}"/>
    <cellStyle name="Normal 25 2 2 2 3" xfId="13457" xr:uid="{00000000-0005-0000-0000-000097550000}"/>
    <cellStyle name="Normal 25 2 2 2 4" xfId="22781" xr:uid="{00000000-0005-0000-0000-000098550000}"/>
    <cellStyle name="Normal 25 2 2 3" xfId="5842" xr:uid="{00000000-0005-0000-0000-000099550000}"/>
    <cellStyle name="Normal 25 2 2 3 2" xfId="15166" xr:uid="{00000000-0005-0000-0000-00009A550000}"/>
    <cellStyle name="Normal 25 2 2 3 3" xfId="24489" xr:uid="{00000000-0005-0000-0000-00009B550000}"/>
    <cellStyle name="Normal 25 2 2 4" xfId="11902" xr:uid="{00000000-0005-0000-0000-00009C550000}"/>
    <cellStyle name="Normal 25 2 2 5" xfId="21228" xr:uid="{00000000-0005-0000-0000-00009D550000}"/>
    <cellStyle name="Normal 25 2 3" xfId="4122" xr:uid="{00000000-0005-0000-0000-00009E550000}"/>
    <cellStyle name="Normal 25 2 3 2" xfId="8799" xr:uid="{00000000-0005-0000-0000-00009F550000}"/>
    <cellStyle name="Normal 25 2 3 2 2" xfId="18123" xr:uid="{00000000-0005-0000-0000-0000A0550000}"/>
    <cellStyle name="Normal 25 2 3 2 3" xfId="27446" xr:uid="{00000000-0005-0000-0000-0000A1550000}"/>
    <cellStyle name="Normal 25 2 3 3" xfId="13456" xr:uid="{00000000-0005-0000-0000-0000A2550000}"/>
    <cellStyle name="Normal 25 2 3 4" xfId="22780" xr:uid="{00000000-0005-0000-0000-0000A3550000}"/>
    <cellStyle name="Normal 25 2 4" xfId="5841" xr:uid="{00000000-0005-0000-0000-0000A4550000}"/>
    <cellStyle name="Normal 25 2 4 2" xfId="15165" xr:uid="{00000000-0005-0000-0000-0000A5550000}"/>
    <cellStyle name="Normal 25 2 4 3" xfId="24488" xr:uid="{00000000-0005-0000-0000-0000A6550000}"/>
    <cellStyle name="Normal 25 2 5" xfId="11901" xr:uid="{00000000-0005-0000-0000-0000A7550000}"/>
    <cellStyle name="Normal 25 2 6" xfId="21227" xr:uid="{00000000-0005-0000-0000-0000A8550000}"/>
    <cellStyle name="Normal 25 2 7" xfId="28888" xr:uid="{00000000-0005-0000-0000-0000A9550000}"/>
    <cellStyle name="Normal 25 3" xfId="2413" xr:uid="{00000000-0005-0000-0000-0000AA550000}"/>
    <cellStyle name="Normal 25 3 2" xfId="4124" xr:uid="{00000000-0005-0000-0000-0000AB550000}"/>
    <cellStyle name="Normal 25 3 2 2" xfId="8801" xr:uid="{00000000-0005-0000-0000-0000AC550000}"/>
    <cellStyle name="Normal 25 3 2 2 2" xfId="18125" xr:uid="{00000000-0005-0000-0000-0000AD550000}"/>
    <cellStyle name="Normal 25 3 2 2 3" xfId="27448" xr:uid="{00000000-0005-0000-0000-0000AE550000}"/>
    <cellStyle name="Normal 25 3 2 3" xfId="13458" xr:uid="{00000000-0005-0000-0000-0000AF550000}"/>
    <cellStyle name="Normal 25 3 2 4" xfId="22782" xr:uid="{00000000-0005-0000-0000-0000B0550000}"/>
    <cellStyle name="Normal 25 3 3" xfId="5843" xr:uid="{00000000-0005-0000-0000-0000B1550000}"/>
    <cellStyle name="Normal 25 3 3 2" xfId="15167" xr:uid="{00000000-0005-0000-0000-0000B2550000}"/>
    <cellStyle name="Normal 25 3 3 3" xfId="24490" xr:uid="{00000000-0005-0000-0000-0000B3550000}"/>
    <cellStyle name="Normal 25 3 4" xfId="11903" xr:uid="{00000000-0005-0000-0000-0000B4550000}"/>
    <cellStyle name="Normal 25 3 5" xfId="21229" xr:uid="{00000000-0005-0000-0000-0000B5550000}"/>
    <cellStyle name="Normal 25 3 6" xfId="28803" xr:uid="{00000000-0005-0000-0000-0000B6550000}"/>
    <cellStyle name="Normal 25 4" xfId="2410" xr:uid="{00000000-0005-0000-0000-0000B7550000}"/>
    <cellStyle name="Normal 25 4 2" xfId="4121" xr:uid="{00000000-0005-0000-0000-0000B8550000}"/>
    <cellStyle name="Normal 25 4 2 2" xfId="8798" xr:uid="{00000000-0005-0000-0000-0000B9550000}"/>
    <cellStyle name="Normal 25 4 2 2 2" xfId="18122" xr:uid="{00000000-0005-0000-0000-0000BA550000}"/>
    <cellStyle name="Normal 25 4 2 2 3" xfId="27445" xr:uid="{00000000-0005-0000-0000-0000BB550000}"/>
    <cellStyle name="Normal 25 4 2 3" xfId="13455" xr:uid="{00000000-0005-0000-0000-0000BC550000}"/>
    <cellStyle name="Normal 25 4 2 4" xfId="22779" xr:uid="{00000000-0005-0000-0000-0000BD550000}"/>
    <cellStyle name="Normal 25 4 3" xfId="5840" xr:uid="{00000000-0005-0000-0000-0000BE550000}"/>
    <cellStyle name="Normal 25 4 3 2" xfId="15164" xr:uid="{00000000-0005-0000-0000-0000BF550000}"/>
    <cellStyle name="Normal 25 4 3 3" xfId="24487" xr:uid="{00000000-0005-0000-0000-0000C0550000}"/>
    <cellStyle name="Normal 25 4 4" xfId="11900" xr:uid="{00000000-0005-0000-0000-0000C1550000}"/>
    <cellStyle name="Normal 25 4 5" xfId="21226" xr:uid="{00000000-0005-0000-0000-0000C2550000}"/>
    <cellStyle name="Normal 25 5" xfId="3116" xr:uid="{00000000-0005-0000-0000-0000C3550000}"/>
    <cellStyle name="Normal 25 5 2" xfId="7795" xr:uid="{00000000-0005-0000-0000-0000C4550000}"/>
    <cellStyle name="Normal 25 5 2 2" xfId="17119" xr:uid="{00000000-0005-0000-0000-0000C5550000}"/>
    <cellStyle name="Normal 25 5 2 3" xfId="26442" xr:uid="{00000000-0005-0000-0000-0000C6550000}"/>
    <cellStyle name="Normal 25 5 3" xfId="12503" xr:uid="{00000000-0005-0000-0000-0000C7550000}"/>
    <cellStyle name="Normal 25 5 4" xfId="21829" xr:uid="{00000000-0005-0000-0000-0000C8550000}"/>
    <cellStyle name="Normal 25 6" xfId="4772" xr:uid="{00000000-0005-0000-0000-0000C9550000}"/>
    <cellStyle name="Normal 25 6 2" xfId="14096" xr:uid="{00000000-0005-0000-0000-0000CA550000}"/>
    <cellStyle name="Normal 25 6 3" xfId="23419" xr:uid="{00000000-0005-0000-0000-0000CB550000}"/>
    <cellStyle name="Normal 25 7" xfId="10897" xr:uid="{00000000-0005-0000-0000-0000CC550000}"/>
    <cellStyle name="Normal 25 8" xfId="20221" xr:uid="{00000000-0005-0000-0000-0000CD550000}"/>
    <cellStyle name="Normal 25 9" xfId="28750" xr:uid="{00000000-0005-0000-0000-0000CE550000}"/>
    <cellStyle name="Normal 26" xfId="1315" xr:uid="{00000000-0005-0000-0000-0000CF550000}"/>
    <cellStyle name="Normal 26 10" xfId="20222" xr:uid="{00000000-0005-0000-0000-0000D0550000}"/>
    <cellStyle name="Normal 26 11" xfId="28751" xr:uid="{00000000-0005-0000-0000-0000D1550000}"/>
    <cellStyle name="Normal 26 2" xfId="2415" xr:uid="{00000000-0005-0000-0000-0000D2550000}"/>
    <cellStyle name="Normal 26 2 2" xfId="2416" xr:uid="{00000000-0005-0000-0000-0000D3550000}"/>
    <cellStyle name="Normal 26 2 2 2" xfId="2417" xr:uid="{00000000-0005-0000-0000-0000D4550000}"/>
    <cellStyle name="Normal 26 2 2 2 2" xfId="4127" xr:uid="{00000000-0005-0000-0000-0000D5550000}"/>
    <cellStyle name="Normal 26 2 2 2 2 2" xfId="8804" xr:uid="{00000000-0005-0000-0000-0000D6550000}"/>
    <cellStyle name="Normal 26 2 2 2 2 2 2" xfId="18128" xr:uid="{00000000-0005-0000-0000-0000D7550000}"/>
    <cellStyle name="Normal 26 2 2 2 2 2 3" xfId="27451" xr:uid="{00000000-0005-0000-0000-0000D8550000}"/>
    <cellStyle name="Normal 26 2 2 2 2 3" xfId="13461" xr:uid="{00000000-0005-0000-0000-0000D9550000}"/>
    <cellStyle name="Normal 26 2 2 2 2 4" xfId="22785" xr:uid="{00000000-0005-0000-0000-0000DA550000}"/>
    <cellStyle name="Normal 26 2 2 2 3" xfId="5846" xr:uid="{00000000-0005-0000-0000-0000DB550000}"/>
    <cellStyle name="Normal 26 2 2 2 3 2" xfId="15170" xr:uid="{00000000-0005-0000-0000-0000DC550000}"/>
    <cellStyle name="Normal 26 2 2 2 3 3" xfId="24493" xr:uid="{00000000-0005-0000-0000-0000DD550000}"/>
    <cellStyle name="Normal 26 2 2 2 4" xfId="11906" xr:uid="{00000000-0005-0000-0000-0000DE550000}"/>
    <cellStyle name="Normal 26 2 2 2 5" xfId="21232" xr:uid="{00000000-0005-0000-0000-0000DF550000}"/>
    <cellStyle name="Normal 26 2 2 3" xfId="4126" xr:uid="{00000000-0005-0000-0000-0000E0550000}"/>
    <cellStyle name="Normal 26 2 2 3 2" xfId="8803" xr:uid="{00000000-0005-0000-0000-0000E1550000}"/>
    <cellStyle name="Normal 26 2 2 3 2 2" xfId="18127" xr:uid="{00000000-0005-0000-0000-0000E2550000}"/>
    <cellStyle name="Normal 26 2 2 3 2 3" xfId="27450" xr:uid="{00000000-0005-0000-0000-0000E3550000}"/>
    <cellStyle name="Normal 26 2 2 3 3" xfId="13460" xr:uid="{00000000-0005-0000-0000-0000E4550000}"/>
    <cellStyle name="Normal 26 2 2 3 4" xfId="22784" xr:uid="{00000000-0005-0000-0000-0000E5550000}"/>
    <cellStyle name="Normal 26 2 2 4" xfId="5845" xr:uid="{00000000-0005-0000-0000-0000E6550000}"/>
    <cellStyle name="Normal 26 2 2 4 2" xfId="15169" xr:uid="{00000000-0005-0000-0000-0000E7550000}"/>
    <cellStyle name="Normal 26 2 2 4 3" xfId="24492" xr:uid="{00000000-0005-0000-0000-0000E8550000}"/>
    <cellStyle name="Normal 26 2 2 5" xfId="11905" xr:uid="{00000000-0005-0000-0000-0000E9550000}"/>
    <cellStyle name="Normal 26 2 2 6" xfId="21231" xr:uid="{00000000-0005-0000-0000-0000EA550000}"/>
    <cellStyle name="Normal 26 2 3" xfId="2418" xr:uid="{00000000-0005-0000-0000-0000EB550000}"/>
    <cellStyle name="Normal 26 2 3 2" xfId="4128" xr:uid="{00000000-0005-0000-0000-0000EC550000}"/>
    <cellStyle name="Normal 26 2 3 2 2" xfId="8805" xr:uid="{00000000-0005-0000-0000-0000ED550000}"/>
    <cellStyle name="Normal 26 2 3 2 2 2" xfId="18129" xr:uid="{00000000-0005-0000-0000-0000EE550000}"/>
    <cellStyle name="Normal 26 2 3 2 2 3" xfId="27452" xr:uid="{00000000-0005-0000-0000-0000EF550000}"/>
    <cellStyle name="Normal 26 2 3 2 3" xfId="13462" xr:uid="{00000000-0005-0000-0000-0000F0550000}"/>
    <cellStyle name="Normal 26 2 3 2 4" xfId="22786" xr:uid="{00000000-0005-0000-0000-0000F1550000}"/>
    <cellStyle name="Normal 26 2 3 3" xfId="5847" xr:uid="{00000000-0005-0000-0000-0000F2550000}"/>
    <cellStyle name="Normal 26 2 3 3 2" xfId="15171" xr:uid="{00000000-0005-0000-0000-0000F3550000}"/>
    <cellStyle name="Normal 26 2 3 3 3" xfId="24494" xr:uid="{00000000-0005-0000-0000-0000F4550000}"/>
    <cellStyle name="Normal 26 2 3 4" xfId="11907" xr:uid="{00000000-0005-0000-0000-0000F5550000}"/>
    <cellStyle name="Normal 26 2 3 5" xfId="21233" xr:uid="{00000000-0005-0000-0000-0000F6550000}"/>
    <cellStyle name="Normal 26 2 4" xfId="4125" xr:uid="{00000000-0005-0000-0000-0000F7550000}"/>
    <cellStyle name="Normal 26 2 4 2" xfId="8802" xr:uid="{00000000-0005-0000-0000-0000F8550000}"/>
    <cellStyle name="Normal 26 2 4 2 2" xfId="18126" xr:uid="{00000000-0005-0000-0000-0000F9550000}"/>
    <cellStyle name="Normal 26 2 4 2 3" xfId="27449" xr:uid="{00000000-0005-0000-0000-0000FA550000}"/>
    <cellStyle name="Normal 26 2 4 3" xfId="13459" xr:uid="{00000000-0005-0000-0000-0000FB550000}"/>
    <cellStyle name="Normal 26 2 4 4" xfId="22783" xr:uid="{00000000-0005-0000-0000-0000FC550000}"/>
    <cellStyle name="Normal 26 2 5" xfId="5844" xr:uid="{00000000-0005-0000-0000-0000FD550000}"/>
    <cellStyle name="Normal 26 2 5 2" xfId="15168" xr:uid="{00000000-0005-0000-0000-0000FE550000}"/>
    <cellStyle name="Normal 26 2 5 3" xfId="24491" xr:uid="{00000000-0005-0000-0000-0000FF550000}"/>
    <cellStyle name="Normal 26 2 6" xfId="11904" xr:uid="{00000000-0005-0000-0000-000000560000}"/>
    <cellStyle name="Normal 26 2 7" xfId="21230" xr:uid="{00000000-0005-0000-0000-000001560000}"/>
    <cellStyle name="Normal 26 2 8" xfId="28889" xr:uid="{00000000-0005-0000-0000-000002560000}"/>
    <cellStyle name="Normal 26 3" xfId="2419" xr:uid="{00000000-0005-0000-0000-000003560000}"/>
    <cellStyle name="Normal 26 3 2" xfId="2420" xr:uid="{00000000-0005-0000-0000-000004560000}"/>
    <cellStyle name="Normal 26 3 2 2" xfId="2421" xr:uid="{00000000-0005-0000-0000-000005560000}"/>
    <cellStyle name="Normal 26 3 2 2 2" xfId="4129" xr:uid="{00000000-0005-0000-0000-000006560000}"/>
    <cellStyle name="Normal 26 3 2 2 2 2" xfId="8806" xr:uid="{00000000-0005-0000-0000-000007560000}"/>
    <cellStyle name="Normal 26 3 2 2 2 2 2" xfId="18130" xr:uid="{00000000-0005-0000-0000-000008560000}"/>
    <cellStyle name="Normal 26 3 2 2 2 2 3" xfId="27453" xr:uid="{00000000-0005-0000-0000-000009560000}"/>
    <cellStyle name="Normal 26 3 2 2 2 3" xfId="13463" xr:uid="{00000000-0005-0000-0000-00000A560000}"/>
    <cellStyle name="Normal 26 3 2 2 2 4" xfId="22787" xr:uid="{00000000-0005-0000-0000-00000B560000}"/>
    <cellStyle name="Normal 26 3 2 2 3" xfId="5850" xr:uid="{00000000-0005-0000-0000-00000C560000}"/>
    <cellStyle name="Normal 26 3 2 2 3 2" xfId="15174" xr:uid="{00000000-0005-0000-0000-00000D560000}"/>
    <cellStyle name="Normal 26 3 2 2 3 3" xfId="24497" xr:uid="{00000000-0005-0000-0000-00000E560000}"/>
    <cellStyle name="Normal 26 3 2 2 4" xfId="11908" xr:uid="{00000000-0005-0000-0000-00000F560000}"/>
    <cellStyle name="Normal 26 3 2 2 5" xfId="21234" xr:uid="{00000000-0005-0000-0000-000010560000}"/>
    <cellStyle name="Normal 26 3 2 3" xfId="2422" xr:uid="{00000000-0005-0000-0000-000011560000}"/>
    <cellStyle name="Normal 26 3 3" xfId="2423" xr:uid="{00000000-0005-0000-0000-000012560000}"/>
    <cellStyle name="Normal 26 3 3 2" xfId="4130" xr:uid="{00000000-0005-0000-0000-000013560000}"/>
    <cellStyle name="Normal 26 3 3 2 2" xfId="8807" xr:uid="{00000000-0005-0000-0000-000014560000}"/>
    <cellStyle name="Normal 26 3 3 2 2 2" xfId="18131" xr:uid="{00000000-0005-0000-0000-000015560000}"/>
    <cellStyle name="Normal 26 3 3 2 2 3" xfId="27454" xr:uid="{00000000-0005-0000-0000-000016560000}"/>
    <cellStyle name="Normal 26 3 3 2 3" xfId="13464" xr:uid="{00000000-0005-0000-0000-000017560000}"/>
    <cellStyle name="Normal 26 3 3 2 4" xfId="22788" xr:uid="{00000000-0005-0000-0000-000018560000}"/>
    <cellStyle name="Normal 26 3 3 3" xfId="5852" xr:uid="{00000000-0005-0000-0000-000019560000}"/>
    <cellStyle name="Normal 26 3 3 3 2" xfId="15176" xr:uid="{00000000-0005-0000-0000-00001A560000}"/>
    <cellStyle name="Normal 26 3 3 3 3" xfId="24499" xr:uid="{00000000-0005-0000-0000-00001B560000}"/>
    <cellStyle name="Normal 26 3 3 4" xfId="11909" xr:uid="{00000000-0005-0000-0000-00001C560000}"/>
    <cellStyle name="Normal 26 3 3 5" xfId="21235" xr:uid="{00000000-0005-0000-0000-00001D560000}"/>
    <cellStyle name="Normal 26 3 4" xfId="2424" xr:uid="{00000000-0005-0000-0000-00001E560000}"/>
    <cellStyle name="Normal 26 3 5" xfId="28804" xr:uid="{00000000-0005-0000-0000-00001F560000}"/>
    <cellStyle name="Normal 26 4" xfId="2425" xr:uid="{00000000-0005-0000-0000-000020560000}"/>
    <cellStyle name="Normal 26 4 2" xfId="2426" xr:uid="{00000000-0005-0000-0000-000021560000}"/>
    <cellStyle name="Normal 26 4 2 2" xfId="4131" xr:uid="{00000000-0005-0000-0000-000022560000}"/>
    <cellStyle name="Normal 26 4 2 2 2" xfId="8808" xr:uid="{00000000-0005-0000-0000-000023560000}"/>
    <cellStyle name="Normal 26 4 2 2 2 2" xfId="18132" xr:uid="{00000000-0005-0000-0000-000024560000}"/>
    <cellStyle name="Normal 26 4 2 2 2 3" xfId="27455" xr:uid="{00000000-0005-0000-0000-000025560000}"/>
    <cellStyle name="Normal 26 4 2 2 3" xfId="13465" xr:uid="{00000000-0005-0000-0000-000026560000}"/>
    <cellStyle name="Normal 26 4 2 2 4" xfId="22789" xr:uid="{00000000-0005-0000-0000-000027560000}"/>
    <cellStyle name="Normal 26 4 2 3" xfId="5855" xr:uid="{00000000-0005-0000-0000-000028560000}"/>
    <cellStyle name="Normal 26 4 2 3 2" xfId="15179" xr:uid="{00000000-0005-0000-0000-000029560000}"/>
    <cellStyle name="Normal 26 4 2 3 3" xfId="24502" xr:uid="{00000000-0005-0000-0000-00002A560000}"/>
    <cellStyle name="Normal 26 4 2 4" xfId="11910" xr:uid="{00000000-0005-0000-0000-00002B560000}"/>
    <cellStyle name="Normal 26 4 2 5" xfId="21236" xr:uid="{00000000-0005-0000-0000-00002C560000}"/>
    <cellStyle name="Normal 26 4 3" xfId="2427" xr:uid="{00000000-0005-0000-0000-00002D560000}"/>
    <cellStyle name="Normal 26 5" xfId="2428" xr:uid="{00000000-0005-0000-0000-00002E560000}"/>
    <cellStyle name="Normal 26 6" xfId="2414" xr:uid="{00000000-0005-0000-0000-00002F560000}"/>
    <cellStyle name="Normal 26 7" xfId="3117" xr:uid="{00000000-0005-0000-0000-000030560000}"/>
    <cellStyle name="Normal 26 7 2" xfId="7796" xr:uid="{00000000-0005-0000-0000-000031560000}"/>
    <cellStyle name="Normal 26 7 2 2" xfId="17120" xr:uid="{00000000-0005-0000-0000-000032560000}"/>
    <cellStyle name="Normal 26 7 2 3" xfId="26443" xr:uid="{00000000-0005-0000-0000-000033560000}"/>
    <cellStyle name="Normal 26 7 3" xfId="12504" xr:uid="{00000000-0005-0000-0000-000034560000}"/>
    <cellStyle name="Normal 26 7 4" xfId="21830" xr:uid="{00000000-0005-0000-0000-000035560000}"/>
    <cellStyle name="Normal 26 8" xfId="4773" xr:uid="{00000000-0005-0000-0000-000036560000}"/>
    <cellStyle name="Normal 26 8 2" xfId="14097" xr:uid="{00000000-0005-0000-0000-000037560000}"/>
    <cellStyle name="Normal 26 8 3" xfId="23420" xr:uid="{00000000-0005-0000-0000-000038560000}"/>
    <cellStyle name="Normal 26 9" xfId="10898" xr:uid="{00000000-0005-0000-0000-000039560000}"/>
    <cellStyle name="Normal 27" xfId="1316" xr:uid="{00000000-0005-0000-0000-00003A560000}"/>
    <cellStyle name="Normal 27 10" xfId="4774" xr:uid="{00000000-0005-0000-0000-00003B560000}"/>
    <cellStyle name="Normal 27 10 2" xfId="14098" xr:uid="{00000000-0005-0000-0000-00003C560000}"/>
    <cellStyle name="Normal 27 10 3" xfId="23421" xr:uid="{00000000-0005-0000-0000-00003D560000}"/>
    <cellStyle name="Normal 27 11" xfId="10899" xr:uid="{00000000-0005-0000-0000-00003E560000}"/>
    <cellStyle name="Normal 27 12" xfId="20223" xr:uid="{00000000-0005-0000-0000-00003F560000}"/>
    <cellStyle name="Normal 27 13" xfId="28752" xr:uid="{00000000-0005-0000-0000-000040560000}"/>
    <cellStyle name="Normal 27 2" xfId="2430" xr:uid="{00000000-0005-0000-0000-000041560000}"/>
    <cellStyle name="Normal 27 2 2" xfId="2431" xr:uid="{00000000-0005-0000-0000-000042560000}"/>
    <cellStyle name="Normal 27 2 2 2" xfId="2432" xr:uid="{00000000-0005-0000-0000-000043560000}"/>
    <cellStyle name="Normal 27 2 2 2 2" xfId="4134" xr:uid="{00000000-0005-0000-0000-000044560000}"/>
    <cellStyle name="Normal 27 2 2 2 2 2" xfId="8811" xr:uid="{00000000-0005-0000-0000-000045560000}"/>
    <cellStyle name="Normal 27 2 2 2 2 2 2" xfId="18135" xr:uid="{00000000-0005-0000-0000-000046560000}"/>
    <cellStyle name="Normal 27 2 2 2 2 2 3" xfId="27458" xr:uid="{00000000-0005-0000-0000-000047560000}"/>
    <cellStyle name="Normal 27 2 2 2 2 3" xfId="13468" xr:uid="{00000000-0005-0000-0000-000048560000}"/>
    <cellStyle name="Normal 27 2 2 2 2 4" xfId="22792" xr:uid="{00000000-0005-0000-0000-000049560000}"/>
    <cellStyle name="Normal 27 2 2 2 3" xfId="5860" xr:uid="{00000000-0005-0000-0000-00004A560000}"/>
    <cellStyle name="Normal 27 2 2 2 3 2" xfId="15184" xr:uid="{00000000-0005-0000-0000-00004B560000}"/>
    <cellStyle name="Normal 27 2 2 2 3 3" xfId="24507" xr:uid="{00000000-0005-0000-0000-00004C560000}"/>
    <cellStyle name="Normal 27 2 2 2 4" xfId="11913" xr:uid="{00000000-0005-0000-0000-00004D560000}"/>
    <cellStyle name="Normal 27 2 2 2 5" xfId="21239" xr:uid="{00000000-0005-0000-0000-00004E560000}"/>
    <cellStyle name="Normal 27 2 2 3" xfId="4133" xr:uid="{00000000-0005-0000-0000-00004F560000}"/>
    <cellStyle name="Normal 27 2 2 3 2" xfId="8810" xr:uid="{00000000-0005-0000-0000-000050560000}"/>
    <cellStyle name="Normal 27 2 2 3 2 2" xfId="18134" xr:uid="{00000000-0005-0000-0000-000051560000}"/>
    <cellStyle name="Normal 27 2 2 3 2 3" xfId="27457" xr:uid="{00000000-0005-0000-0000-000052560000}"/>
    <cellStyle name="Normal 27 2 2 3 3" xfId="13467" xr:uid="{00000000-0005-0000-0000-000053560000}"/>
    <cellStyle name="Normal 27 2 2 3 4" xfId="22791" xr:uid="{00000000-0005-0000-0000-000054560000}"/>
    <cellStyle name="Normal 27 2 2 4" xfId="5859" xr:uid="{00000000-0005-0000-0000-000055560000}"/>
    <cellStyle name="Normal 27 2 2 4 2" xfId="15183" xr:uid="{00000000-0005-0000-0000-000056560000}"/>
    <cellStyle name="Normal 27 2 2 4 3" xfId="24506" xr:uid="{00000000-0005-0000-0000-000057560000}"/>
    <cellStyle name="Normal 27 2 2 5" xfId="11912" xr:uid="{00000000-0005-0000-0000-000058560000}"/>
    <cellStyle name="Normal 27 2 2 6" xfId="21238" xr:uid="{00000000-0005-0000-0000-000059560000}"/>
    <cellStyle name="Normal 27 2 3" xfId="2433" xr:uid="{00000000-0005-0000-0000-00005A560000}"/>
    <cellStyle name="Normal 27 2 3 2" xfId="4135" xr:uid="{00000000-0005-0000-0000-00005B560000}"/>
    <cellStyle name="Normal 27 2 3 2 2" xfId="8812" xr:uid="{00000000-0005-0000-0000-00005C560000}"/>
    <cellStyle name="Normal 27 2 3 2 2 2" xfId="18136" xr:uid="{00000000-0005-0000-0000-00005D560000}"/>
    <cellStyle name="Normal 27 2 3 2 2 3" xfId="27459" xr:uid="{00000000-0005-0000-0000-00005E560000}"/>
    <cellStyle name="Normal 27 2 3 2 3" xfId="13469" xr:uid="{00000000-0005-0000-0000-00005F560000}"/>
    <cellStyle name="Normal 27 2 3 2 4" xfId="22793" xr:uid="{00000000-0005-0000-0000-000060560000}"/>
    <cellStyle name="Normal 27 2 3 3" xfId="5861" xr:uid="{00000000-0005-0000-0000-000061560000}"/>
    <cellStyle name="Normal 27 2 3 3 2" xfId="15185" xr:uid="{00000000-0005-0000-0000-000062560000}"/>
    <cellStyle name="Normal 27 2 3 3 3" xfId="24508" xr:uid="{00000000-0005-0000-0000-000063560000}"/>
    <cellStyle name="Normal 27 2 3 4" xfId="11914" xr:uid="{00000000-0005-0000-0000-000064560000}"/>
    <cellStyle name="Normal 27 2 3 5" xfId="21240" xr:uid="{00000000-0005-0000-0000-000065560000}"/>
    <cellStyle name="Normal 27 2 4" xfId="4132" xr:uid="{00000000-0005-0000-0000-000066560000}"/>
    <cellStyle name="Normal 27 2 4 2" xfId="8809" xr:uid="{00000000-0005-0000-0000-000067560000}"/>
    <cellStyle name="Normal 27 2 4 2 2" xfId="18133" xr:uid="{00000000-0005-0000-0000-000068560000}"/>
    <cellStyle name="Normal 27 2 4 2 3" xfId="27456" xr:uid="{00000000-0005-0000-0000-000069560000}"/>
    <cellStyle name="Normal 27 2 4 3" xfId="13466" xr:uid="{00000000-0005-0000-0000-00006A560000}"/>
    <cellStyle name="Normal 27 2 4 4" xfId="22790" xr:uid="{00000000-0005-0000-0000-00006B560000}"/>
    <cellStyle name="Normal 27 2 5" xfId="5858" xr:uid="{00000000-0005-0000-0000-00006C560000}"/>
    <cellStyle name="Normal 27 2 5 2" xfId="15182" xr:uid="{00000000-0005-0000-0000-00006D560000}"/>
    <cellStyle name="Normal 27 2 5 3" xfId="24505" xr:uid="{00000000-0005-0000-0000-00006E560000}"/>
    <cellStyle name="Normal 27 2 6" xfId="11911" xr:uid="{00000000-0005-0000-0000-00006F560000}"/>
    <cellStyle name="Normal 27 2 7" xfId="21237" xr:uid="{00000000-0005-0000-0000-000070560000}"/>
    <cellStyle name="Normal 27 2 8" xfId="28890" xr:uid="{00000000-0005-0000-0000-000071560000}"/>
    <cellStyle name="Normal 27 3" xfId="2434" xr:uid="{00000000-0005-0000-0000-000072560000}"/>
    <cellStyle name="Normal 27 3 2" xfId="2435" xr:uid="{00000000-0005-0000-0000-000073560000}"/>
    <cellStyle name="Normal 27 3 2 2" xfId="2436" xr:uid="{00000000-0005-0000-0000-000074560000}"/>
    <cellStyle name="Normal 27 3 2 2 2" xfId="4138" xr:uid="{00000000-0005-0000-0000-000075560000}"/>
    <cellStyle name="Normal 27 3 2 2 2 2" xfId="8815" xr:uid="{00000000-0005-0000-0000-000076560000}"/>
    <cellStyle name="Normal 27 3 2 2 2 2 2" xfId="18139" xr:uid="{00000000-0005-0000-0000-000077560000}"/>
    <cellStyle name="Normal 27 3 2 2 2 2 3" xfId="27462" xr:uid="{00000000-0005-0000-0000-000078560000}"/>
    <cellStyle name="Normal 27 3 2 2 2 3" xfId="13472" xr:uid="{00000000-0005-0000-0000-000079560000}"/>
    <cellStyle name="Normal 27 3 2 2 2 4" xfId="22796" xr:uid="{00000000-0005-0000-0000-00007A560000}"/>
    <cellStyle name="Normal 27 3 2 2 3" xfId="5864" xr:uid="{00000000-0005-0000-0000-00007B560000}"/>
    <cellStyle name="Normal 27 3 2 2 3 2" xfId="15188" xr:uid="{00000000-0005-0000-0000-00007C560000}"/>
    <cellStyle name="Normal 27 3 2 2 3 3" xfId="24511" xr:uid="{00000000-0005-0000-0000-00007D560000}"/>
    <cellStyle name="Normal 27 3 2 2 4" xfId="11917" xr:uid="{00000000-0005-0000-0000-00007E560000}"/>
    <cellStyle name="Normal 27 3 2 2 5" xfId="21243" xr:uid="{00000000-0005-0000-0000-00007F560000}"/>
    <cellStyle name="Normal 27 3 2 3" xfId="4137" xr:uid="{00000000-0005-0000-0000-000080560000}"/>
    <cellStyle name="Normal 27 3 2 3 2" xfId="8814" xr:uid="{00000000-0005-0000-0000-000081560000}"/>
    <cellStyle name="Normal 27 3 2 3 2 2" xfId="18138" xr:uid="{00000000-0005-0000-0000-000082560000}"/>
    <cellStyle name="Normal 27 3 2 3 2 3" xfId="27461" xr:uid="{00000000-0005-0000-0000-000083560000}"/>
    <cellStyle name="Normal 27 3 2 3 3" xfId="13471" xr:uid="{00000000-0005-0000-0000-000084560000}"/>
    <cellStyle name="Normal 27 3 2 3 4" xfId="22795" xr:uid="{00000000-0005-0000-0000-000085560000}"/>
    <cellStyle name="Normal 27 3 2 4" xfId="5863" xr:uid="{00000000-0005-0000-0000-000086560000}"/>
    <cellStyle name="Normal 27 3 2 4 2" xfId="15187" xr:uid="{00000000-0005-0000-0000-000087560000}"/>
    <cellStyle name="Normal 27 3 2 4 3" xfId="24510" xr:uid="{00000000-0005-0000-0000-000088560000}"/>
    <cellStyle name="Normal 27 3 2 5" xfId="11916" xr:uid="{00000000-0005-0000-0000-000089560000}"/>
    <cellStyle name="Normal 27 3 2 6" xfId="21242" xr:uid="{00000000-0005-0000-0000-00008A560000}"/>
    <cellStyle name="Normal 27 3 3" xfId="2437" xr:uid="{00000000-0005-0000-0000-00008B560000}"/>
    <cellStyle name="Normal 27 3 3 2" xfId="4139" xr:uid="{00000000-0005-0000-0000-00008C560000}"/>
    <cellStyle name="Normal 27 3 3 2 2" xfId="8816" xr:uid="{00000000-0005-0000-0000-00008D560000}"/>
    <cellStyle name="Normal 27 3 3 2 2 2" xfId="18140" xr:uid="{00000000-0005-0000-0000-00008E560000}"/>
    <cellStyle name="Normal 27 3 3 2 2 3" xfId="27463" xr:uid="{00000000-0005-0000-0000-00008F560000}"/>
    <cellStyle name="Normal 27 3 3 2 3" xfId="13473" xr:uid="{00000000-0005-0000-0000-000090560000}"/>
    <cellStyle name="Normal 27 3 3 2 4" xfId="22797" xr:uid="{00000000-0005-0000-0000-000091560000}"/>
    <cellStyle name="Normal 27 3 3 3" xfId="5865" xr:uid="{00000000-0005-0000-0000-000092560000}"/>
    <cellStyle name="Normal 27 3 3 3 2" xfId="15189" xr:uid="{00000000-0005-0000-0000-000093560000}"/>
    <cellStyle name="Normal 27 3 3 3 3" xfId="24512" xr:uid="{00000000-0005-0000-0000-000094560000}"/>
    <cellStyle name="Normal 27 3 3 4" xfId="11918" xr:uid="{00000000-0005-0000-0000-000095560000}"/>
    <cellStyle name="Normal 27 3 3 5" xfId="21244" xr:uid="{00000000-0005-0000-0000-000096560000}"/>
    <cellStyle name="Normal 27 3 4" xfId="4136" xr:uid="{00000000-0005-0000-0000-000097560000}"/>
    <cellStyle name="Normal 27 3 4 2" xfId="8813" xr:uid="{00000000-0005-0000-0000-000098560000}"/>
    <cellStyle name="Normal 27 3 4 2 2" xfId="18137" xr:uid="{00000000-0005-0000-0000-000099560000}"/>
    <cellStyle name="Normal 27 3 4 2 3" xfId="27460" xr:uid="{00000000-0005-0000-0000-00009A560000}"/>
    <cellStyle name="Normal 27 3 4 3" xfId="13470" xr:uid="{00000000-0005-0000-0000-00009B560000}"/>
    <cellStyle name="Normal 27 3 4 4" xfId="22794" xr:uid="{00000000-0005-0000-0000-00009C560000}"/>
    <cellStyle name="Normal 27 3 5" xfId="5862" xr:uid="{00000000-0005-0000-0000-00009D560000}"/>
    <cellStyle name="Normal 27 3 5 2" xfId="15186" xr:uid="{00000000-0005-0000-0000-00009E560000}"/>
    <cellStyle name="Normal 27 3 5 3" xfId="24509" xr:uid="{00000000-0005-0000-0000-00009F560000}"/>
    <cellStyle name="Normal 27 3 6" xfId="11915" xr:uid="{00000000-0005-0000-0000-0000A0560000}"/>
    <cellStyle name="Normal 27 3 7" xfId="21241" xr:uid="{00000000-0005-0000-0000-0000A1560000}"/>
    <cellStyle name="Normal 27 3 8" xfId="28805" xr:uid="{00000000-0005-0000-0000-0000A2560000}"/>
    <cellStyle name="Normal 27 4" xfId="2438" xr:uid="{00000000-0005-0000-0000-0000A3560000}"/>
    <cellStyle name="Normal 27 4 2" xfId="2439" xr:uid="{00000000-0005-0000-0000-0000A4560000}"/>
    <cellStyle name="Normal 27 4 2 2" xfId="2440" xr:uid="{00000000-0005-0000-0000-0000A5560000}"/>
    <cellStyle name="Normal 27 4 2 2 2" xfId="4142" xr:uid="{00000000-0005-0000-0000-0000A6560000}"/>
    <cellStyle name="Normal 27 4 2 2 2 2" xfId="8819" xr:uid="{00000000-0005-0000-0000-0000A7560000}"/>
    <cellStyle name="Normal 27 4 2 2 2 2 2" xfId="18143" xr:uid="{00000000-0005-0000-0000-0000A8560000}"/>
    <cellStyle name="Normal 27 4 2 2 2 2 3" xfId="27466" xr:uid="{00000000-0005-0000-0000-0000A9560000}"/>
    <cellStyle name="Normal 27 4 2 2 2 3" xfId="13476" xr:uid="{00000000-0005-0000-0000-0000AA560000}"/>
    <cellStyle name="Normal 27 4 2 2 2 4" xfId="22800" xr:uid="{00000000-0005-0000-0000-0000AB560000}"/>
    <cellStyle name="Normal 27 4 2 2 3" xfId="5868" xr:uid="{00000000-0005-0000-0000-0000AC560000}"/>
    <cellStyle name="Normal 27 4 2 2 3 2" xfId="15192" xr:uid="{00000000-0005-0000-0000-0000AD560000}"/>
    <cellStyle name="Normal 27 4 2 2 3 3" xfId="24515" xr:uid="{00000000-0005-0000-0000-0000AE560000}"/>
    <cellStyle name="Normal 27 4 2 2 4" xfId="11921" xr:uid="{00000000-0005-0000-0000-0000AF560000}"/>
    <cellStyle name="Normal 27 4 2 2 5" xfId="21247" xr:uid="{00000000-0005-0000-0000-0000B0560000}"/>
    <cellStyle name="Normal 27 4 2 3" xfId="4141" xr:uid="{00000000-0005-0000-0000-0000B1560000}"/>
    <cellStyle name="Normal 27 4 2 3 2" xfId="8818" xr:uid="{00000000-0005-0000-0000-0000B2560000}"/>
    <cellStyle name="Normal 27 4 2 3 2 2" xfId="18142" xr:uid="{00000000-0005-0000-0000-0000B3560000}"/>
    <cellStyle name="Normal 27 4 2 3 2 3" xfId="27465" xr:uid="{00000000-0005-0000-0000-0000B4560000}"/>
    <cellStyle name="Normal 27 4 2 3 3" xfId="13475" xr:uid="{00000000-0005-0000-0000-0000B5560000}"/>
    <cellStyle name="Normal 27 4 2 3 4" xfId="22799" xr:uid="{00000000-0005-0000-0000-0000B6560000}"/>
    <cellStyle name="Normal 27 4 2 4" xfId="5867" xr:uid="{00000000-0005-0000-0000-0000B7560000}"/>
    <cellStyle name="Normal 27 4 2 4 2" xfId="15191" xr:uid="{00000000-0005-0000-0000-0000B8560000}"/>
    <cellStyle name="Normal 27 4 2 4 3" xfId="24514" xr:uid="{00000000-0005-0000-0000-0000B9560000}"/>
    <cellStyle name="Normal 27 4 2 5" xfId="11920" xr:uid="{00000000-0005-0000-0000-0000BA560000}"/>
    <cellStyle name="Normal 27 4 2 6" xfId="21246" xr:uid="{00000000-0005-0000-0000-0000BB560000}"/>
    <cellStyle name="Normal 27 4 3" xfId="2441" xr:uid="{00000000-0005-0000-0000-0000BC560000}"/>
    <cellStyle name="Normal 27 4 3 2" xfId="4143" xr:uid="{00000000-0005-0000-0000-0000BD560000}"/>
    <cellStyle name="Normal 27 4 3 2 2" xfId="8820" xr:uid="{00000000-0005-0000-0000-0000BE560000}"/>
    <cellStyle name="Normal 27 4 3 2 2 2" xfId="18144" xr:uid="{00000000-0005-0000-0000-0000BF560000}"/>
    <cellStyle name="Normal 27 4 3 2 2 3" xfId="27467" xr:uid="{00000000-0005-0000-0000-0000C0560000}"/>
    <cellStyle name="Normal 27 4 3 2 3" xfId="13477" xr:uid="{00000000-0005-0000-0000-0000C1560000}"/>
    <cellStyle name="Normal 27 4 3 2 4" xfId="22801" xr:uid="{00000000-0005-0000-0000-0000C2560000}"/>
    <cellStyle name="Normal 27 4 3 3" xfId="5869" xr:uid="{00000000-0005-0000-0000-0000C3560000}"/>
    <cellStyle name="Normal 27 4 3 3 2" xfId="15193" xr:uid="{00000000-0005-0000-0000-0000C4560000}"/>
    <cellStyle name="Normal 27 4 3 3 3" xfId="24516" xr:uid="{00000000-0005-0000-0000-0000C5560000}"/>
    <cellStyle name="Normal 27 4 3 4" xfId="11922" xr:uid="{00000000-0005-0000-0000-0000C6560000}"/>
    <cellStyle name="Normal 27 4 3 5" xfId="21248" xr:uid="{00000000-0005-0000-0000-0000C7560000}"/>
    <cellStyle name="Normal 27 4 4" xfId="4140" xr:uid="{00000000-0005-0000-0000-0000C8560000}"/>
    <cellStyle name="Normal 27 4 4 2" xfId="8817" xr:uid="{00000000-0005-0000-0000-0000C9560000}"/>
    <cellStyle name="Normal 27 4 4 2 2" xfId="18141" xr:uid="{00000000-0005-0000-0000-0000CA560000}"/>
    <cellStyle name="Normal 27 4 4 2 3" xfId="27464" xr:uid="{00000000-0005-0000-0000-0000CB560000}"/>
    <cellStyle name="Normal 27 4 4 3" xfId="13474" xr:uid="{00000000-0005-0000-0000-0000CC560000}"/>
    <cellStyle name="Normal 27 4 4 4" xfId="22798" xr:uid="{00000000-0005-0000-0000-0000CD560000}"/>
    <cellStyle name="Normal 27 4 5" xfId="5866" xr:uid="{00000000-0005-0000-0000-0000CE560000}"/>
    <cellStyle name="Normal 27 4 5 2" xfId="15190" xr:uid="{00000000-0005-0000-0000-0000CF560000}"/>
    <cellStyle name="Normal 27 4 5 3" xfId="24513" xr:uid="{00000000-0005-0000-0000-0000D0560000}"/>
    <cellStyle name="Normal 27 4 6" xfId="11919" xr:uid="{00000000-0005-0000-0000-0000D1560000}"/>
    <cellStyle name="Normal 27 4 7" xfId="21245" xr:uid="{00000000-0005-0000-0000-0000D2560000}"/>
    <cellStyle name="Normal 27 5" xfId="2442" xr:uid="{00000000-0005-0000-0000-0000D3560000}"/>
    <cellStyle name="Normal 27 5 2" xfId="2443" xr:uid="{00000000-0005-0000-0000-0000D4560000}"/>
    <cellStyle name="Normal 27 5 2 2" xfId="4144" xr:uid="{00000000-0005-0000-0000-0000D5560000}"/>
    <cellStyle name="Normal 27 5 2 2 2" xfId="8821" xr:uid="{00000000-0005-0000-0000-0000D6560000}"/>
    <cellStyle name="Normal 27 5 2 2 2 2" xfId="18145" xr:uid="{00000000-0005-0000-0000-0000D7560000}"/>
    <cellStyle name="Normal 27 5 2 2 2 3" xfId="27468" xr:uid="{00000000-0005-0000-0000-0000D8560000}"/>
    <cellStyle name="Normal 27 5 2 2 3" xfId="13478" xr:uid="{00000000-0005-0000-0000-0000D9560000}"/>
    <cellStyle name="Normal 27 5 2 2 4" xfId="22802" xr:uid="{00000000-0005-0000-0000-0000DA560000}"/>
    <cellStyle name="Normal 27 5 2 3" xfId="5871" xr:uid="{00000000-0005-0000-0000-0000DB560000}"/>
    <cellStyle name="Normal 27 5 2 3 2" xfId="15195" xr:uid="{00000000-0005-0000-0000-0000DC560000}"/>
    <cellStyle name="Normal 27 5 2 3 3" xfId="24518" xr:uid="{00000000-0005-0000-0000-0000DD560000}"/>
    <cellStyle name="Normal 27 5 2 4" xfId="11923" xr:uid="{00000000-0005-0000-0000-0000DE560000}"/>
    <cellStyle name="Normal 27 5 2 5" xfId="21249" xr:uid="{00000000-0005-0000-0000-0000DF560000}"/>
    <cellStyle name="Normal 27 5 3" xfId="2444" xr:uid="{00000000-0005-0000-0000-0000E0560000}"/>
    <cellStyle name="Normal 27 6" xfId="2445" xr:uid="{00000000-0005-0000-0000-0000E1560000}"/>
    <cellStyle name="Normal 27 6 2" xfId="4145" xr:uid="{00000000-0005-0000-0000-0000E2560000}"/>
    <cellStyle name="Normal 27 6 2 2" xfId="8822" xr:uid="{00000000-0005-0000-0000-0000E3560000}"/>
    <cellStyle name="Normal 27 6 2 2 2" xfId="18146" xr:uid="{00000000-0005-0000-0000-0000E4560000}"/>
    <cellStyle name="Normal 27 6 2 2 3" xfId="27469" xr:uid="{00000000-0005-0000-0000-0000E5560000}"/>
    <cellStyle name="Normal 27 6 2 3" xfId="13479" xr:uid="{00000000-0005-0000-0000-0000E6560000}"/>
    <cellStyle name="Normal 27 6 2 4" xfId="22803" xr:uid="{00000000-0005-0000-0000-0000E7560000}"/>
    <cellStyle name="Normal 27 6 3" xfId="5873" xr:uid="{00000000-0005-0000-0000-0000E8560000}"/>
    <cellStyle name="Normal 27 6 3 2" xfId="15197" xr:uid="{00000000-0005-0000-0000-0000E9560000}"/>
    <cellStyle name="Normal 27 6 3 3" xfId="24520" xr:uid="{00000000-0005-0000-0000-0000EA560000}"/>
    <cellStyle name="Normal 27 6 4" xfId="11924" xr:uid="{00000000-0005-0000-0000-0000EB560000}"/>
    <cellStyle name="Normal 27 6 5" xfId="21250" xr:uid="{00000000-0005-0000-0000-0000EC560000}"/>
    <cellStyle name="Normal 27 7" xfId="2446" xr:uid="{00000000-0005-0000-0000-0000ED560000}"/>
    <cellStyle name="Normal 27 8" xfId="2429" xr:uid="{00000000-0005-0000-0000-0000EE560000}"/>
    <cellStyle name="Normal 27 9" xfId="3118" xr:uid="{00000000-0005-0000-0000-0000EF560000}"/>
    <cellStyle name="Normal 27 9 2" xfId="7797" xr:uid="{00000000-0005-0000-0000-0000F0560000}"/>
    <cellStyle name="Normal 27 9 2 2" xfId="17121" xr:uid="{00000000-0005-0000-0000-0000F1560000}"/>
    <cellStyle name="Normal 27 9 2 3" xfId="26444" xr:uid="{00000000-0005-0000-0000-0000F2560000}"/>
    <cellStyle name="Normal 27 9 3" xfId="12505" xr:uid="{00000000-0005-0000-0000-0000F3560000}"/>
    <cellStyle name="Normal 27 9 4" xfId="21831" xr:uid="{00000000-0005-0000-0000-0000F4560000}"/>
    <cellStyle name="Normal 28" xfId="1317" xr:uid="{00000000-0005-0000-0000-0000F5560000}"/>
    <cellStyle name="Normal 28 10" xfId="28753" xr:uid="{00000000-0005-0000-0000-0000F6560000}"/>
    <cellStyle name="Normal 28 2" xfId="2448" xr:uid="{00000000-0005-0000-0000-0000F7560000}"/>
    <cellStyle name="Normal 28 2 2" xfId="2449" xr:uid="{00000000-0005-0000-0000-0000F8560000}"/>
    <cellStyle name="Normal 28 2 2 2" xfId="2450" xr:uid="{00000000-0005-0000-0000-0000F9560000}"/>
    <cellStyle name="Normal 28 2 2 2 2" xfId="4149" xr:uid="{00000000-0005-0000-0000-0000FA560000}"/>
    <cellStyle name="Normal 28 2 2 2 2 2" xfId="8826" xr:uid="{00000000-0005-0000-0000-0000FB560000}"/>
    <cellStyle name="Normal 28 2 2 2 2 2 2" xfId="18150" xr:uid="{00000000-0005-0000-0000-0000FC560000}"/>
    <cellStyle name="Normal 28 2 2 2 2 2 3" xfId="27473" xr:uid="{00000000-0005-0000-0000-0000FD560000}"/>
    <cellStyle name="Normal 28 2 2 2 2 3" xfId="13483" xr:uid="{00000000-0005-0000-0000-0000FE560000}"/>
    <cellStyle name="Normal 28 2 2 2 2 4" xfId="22807" xr:uid="{00000000-0005-0000-0000-0000FF560000}"/>
    <cellStyle name="Normal 28 2 2 2 3" xfId="5878" xr:uid="{00000000-0005-0000-0000-000000570000}"/>
    <cellStyle name="Normal 28 2 2 2 3 2" xfId="15202" xr:uid="{00000000-0005-0000-0000-000001570000}"/>
    <cellStyle name="Normal 28 2 2 2 3 3" xfId="24525" xr:uid="{00000000-0005-0000-0000-000002570000}"/>
    <cellStyle name="Normal 28 2 2 2 4" xfId="11928" xr:uid="{00000000-0005-0000-0000-000003570000}"/>
    <cellStyle name="Normal 28 2 2 2 5" xfId="21254" xr:uid="{00000000-0005-0000-0000-000004570000}"/>
    <cellStyle name="Normal 28 2 2 3" xfId="4148" xr:uid="{00000000-0005-0000-0000-000005570000}"/>
    <cellStyle name="Normal 28 2 2 3 2" xfId="8825" xr:uid="{00000000-0005-0000-0000-000006570000}"/>
    <cellStyle name="Normal 28 2 2 3 2 2" xfId="18149" xr:uid="{00000000-0005-0000-0000-000007570000}"/>
    <cellStyle name="Normal 28 2 2 3 2 3" xfId="27472" xr:uid="{00000000-0005-0000-0000-000008570000}"/>
    <cellStyle name="Normal 28 2 2 3 3" xfId="13482" xr:uid="{00000000-0005-0000-0000-000009570000}"/>
    <cellStyle name="Normal 28 2 2 3 4" xfId="22806" xr:uid="{00000000-0005-0000-0000-00000A570000}"/>
    <cellStyle name="Normal 28 2 2 4" xfId="5877" xr:uid="{00000000-0005-0000-0000-00000B570000}"/>
    <cellStyle name="Normal 28 2 2 4 2" xfId="15201" xr:uid="{00000000-0005-0000-0000-00000C570000}"/>
    <cellStyle name="Normal 28 2 2 4 3" xfId="24524" xr:uid="{00000000-0005-0000-0000-00000D570000}"/>
    <cellStyle name="Normal 28 2 2 5" xfId="11927" xr:uid="{00000000-0005-0000-0000-00000E570000}"/>
    <cellStyle name="Normal 28 2 2 6" xfId="21253" xr:uid="{00000000-0005-0000-0000-00000F570000}"/>
    <cellStyle name="Normal 28 2 3" xfId="2451" xr:uid="{00000000-0005-0000-0000-000010570000}"/>
    <cellStyle name="Normal 28 2 3 2" xfId="4150" xr:uid="{00000000-0005-0000-0000-000011570000}"/>
    <cellStyle name="Normal 28 2 3 2 2" xfId="8827" xr:uid="{00000000-0005-0000-0000-000012570000}"/>
    <cellStyle name="Normal 28 2 3 2 2 2" xfId="18151" xr:uid="{00000000-0005-0000-0000-000013570000}"/>
    <cellStyle name="Normal 28 2 3 2 2 3" xfId="27474" xr:uid="{00000000-0005-0000-0000-000014570000}"/>
    <cellStyle name="Normal 28 2 3 2 3" xfId="13484" xr:uid="{00000000-0005-0000-0000-000015570000}"/>
    <cellStyle name="Normal 28 2 3 2 4" xfId="22808" xr:uid="{00000000-0005-0000-0000-000016570000}"/>
    <cellStyle name="Normal 28 2 3 3" xfId="5879" xr:uid="{00000000-0005-0000-0000-000017570000}"/>
    <cellStyle name="Normal 28 2 3 3 2" xfId="15203" xr:uid="{00000000-0005-0000-0000-000018570000}"/>
    <cellStyle name="Normal 28 2 3 3 3" xfId="24526" xr:uid="{00000000-0005-0000-0000-000019570000}"/>
    <cellStyle name="Normal 28 2 3 4" xfId="11929" xr:uid="{00000000-0005-0000-0000-00001A570000}"/>
    <cellStyle name="Normal 28 2 3 5" xfId="21255" xr:uid="{00000000-0005-0000-0000-00001B570000}"/>
    <cellStyle name="Normal 28 2 4" xfId="4147" xr:uid="{00000000-0005-0000-0000-00001C570000}"/>
    <cellStyle name="Normal 28 2 4 2" xfId="8824" xr:uid="{00000000-0005-0000-0000-00001D570000}"/>
    <cellStyle name="Normal 28 2 4 2 2" xfId="18148" xr:uid="{00000000-0005-0000-0000-00001E570000}"/>
    <cellStyle name="Normal 28 2 4 2 3" xfId="27471" xr:uid="{00000000-0005-0000-0000-00001F570000}"/>
    <cellStyle name="Normal 28 2 4 3" xfId="13481" xr:uid="{00000000-0005-0000-0000-000020570000}"/>
    <cellStyle name="Normal 28 2 4 4" xfId="22805" xr:uid="{00000000-0005-0000-0000-000021570000}"/>
    <cellStyle name="Normal 28 2 5" xfId="5876" xr:uid="{00000000-0005-0000-0000-000022570000}"/>
    <cellStyle name="Normal 28 2 5 2" xfId="15200" xr:uid="{00000000-0005-0000-0000-000023570000}"/>
    <cellStyle name="Normal 28 2 5 3" xfId="24523" xr:uid="{00000000-0005-0000-0000-000024570000}"/>
    <cellStyle name="Normal 28 2 6" xfId="11926" xr:uid="{00000000-0005-0000-0000-000025570000}"/>
    <cellStyle name="Normal 28 2 7" xfId="21252" xr:uid="{00000000-0005-0000-0000-000026570000}"/>
    <cellStyle name="Normal 28 2 8" xfId="28891" xr:uid="{00000000-0005-0000-0000-000027570000}"/>
    <cellStyle name="Normal 28 3" xfId="2452" xr:uid="{00000000-0005-0000-0000-000028570000}"/>
    <cellStyle name="Normal 28 3 2" xfId="2453" xr:uid="{00000000-0005-0000-0000-000029570000}"/>
    <cellStyle name="Normal 28 3 2 2" xfId="4152" xr:uid="{00000000-0005-0000-0000-00002A570000}"/>
    <cellStyle name="Normal 28 3 2 2 2" xfId="8829" xr:uid="{00000000-0005-0000-0000-00002B570000}"/>
    <cellStyle name="Normal 28 3 2 2 2 2" xfId="18153" xr:uid="{00000000-0005-0000-0000-00002C570000}"/>
    <cellStyle name="Normal 28 3 2 2 2 3" xfId="27476" xr:uid="{00000000-0005-0000-0000-00002D570000}"/>
    <cellStyle name="Normal 28 3 2 2 3" xfId="13486" xr:uid="{00000000-0005-0000-0000-00002E570000}"/>
    <cellStyle name="Normal 28 3 2 2 4" xfId="22810" xr:uid="{00000000-0005-0000-0000-00002F570000}"/>
    <cellStyle name="Normal 28 3 2 3" xfId="5881" xr:uid="{00000000-0005-0000-0000-000030570000}"/>
    <cellStyle name="Normal 28 3 2 3 2" xfId="15205" xr:uid="{00000000-0005-0000-0000-000031570000}"/>
    <cellStyle name="Normal 28 3 2 3 3" xfId="24528" xr:uid="{00000000-0005-0000-0000-000032570000}"/>
    <cellStyle name="Normal 28 3 2 4" xfId="11931" xr:uid="{00000000-0005-0000-0000-000033570000}"/>
    <cellStyle name="Normal 28 3 2 5" xfId="21257" xr:uid="{00000000-0005-0000-0000-000034570000}"/>
    <cellStyle name="Normal 28 3 3" xfId="4151" xr:uid="{00000000-0005-0000-0000-000035570000}"/>
    <cellStyle name="Normal 28 3 3 2" xfId="8828" xr:uid="{00000000-0005-0000-0000-000036570000}"/>
    <cellStyle name="Normal 28 3 3 2 2" xfId="18152" xr:uid="{00000000-0005-0000-0000-000037570000}"/>
    <cellStyle name="Normal 28 3 3 2 3" xfId="27475" xr:uid="{00000000-0005-0000-0000-000038570000}"/>
    <cellStyle name="Normal 28 3 3 3" xfId="13485" xr:uid="{00000000-0005-0000-0000-000039570000}"/>
    <cellStyle name="Normal 28 3 3 4" xfId="22809" xr:uid="{00000000-0005-0000-0000-00003A570000}"/>
    <cellStyle name="Normal 28 3 4" xfId="5880" xr:uid="{00000000-0005-0000-0000-00003B570000}"/>
    <cellStyle name="Normal 28 3 4 2" xfId="15204" xr:uid="{00000000-0005-0000-0000-00003C570000}"/>
    <cellStyle name="Normal 28 3 4 3" xfId="24527" xr:uid="{00000000-0005-0000-0000-00003D570000}"/>
    <cellStyle name="Normal 28 3 5" xfId="11930" xr:uid="{00000000-0005-0000-0000-00003E570000}"/>
    <cellStyle name="Normal 28 3 6" xfId="21256" xr:uid="{00000000-0005-0000-0000-00003F570000}"/>
    <cellStyle name="Normal 28 3 7" xfId="28806" xr:uid="{00000000-0005-0000-0000-000040570000}"/>
    <cellStyle name="Normal 28 4" xfId="2454" xr:uid="{00000000-0005-0000-0000-000041570000}"/>
    <cellStyle name="Normal 28 4 2" xfId="4153" xr:uid="{00000000-0005-0000-0000-000042570000}"/>
    <cellStyle name="Normal 28 4 2 2" xfId="8830" xr:uid="{00000000-0005-0000-0000-000043570000}"/>
    <cellStyle name="Normal 28 4 2 2 2" xfId="18154" xr:uid="{00000000-0005-0000-0000-000044570000}"/>
    <cellStyle name="Normal 28 4 2 2 3" xfId="27477" xr:uid="{00000000-0005-0000-0000-000045570000}"/>
    <cellStyle name="Normal 28 4 2 3" xfId="13487" xr:uid="{00000000-0005-0000-0000-000046570000}"/>
    <cellStyle name="Normal 28 4 2 4" xfId="22811" xr:uid="{00000000-0005-0000-0000-000047570000}"/>
    <cellStyle name="Normal 28 4 3" xfId="5882" xr:uid="{00000000-0005-0000-0000-000048570000}"/>
    <cellStyle name="Normal 28 4 3 2" xfId="15206" xr:uid="{00000000-0005-0000-0000-000049570000}"/>
    <cellStyle name="Normal 28 4 3 3" xfId="24529" xr:uid="{00000000-0005-0000-0000-00004A570000}"/>
    <cellStyle name="Normal 28 4 4" xfId="11932" xr:uid="{00000000-0005-0000-0000-00004B570000}"/>
    <cellStyle name="Normal 28 4 5" xfId="21258" xr:uid="{00000000-0005-0000-0000-00004C570000}"/>
    <cellStyle name="Normal 28 5" xfId="2447" xr:uid="{00000000-0005-0000-0000-00004D570000}"/>
    <cellStyle name="Normal 28 5 2" xfId="4146" xr:uid="{00000000-0005-0000-0000-00004E570000}"/>
    <cellStyle name="Normal 28 5 2 2" xfId="8823" xr:uid="{00000000-0005-0000-0000-00004F570000}"/>
    <cellStyle name="Normal 28 5 2 2 2" xfId="18147" xr:uid="{00000000-0005-0000-0000-000050570000}"/>
    <cellStyle name="Normal 28 5 2 2 3" xfId="27470" xr:uid="{00000000-0005-0000-0000-000051570000}"/>
    <cellStyle name="Normal 28 5 2 3" xfId="13480" xr:uid="{00000000-0005-0000-0000-000052570000}"/>
    <cellStyle name="Normal 28 5 2 4" xfId="22804" xr:uid="{00000000-0005-0000-0000-000053570000}"/>
    <cellStyle name="Normal 28 5 3" xfId="5875" xr:uid="{00000000-0005-0000-0000-000054570000}"/>
    <cellStyle name="Normal 28 5 3 2" xfId="15199" xr:uid="{00000000-0005-0000-0000-000055570000}"/>
    <cellStyle name="Normal 28 5 3 3" xfId="24522" xr:uid="{00000000-0005-0000-0000-000056570000}"/>
    <cellStyle name="Normal 28 5 4" xfId="11925" xr:uid="{00000000-0005-0000-0000-000057570000}"/>
    <cellStyle name="Normal 28 5 5" xfId="21251" xr:uid="{00000000-0005-0000-0000-000058570000}"/>
    <cellStyle name="Normal 28 6" xfId="3119" xr:uid="{00000000-0005-0000-0000-000059570000}"/>
    <cellStyle name="Normal 28 6 2" xfId="7798" xr:uid="{00000000-0005-0000-0000-00005A570000}"/>
    <cellStyle name="Normal 28 6 2 2" xfId="17122" xr:uid="{00000000-0005-0000-0000-00005B570000}"/>
    <cellStyle name="Normal 28 6 2 3" xfId="26445" xr:uid="{00000000-0005-0000-0000-00005C570000}"/>
    <cellStyle name="Normal 28 6 3" xfId="12506" xr:uid="{00000000-0005-0000-0000-00005D570000}"/>
    <cellStyle name="Normal 28 6 4" xfId="21832" xr:uid="{00000000-0005-0000-0000-00005E570000}"/>
    <cellStyle name="Normal 28 7" xfId="4775" xr:uid="{00000000-0005-0000-0000-00005F570000}"/>
    <cellStyle name="Normal 28 7 2" xfId="14099" xr:uid="{00000000-0005-0000-0000-000060570000}"/>
    <cellStyle name="Normal 28 7 3" xfId="23422" xr:uid="{00000000-0005-0000-0000-000061570000}"/>
    <cellStyle name="Normal 28 8" xfId="10900" xr:uid="{00000000-0005-0000-0000-000062570000}"/>
    <cellStyle name="Normal 28 9" xfId="20224" xr:uid="{00000000-0005-0000-0000-000063570000}"/>
    <cellStyle name="Normal 29" xfId="1318" xr:uid="{00000000-0005-0000-0000-000064570000}"/>
    <cellStyle name="Normal 29 2" xfId="2456" xr:uid="{00000000-0005-0000-0000-000065570000}"/>
    <cellStyle name="Normal 29 2 2" xfId="2457" xr:uid="{00000000-0005-0000-0000-000066570000}"/>
    <cellStyle name="Normal 29 2 2 2" xfId="4156" xr:uid="{00000000-0005-0000-0000-000067570000}"/>
    <cellStyle name="Normal 29 2 2 2 2" xfId="8833" xr:uid="{00000000-0005-0000-0000-000068570000}"/>
    <cellStyle name="Normal 29 2 2 2 2 2" xfId="18157" xr:uid="{00000000-0005-0000-0000-000069570000}"/>
    <cellStyle name="Normal 29 2 2 2 2 3" xfId="27480" xr:uid="{00000000-0005-0000-0000-00006A570000}"/>
    <cellStyle name="Normal 29 2 2 2 3" xfId="13490" xr:uid="{00000000-0005-0000-0000-00006B570000}"/>
    <cellStyle name="Normal 29 2 2 2 4" xfId="22814" xr:uid="{00000000-0005-0000-0000-00006C570000}"/>
    <cellStyle name="Normal 29 2 2 3" xfId="5885" xr:uid="{00000000-0005-0000-0000-00006D570000}"/>
    <cellStyle name="Normal 29 2 2 3 2" xfId="15209" xr:uid="{00000000-0005-0000-0000-00006E570000}"/>
    <cellStyle name="Normal 29 2 2 3 3" xfId="24532" xr:uid="{00000000-0005-0000-0000-00006F570000}"/>
    <cellStyle name="Normal 29 2 2 4" xfId="11935" xr:uid="{00000000-0005-0000-0000-000070570000}"/>
    <cellStyle name="Normal 29 2 2 5" xfId="21261" xr:uid="{00000000-0005-0000-0000-000071570000}"/>
    <cellStyle name="Normal 29 2 3" xfId="4155" xr:uid="{00000000-0005-0000-0000-000072570000}"/>
    <cellStyle name="Normal 29 2 3 2" xfId="8832" xr:uid="{00000000-0005-0000-0000-000073570000}"/>
    <cellStyle name="Normal 29 2 3 2 2" xfId="18156" xr:uid="{00000000-0005-0000-0000-000074570000}"/>
    <cellStyle name="Normal 29 2 3 2 3" xfId="27479" xr:uid="{00000000-0005-0000-0000-000075570000}"/>
    <cellStyle name="Normal 29 2 3 3" xfId="13489" xr:uid="{00000000-0005-0000-0000-000076570000}"/>
    <cellStyle name="Normal 29 2 3 4" xfId="22813" xr:uid="{00000000-0005-0000-0000-000077570000}"/>
    <cellStyle name="Normal 29 2 4" xfId="5884" xr:uid="{00000000-0005-0000-0000-000078570000}"/>
    <cellStyle name="Normal 29 2 4 2" xfId="15208" xr:uid="{00000000-0005-0000-0000-000079570000}"/>
    <cellStyle name="Normal 29 2 4 3" xfId="24531" xr:uid="{00000000-0005-0000-0000-00007A570000}"/>
    <cellStyle name="Normal 29 2 5" xfId="11934" xr:uid="{00000000-0005-0000-0000-00007B570000}"/>
    <cellStyle name="Normal 29 2 6" xfId="21260" xr:uid="{00000000-0005-0000-0000-00007C570000}"/>
    <cellStyle name="Normal 29 2 7" xfId="28892" xr:uid="{00000000-0005-0000-0000-00007D570000}"/>
    <cellStyle name="Normal 29 3" xfId="2458" xr:uid="{00000000-0005-0000-0000-00007E570000}"/>
    <cellStyle name="Normal 29 3 2" xfId="4157" xr:uid="{00000000-0005-0000-0000-00007F570000}"/>
    <cellStyle name="Normal 29 3 2 2" xfId="8834" xr:uid="{00000000-0005-0000-0000-000080570000}"/>
    <cellStyle name="Normal 29 3 2 2 2" xfId="18158" xr:uid="{00000000-0005-0000-0000-000081570000}"/>
    <cellStyle name="Normal 29 3 2 2 3" xfId="27481" xr:uid="{00000000-0005-0000-0000-000082570000}"/>
    <cellStyle name="Normal 29 3 2 3" xfId="13491" xr:uid="{00000000-0005-0000-0000-000083570000}"/>
    <cellStyle name="Normal 29 3 2 4" xfId="22815" xr:uid="{00000000-0005-0000-0000-000084570000}"/>
    <cellStyle name="Normal 29 3 3" xfId="5886" xr:uid="{00000000-0005-0000-0000-000085570000}"/>
    <cellStyle name="Normal 29 3 3 2" xfId="15210" xr:uid="{00000000-0005-0000-0000-000086570000}"/>
    <cellStyle name="Normal 29 3 3 3" xfId="24533" xr:uid="{00000000-0005-0000-0000-000087570000}"/>
    <cellStyle name="Normal 29 3 4" xfId="11936" xr:uid="{00000000-0005-0000-0000-000088570000}"/>
    <cellStyle name="Normal 29 3 5" xfId="21262" xr:uid="{00000000-0005-0000-0000-000089570000}"/>
    <cellStyle name="Normal 29 3 6" xfId="28807" xr:uid="{00000000-0005-0000-0000-00008A570000}"/>
    <cellStyle name="Normal 29 4" xfId="2455" xr:uid="{00000000-0005-0000-0000-00008B570000}"/>
    <cellStyle name="Normal 29 4 2" xfId="4154" xr:uid="{00000000-0005-0000-0000-00008C570000}"/>
    <cellStyle name="Normal 29 4 2 2" xfId="8831" xr:uid="{00000000-0005-0000-0000-00008D570000}"/>
    <cellStyle name="Normal 29 4 2 2 2" xfId="18155" xr:uid="{00000000-0005-0000-0000-00008E570000}"/>
    <cellStyle name="Normal 29 4 2 2 3" xfId="27478" xr:uid="{00000000-0005-0000-0000-00008F570000}"/>
    <cellStyle name="Normal 29 4 2 3" xfId="13488" xr:uid="{00000000-0005-0000-0000-000090570000}"/>
    <cellStyle name="Normal 29 4 2 4" xfId="22812" xr:uid="{00000000-0005-0000-0000-000091570000}"/>
    <cellStyle name="Normal 29 4 3" xfId="5883" xr:uid="{00000000-0005-0000-0000-000092570000}"/>
    <cellStyle name="Normal 29 4 3 2" xfId="15207" xr:uid="{00000000-0005-0000-0000-000093570000}"/>
    <cellStyle name="Normal 29 4 3 3" xfId="24530" xr:uid="{00000000-0005-0000-0000-000094570000}"/>
    <cellStyle name="Normal 29 4 4" xfId="11933" xr:uid="{00000000-0005-0000-0000-000095570000}"/>
    <cellStyle name="Normal 29 4 5" xfId="21259" xr:uid="{00000000-0005-0000-0000-000096570000}"/>
    <cellStyle name="Normal 29 5" xfId="28754" xr:uid="{00000000-0005-0000-0000-000097570000}"/>
    <cellStyle name="Normal 3" xfId="165" xr:uid="{00000000-0005-0000-0000-000098570000}"/>
    <cellStyle name="Normal 3 10" xfId="1110" xr:uid="{00000000-0005-0000-0000-000099570000}"/>
    <cellStyle name="Normal 3 11" xfId="9298" xr:uid="{00000000-0005-0000-0000-00009A570000}"/>
    <cellStyle name="Normal 3 11 2" xfId="18622" xr:uid="{00000000-0005-0000-0000-00009B570000}"/>
    <cellStyle name="Normal 3 11 3" xfId="27945" xr:uid="{00000000-0005-0000-0000-00009C570000}"/>
    <cellStyle name="Normal 3 12" xfId="9792" xr:uid="{00000000-0005-0000-0000-00009D570000}"/>
    <cellStyle name="Normal 3 13" xfId="19116" xr:uid="{00000000-0005-0000-0000-00009E570000}"/>
    <cellStyle name="Normal 3 2" xfId="166" xr:uid="{00000000-0005-0000-0000-00009F570000}"/>
    <cellStyle name="Normal 3 2 2" xfId="230" xr:uid="{00000000-0005-0000-0000-0000A0570000}"/>
    <cellStyle name="Normal 3 2 2 10" xfId="9852" xr:uid="{00000000-0005-0000-0000-0000A1570000}"/>
    <cellStyle name="Normal 3 2 2 11" xfId="19176" xr:uid="{00000000-0005-0000-0000-0000A2570000}"/>
    <cellStyle name="Normal 3 2 2 2" xfId="370" xr:uid="{00000000-0005-0000-0000-0000A3570000}"/>
    <cellStyle name="Normal 3 2 2 2 2" xfId="610" xr:uid="{00000000-0005-0000-0000-0000A4570000}"/>
    <cellStyle name="Normal 3 2 2 2 2 2" xfId="1098" xr:uid="{00000000-0005-0000-0000-0000A5570000}"/>
    <cellStyle name="Normal 3 2 2 2 2 2 2" xfId="6726" xr:uid="{00000000-0005-0000-0000-0000A6570000}"/>
    <cellStyle name="Normal 3 2 2 2 2 2 2 2" xfId="16050" xr:uid="{00000000-0005-0000-0000-0000A7570000}"/>
    <cellStyle name="Normal 3 2 2 2 2 2 2 3" xfId="25373" xr:uid="{00000000-0005-0000-0000-0000A8570000}"/>
    <cellStyle name="Normal 3 2 2 2 2 2 3" xfId="10699" xr:uid="{00000000-0005-0000-0000-0000A9570000}"/>
    <cellStyle name="Normal 3 2 2 2 2 2 4" xfId="20023" xr:uid="{00000000-0005-0000-0000-0000AA570000}"/>
    <cellStyle name="Normal 3 2 2 2 2 3" xfId="2463" xr:uid="{00000000-0005-0000-0000-0000AB570000}"/>
    <cellStyle name="Normal 3 2 2 2 2 3 2" xfId="7539" xr:uid="{00000000-0005-0000-0000-0000AC570000}"/>
    <cellStyle name="Normal 3 2 2 2 2 3 2 2" xfId="16863" xr:uid="{00000000-0005-0000-0000-0000AD570000}"/>
    <cellStyle name="Normal 3 2 2 2 2 3 2 3" xfId="26186" xr:uid="{00000000-0005-0000-0000-0000AE570000}"/>
    <cellStyle name="Normal 3 2 2 2 2 3 3" xfId="11939" xr:uid="{00000000-0005-0000-0000-0000AF570000}"/>
    <cellStyle name="Normal 3 2 2 2 2 3 4" xfId="21265" xr:uid="{00000000-0005-0000-0000-0000B0570000}"/>
    <cellStyle name="Normal 3 2 2 2 2 4" xfId="4160" xr:uid="{00000000-0005-0000-0000-0000B1570000}"/>
    <cellStyle name="Normal 3 2 2 2 2 4 2" xfId="8837" xr:uid="{00000000-0005-0000-0000-0000B2570000}"/>
    <cellStyle name="Normal 3 2 2 2 2 4 2 2" xfId="18161" xr:uid="{00000000-0005-0000-0000-0000B3570000}"/>
    <cellStyle name="Normal 3 2 2 2 2 4 2 3" xfId="27484" xr:uid="{00000000-0005-0000-0000-0000B4570000}"/>
    <cellStyle name="Normal 3 2 2 2 2 4 3" xfId="13494" xr:uid="{00000000-0005-0000-0000-0000B5570000}"/>
    <cellStyle name="Normal 3 2 2 2 2 4 4" xfId="22818" xr:uid="{00000000-0005-0000-0000-0000B6570000}"/>
    <cellStyle name="Normal 3 2 2 2 2 5" xfId="5890" xr:uid="{00000000-0005-0000-0000-0000B7570000}"/>
    <cellStyle name="Normal 3 2 2 2 2 5 2" xfId="15214" xr:uid="{00000000-0005-0000-0000-0000B8570000}"/>
    <cellStyle name="Normal 3 2 2 2 2 5 3" xfId="24537" xr:uid="{00000000-0005-0000-0000-0000B9570000}"/>
    <cellStyle name="Normal 3 2 2 2 2 6" xfId="9721" xr:uid="{00000000-0005-0000-0000-0000BA570000}"/>
    <cellStyle name="Normal 3 2 2 2 2 6 2" xfId="19045" xr:uid="{00000000-0005-0000-0000-0000BB570000}"/>
    <cellStyle name="Normal 3 2 2 2 2 6 3" xfId="28368" xr:uid="{00000000-0005-0000-0000-0000BC570000}"/>
    <cellStyle name="Normal 3 2 2 2 2 7" xfId="10215" xr:uid="{00000000-0005-0000-0000-0000BD570000}"/>
    <cellStyle name="Normal 3 2 2 2 2 8" xfId="19539" xr:uid="{00000000-0005-0000-0000-0000BE570000}"/>
    <cellStyle name="Normal 3 2 2 2 3" xfId="858" xr:uid="{00000000-0005-0000-0000-0000BF570000}"/>
    <cellStyle name="Normal 3 2 2 2 3 2" xfId="6904" xr:uid="{00000000-0005-0000-0000-0000C0570000}"/>
    <cellStyle name="Normal 3 2 2 2 3 2 2" xfId="16228" xr:uid="{00000000-0005-0000-0000-0000C1570000}"/>
    <cellStyle name="Normal 3 2 2 2 3 2 3" xfId="25551" xr:uid="{00000000-0005-0000-0000-0000C2570000}"/>
    <cellStyle name="Normal 3 2 2 2 3 3" xfId="10459" xr:uid="{00000000-0005-0000-0000-0000C3570000}"/>
    <cellStyle name="Normal 3 2 2 2 3 4" xfId="19783" xr:uid="{00000000-0005-0000-0000-0000C4570000}"/>
    <cellStyle name="Normal 3 2 2 2 4" xfId="2462" xr:uid="{00000000-0005-0000-0000-0000C5570000}"/>
    <cellStyle name="Normal 3 2 2 2 4 2" xfId="7538" xr:uid="{00000000-0005-0000-0000-0000C6570000}"/>
    <cellStyle name="Normal 3 2 2 2 4 2 2" xfId="16862" xr:uid="{00000000-0005-0000-0000-0000C7570000}"/>
    <cellStyle name="Normal 3 2 2 2 4 2 3" xfId="26185" xr:uid="{00000000-0005-0000-0000-0000C8570000}"/>
    <cellStyle name="Normal 3 2 2 2 4 3" xfId="11938" xr:uid="{00000000-0005-0000-0000-0000C9570000}"/>
    <cellStyle name="Normal 3 2 2 2 4 4" xfId="21264" xr:uid="{00000000-0005-0000-0000-0000CA570000}"/>
    <cellStyle name="Normal 3 2 2 2 5" xfId="4159" xr:uid="{00000000-0005-0000-0000-0000CB570000}"/>
    <cellStyle name="Normal 3 2 2 2 5 2" xfId="8836" xr:uid="{00000000-0005-0000-0000-0000CC570000}"/>
    <cellStyle name="Normal 3 2 2 2 5 2 2" xfId="18160" xr:uid="{00000000-0005-0000-0000-0000CD570000}"/>
    <cellStyle name="Normal 3 2 2 2 5 2 3" xfId="27483" xr:uid="{00000000-0005-0000-0000-0000CE570000}"/>
    <cellStyle name="Normal 3 2 2 2 5 3" xfId="13493" xr:uid="{00000000-0005-0000-0000-0000CF570000}"/>
    <cellStyle name="Normal 3 2 2 2 5 4" xfId="22817" xr:uid="{00000000-0005-0000-0000-0000D0570000}"/>
    <cellStyle name="Normal 3 2 2 2 6" xfId="5889" xr:uid="{00000000-0005-0000-0000-0000D1570000}"/>
    <cellStyle name="Normal 3 2 2 2 6 2" xfId="15213" xr:uid="{00000000-0005-0000-0000-0000D2570000}"/>
    <cellStyle name="Normal 3 2 2 2 6 3" xfId="24536" xr:uid="{00000000-0005-0000-0000-0000D3570000}"/>
    <cellStyle name="Normal 3 2 2 2 7" xfId="9481" xr:uid="{00000000-0005-0000-0000-0000D4570000}"/>
    <cellStyle name="Normal 3 2 2 2 7 2" xfId="18805" xr:uid="{00000000-0005-0000-0000-0000D5570000}"/>
    <cellStyle name="Normal 3 2 2 2 7 3" xfId="28128" xr:uid="{00000000-0005-0000-0000-0000D6570000}"/>
    <cellStyle name="Normal 3 2 2 2 8" xfId="9975" xr:uid="{00000000-0005-0000-0000-0000D7570000}"/>
    <cellStyle name="Normal 3 2 2 2 9" xfId="19299" xr:uid="{00000000-0005-0000-0000-0000D8570000}"/>
    <cellStyle name="Normal 3 2 2 3" xfId="488" xr:uid="{00000000-0005-0000-0000-0000D9570000}"/>
    <cellStyle name="Normal 3 2 2 3 2" xfId="976" xr:uid="{00000000-0005-0000-0000-0000DA570000}"/>
    <cellStyle name="Normal 3 2 2 3 2 2" xfId="6813" xr:uid="{00000000-0005-0000-0000-0000DB570000}"/>
    <cellStyle name="Normal 3 2 2 3 2 2 2" xfId="16137" xr:uid="{00000000-0005-0000-0000-0000DC570000}"/>
    <cellStyle name="Normal 3 2 2 3 2 2 3" xfId="25460" xr:uid="{00000000-0005-0000-0000-0000DD570000}"/>
    <cellStyle name="Normal 3 2 2 3 2 3" xfId="10577" xr:uid="{00000000-0005-0000-0000-0000DE570000}"/>
    <cellStyle name="Normal 3 2 2 3 2 4" xfId="19901" xr:uid="{00000000-0005-0000-0000-0000DF570000}"/>
    <cellStyle name="Normal 3 2 2 3 3" xfId="2464" xr:uid="{00000000-0005-0000-0000-0000E0570000}"/>
    <cellStyle name="Normal 3 2 2 3 3 2" xfId="7540" xr:uid="{00000000-0005-0000-0000-0000E1570000}"/>
    <cellStyle name="Normal 3 2 2 3 3 2 2" xfId="16864" xr:uid="{00000000-0005-0000-0000-0000E2570000}"/>
    <cellStyle name="Normal 3 2 2 3 3 2 3" xfId="26187" xr:uid="{00000000-0005-0000-0000-0000E3570000}"/>
    <cellStyle name="Normal 3 2 2 3 3 3" xfId="11940" xr:uid="{00000000-0005-0000-0000-0000E4570000}"/>
    <cellStyle name="Normal 3 2 2 3 3 4" xfId="21266" xr:uid="{00000000-0005-0000-0000-0000E5570000}"/>
    <cellStyle name="Normal 3 2 2 3 4" xfId="4161" xr:uid="{00000000-0005-0000-0000-0000E6570000}"/>
    <cellStyle name="Normal 3 2 2 3 4 2" xfId="8838" xr:uid="{00000000-0005-0000-0000-0000E7570000}"/>
    <cellStyle name="Normal 3 2 2 3 4 2 2" xfId="18162" xr:uid="{00000000-0005-0000-0000-0000E8570000}"/>
    <cellStyle name="Normal 3 2 2 3 4 2 3" xfId="27485" xr:uid="{00000000-0005-0000-0000-0000E9570000}"/>
    <cellStyle name="Normal 3 2 2 3 4 3" xfId="13495" xr:uid="{00000000-0005-0000-0000-0000EA570000}"/>
    <cellStyle name="Normal 3 2 2 3 4 4" xfId="22819" xr:uid="{00000000-0005-0000-0000-0000EB570000}"/>
    <cellStyle name="Normal 3 2 2 3 5" xfId="5891" xr:uid="{00000000-0005-0000-0000-0000EC570000}"/>
    <cellStyle name="Normal 3 2 2 3 5 2" xfId="15215" xr:uid="{00000000-0005-0000-0000-0000ED570000}"/>
    <cellStyle name="Normal 3 2 2 3 5 3" xfId="24538" xr:uid="{00000000-0005-0000-0000-0000EE570000}"/>
    <cellStyle name="Normal 3 2 2 3 6" xfId="9599" xr:uid="{00000000-0005-0000-0000-0000EF570000}"/>
    <cellStyle name="Normal 3 2 2 3 6 2" xfId="18923" xr:uid="{00000000-0005-0000-0000-0000F0570000}"/>
    <cellStyle name="Normal 3 2 2 3 6 3" xfId="28246" xr:uid="{00000000-0005-0000-0000-0000F1570000}"/>
    <cellStyle name="Normal 3 2 2 3 7" xfId="10093" xr:uid="{00000000-0005-0000-0000-0000F2570000}"/>
    <cellStyle name="Normal 3 2 2 3 8" xfId="19417" xr:uid="{00000000-0005-0000-0000-0000F3570000}"/>
    <cellStyle name="Normal 3 2 2 4" xfId="736" xr:uid="{00000000-0005-0000-0000-0000F4570000}"/>
    <cellStyle name="Normal 3 2 2 4 2" xfId="2465" xr:uid="{00000000-0005-0000-0000-0000F5570000}"/>
    <cellStyle name="Normal 3 2 2 4 2 2" xfId="7541" xr:uid="{00000000-0005-0000-0000-0000F6570000}"/>
    <cellStyle name="Normal 3 2 2 4 2 2 2" xfId="16865" xr:uid="{00000000-0005-0000-0000-0000F7570000}"/>
    <cellStyle name="Normal 3 2 2 4 2 2 3" xfId="26188" xr:uid="{00000000-0005-0000-0000-0000F8570000}"/>
    <cellStyle name="Normal 3 2 2 4 2 3" xfId="11941" xr:uid="{00000000-0005-0000-0000-0000F9570000}"/>
    <cellStyle name="Normal 3 2 2 4 2 4" xfId="21267" xr:uid="{00000000-0005-0000-0000-0000FA570000}"/>
    <cellStyle name="Normal 3 2 2 4 3" xfId="4162" xr:uid="{00000000-0005-0000-0000-0000FB570000}"/>
    <cellStyle name="Normal 3 2 2 4 3 2" xfId="8839" xr:uid="{00000000-0005-0000-0000-0000FC570000}"/>
    <cellStyle name="Normal 3 2 2 4 3 2 2" xfId="18163" xr:uid="{00000000-0005-0000-0000-0000FD570000}"/>
    <cellStyle name="Normal 3 2 2 4 3 2 3" xfId="27486" xr:uid="{00000000-0005-0000-0000-0000FE570000}"/>
    <cellStyle name="Normal 3 2 2 4 3 3" xfId="13496" xr:uid="{00000000-0005-0000-0000-0000FF570000}"/>
    <cellStyle name="Normal 3 2 2 4 3 4" xfId="22820" xr:uid="{00000000-0005-0000-0000-000000580000}"/>
    <cellStyle name="Normal 3 2 2 4 4" xfId="5892" xr:uid="{00000000-0005-0000-0000-000001580000}"/>
    <cellStyle name="Normal 3 2 2 4 4 2" xfId="15216" xr:uid="{00000000-0005-0000-0000-000002580000}"/>
    <cellStyle name="Normal 3 2 2 4 4 3" xfId="24539" xr:uid="{00000000-0005-0000-0000-000003580000}"/>
    <cellStyle name="Normal 3 2 2 4 5" xfId="10337" xr:uid="{00000000-0005-0000-0000-000004580000}"/>
    <cellStyle name="Normal 3 2 2 4 6" xfId="19661" xr:uid="{00000000-0005-0000-0000-000005580000}"/>
    <cellStyle name="Normal 3 2 2 5" xfId="2466" xr:uid="{00000000-0005-0000-0000-000006580000}"/>
    <cellStyle name="Normal 3 2 2 5 2" xfId="4163" xr:uid="{00000000-0005-0000-0000-000007580000}"/>
    <cellStyle name="Normal 3 2 2 5 2 2" xfId="8840" xr:uid="{00000000-0005-0000-0000-000008580000}"/>
    <cellStyle name="Normal 3 2 2 5 2 2 2" xfId="18164" xr:uid="{00000000-0005-0000-0000-000009580000}"/>
    <cellStyle name="Normal 3 2 2 5 2 2 3" xfId="27487" xr:uid="{00000000-0005-0000-0000-00000A580000}"/>
    <cellStyle name="Normal 3 2 2 5 2 3" xfId="13497" xr:uid="{00000000-0005-0000-0000-00000B580000}"/>
    <cellStyle name="Normal 3 2 2 5 2 4" xfId="22821" xr:uid="{00000000-0005-0000-0000-00000C580000}"/>
    <cellStyle name="Normal 3 2 2 5 3" xfId="5893" xr:uid="{00000000-0005-0000-0000-00000D580000}"/>
    <cellStyle name="Normal 3 2 2 5 3 2" xfId="15217" xr:uid="{00000000-0005-0000-0000-00000E580000}"/>
    <cellStyle name="Normal 3 2 2 5 3 3" xfId="24540" xr:uid="{00000000-0005-0000-0000-00000F580000}"/>
    <cellStyle name="Normal 3 2 2 5 4" xfId="11942" xr:uid="{00000000-0005-0000-0000-000010580000}"/>
    <cellStyle name="Normal 3 2 2 5 5" xfId="21268" xr:uid="{00000000-0005-0000-0000-000011580000}"/>
    <cellStyle name="Normal 3 2 2 6" xfId="2461" xr:uid="{00000000-0005-0000-0000-000012580000}"/>
    <cellStyle name="Normal 3 2 2 6 2" xfId="7537" xr:uid="{00000000-0005-0000-0000-000013580000}"/>
    <cellStyle name="Normal 3 2 2 6 2 2" xfId="16861" xr:uid="{00000000-0005-0000-0000-000014580000}"/>
    <cellStyle name="Normal 3 2 2 6 2 3" xfId="26184" xr:uid="{00000000-0005-0000-0000-000015580000}"/>
    <cellStyle name="Normal 3 2 2 6 3" xfId="11937" xr:uid="{00000000-0005-0000-0000-000016580000}"/>
    <cellStyle name="Normal 3 2 2 6 4" xfId="21263" xr:uid="{00000000-0005-0000-0000-000017580000}"/>
    <cellStyle name="Normal 3 2 2 7" xfId="4158" xr:uid="{00000000-0005-0000-0000-000018580000}"/>
    <cellStyle name="Normal 3 2 2 7 2" xfId="8835" xr:uid="{00000000-0005-0000-0000-000019580000}"/>
    <cellStyle name="Normal 3 2 2 7 2 2" xfId="18159" xr:uid="{00000000-0005-0000-0000-00001A580000}"/>
    <cellStyle name="Normal 3 2 2 7 2 3" xfId="27482" xr:uid="{00000000-0005-0000-0000-00001B580000}"/>
    <cellStyle name="Normal 3 2 2 7 3" xfId="13492" xr:uid="{00000000-0005-0000-0000-00001C580000}"/>
    <cellStyle name="Normal 3 2 2 7 4" xfId="22816" xr:uid="{00000000-0005-0000-0000-00001D580000}"/>
    <cellStyle name="Normal 3 2 2 8" xfId="5888" xr:uid="{00000000-0005-0000-0000-00001E580000}"/>
    <cellStyle name="Normal 3 2 2 8 2" xfId="15212" xr:uid="{00000000-0005-0000-0000-00001F580000}"/>
    <cellStyle name="Normal 3 2 2 8 3" xfId="24535" xr:uid="{00000000-0005-0000-0000-000020580000}"/>
    <cellStyle name="Normal 3 2 2 9" xfId="9358" xr:uid="{00000000-0005-0000-0000-000021580000}"/>
    <cellStyle name="Normal 3 2 2 9 2" xfId="18682" xr:uid="{00000000-0005-0000-0000-000022580000}"/>
    <cellStyle name="Normal 3 2 2 9 3" xfId="28005" xr:uid="{00000000-0005-0000-0000-000023580000}"/>
    <cellStyle name="Normal 3 2 3" xfId="312" xr:uid="{00000000-0005-0000-0000-000024580000}"/>
    <cellStyle name="Normal 3 2 3 2" xfId="553" xr:uid="{00000000-0005-0000-0000-000025580000}"/>
    <cellStyle name="Normal 3 2 3 2 2" xfId="1041" xr:uid="{00000000-0005-0000-0000-000026580000}"/>
    <cellStyle name="Normal 3 2 3 2 2 2" xfId="6768" xr:uid="{00000000-0005-0000-0000-000027580000}"/>
    <cellStyle name="Normal 3 2 3 2 2 2 2" xfId="16092" xr:uid="{00000000-0005-0000-0000-000028580000}"/>
    <cellStyle name="Normal 3 2 3 2 2 2 3" xfId="25415" xr:uid="{00000000-0005-0000-0000-000029580000}"/>
    <cellStyle name="Normal 3 2 3 2 2 3" xfId="10642" xr:uid="{00000000-0005-0000-0000-00002A580000}"/>
    <cellStyle name="Normal 3 2 3 2 2 4" xfId="19966" xr:uid="{00000000-0005-0000-0000-00002B580000}"/>
    <cellStyle name="Normal 3 2 3 2 3" xfId="7086" xr:uid="{00000000-0005-0000-0000-00002C580000}"/>
    <cellStyle name="Normal 3 2 3 2 3 2" xfId="16410" xr:uid="{00000000-0005-0000-0000-00002D580000}"/>
    <cellStyle name="Normal 3 2 3 2 3 3" xfId="25733" xr:uid="{00000000-0005-0000-0000-00002E580000}"/>
    <cellStyle name="Normal 3 2 3 2 4" xfId="9664" xr:uid="{00000000-0005-0000-0000-00002F580000}"/>
    <cellStyle name="Normal 3 2 3 2 4 2" xfId="18988" xr:uid="{00000000-0005-0000-0000-000030580000}"/>
    <cellStyle name="Normal 3 2 3 2 4 3" xfId="28311" xr:uid="{00000000-0005-0000-0000-000031580000}"/>
    <cellStyle name="Normal 3 2 3 2 5" xfId="10158" xr:uid="{00000000-0005-0000-0000-000032580000}"/>
    <cellStyle name="Normal 3 2 3 2 6" xfId="19482" xr:uid="{00000000-0005-0000-0000-000033580000}"/>
    <cellStyle name="Normal 3 2 3 3" xfId="801" xr:uid="{00000000-0005-0000-0000-000034580000}"/>
    <cellStyle name="Normal 3 2 3 3 2" xfId="4569" xr:uid="{00000000-0005-0000-0000-000035580000}"/>
    <cellStyle name="Normal 3 2 3 3 2 2" xfId="13893" xr:uid="{00000000-0005-0000-0000-000036580000}"/>
    <cellStyle name="Normal 3 2 3 3 2 3" xfId="23216" xr:uid="{00000000-0005-0000-0000-000037580000}"/>
    <cellStyle name="Normal 3 2 3 3 3" xfId="10402" xr:uid="{00000000-0005-0000-0000-000038580000}"/>
    <cellStyle name="Normal 3 2 3 3 4" xfId="19726" xr:uid="{00000000-0005-0000-0000-000039580000}"/>
    <cellStyle name="Normal 3 2 3 4" xfId="2460" xr:uid="{00000000-0005-0000-0000-00003A580000}"/>
    <cellStyle name="Normal 3 2 3 5" xfId="7217" xr:uid="{00000000-0005-0000-0000-00003B580000}"/>
    <cellStyle name="Normal 3 2 3 5 2" xfId="16541" xr:uid="{00000000-0005-0000-0000-00003C580000}"/>
    <cellStyle name="Normal 3 2 3 5 3" xfId="25864" xr:uid="{00000000-0005-0000-0000-00003D580000}"/>
    <cellStyle name="Normal 3 2 3 6" xfId="9424" xr:uid="{00000000-0005-0000-0000-00003E580000}"/>
    <cellStyle name="Normal 3 2 3 6 2" xfId="18748" xr:uid="{00000000-0005-0000-0000-00003F580000}"/>
    <cellStyle name="Normal 3 2 3 6 3" xfId="28071" xr:uid="{00000000-0005-0000-0000-000040580000}"/>
    <cellStyle name="Normal 3 2 3 7" xfId="9918" xr:uid="{00000000-0005-0000-0000-000041580000}"/>
    <cellStyle name="Normal 3 2 3 8" xfId="19242" xr:uid="{00000000-0005-0000-0000-000042580000}"/>
    <cellStyle name="Normal 3 2 4" xfId="429" xr:uid="{00000000-0005-0000-0000-000043580000}"/>
    <cellStyle name="Normal 3 2 4 2" xfId="917" xr:uid="{00000000-0005-0000-0000-000044580000}"/>
    <cellStyle name="Normal 3 2 4 2 2" xfId="6839" xr:uid="{00000000-0005-0000-0000-000045580000}"/>
    <cellStyle name="Normal 3 2 4 2 2 2" xfId="16163" xr:uid="{00000000-0005-0000-0000-000046580000}"/>
    <cellStyle name="Normal 3 2 4 2 2 3" xfId="25486" xr:uid="{00000000-0005-0000-0000-000047580000}"/>
    <cellStyle name="Normal 3 2 4 2 3" xfId="10518" xr:uid="{00000000-0005-0000-0000-000048580000}"/>
    <cellStyle name="Normal 3 2 4 2 4" xfId="19842" xr:uid="{00000000-0005-0000-0000-000049580000}"/>
    <cellStyle name="Normal 3 2 4 3" xfId="7154" xr:uid="{00000000-0005-0000-0000-00004A580000}"/>
    <cellStyle name="Normal 3 2 4 3 2" xfId="16478" xr:uid="{00000000-0005-0000-0000-00004B580000}"/>
    <cellStyle name="Normal 3 2 4 3 3" xfId="25801" xr:uid="{00000000-0005-0000-0000-00004C580000}"/>
    <cellStyle name="Normal 3 2 4 4" xfId="9540" xr:uid="{00000000-0005-0000-0000-00004D580000}"/>
    <cellStyle name="Normal 3 2 4 4 2" xfId="18864" xr:uid="{00000000-0005-0000-0000-00004E580000}"/>
    <cellStyle name="Normal 3 2 4 4 3" xfId="28187" xr:uid="{00000000-0005-0000-0000-00004F580000}"/>
    <cellStyle name="Normal 3 2 4 5" xfId="10034" xr:uid="{00000000-0005-0000-0000-000050580000}"/>
    <cellStyle name="Normal 3 2 4 6" xfId="19358" xr:uid="{00000000-0005-0000-0000-000051580000}"/>
    <cellStyle name="Normal 3 2 5" xfId="677" xr:uid="{00000000-0005-0000-0000-000052580000}"/>
    <cellStyle name="Normal 3 2 5 2" xfId="7030" xr:uid="{00000000-0005-0000-0000-000053580000}"/>
    <cellStyle name="Normal 3 2 5 2 2" xfId="16354" xr:uid="{00000000-0005-0000-0000-000054580000}"/>
    <cellStyle name="Normal 3 2 5 2 3" xfId="25677" xr:uid="{00000000-0005-0000-0000-000055580000}"/>
    <cellStyle name="Normal 3 2 5 3" xfId="10278" xr:uid="{00000000-0005-0000-0000-000056580000}"/>
    <cellStyle name="Normal 3 2 5 4" xfId="19602" xr:uid="{00000000-0005-0000-0000-000057580000}"/>
    <cellStyle name="Normal 3 2 6" xfId="1164" xr:uid="{00000000-0005-0000-0000-000058580000}"/>
    <cellStyle name="Normal 3 2 7" xfId="9299" xr:uid="{00000000-0005-0000-0000-000059580000}"/>
    <cellStyle name="Normal 3 2 7 2" xfId="18623" xr:uid="{00000000-0005-0000-0000-00005A580000}"/>
    <cellStyle name="Normal 3 2 7 3" xfId="27946" xr:uid="{00000000-0005-0000-0000-00005B580000}"/>
    <cellStyle name="Normal 3 2 8" xfId="9793" xr:uid="{00000000-0005-0000-0000-00005C580000}"/>
    <cellStyle name="Normal 3 2 9" xfId="19117" xr:uid="{00000000-0005-0000-0000-00005D580000}"/>
    <cellStyle name="Normal 3 3" xfId="167" xr:uid="{00000000-0005-0000-0000-00005E580000}"/>
    <cellStyle name="Normal 3 3 10" xfId="19118" xr:uid="{00000000-0005-0000-0000-00005F580000}"/>
    <cellStyle name="Normal 3 3 2" xfId="231" xr:uid="{00000000-0005-0000-0000-000060580000}"/>
    <cellStyle name="Normal 3 3 2 2" xfId="371" xr:uid="{00000000-0005-0000-0000-000061580000}"/>
    <cellStyle name="Normal 3 3 2 2 2" xfId="611" xr:uid="{00000000-0005-0000-0000-000062580000}"/>
    <cellStyle name="Normal 3 3 2 2 2 2" xfId="1099" xr:uid="{00000000-0005-0000-0000-000063580000}"/>
    <cellStyle name="Normal 3 3 2 2 2 2 2" xfId="6725" xr:uid="{00000000-0005-0000-0000-000064580000}"/>
    <cellStyle name="Normal 3 3 2 2 2 2 2 2" xfId="16049" xr:uid="{00000000-0005-0000-0000-000065580000}"/>
    <cellStyle name="Normal 3 3 2 2 2 2 2 3" xfId="25372" xr:uid="{00000000-0005-0000-0000-000066580000}"/>
    <cellStyle name="Normal 3 3 2 2 2 2 3" xfId="10700" xr:uid="{00000000-0005-0000-0000-000067580000}"/>
    <cellStyle name="Normal 3 3 2 2 2 2 4" xfId="20024" xr:uid="{00000000-0005-0000-0000-000068580000}"/>
    <cellStyle name="Normal 3 3 2 2 2 3" xfId="7046" xr:uid="{00000000-0005-0000-0000-000069580000}"/>
    <cellStyle name="Normal 3 3 2 2 2 3 2" xfId="16370" xr:uid="{00000000-0005-0000-0000-00006A580000}"/>
    <cellStyle name="Normal 3 3 2 2 2 3 3" xfId="25693" xr:uid="{00000000-0005-0000-0000-00006B580000}"/>
    <cellStyle name="Normal 3 3 2 2 2 4" xfId="9722" xr:uid="{00000000-0005-0000-0000-00006C580000}"/>
    <cellStyle name="Normal 3 3 2 2 2 4 2" xfId="19046" xr:uid="{00000000-0005-0000-0000-00006D580000}"/>
    <cellStyle name="Normal 3 3 2 2 2 4 3" xfId="28369" xr:uid="{00000000-0005-0000-0000-00006E580000}"/>
    <cellStyle name="Normal 3 3 2 2 2 5" xfId="10216" xr:uid="{00000000-0005-0000-0000-00006F580000}"/>
    <cellStyle name="Normal 3 3 2 2 2 6" xfId="19540" xr:uid="{00000000-0005-0000-0000-000070580000}"/>
    <cellStyle name="Normal 3 3 2 2 3" xfId="859" xr:uid="{00000000-0005-0000-0000-000071580000}"/>
    <cellStyle name="Normal 3 3 2 2 3 2" xfId="6903" xr:uid="{00000000-0005-0000-0000-000072580000}"/>
    <cellStyle name="Normal 3 3 2 2 3 2 2" xfId="16227" xr:uid="{00000000-0005-0000-0000-000073580000}"/>
    <cellStyle name="Normal 3 3 2 2 3 2 3" xfId="25550" xr:uid="{00000000-0005-0000-0000-000074580000}"/>
    <cellStyle name="Normal 3 3 2 2 3 3" xfId="10460" xr:uid="{00000000-0005-0000-0000-000075580000}"/>
    <cellStyle name="Normal 3 3 2 2 3 4" xfId="19784" xr:uid="{00000000-0005-0000-0000-000076580000}"/>
    <cellStyle name="Normal 3 3 2 2 4" xfId="7183" xr:uid="{00000000-0005-0000-0000-000077580000}"/>
    <cellStyle name="Normal 3 3 2 2 4 2" xfId="16507" xr:uid="{00000000-0005-0000-0000-000078580000}"/>
    <cellStyle name="Normal 3 3 2 2 4 3" xfId="25830" xr:uid="{00000000-0005-0000-0000-000079580000}"/>
    <cellStyle name="Normal 3 3 2 2 5" xfId="9482" xr:uid="{00000000-0005-0000-0000-00007A580000}"/>
    <cellStyle name="Normal 3 3 2 2 5 2" xfId="18806" xr:uid="{00000000-0005-0000-0000-00007B580000}"/>
    <cellStyle name="Normal 3 3 2 2 5 3" xfId="28129" xr:uid="{00000000-0005-0000-0000-00007C580000}"/>
    <cellStyle name="Normal 3 3 2 2 6" xfId="9976" xr:uid="{00000000-0005-0000-0000-00007D580000}"/>
    <cellStyle name="Normal 3 3 2 2 7" xfId="19300" xr:uid="{00000000-0005-0000-0000-00007E580000}"/>
    <cellStyle name="Normal 3 3 2 3" xfId="489" xr:uid="{00000000-0005-0000-0000-00007F580000}"/>
    <cellStyle name="Normal 3 3 2 3 2" xfId="977" xr:uid="{00000000-0005-0000-0000-000080580000}"/>
    <cellStyle name="Normal 3 3 2 3 2 2" xfId="4566" xr:uid="{00000000-0005-0000-0000-000081580000}"/>
    <cellStyle name="Normal 3 3 2 3 2 2 2" xfId="13890" xr:uid="{00000000-0005-0000-0000-000082580000}"/>
    <cellStyle name="Normal 3 3 2 3 2 2 3" xfId="23213" xr:uid="{00000000-0005-0000-0000-000083580000}"/>
    <cellStyle name="Normal 3 3 2 3 2 3" xfId="10578" xr:uid="{00000000-0005-0000-0000-000084580000}"/>
    <cellStyle name="Normal 3 3 2 3 2 4" xfId="19902" xr:uid="{00000000-0005-0000-0000-000085580000}"/>
    <cellStyle name="Normal 3 3 2 3 3" xfId="7120" xr:uid="{00000000-0005-0000-0000-000086580000}"/>
    <cellStyle name="Normal 3 3 2 3 3 2" xfId="16444" xr:uid="{00000000-0005-0000-0000-000087580000}"/>
    <cellStyle name="Normal 3 3 2 3 3 3" xfId="25767" xr:uid="{00000000-0005-0000-0000-000088580000}"/>
    <cellStyle name="Normal 3 3 2 3 4" xfId="9600" xr:uid="{00000000-0005-0000-0000-000089580000}"/>
    <cellStyle name="Normal 3 3 2 3 4 2" xfId="18924" xr:uid="{00000000-0005-0000-0000-00008A580000}"/>
    <cellStyle name="Normal 3 3 2 3 4 3" xfId="28247" xr:uid="{00000000-0005-0000-0000-00008B580000}"/>
    <cellStyle name="Normal 3 3 2 3 5" xfId="10094" xr:uid="{00000000-0005-0000-0000-00008C580000}"/>
    <cellStyle name="Normal 3 3 2 3 6" xfId="19418" xr:uid="{00000000-0005-0000-0000-00008D580000}"/>
    <cellStyle name="Normal 3 3 2 4" xfId="737" xr:uid="{00000000-0005-0000-0000-00008E580000}"/>
    <cellStyle name="Normal 3 3 2 4 2" xfId="6987" xr:uid="{00000000-0005-0000-0000-00008F580000}"/>
    <cellStyle name="Normal 3 3 2 4 2 2" xfId="16311" xr:uid="{00000000-0005-0000-0000-000090580000}"/>
    <cellStyle name="Normal 3 3 2 4 2 3" xfId="25634" xr:uid="{00000000-0005-0000-0000-000091580000}"/>
    <cellStyle name="Normal 3 3 2 4 3" xfId="10338" xr:uid="{00000000-0005-0000-0000-000092580000}"/>
    <cellStyle name="Normal 3 3 2 4 4" xfId="19662" xr:uid="{00000000-0005-0000-0000-000093580000}"/>
    <cellStyle name="Normal 3 3 2 5" xfId="2467" xr:uid="{00000000-0005-0000-0000-000094580000}"/>
    <cellStyle name="Normal 3 3 2 6" xfId="7248" xr:uid="{00000000-0005-0000-0000-000095580000}"/>
    <cellStyle name="Normal 3 3 2 6 2" xfId="16572" xr:uid="{00000000-0005-0000-0000-000096580000}"/>
    <cellStyle name="Normal 3 3 2 6 3" xfId="25895" xr:uid="{00000000-0005-0000-0000-000097580000}"/>
    <cellStyle name="Normal 3 3 2 7" xfId="9359" xr:uid="{00000000-0005-0000-0000-000098580000}"/>
    <cellStyle name="Normal 3 3 2 7 2" xfId="18683" xr:uid="{00000000-0005-0000-0000-000099580000}"/>
    <cellStyle name="Normal 3 3 2 7 3" xfId="28006" xr:uid="{00000000-0005-0000-0000-00009A580000}"/>
    <cellStyle name="Normal 3 3 2 8" xfId="9853" xr:uid="{00000000-0005-0000-0000-00009B580000}"/>
    <cellStyle name="Normal 3 3 2 9" xfId="19177" xr:uid="{00000000-0005-0000-0000-00009C580000}"/>
    <cellStyle name="Normal 3 3 3" xfId="313" xr:uid="{00000000-0005-0000-0000-00009D580000}"/>
    <cellStyle name="Normal 3 3 3 2" xfId="554" xr:uid="{00000000-0005-0000-0000-00009E580000}"/>
    <cellStyle name="Normal 3 3 3 2 2" xfId="1042" xr:uid="{00000000-0005-0000-0000-00009F580000}"/>
    <cellStyle name="Normal 3 3 3 2 2 2" xfId="6767" xr:uid="{00000000-0005-0000-0000-0000A0580000}"/>
    <cellStyle name="Normal 3 3 3 2 2 2 2" xfId="16091" xr:uid="{00000000-0005-0000-0000-0000A1580000}"/>
    <cellStyle name="Normal 3 3 3 2 2 2 3" xfId="25414" xr:uid="{00000000-0005-0000-0000-0000A2580000}"/>
    <cellStyle name="Normal 3 3 3 2 2 3" xfId="10643" xr:uid="{00000000-0005-0000-0000-0000A3580000}"/>
    <cellStyle name="Normal 3 3 3 2 2 4" xfId="19967" xr:uid="{00000000-0005-0000-0000-0000A4580000}"/>
    <cellStyle name="Normal 3 3 3 2 3" xfId="7085" xr:uid="{00000000-0005-0000-0000-0000A5580000}"/>
    <cellStyle name="Normal 3 3 3 2 3 2" xfId="16409" xr:uid="{00000000-0005-0000-0000-0000A6580000}"/>
    <cellStyle name="Normal 3 3 3 2 3 3" xfId="25732" xr:uid="{00000000-0005-0000-0000-0000A7580000}"/>
    <cellStyle name="Normal 3 3 3 2 4" xfId="9665" xr:uid="{00000000-0005-0000-0000-0000A8580000}"/>
    <cellStyle name="Normal 3 3 3 2 4 2" xfId="18989" xr:uid="{00000000-0005-0000-0000-0000A9580000}"/>
    <cellStyle name="Normal 3 3 3 2 4 3" xfId="28312" xr:uid="{00000000-0005-0000-0000-0000AA580000}"/>
    <cellStyle name="Normal 3 3 3 2 5" xfId="10159" xr:uid="{00000000-0005-0000-0000-0000AB580000}"/>
    <cellStyle name="Normal 3 3 3 2 6" xfId="19483" xr:uid="{00000000-0005-0000-0000-0000AC580000}"/>
    <cellStyle name="Normal 3 3 3 3" xfId="802" xr:uid="{00000000-0005-0000-0000-0000AD580000}"/>
    <cellStyle name="Normal 3 3 3 3 2" xfId="6942" xr:uid="{00000000-0005-0000-0000-0000AE580000}"/>
    <cellStyle name="Normal 3 3 3 3 2 2" xfId="16266" xr:uid="{00000000-0005-0000-0000-0000AF580000}"/>
    <cellStyle name="Normal 3 3 3 3 2 3" xfId="25589" xr:uid="{00000000-0005-0000-0000-0000B0580000}"/>
    <cellStyle name="Normal 3 3 3 3 3" xfId="10403" xr:uid="{00000000-0005-0000-0000-0000B1580000}"/>
    <cellStyle name="Normal 3 3 3 3 4" xfId="19727" xr:uid="{00000000-0005-0000-0000-0000B2580000}"/>
    <cellStyle name="Normal 3 3 3 4" xfId="7216" xr:uid="{00000000-0005-0000-0000-0000B3580000}"/>
    <cellStyle name="Normal 3 3 3 4 2" xfId="16540" xr:uid="{00000000-0005-0000-0000-0000B4580000}"/>
    <cellStyle name="Normal 3 3 3 4 3" xfId="25863" xr:uid="{00000000-0005-0000-0000-0000B5580000}"/>
    <cellStyle name="Normal 3 3 3 5" xfId="9425" xr:uid="{00000000-0005-0000-0000-0000B6580000}"/>
    <cellStyle name="Normal 3 3 3 5 2" xfId="18749" xr:uid="{00000000-0005-0000-0000-0000B7580000}"/>
    <cellStyle name="Normal 3 3 3 5 3" xfId="28072" xr:uid="{00000000-0005-0000-0000-0000B8580000}"/>
    <cellStyle name="Normal 3 3 3 6" xfId="9919" xr:uid="{00000000-0005-0000-0000-0000B9580000}"/>
    <cellStyle name="Normal 3 3 3 7" xfId="19243" xr:uid="{00000000-0005-0000-0000-0000BA580000}"/>
    <cellStyle name="Normal 3 3 4" xfId="430" xr:uid="{00000000-0005-0000-0000-0000BB580000}"/>
    <cellStyle name="Normal 3 3 4 2" xfId="918" xr:uid="{00000000-0005-0000-0000-0000BC580000}"/>
    <cellStyle name="Normal 3 3 4 2 2" xfId="6851" xr:uid="{00000000-0005-0000-0000-0000BD580000}"/>
    <cellStyle name="Normal 3 3 4 2 2 2" xfId="16175" xr:uid="{00000000-0005-0000-0000-0000BE580000}"/>
    <cellStyle name="Normal 3 3 4 2 2 3" xfId="25498" xr:uid="{00000000-0005-0000-0000-0000BF580000}"/>
    <cellStyle name="Normal 3 3 4 2 3" xfId="10519" xr:uid="{00000000-0005-0000-0000-0000C0580000}"/>
    <cellStyle name="Normal 3 3 4 2 4" xfId="19843" xr:uid="{00000000-0005-0000-0000-0000C1580000}"/>
    <cellStyle name="Normal 3 3 4 3" xfId="7153" xr:uid="{00000000-0005-0000-0000-0000C2580000}"/>
    <cellStyle name="Normal 3 3 4 3 2" xfId="16477" xr:uid="{00000000-0005-0000-0000-0000C3580000}"/>
    <cellStyle name="Normal 3 3 4 3 3" xfId="25800" xr:uid="{00000000-0005-0000-0000-0000C4580000}"/>
    <cellStyle name="Normal 3 3 4 4" xfId="9541" xr:uid="{00000000-0005-0000-0000-0000C5580000}"/>
    <cellStyle name="Normal 3 3 4 4 2" xfId="18865" xr:uid="{00000000-0005-0000-0000-0000C6580000}"/>
    <cellStyle name="Normal 3 3 4 4 3" xfId="28188" xr:uid="{00000000-0005-0000-0000-0000C7580000}"/>
    <cellStyle name="Normal 3 3 4 5" xfId="10035" xr:uid="{00000000-0005-0000-0000-0000C8580000}"/>
    <cellStyle name="Normal 3 3 4 6" xfId="19359" xr:uid="{00000000-0005-0000-0000-0000C9580000}"/>
    <cellStyle name="Normal 3 3 5" xfId="678" xr:uid="{00000000-0005-0000-0000-0000CA580000}"/>
    <cellStyle name="Normal 3 3 5 2" xfId="7029" xr:uid="{00000000-0005-0000-0000-0000CB580000}"/>
    <cellStyle name="Normal 3 3 5 2 2" xfId="16353" xr:uid="{00000000-0005-0000-0000-0000CC580000}"/>
    <cellStyle name="Normal 3 3 5 2 3" xfId="25676" xr:uid="{00000000-0005-0000-0000-0000CD580000}"/>
    <cellStyle name="Normal 3 3 5 3" xfId="10279" xr:uid="{00000000-0005-0000-0000-0000CE580000}"/>
    <cellStyle name="Normal 3 3 5 4" xfId="19603" xr:uid="{00000000-0005-0000-0000-0000CF580000}"/>
    <cellStyle name="Normal 3 3 6" xfId="1163" xr:uid="{00000000-0005-0000-0000-0000D0580000}"/>
    <cellStyle name="Normal 3 3 7" xfId="7282" xr:uid="{00000000-0005-0000-0000-0000D1580000}"/>
    <cellStyle name="Normal 3 3 7 2" xfId="16606" xr:uid="{00000000-0005-0000-0000-0000D2580000}"/>
    <cellStyle name="Normal 3 3 7 3" xfId="25929" xr:uid="{00000000-0005-0000-0000-0000D3580000}"/>
    <cellStyle name="Normal 3 3 8" xfId="9300" xr:uid="{00000000-0005-0000-0000-0000D4580000}"/>
    <cellStyle name="Normal 3 3 8 2" xfId="18624" xr:uid="{00000000-0005-0000-0000-0000D5580000}"/>
    <cellStyle name="Normal 3 3 8 3" xfId="27947" xr:uid="{00000000-0005-0000-0000-0000D6580000}"/>
    <cellStyle name="Normal 3 3 9" xfId="9794" xr:uid="{00000000-0005-0000-0000-0000D7580000}"/>
    <cellStyle name="Normal 3 4" xfId="168" xr:uid="{00000000-0005-0000-0000-0000D8580000}"/>
    <cellStyle name="Normal 3 4 10" xfId="9795" xr:uid="{00000000-0005-0000-0000-0000D9580000}"/>
    <cellStyle name="Normal 3 4 11" xfId="19119" xr:uid="{00000000-0005-0000-0000-0000DA580000}"/>
    <cellStyle name="Normal 3 4 2" xfId="232" xr:uid="{00000000-0005-0000-0000-0000DB580000}"/>
    <cellStyle name="Normal 3 4 2 2" xfId="372" xr:uid="{00000000-0005-0000-0000-0000DC580000}"/>
    <cellStyle name="Normal 3 4 2 2 2" xfId="612" xr:uid="{00000000-0005-0000-0000-0000DD580000}"/>
    <cellStyle name="Normal 3 4 2 2 2 2" xfId="1100" xr:uid="{00000000-0005-0000-0000-0000DE580000}"/>
    <cellStyle name="Normal 3 4 2 2 2 2 2" xfId="7340" xr:uid="{00000000-0005-0000-0000-0000DF580000}"/>
    <cellStyle name="Normal 3 4 2 2 2 2 2 2" xfId="16664" xr:uid="{00000000-0005-0000-0000-0000E0580000}"/>
    <cellStyle name="Normal 3 4 2 2 2 2 2 3" xfId="25987" xr:uid="{00000000-0005-0000-0000-0000E1580000}"/>
    <cellStyle name="Normal 3 4 2 2 2 2 3" xfId="10701" xr:uid="{00000000-0005-0000-0000-0000E2580000}"/>
    <cellStyle name="Normal 3 4 2 2 2 2 4" xfId="20025" xr:uid="{00000000-0005-0000-0000-0000E3580000}"/>
    <cellStyle name="Normal 3 4 2 2 2 3" xfId="7044" xr:uid="{00000000-0005-0000-0000-0000E4580000}"/>
    <cellStyle name="Normal 3 4 2 2 2 3 2" xfId="16368" xr:uid="{00000000-0005-0000-0000-0000E5580000}"/>
    <cellStyle name="Normal 3 4 2 2 2 3 3" xfId="25691" xr:uid="{00000000-0005-0000-0000-0000E6580000}"/>
    <cellStyle name="Normal 3 4 2 2 2 4" xfId="9723" xr:uid="{00000000-0005-0000-0000-0000E7580000}"/>
    <cellStyle name="Normal 3 4 2 2 2 4 2" xfId="19047" xr:uid="{00000000-0005-0000-0000-0000E8580000}"/>
    <cellStyle name="Normal 3 4 2 2 2 4 3" xfId="28370" xr:uid="{00000000-0005-0000-0000-0000E9580000}"/>
    <cellStyle name="Normal 3 4 2 2 2 5" xfId="10217" xr:uid="{00000000-0005-0000-0000-0000EA580000}"/>
    <cellStyle name="Normal 3 4 2 2 2 6" xfId="19541" xr:uid="{00000000-0005-0000-0000-0000EB580000}"/>
    <cellStyle name="Normal 3 4 2 2 3" xfId="860" xr:uid="{00000000-0005-0000-0000-0000EC580000}"/>
    <cellStyle name="Normal 3 4 2 2 3 2" xfId="6902" xr:uid="{00000000-0005-0000-0000-0000ED580000}"/>
    <cellStyle name="Normal 3 4 2 2 3 2 2" xfId="16226" xr:uid="{00000000-0005-0000-0000-0000EE580000}"/>
    <cellStyle name="Normal 3 4 2 2 3 2 3" xfId="25549" xr:uid="{00000000-0005-0000-0000-0000EF580000}"/>
    <cellStyle name="Normal 3 4 2 2 3 3" xfId="10461" xr:uid="{00000000-0005-0000-0000-0000F0580000}"/>
    <cellStyle name="Normal 3 4 2 2 3 4" xfId="19785" xr:uid="{00000000-0005-0000-0000-0000F1580000}"/>
    <cellStyle name="Normal 3 4 2 2 4" xfId="7182" xr:uid="{00000000-0005-0000-0000-0000F2580000}"/>
    <cellStyle name="Normal 3 4 2 2 4 2" xfId="16506" xr:uid="{00000000-0005-0000-0000-0000F3580000}"/>
    <cellStyle name="Normal 3 4 2 2 4 3" xfId="25829" xr:uid="{00000000-0005-0000-0000-0000F4580000}"/>
    <cellStyle name="Normal 3 4 2 2 5" xfId="9483" xr:uid="{00000000-0005-0000-0000-0000F5580000}"/>
    <cellStyle name="Normal 3 4 2 2 5 2" xfId="18807" xr:uid="{00000000-0005-0000-0000-0000F6580000}"/>
    <cellStyle name="Normal 3 4 2 2 5 3" xfId="28130" xr:uid="{00000000-0005-0000-0000-0000F7580000}"/>
    <cellStyle name="Normal 3 4 2 2 6" xfId="9977" xr:uid="{00000000-0005-0000-0000-0000F8580000}"/>
    <cellStyle name="Normal 3 4 2 2 7" xfId="19301" xr:uid="{00000000-0005-0000-0000-0000F9580000}"/>
    <cellStyle name="Normal 3 4 2 3" xfId="490" xr:uid="{00000000-0005-0000-0000-0000FA580000}"/>
    <cellStyle name="Normal 3 4 2 3 2" xfId="978" xr:uid="{00000000-0005-0000-0000-0000FB580000}"/>
    <cellStyle name="Normal 3 4 2 3 2 2" xfId="5486" xr:uid="{00000000-0005-0000-0000-0000FC580000}"/>
    <cellStyle name="Normal 3 4 2 3 2 2 2" xfId="14810" xr:uid="{00000000-0005-0000-0000-0000FD580000}"/>
    <cellStyle name="Normal 3 4 2 3 2 2 3" xfId="24133" xr:uid="{00000000-0005-0000-0000-0000FE580000}"/>
    <cellStyle name="Normal 3 4 2 3 2 3" xfId="10579" xr:uid="{00000000-0005-0000-0000-0000FF580000}"/>
    <cellStyle name="Normal 3 4 2 3 2 4" xfId="19903" xr:uid="{00000000-0005-0000-0000-000000590000}"/>
    <cellStyle name="Normal 3 4 2 3 3" xfId="7119" xr:uid="{00000000-0005-0000-0000-000001590000}"/>
    <cellStyle name="Normal 3 4 2 3 3 2" xfId="16443" xr:uid="{00000000-0005-0000-0000-000002590000}"/>
    <cellStyle name="Normal 3 4 2 3 3 3" xfId="25766" xr:uid="{00000000-0005-0000-0000-000003590000}"/>
    <cellStyle name="Normal 3 4 2 3 4" xfId="9601" xr:uid="{00000000-0005-0000-0000-000004590000}"/>
    <cellStyle name="Normal 3 4 2 3 4 2" xfId="18925" xr:uid="{00000000-0005-0000-0000-000005590000}"/>
    <cellStyle name="Normal 3 4 2 3 4 3" xfId="28248" xr:uid="{00000000-0005-0000-0000-000006590000}"/>
    <cellStyle name="Normal 3 4 2 3 5" xfId="10095" xr:uid="{00000000-0005-0000-0000-000007590000}"/>
    <cellStyle name="Normal 3 4 2 3 6" xfId="19419" xr:uid="{00000000-0005-0000-0000-000008590000}"/>
    <cellStyle name="Normal 3 4 2 4" xfId="738" xr:uid="{00000000-0005-0000-0000-000009590000}"/>
    <cellStyle name="Normal 3 4 2 4 2" xfId="6986" xr:uid="{00000000-0005-0000-0000-00000A590000}"/>
    <cellStyle name="Normal 3 4 2 4 2 2" xfId="16310" xr:uid="{00000000-0005-0000-0000-00000B590000}"/>
    <cellStyle name="Normal 3 4 2 4 2 3" xfId="25633" xr:uid="{00000000-0005-0000-0000-00000C590000}"/>
    <cellStyle name="Normal 3 4 2 4 3" xfId="10339" xr:uid="{00000000-0005-0000-0000-00000D590000}"/>
    <cellStyle name="Normal 3 4 2 4 4" xfId="19663" xr:uid="{00000000-0005-0000-0000-00000E590000}"/>
    <cellStyle name="Normal 3 4 2 5" xfId="2469" xr:uid="{00000000-0005-0000-0000-00000F590000}"/>
    <cellStyle name="Normal 3 4 2 6" xfId="7247" xr:uid="{00000000-0005-0000-0000-000010590000}"/>
    <cellStyle name="Normal 3 4 2 6 2" xfId="16571" xr:uid="{00000000-0005-0000-0000-000011590000}"/>
    <cellStyle name="Normal 3 4 2 6 3" xfId="25894" xr:uid="{00000000-0005-0000-0000-000012590000}"/>
    <cellStyle name="Normal 3 4 2 7" xfId="9360" xr:uid="{00000000-0005-0000-0000-000013590000}"/>
    <cellStyle name="Normal 3 4 2 7 2" xfId="18684" xr:uid="{00000000-0005-0000-0000-000014590000}"/>
    <cellStyle name="Normal 3 4 2 7 3" xfId="28007" xr:uid="{00000000-0005-0000-0000-000015590000}"/>
    <cellStyle name="Normal 3 4 2 8" xfId="9854" xr:uid="{00000000-0005-0000-0000-000016590000}"/>
    <cellStyle name="Normal 3 4 2 9" xfId="19178" xr:uid="{00000000-0005-0000-0000-000017590000}"/>
    <cellStyle name="Normal 3 4 3" xfId="314" xr:uid="{00000000-0005-0000-0000-000018590000}"/>
    <cellStyle name="Normal 3 4 3 2" xfId="555" xr:uid="{00000000-0005-0000-0000-000019590000}"/>
    <cellStyle name="Normal 3 4 3 2 2" xfId="1043" xr:uid="{00000000-0005-0000-0000-00001A590000}"/>
    <cellStyle name="Normal 3 4 3 2 2 2" xfId="6766" xr:uid="{00000000-0005-0000-0000-00001B590000}"/>
    <cellStyle name="Normal 3 4 3 2 2 2 2" xfId="16090" xr:uid="{00000000-0005-0000-0000-00001C590000}"/>
    <cellStyle name="Normal 3 4 3 2 2 2 3" xfId="25413" xr:uid="{00000000-0005-0000-0000-00001D590000}"/>
    <cellStyle name="Normal 3 4 3 2 2 3" xfId="10644" xr:uid="{00000000-0005-0000-0000-00001E590000}"/>
    <cellStyle name="Normal 3 4 3 2 2 4" xfId="19968" xr:uid="{00000000-0005-0000-0000-00001F590000}"/>
    <cellStyle name="Normal 3 4 3 2 3" xfId="7084" xr:uid="{00000000-0005-0000-0000-000020590000}"/>
    <cellStyle name="Normal 3 4 3 2 3 2" xfId="16408" xr:uid="{00000000-0005-0000-0000-000021590000}"/>
    <cellStyle name="Normal 3 4 3 2 3 3" xfId="25731" xr:uid="{00000000-0005-0000-0000-000022590000}"/>
    <cellStyle name="Normal 3 4 3 2 4" xfId="9666" xr:uid="{00000000-0005-0000-0000-000023590000}"/>
    <cellStyle name="Normal 3 4 3 2 4 2" xfId="18990" xr:uid="{00000000-0005-0000-0000-000024590000}"/>
    <cellStyle name="Normal 3 4 3 2 4 3" xfId="28313" xr:uid="{00000000-0005-0000-0000-000025590000}"/>
    <cellStyle name="Normal 3 4 3 2 5" xfId="10160" xr:uid="{00000000-0005-0000-0000-000026590000}"/>
    <cellStyle name="Normal 3 4 3 2 6" xfId="19484" xr:uid="{00000000-0005-0000-0000-000027590000}"/>
    <cellStyle name="Normal 3 4 3 3" xfId="803" xr:uid="{00000000-0005-0000-0000-000028590000}"/>
    <cellStyle name="Normal 3 4 3 3 2" xfId="6941" xr:uid="{00000000-0005-0000-0000-000029590000}"/>
    <cellStyle name="Normal 3 4 3 3 2 2" xfId="16265" xr:uid="{00000000-0005-0000-0000-00002A590000}"/>
    <cellStyle name="Normal 3 4 3 3 2 3" xfId="25588" xr:uid="{00000000-0005-0000-0000-00002B590000}"/>
    <cellStyle name="Normal 3 4 3 3 3" xfId="10404" xr:uid="{00000000-0005-0000-0000-00002C590000}"/>
    <cellStyle name="Normal 3 4 3 3 4" xfId="19728" xr:uid="{00000000-0005-0000-0000-00002D590000}"/>
    <cellStyle name="Normal 3 4 3 4" xfId="2470" xr:uid="{00000000-0005-0000-0000-00002E590000}"/>
    <cellStyle name="Normal 3 4 3 4 2" xfId="7543" xr:uid="{00000000-0005-0000-0000-00002F590000}"/>
    <cellStyle name="Normal 3 4 3 4 2 2" xfId="16867" xr:uid="{00000000-0005-0000-0000-000030590000}"/>
    <cellStyle name="Normal 3 4 3 4 2 3" xfId="26190" xr:uid="{00000000-0005-0000-0000-000031590000}"/>
    <cellStyle name="Normal 3 4 3 4 3" xfId="11944" xr:uid="{00000000-0005-0000-0000-000032590000}"/>
    <cellStyle name="Normal 3 4 3 4 4" xfId="21270" xr:uid="{00000000-0005-0000-0000-000033590000}"/>
    <cellStyle name="Normal 3 4 3 5" xfId="4165" xr:uid="{00000000-0005-0000-0000-000034590000}"/>
    <cellStyle name="Normal 3 4 3 5 2" xfId="8842" xr:uid="{00000000-0005-0000-0000-000035590000}"/>
    <cellStyle name="Normal 3 4 3 5 2 2" xfId="18166" xr:uid="{00000000-0005-0000-0000-000036590000}"/>
    <cellStyle name="Normal 3 4 3 5 2 3" xfId="27489" xr:uid="{00000000-0005-0000-0000-000037590000}"/>
    <cellStyle name="Normal 3 4 3 5 3" xfId="13499" xr:uid="{00000000-0005-0000-0000-000038590000}"/>
    <cellStyle name="Normal 3 4 3 5 4" xfId="22823" xr:uid="{00000000-0005-0000-0000-000039590000}"/>
    <cellStyle name="Normal 3 4 3 6" xfId="5897" xr:uid="{00000000-0005-0000-0000-00003A590000}"/>
    <cellStyle name="Normal 3 4 3 6 2" xfId="15221" xr:uid="{00000000-0005-0000-0000-00003B590000}"/>
    <cellStyle name="Normal 3 4 3 6 3" xfId="24544" xr:uid="{00000000-0005-0000-0000-00003C590000}"/>
    <cellStyle name="Normal 3 4 3 7" xfId="9426" xr:uid="{00000000-0005-0000-0000-00003D590000}"/>
    <cellStyle name="Normal 3 4 3 7 2" xfId="18750" xr:uid="{00000000-0005-0000-0000-00003E590000}"/>
    <cellStyle name="Normal 3 4 3 7 3" xfId="28073" xr:uid="{00000000-0005-0000-0000-00003F590000}"/>
    <cellStyle name="Normal 3 4 3 8" xfId="9920" xr:uid="{00000000-0005-0000-0000-000040590000}"/>
    <cellStyle name="Normal 3 4 3 9" xfId="19244" xr:uid="{00000000-0005-0000-0000-000041590000}"/>
    <cellStyle name="Normal 3 4 4" xfId="431" xr:uid="{00000000-0005-0000-0000-000042590000}"/>
    <cellStyle name="Normal 3 4 4 2" xfId="919" xr:uid="{00000000-0005-0000-0000-000043590000}"/>
    <cellStyle name="Normal 3 4 4 2 2" xfId="6850" xr:uid="{00000000-0005-0000-0000-000044590000}"/>
    <cellStyle name="Normal 3 4 4 2 2 2" xfId="16174" xr:uid="{00000000-0005-0000-0000-000045590000}"/>
    <cellStyle name="Normal 3 4 4 2 2 3" xfId="25497" xr:uid="{00000000-0005-0000-0000-000046590000}"/>
    <cellStyle name="Normal 3 4 4 2 3" xfId="10520" xr:uid="{00000000-0005-0000-0000-000047590000}"/>
    <cellStyle name="Normal 3 4 4 2 4" xfId="19844" xr:uid="{00000000-0005-0000-0000-000048590000}"/>
    <cellStyle name="Normal 3 4 4 3" xfId="7152" xr:uid="{00000000-0005-0000-0000-000049590000}"/>
    <cellStyle name="Normal 3 4 4 3 2" xfId="16476" xr:uid="{00000000-0005-0000-0000-00004A590000}"/>
    <cellStyle name="Normal 3 4 4 3 3" xfId="25799" xr:uid="{00000000-0005-0000-0000-00004B590000}"/>
    <cellStyle name="Normal 3 4 4 4" xfId="9542" xr:uid="{00000000-0005-0000-0000-00004C590000}"/>
    <cellStyle name="Normal 3 4 4 4 2" xfId="18866" xr:uid="{00000000-0005-0000-0000-00004D590000}"/>
    <cellStyle name="Normal 3 4 4 4 3" xfId="28189" xr:uid="{00000000-0005-0000-0000-00004E590000}"/>
    <cellStyle name="Normal 3 4 4 5" xfId="10036" xr:uid="{00000000-0005-0000-0000-00004F590000}"/>
    <cellStyle name="Normal 3 4 4 6" xfId="19360" xr:uid="{00000000-0005-0000-0000-000050590000}"/>
    <cellStyle name="Normal 3 4 5" xfId="679" xr:uid="{00000000-0005-0000-0000-000051590000}"/>
    <cellStyle name="Normal 3 4 5 2" xfId="7028" xr:uid="{00000000-0005-0000-0000-000052590000}"/>
    <cellStyle name="Normal 3 4 5 2 2" xfId="16352" xr:uid="{00000000-0005-0000-0000-000053590000}"/>
    <cellStyle name="Normal 3 4 5 2 3" xfId="25675" xr:uid="{00000000-0005-0000-0000-000054590000}"/>
    <cellStyle name="Normal 3 4 5 3" xfId="10280" xr:uid="{00000000-0005-0000-0000-000055590000}"/>
    <cellStyle name="Normal 3 4 5 4" xfId="19604" xr:uid="{00000000-0005-0000-0000-000056590000}"/>
    <cellStyle name="Normal 3 4 6" xfId="2468" xr:uid="{00000000-0005-0000-0000-000057590000}"/>
    <cellStyle name="Normal 3 4 6 2" xfId="7542" xr:uid="{00000000-0005-0000-0000-000058590000}"/>
    <cellStyle name="Normal 3 4 6 2 2" xfId="16866" xr:uid="{00000000-0005-0000-0000-000059590000}"/>
    <cellStyle name="Normal 3 4 6 2 3" xfId="26189" xr:uid="{00000000-0005-0000-0000-00005A590000}"/>
    <cellStyle name="Normal 3 4 6 3" xfId="11943" xr:uid="{00000000-0005-0000-0000-00005B590000}"/>
    <cellStyle name="Normal 3 4 6 4" xfId="21269" xr:uid="{00000000-0005-0000-0000-00005C590000}"/>
    <cellStyle name="Normal 3 4 7" xfId="4164" xr:uid="{00000000-0005-0000-0000-00005D590000}"/>
    <cellStyle name="Normal 3 4 7 2" xfId="8841" xr:uid="{00000000-0005-0000-0000-00005E590000}"/>
    <cellStyle name="Normal 3 4 7 2 2" xfId="18165" xr:uid="{00000000-0005-0000-0000-00005F590000}"/>
    <cellStyle name="Normal 3 4 7 2 3" xfId="27488" xr:uid="{00000000-0005-0000-0000-000060590000}"/>
    <cellStyle name="Normal 3 4 7 3" xfId="13498" xr:uid="{00000000-0005-0000-0000-000061590000}"/>
    <cellStyle name="Normal 3 4 7 4" xfId="22822" xr:uid="{00000000-0005-0000-0000-000062590000}"/>
    <cellStyle name="Normal 3 4 8" xfId="5895" xr:uid="{00000000-0005-0000-0000-000063590000}"/>
    <cellStyle name="Normal 3 4 8 2" xfId="15219" xr:uid="{00000000-0005-0000-0000-000064590000}"/>
    <cellStyle name="Normal 3 4 8 3" xfId="24542" xr:uid="{00000000-0005-0000-0000-000065590000}"/>
    <cellStyle name="Normal 3 4 9" xfId="9301" xr:uid="{00000000-0005-0000-0000-000066590000}"/>
    <cellStyle name="Normal 3 4 9 2" xfId="18625" xr:uid="{00000000-0005-0000-0000-000067590000}"/>
    <cellStyle name="Normal 3 4 9 3" xfId="27948" xr:uid="{00000000-0005-0000-0000-000068590000}"/>
    <cellStyle name="Normal 3 5" xfId="169" xr:uid="{00000000-0005-0000-0000-000069590000}"/>
    <cellStyle name="Normal 3 5 2" xfId="2459" xr:uid="{00000000-0005-0000-0000-00006A590000}"/>
    <cellStyle name="Normal 3 6" xfId="229" xr:uid="{00000000-0005-0000-0000-00006B590000}"/>
    <cellStyle name="Normal 3 6 2" xfId="369" xr:uid="{00000000-0005-0000-0000-00006C590000}"/>
    <cellStyle name="Normal 3 6 2 2" xfId="609" xr:uid="{00000000-0005-0000-0000-00006D590000}"/>
    <cellStyle name="Normal 3 6 2 2 2" xfId="1097" xr:uid="{00000000-0005-0000-0000-00006E590000}"/>
    <cellStyle name="Normal 3 6 2 2 2 2" xfId="6727" xr:uid="{00000000-0005-0000-0000-00006F590000}"/>
    <cellStyle name="Normal 3 6 2 2 2 2 2" xfId="16051" xr:uid="{00000000-0005-0000-0000-000070590000}"/>
    <cellStyle name="Normal 3 6 2 2 2 2 3" xfId="25374" xr:uid="{00000000-0005-0000-0000-000071590000}"/>
    <cellStyle name="Normal 3 6 2 2 2 3" xfId="10698" xr:uid="{00000000-0005-0000-0000-000072590000}"/>
    <cellStyle name="Normal 3 6 2 2 2 4" xfId="20022" xr:uid="{00000000-0005-0000-0000-000073590000}"/>
    <cellStyle name="Normal 3 6 2 2 3" xfId="7047" xr:uid="{00000000-0005-0000-0000-000074590000}"/>
    <cellStyle name="Normal 3 6 2 2 3 2" xfId="16371" xr:uid="{00000000-0005-0000-0000-000075590000}"/>
    <cellStyle name="Normal 3 6 2 2 3 3" xfId="25694" xr:uid="{00000000-0005-0000-0000-000076590000}"/>
    <cellStyle name="Normal 3 6 2 2 4" xfId="9720" xr:uid="{00000000-0005-0000-0000-000077590000}"/>
    <cellStyle name="Normal 3 6 2 2 4 2" xfId="19044" xr:uid="{00000000-0005-0000-0000-000078590000}"/>
    <cellStyle name="Normal 3 6 2 2 4 3" xfId="28367" xr:uid="{00000000-0005-0000-0000-000079590000}"/>
    <cellStyle name="Normal 3 6 2 2 5" xfId="10214" xr:uid="{00000000-0005-0000-0000-00007A590000}"/>
    <cellStyle name="Normal 3 6 2 2 6" xfId="19538" xr:uid="{00000000-0005-0000-0000-00007B590000}"/>
    <cellStyle name="Normal 3 6 2 3" xfId="857" xr:uid="{00000000-0005-0000-0000-00007C590000}"/>
    <cellStyle name="Normal 3 6 2 3 2" xfId="6905" xr:uid="{00000000-0005-0000-0000-00007D590000}"/>
    <cellStyle name="Normal 3 6 2 3 2 2" xfId="16229" xr:uid="{00000000-0005-0000-0000-00007E590000}"/>
    <cellStyle name="Normal 3 6 2 3 2 3" xfId="25552" xr:uid="{00000000-0005-0000-0000-00007F590000}"/>
    <cellStyle name="Normal 3 6 2 3 3" xfId="10458" xr:uid="{00000000-0005-0000-0000-000080590000}"/>
    <cellStyle name="Normal 3 6 2 3 4" xfId="19782" xr:uid="{00000000-0005-0000-0000-000081590000}"/>
    <cellStyle name="Normal 3 6 2 4" xfId="7184" xr:uid="{00000000-0005-0000-0000-000082590000}"/>
    <cellStyle name="Normal 3 6 2 4 2" xfId="16508" xr:uid="{00000000-0005-0000-0000-000083590000}"/>
    <cellStyle name="Normal 3 6 2 4 3" xfId="25831" xr:uid="{00000000-0005-0000-0000-000084590000}"/>
    <cellStyle name="Normal 3 6 2 5" xfId="9480" xr:uid="{00000000-0005-0000-0000-000085590000}"/>
    <cellStyle name="Normal 3 6 2 5 2" xfId="18804" xr:uid="{00000000-0005-0000-0000-000086590000}"/>
    <cellStyle name="Normal 3 6 2 5 3" xfId="28127" xr:uid="{00000000-0005-0000-0000-000087590000}"/>
    <cellStyle name="Normal 3 6 2 6" xfId="9974" xr:uid="{00000000-0005-0000-0000-000088590000}"/>
    <cellStyle name="Normal 3 6 2 7" xfId="19298" xr:uid="{00000000-0005-0000-0000-000089590000}"/>
    <cellStyle name="Normal 3 6 3" xfId="487" xr:uid="{00000000-0005-0000-0000-00008A590000}"/>
    <cellStyle name="Normal 3 6 3 2" xfId="975" xr:uid="{00000000-0005-0000-0000-00008B590000}"/>
    <cellStyle name="Normal 3 6 3 2 2" xfId="5485" xr:uid="{00000000-0005-0000-0000-00008C590000}"/>
    <cellStyle name="Normal 3 6 3 2 2 2" xfId="14809" xr:uid="{00000000-0005-0000-0000-00008D590000}"/>
    <cellStyle name="Normal 3 6 3 2 2 3" xfId="24132" xr:uid="{00000000-0005-0000-0000-00008E590000}"/>
    <cellStyle name="Normal 3 6 3 2 3" xfId="10576" xr:uid="{00000000-0005-0000-0000-00008F590000}"/>
    <cellStyle name="Normal 3 6 3 2 4" xfId="19900" xr:uid="{00000000-0005-0000-0000-000090590000}"/>
    <cellStyle name="Normal 3 6 3 3" xfId="7116" xr:uid="{00000000-0005-0000-0000-000091590000}"/>
    <cellStyle name="Normal 3 6 3 3 2" xfId="16440" xr:uid="{00000000-0005-0000-0000-000092590000}"/>
    <cellStyle name="Normal 3 6 3 3 3" xfId="25763" xr:uid="{00000000-0005-0000-0000-000093590000}"/>
    <cellStyle name="Normal 3 6 3 4" xfId="9598" xr:uid="{00000000-0005-0000-0000-000094590000}"/>
    <cellStyle name="Normal 3 6 3 4 2" xfId="18922" xr:uid="{00000000-0005-0000-0000-000095590000}"/>
    <cellStyle name="Normal 3 6 3 4 3" xfId="28245" xr:uid="{00000000-0005-0000-0000-000096590000}"/>
    <cellStyle name="Normal 3 6 3 5" xfId="10092" xr:uid="{00000000-0005-0000-0000-000097590000}"/>
    <cellStyle name="Normal 3 6 3 6" xfId="19416" xr:uid="{00000000-0005-0000-0000-000098590000}"/>
    <cellStyle name="Normal 3 6 4" xfId="735" xr:uid="{00000000-0005-0000-0000-000099590000}"/>
    <cellStyle name="Normal 3 6 4 2" xfId="6988" xr:uid="{00000000-0005-0000-0000-00009A590000}"/>
    <cellStyle name="Normal 3 6 4 2 2" xfId="16312" xr:uid="{00000000-0005-0000-0000-00009B590000}"/>
    <cellStyle name="Normal 3 6 4 2 3" xfId="25635" xr:uid="{00000000-0005-0000-0000-00009C590000}"/>
    <cellStyle name="Normal 3 6 4 3" xfId="10336" xr:uid="{00000000-0005-0000-0000-00009D590000}"/>
    <cellStyle name="Normal 3 6 4 4" xfId="19660" xr:uid="{00000000-0005-0000-0000-00009E590000}"/>
    <cellStyle name="Normal 3 6 5" xfId="7249" xr:uid="{00000000-0005-0000-0000-00009F590000}"/>
    <cellStyle name="Normal 3 6 5 2" xfId="16573" xr:uid="{00000000-0005-0000-0000-0000A0590000}"/>
    <cellStyle name="Normal 3 6 5 3" xfId="25896" xr:uid="{00000000-0005-0000-0000-0000A1590000}"/>
    <cellStyle name="Normal 3 6 6" xfId="9357" xr:uid="{00000000-0005-0000-0000-0000A2590000}"/>
    <cellStyle name="Normal 3 6 6 2" xfId="18681" xr:uid="{00000000-0005-0000-0000-0000A3590000}"/>
    <cellStyle name="Normal 3 6 6 3" xfId="28004" xr:uid="{00000000-0005-0000-0000-0000A4590000}"/>
    <cellStyle name="Normal 3 6 7" xfId="9851" xr:uid="{00000000-0005-0000-0000-0000A5590000}"/>
    <cellStyle name="Normal 3 6 8" xfId="19175" xr:uid="{00000000-0005-0000-0000-0000A6590000}"/>
    <cellStyle name="Normal 3 7" xfId="311" xr:uid="{00000000-0005-0000-0000-0000A7590000}"/>
    <cellStyle name="Normal 3 7 2" xfId="552" xr:uid="{00000000-0005-0000-0000-0000A8590000}"/>
    <cellStyle name="Normal 3 7 2 2" xfId="1040" xr:uid="{00000000-0005-0000-0000-0000A9590000}"/>
    <cellStyle name="Normal 3 7 2 2 2" xfId="6769" xr:uid="{00000000-0005-0000-0000-0000AA590000}"/>
    <cellStyle name="Normal 3 7 2 2 2 2" xfId="16093" xr:uid="{00000000-0005-0000-0000-0000AB590000}"/>
    <cellStyle name="Normal 3 7 2 2 2 3" xfId="25416" xr:uid="{00000000-0005-0000-0000-0000AC590000}"/>
    <cellStyle name="Normal 3 7 2 2 3" xfId="10641" xr:uid="{00000000-0005-0000-0000-0000AD590000}"/>
    <cellStyle name="Normal 3 7 2 2 4" xfId="19965" xr:uid="{00000000-0005-0000-0000-0000AE590000}"/>
    <cellStyle name="Normal 3 7 2 3" xfId="7087" xr:uid="{00000000-0005-0000-0000-0000AF590000}"/>
    <cellStyle name="Normal 3 7 2 3 2" xfId="16411" xr:uid="{00000000-0005-0000-0000-0000B0590000}"/>
    <cellStyle name="Normal 3 7 2 3 3" xfId="25734" xr:uid="{00000000-0005-0000-0000-0000B1590000}"/>
    <cellStyle name="Normal 3 7 2 4" xfId="9663" xr:uid="{00000000-0005-0000-0000-0000B2590000}"/>
    <cellStyle name="Normal 3 7 2 4 2" xfId="18987" xr:uid="{00000000-0005-0000-0000-0000B3590000}"/>
    <cellStyle name="Normal 3 7 2 4 3" xfId="28310" xr:uid="{00000000-0005-0000-0000-0000B4590000}"/>
    <cellStyle name="Normal 3 7 2 5" xfId="10157" xr:uid="{00000000-0005-0000-0000-0000B5590000}"/>
    <cellStyle name="Normal 3 7 2 6" xfId="19481" xr:uid="{00000000-0005-0000-0000-0000B6590000}"/>
    <cellStyle name="Normal 3 7 3" xfId="800" xr:uid="{00000000-0005-0000-0000-0000B7590000}"/>
    <cellStyle name="Normal 3 7 3 2" xfId="6315" xr:uid="{00000000-0005-0000-0000-0000B8590000}"/>
    <cellStyle name="Normal 3 7 3 2 2" xfId="15639" xr:uid="{00000000-0005-0000-0000-0000B9590000}"/>
    <cellStyle name="Normal 3 7 3 2 3" xfId="24962" xr:uid="{00000000-0005-0000-0000-0000BA590000}"/>
    <cellStyle name="Normal 3 7 3 3" xfId="10401" xr:uid="{00000000-0005-0000-0000-0000BB590000}"/>
    <cellStyle name="Normal 3 7 3 4" xfId="19725" xr:uid="{00000000-0005-0000-0000-0000BC590000}"/>
    <cellStyle name="Normal 3 7 4" xfId="7218" xr:uid="{00000000-0005-0000-0000-0000BD590000}"/>
    <cellStyle name="Normal 3 7 4 2" xfId="16542" xr:uid="{00000000-0005-0000-0000-0000BE590000}"/>
    <cellStyle name="Normal 3 7 4 3" xfId="25865" xr:uid="{00000000-0005-0000-0000-0000BF590000}"/>
    <cellStyle name="Normal 3 7 5" xfId="9423" xr:uid="{00000000-0005-0000-0000-0000C0590000}"/>
    <cellStyle name="Normal 3 7 5 2" xfId="18747" xr:uid="{00000000-0005-0000-0000-0000C1590000}"/>
    <cellStyle name="Normal 3 7 5 3" xfId="28070" xr:uid="{00000000-0005-0000-0000-0000C2590000}"/>
    <cellStyle name="Normal 3 7 6" xfId="9917" xr:uid="{00000000-0005-0000-0000-0000C3590000}"/>
    <cellStyle name="Normal 3 7 7" xfId="19241" xr:uid="{00000000-0005-0000-0000-0000C4590000}"/>
    <cellStyle name="Normal 3 8" xfId="428" xr:uid="{00000000-0005-0000-0000-0000C5590000}"/>
    <cellStyle name="Normal 3 8 2" xfId="916" xr:uid="{00000000-0005-0000-0000-0000C6590000}"/>
    <cellStyle name="Normal 3 8 2 2" xfId="7344" xr:uid="{00000000-0005-0000-0000-0000C7590000}"/>
    <cellStyle name="Normal 3 8 2 2 2" xfId="16668" xr:uid="{00000000-0005-0000-0000-0000C8590000}"/>
    <cellStyle name="Normal 3 8 2 2 3" xfId="25991" xr:uid="{00000000-0005-0000-0000-0000C9590000}"/>
    <cellStyle name="Normal 3 8 2 3" xfId="10517" xr:uid="{00000000-0005-0000-0000-0000CA590000}"/>
    <cellStyle name="Normal 3 8 2 4" xfId="19841" xr:uid="{00000000-0005-0000-0000-0000CB590000}"/>
    <cellStyle name="Normal 3 8 3" xfId="7155" xr:uid="{00000000-0005-0000-0000-0000CC590000}"/>
    <cellStyle name="Normal 3 8 3 2" xfId="16479" xr:uid="{00000000-0005-0000-0000-0000CD590000}"/>
    <cellStyle name="Normal 3 8 3 3" xfId="25802" xr:uid="{00000000-0005-0000-0000-0000CE590000}"/>
    <cellStyle name="Normal 3 8 4" xfId="9539" xr:uid="{00000000-0005-0000-0000-0000CF590000}"/>
    <cellStyle name="Normal 3 8 4 2" xfId="18863" xr:uid="{00000000-0005-0000-0000-0000D0590000}"/>
    <cellStyle name="Normal 3 8 4 3" xfId="28186" xr:uid="{00000000-0005-0000-0000-0000D1590000}"/>
    <cellStyle name="Normal 3 8 5" xfId="10033" xr:uid="{00000000-0005-0000-0000-0000D2590000}"/>
    <cellStyle name="Normal 3 8 6" xfId="19357" xr:uid="{00000000-0005-0000-0000-0000D3590000}"/>
    <cellStyle name="Normal 3 9" xfId="676" xr:uid="{00000000-0005-0000-0000-0000D4590000}"/>
    <cellStyle name="Normal 3 9 2" xfId="4794" xr:uid="{00000000-0005-0000-0000-0000D5590000}"/>
    <cellStyle name="Normal 3 9 2 2" xfId="14118" xr:uid="{00000000-0005-0000-0000-0000D6590000}"/>
    <cellStyle name="Normal 3 9 2 3" xfId="23441" xr:uid="{00000000-0005-0000-0000-0000D7590000}"/>
    <cellStyle name="Normal 3 9 3" xfId="10277" xr:uid="{00000000-0005-0000-0000-0000D8590000}"/>
    <cellStyle name="Normal 3 9 4" xfId="19601" xr:uid="{00000000-0005-0000-0000-0000D9590000}"/>
    <cellStyle name="Normal 30" xfId="1319" xr:uid="{00000000-0005-0000-0000-0000DA590000}"/>
    <cellStyle name="Normal 30 2" xfId="1320" xr:uid="{00000000-0005-0000-0000-0000DB590000}"/>
    <cellStyle name="Normal 30 2 2" xfId="2473" xr:uid="{00000000-0005-0000-0000-0000DC590000}"/>
    <cellStyle name="Normal 30 2 2 2" xfId="4168" xr:uid="{00000000-0005-0000-0000-0000DD590000}"/>
    <cellStyle name="Normal 30 2 2 2 2" xfId="8845" xr:uid="{00000000-0005-0000-0000-0000DE590000}"/>
    <cellStyle name="Normal 30 2 2 2 2 2" xfId="18169" xr:uid="{00000000-0005-0000-0000-0000DF590000}"/>
    <cellStyle name="Normal 30 2 2 2 2 3" xfId="27492" xr:uid="{00000000-0005-0000-0000-0000E0590000}"/>
    <cellStyle name="Normal 30 2 2 2 3" xfId="13502" xr:uid="{00000000-0005-0000-0000-0000E1590000}"/>
    <cellStyle name="Normal 30 2 2 2 4" xfId="22826" xr:uid="{00000000-0005-0000-0000-0000E2590000}"/>
    <cellStyle name="Normal 30 2 2 3" xfId="5900" xr:uid="{00000000-0005-0000-0000-0000E3590000}"/>
    <cellStyle name="Normal 30 2 2 3 2" xfId="15224" xr:uid="{00000000-0005-0000-0000-0000E4590000}"/>
    <cellStyle name="Normal 30 2 2 3 3" xfId="24547" xr:uid="{00000000-0005-0000-0000-0000E5590000}"/>
    <cellStyle name="Normal 30 2 2 4" xfId="11947" xr:uid="{00000000-0005-0000-0000-0000E6590000}"/>
    <cellStyle name="Normal 30 2 2 5" xfId="21273" xr:uid="{00000000-0005-0000-0000-0000E7590000}"/>
    <cellStyle name="Normal 30 2 3" xfId="2472" xr:uid="{00000000-0005-0000-0000-0000E8590000}"/>
    <cellStyle name="Normal 30 2 3 2" xfId="4167" xr:uid="{00000000-0005-0000-0000-0000E9590000}"/>
    <cellStyle name="Normal 30 2 3 2 2" xfId="8844" xr:uid="{00000000-0005-0000-0000-0000EA590000}"/>
    <cellStyle name="Normal 30 2 3 2 2 2" xfId="18168" xr:uid="{00000000-0005-0000-0000-0000EB590000}"/>
    <cellStyle name="Normal 30 2 3 2 2 3" xfId="27491" xr:uid="{00000000-0005-0000-0000-0000EC590000}"/>
    <cellStyle name="Normal 30 2 3 2 3" xfId="13501" xr:uid="{00000000-0005-0000-0000-0000ED590000}"/>
    <cellStyle name="Normal 30 2 3 2 4" xfId="22825" xr:uid="{00000000-0005-0000-0000-0000EE590000}"/>
    <cellStyle name="Normal 30 2 3 3" xfId="5899" xr:uid="{00000000-0005-0000-0000-0000EF590000}"/>
    <cellStyle name="Normal 30 2 3 3 2" xfId="15223" xr:uid="{00000000-0005-0000-0000-0000F0590000}"/>
    <cellStyle name="Normal 30 2 3 3 3" xfId="24546" xr:uid="{00000000-0005-0000-0000-0000F1590000}"/>
    <cellStyle name="Normal 30 2 3 4" xfId="11946" xr:uid="{00000000-0005-0000-0000-0000F2590000}"/>
    <cellStyle name="Normal 30 2 3 5" xfId="21272" xr:uid="{00000000-0005-0000-0000-0000F3590000}"/>
    <cellStyle name="Normal 30 2 4" xfId="28893" xr:uid="{00000000-0005-0000-0000-0000F4590000}"/>
    <cellStyle name="Normal 30 3" xfId="2474" xr:uid="{00000000-0005-0000-0000-0000F5590000}"/>
    <cellStyle name="Normal 30 3 2" xfId="4169" xr:uid="{00000000-0005-0000-0000-0000F6590000}"/>
    <cellStyle name="Normal 30 3 2 2" xfId="8846" xr:uid="{00000000-0005-0000-0000-0000F7590000}"/>
    <cellStyle name="Normal 30 3 2 2 2" xfId="18170" xr:uid="{00000000-0005-0000-0000-0000F8590000}"/>
    <cellStyle name="Normal 30 3 2 2 3" xfId="27493" xr:uid="{00000000-0005-0000-0000-0000F9590000}"/>
    <cellStyle name="Normal 30 3 2 3" xfId="13503" xr:uid="{00000000-0005-0000-0000-0000FA590000}"/>
    <cellStyle name="Normal 30 3 2 4" xfId="22827" xr:uid="{00000000-0005-0000-0000-0000FB590000}"/>
    <cellStyle name="Normal 30 3 3" xfId="5901" xr:uid="{00000000-0005-0000-0000-0000FC590000}"/>
    <cellStyle name="Normal 30 3 3 2" xfId="15225" xr:uid="{00000000-0005-0000-0000-0000FD590000}"/>
    <cellStyle name="Normal 30 3 3 3" xfId="24548" xr:uid="{00000000-0005-0000-0000-0000FE590000}"/>
    <cellStyle name="Normal 30 3 4" xfId="11948" xr:uid="{00000000-0005-0000-0000-0000FF590000}"/>
    <cellStyle name="Normal 30 3 5" xfId="21274" xr:uid="{00000000-0005-0000-0000-0000005A0000}"/>
    <cellStyle name="Normal 30 3 6" xfId="28808" xr:uid="{00000000-0005-0000-0000-0000015A0000}"/>
    <cellStyle name="Normal 30 4" xfId="2471" xr:uid="{00000000-0005-0000-0000-0000025A0000}"/>
    <cellStyle name="Normal 30 4 2" xfId="4166" xr:uid="{00000000-0005-0000-0000-0000035A0000}"/>
    <cellStyle name="Normal 30 4 2 2" xfId="8843" xr:uid="{00000000-0005-0000-0000-0000045A0000}"/>
    <cellStyle name="Normal 30 4 2 2 2" xfId="18167" xr:uid="{00000000-0005-0000-0000-0000055A0000}"/>
    <cellStyle name="Normal 30 4 2 2 3" xfId="27490" xr:uid="{00000000-0005-0000-0000-0000065A0000}"/>
    <cellStyle name="Normal 30 4 2 3" xfId="13500" xr:uid="{00000000-0005-0000-0000-0000075A0000}"/>
    <cellStyle name="Normal 30 4 2 4" xfId="22824" xr:uid="{00000000-0005-0000-0000-0000085A0000}"/>
    <cellStyle name="Normal 30 4 3" xfId="5898" xr:uid="{00000000-0005-0000-0000-0000095A0000}"/>
    <cellStyle name="Normal 30 4 3 2" xfId="15222" xr:uid="{00000000-0005-0000-0000-00000A5A0000}"/>
    <cellStyle name="Normal 30 4 3 3" xfId="24545" xr:uid="{00000000-0005-0000-0000-00000B5A0000}"/>
    <cellStyle name="Normal 30 4 4" xfId="11945" xr:uid="{00000000-0005-0000-0000-00000C5A0000}"/>
    <cellStyle name="Normal 30 4 5" xfId="21271" xr:uid="{00000000-0005-0000-0000-00000D5A0000}"/>
    <cellStyle name="Normal 30 5" xfId="2916" xr:uid="{00000000-0005-0000-0000-00000E5A0000}"/>
    <cellStyle name="Normal 30 6" xfId="28755" xr:uid="{00000000-0005-0000-0000-00000F5A0000}"/>
    <cellStyle name="Normal 31" xfId="1321" xr:uid="{00000000-0005-0000-0000-0000105A0000}"/>
    <cellStyle name="Normal 31 2" xfId="2476" xr:uid="{00000000-0005-0000-0000-0000115A0000}"/>
    <cellStyle name="Normal 31 2 2" xfId="2477" xr:uid="{00000000-0005-0000-0000-0000125A0000}"/>
    <cellStyle name="Normal 31 2 2 2" xfId="4172" xr:uid="{00000000-0005-0000-0000-0000135A0000}"/>
    <cellStyle name="Normal 31 2 2 2 2" xfId="8849" xr:uid="{00000000-0005-0000-0000-0000145A0000}"/>
    <cellStyle name="Normal 31 2 2 2 2 2" xfId="18173" xr:uid="{00000000-0005-0000-0000-0000155A0000}"/>
    <cellStyle name="Normal 31 2 2 2 2 3" xfId="27496" xr:uid="{00000000-0005-0000-0000-0000165A0000}"/>
    <cellStyle name="Normal 31 2 2 2 3" xfId="13506" xr:uid="{00000000-0005-0000-0000-0000175A0000}"/>
    <cellStyle name="Normal 31 2 2 2 4" xfId="22830" xr:uid="{00000000-0005-0000-0000-0000185A0000}"/>
    <cellStyle name="Normal 31 2 2 3" xfId="5904" xr:uid="{00000000-0005-0000-0000-0000195A0000}"/>
    <cellStyle name="Normal 31 2 2 3 2" xfId="15228" xr:uid="{00000000-0005-0000-0000-00001A5A0000}"/>
    <cellStyle name="Normal 31 2 2 3 3" xfId="24551" xr:uid="{00000000-0005-0000-0000-00001B5A0000}"/>
    <cellStyle name="Normal 31 2 2 4" xfId="11951" xr:uid="{00000000-0005-0000-0000-00001C5A0000}"/>
    <cellStyle name="Normal 31 2 2 5" xfId="21277" xr:uid="{00000000-0005-0000-0000-00001D5A0000}"/>
    <cellStyle name="Normal 31 2 3" xfId="4171" xr:uid="{00000000-0005-0000-0000-00001E5A0000}"/>
    <cellStyle name="Normal 31 2 3 2" xfId="8848" xr:uid="{00000000-0005-0000-0000-00001F5A0000}"/>
    <cellStyle name="Normal 31 2 3 2 2" xfId="18172" xr:uid="{00000000-0005-0000-0000-0000205A0000}"/>
    <cellStyle name="Normal 31 2 3 2 3" xfId="27495" xr:uid="{00000000-0005-0000-0000-0000215A0000}"/>
    <cellStyle name="Normal 31 2 3 3" xfId="13505" xr:uid="{00000000-0005-0000-0000-0000225A0000}"/>
    <cellStyle name="Normal 31 2 3 4" xfId="22829" xr:uid="{00000000-0005-0000-0000-0000235A0000}"/>
    <cellStyle name="Normal 31 2 4" xfId="5903" xr:uid="{00000000-0005-0000-0000-0000245A0000}"/>
    <cellStyle name="Normal 31 2 4 2" xfId="15227" xr:uid="{00000000-0005-0000-0000-0000255A0000}"/>
    <cellStyle name="Normal 31 2 4 3" xfId="24550" xr:uid="{00000000-0005-0000-0000-0000265A0000}"/>
    <cellStyle name="Normal 31 2 5" xfId="11950" xr:uid="{00000000-0005-0000-0000-0000275A0000}"/>
    <cellStyle name="Normal 31 2 6" xfId="21276" xr:uid="{00000000-0005-0000-0000-0000285A0000}"/>
    <cellStyle name="Normal 31 2 7" xfId="28894" xr:uid="{00000000-0005-0000-0000-0000295A0000}"/>
    <cellStyle name="Normal 31 3" xfId="2478" xr:uid="{00000000-0005-0000-0000-00002A5A0000}"/>
    <cellStyle name="Normal 31 3 2" xfId="4173" xr:uid="{00000000-0005-0000-0000-00002B5A0000}"/>
    <cellStyle name="Normal 31 3 2 2" xfId="8850" xr:uid="{00000000-0005-0000-0000-00002C5A0000}"/>
    <cellStyle name="Normal 31 3 2 2 2" xfId="18174" xr:uid="{00000000-0005-0000-0000-00002D5A0000}"/>
    <cellStyle name="Normal 31 3 2 2 3" xfId="27497" xr:uid="{00000000-0005-0000-0000-00002E5A0000}"/>
    <cellStyle name="Normal 31 3 2 3" xfId="13507" xr:uid="{00000000-0005-0000-0000-00002F5A0000}"/>
    <cellStyle name="Normal 31 3 2 4" xfId="22831" xr:uid="{00000000-0005-0000-0000-0000305A0000}"/>
    <cellStyle name="Normal 31 3 3" xfId="5905" xr:uid="{00000000-0005-0000-0000-0000315A0000}"/>
    <cellStyle name="Normal 31 3 3 2" xfId="15229" xr:uid="{00000000-0005-0000-0000-0000325A0000}"/>
    <cellStyle name="Normal 31 3 3 3" xfId="24552" xr:uid="{00000000-0005-0000-0000-0000335A0000}"/>
    <cellStyle name="Normal 31 3 4" xfId="11952" xr:uid="{00000000-0005-0000-0000-0000345A0000}"/>
    <cellStyle name="Normal 31 3 5" xfId="21278" xr:uid="{00000000-0005-0000-0000-0000355A0000}"/>
    <cellStyle name="Normal 31 3 6" xfId="28809" xr:uid="{00000000-0005-0000-0000-0000365A0000}"/>
    <cellStyle name="Normal 31 4" xfId="2475" xr:uid="{00000000-0005-0000-0000-0000375A0000}"/>
    <cellStyle name="Normal 31 4 2" xfId="4170" xr:uid="{00000000-0005-0000-0000-0000385A0000}"/>
    <cellStyle name="Normal 31 4 2 2" xfId="8847" xr:uid="{00000000-0005-0000-0000-0000395A0000}"/>
    <cellStyle name="Normal 31 4 2 2 2" xfId="18171" xr:uid="{00000000-0005-0000-0000-00003A5A0000}"/>
    <cellStyle name="Normal 31 4 2 2 3" xfId="27494" xr:uid="{00000000-0005-0000-0000-00003B5A0000}"/>
    <cellStyle name="Normal 31 4 2 3" xfId="13504" xr:uid="{00000000-0005-0000-0000-00003C5A0000}"/>
    <cellStyle name="Normal 31 4 2 4" xfId="22828" xr:uid="{00000000-0005-0000-0000-00003D5A0000}"/>
    <cellStyle name="Normal 31 4 3" xfId="5902" xr:uid="{00000000-0005-0000-0000-00003E5A0000}"/>
    <cellStyle name="Normal 31 4 3 2" xfId="15226" xr:uid="{00000000-0005-0000-0000-00003F5A0000}"/>
    <cellStyle name="Normal 31 4 3 3" xfId="24549" xr:uid="{00000000-0005-0000-0000-0000405A0000}"/>
    <cellStyle name="Normal 31 4 4" xfId="11949" xr:uid="{00000000-0005-0000-0000-0000415A0000}"/>
    <cellStyle name="Normal 31 4 5" xfId="21275" xr:uid="{00000000-0005-0000-0000-0000425A0000}"/>
    <cellStyle name="Normal 31 5" xfId="28756" xr:uid="{00000000-0005-0000-0000-0000435A0000}"/>
    <cellStyle name="Normal 32" xfId="1153" xr:uid="{00000000-0005-0000-0000-0000445A0000}"/>
    <cellStyle name="Normal 32 2" xfId="2480" xr:uid="{00000000-0005-0000-0000-0000455A0000}"/>
    <cellStyle name="Normal 32 2 2" xfId="2481" xr:uid="{00000000-0005-0000-0000-0000465A0000}"/>
    <cellStyle name="Normal 32 2 2 2" xfId="4176" xr:uid="{00000000-0005-0000-0000-0000475A0000}"/>
    <cellStyle name="Normal 32 2 2 2 2" xfId="8853" xr:uid="{00000000-0005-0000-0000-0000485A0000}"/>
    <cellStyle name="Normal 32 2 2 2 2 2" xfId="18177" xr:uid="{00000000-0005-0000-0000-0000495A0000}"/>
    <cellStyle name="Normal 32 2 2 2 2 3" xfId="27500" xr:uid="{00000000-0005-0000-0000-00004A5A0000}"/>
    <cellStyle name="Normal 32 2 2 2 3" xfId="13510" xr:uid="{00000000-0005-0000-0000-00004B5A0000}"/>
    <cellStyle name="Normal 32 2 2 2 4" xfId="22834" xr:uid="{00000000-0005-0000-0000-00004C5A0000}"/>
    <cellStyle name="Normal 32 2 2 3" xfId="5908" xr:uid="{00000000-0005-0000-0000-00004D5A0000}"/>
    <cellStyle name="Normal 32 2 2 3 2" xfId="15232" xr:uid="{00000000-0005-0000-0000-00004E5A0000}"/>
    <cellStyle name="Normal 32 2 2 3 3" xfId="24555" xr:uid="{00000000-0005-0000-0000-00004F5A0000}"/>
    <cellStyle name="Normal 32 2 2 4" xfId="11955" xr:uid="{00000000-0005-0000-0000-0000505A0000}"/>
    <cellStyle name="Normal 32 2 2 5" xfId="21281" xr:uid="{00000000-0005-0000-0000-0000515A0000}"/>
    <cellStyle name="Normal 32 2 3" xfId="4175" xr:uid="{00000000-0005-0000-0000-0000525A0000}"/>
    <cellStyle name="Normal 32 2 3 2" xfId="8852" xr:uid="{00000000-0005-0000-0000-0000535A0000}"/>
    <cellStyle name="Normal 32 2 3 2 2" xfId="18176" xr:uid="{00000000-0005-0000-0000-0000545A0000}"/>
    <cellStyle name="Normal 32 2 3 2 3" xfId="27499" xr:uid="{00000000-0005-0000-0000-0000555A0000}"/>
    <cellStyle name="Normal 32 2 3 3" xfId="13509" xr:uid="{00000000-0005-0000-0000-0000565A0000}"/>
    <cellStyle name="Normal 32 2 3 4" xfId="22833" xr:uid="{00000000-0005-0000-0000-0000575A0000}"/>
    <cellStyle name="Normal 32 2 4" xfId="5907" xr:uid="{00000000-0005-0000-0000-0000585A0000}"/>
    <cellStyle name="Normal 32 2 4 2" xfId="15231" xr:uid="{00000000-0005-0000-0000-0000595A0000}"/>
    <cellStyle name="Normal 32 2 4 3" xfId="24554" xr:uid="{00000000-0005-0000-0000-00005A5A0000}"/>
    <cellStyle name="Normal 32 2 5" xfId="11954" xr:uid="{00000000-0005-0000-0000-00005B5A0000}"/>
    <cellStyle name="Normal 32 2 6" xfId="21280" xr:uid="{00000000-0005-0000-0000-00005C5A0000}"/>
    <cellStyle name="Normal 32 2 7" xfId="28897" xr:uid="{00000000-0005-0000-0000-00005D5A0000}"/>
    <cellStyle name="Normal 32 3" xfId="2482" xr:uid="{00000000-0005-0000-0000-00005E5A0000}"/>
    <cellStyle name="Normal 32 3 2" xfId="4177" xr:uid="{00000000-0005-0000-0000-00005F5A0000}"/>
    <cellStyle name="Normal 32 3 2 2" xfId="8854" xr:uid="{00000000-0005-0000-0000-0000605A0000}"/>
    <cellStyle name="Normal 32 3 2 2 2" xfId="18178" xr:uid="{00000000-0005-0000-0000-0000615A0000}"/>
    <cellStyle name="Normal 32 3 2 2 3" xfId="27501" xr:uid="{00000000-0005-0000-0000-0000625A0000}"/>
    <cellStyle name="Normal 32 3 2 3" xfId="13511" xr:uid="{00000000-0005-0000-0000-0000635A0000}"/>
    <cellStyle name="Normal 32 3 2 4" xfId="22835" xr:uid="{00000000-0005-0000-0000-0000645A0000}"/>
    <cellStyle name="Normal 32 3 3" xfId="5909" xr:uid="{00000000-0005-0000-0000-0000655A0000}"/>
    <cellStyle name="Normal 32 3 3 2" xfId="15233" xr:uid="{00000000-0005-0000-0000-0000665A0000}"/>
    <cellStyle name="Normal 32 3 3 3" xfId="24556" xr:uid="{00000000-0005-0000-0000-0000675A0000}"/>
    <cellStyle name="Normal 32 3 4" xfId="11956" xr:uid="{00000000-0005-0000-0000-0000685A0000}"/>
    <cellStyle name="Normal 32 3 5" xfId="21282" xr:uid="{00000000-0005-0000-0000-0000695A0000}"/>
    <cellStyle name="Normal 32 3 6" xfId="28811" xr:uid="{00000000-0005-0000-0000-00006A5A0000}"/>
    <cellStyle name="Normal 32 4" xfId="2479" xr:uid="{00000000-0005-0000-0000-00006B5A0000}"/>
    <cellStyle name="Normal 32 4 2" xfId="4174" xr:uid="{00000000-0005-0000-0000-00006C5A0000}"/>
    <cellStyle name="Normal 32 4 2 2" xfId="8851" xr:uid="{00000000-0005-0000-0000-00006D5A0000}"/>
    <cellStyle name="Normal 32 4 2 2 2" xfId="18175" xr:uid="{00000000-0005-0000-0000-00006E5A0000}"/>
    <cellStyle name="Normal 32 4 2 2 3" xfId="27498" xr:uid="{00000000-0005-0000-0000-00006F5A0000}"/>
    <cellStyle name="Normal 32 4 2 3" xfId="13508" xr:uid="{00000000-0005-0000-0000-0000705A0000}"/>
    <cellStyle name="Normal 32 4 2 4" xfId="22832" xr:uid="{00000000-0005-0000-0000-0000715A0000}"/>
    <cellStyle name="Normal 32 4 3" xfId="5906" xr:uid="{00000000-0005-0000-0000-0000725A0000}"/>
    <cellStyle name="Normal 32 4 3 2" xfId="15230" xr:uid="{00000000-0005-0000-0000-0000735A0000}"/>
    <cellStyle name="Normal 32 4 3 3" xfId="24553" xr:uid="{00000000-0005-0000-0000-0000745A0000}"/>
    <cellStyle name="Normal 32 4 4" xfId="11953" xr:uid="{00000000-0005-0000-0000-0000755A0000}"/>
    <cellStyle name="Normal 32 4 5" xfId="21279" xr:uid="{00000000-0005-0000-0000-0000765A0000}"/>
    <cellStyle name="Normal 32 5" xfId="2970" xr:uid="{00000000-0005-0000-0000-0000775A0000}"/>
    <cellStyle name="Normal 32 5 2" xfId="7649" xr:uid="{00000000-0005-0000-0000-0000785A0000}"/>
    <cellStyle name="Normal 32 5 2 2" xfId="16973" xr:uid="{00000000-0005-0000-0000-0000795A0000}"/>
    <cellStyle name="Normal 32 5 2 3" xfId="26296" xr:uid="{00000000-0005-0000-0000-00007A5A0000}"/>
    <cellStyle name="Normal 32 5 3" xfId="12371" xr:uid="{00000000-0005-0000-0000-00007B5A0000}"/>
    <cellStyle name="Normal 32 5 4" xfId="21697" xr:uid="{00000000-0005-0000-0000-00007C5A0000}"/>
    <cellStyle name="Normal 32 6" xfId="4618" xr:uid="{00000000-0005-0000-0000-00007D5A0000}"/>
    <cellStyle name="Normal 32 6 2" xfId="13942" xr:uid="{00000000-0005-0000-0000-00007E5A0000}"/>
    <cellStyle name="Normal 32 6 3" xfId="23265" xr:uid="{00000000-0005-0000-0000-00007F5A0000}"/>
    <cellStyle name="Normal 32 7" xfId="10752" xr:uid="{00000000-0005-0000-0000-0000805A0000}"/>
    <cellStyle name="Normal 32 8" xfId="20076" xr:uid="{00000000-0005-0000-0000-0000815A0000}"/>
    <cellStyle name="Normal 32 9" xfId="28758" xr:uid="{00000000-0005-0000-0000-0000825A0000}"/>
    <cellStyle name="Normal 33" xfId="1343" xr:uid="{00000000-0005-0000-0000-0000835A0000}"/>
    <cellStyle name="Normal 33 2" xfId="2484" xr:uid="{00000000-0005-0000-0000-0000845A0000}"/>
    <cellStyle name="Normal 33 2 2" xfId="2485" xr:uid="{00000000-0005-0000-0000-0000855A0000}"/>
    <cellStyle name="Normal 33 2 2 2" xfId="2486" xr:uid="{00000000-0005-0000-0000-0000865A0000}"/>
    <cellStyle name="Normal 33 2 2 2 2" xfId="4181" xr:uid="{00000000-0005-0000-0000-0000875A0000}"/>
    <cellStyle name="Normal 33 2 2 2 2 2" xfId="8858" xr:uid="{00000000-0005-0000-0000-0000885A0000}"/>
    <cellStyle name="Normal 33 2 2 2 2 2 2" xfId="18182" xr:uid="{00000000-0005-0000-0000-0000895A0000}"/>
    <cellStyle name="Normal 33 2 2 2 2 2 3" xfId="27505" xr:uid="{00000000-0005-0000-0000-00008A5A0000}"/>
    <cellStyle name="Normal 33 2 2 2 2 3" xfId="13515" xr:uid="{00000000-0005-0000-0000-00008B5A0000}"/>
    <cellStyle name="Normal 33 2 2 2 2 4" xfId="22839" xr:uid="{00000000-0005-0000-0000-00008C5A0000}"/>
    <cellStyle name="Normal 33 2 2 2 3" xfId="5913" xr:uid="{00000000-0005-0000-0000-00008D5A0000}"/>
    <cellStyle name="Normal 33 2 2 2 3 2" xfId="15237" xr:uid="{00000000-0005-0000-0000-00008E5A0000}"/>
    <cellStyle name="Normal 33 2 2 2 3 3" xfId="24560" xr:uid="{00000000-0005-0000-0000-00008F5A0000}"/>
    <cellStyle name="Normal 33 2 2 2 4" xfId="11960" xr:uid="{00000000-0005-0000-0000-0000905A0000}"/>
    <cellStyle name="Normal 33 2 2 2 5" xfId="21286" xr:uid="{00000000-0005-0000-0000-0000915A0000}"/>
    <cellStyle name="Normal 33 2 2 3" xfId="4180" xr:uid="{00000000-0005-0000-0000-0000925A0000}"/>
    <cellStyle name="Normal 33 2 2 3 2" xfId="8857" xr:uid="{00000000-0005-0000-0000-0000935A0000}"/>
    <cellStyle name="Normal 33 2 2 3 2 2" xfId="18181" xr:uid="{00000000-0005-0000-0000-0000945A0000}"/>
    <cellStyle name="Normal 33 2 2 3 2 3" xfId="27504" xr:uid="{00000000-0005-0000-0000-0000955A0000}"/>
    <cellStyle name="Normal 33 2 2 3 3" xfId="13514" xr:uid="{00000000-0005-0000-0000-0000965A0000}"/>
    <cellStyle name="Normal 33 2 2 3 4" xfId="22838" xr:uid="{00000000-0005-0000-0000-0000975A0000}"/>
    <cellStyle name="Normal 33 2 2 4" xfId="5912" xr:uid="{00000000-0005-0000-0000-0000985A0000}"/>
    <cellStyle name="Normal 33 2 2 4 2" xfId="15236" xr:uid="{00000000-0005-0000-0000-0000995A0000}"/>
    <cellStyle name="Normal 33 2 2 4 3" xfId="24559" xr:uid="{00000000-0005-0000-0000-00009A5A0000}"/>
    <cellStyle name="Normal 33 2 2 5" xfId="11959" xr:uid="{00000000-0005-0000-0000-00009B5A0000}"/>
    <cellStyle name="Normal 33 2 2 6" xfId="21285" xr:uid="{00000000-0005-0000-0000-00009C5A0000}"/>
    <cellStyle name="Normal 33 2 3" xfId="2487" xr:uid="{00000000-0005-0000-0000-00009D5A0000}"/>
    <cellStyle name="Normal 33 2 3 2" xfId="4182" xr:uid="{00000000-0005-0000-0000-00009E5A0000}"/>
    <cellStyle name="Normal 33 2 3 2 2" xfId="8859" xr:uid="{00000000-0005-0000-0000-00009F5A0000}"/>
    <cellStyle name="Normal 33 2 3 2 2 2" xfId="18183" xr:uid="{00000000-0005-0000-0000-0000A05A0000}"/>
    <cellStyle name="Normal 33 2 3 2 2 3" xfId="27506" xr:uid="{00000000-0005-0000-0000-0000A15A0000}"/>
    <cellStyle name="Normal 33 2 3 2 3" xfId="13516" xr:uid="{00000000-0005-0000-0000-0000A25A0000}"/>
    <cellStyle name="Normal 33 2 3 2 4" xfId="22840" xr:uid="{00000000-0005-0000-0000-0000A35A0000}"/>
    <cellStyle name="Normal 33 2 3 3" xfId="5914" xr:uid="{00000000-0005-0000-0000-0000A45A0000}"/>
    <cellStyle name="Normal 33 2 3 3 2" xfId="15238" xr:uid="{00000000-0005-0000-0000-0000A55A0000}"/>
    <cellStyle name="Normal 33 2 3 3 3" xfId="24561" xr:uid="{00000000-0005-0000-0000-0000A65A0000}"/>
    <cellStyle name="Normal 33 2 3 4" xfId="11961" xr:uid="{00000000-0005-0000-0000-0000A75A0000}"/>
    <cellStyle name="Normal 33 2 3 5" xfId="21287" xr:uid="{00000000-0005-0000-0000-0000A85A0000}"/>
    <cellStyle name="Normal 33 2 4" xfId="4179" xr:uid="{00000000-0005-0000-0000-0000A95A0000}"/>
    <cellStyle name="Normal 33 2 4 2" xfId="8856" xr:uid="{00000000-0005-0000-0000-0000AA5A0000}"/>
    <cellStyle name="Normal 33 2 4 2 2" xfId="18180" xr:uid="{00000000-0005-0000-0000-0000AB5A0000}"/>
    <cellStyle name="Normal 33 2 4 2 3" xfId="27503" xr:uid="{00000000-0005-0000-0000-0000AC5A0000}"/>
    <cellStyle name="Normal 33 2 4 3" xfId="13513" xr:uid="{00000000-0005-0000-0000-0000AD5A0000}"/>
    <cellStyle name="Normal 33 2 4 4" xfId="22837" xr:uid="{00000000-0005-0000-0000-0000AE5A0000}"/>
    <cellStyle name="Normal 33 2 5" xfId="5911" xr:uid="{00000000-0005-0000-0000-0000AF5A0000}"/>
    <cellStyle name="Normal 33 2 5 2" xfId="15235" xr:uid="{00000000-0005-0000-0000-0000B05A0000}"/>
    <cellStyle name="Normal 33 2 5 3" xfId="24558" xr:uid="{00000000-0005-0000-0000-0000B15A0000}"/>
    <cellStyle name="Normal 33 2 6" xfId="11958" xr:uid="{00000000-0005-0000-0000-0000B25A0000}"/>
    <cellStyle name="Normal 33 2 7" xfId="21284" xr:uid="{00000000-0005-0000-0000-0000B35A0000}"/>
    <cellStyle name="Normal 33 2 8" xfId="28898" xr:uid="{00000000-0005-0000-0000-0000B45A0000}"/>
    <cellStyle name="Normal 33 3" xfId="2488" xr:uid="{00000000-0005-0000-0000-0000B55A0000}"/>
    <cellStyle name="Normal 33 3 2" xfId="2489" xr:uid="{00000000-0005-0000-0000-0000B65A0000}"/>
    <cellStyle name="Normal 33 3 2 2" xfId="2490" xr:uid="{00000000-0005-0000-0000-0000B75A0000}"/>
    <cellStyle name="Normal 33 3 2 2 2" xfId="4185" xr:uid="{00000000-0005-0000-0000-0000B85A0000}"/>
    <cellStyle name="Normal 33 3 2 2 2 2" xfId="8862" xr:uid="{00000000-0005-0000-0000-0000B95A0000}"/>
    <cellStyle name="Normal 33 3 2 2 2 2 2" xfId="18186" xr:uid="{00000000-0005-0000-0000-0000BA5A0000}"/>
    <cellStyle name="Normal 33 3 2 2 2 2 3" xfId="27509" xr:uid="{00000000-0005-0000-0000-0000BB5A0000}"/>
    <cellStyle name="Normal 33 3 2 2 2 3" xfId="13519" xr:uid="{00000000-0005-0000-0000-0000BC5A0000}"/>
    <cellStyle name="Normal 33 3 2 2 2 4" xfId="22843" xr:uid="{00000000-0005-0000-0000-0000BD5A0000}"/>
    <cellStyle name="Normal 33 3 2 2 3" xfId="5917" xr:uid="{00000000-0005-0000-0000-0000BE5A0000}"/>
    <cellStyle name="Normal 33 3 2 2 3 2" xfId="15241" xr:uid="{00000000-0005-0000-0000-0000BF5A0000}"/>
    <cellStyle name="Normal 33 3 2 2 3 3" xfId="24564" xr:uid="{00000000-0005-0000-0000-0000C05A0000}"/>
    <cellStyle name="Normal 33 3 2 2 4" xfId="11964" xr:uid="{00000000-0005-0000-0000-0000C15A0000}"/>
    <cellStyle name="Normal 33 3 2 2 5" xfId="21290" xr:uid="{00000000-0005-0000-0000-0000C25A0000}"/>
    <cellStyle name="Normal 33 3 2 3" xfId="4184" xr:uid="{00000000-0005-0000-0000-0000C35A0000}"/>
    <cellStyle name="Normal 33 3 2 3 2" xfId="8861" xr:uid="{00000000-0005-0000-0000-0000C45A0000}"/>
    <cellStyle name="Normal 33 3 2 3 2 2" xfId="18185" xr:uid="{00000000-0005-0000-0000-0000C55A0000}"/>
    <cellStyle name="Normal 33 3 2 3 2 3" xfId="27508" xr:uid="{00000000-0005-0000-0000-0000C65A0000}"/>
    <cellStyle name="Normal 33 3 2 3 3" xfId="13518" xr:uid="{00000000-0005-0000-0000-0000C75A0000}"/>
    <cellStyle name="Normal 33 3 2 3 4" xfId="22842" xr:uid="{00000000-0005-0000-0000-0000C85A0000}"/>
    <cellStyle name="Normal 33 3 2 4" xfId="5916" xr:uid="{00000000-0005-0000-0000-0000C95A0000}"/>
    <cellStyle name="Normal 33 3 2 4 2" xfId="15240" xr:uid="{00000000-0005-0000-0000-0000CA5A0000}"/>
    <cellStyle name="Normal 33 3 2 4 3" xfId="24563" xr:uid="{00000000-0005-0000-0000-0000CB5A0000}"/>
    <cellStyle name="Normal 33 3 2 5" xfId="11963" xr:uid="{00000000-0005-0000-0000-0000CC5A0000}"/>
    <cellStyle name="Normal 33 3 2 6" xfId="21289" xr:uid="{00000000-0005-0000-0000-0000CD5A0000}"/>
    <cellStyle name="Normal 33 3 3" xfId="2491" xr:uid="{00000000-0005-0000-0000-0000CE5A0000}"/>
    <cellStyle name="Normal 33 3 3 2" xfId="4186" xr:uid="{00000000-0005-0000-0000-0000CF5A0000}"/>
    <cellStyle name="Normal 33 3 3 2 2" xfId="8863" xr:uid="{00000000-0005-0000-0000-0000D05A0000}"/>
    <cellStyle name="Normal 33 3 3 2 2 2" xfId="18187" xr:uid="{00000000-0005-0000-0000-0000D15A0000}"/>
    <cellStyle name="Normal 33 3 3 2 2 3" xfId="27510" xr:uid="{00000000-0005-0000-0000-0000D25A0000}"/>
    <cellStyle name="Normal 33 3 3 2 3" xfId="13520" xr:uid="{00000000-0005-0000-0000-0000D35A0000}"/>
    <cellStyle name="Normal 33 3 3 2 4" xfId="22844" xr:uid="{00000000-0005-0000-0000-0000D45A0000}"/>
    <cellStyle name="Normal 33 3 3 3" xfId="5918" xr:uid="{00000000-0005-0000-0000-0000D55A0000}"/>
    <cellStyle name="Normal 33 3 3 3 2" xfId="15242" xr:uid="{00000000-0005-0000-0000-0000D65A0000}"/>
    <cellStyle name="Normal 33 3 3 3 3" xfId="24565" xr:uid="{00000000-0005-0000-0000-0000D75A0000}"/>
    <cellStyle name="Normal 33 3 3 4" xfId="11965" xr:uid="{00000000-0005-0000-0000-0000D85A0000}"/>
    <cellStyle name="Normal 33 3 3 5" xfId="21291" xr:uid="{00000000-0005-0000-0000-0000D95A0000}"/>
    <cellStyle name="Normal 33 3 4" xfId="4183" xr:uid="{00000000-0005-0000-0000-0000DA5A0000}"/>
    <cellStyle name="Normal 33 3 4 2" xfId="8860" xr:uid="{00000000-0005-0000-0000-0000DB5A0000}"/>
    <cellStyle name="Normal 33 3 4 2 2" xfId="18184" xr:uid="{00000000-0005-0000-0000-0000DC5A0000}"/>
    <cellStyle name="Normal 33 3 4 2 3" xfId="27507" xr:uid="{00000000-0005-0000-0000-0000DD5A0000}"/>
    <cellStyle name="Normal 33 3 4 3" xfId="13517" xr:uid="{00000000-0005-0000-0000-0000DE5A0000}"/>
    <cellStyle name="Normal 33 3 4 4" xfId="22841" xr:uid="{00000000-0005-0000-0000-0000DF5A0000}"/>
    <cellStyle name="Normal 33 3 5" xfId="5915" xr:uid="{00000000-0005-0000-0000-0000E05A0000}"/>
    <cellStyle name="Normal 33 3 5 2" xfId="15239" xr:uid="{00000000-0005-0000-0000-0000E15A0000}"/>
    <cellStyle name="Normal 33 3 5 3" xfId="24562" xr:uid="{00000000-0005-0000-0000-0000E25A0000}"/>
    <cellStyle name="Normal 33 3 6" xfId="11962" xr:uid="{00000000-0005-0000-0000-0000E35A0000}"/>
    <cellStyle name="Normal 33 3 7" xfId="21288" xr:uid="{00000000-0005-0000-0000-0000E45A0000}"/>
    <cellStyle name="Normal 33 3 8" xfId="28812" xr:uid="{00000000-0005-0000-0000-0000E55A0000}"/>
    <cellStyle name="Normal 33 4" xfId="2492" xr:uid="{00000000-0005-0000-0000-0000E65A0000}"/>
    <cellStyle name="Normal 33 4 2" xfId="2493" xr:uid="{00000000-0005-0000-0000-0000E75A0000}"/>
    <cellStyle name="Normal 33 4 2 2" xfId="4188" xr:uid="{00000000-0005-0000-0000-0000E85A0000}"/>
    <cellStyle name="Normal 33 4 2 2 2" xfId="8865" xr:uid="{00000000-0005-0000-0000-0000E95A0000}"/>
    <cellStyle name="Normal 33 4 2 2 2 2" xfId="18189" xr:uid="{00000000-0005-0000-0000-0000EA5A0000}"/>
    <cellStyle name="Normal 33 4 2 2 2 3" xfId="27512" xr:uid="{00000000-0005-0000-0000-0000EB5A0000}"/>
    <cellStyle name="Normal 33 4 2 2 3" xfId="13522" xr:uid="{00000000-0005-0000-0000-0000EC5A0000}"/>
    <cellStyle name="Normal 33 4 2 2 4" xfId="22846" xr:uid="{00000000-0005-0000-0000-0000ED5A0000}"/>
    <cellStyle name="Normal 33 4 2 3" xfId="5920" xr:uid="{00000000-0005-0000-0000-0000EE5A0000}"/>
    <cellStyle name="Normal 33 4 2 3 2" xfId="15244" xr:uid="{00000000-0005-0000-0000-0000EF5A0000}"/>
    <cellStyle name="Normal 33 4 2 3 3" xfId="24567" xr:uid="{00000000-0005-0000-0000-0000F05A0000}"/>
    <cellStyle name="Normal 33 4 2 4" xfId="11967" xr:uid="{00000000-0005-0000-0000-0000F15A0000}"/>
    <cellStyle name="Normal 33 4 2 5" xfId="21293" xr:uid="{00000000-0005-0000-0000-0000F25A0000}"/>
    <cellStyle name="Normal 33 4 3" xfId="4187" xr:uid="{00000000-0005-0000-0000-0000F35A0000}"/>
    <cellStyle name="Normal 33 4 3 2" xfId="8864" xr:uid="{00000000-0005-0000-0000-0000F45A0000}"/>
    <cellStyle name="Normal 33 4 3 2 2" xfId="18188" xr:uid="{00000000-0005-0000-0000-0000F55A0000}"/>
    <cellStyle name="Normal 33 4 3 2 3" xfId="27511" xr:uid="{00000000-0005-0000-0000-0000F65A0000}"/>
    <cellStyle name="Normal 33 4 3 3" xfId="13521" xr:uid="{00000000-0005-0000-0000-0000F75A0000}"/>
    <cellStyle name="Normal 33 4 3 4" xfId="22845" xr:uid="{00000000-0005-0000-0000-0000F85A0000}"/>
    <cellStyle name="Normal 33 4 4" xfId="5919" xr:uid="{00000000-0005-0000-0000-0000F95A0000}"/>
    <cellStyle name="Normal 33 4 4 2" xfId="15243" xr:uid="{00000000-0005-0000-0000-0000FA5A0000}"/>
    <cellStyle name="Normal 33 4 4 3" xfId="24566" xr:uid="{00000000-0005-0000-0000-0000FB5A0000}"/>
    <cellStyle name="Normal 33 4 5" xfId="11966" xr:uid="{00000000-0005-0000-0000-0000FC5A0000}"/>
    <cellStyle name="Normal 33 4 6" xfId="21292" xr:uid="{00000000-0005-0000-0000-0000FD5A0000}"/>
    <cellStyle name="Normal 33 5" xfId="2494" xr:uid="{00000000-0005-0000-0000-0000FE5A0000}"/>
    <cellStyle name="Normal 33 5 2" xfId="4189" xr:uid="{00000000-0005-0000-0000-0000FF5A0000}"/>
    <cellStyle name="Normal 33 5 2 2" xfId="8866" xr:uid="{00000000-0005-0000-0000-0000005B0000}"/>
    <cellStyle name="Normal 33 5 2 2 2" xfId="18190" xr:uid="{00000000-0005-0000-0000-0000015B0000}"/>
    <cellStyle name="Normal 33 5 2 2 3" xfId="27513" xr:uid="{00000000-0005-0000-0000-0000025B0000}"/>
    <cellStyle name="Normal 33 5 2 3" xfId="13523" xr:uid="{00000000-0005-0000-0000-0000035B0000}"/>
    <cellStyle name="Normal 33 5 2 4" xfId="22847" xr:uid="{00000000-0005-0000-0000-0000045B0000}"/>
    <cellStyle name="Normal 33 5 3" xfId="5921" xr:uid="{00000000-0005-0000-0000-0000055B0000}"/>
    <cellStyle name="Normal 33 5 3 2" xfId="15245" xr:uid="{00000000-0005-0000-0000-0000065B0000}"/>
    <cellStyle name="Normal 33 5 3 3" xfId="24568" xr:uid="{00000000-0005-0000-0000-0000075B0000}"/>
    <cellStyle name="Normal 33 5 4" xfId="11968" xr:uid="{00000000-0005-0000-0000-0000085B0000}"/>
    <cellStyle name="Normal 33 5 5" xfId="21294" xr:uid="{00000000-0005-0000-0000-0000095B0000}"/>
    <cellStyle name="Normal 33 6" xfId="2483" xr:uid="{00000000-0005-0000-0000-00000A5B0000}"/>
    <cellStyle name="Normal 33 6 2" xfId="4178" xr:uid="{00000000-0005-0000-0000-00000B5B0000}"/>
    <cellStyle name="Normal 33 6 2 2" xfId="8855" xr:uid="{00000000-0005-0000-0000-00000C5B0000}"/>
    <cellStyle name="Normal 33 6 2 2 2" xfId="18179" xr:uid="{00000000-0005-0000-0000-00000D5B0000}"/>
    <cellStyle name="Normal 33 6 2 2 3" xfId="27502" xr:uid="{00000000-0005-0000-0000-00000E5B0000}"/>
    <cellStyle name="Normal 33 6 2 3" xfId="13512" xr:uid="{00000000-0005-0000-0000-00000F5B0000}"/>
    <cellStyle name="Normal 33 6 2 4" xfId="22836" xr:uid="{00000000-0005-0000-0000-0000105B0000}"/>
    <cellStyle name="Normal 33 6 3" xfId="5910" xr:uid="{00000000-0005-0000-0000-0000115B0000}"/>
    <cellStyle name="Normal 33 6 3 2" xfId="15234" xr:uid="{00000000-0005-0000-0000-0000125B0000}"/>
    <cellStyle name="Normal 33 6 3 3" xfId="24557" xr:uid="{00000000-0005-0000-0000-0000135B0000}"/>
    <cellStyle name="Normal 33 6 4" xfId="11957" xr:uid="{00000000-0005-0000-0000-0000145B0000}"/>
    <cellStyle name="Normal 33 6 5" xfId="21283" xr:uid="{00000000-0005-0000-0000-0000155B0000}"/>
    <cellStyle name="Normal 33 7" xfId="28759" xr:uid="{00000000-0005-0000-0000-0000165B0000}"/>
    <cellStyle name="Normal 34" xfId="2495" xr:uid="{00000000-0005-0000-0000-0000175B0000}"/>
    <cellStyle name="Normal 34 2" xfId="2496" xr:uid="{00000000-0005-0000-0000-0000185B0000}"/>
    <cellStyle name="Normal 34 2 2" xfId="2497" xr:uid="{00000000-0005-0000-0000-0000195B0000}"/>
    <cellStyle name="Normal 34 2 2 2" xfId="4192" xr:uid="{00000000-0005-0000-0000-00001A5B0000}"/>
    <cellStyle name="Normal 34 2 2 2 2" xfId="8869" xr:uid="{00000000-0005-0000-0000-00001B5B0000}"/>
    <cellStyle name="Normal 34 2 2 2 2 2" xfId="18193" xr:uid="{00000000-0005-0000-0000-00001C5B0000}"/>
    <cellStyle name="Normal 34 2 2 2 2 3" xfId="27516" xr:uid="{00000000-0005-0000-0000-00001D5B0000}"/>
    <cellStyle name="Normal 34 2 2 2 3" xfId="13526" xr:uid="{00000000-0005-0000-0000-00001E5B0000}"/>
    <cellStyle name="Normal 34 2 2 2 4" xfId="22850" xr:uid="{00000000-0005-0000-0000-00001F5B0000}"/>
    <cellStyle name="Normal 34 2 2 3" xfId="5924" xr:uid="{00000000-0005-0000-0000-0000205B0000}"/>
    <cellStyle name="Normal 34 2 2 3 2" xfId="15248" xr:uid="{00000000-0005-0000-0000-0000215B0000}"/>
    <cellStyle name="Normal 34 2 2 3 3" xfId="24571" xr:uid="{00000000-0005-0000-0000-0000225B0000}"/>
    <cellStyle name="Normal 34 2 2 4" xfId="11971" xr:uid="{00000000-0005-0000-0000-0000235B0000}"/>
    <cellStyle name="Normal 34 2 2 5" xfId="21297" xr:uid="{00000000-0005-0000-0000-0000245B0000}"/>
    <cellStyle name="Normal 34 2 3" xfId="4191" xr:uid="{00000000-0005-0000-0000-0000255B0000}"/>
    <cellStyle name="Normal 34 2 3 2" xfId="8868" xr:uid="{00000000-0005-0000-0000-0000265B0000}"/>
    <cellStyle name="Normal 34 2 3 2 2" xfId="18192" xr:uid="{00000000-0005-0000-0000-0000275B0000}"/>
    <cellStyle name="Normal 34 2 3 2 3" xfId="27515" xr:uid="{00000000-0005-0000-0000-0000285B0000}"/>
    <cellStyle name="Normal 34 2 3 3" xfId="13525" xr:uid="{00000000-0005-0000-0000-0000295B0000}"/>
    <cellStyle name="Normal 34 2 3 4" xfId="22849" xr:uid="{00000000-0005-0000-0000-00002A5B0000}"/>
    <cellStyle name="Normal 34 2 4" xfId="5923" xr:uid="{00000000-0005-0000-0000-00002B5B0000}"/>
    <cellStyle name="Normal 34 2 4 2" xfId="15247" xr:uid="{00000000-0005-0000-0000-00002C5B0000}"/>
    <cellStyle name="Normal 34 2 4 3" xfId="24570" xr:uid="{00000000-0005-0000-0000-00002D5B0000}"/>
    <cellStyle name="Normal 34 2 5" xfId="11970" xr:uid="{00000000-0005-0000-0000-00002E5B0000}"/>
    <cellStyle name="Normal 34 2 6" xfId="21296" xr:uid="{00000000-0005-0000-0000-00002F5B0000}"/>
    <cellStyle name="Normal 34 2 7" xfId="28899" xr:uid="{00000000-0005-0000-0000-0000305B0000}"/>
    <cellStyle name="Normal 34 3" xfId="2498" xr:uid="{00000000-0005-0000-0000-0000315B0000}"/>
    <cellStyle name="Normal 34 3 2" xfId="4193" xr:uid="{00000000-0005-0000-0000-0000325B0000}"/>
    <cellStyle name="Normal 34 3 2 2" xfId="8870" xr:uid="{00000000-0005-0000-0000-0000335B0000}"/>
    <cellStyle name="Normal 34 3 2 2 2" xfId="18194" xr:uid="{00000000-0005-0000-0000-0000345B0000}"/>
    <cellStyle name="Normal 34 3 2 2 3" xfId="27517" xr:uid="{00000000-0005-0000-0000-0000355B0000}"/>
    <cellStyle name="Normal 34 3 2 3" xfId="13527" xr:uid="{00000000-0005-0000-0000-0000365B0000}"/>
    <cellStyle name="Normal 34 3 2 4" xfId="22851" xr:uid="{00000000-0005-0000-0000-0000375B0000}"/>
    <cellStyle name="Normal 34 3 3" xfId="5925" xr:uid="{00000000-0005-0000-0000-0000385B0000}"/>
    <cellStyle name="Normal 34 3 3 2" xfId="15249" xr:uid="{00000000-0005-0000-0000-0000395B0000}"/>
    <cellStyle name="Normal 34 3 3 3" xfId="24572" xr:uid="{00000000-0005-0000-0000-00003A5B0000}"/>
    <cellStyle name="Normal 34 3 4" xfId="11972" xr:uid="{00000000-0005-0000-0000-00003B5B0000}"/>
    <cellStyle name="Normal 34 3 5" xfId="21298" xr:uid="{00000000-0005-0000-0000-00003C5B0000}"/>
    <cellStyle name="Normal 34 3 6" xfId="28813" xr:uid="{00000000-0005-0000-0000-00003D5B0000}"/>
    <cellStyle name="Normal 34 4" xfId="4190" xr:uid="{00000000-0005-0000-0000-00003E5B0000}"/>
    <cellStyle name="Normal 34 4 2" xfId="8867" xr:uid="{00000000-0005-0000-0000-00003F5B0000}"/>
    <cellStyle name="Normal 34 4 2 2" xfId="18191" xr:uid="{00000000-0005-0000-0000-0000405B0000}"/>
    <cellStyle name="Normal 34 4 2 3" xfId="27514" xr:uid="{00000000-0005-0000-0000-0000415B0000}"/>
    <cellStyle name="Normal 34 4 3" xfId="13524" xr:uid="{00000000-0005-0000-0000-0000425B0000}"/>
    <cellStyle name="Normal 34 4 4" xfId="22848" xr:uid="{00000000-0005-0000-0000-0000435B0000}"/>
    <cellStyle name="Normal 34 5" xfId="5922" xr:uid="{00000000-0005-0000-0000-0000445B0000}"/>
    <cellStyle name="Normal 34 5 2" xfId="15246" xr:uid="{00000000-0005-0000-0000-0000455B0000}"/>
    <cellStyle name="Normal 34 5 3" xfId="24569" xr:uid="{00000000-0005-0000-0000-0000465B0000}"/>
    <cellStyle name="Normal 34 6" xfId="11969" xr:uid="{00000000-0005-0000-0000-0000475B0000}"/>
    <cellStyle name="Normal 34 7" xfId="21295" xr:uid="{00000000-0005-0000-0000-0000485B0000}"/>
    <cellStyle name="Normal 34 8" xfId="28760" xr:uid="{00000000-0005-0000-0000-0000495B0000}"/>
    <cellStyle name="Normal 35" xfId="2499" xr:uid="{00000000-0005-0000-0000-00004A5B0000}"/>
    <cellStyle name="Normal 35 2" xfId="2500" xr:uid="{00000000-0005-0000-0000-00004B5B0000}"/>
    <cellStyle name="Normal 35 2 2" xfId="2501" xr:uid="{00000000-0005-0000-0000-00004C5B0000}"/>
    <cellStyle name="Normal 35 2 2 2" xfId="2502" xr:uid="{00000000-0005-0000-0000-00004D5B0000}"/>
    <cellStyle name="Normal 35 2 2 2 2" xfId="4197" xr:uid="{00000000-0005-0000-0000-00004E5B0000}"/>
    <cellStyle name="Normal 35 2 2 2 2 2" xfId="8874" xr:uid="{00000000-0005-0000-0000-00004F5B0000}"/>
    <cellStyle name="Normal 35 2 2 2 2 2 2" xfId="18198" xr:uid="{00000000-0005-0000-0000-0000505B0000}"/>
    <cellStyle name="Normal 35 2 2 2 2 2 3" xfId="27521" xr:uid="{00000000-0005-0000-0000-0000515B0000}"/>
    <cellStyle name="Normal 35 2 2 2 2 3" xfId="13531" xr:uid="{00000000-0005-0000-0000-0000525B0000}"/>
    <cellStyle name="Normal 35 2 2 2 2 4" xfId="22855" xr:uid="{00000000-0005-0000-0000-0000535B0000}"/>
    <cellStyle name="Normal 35 2 2 2 3" xfId="5929" xr:uid="{00000000-0005-0000-0000-0000545B0000}"/>
    <cellStyle name="Normal 35 2 2 2 3 2" xfId="15253" xr:uid="{00000000-0005-0000-0000-0000555B0000}"/>
    <cellStyle name="Normal 35 2 2 2 3 3" xfId="24576" xr:uid="{00000000-0005-0000-0000-0000565B0000}"/>
    <cellStyle name="Normal 35 2 2 2 4" xfId="11976" xr:uid="{00000000-0005-0000-0000-0000575B0000}"/>
    <cellStyle name="Normal 35 2 2 2 5" xfId="21302" xr:uid="{00000000-0005-0000-0000-0000585B0000}"/>
    <cellStyle name="Normal 35 2 2 3" xfId="4196" xr:uid="{00000000-0005-0000-0000-0000595B0000}"/>
    <cellStyle name="Normal 35 2 2 3 2" xfId="8873" xr:uid="{00000000-0005-0000-0000-00005A5B0000}"/>
    <cellStyle name="Normal 35 2 2 3 2 2" xfId="18197" xr:uid="{00000000-0005-0000-0000-00005B5B0000}"/>
    <cellStyle name="Normal 35 2 2 3 2 3" xfId="27520" xr:uid="{00000000-0005-0000-0000-00005C5B0000}"/>
    <cellStyle name="Normal 35 2 2 3 3" xfId="13530" xr:uid="{00000000-0005-0000-0000-00005D5B0000}"/>
    <cellStyle name="Normal 35 2 2 3 4" xfId="22854" xr:uid="{00000000-0005-0000-0000-00005E5B0000}"/>
    <cellStyle name="Normal 35 2 2 4" xfId="5928" xr:uid="{00000000-0005-0000-0000-00005F5B0000}"/>
    <cellStyle name="Normal 35 2 2 4 2" xfId="15252" xr:uid="{00000000-0005-0000-0000-0000605B0000}"/>
    <cellStyle name="Normal 35 2 2 4 3" xfId="24575" xr:uid="{00000000-0005-0000-0000-0000615B0000}"/>
    <cellStyle name="Normal 35 2 2 5" xfId="11975" xr:uid="{00000000-0005-0000-0000-0000625B0000}"/>
    <cellStyle name="Normal 35 2 2 6" xfId="21301" xr:uid="{00000000-0005-0000-0000-0000635B0000}"/>
    <cellStyle name="Normal 35 2 3" xfId="2503" xr:uid="{00000000-0005-0000-0000-0000645B0000}"/>
    <cellStyle name="Normal 35 2 3 2" xfId="4198" xr:uid="{00000000-0005-0000-0000-0000655B0000}"/>
    <cellStyle name="Normal 35 2 3 2 2" xfId="8875" xr:uid="{00000000-0005-0000-0000-0000665B0000}"/>
    <cellStyle name="Normal 35 2 3 2 2 2" xfId="18199" xr:uid="{00000000-0005-0000-0000-0000675B0000}"/>
    <cellStyle name="Normal 35 2 3 2 2 3" xfId="27522" xr:uid="{00000000-0005-0000-0000-0000685B0000}"/>
    <cellStyle name="Normal 35 2 3 2 3" xfId="13532" xr:uid="{00000000-0005-0000-0000-0000695B0000}"/>
    <cellStyle name="Normal 35 2 3 2 4" xfId="22856" xr:uid="{00000000-0005-0000-0000-00006A5B0000}"/>
    <cellStyle name="Normal 35 2 3 3" xfId="5930" xr:uid="{00000000-0005-0000-0000-00006B5B0000}"/>
    <cellStyle name="Normal 35 2 3 3 2" xfId="15254" xr:uid="{00000000-0005-0000-0000-00006C5B0000}"/>
    <cellStyle name="Normal 35 2 3 3 3" xfId="24577" xr:uid="{00000000-0005-0000-0000-00006D5B0000}"/>
    <cellStyle name="Normal 35 2 3 4" xfId="11977" xr:uid="{00000000-0005-0000-0000-00006E5B0000}"/>
    <cellStyle name="Normal 35 2 3 5" xfId="21303" xr:uid="{00000000-0005-0000-0000-00006F5B0000}"/>
    <cellStyle name="Normal 35 2 4" xfId="4195" xr:uid="{00000000-0005-0000-0000-0000705B0000}"/>
    <cellStyle name="Normal 35 2 4 2" xfId="8872" xr:uid="{00000000-0005-0000-0000-0000715B0000}"/>
    <cellStyle name="Normal 35 2 4 2 2" xfId="18196" xr:uid="{00000000-0005-0000-0000-0000725B0000}"/>
    <cellStyle name="Normal 35 2 4 2 3" xfId="27519" xr:uid="{00000000-0005-0000-0000-0000735B0000}"/>
    <cellStyle name="Normal 35 2 4 3" xfId="13529" xr:uid="{00000000-0005-0000-0000-0000745B0000}"/>
    <cellStyle name="Normal 35 2 4 4" xfId="22853" xr:uid="{00000000-0005-0000-0000-0000755B0000}"/>
    <cellStyle name="Normal 35 2 5" xfId="5927" xr:uid="{00000000-0005-0000-0000-0000765B0000}"/>
    <cellStyle name="Normal 35 2 5 2" xfId="15251" xr:uid="{00000000-0005-0000-0000-0000775B0000}"/>
    <cellStyle name="Normal 35 2 5 3" xfId="24574" xr:uid="{00000000-0005-0000-0000-0000785B0000}"/>
    <cellStyle name="Normal 35 2 6" xfId="11974" xr:uid="{00000000-0005-0000-0000-0000795B0000}"/>
    <cellStyle name="Normal 35 2 7" xfId="21300" xr:uid="{00000000-0005-0000-0000-00007A5B0000}"/>
    <cellStyle name="Normal 35 2 8" xfId="28900" xr:uid="{00000000-0005-0000-0000-00007B5B0000}"/>
    <cellStyle name="Normal 35 3" xfId="2504" xr:uid="{00000000-0005-0000-0000-00007C5B0000}"/>
    <cellStyle name="Normal 35 3 2" xfId="2505" xr:uid="{00000000-0005-0000-0000-00007D5B0000}"/>
    <cellStyle name="Normal 35 3 2 2" xfId="4200" xr:uid="{00000000-0005-0000-0000-00007E5B0000}"/>
    <cellStyle name="Normal 35 3 2 2 2" xfId="8877" xr:uid="{00000000-0005-0000-0000-00007F5B0000}"/>
    <cellStyle name="Normal 35 3 2 2 2 2" xfId="18201" xr:uid="{00000000-0005-0000-0000-0000805B0000}"/>
    <cellStyle name="Normal 35 3 2 2 2 3" xfId="27524" xr:uid="{00000000-0005-0000-0000-0000815B0000}"/>
    <cellStyle name="Normal 35 3 2 2 3" xfId="13534" xr:uid="{00000000-0005-0000-0000-0000825B0000}"/>
    <cellStyle name="Normal 35 3 2 2 4" xfId="22858" xr:uid="{00000000-0005-0000-0000-0000835B0000}"/>
    <cellStyle name="Normal 35 3 2 3" xfId="5932" xr:uid="{00000000-0005-0000-0000-0000845B0000}"/>
    <cellStyle name="Normal 35 3 2 3 2" xfId="15256" xr:uid="{00000000-0005-0000-0000-0000855B0000}"/>
    <cellStyle name="Normal 35 3 2 3 3" xfId="24579" xr:uid="{00000000-0005-0000-0000-0000865B0000}"/>
    <cellStyle name="Normal 35 3 2 4" xfId="11979" xr:uid="{00000000-0005-0000-0000-0000875B0000}"/>
    <cellStyle name="Normal 35 3 2 5" xfId="21305" xr:uid="{00000000-0005-0000-0000-0000885B0000}"/>
    <cellStyle name="Normal 35 3 3" xfId="4199" xr:uid="{00000000-0005-0000-0000-0000895B0000}"/>
    <cellStyle name="Normal 35 3 3 2" xfId="8876" xr:uid="{00000000-0005-0000-0000-00008A5B0000}"/>
    <cellStyle name="Normal 35 3 3 2 2" xfId="18200" xr:uid="{00000000-0005-0000-0000-00008B5B0000}"/>
    <cellStyle name="Normal 35 3 3 2 3" xfId="27523" xr:uid="{00000000-0005-0000-0000-00008C5B0000}"/>
    <cellStyle name="Normal 35 3 3 3" xfId="13533" xr:uid="{00000000-0005-0000-0000-00008D5B0000}"/>
    <cellStyle name="Normal 35 3 3 4" xfId="22857" xr:uid="{00000000-0005-0000-0000-00008E5B0000}"/>
    <cellStyle name="Normal 35 3 4" xfId="5931" xr:uid="{00000000-0005-0000-0000-00008F5B0000}"/>
    <cellStyle name="Normal 35 3 4 2" xfId="15255" xr:uid="{00000000-0005-0000-0000-0000905B0000}"/>
    <cellStyle name="Normal 35 3 4 3" xfId="24578" xr:uid="{00000000-0005-0000-0000-0000915B0000}"/>
    <cellStyle name="Normal 35 3 5" xfId="11978" xr:uid="{00000000-0005-0000-0000-0000925B0000}"/>
    <cellStyle name="Normal 35 3 6" xfId="21304" xr:uid="{00000000-0005-0000-0000-0000935B0000}"/>
    <cellStyle name="Normal 35 3 7" xfId="28814" xr:uid="{00000000-0005-0000-0000-0000945B0000}"/>
    <cellStyle name="Normal 35 4" xfId="2506" xr:uid="{00000000-0005-0000-0000-0000955B0000}"/>
    <cellStyle name="Normal 35 4 2" xfId="4201" xr:uid="{00000000-0005-0000-0000-0000965B0000}"/>
    <cellStyle name="Normal 35 4 2 2" xfId="8878" xr:uid="{00000000-0005-0000-0000-0000975B0000}"/>
    <cellStyle name="Normal 35 4 2 2 2" xfId="18202" xr:uid="{00000000-0005-0000-0000-0000985B0000}"/>
    <cellStyle name="Normal 35 4 2 2 3" xfId="27525" xr:uid="{00000000-0005-0000-0000-0000995B0000}"/>
    <cellStyle name="Normal 35 4 2 3" xfId="13535" xr:uid="{00000000-0005-0000-0000-00009A5B0000}"/>
    <cellStyle name="Normal 35 4 2 4" xfId="22859" xr:uid="{00000000-0005-0000-0000-00009B5B0000}"/>
    <cellStyle name="Normal 35 4 3" xfId="5933" xr:uid="{00000000-0005-0000-0000-00009C5B0000}"/>
    <cellStyle name="Normal 35 4 3 2" xfId="15257" xr:uid="{00000000-0005-0000-0000-00009D5B0000}"/>
    <cellStyle name="Normal 35 4 3 3" xfId="24580" xr:uid="{00000000-0005-0000-0000-00009E5B0000}"/>
    <cellStyle name="Normal 35 4 4" xfId="11980" xr:uid="{00000000-0005-0000-0000-00009F5B0000}"/>
    <cellStyle name="Normal 35 4 5" xfId="21306" xr:uid="{00000000-0005-0000-0000-0000A05B0000}"/>
    <cellStyle name="Normal 35 5" xfId="4194" xr:uid="{00000000-0005-0000-0000-0000A15B0000}"/>
    <cellStyle name="Normal 35 5 2" xfId="8871" xr:uid="{00000000-0005-0000-0000-0000A25B0000}"/>
    <cellStyle name="Normal 35 5 2 2" xfId="18195" xr:uid="{00000000-0005-0000-0000-0000A35B0000}"/>
    <cellStyle name="Normal 35 5 2 3" xfId="27518" xr:uid="{00000000-0005-0000-0000-0000A45B0000}"/>
    <cellStyle name="Normal 35 5 3" xfId="13528" xr:uid="{00000000-0005-0000-0000-0000A55B0000}"/>
    <cellStyle name="Normal 35 5 4" xfId="22852" xr:uid="{00000000-0005-0000-0000-0000A65B0000}"/>
    <cellStyle name="Normal 35 6" xfId="5926" xr:uid="{00000000-0005-0000-0000-0000A75B0000}"/>
    <cellStyle name="Normal 35 6 2" xfId="15250" xr:uid="{00000000-0005-0000-0000-0000A85B0000}"/>
    <cellStyle name="Normal 35 6 3" xfId="24573" xr:uid="{00000000-0005-0000-0000-0000A95B0000}"/>
    <cellStyle name="Normal 35 7" xfId="11973" xr:uid="{00000000-0005-0000-0000-0000AA5B0000}"/>
    <cellStyle name="Normal 35 8" xfId="21299" xr:uid="{00000000-0005-0000-0000-0000AB5B0000}"/>
    <cellStyle name="Normal 35 9" xfId="28761" xr:uid="{00000000-0005-0000-0000-0000AC5B0000}"/>
    <cellStyle name="Normal 36" xfId="2507" xr:uid="{00000000-0005-0000-0000-0000AD5B0000}"/>
    <cellStyle name="Normal 36 2" xfId="2508" xr:uid="{00000000-0005-0000-0000-0000AE5B0000}"/>
    <cellStyle name="Normal 36 2 2" xfId="2509" xr:uid="{00000000-0005-0000-0000-0000AF5B0000}"/>
    <cellStyle name="Normal 36 2 2 2" xfId="4204" xr:uid="{00000000-0005-0000-0000-0000B05B0000}"/>
    <cellStyle name="Normal 36 2 2 2 2" xfId="8881" xr:uid="{00000000-0005-0000-0000-0000B15B0000}"/>
    <cellStyle name="Normal 36 2 2 2 2 2" xfId="18205" xr:uid="{00000000-0005-0000-0000-0000B25B0000}"/>
    <cellStyle name="Normal 36 2 2 2 2 3" xfId="27528" xr:uid="{00000000-0005-0000-0000-0000B35B0000}"/>
    <cellStyle name="Normal 36 2 2 2 3" xfId="13538" xr:uid="{00000000-0005-0000-0000-0000B45B0000}"/>
    <cellStyle name="Normal 36 2 2 2 4" xfId="22862" xr:uid="{00000000-0005-0000-0000-0000B55B0000}"/>
    <cellStyle name="Normal 36 2 2 3" xfId="5936" xr:uid="{00000000-0005-0000-0000-0000B65B0000}"/>
    <cellStyle name="Normal 36 2 2 3 2" xfId="15260" xr:uid="{00000000-0005-0000-0000-0000B75B0000}"/>
    <cellStyle name="Normal 36 2 2 3 3" xfId="24583" xr:uid="{00000000-0005-0000-0000-0000B85B0000}"/>
    <cellStyle name="Normal 36 2 2 4" xfId="11983" xr:uid="{00000000-0005-0000-0000-0000B95B0000}"/>
    <cellStyle name="Normal 36 2 2 5" xfId="21309" xr:uid="{00000000-0005-0000-0000-0000BA5B0000}"/>
    <cellStyle name="Normal 36 2 3" xfId="4203" xr:uid="{00000000-0005-0000-0000-0000BB5B0000}"/>
    <cellStyle name="Normal 36 2 3 2" xfId="8880" xr:uid="{00000000-0005-0000-0000-0000BC5B0000}"/>
    <cellStyle name="Normal 36 2 3 2 2" xfId="18204" xr:uid="{00000000-0005-0000-0000-0000BD5B0000}"/>
    <cellStyle name="Normal 36 2 3 2 3" xfId="27527" xr:uid="{00000000-0005-0000-0000-0000BE5B0000}"/>
    <cellStyle name="Normal 36 2 3 3" xfId="13537" xr:uid="{00000000-0005-0000-0000-0000BF5B0000}"/>
    <cellStyle name="Normal 36 2 3 4" xfId="22861" xr:uid="{00000000-0005-0000-0000-0000C05B0000}"/>
    <cellStyle name="Normal 36 2 4" xfId="5935" xr:uid="{00000000-0005-0000-0000-0000C15B0000}"/>
    <cellStyle name="Normal 36 2 4 2" xfId="15259" xr:uid="{00000000-0005-0000-0000-0000C25B0000}"/>
    <cellStyle name="Normal 36 2 4 3" xfId="24582" xr:uid="{00000000-0005-0000-0000-0000C35B0000}"/>
    <cellStyle name="Normal 36 2 5" xfId="11982" xr:uid="{00000000-0005-0000-0000-0000C45B0000}"/>
    <cellStyle name="Normal 36 2 6" xfId="21308" xr:uid="{00000000-0005-0000-0000-0000C55B0000}"/>
    <cellStyle name="Normal 36 2 7" xfId="28910" xr:uid="{00000000-0005-0000-0000-0000C65B0000}"/>
    <cellStyle name="Normal 36 3" xfId="2510" xr:uid="{00000000-0005-0000-0000-0000C75B0000}"/>
    <cellStyle name="Normal 36 3 2" xfId="2511" xr:uid="{00000000-0005-0000-0000-0000C85B0000}"/>
    <cellStyle name="Normal 36 3 2 2" xfId="4206" xr:uid="{00000000-0005-0000-0000-0000C95B0000}"/>
    <cellStyle name="Normal 36 3 2 2 2" xfId="8883" xr:uid="{00000000-0005-0000-0000-0000CA5B0000}"/>
    <cellStyle name="Normal 36 3 2 2 2 2" xfId="18207" xr:uid="{00000000-0005-0000-0000-0000CB5B0000}"/>
    <cellStyle name="Normal 36 3 2 2 2 3" xfId="27530" xr:uid="{00000000-0005-0000-0000-0000CC5B0000}"/>
    <cellStyle name="Normal 36 3 2 2 3" xfId="13540" xr:uid="{00000000-0005-0000-0000-0000CD5B0000}"/>
    <cellStyle name="Normal 36 3 2 2 4" xfId="22864" xr:uid="{00000000-0005-0000-0000-0000CE5B0000}"/>
    <cellStyle name="Normal 36 3 2 3" xfId="5938" xr:uid="{00000000-0005-0000-0000-0000CF5B0000}"/>
    <cellStyle name="Normal 36 3 2 3 2" xfId="15262" xr:uid="{00000000-0005-0000-0000-0000D05B0000}"/>
    <cellStyle name="Normal 36 3 2 3 3" xfId="24585" xr:uid="{00000000-0005-0000-0000-0000D15B0000}"/>
    <cellStyle name="Normal 36 3 2 4" xfId="11985" xr:uid="{00000000-0005-0000-0000-0000D25B0000}"/>
    <cellStyle name="Normal 36 3 2 5" xfId="21311" xr:uid="{00000000-0005-0000-0000-0000D35B0000}"/>
    <cellStyle name="Normal 36 3 3" xfId="4205" xr:uid="{00000000-0005-0000-0000-0000D45B0000}"/>
    <cellStyle name="Normal 36 3 3 2" xfId="8882" xr:uid="{00000000-0005-0000-0000-0000D55B0000}"/>
    <cellStyle name="Normal 36 3 3 2 2" xfId="18206" xr:uid="{00000000-0005-0000-0000-0000D65B0000}"/>
    <cellStyle name="Normal 36 3 3 2 3" xfId="27529" xr:uid="{00000000-0005-0000-0000-0000D75B0000}"/>
    <cellStyle name="Normal 36 3 3 3" xfId="13539" xr:uid="{00000000-0005-0000-0000-0000D85B0000}"/>
    <cellStyle name="Normal 36 3 3 4" xfId="22863" xr:uid="{00000000-0005-0000-0000-0000D95B0000}"/>
    <cellStyle name="Normal 36 3 4" xfId="5937" xr:uid="{00000000-0005-0000-0000-0000DA5B0000}"/>
    <cellStyle name="Normal 36 3 4 2" xfId="15261" xr:uid="{00000000-0005-0000-0000-0000DB5B0000}"/>
    <cellStyle name="Normal 36 3 4 3" xfId="24584" xr:uid="{00000000-0005-0000-0000-0000DC5B0000}"/>
    <cellStyle name="Normal 36 3 5" xfId="11984" xr:uid="{00000000-0005-0000-0000-0000DD5B0000}"/>
    <cellStyle name="Normal 36 3 6" xfId="21310" xr:uid="{00000000-0005-0000-0000-0000DE5B0000}"/>
    <cellStyle name="Normal 36 4" xfId="2512" xr:uid="{00000000-0005-0000-0000-0000DF5B0000}"/>
    <cellStyle name="Normal 36 4 2" xfId="4207" xr:uid="{00000000-0005-0000-0000-0000E05B0000}"/>
    <cellStyle name="Normal 36 4 2 2" xfId="8884" xr:uid="{00000000-0005-0000-0000-0000E15B0000}"/>
    <cellStyle name="Normal 36 4 2 2 2" xfId="18208" xr:uid="{00000000-0005-0000-0000-0000E25B0000}"/>
    <cellStyle name="Normal 36 4 2 2 3" xfId="27531" xr:uid="{00000000-0005-0000-0000-0000E35B0000}"/>
    <cellStyle name="Normal 36 4 2 3" xfId="13541" xr:uid="{00000000-0005-0000-0000-0000E45B0000}"/>
    <cellStyle name="Normal 36 4 2 4" xfId="22865" xr:uid="{00000000-0005-0000-0000-0000E55B0000}"/>
    <cellStyle name="Normal 36 4 3" xfId="5939" xr:uid="{00000000-0005-0000-0000-0000E65B0000}"/>
    <cellStyle name="Normal 36 4 3 2" xfId="15263" xr:uid="{00000000-0005-0000-0000-0000E75B0000}"/>
    <cellStyle name="Normal 36 4 3 3" xfId="24586" xr:uid="{00000000-0005-0000-0000-0000E85B0000}"/>
    <cellStyle name="Normal 36 4 4" xfId="11986" xr:uid="{00000000-0005-0000-0000-0000E95B0000}"/>
    <cellStyle name="Normal 36 4 5" xfId="21312" xr:uid="{00000000-0005-0000-0000-0000EA5B0000}"/>
    <cellStyle name="Normal 36 5" xfId="4202" xr:uid="{00000000-0005-0000-0000-0000EB5B0000}"/>
    <cellStyle name="Normal 36 5 2" xfId="8879" xr:uid="{00000000-0005-0000-0000-0000EC5B0000}"/>
    <cellStyle name="Normal 36 5 2 2" xfId="18203" xr:uid="{00000000-0005-0000-0000-0000ED5B0000}"/>
    <cellStyle name="Normal 36 5 2 3" xfId="27526" xr:uid="{00000000-0005-0000-0000-0000EE5B0000}"/>
    <cellStyle name="Normal 36 5 3" xfId="13536" xr:uid="{00000000-0005-0000-0000-0000EF5B0000}"/>
    <cellStyle name="Normal 36 5 4" xfId="22860" xr:uid="{00000000-0005-0000-0000-0000F05B0000}"/>
    <cellStyle name="Normal 36 6" xfId="5934" xr:uid="{00000000-0005-0000-0000-0000F15B0000}"/>
    <cellStyle name="Normal 36 6 2" xfId="15258" xr:uid="{00000000-0005-0000-0000-0000F25B0000}"/>
    <cellStyle name="Normal 36 6 3" xfId="24581" xr:uid="{00000000-0005-0000-0000-0000F35B0000}"/>
    <cellStyle name="Normal 36 7" xfId="11981" xr:uid="{00000000-0005-0000-0000-0000F45B0000}"/>
    <cellStyle name="Normal 36 8" xfId="21307" xr:uid="{00000000-0005-0000-0000-0000F55B0000}"/>
    <cellStyle name="Normal 36 9" xfId="28817" xr:uid="{00000000-0005-0000-0000-0000F65B0000}"/>
    <cellStyle name="Normal 37" xfId="2513" xr:uid="{00000000-0005-0000-0000-0000F75B0000}"/>
    <cellStyle name="Normal 37 2" xfId="2514" xr:uid="{00000000-0005-0000-0000-0000F85B0000}"/>
    <cellStyle name="Normal 37 2 2" xfId="4208" xr:uid="{00000000-0005-0000-0000-0000F95B0000}"/>
    <cellStyle name="Normal 37 2 2 2" xfId="8885" xr:uid="{00000000-0005-0000-0000-0000FA5B0000}"/>
    <cellStyle name="Normal 37 2 2 2 2" xfId="18209" xr:uid="{00000000-0005-0000-0000-0000FB5B0000}"/>
    <cellStyle name="Normal 37 2 2 2 3" xfId="27532" xr:uid="{00000000-0005-0000-0000-0000FC5B0000}"/>
    <cellStyle name="Normal 37 2 2 3" xfId="13542" xr:uid="{00000000-0005-0000-0000-0000FD5B0000}"/>
    <cellStyle name="Normal 37 2 2 4" xfId="22866" xr:uid="{00000000-0005-0000-0000-0000FE5B0000}"/>
    <cellStyle name="Normal 37 2 3" xfId="5940" xr:uid="{00000000-0005-0000-0000-0000FF5B0000}"/>
    <cellStyle name="Normal 37 2 3 2" xfId="15264" xr:uid="{00000000-0005-0000-0000-0000005C0000}"/>
    <cellStyle name="Normal 37 2 3 3" xfId="24587" xr:uid="{00000000-0005-0000-0000-0000015C0000}"/>
    <cellStyle name="Normal 37 2 4" xfId="11987" xr:uid="{00000000-0005-0000-0000-0000025C0000}"/>
    <cellStyle name="Normal 37 2 5" xfId="21313" xr:uid="{00000000-0005-0000-0000-0000035C0000}"/>
    <cellStyle name="Normal 37 3" xfId="2515" xr:uid="{00000000-0005-0000-0000-0000045C0000}"/>
    <cellStyle name="Normal 37 4" xfId="28907" xr:uid="{00000000-0005-0000-0000-0000055C0000}"/>
    <cellStyle name="Normal 38" xfId="2516" xr:uid="{00000000-0005-0000-0000-0000065C0000}"/>
    <cellStyle name="Normal 38 2" xfId="2517" xr:uid="{00000000-0005-0000-0000-0000075C0000}"/>
    <cellStyle name="Normal 38 2 2" xfId="2518" xr:uid="{00000000-0005-0000-0000-0000085C0000}"/>
    <cellStyle name="Normal 38 2 2 2" xfId="4211" xr:uid="{00000000-0005-0000-0000-0000095C0000}"/>
    <cellStyle name="Normal 38 2 2 2 2" xfId="8888" xr:uid="{00000000-0005-0000-0000-00000A5C0000}"/>
    <cellStyle name="Normal 38 2 2 2 2 2" xfId="18212" xr:uid="{00000000-0005-0000-0000-00000B5C0000}"/>
    <cellStyle name="Normal 38 2 2 2 2 3" xfId="27535" xr:uid="{00000000-0005-0000-0000-00000C5C0000}"/>
    <cellStyle name="Normal 38 2 2 2 3" xfId="13545" xr:uid="{00000000-0005-0000-0000-00000D5C0000}"/>
    <cellStyle name="Normal 38 2 2 2 4" xfId="22869" xr:uid="{00000000-0005-0000-0000-00000E5C0000}"/>
    <cellStyle name="Normal 38 2 2 3" xfId="5943" xr:uid="{00000000-0005-0000-0000-00000F5C0000}"/>
    <cellStyle name="Normal 38 2 2 3 2" xfId="15267" xr:uid="{00000000-0005-0000-0000-0000105C0000}"/>
    <cellStyle name="Normal 38 2 2 3 3" xfId="24590" xr:uid="{00000000-0005-0000-0000-0000115C0000}"/>
    <cellStyle name="Normal 38 2 2 4" xfId="11990" xr:uid="{00000000-0005-0000-0000-0000125C0000}"/>
    <cellStyle name="Normal 38 2 2 5" xfId="21316" xr:uid="{00000000-0005-0000-0000-0000135C0000}"/>
    <cellStyle name="Normal 38 2 3" xfId="4210" xr:uid="{00000000-0005-0000-0000-0000145C0000}"/>
    <cellStyle name="Normal 38 2 3 2" xfId="8887" xr:uid="{00000000-0005-0000-0000-0000155C0000}"/>
    <cellStyle name="Normal 38 2 3 2 2" xfId="18211" xr:uid="{00000000-0005-0000-0000-0000165C0000}"/>
    <cellStyle name="Normal 38 2 3 2 3" xfId="27534" xr:uid="{00000000-0005-0000-0000-0000175C0000}"/>
    <cellStyle name="Normal 38 2 3 3" xfId="13544" xr:uid="{00000000-0005-0000-0000-0000185C0000}"/>
    <cellStyle name="Normal 38 2 3 4" xfId="22868" xr:uid="{00000000-0005-0000-0000-0000195C0000}"/>
    <cellStyle name="Normal 38 2 4" xfId="5942" xr:uid="{00000000-0005-0000-0000-00001A5C0000}"/>
    <cellStyle name="Normal 38 2 4 2" xfId="15266" xr:uid="{00000000-0005-0000-0000-00001B5C0000}"/>
    <cellStyle name="Normal 38 2 4 3" xfId="24589" xr:uid="{00000000-0005-0000-0000-00001C5C0000}"/>
    <cellStyle name="Normal 38 2 5" xfId="11989" xr:uid="{00000000-0005-0000-0000-00001D5C0000}"/>
    <cellStyle name="Normal 38 2 6" xfId="21315" xr:uid="{00000000-0005-0000-0000-00001E5C0000}"/>
    <cellStyle name="Normal 38 3" xfId="2519" xr:uid="{00000000-0005-0000-0000-00001F5C0000}"/>
    <cellStyle name="Normal 38 3 2" xfId="2520" xr:uid="{00000000-0005-0000-0000-0000205C0000}"/>
    <cellStyle name="Normal 38 3 2 2" xfId="2521" xr:uid="{00000000-0005-0000-0000-0000215C0000}"/>
    <cellStyle name="Normal 38 3 2 2 2" xfId="2522" xr:uid="{00000000-0005-0000-0000-0000225C0000}"/>
    <cellStyle name="Normal 38 3 2 2 2 2" xfId="2523" xr:uid="{00000000-0005-0000-0000-0000235C0000}"/>
    <cellStyle name="Normal 38 3 2 2 2 2 2" xfId="4216" xr:uid="{00000000-0005-0000-0000-0000245C0000}"/>
    <cellStyle name="Normal 38 3 2 2 2 2 2 2" xfId="8893" xr:uid="{00000000-0005-0000-0000-0000255C0000}"/>
    <cellStyle name="Normal 38 3 2 2 2 2 2 2 2" xfId="18217" xr:uid="{00000000-0005-0000-0000-0000265C0000}"/>
    <cellStyle name="Normal 38 3 2 2 2 2 2 2 3" xfId="27540" xr:uid="{00000000-0005-0000-0000-0000275C0000}"/>
    <cellStyle name="Normal 38 3 2 2 2 2 2 3" xfId="13550" xr:uid="{00000000-0005-0000-0000-0000285C0000}"/>
    <cellStyle name="Normal 38 3 2 2 2 2 2 4" xfId="22874" xr:uid="{00000000-0005-0000-0000-0000295C0000}"/>
    <cellStyle name="Normal 38 3 2 2 2 2 3" xfId="5948" xr:uid="{00000000-0005-0000-0000-00002A5C0000}"/>
    <cellStyle name="Normal 38 3 2 2 2 2 3 2" xfId="15272" xr:uid="{00000000-0005-0000-0000-00002B5C0000}"/>
    <cellStyle name="Normal 38 3 2 2 2 2 3 3" xfId="24595" xr:uid="{00000000-0005-0000-0000-00002C5C0000}"/>
    <cellStyle name="Normal 38 3 2 2 2 2 4" xfId="11995" xr:uid="{00000000-0005-0000-0000-00002D5C0000}"/>
    <cellStyle name="Normal 38 3 2 2 2 2 5" xfId="21321" xr:uid="{00000000-0005-0000-0000-00002E5C0000}"/>
    <cellStyle name="Normal 38 3 2 2 2 3" xfId="4215" xr:uid="{00000000-0005-0000-0000-00002F5C0000}"/>
    <cellStyle name="Normal 38 3 2 2 2 3 2" xfId="8892" xr:uid="{00000000-0005-0000-0000-0000305C0000}"/>
    <cellStyle name="Normal 38 3 2 2 2 3 2 2" xfId="18216" xr:uid="{00000000-0005-0000-0000-0000315C0000}"/>
    <cellStyle name="Normal 38 3 2 2 2 3 2 3" xfId="27539" xr:uid="{00000000-0005-0000-0000-0000325C0000}"/>
    <cellStyle name="Normal 38 3 2 2 2 3 3" xfId="13549" xr:uid="{00000000-0005-0000-0000-0000335C0000}"/>
    <cellStyle name="Normal 38 3 2 2 2 3 4" xfId="22873" xr:uid="{00000000-0005-0000-0000-0000345C0000}"/>
    <cellStyle name="Normal 38 3 2 2 2 4" xfId="5947" xr:uid="{00000000-0005-0000-0000-0000355C0000}"/>
    <cellStyle name="Normal 38 3 2 2 2 4 2" xfId="15271" xr:uid="{00000000-0005-0000-0000-0000365C0000}"/>
    <cellStyle name="Normal 38 3 2 2 2 4 3" xfId="24594" xr:uid="{00000000-0005-0000-0000-0000375C0000}"/>
    <cellStyle name="Normal 38 3 2 2 2 5" xfId="11994" xr:uid="{00000000-0005-0000-0000-0000385C0000}"/>
    <cellStyle name="Normal 38 3 2 2 2 6" xfId="21320" xr:uid="{00000000-0005-0000-0000-0000395C0000}"/>
    <cellStyle name="Normal 38 3 2 2 3" xfId="4214" xr:uid="{00000000-0005-0000-0000-00003A5C0000}"/>
    <cellStyle name="Normal 38 3 2 2 3 2" xfId="8891" xr:uid="{00000000-0005-0000-0000-00003B5C0000}"/>
    <cellStyle name="Normal 38 3 2 2 3 2 2" xfId="18215" xr:uid="{00000000-0005-0000-0000-00003C5C0000}"/>
    <cellStyle name="Normal 38 3 2 2 3 2 3" xfId="27538" xr:uid="{00000000-0005-0000-0000-00003D5C0000}"/>
    <cellStyle name="Normal 38 3 2 2 3 3" xfId="13548" xr:uid="{00000000-0005-0000-0000-00003E5C0000}"/>
    <cellStyle name="Normal 38 3 2 2 3 4" xfId="22872" xr:uid="{00000000-0005-0000-0000-00003F5C0000}"/>
    <cellStyle name="Normal 38 3 2 2 4" xfId="5946" xr:uid="{00000000-0005-0000-0000-0000405C0000}"/>
    <cellStyle name="Normal 38 3 2 2 4 2" xfId="15270" xr:uid="{00000000-0005-0000-0000-0000415C0000}"/>
    <cellStyle name="Normal 38 3 2 2 4 3" xfId="24593" xr:uid="{00000000-0005-0000-0000-0000425C0000}"/>
    <cellStyle name="Normal 38 3 2 2 5" xfId="11993" xr:uid="{00000000-0005-0000-0000-0000435C0000}"/>
    <cellStyle name="Normal 38 3 2 2 6" xfId="21319" xr:uid="{00000000-0005-0000-0000-0000445C0000}"/>
    <cellStyle name="Normal 38 3 2 3" xfId="4213" xr:uid="{00000000-0005-0000-0000-0000455C0000}"/>
    <cellStyle name="Normal 38 3 2 3 2" xfId="8890" xr:uid="{00000000-0005-0000-0000-0000465C0000}"/>
    <cellStyle name="Normal 38 3 2 3 2 2" xfId="18214" xr:uid="{00000000-0005-0000-0000-0000475C0000}"/>
    <cellStyle name="Normal 38 3 2 3 2 3" xfId="27537" xr:uid="{00000000-0005-0000-0000-0000485C0000}"/>
    <cellStyle name="Normal 38 3 2 3 3" xfId="13547" xr:uid="{00000000-0005-0000-0000-0000495C0000}"/>
    <cellStyle name="Normal 38 3 2 3 4" xfId="22871" xr:uid="{00000000-0005-0000-0000-00004A5C0000}"/>
    <cellStyle name="Normal 38 3 2 4" xfId="5945" xr:uid="{00000000-0005-0000-0000-00004B5C0000}"/>
    <cellStyle name="Normal 38 3 2 4 2" xfId="15269" xr:uid="{00000000-0005-0000-0000-00004C5C0000}"/>
    <cellStyle name="Normal 38 3 2 4 3" xfId="24592" xr:uid="{00000000-0005-0000-0000-00004D5C0000}"/>
    <cellStyle name="Normal 38 3 2 5" xfId="11992" xr:uid="{00000000-0005-0000-0000-00004E5C0000}"/>
    <cellStyle name="Normal 38 3 2 6" xfId="21318" xr:uid="{00000000-0005-0000-0000-00004F5C0000}"/>
    <cellStyle name="Normal 38 3 3" xfId="2524" xr:uid="{00000000-0005-0000-0000-0000505C0000}"/>
    <cellStyle name="Normal 38 3 3 2" xfId="4217" xr:uid="{00000000-0005-0000-0000-0000515C0000}"/>
    <cellStyle name="Normal 38 3 3 2 2" xfId="8894" xr:uid="{00000000-0005-0000-0000-0000525C0000}"/>
    <cellStyle name="Normal 38 3 3 2 2 2" xfId="18218" xr:uid="{00000000-0005-0000-0000-0000535C0000}"/>
    <cellStyle name="Normal 38 3 3 2 2 3" xfId="27541" xr:uid="{00000000-0005-0000-0000-0000545C0000}"/>
    <cellStyle name="Normal 38 3 3 2 3" xfId="13551" xr:uid="{00000000-0005-0000-0000-0000555C0000}"/>
    <cellStyle name="Normal 38 3 3 2 4" xfId="22875" xr:uid="{00000000-0005-0000-0000-0000565C0000}"/>
    <cellStyle name="Normal 38 3 3 3" xfId="5949" xr:uid="{00000000-0005-0000-0000-0000575C0000}"/>
    <cellStyle name="Normal 38 3 3 3 2" xfId="15273" xr:uid="{00000000-0005-0000-0000-0000585C0000}"/>
    <cellStyle name="Normal 38 3 3 3 3" xfId="24596" xr:uid="{00000000-0005-0000-0000-0000595C0000}"/>
    <cellStyle name="Normal 38 3 3 4" xfId="11996" xr:uid="{00000000-0005-0000-0000-00005A5C0000}"/>
    <cellStyle name="Normal 38 3 3 5" xfId="21322" xr:uid="{00000000-0005-0000-0000-00005B5C0000}"/>
    <cellStyle name="Normal 38 3 4" xfId="4212" xr:uid="{00000000-0005-0000-0000-00005C5C0000}"/>
    <cellStyle name="Normal 38 3 4 2" xfId="8889" xr:uid="{00000000-0005-0000-0000-00005D5C0000}"/>
    <cellStyle name="Normal 38 3 4 2 2" xfId="18213" xr:uid="{00000000-0005-0000-0000-00005E5C0000}"/>
    <cellStyle name="Normal 38 3 4 2 3" xfId="27536" xr:uid="{00000000-0005-0000-0000-00005F5C0000}"/>
    <cellStyle name="Normal 38 3 4 3" xfId="13546" xr:uid="{00000000-0005-0000-0000-0000605C0000}"/>
    <cellStyle name="Normal 38 3 4 4" xfId="22870" xr:uid="{00000000-0005-0000-0000-0000615C0000}"/>
    <cellStyle name="Normal 38 3 5" xfId="5944" xr:uid="{00000000-0005-0000-0000-0000625C0000}"/>
    <cellStyle name="Normal 38 3 5 2" xfId="15268" xr:uid="{00000000-0005-0000-0000-0000635C0000}"/>
    <cellStyle name="Normal 38 3 5 3" xfId="24591" xr:uid="{00000000-0005-0000-0000-0000645C0000}"/>
    <cellStyle name="Normal 38 3 6" xfId="11991" xr:uid="{00000000-0005-0000-0000-0000655C0000}"/>
    <cellStyle name="Normal 38 3 7" xfId="21317" xr:uid="{00000000-0005-0000-0000-0000665C0000}"/>
    <cellStyle name="Normal 38 4" xfId="2525" xr:uid="{00000000-0005-0000-0000-0000675C0000}"/>
    <cellStyle name="Normal 38 4 2" xfId="4218" xr:uid="{00000000-0005-0000-0000-0000685C0000}"/>
    <cellStyle name="Normal 38 4 2 2" xfId="8895" xr:uid="{00000000-0005-0000-0000-0000695C0000}"/>
    <cellStyle name="Normal 38 4 2 2 2" xfId="18219" xr:uid="{00000000-0005-0000-0000-00006A5C0000}"/>
    <cellStyle name="Normal 38 4 2 2 3" xfId="27542" xr:uid="{00000000-0005-0000-0000-00006B5C0000}"/>
    <cellStyle name="Normal 38 4 2 3" xfId="13552" xr:uid="{00000000-0005-0000-0000-00006C5C0000}"/>
    <cellStyle name="Normal 38 4 2 4" xfId="22876" xr:uid="{00000000-0005-0000-0000-00006D5C0000}"/>
    <cellStyle name="Normal 38 4 3" xfId="5950" xr:uid="{00000000-0005-0000-0000-00006E5C0000}"/>
    <cellStyle name="Normal 38 4 3 2" xfId="15274" xr:uid="{00000000-0005-0000-0000-00006F5C0000}"/>
    <cellStyle name="Normal 38 4 3 3" xfId="24597" xr:uid="{00000000-0005-0000-0000-0000705C0000}"/>
    <cellStyle name="Normal 38 4 4" xfId="11997" xr:uid="{00000000-0005-0000-0000-0000715C0000}"/>
    <cellStyle name="Normal 38 4 5" xfId="21323" xr:uid="{00000000-0005-0000-0000-0000725C0000}"/>
    <cellStyle name="Normal 38 5" xfId="4209" xr:uid="{00000000-0005-0000-0000-0000735C0000}"/>
    <cellStyle name="Normal 38 5 2" xfId="8886" xr:uid="{00000000-0005-0000-0000-0000745C0000}"/>
    <cellStyle name="Normal 38 5 2 2" xfId="18210" xr:uid="{00000000-0005-0000-0000-0000755C0000}"/>
    <cellStyle name="Normal 38 5 2 3" xfId="27533" xr:uid="{00000000-0005-0000-0000-0000765C0000}"/>
    <cellStyle name="Normal 38 5 3" xfId="13543" xr:uid="{00000000-0005-0000-0000-0000775C0000}"/>
    <cellStyle name="Normal 38 5 4" xfId="22867" xr:uid="{00000000-0005-0000-0000-0000785C0000}"/>
    <cellStyle name="Normal 38 6" xfId="5941" xr:uid="{00000000-0005-0000-0000-0000795C0000}"/>
    <cellStyle name="Normal 38 6 2" xfId="15265" xr:uid="{00000000-0005-0000-0000-00007A5C0000}"/>
    <cellStyle name="Normal 38 6 3" xfId="24588" xr:uid="{00000000-0005-0000-0000-00007B5C0000}"/>
    <cellStyle name="Normal 38 7" xfId="11988" xr:uid="{00000000-0005-0000-0000-00007C5C0000}"/>
    <cellStyle name="Normal 38 8" xfId="21314" xr:uid="{00000000-0005-0000-0000-00007D5C0000}"/>
    <cellStyle name="Normal 38 9" xfId="28842" xr:uid="{00000000-0005-0000-0000-00007E5C0000}"/>
    <cellStyle name="Normal 39" xfId="2526" xr:uid="{00000000-0005-0000-0000-00007F5C0000}"/>
    <cellStyle name="Normal 39 2" xfId="2527" xr:uid="{00000000-0005-0000-0000-0000805C0000}"/>
    <cellStyle name="Normal 39 2 2" xfId="4220" xr:uid="{00000000-0005-0000-0000-0000815C0000}"/>
    <cellStyle name="Normal 39 2 2 2" xfId="8897" xr:uid="{00000000-0005-0000-0000-0000825C0000}"/>
    <cellStyle name="Normal 39 2 2 2 2" xfId="18221" xr:uid="{00000000-0005-0000-0000-0000835C0000}"/>
    <cellStyle name="Normal 39 2 2 2 3" xfId="27544" xr:uid="{00000000-0005-0000-0000-0000845C0000}"/>
    <cellStyle name="Normal 39 2 2 3" xfId="13554" xr:uid="{00000000-0005-0000-0000-0000855C0000}"/>
    <cellStyle name="Normal 39 2 2 4" xfId="22878" xr:uid="{00000000-0005-0000-0000-0000865C0000}"/>
    <cellStyle name="Normal 39 2 3" xfId="5952" xr:uid="{00000000-0005-0000-0000-0000875C0000}"/>
    <cellStyle name="Normal 39 2 3 2" xfId="15276" xr:uid="{00000000-0005-0000-0000-0000885C0000}"/>
    <cellStyle name="Normal 39 2 3 3" xfId="24599" xr:uid="{00000000-0005-0000-0000-0000895C0000}"/>
    <cellStyle name="Normal 39 2 4" xfId="11999" xr:uid="{00000000-0005-0000-0000-00008A5C0000}"/>
    <cellStyle name="Normal 39 2 5" xfId="21325" xr:uid="{00000000-0005-0000-0000-00008B5C0000}"/>
    <cellStyle name="Normal 39 3" xfId="4219" xr:uid="{00000000-0005-0000-0000-00008C5C0000}"/>
    <cellStyle name="Normal 39 3 2" xfId="8896" xr:uid="{00000000-0005-0000-0000-00008D5C0000}"/>
    <cellStyle name="Normal 39 3 2 2" xfId="18220" xr:uid="{00000000-0005-0000-0000-00008E5C0000}"/>
    <cellStyle name="Normal 39 3 2 3" xfId="27543" xr:uid="{00000000-0005-0000-0000-00008F5C0000}"/>
    <cellStyle name="Normal 39 3 3" xfId="13553" xr:uid="{00000000-0005-0000-0000-0000905C0000}"/>
    <cellStyle name="Normal 39 3 4" xfId="22877" xr:uid="{00000000-0005-0000-0000-0000915C0000}"/>
    <cellStyle name="Normal 39 4" xfId="5951" xr:uid="{00000000-0005-0000-0000-0000925C0000}"/>
    <cellStyle name="Normal 39 4 2" xfId="15275" xr:uid="{00000000-0005-0000-0000-0000935C0000}"/>
    <cellStyle name="Normal 39 4 3" xfId="24598" xr:uid="{00000000-0005-0000-0000-0000945C0000}"/>
    <cellStyle name="Normal 39 5" xfId="11998" xr:uid="{00000000-0005-0000-0000-0000955C0000}"/>
    <cellStyle name="Normal 39 6" xfId="21324" xr:uid="{00000000-0005-0000-0000-0000965C0000}"/>
    <cellStyle name="Normal 39 7" xfId="28856" xr:uid="{00000000-0005-0000-0000-0000975C0000}"/>
    <cellStyle name="Normal 4" xfId="170" xr:uid="{00000000-0005-0000-0000-0000985C0000}"/>
    <cellStyle name="Normal 4 10" xfId="28462" xr:uid="{00000000-0005-0000-0000-0000995C0000}"/>
    <cellStyle name="Normal 4 2" xfId="315" xr:uid="{00000000-0005-0000-0000-00009A5C0000}"/>
    <cellStyle name="Normal 4 2 10" xfId="28963" xr:uid="{00000000-0005-0000-0000-00009B5C0000}"/>
    <cellStyle name="Normal 4 2 2" xfId="1323" xr:uid="{00000000-0005-0000-0000-00009C5C0000}"/>
    <cellStyle name="Normal 4 2 2 2" xfId="1324" xr:uid="{00000000-0005-0000-0000-00009D5C0000}"/>
    <cellStyle name="Normal 4 2 2 2 2" xfId="1325" xr:uid="{00000000-0005-0000-0000-00009E5C0000}"/>
    <cellStyle name="Normal 4 2 2 2 2 2" xfId="3123" xr:uid="{00000000-0005-0000-0000-00009F5C0000}"/>
    <cellStyle name="Normal 4 2 2 2 2 2 2" xfId="7802" xr:uid="{00000000-0005-0000-0000-0000A05C0000}"/>
    <cellStyle name="Normal 4 2 2 2 2 2 2 2" xfId="17126" xr:uid="{00000000-0005-0000-0000-0000A15C0000}"/>
    <cellStyle name="Normal 4 2 2 2 2 2 2 3" xfId="26449" xr:uid="{00000000-0005-0000-0000-0000A25C0000}"/>
    <cellStyle name="Normal 4 2 2 2 2 2 3" xfId="12510" xr:uid="{00000000-0005-0000-0000-0000A35C0000}"/>
    <cellStyle name="Normal 4 2 2 2 2 2 4" xfId="21836" xr:uid="{00000000-0005-0000-0000-0000A45C0000}"/>
    <cellStyle name="Normal 4 2 2 2 2 3" xfId="4779" xr:uid="{00000000-0005-0000-0000-0000A55C0000}"/>
    <cellStyle name="Normal 4 2 2 2 2 3 2" xfId="14103" xr:uid="{00000000-0005-0000-0000-0000A65C0000}"/>
    <cellStyle name="Normal 4 2 2 2 2 3 3" xfId="23426" xr:uid="{00000000-0005-0000-0000-0000A75C0000}"/>
    <cellStyle name="Normal 4 2 2 2 2 4" xfId="10904" xr:uid="{00000000-0005-0000-0000-0000A85C0000}"/>
    <cellStyle name="Normal 4 2 2 2 2 5" xfId="20228" xr:uid="{00000000-0005-0000-0000-0000A95C0000}"/>
    <cellStyle name="Normal 4 2 2 2 3" xfId="3122" xr:uid="{00000000-0005-0000-0000-0000AA5C0000}"/>
    <cellStyle name="Normal 4 2 2 2 3 2" xfId="7801" xr:uid="{00000000-0005-0000-0000-0000AB5C0000}"/>
    <cellStyle name="Normal 4 2 2 2 3 2 2" xfId="17125" xr:uid="{00000000-0005-0000-0000-0000AC5C0000}"/>
    <cellStyle name="Normal 4 2 2 2 3 2 3" xfId="26448" xr:uid="{00000000-0005-0000-0000-0000AD5C0000}"/>
    <cellStyle name="Normal 4 2 2 2 3 3" xfId="12509" xr:uid="{00000000-0005-0000-0000-0000AE5C0000}"/>
    <cellStyle name="Normal 4 2 2 2 3 4" xfId="21835" xr:uid="{00000000-0005-0000-0000-0000AF5C0000}"/>
    <cellStyle name="Normal 4 2 2 2 4" xfId="4778" xr:uid="{00000000-0005-0000-0000-0000B05C0000}"/>
    <cellStyle name="Normal 4 2 2 2 4 2" xfId="14102" xr:uid="{00000000-0005-0000-0000-0000B15C0000}"/>
    <cellStyle name="Normal 4 2 2 2 4 3" xfId="23425" xr:uid="{00000000-0005-0000-0000-0000B25C0000}"/>
    <cellStyle name="Normal 4 2 2 2 5" xfId="10903" xr:uid="{00000000-0005-0000-0000-0000B35C0000}"/>
    <cellStyle name="Normal 4 2 2 2 6" xfId="20227" xr:uid="{00000000-0005-0000-0000-0000B45C0000}"/>
    <cellStyle name="Normal 4 2 2 3" xfId="1326" xr:uid="{00000000-0005-0000-0000-0000B55C0000}"/>
    <cellStyle name="Normal 4 2 2 3 2" xfId="3124" xr:uid="{00000000-0005-0000-0000-0000B65C0000}"/>
    <cellStyle name="Normal 4 2 2 3 2 2" xfId="7803" xr:uid="{00000000-0005-0000-0000-0000B75C0000}"/>
    <cellStyle name="Normal 4 2 2 3 2 2 2" xfId="17127" xr:uid="{00000000-0005-0000-0000-0000B85C0000}"/>
    <cellStyle name="Normal 4 2 2 3 2 2 3" xfId="26450" xr:uid="{00000000-0005-0000-0000-0000B95C0000}"/>
    <cellStyle name="Normal 4 2 2 3 2 3" xfId="12511" xr:uid="{00000000-0005-0000-0000-0000BA5C0000}"/>
    <cellStyle name="Normal 4 2 2 3 2 4" xfId="21837" xr:uid="{00000000-0005-0000-0000-0000BB5C0000}"/>
    <cellStyle name="Normal 4 2 2 3 3" xfId="4780" xr:uid="{00000000-0005-0000-0000-0000BC5C0000}"/>
    <cellStyle name="Normal 4 2 2 3 3 2" xfId="14104" xr:uid="{00000000-0005-0000-0000-0000BD5C0000}"/>
    <cellStyle name="Normal 4 2 2 3 3 3" xfId="23427" xr:uid="{00000000-0005-0000-0000-0000BE5C0000}"/>
    <cellStyle name="Normal 4 2 2 3 4" xfId="10905" xr:uid="{00000000-0005-0000-0000-0000BF5C0000}"/>
    <cellStyle name="Normal 4 2 2 3 5" xfId="20229" xr:uid="{00000000-0005-0000-0000-0000C05C0000}"/>
    <cellStyle name="Normal 4 2 2 4" xfId="2530" xr:uid="{00000000-0005-0000-0000-0000C15C0000}"/>
    <cellStyle name="Normal 4 2 2 5" xfId="3121" xr:uid="{00000000-0005-0000-0000-0000C25C0000}"/>
    <cellStyle name="Normal 4 2 2 5 2" xfId="7800" xr:uid="{00000000-0005-0000-0000-0000C35C0000}"/>
    <cellStyle name="Normal 4 2 2 5 2 2" xfId="17124" xr:uid="{00000000-0005-0000-0000-0000C45C0000}"/>
    <cellStyle name="Normal 4 2 2 5 2 3" xfId="26447" xr:uid="{00000000-0005-0000-0000-0000C55C0000}"/>
    <cellStyle name="Normal 4 2 2 5 3" xfId="12508" xr:uid="{00000000-0005-0000-0000-0000C65C0000}"/>
    <cellStyle name="Normal 4 2 2 5 4" xfId="21834" xr:uid="{00000000-0005-0000-0000-0000C75C0000}"/>
    <cellStyle name="Normal 4 2 2 6" xfId="4777" xr:uid="{00000000-0005-0000-0000-0000C85C0000}"/>
    <cellStyle name="Normal 4 2 2 6 2" xfId="14101" xr:uid="{00000000-0005-0000-0000-0000C95C0000}"/>
    <cellStyle name="Normal 4 2 2 6 3" xfId="23424" xr:uid="{00000000-0005-0000-0000-0000CA5C0000}"/>
    <cellStyle name="Normal 4 2 2 7" xfId="10902" xr:uid="{00000000-0005-0000-0000-0000CB5C0000}"/>
    <cellStyle name="Normal 4 2 2 8" xfId="20226" xr:uid="{00000000-0005-0000-0000-0000CC5C0000}"/>
    <cellStyle name="Normal 4 2 2 9" xfId="28901" xr:uid="{00000000-0005-0000-0000-0000CD5C0000}"/>
    <cellStyle name="Normal 4 2 3" xfId="1327" xr:uid="{00000000-0005-0000-0000-0000CE5C0000}"/>
    <cellStyle name="Normal 4 2 3 2" xfId="1328" xr:uid="{00000000-0005-0000-0000-0000CF5C0000}"/>
    <cellStyle name="Normal 4 2 3 2 2" xfId="3126" xr:uid="{00000000-0005-0000-0000-0000D05C0000}"/>
    <cellStyle name="Normal 4 2 3 2 2 2" xfId="7805" xr:uid="{00000000-0005-0000-0000-0000D15C0000}"/>
    <cellStyle name="Normal 4 2 3 2 2 2 2" xfId="17129" xr:uid="{00000000-0005-0000-0000-0000D25C0000}"/>
    <cellStyle name="Normal 4 2 3 2 2 2 3" xfId="26452" xr:uid="{00000000-0005-0000-0000-0000D35C0000}"/>
    <cellStyle name="Normal 4 2 3 2 2 3" xfId="12513" xr:uid="{00000000-0005-0000-0000-0000D45C0000}"/>
    <cellStyle name="Normal 4 2 3 2 2 4" xfId="21839" xr:uid="{00000000-0005-0000-0000-0000D55C0000}"/>
    <cellStyle name="Normal 4 2 3 2 3" xfId="4782" xr:uid="{00000000-0005-0000-0000-0000D65C0000}"/>
    <cellStyle name="Normal 4 2 3 2 3 2" xfId="14106" xr:uid="{00000000-0005-0000-0000-0000D75C0000}"/>
    <cellStyle name="Normal 4 2 3 2 3 3" xfId="23429" xr:uid="{00000000-0005-0000-0000-0000D85C0000}"/>
    <cellStyle name="Normal 4 2 3 2 4" xfId="10907" xr:uid="{00000000-0005-0000-0000-0000D95C0000}"/>
    <cellStyle name="Normal 4 2 3 2 5" xfId="20231" xr:uid="{00000000-0005-0000-0000-0000DA5C0000}"/>
    <cellStyle name="Normal 4 2 3 3" xfId="3125" xr:uid="{00000000-0005-0000-0000-0000DB5C0000}"/>
    <cellStyle name="Normal 4 2 3 3 2" xfId="7804" xr:uid="{00000000-0005-0000-0000-0000DC5C0000}"/>
    <cellStyle name="Normal 4 2 3 3 2 2" xfId="17128" xr:uid="{00000000-0005-0000-0000-0000DD5C0000}"/>
    <cellStyle name="Normal 4 2 3 3 2 3" xfId="26451" xr:uid="{00000000-0005-0000-0000-0000DE5C0000}"/>
    <cellStyle name="Normal 4 2 3 3 3" xfId="12512" xr:uid="{00000000-0005-0000-0000-0000DF5C0000}"/>
    <cellStyle name="Normal 4 2 3 3 4" xfId="21838" xr:uid="{00000000-0005-0000-0000-0000E05C0000}"/>
    <cellStyle name="Normal 4 2 3 4" xfId="4781" xr:uid="{00000000-0005-0000-0000-0000E15C0000}"/>
    <cellStyle name="Normal 4 2 3 4 2" xfId="14105" xr:uid="{00000000-0005-0000-0000-0000E25C0000}"/>
    <cellStyle name="Normal 4 2 3 4 3" xfId="23428" xr:uid="{00000000-0005-0000-0000-0000E35C0000}"/>
    <cellStyle name="Normal 4 2 3 5" xfId="10906" xr:uid="{00000000-0005-0000-0000-0000E45C0000}"/>
    <cellStyle name="Normal 4 2 3 6" xfId="20230" xr:uid="{00000000-0005-0000-0000-0000E55C0000}"/>
    <cellStyle name="Normal 4 2 4" xfId="1329" xr:uid="{00000000-0005-0000-0000-0000E65C0000}"/>
    <cellStyle name="Normal 4 2 4 2" xfId="3127" xr:uid="{00000000-0005-0000-0000-0000E75C0000}"/>
    <cellStyle name="Normal 4 2 4 2 2" xfId="7806" xr:uid="{00000000-0005-0000-0000-0000E85C0000}"/>
    <cellStyle name="Normal 4 2 4 2 2 2" xfId="17130" xr:uid="{00000000-0005-0000-0000-0000E95C0000}"/>
    <cellStyle name="Normal 4 2 4 2 2 3" xfId="26453" xr:uid="{00000000-0005-0000-0000-0000EA5C0000}"/>
    <cellStyle name="Normal 4 2 4 2 3" xfId="12514" xr:uid="{00000000-0005-0000-0000-0000EB5C0000}"/>
    <cellStyle name="Normal 4 2 4 2 4" xfId="21840" xr:uid="{00000000-0005-0000-0000-0000EC5C0000}"/>
    <cellStyle name="Normal 4 2 4 3" xfId="4783" xr:uid="{00000000-0005-0000-0000-0000ED5C0000}"/>
    <cellStyle name="Normal 4 2 4 3 2" xfId="14107" xr:uid="{00000000-0005-0000-0000-0000EE5C0000}"/>
    <cellStyle name="Normal 4 2 4 3 3" xfId="23430" xr:uid="{00000000-0005-0000-0000-0000EF5C0000}"/>
    <cellStyle name="Normal 4 2 4 4" xfId="10908" xr:uid="{00000000-0005-0000-0000-0000F05C0000}"/>
    <cellStyle name="Normal 4 2 4 5" xfId="20232" xr:uid="{00000000-0005-0000-0000-0000F15C0000}"/>
    <cellStyle name="Normal 4 2 5" xfId="2529" xr:uid="{00000000-0005-0000-0000-0000F25C0000}"/>
    <cellStyle name="Normal 4 2 6" xfId="1322" xr:uid="{00000000-0005-0000-0000-0000F35C0000}"/>
    <cellStyle name="Normal 4 2 6 2" xfId="5822" xr:uid="{00000000-0005-0000-0000-0000F45C0000}"/>
    <cellStyle name="Normal 4 2 6 2 2" xfId="15146" xr:uid="{00000000-0005-0000-0000-0000F55C0000}"/>
    <cellStyle name="Normal 4 2 6 2 3" xfId="24469" xr:uid="{00000000-0005-0000-0000-0000F65C0000}"/>
    <cellStyle name="Normal 4 2 6 3" xfId="10901" xr:uid="{00000000-0005-0000-0000-0000F75C0000}"/>
    <cellStyle name="Normal 4 2 6 4" xfId="20225" xr:uid="{00000000-0005-0000-0000-0000F85C0000}"/>
    <cellStyle name="Normal 4 2 7" xfId="3120" xr:uid="{00000000-0005-0000-0000-0000F95C0000}"/>
    <cellStyle name="Normal 4 2 7 2" xfId="7799" xr:uid="{00000000-0005-0000-0000-0000FA5C0000}"/>
    <cellStyle name="Normal 4 2 7 2 2" xfId="17123" xr:uid="{00000000-0005-0000-0000-0000FB5C0000}"/>
    <cellStyle name="Normal 4 2 7 2 3" xfId="26446" xr:uid="{00000000-0005-0000-0000-0000FC5C0000}"/>
    <cellStyle name="Normal 4 2 7 3" xfId="12507" xr:uid="{00000000-0005-0000-0000-0000FD5C0000}"/>
    <cellStyle name="Normal 4 2 7 4" xfId="21833" xr:uid="{00000000-0005-0000-0000-0000FE5C0000}"/>
    <cellStyle name="Normal 4 2 8" xfId="4776" xr:uid="{00000000-0005-0000-0000-0000FF5C0000}"/>
    <cellStyle name="Normal 4 2 8 2" xfId="14100" xr:uid="{00000000-0005-0000-0000-0000005D0000}"/>
    <cellStyle name="Normal 4 2 8 3" xfId="23423" xr:uid="{00000000-0005-0000-0000-0000015D0000}"/>
    <cellStyle name="Normal 4 2 9" xfId="28763" xr:uid="{00000000-0005-0000-0000-0000025D0000}"/>
    <cellStyle name="Normal 4 3" xfId="276" xr:uid="{00000000-0005-0000-0000-0000035D0000}"/>
    <cellStyle name="Normal 4 3 2" xfId="1331" xr:uid="{00000000-0005-0000-0000-0000045D0000}"/>
    <cellStyle name="Normal 4 3 2 2" xfId="1332" xr:uid="{00000000-0005-0000-0000-0000055D0000}"/>
    <cellStyle name="Normal 4 3 2 2 2" xfId="2533" xr:uid="{00000000-0005-0000-0000-0000065D0000}"/>
    <cellStyle name="Normal 4 3 2 2 2 2" xfId="4223" xr:uid="{00000000-0005-0000-0000-0000075D0000}"/>
    <cellStyle name="Normal 4 3 2 2 2 2 2" xfId="8900" xr:uid="{00000000-0005-0000-0000-0000085D0000}"/>
    <cellStyle name="Normal 4 3 2 2 2 2 2 2" xfId="18224" xr:uid="{00000000-0005-0000-0000-0000095D0000}"/>
    <cellStyle name="Normal 4 3 2 2 2 2 2 3" xfId="27547" xr:uid="{00000000-0005-0000-0000-00000A5D0000}"/>
    <cellStyle name="Normal 4 3 2 2 2 2 3" xfId="13557" xr:uid="{00000000-0005-0000-0000-00000B5D0000}"/>
    <cellStyle name="Normal 4 3 2 2 2 2 4" xfId="22881" xr:uid="{00000000-0005-0000-0000-00000C5D0000}"/>
    <cellStyle name="Normal 4 3 2 2 2 3" xfId="5957" xr:uid="{00000000-0005-0000-0000-00000D5D0000}"/>
    <cellStyle name="Normal 4 3 2 2 2 3 2" xfId="15281" xr:uid="{00000000-0005-0000-0000-00000E5D0000}"/>
    <cellStyle name="Normal 4 3 2 2 2 3 3" xfId="24604" xr:uid="{00000000-0005-0000-0000-00000F5D0000}"/>
    <cellStyle name="Normal 4 3 2 2 2 4" xfId="12002" xr:uid="{00000000-0005-0000-0000-0000105D0000}"/>
    <cellStyle name="Normal 4 3 2 2 2 5" xfId="21328" xr:uid="{00000000-0005-0000-0000-0000115D0000}"/>
    <cellStyle name="Normal 4 3 2 2 3" xfId="3130" xr:uid="{00000000-0005-0000-0000-0000125D0000}"/>
    <cellStyle name="Normal 4 3 2 2 3 2" xfId="7809" xr:uid="{00000000-0005-0000-0000-0000135D0000}"/>
    <cellStyle name="Normal 4 3 2 2 3 2 2" xfId="17133" xr:uid="{00000000-0005-0000-0000-0000145D0000}"/>
    <cellStyle name="Normal 4 3 2 2 3 2 3" xfId="26456" xr:uid="{00000000-0005-0000-0000-0000155D0000}"/>
    <cellStyle name="Normal 4 3 2 2 3 3" xfId="12517" xr:uid="{00000000-0005-0000-0000-0000165D0000}"/>
    <cellStyle name="Normal 4 3 2 2 3 4" xfId="21843" xr:uid="{00000000-0005-0000-0000-0000175D0000}"/>
    <cellStyle name="Normal 4 3 2 2 4" xfId="4786" xr:uid="{00000000-0005-0000-0000-0000185D0000}"/>
    <cellStyle name="Normal 4 3 2 2 4 2" xfId="14110" xr:uid="{00000000-0005-0000-0000-0000195D0000}"/>
    <cellStyle name="Normal 4 3 2 2 4 3" xfId="23433" xr:uid="{00000000-0005-0000-0000-00001A5D0000}"/>
    <cellStyle name="Normal 4 3 2 2 5" xfId="10911" xr:uid="{00000000-0005-0000-0000-00001B5D0000}"/>
    <cellStyle name="Normal 4 3 2 2 6" xfId="20235" xr:uid="{00000000-0005-0000-0000-00001C5D0000}"/>
    <cellStyle name="Normal 4 3 2 3" xfId="2532" xr:uid="{00000000-0005-0000-0000-00001D5D0000}"/>
    <cellStyle name="Normal 4 3 2 3 2" xfId="4222" xr:uid="{00000000-0005-0000-0000-00001E5D0000}"/>
    <cellStyle name="Normal 4 3 2 3 2 2" xfId="8899" xr:uid="{00000000-0005-0000-0000-00001F5D0000}"/>
    <cellStyle name="Normal 4 3 2 3 2 2 2" xfId="18223" xr:uid="{00000000-0005-0000-0000-0000205D0000}"/>
    <cellStyle name="Normal 4 3 2 3 2 2 3" xfId="27546" xr:uid="{00000000-0005-0000-0000-0000215D0000}"/>
    <cellStyle name="Normal 4 3 2 3 2 3" xfId="13556" xr:uid="{00000000-0005-0000-0000-0000225D0000}"/>
    <cellStyle name="Normal 4 3 2 3 2 4" xfId="22880" xr:uid="{00000000-0005-0000-0000-0000235D0000}"/>
    <cellStyle name="Normal 4 3 2 3 3" xfId="5956" xr:uid="{00000000-0005-0000-0000-0000245D0000}"/>
    <cellStyle name="Normal 4 3 2 3 3 2" xfId="15280" xr:uid="{00000000-0005-0000-0000-0000255D0000}"/>
    <cellStyle name="Normal 4 3 2 3 3 3" xfId="24603" xr:uid="{00000000-0005-0000-0000-0000265D0000}"/>
    <cellStyle name="Normal 4 3 2 3 4" xfId="12001" xr:uid="{00000000-0005-0000-0000-0000275D0000}"/>
    <cellStyle name="Normal 4 3 2 3 5" xfId="21327" xr:uid="{00000000-0005-0000-0000-0000285D0000}"/>
    <cellStyle name="Normal 4 3 2 4" xfId="3129" xr:uid="{00000000-0005-0000-0000-0000295D0000}"/>
    <cellStyle name="Normal 4 3 2 4 2" xfId="7808" xr:uid="{00000000-0005-0000-0000-00002A5D0000}"/>
    <cellStyle name="Normal 4 3 2 4 2 2" xfId="17132" xr:uid="{00000000-0005-0000-0000-00002B5D0000}"/>
    <cellStyle name="Normal 4 3 2 4 2 3" xfId="26455" xr:uid="{00000000-0005-0000-0000-00002C5D0000}"/>
    <cellStyle name="Normal 4 3 2 4 3" xfId="12516" xr:uid="{00000000-0005-0000-0000-00002D5D0000}"/>
    <cellStyle name="Normal 4 3 2 4 4" xfId="21842" xr:uid="{00000000-0005-0000-0000-00002E5D0000}"/>
    <cellStyle name="Normal 4 3 2 5" xfId="4785" xr:uid="{00000000-0005-0000-0000-00002F5D0000}"/>
    <cellStyle name="Normal 4 3 2 5 2" xfId="14109" xr:uid="{00000000-0005-0000-0000-0000305D0000}"/>
    <cellStyle name="Normal 4 3 2 5 3" xfId="23432" xr:uid="{00000000-0005-0000-0000-0000315D0000}"/>
    <cellStyle name="Normal 4 3 2 6" xfId="10910" xr:uid="{00000000-0005-0000-0000-0000325D0000}"/>
    <cellStyle name="Normal 4 3 2 7" xfId="20234" xr:uid="{00000000-0005-0000-0000-0000335D0000}"/>
    <cellStyle name="Normal 4 3 3" xfId="1333" xr:uid="{00000000-0005-0000-0000-0000345D0000}"/>
    <cellStyle name="Normal 4 3 3 2" xfId="2534" xr:uid="{00000000-0005-0000-0000-0000355D0000}"/>
    <cellStyle name="Normal 4 3 3 2 2" xfId="4224" xr:uid="{00000000-0005-0000-0000-0000365D0000}"/>
    <cellStyle name="Normal 4 3 3 2 2 2" xfId="8901" xr:uid="{00000000-0005-0000-0000-0000375D0000}"/>
    <cellStyle name="Normal 4 3 3 2 2 2 2" xfId="18225" xr:uid="{00000000-0005-0000-0000-0000385D0000}"/>
    <cellStyle name="Normal 4 3 3 2 2 2 3" xfId="27548" xr:uid="{00000000-0005-0000-0000-0000395D0000}"/>
    <cellStyle name="Normal 4 3 3 2 2 3" xfId="13558" xr:uid="{00000000-0005-0000-0000-00003A5D0000}"/>
    <cellStyle name="Normal 4 3 3 2 2 4" xfId="22882" xr:uid="{00000000-0005-0000-0000-00003B5D0000}"/>
    <cellStyle name="Normal 4 3 3 2 3" xfId="5958" xr:uid="{00000000-0005-0000-0000-00003C5D0000}"/>
    <cellStyle name="Normal 4 3 3 2 3 2" xfId="15282" xr:uid="{00000000-0005-0000-0000-00003D5D0000}"/>
    <cellStyle name="Normal 4 3 3 2 3 3" xfId="24605" xr:uid="{00000000-0005-0000-0000-00003E5D0000}"/>
    <cellStyle name="Normal 4 3 3 2 4" xfId="12003" xr:uid="{00000000-0005-0000-0000-00003F5D0000}"/>
    <cellStyle name="Normal 4 3 3 2 5" xfId="21329" xr:uid="{00000000-0005-0000-0000-0000405D0000}"/>
    <cellStyle name="Normal 4 3 3 3" xfId="3131" xr:uid="{00000000-0005-0000-0000-0000415D0000}"/>
    <cellStyle name="Normal 4 3 3 3 2" xfId="7810" xr:uid="{00000000-0005-0000-0000-0000425D0000}"/>
    <cellStyle name="Normal 4 3 3 3 2 2" xfId="17134" xr:uid="{00000000-0005-0000-0000-0000435D0000}"/>
    <cellStyle name="Normal 4 3 3 3 2 3" xfId="26457" xr:uid="{00000000-0005-0000-0000-0000445D0000}"/>
    <cellStyle name="Normal 4 3 3 3 3" xfId="12518" xr:uid="{00000000-0005-0000-0000-0000455D0000}"/>
    <cellStyle name="Normal 4 3 3 3 4" xfId="21844" xr:uid="{00000000-0005-0000-0000-0000465D0000}"/>
    <cellStyle name="Normal 4 3 3 4" xfId="4787" xr:uid="{00000000-0005-0000-0000-0000475D0000}"/>
    <cellStyle name="Normal 4 3 3 4 2" xfId="14111" xr:uid="{00000000-0005-0000-0000-0000485D0000}"/>
    <cellStyle name="Normal 4 3 3 4 3" xfId="23434" xr:uid="{00000000-0005-0000-0000-0000495D0000}"/>
    <cellStyle name="Normal 4 3 3 5" xfId="10912" xr:uid="{00000000-0005-0000-0000-00004A5D0000}"/>
    <cellStyle name="Normal 4 3 3 6" xfId="20236" xr:uid="{00000000-0005-0000-0000-00004B5D0000}"/>
    <cellStyle name="Normal 4 3 4" xfId="2535" xr:uid="{00000000-0005-0000-0000-00004C5D0000}"/>
    <cellStyle name="Normal 4 3 4 2" xfId="4225" xr:uid="{00000000-0005-0000-0000-00004D5D0000}"/>
    <cellStyle name="Normal 4 3 4 2 2" xfId="8902" xr:uid="{00000000-0005-0000-0000-00004E5D0000}"/>
    <cellStyle name="Normal 4 3 4 2 2 2" xfId="18226" xr:uid="{00000000-0005-0000-0000-00004F5D0000}"/>
    <cellStyle name="Normal 4 3 4 2 2 3" xfId="27549" xr:uid="{00000000-0005-0000-0000-0000505D0000}"/>
    <cellStyle name="Normal 4 3 4 2 3" xfId="13559" xr:uid="{00000000-0005-0000-0000-0000515D0000}"/>
    <cellStyle name="Normal 4 3 4 2 4" xfId="22883" xr:uid="{00000000-0005-0000-0000-0000525D0000}"/>
    <cellStyle name="Normal 4 3 4 3" xfId="5959" xr:uid="{00000000-0005-0000-0000-0000535D0000}"/>
    <cellStyle name="Normal 4 3 4 3 2" xfId="15283" xr:uid="{00000000-0005-0000-0000-0000545D0000}"/>
    <cellStyle name="Normal 4 3 4 3 3" xfId="24606" xr:uid="{00000000-0005-0000-0000-0000555D0000}"/>
    <cellStyle name="Normal 4 3 4 4" xfId="12004" xr:uid="{00000000-0005-0000-0000-0000565D0000}"/>
    <cellStyle name="Normal 4 3 4 5" xfId="21330" xr:uid="{00000000-0005-0000-0000-0000575D0000}"/>
    <cellStyle name="Normal 4 3 5" xfId="2536" xr:uid="{00000000-0005-0000-0000-0000585D0000}"/>
    <cellStyle name="Normal 4 3 5 2" xfId="4226" xr:uid="{00000000-0005-0000-0000-0000595D0000}"/>
    <cellStyle name="Normal 4 3 5 2 2" xfId="8903" xr:uid="{00000000-0005-0000-0000-00005A5D0000}"/>
    <cellStyle name="Normal 4 3 5 2 2 2" xfId="18227" xr:uid="{00000000-0005-0000-0000-00005B5D0000}"/>
    <cellStyle name="Normal 4 3 5 2 2 3" xfId="27550" xr:uid="{00000000-0005-0000-0000-00005C5D0000}"/>
    <cellStyle name="Normal 4 3 5 2 3" xfId="13560" xr:uid="{00000000-0005-0000-0000-00005D5D0000}"/>
    <cellStyle name="Normal 4 3 5 2 4" xfId="22884" xr:uid="{00000000-0005-0000-0000-00005E5D0000}"/>
    <cellStyle name="Normal 4 3 5 3" xfId="5960" xr:uid="{00000000-0005-0000-0000-00005F5D0000}"/>
    <cellStyle name="Normal 4 3 5 3 2" xfId="15284" xr:uid="{00000000-0005-0000-0000-0000605D0000}"/>
    <cellStyle name="Normal 4 3 5 3 3" xfId="24607" xr:uid="{00000000-0005-0000-0000-0000615D0000}"/>
    <cellStyle name="Normal 4 3 5 4" xfId="12005" xr:uid="{00000000-0005-0000-0000-0000625D0000}"/>
    <cellStyle name="Normal 4 3 5 5" xfId="21331" xr:uid="{00000000-0005-0000-0000-0000635D0000}"/>
    <cellStyle name="Normal 4 3 6" xfId="2531" xr:uid="{00000000-0005-0000-0000-0000645D0000}"/>
    <cellStyle name="Normal 4 3 6 2" xfId="4221" xr:uid="{00000000-0005-0000-0000-0000655D0000}"/>
    <cellStyle name="Normal 4 3 6 2 2" xfId="8898" xr:uid="{00000000-0005-0000-0000-0000665D0000}"/>
    <cellStyle name="Normal 4 3 6 2 2 2" xfId="18222" xr:uid="{00000000-0005-0000-0000-0000675D0000}"/>
    <cellStyle name="Normal 4 3 6 2 2 3" xfId="27545" xr:uid="{00000000-0005-0000-0000-0000685D0000}"/>
    <cellStyle name="Normal 4 3 6 2 3" xfId="13555" xr:uid="{00000000-0005-0000-0000-0000695D0000}"/>
    <cellStyle name="Normal 4 3 6 2 4" xfId="22879" xr:uid="{00000000-0005-0000-0000-00006A5D0000}"/>
    <cellStyle name="Normal 4 3 6 3" xfId="5955" xr:uid="{00000000-0005-0000-0000-00006B5D0000}"/>
    <cellStyle name="Normal 4 3 6 3 2" xfId="15279" xr:uid="{00000000-0005-0000-0000-00006C5D0000}"/>
    <cellStyle name="Normal 4 3 6 3 3" xfId="24602" xr:uid="{00000000-0005-0000-0000-00006D5D0000}"/>
    <cellStyle name="Normal 4 3 6 4" xfId="12000" xr:uid="{00000000-0005-0000-0000-00006E5D0000}"/>
    <cellStyle name="Normal 4 3 6 5" xfId="21326" xr:uid="{00000000-0005-0000-0000-00006F5D0000}"/>
    <cellStyle name="Normal 4 3 7" xfId="1330" xr:uid="{00000000-0005-0000-0000-0000705D0000}"/>
    <cellStyle name="Normal 4 3 7 2" xfId="6662" xr:uid="{00000000-0005-0000-0000-0000715D0000}"/>
    <cellStyle name="Normal 4 3 7 2 2" xfId="15986" xr:uid="{00000000-0005-0000-0000-0000725D0000}"/>
    <cellStyle name="Normal 4 3 7 2 3" xfId="25309" xr:uid="{00000000-0005-0000-0000-0000735D0000}"/>
    <cellStyle name="Normal 4 3 7 3" xfId="10909" xr:uid="{00000000-0005-0000-0000-0000745D0000}"/>
    <cellStyle name="Normal 4 3 7 4" xfId="20233" xr:uid="{00000000-0005-0000-0000-0000755D0000}"/>
    <cellStyle name="Normal 4 3 8" xfId="3128" xr:uid="{00000000-0005-0000-0000-0000765D0000}"/>
    <cellStyle name="Normal 4 3 8 2" xfId="7807" xr:uid="{00000000-0005-0000-0000-0000775D0000}"/>
    <cellStyle name="Normal 4 3 8 2 2" xfId="17131" xr:uid="{00000000-0005-0000-0000-0000785D0000}"/>
    <cellStyle name="Normal 4 3 8 2 3" xfId="26454" xr:uid="{00000000-0005-0000-0000-0000795D0000}"/>
    <cellStyle name="Normal 4 3 8 3" xfId="12515" xr:uid="{00000000-0005-0000-0000-00007A5D0000}"/>
    <cellStyle name="Normal 4 3 8 4" xfId="21841" xr:uid="{00000000-0005-0000-0000-00007B5D0000}"/>
    <cellStyle name="Normal 4 3 9" xfId="4784" xr:uid="{00000000-0005-0000-0000-00007C5D0000}"/>
    <cellStyle name="Normal 4 3 9 2" xfId="14108" xr:uid="{00000000-0005-0000-0000-00007D5D0000}"/>
    <cellStyle name="Normal 4 3 9 3" xfId="23431" xr:uid="{00000000-0005-0000-0000-00007E5D0000}"/>
    <cellStyle name="Normal 4 4" xfId="1108" xr:uid="{00000000-0005-0000-0000-00007F5D0000}"/>
    <cellStyle name="Normal 4 4 10" xfId="20033" xr:uid="{00000000-0005-0000-0000-0000805D0000}"/>
    <cellStyle name="Normal 4 4 2" xfId="1335" xr:uid="{00000000-0005-0000-0000-0000815D0000}"/>
    <cellStyle name="Normal 4 4 2 2" xfId="2538" xr:uid="{00000000-0005-0000-0000-0000825D0000}"/>
    <cellStyle name="Normal 4 4 2 3" xfId="3133" xr:uid="{00000000-0005-0000-0000-0000835D0000}"/>
    <cellStyle name="Normal 4 4 2 3 2" xfId="7812" xr:uid="{00000000-0005-0000-0000-0000845D0000}"/>
    <cellStyle name="Normal 4 4 2 3 2 2" xfId="17136" xr:uid="{00000000-0005-0000-0000-0000855D0000}"/>
    <cellStyle name="Normal 4 4 2 3 2 3" xfId="26459" xr:uid="{00000000-0005-0000-0000-0000865D0000}"/>
    <cellStyle name="Normal 4 4 2 3 3" xfId="12520" xr:uid="{00000000-0005-0000-0000-0000875D0000}"/>
    <cellStyle name="Normal 4 4 2 3 4" xfId="21846" xr:uid="{00000000-0005-0000-0000-0000885D0000}"/>
    <cellStyle name="Normal 4 4 2 4" xfId="4789" xr:uid="{00000000-0005-0000-0000-0000895D0000}"/>
    <cellStyle name="Normal 4 4 2 4 2" xfId="14113" xr:uid="{00000000-0005-0000-0000-00008A5D0000}"/>
    <cellStyle name="Normal 4 4 2 4 3" xfId="23436" xr:uid="{00000000-0005-0000-0000-00008B5D0000}"/>
    <cellStyle name="Normal 4 4 2 5" xfId="10914" xr:uid="{00000000-0005-0000-0000-00008C5D0000}"/>
    <cellStyle name="Normal 4 4 2 6" xfId="20238" xr:uid="{00000000-0005-0000-0000-00008D5D0000}"/>
    <cellStyle name="Normal 4 4 3" xfId="2537" xr:uid="{00000000-0005-0000-0000-00008E5D0000}"/>
    <cellStyle name="Normal 4 4 4" xfId="1334" xr:uid="{00000000-0005-0000-0000-00008F5D0000}"/>
    <cellStyle name="Normal 4 4 4 2" xfId="5825" xr:uid="{00000000-0005-0000-0000-0000905D0000}"/>
    <cellStyle name="Normal 4 4 4 2 2" xfId="15149" xr:uid="{00000000-0005-0000-0000-0000915D0000}"/>
    <cellStyle name="Normal 4 4 4 2 3" xfId="24472" xr:uid="{00000000-0005-0000-0000-0000925D0000}"/>
    <cellStyle name="Normal 4 4 4 3" xfId="10913" xr:uid="{00000000-0005-0000-0000-0000935D0000}"/>
    <cellStyle name="Normal 4 4 4 4" xfId="20237" xr:uid="{00000000-0005-0000-0000-0000945D0000}"/>
    <cellStyle name="Normal 4 4 5" xfId="2927" xr:uid="{00000000-0005-0000-0000-0000955D0000}"/>
    <cellStyle name="Normal 4 4 5 2" xfId="7609" xr:uid="{00000000-0005-0000-0000-0000965D0000}"/>
    <cellStyle name="Normal 4 4 5 2 2" xfId="16933" xr:uid="{00000000-0005-0000-0000-0000975D0000}"/>
    <cellStyle name="Normal 4 4 5 2 3" xfId="26256" xr:uid="{00000000-0005-0000-0000-0000985D0000}"/>
    <cellStyle name="Normal 4 4 5 3" xfId="12332" xr:uid="{00000000-0005-0000-0000-0000995D0000}"/>
    <cellStyle name="Normal 4 4 5 4" xfId="21658" xr:uid="{00000000-0005-0000-0000-00009A5D0000}"/>
    <cellStyle name="Normal 4 4 6" xfId="3132" xr:uid="{00000000-0005-0000-0000-00009B5D0000}"/>
    <cellStyle name="Normal 4 4 6 2" xfId="7811" xr:uid="{00000000-0005-0000-0000-00009C5D0000}"/>
    <cellStyle name="Normal 4 4 6 2 2" xfId="17135" xr:uid="{00000000-0005-0000-0000-00009D5D0000}"/>
    <cellStyle name="Normal 4 4 6 2 3" xfId="26458" xr:uid="{00000000-0005-0000-0000-00009E5D0000}"/>
    <cellStyle name="Normal 4 4 6 3" xfId="12519" xr:uid="{00000000-0005-0000-0000-00009F5D0000}"/>
    <cellStyle name="Normal 4 4 6 4" xfId="21845" xr:uid="{00000000-0005-0000-0000-0000A05D0000}"/>
    <cellStyle name="Normal 4 4 7" xfId="4788" xr:uid="{00000000-0005-0000-0000-0000A15D0000}"/>
    <cellStyle name="Normal 4 4 7 2" xfId="14112" xr:uid="{00000000-0005-0000-0000-0000A25D0000}"/>
    <cellStyle name="Normal 4 4 7 3" xfId="23435" xr:uid="{00000000-0005-0000-0000-0000A35D0000}"/>
    <cellStyle name="Normal 4 4 8" xfId="6719" xr:uid="{00000000-0005-0000-0000-0000A45D0000}"/>
    <cellStyle name="Normal 4 4 8 2" xfId="16043" xr:uid="{00000000-0005-0000-0000-0000A55D0000}"/>
    <cellStyle name="Normal 4 4 8 3" xfId="25366" xr:uid="{00000000-0005-0000-0000-0000A65D0000}"/>
    <cellStyle name="Normal 4 4 9" xfId="10709" xr:uid="{00000000-0005-0000-0000-0000A75D0000}"/>
    <cellStyle name="Normal 4 5" xfId="1119" xr:uid="{00000000-0005-0000-0000-0000A85D0000}"/>
    <cellStyle name="Normal 4 5 2" xfId="1336" xr:uid="{00000000-0005-0000-0000-0000A95D0000}"/>
    <cellStyle name="Normal 4 5 2 2" xfId="6661" xr:uid="{00000000-0005-0000-0000-0000AA5D0000}"/>
    <cellStyle name="Normal 4 5 2 2 2" xfId="15985" xr:uid="{00000000-0005-0000-0000-0000AB5D0000}"/>
    <cellStyle name="Normal 4 5 2 2 3" xfId="25308" xr:uid="{00000000-0005-0000-0000-0000AC5D0000}"/>
    <cellStyle name="Normal 4 5 2 3" xfId="10915" xr:uid="{00000000-0005-0000-0000-0000AD5D0000}"/>
    <cellStyle name="Normal 4 5 2 4" xfId="20239" xr:uid="{00000000-0005-0000-0000-0000AE5D0000}"/>
    <cellStyle name="Normal 4 5 3" xfId="3134" xr:uid="{00000000-0005-0000-0000-0000AF5D0000}"/>
    <cellStyle name="Normal 4 5 3 2" xfId="7813" xr:uid="{00000000-0005-0000-0000-0000B05D0000}"/>
    <cellStyle name="Normal 4 5 3 2 2" xfId="17137" xr:uid="{00000000-0005-0000-0000-0000B15D0000}"/>
    <cellStyle name="Normal 4 5 3 2 3" xfId="26460" xr:uid="{00000000-0005-0000-0000-0000B25D0000}"/>
    <cellStyle name="Normal 4 5 3 3" xfId="12521" xr:uid="{00000000-0005-0000-0000-0000B35D0000}"/>
    <cellStyle name="Normal 4 5 3 4" xfId="21847" xr:uid="{00000000-0005-0000-0000-0000B45D0000}"/>
    <cellStyle name="Normal 4 5 4" xfId="4790" xr:uid="{00000000-0005-0000-0000-0000B55D0000}"/>
    <cellStyle name="Normal 4 5 4 2" xfId="14114" xr:uid="{00000000-0005-0000-0000-0000B65D0000}"/>
    <cellStyle name="Normal 4 5 4 3" xfId="23437" xr:uid="{00000000-0005-0000-0000-0000B75D0000}"/>
    <cellStyle name="Normal 4 5 5" xfId="6322" xr:uid="{00000000-0005-0000-0000-0000B85D0000}"/>
    <cellStyle name="Normal 4 5 5 2" xfId="15646" xr:uid="{00000000-0005-0000-0000-0000B95D0000}"/>
    <cellStyle name="Normal 4 5 5 3" xfId="24969" xr:uid="{00000000-0005-0000-0000-0000BA5D0000}"/>
    <cellStyle name="Normal 4 5 6" xfId="10718" xr:uid="{00000000-0005-0000-0000-0000BB5D0000}"/>
    <cellStyle name="Normal 4 5 7" xfId="20042" xr:uid="{00000000-0005-0000-0000-0000BC5D0000}"/>
    <cellStyle name="Normal 4 6" xfId="1165" xr:uid="{00000000-0005-0000-0000-0000BD5D0000}"/>
    <cellStyle name="Normal 4 6 2" xfId="2979" xr:uid="{00000000-0005-0000-0000-0000BE5D0000}"/>
    <cellStyle name="Normal 4 6 2 2" xfId="7658" xr:uid="{00000000-0005-0000-0000-0000BF5D0000}"/>
    <cellStyle name="Normal 4 6 2 2 2" xfId="16982" xr:uid="{00000000-0005-0000-0000-0000C05D0000}"/>
    <cellStyle name="Normal 4 6 2 2 3" xfId="26305" xr:uid="{00000000-0005-0000-0000-0000C15D0000}"/>
    <cellStyle name="Normal 4 6 2 3" xfId="12372" xr:uid="{00000000-0005-0000-0000-0000C25D0000}"/>
    <cellStyle name="Normal 4 6 2 4" xfId="21698" xr:uid="{00000000-0005-0000-0000-0000C35D0000}"/>
    <cellStyle name="Normal 4 6 3" xfId="4628" xr:uid="{00000000-0005-0000-0000-0000C45D0000}"/>
    <cellStyle name="Normal 4 6 3 2" xfId="13952" xr:uid="{00000000-0005-0000-0000-0000C55D0000}"/>
    <cellStyle name="Normal 4 6 3 3" xfId="23275" xr:uid="{00000000-0005-0000-0000-0000C65D0000}"/>
    <cellStyle name="Normal 4 6 4" xfId="10760" xr:uid="{00000000-0005-0000-0000-0000C75D0000}"/>
    <cellStyle name="Normal 4 6 5" xfId="20084" xr:uid="{00000000-0005-0000-0000-0000C85D0000}"/>
    <cellStyle name="Normal 4 7" xfId="2528" xr:uid="{00000000-0005-0000-0000-0000C95D0000}"/>
    <cellStyle name="Normal 4 8" xfId="2917" xr:uid="{00000000-0005-0000-0000-0000CA5D0000}"/>
    <cellStyle name="Normal 4 8 2" xfId="4551" xr:uid="{00000000-0005-0000-0000-0000CB5D0000}"/>
    <cellStyle name="Normal 4 8 2 2" xfId="9228" xr:uid="{00000000-0005-0000-0000-0000CC5D0000}"/>
    <cellStyle name="Normal 4 8 2 2 2" xfId="18552" xr:uid="{00000000-0005-0000-0000-0000CD5D0000}"/>
    <cellStyle name="Normal 4 8 2 2 3" xfId="27875" xr:uid="{00000000-0005-0000-0000-0000CE5D0000}"/>
    <cellStyle name="Normal 4 8 2 3" xfId="13875" xr:uid="{00000000-0005-0000-0000-0000CF5D0000}"/>
    <cellStyle name="Normal 4 8 2 4" xfId="23199" xr:uid="{00000000-0005-0000-0000-0000D05D0000}"/>
    <cellStyle name="Normal 4 8 3" xfId="6326" xr:uid="{00000000-0005-0000-0000-0000D15D0000}"/>
    <cellStyle name="Normal 4 8 3 2" xfId="15650" xr:uid="{00000000-0005-0000-0000-0000D25D0000}"/>
    <cellStyle name="Normal 4 8 3 3" xfId="24973" xr:uid="{00000000-0005-0000-0000-0000D35D0000}"/>
    <cellStyle name="Normal 4 8 4" xfId="12329" xr:uid="{00000000-0005-0000-0000-0000D45D0000}"/>
    <cellStyle name="Normal 4 8 5" xfId="21655" xr:uid="{00000000-0005-0000-0000-0000D55D0000}"/>
    <cellStyle name="Normal 4 9" xfId="2932" xr:uid="{00000000-0005-0000-0000-0000D65D0000}"/>
    <cellStyle name="Normal 4 9 2" xfId="7614" xr:uid="{00000000-0005-0000-0000-0000D75D0000}"/>
    <cellStyle name="Normal 4 9 2 2" xfId="16938" xr:uid="{00000000-0005-0000-0000-0000D85D0000}"/>
    <cellStyle name="Normal 4 9 2 3" xfId="26261" xr:uid="{00000000-0005-0000-0000-0000D95D0000}"/>
    <cellStyle name="Normal 4 9 3" xfId="12337" xr:uid="{00000000-0005-0000-0000-0000DA5D0000}"/>
    <cellStyle name="Normal 4 9 4" xfId="21663" xr:uid="{00000000-0005-0000-0000-0000DB5D0000}"/>
    <cellStyle name="Normal 40" xfId="2539" xr:uid="{00000000-0005-0000-0000-0000DC5D0000}"/>
    <cellStyle name="Normal 40 2" xfId="2540" xr:uid="{00000000-0005-0000-0000-0000DD5D0000}"/>
    <cellStyle name="Normal 40 2 2" xfId="2541" xr:uid="{00000000-0005-0000-0000-0000DE5D0000}"/>
    <cellStyle name="Normal 40 2 2 2" xfId="2542" xr:uid="{00000000-0005-0000-0000-0000DF5D0000}"/>
    <cellStyle name="Normal 40 2 2 2 2" xfId="2543" xr:uid="{00000000-0005-0000-0000-0000E05D0000}"/>
    <cellStyle name="Normal 40 2 2 2 2 2" xfId="4231" xr:uid="{00000000-0005-0000-0000-0000E15D0000}"/>
    <cellStyle name="Normal 40 2 2 2 2 2 2" xfId="8908" xr:uid="{00000000-0005-0000-0000-0000E25D0000}"/>
    <cellStyle name="Normal 40 2 2 2 2 2 2 2" xfId="18232" xr:uid="{00000000-0005-0000-0000-0000E35D0000}"/>
    <cellStyle name="Normal 40 2 2 2 2 2 2 3" xfId="27555" xr:uid="{00000000-0005-0000-0000-0000E45D0000}"/>
    <cellStyle name="Normal 40 2 2 2 2 2 3" xfId="13565" xr:uid="{00000000-0005-0000-0000-0000E55D0000}"/>
    <cellStyle name="Normal 40 2 2 2 2 2 4" xfId="22889" xr:uid="{00000000-0005-0000-0000-0000E65D0000}"/>
    <cellStyle name="Normal 40 2 2 2 2 3" xfId="5965" xr:uid="{00000000-0005-0000-0000-0000E75D0000}"/>
    <cellStyle name="Normal 40 2 2 2 2 3 2" xfId="15289" xr:uid="{00000000-0005-0000-0000-0000E85D0000}"/>
    <cellStyle name="Normal 40 2 2 2 2 3 3" xfId="24612" xr:uid="{00000000-0005-0000-0000-0000E95D0000}"/>
    <cellStyle name="Normal 40 2 2 2 2 4" xfId="12010" xr:uid="{00000000-0005-0000-0000-0000EA5D0000}"/>
    <cellStyle name="Normal 40 2 2 2 2 5" xfId="21336" xr:uid="{00000000-0005-0000-0000-0000EB5D0000}"/>
    <cellStyle name="Normal 40 2 2 2 3" xfId="4230" xr:uid="{00000000-0005-0000-0000-0000EC5D0000}"/>
    <cellStyle name="Normal 40 2 2 2 3 2" xfId="8907" xr:uid="{00000000-0005-0000-0000-0000ED5D0000}"/>
    <cellStyle name="Normal 40 2 2 2 3 2 2" xfId="18231" xr:uid="{00000000-0005-0000-0000-0000EE5D0000}"/>
    <cellStyle name="Normal 40 2 2 2 3 2 3" xfId="27554" xr:uid="{00000000-0005-0000-0000-0000EF5D0000}"/>
    <cellStyle name="Normal 40 2 2 2 3 3" xfId="13564" xr:uid="{00000000-0005-0000-0000-0000F05D0000}"/>
    <cellStyle name="Normal 40 2 2 2 3 4" xfId="22888" xr:uid="{00000000-0005-0000-0000-0000F15D0000}"/>
    <cellStyle name="Normal 40 2 2 2 4" xfId="5964" xr:uid="{00000000-0005-0000-0000-0000F25D0000}"/>
    <cellStyle name="Normal 40 2 2 2 4 2" xfId="15288" xr:uid="{00000000-0005-0000-0000-0000F35D0000}"/>
    <cellStyle name="Normal 40 2 2 2 4 3" xfId="24611" xr:uid="{00000000-0005-0000-0000-0000F45D0000}"/>
    <cellStyle name="Normal 40 2 2 2 5" xfId="12009" xr:uid="{00000000-0005-0000-0000-0000F55D0000}"/>
    <cellStyle name="Normal 40 2 2 2 6" xfId="21335" xr:uid="{00000000-0005-0000-0000-0000F65D0000}"/>
    <cellStyle name="Normal 40 2 2 3" xfId="4229" xr:uid="{00000000-0005-0000-0000-0000F75D0000}"/>
    <cellStyle name="Normal 40 2 2 3 2" xfId="8906" xr:uid="{00000000-0005-0000-0000-0000F85D0000}"/>
    <cellStyle name="Normal 40 2 2 3 2 2" xfId="18230" xr:uid="{00000000-0005-0000-0000-0000F95D0000}"/>
    <cellStyle name="Normal 40 2 2 3 2 3" xfId="27553" xr:uid="{00000000-0005-0000-0000-0000FA5D0000}"/>
    <cellStyle name="Normal 40 2 2 3 3" xfId="13563" xr:uid="{00000000-0005-0000-0000-0000FB5D0000}"/>
    <cellStyle name="Normal 40 2 2 3 4" xfId="22887" xr:uid="{00000000-0005-0000-0000-0000FC5D0000}"/>
    <cellStyle name="Normal 40 2 2 4" xfId="5963" xr:uid="{00000000-0005-0000-0000-0000FD5D0000}"/>
    <cellStyle name="Normal 40 2 2 4 2" xfId="15287" xr:uid="{00000000-0005-0000-0000-0000FE5D0000}"/>
    <cellStyle name="Normal 40 2 2 4 3" xfId="24610" xr:uid="{00000000-0005-0000-0000-0000FF5D0000}"/>
    <cellStyle name="Normal 40 2 2 5" xfId="12008" xr:uid="{00000000-0005-0000-0000-0000005E0000}"/>
    <cellStyle name="Normal 40 2 2 6" xfId="21334" xr:uid="{00000000-0005-0000-0000-0000015E0000}"/>
    <cellStyle name="Normal 40 2 3" xfId="4228" xr:uid="{00000000-0005-0000-0000-0000025E0000}"/>
    <cellStyle name="Normal 40 2 3 2" xfId="8905" xr:uid="{00000000-0005-0000-0000-0000035E0000}"/>
    <cellStyle name="Normal 40 2 3 2 2" xfId="18229" xr:uid="{00000000-0005-0000-0000-0000045E0000}"/>
    <cellStyle name="Normal 40 2 3 2 3" xfId="27552" xr:uid="{00000000-0005-0000-0000-0000055E0000}"/>
    <cellStyle name="Normal 40 2 3 3" xfId="13562" xr:uid="{00000000-0005-0000-0000-0000065E0000}"/>
    <cellStyle name="Normal 40 2 3 4" xfId="22886" xr:uid="{00000000-0005-0000-0000-0000075E0000}"/>
    <cellStyle name="Normal 40 2 4" xfId="5962" xr:uid="{00000000-0005-0000-0000-0000085E0000}"/>
    <cellStyle name="Normal 40 2 4 2" xfId="15286" xr:uid="{00000000-0005-0000-0000-0000095E0000}"/>
    <cellStyle name="Normal 40 2 4 3" xfId="24609" xr:uid="{00000000-0005-0000-0000-00000A5E0000}"/>
    <cellStyle name="Normal 40 2 5" xfId="12007" xr:uid="{00000000-0005-0000-0000-00000B5E0000}"/>
    <cellStyle name="Normal 40 2 6" xfId="21333" xr:uid="{00000000-0005-0000-0000-00000C5E0000}"/>
    <cellStyle name="Normal 40 3" xfId="2544" xr:uid="{00000000-0005-0000-0000-00000D5E0000}"/>
    <cellStyle name="Normal 40 3 2" xfId="4232" xr:uid="{00000000-0005-0000-0000-00000E5E0000}"/>
    <cellStyle name="Normal 40 3 2 2" xfId="8909" xr:uid="{00000000-0005-0000-0000-00000F5E0000}"/>
    <cellStyle name="Normal 40 3 2 2 2" xfId="18233" xr:uid="{00000000-0005-0000-0000-0000105E0000}"/>
    <cellStyle name="Normal 40 3 2 2 3" xfId="27556" xr:uid="{00000000-0005-0000-0000-0000115E0000}"/>
    <cellStyle name="Normal 40 3 2 3" xfId="13566" xr:uid="{00000000-0005-0000-0000-0000125E0000}"/>
    <cellStyle name="Normal 40 3 2 4" xfId="22890" xr:uid="{00000000-0005-0000-0000-0000135E0000}"/>
    <cellStyle name="Normal 40 3 3" xfId="5966" xr:uid="{00000000-0005-0000-0000-0000145E0000}"/>
    <cellStyle name="Normal 40 3 3 2" xfId="15290" xr:uid="{00000000-0005-0000-0000-0000155E0000}"/>
    <cellStyle name="Normal 40 3 3 3" xfId="24613" xr:uid="{00000000-0005-0000-0000-0000165E0000}"/>
    <cellStyle name="Normal 40 3 4" xfId="12011" xr:uid="{00000000-0005-0000-0000-0000175E0000}"/>
    <cellStyle name="Normal 40 3 5" xfId="21337" xr:uid="{00000000-0005-0000-0000-0000185E0000}"/>
    <cellStyle name="Normal 40 4" xfId="4227" xr:uid="{00000000-0005-0000-0000-0000195E0000}"/>
    <cellStyle name="Normal 40 4 2" xfId="8904" xr:uid="{00000000-0005-0000-0000-00001A5E0000}"/>
    <cellStyle name="Normal 40 4 2 2" xfId="18228" xr:uid="{00000000-0005-0000-0000-00001B5E0000}"/>
    <cellStyle name="Normal 40 4 2 3" xfId="27551" xr:uid="{00000000-0005-0000-0000-00001C5E0000}"/>
    <cellStyle name="Normal 40 4 3" xfId="13561" xr:uid="{00000000-0005-0000-0000-00001D5E0000}"/>
    <cellStyle name="Normal 40 4 4" xfId="22885" xr:uid="{00000000-0005-0000-0000-00001E5E0000}"/>
    <cellStyle name="Normal 40 5" xfId="5961" xr:uid="{00000000-0005-0000-0000-00001F5E0000}"/>
    <cellStyle name="Normal 40 5 2" xfId="15285" xr:uid="{00000000-0005-0000-0000-0000205E0000}"/>
    <cellStyle name="Normal 40 5 3" xfId="24608" xr:uid="{00000000-0005-0000-0000-0000215E0000}"/>
    <cellStyle name="Normal 40 6" xfId="12006" xr:uid="{00000000-0005-0000-0000-0000225E0000}"/>
    <cellStyle name="Normal 40 7" xfId="21332" xr:uid="{00000000-0005-0000-0000-0000235E0000}"/>
    <cellStyle name="Normal 40 8" xfId="28863" xr:uid="{00000000-0005-0000-0000-0000245E0000}"/>
    <cellStyle name="Normal 41" xfId="2545" xr:uid="{00000000-0005-0000-0000-0000255E0000}"/>
    <cellStyle name="Normal 41 2" xfId="2546" xr:uid="{00000000-0005-0000-0000-0000265E0000}"/>
    <cellStyle name="Normal 41 2 2" xfId="2547" xr:uid="{00000000-0005-0000-0000-0000275E0000}"/>
    <cellStyle name="Normal 41 2 2 2" xfId="4235" xr:uid="{00000000-0005-0000-0000-0000285E0000}"/>
    <cellStyle name="Normal 41 2 2 2 2" xfId="8912" xr:uid="{00000000-0005-0000-0000-0000295E0000}"/>
    <cellStyle name="Normal 41 2 2 2 2 2" xfId="18236" xr:uid="{00000000-0005-0000-0000-00002A5E0000}"/>
    <cellStyle name="Normal 41 2 2 2 2 3" xfId="27559" xr:uid="{00000000-0005-0000-0000-00002B5E0000}"/>
    <cellStyle name="Normal 41 2 2 2 3" xfId="13569" xr:uid="{00000000-0005-0000-0000-00002C5E0000}"/>
    <cellStyle name="Normal 41 2 2 2 4" xfId="22893" xr:uid="{00000000-0005-0000-0000-00002D5E0000}"/>
    <cellStyle name="Normal 41 2 2 3" xfId="5969" xr:uid="{00000000-0005-0000-0000-00002E5E0000}"/>
    <cellStyle name="Normal 41 2 2 3 2" xfId="15293" xr:uid="{00000000-0005-0000-0000-00002F5E0000}"/>
    <cellStyle name="Normal 41 2 2 3 3" xfId="24616" xr:uid="{00000000-0005-0000-0000-0000305E0000}"/>
    <cellStyle name="Normal 41 2 2 4" xfId="12014" xr:uid="{00000000-0005-0000-0000-0000315E0000}"/>
    <cellStyle name="Normal 41 2 2 5" xfId="21340" xr:uid="{00000000-0005-0000-0000-0000325E0000}"/>
    <cellStyle name="Normal 41 2 3" xfId="4234" xr:uid="{00000000-0005-0000-0000-0000335E0000}"/>
    <cellStyle name="Normal 41 2 3 2" xfId="8911" xr:uid="{00000000-0005-0000-0000-0000345E0000}"/>
    <cellStyle name="Normal 41 2 3 2 2" xfId="18235" xr:uid="{00000000-0005-0000-0000-0000355E0000}"/>
    <cellStyle name="Normal 41 2 3 2 3" xfId="27558" xr:uid="{00000000-0005-0000-0000-0000365E0000}"/>
    <cellStyle name="Normal 41 2 3 3" xfId="13568" xr:uid="{00000000-0005-0000-0000-0000375E0000}"/>
    <cellStyle name="Normal 41 2 3 4" xfId="22892" xr:uid="{00000000-0005-0000-0000-0000385E0000}"/>
    <cellStyle name="Normal 41 2 4" xfId="5968" xr:uid="{00000000-0005-0000-0000-0000395E0000}"/>
    <cellStyle name="Normal 41 2 4 2" xfId="15292" xr:uid="{00000000-0005-0000-0000-00003A5E0000}"/>
    <cellStyle name="Normal 41 2 4 3" xfId="24615" xr:uid="{00000000-0005-0000-0000-00003B5E0000}"/>
    <cellStyle name="Normal 41 2 5" xfId="12013" xr:uid="{00000000-0005-0000-0000-00003C5E0000}"/>
    <cellStyle name="Normal 41 2 6" xfId="21339" xr:uid="{00000000-0005-0000-0000-00003D5E0000}"/>
    <cellStyle name="Normal 41 3" xfId="2548" xr:uid="{00000000-0005-0000-0000-00003E5E0000}"/>
    <cellStyle name="Normal 41 3 2" xfId="4236" xr:uid="{00000000-0005-0000-0000-00003F5E0000}"/>
    <cellStyle name="Normal 41 3 2 2" xfId="8913" xr:uid="{00000000-0005-0000-0000-0000405E0000}"/>
    <cellStyle name="Normal 41 3 2 2 2" xfId="18237" xr:uid="{00000000-0005-0000-0000-0000415E0000}"/>
    <cellStyle name="Normal 41 3 2 2 3" xfId="27560" xr:uid="{00000000-0005-0000-0000-0000425E0000}"/>
    <cellStyle name="Normal 41 3 2 3" xfId="13570" xr:uid="{00000000-0005-0000-0000-0000435E0000}"/>
    <cellStyle name="Normal 41 3 2 4" xfId="22894" xr:uid="{00000000-0005-0000-0000-0000445E0000}"/>
    <cellStyle name="Normal 41 3 3" xfId="5970" xr:uid="{00000000-0005-0000-0000-0000455E0000}"/>
    <cellStyle name="Normal 41 3 3 2" xfId="15294" xr:uid="{00000000-0005-0000-0000-0000465E0000}"/>
    <cellStyle name="Normal 41 3 3 3" xfId="24617" xr:uid="{00000000-0005-0000-0000-0000475E0000}"/>
    <cellStyle name="Normal 41 3 4" xfId="12015" xr:uid="{00000000-0005-0000-0000-0000485E0000}"/>
    <cellStyle name="Normal 41 3 5" xfId="21341" xr:uid="{00000000-0005-0000-0000-0000495E0000}"/>
    <cellStyle name="Normal 41 4" xfId="4233" xr:uid="{00000000-0005-0000-0000-00004A5E0000}"/>
    <cellStyle name="Normal 41 4 2" xfId="8910" xr:uid="{00000000-0005-0000-0000-00004B5E0000}"/>
    <cellStyle name="Normal 41 4 2 2" xfId="18234" xr:uid="{00000000-0005-0000-0000-00004C5E0000}"/>
    <cellStyle name="Normal 41 4 2 3" xfId="27557" xr:uid="{00000000-0005-0000-0000-00004D5E0000}"/>
    <cellStyle name="Normal 41 4 3" xfId="13567" xr:uid="{00000000-0005-0000-0000-00004E5E0000}"/>
    <cellStyle name="Normal 41 4 4" xfId="22891" xr:uid="{00000000-0005-0000-0000-00004F5E0000}"/>
    <cellStyle name="Normal 41 5" xfId="5967" xr:uid="{00000000-0005-0000-0000-0000505E0000}"/>
    <cellStyle name="Normal 41 5 2" xfId="15291" xr:uid="{00000000-0005-0000-0000-0000515E0000}"/>
    <cellStyle name="Normal 41 5 3" xfId="24614" xr:uid="{00000000-0005-0000-0000-0000525E0000}"/>
    <cellStyle name="Normal 41 6" xfId="12012" xr:uid="{00000000-0005-0000-0000-0000535E0000}"/>
    <cellStyle name="Normal 41 7" xfId="21338" xr:uid="{00000000-0005-0000-0000-0000545E0000}"/>
    <cellStyle name="Normal 41 8" xfId="28841" xr:uid="{00000000-0005-0000-0000-0000555E0000}"/>
    <cellStyle name="Normal 42" xfId="2549" xr:uid="{00000000-0005-0000-0000-0000565E0000}"/>
    <cellStyle name="Normal 42 2" xfId="4237" xr:uid="{00000000-0005-0000-0000-0000575E0000}"/>
    <cellStyle name="Normal 42 2 2" xfId="8914" xr:uid="{00000000-0005-0000-0000-0000585E0000}"/>
    <cellStyle name="Normal 42 2 2 2" xfId="18238" xr:uid="{00000000-0005-0000-0000-0000595E0000}"/>
    <cellStyle name="Normal 42 2 2 3" xfId="27561" xr:uid="{00000000-0005-0000-0000-00005A5E0000}"/>
    <cellStyle name="Normal 42 2 3" xfId="13571" xr:uid="{00000000-0005-0000-0000-00005B5E0000}"/>
    <cellStyle name="Normal 42 2 4" xfId="22895" xr:uid="{00000000-0005-0000-0000-00005C5E0000}"/>
    <cellStyle name="Normal 42 2 5" xfId="28947" xr:uid="{00000000-0005-0000-0000-00005D5E0000}"/>
    <cellStyle name="Normal 42 3" xfId="5971" xr:uid="{00000000-0005-0000-0000-00005E5E0000}"/>
    <cellStyle name="Normal 42 3 2" xfId="15295" xr:uid="{00000000-0005-0000-0000-00005F5E0000}"/>
    <cellStyle name="Normal 42 3 3" xfId="24618" xr:uid="{00000000-0005-0000-0000-0000605E0000}"/>
    <cellStyle name="Normal 42 4" xfId="12016" xr:uid="{00000000-0005-0000-0000-0000615E0000}"/>
    <cellStyle name="Normal 42 5" xfId="21342" xr:uid="{00000000-0005-0000-0000-0000625E0000}"/>
    <cellStyle name="Normal 42 6" xfId="28915" xr:uid="{00000000-0005-0000-0000-0000635E0000}"/>
    <cellStyle name="Normal 43" xfId="2550" xr:uid="{00000000-0005-0000-0000-0000645E0000}"/>
    <cellStyle name="Normal 43 2" xfId="2551" xr:uid="{00000000-0005-0000-0000-0000655E0000}"/>
    <cellStyle name="Normal 43 2 2" xfId="2552" xr:uid="{00000000-0005-0000-0000-0000665E0000}"/>
    <cellStyle name="Normal 43 2 2 2" xfId="4239" xr:uid="{00000000-0005-0000-0000-0000675E0000}"/>
    <cellStyle name="Normal 43 2 2 2 2" xfId="8916" xr:uid="{00000000-0005-0000-0000-0000685E0000}"/>
    <cellStyle name="Normal 43 2 2 2 2 2" xfId="18240" xr:uid="{00000000-0005-0000-0000-0000695E0000}"/>
    <cellStyle name="Normal 43 2 2 2 2 3" xfId="27563" xr:uid="{00000000-0005-0000-0000-00006A5E0000}"/>
    <cellStyle name="Normal 43 2 2 2 3" xfId="13573" xr:uid="{00000000-0005-0000-0000-00006B5E0000}"/>
    <cellStyle name="Normal 43 2 2 2 4" xfId="22897" xr:uid="{00000000-0005-0000-0000-00006C5E0000}"/>
    <cellStyle name="Normal 43 2 2 3" xfId="5974" xr:uid="{00000000-0005-0000-0000-00006D5E0000}"/>
    <cellStyle name="Normal 43 2 2 3 2" xfId="15298" xr:uid="{00000000-0005-0000-0000-00006E5E0000}"/>
    <cellStyle name="Normal 43 2 2 3 3" xfId="24621" xr:uid="{00000000-0005-0000-0000-00006F5E0000}"/>
    <cellStyle name="Normal 43 2 2 4" xfId="12018" xr:uid="{00000000-0005-0000-0000-0000705E0000}"/>
    <cellStyle name="Normal 43 2 2 5" xfId="21344" xr:uid="{00000000-0005-0000-0000-0000715E0000}"/>
    <cellStyle name="Normal 43 2 3" xfId="4238" xr:uid="{00000000-0005-0000-0000-0000725E0000}"/>
    <cellStyle name="Normal 43 2 3 2" xfId="8915" xr:uid="{00000000-0005-0000-0000-0000735E0000}"/>
    <cellStyle name="Normal 43 2 3 2 2" xfId="18239" xr:uid="{00000000-0005-0000-0000-0000745E0000}"/>
    <cellStyle name="Normal 43 2 3 2 3" xfId="27562" xr:uid="{00000000-0005-0000-0000-0000755E0000}"/>
    <cellStyle name="Normal 43 2 3 3" xfId="13572" xr:uid="{00000000-0005-0000-0000-0000765E0000}"/>
    <cellStyle name="Normal 43 2 3 4" xfId="22896" xr:uid="{00000000-0005-0000-0000-0000775E0000}"/>
    <cellStyle name="Normal 43 2 4" xfId="5973" xr:uid="{00000000-0005-0000-0000-0000785E0000}"/>
    <cellStyle name="Normal 43 2 4 2" xfId="15297" xr:uid="{00000000-0005-0000-0000-0000795E0000}"/>
    <cellStyle name="Normal 43 2 4 3" xfId="24620" xr:uid="{00000000-0005-0000-0000-00007A5E0000}"/>
    <cellStyle name="Normal 43 2 5" xfId="12017" xr:uid="{00000000-0005-0000-0000-00007B5E0000}"/>
    <cellStyle name="Normal 43 2 6" xfId="21343" xr:uid="{00000000-0005-0000-0000-00007C5E0000}"/>
    <cellStyle name="Normal 43 2 7" xfId="28948" xr:uid="{00000000-0005-0000-0000-00007D5E0000}"/>
    <cellStyle name="Normal 43 3" xfId="2553" xr:uid="{00000000-0005-0000-0000-00007E5E0000}"/>
    <cellStyle name="Normal 43 3 2" xfId="4240" xr:uid="{00000000-0005-0000-0000-00007F5E0000}"/>
    <cellStyle name="Normal 43 3 2 2" xfId="8917" xr:uid="{00000000-0005-0000-0000-0000805E0000}"/>
    <cellStyle name="Normal 43 3 2 2 2" xfId="18241" xr:uid="{00000000-0005-0000-0000-0000815E0000}"/>
    <cellStyle name="Normal 43 3 2 2 3" xfId="27564" xr:uid="{00000000-0005-0000-0000-0000825E0000}"/>
    <cellStyle name="Normal 43 3 2 3" xfId="13574" xr:uid="{00000000-0005-0000-0000-0000835E0000}"/>
    <cellStyle name="Normal 43 3 2 4" xfId="22898" xr:uid="{00000000-0005-0000-0000-0000845E0000}"/>
    <cellStyle name="Normal 43 3 3" xfId="5975" xr:uid="{00000000-0005-0000-0000-0000855E0000}"/>
    <cellStyle name="Normal 43 3 3 2" xfId="15299" xr:uid="{00000000-0005-0000-0000-0000865E0000}"/>
    <cellStyle name="Normal 43 3 3 3" xfId="24622" xr:uid="{00000000-0005-0000-0000-0000875E0000}"/>
    <cellStyle name="Normal 43 3 4" xfId="12019" xr:uid="{00000000-0005-0000-0000-0000885E0000}"/>
    <cellStyle name="Normal 43 3 5" xfId="21345" xr:uid="{00000000-0005-0000-0000-0000895E0000}"/>
    <cellStyle name="Normal 43 4" xfId="2554" xr:uid="{00000000-0005-0000-0000-00008A5E0000}"/>
    <cellStyle name="Normal 43 5" xfId="28833" xr:uid="{00000000-0005-0000-0000-00008B5E0000}"/>
    <cellStyle name="Normal 44" xfId="1348" xr:uid="{00000000-0005-0000-0000-00008C5E0000}"/>
    <cellStyle name="Normal 44 2" xfId="1351" xr:uid="{00000000-0005-0000-0000-00008D5E0000}"/>
    <cellStyle name="Normal 44 3" xfId="2555" xr:uid="{00000000-0005-0000-0000-00008E5E0000}"/>
    <cellStyle name="Normal 44 4" xfId="28918" xr:uid="{00000000-0005-0000-0000-00008F5E0000}"/>
    <cellStyle name="Normal 45" xfId="2556" xr:uid="{00000000-0005-0000-0000-0000905E0000}"/>
    <cellStyle name="Normal 45 2" xfId="4241" xr:uid="{00000000-0005-0000-0000-0000915E0000}"/>
    <cellStyle name="Normal 45 2 2" xfId="8918" xr:uid="{00000000-0005-0000-0000-0000925E0000}"/>
    <cellStyle name="Normal 45 2 2 2" xfId="18242" xr:uid="{00000000-0005-0000-0000-0000935E0000}"/>
    <cellStyle name="Normal 45 2 2 3" xfId="27565" xr:uid="{00000000-0005-0000-0000-0000945E0000}"/>
    <cellStyle name="Normal 45 2 3" xfId="13575" xr:uid="{00000000-0005-0000-0000-0000955E0000}"/>
    <cellStyle name="Normal 45 2 4" xfId="22899" xr:uid="{00000000-0005-0000-0000-0000965E0000}"/>
    <cellStyle name="Normal 45 3" xfId="5977" xr:uid="{00000000-0005-0000-0000-0000975E0000}"/>
    <cellStyle name="Normal 45 3 2" xfId="15301" xr:uid="{00000000-0005-0000-0000-0000985E0000}"/>
    <cellStyle name="Normal 45 3 3" xfId="24624" xr:uid="{00000000-0005-0000-0000-0000995E0000}"/>
    <cellStyle name="Normal 45 4" xfId="12020" xr:uid="{00000000-0005-0000-0000-00009A5E0000}"/>
    <cellStyle name="Normal 45 5" xfId="21346" xr:uid="{00000000-0005-0000-0000-00009B5E0000}"/>
    <cellStyle name="Normal 45 6" xfId="28949" xr:uid="{00000000-0005-0000-0000-00009C5E0000}"/>
    <cellStyle name="Normal 46" xfId="2557" xr:uid="{00000000-0005-0000-0000-00009D5E0000}"/>
    <cellStyle name="Normal 46 2" xfId="4242" xr:uid="{00000000-0005-0000-0000-00009E5E0000}"/>
    <cellStyle name="Normal 46 2 2" xfId="8919" xr:uid="{00000000-0005-0000-0000-00009F5E0000}"/>
    <cellStyle name="Normal 46 2 2 2" xfId="18243" xr:uid="{00000000-0005-0000-0000-0000A05E0000}"/>
    <cellStyle name="Normal 46 2 2 3" xfId="27566" xr:uid="{00000000-0005-0000-0000-0000A15E0000}"/>
    <cellStyle name="Normal 46 2 3" xfId="13576" xr:uid="{00000000-0005-0000-0000-0000A25E0000}"/>
    <cellStyle name="Normal 46 2 4" xfId="22900" xr:uid="{00000000-0005-0000-0000-0000A35E0000}"/>
    <cellStyle name="Normal 46 3" xfId="5978" xr:uid="{00000000-0005-0000-0000-0000A45E0000}"/>
    <cellStyle name="Normal 46 3 2" xfId="15302" xr:uid="{00000000-0005-0000-0000-0000A55E0000}"/>
    <cellStyle name="Normal 46 3 3" xfId="24625" xr:uid="{00000000-0005-0000-0000-0000A65E0000}"/>
    <cellStyle name="Normal 46 4" xfId="12021" xr:uid="{00000000-0005-0000-0000-0000A75E0000}"/>
    <cellStyle name="Normal 46 5" xfId="21347" xr:uid="{00000000-0005-0000-0000-0000A85E0000}"/>
    <cellStyle name="Normal 47" xfId="2558" xr:uid="{00000000-0005-0000-0000-0000A95E0000}"/>
    <cellStyle name="Normal 47 2" xfId="2559" xr:uid="{00000000-0005-0000-0000-0000AA5E0000}"/>
    <cellStyle name="Normal 47 2 2" xfId="2560" xr:uid="{00000000-0005-0000-0000-0000AB5E0000}"/>
    <cellStyle name="Normal 47 2 2 2" xfId="4243" xr:uid="{00000000-0005-0000-0000-0000AC5E0000}"/>
    <cellStyle name="Normal 47 2 2 2 2" xfId="8920" xr:uid="{00000000-0005-0000-0000-0000AD5E0000}"/>
    <cellStyle name="Normal 47 2 2 2 2 2" xfId="18244" xr:uid="{00000000-0005-0000-0000-0000AE5E0000}"/>
    <cellStyle name="Normal 47 2 2 2 2 3" xfId="27567" xr:uid="{00000000-0005-0000-0000-0000AF5E0000}"/>
    <cellStyle name="Normal 47 2 2 2 3" xfId="13577" xr:uid="{00000000-0005-0000-0000-0000B05E0000}"/>
    <cellStyle name="Normal 47 2 2 2 4" xfId="22901" xr:uid="{00000000-0005-0000-0000-0000B15E0000}"/>
    <cellStyle name="Normal 47 2 2 3" xfId="5980" xr:uid="{00000000-0005-0000-0000-0000B25E0000}"/>
    <cellStyle name="Normal 47 2 2 3 2" xfId="15304" xr:uid="{00000000-0005-0000-0000-0000B35E0000}"/>
    <cellStyle name="Normal 47 2 2 3 3" xfId="24627" xr:uid="{00000000-0005-0000-0000-0000B45E0000}"/>
    <cellStyle name="Normal 47 2 2 4" xfId="12022" xr:uid="{00000000-0005-0000-0000-0000B55E0000}"/>
    <cellStyle name="Normal 47 2 2 5" xfId="21348" xr:uid="{00000000-0005-0000-0000-0000B65E0000}"/>
    <cellStyle name="Normal 47 3" xfId="2561" xr:uid="{00000000-0005-0000-0000-0000B75E0000}"/>
    <cellStyle name="Normal 47 3 2" xfId="2562" xr:uid="{00000000-0005-0000-0000-0000B85E0000}"/>
    <cellStyle name="Normal 47 3 2 2" xfId="4244" xr:uid="{00000000-0005-0000-0000-0000B95E0000}"/>
    <cellStyle name="Normal 47 3 2 2 2" xfId="8921" xr:uid="{00000000-0005-0000-0000-0000BA5E0000}"/>
    <cellStyle name="Normal 47 3 2 2 2 2" xfId="18245" xr:uid="{00000000-0005-0000-0000-0000BB5E0000}"/>
    <cellStyle name="Normal 47 3 2 2 2 3" xfId="27568" xr:uid="{00000000-0005-0000-0000-0000BC5E0000}"/>
    <cellStyle name="Normal 47 3 2 2 3" xfId="13578" xr:uid="{00000000-0005-0000-0000-0000BD5E0000}"/>
    <cellStyle name="Normal 47 3 2 2 4" xfId="22902" xr:uid="{00000000-0005-0000-0000-0000BE5E0000}"/>
    <cellStyle name="Normal 47 3 2 3" xfId="5981" xr:uid="{00000000-0005-0000-0000-0000BF5E0000}"/>
    <cellStyle name="Normal 47 3 2 3 2" xfId="15305" xr:uid="{00000000-0005-0000-0000-0000C05E0000}"/>
    <cellStyle name="Normal 47 3 2 3 3" xfId="24628" xr:uid="{00000000-0005-0000-0000-0000C15E0000}"/>
    <cellStyle name="Normal 47 3 2 4" xfId="12023" xr:uid="{00000000-0005-0000-0000-0000C25E0000}"/>
    <cellStyle name="Normal 47 3 2 5" xfId="21349" xr:uid="{00000000-0005-0000-0000-0000C35E0000}"/>
    <cellStyle name="Normal 47 4" xfId="2563" xr:uid="{00000000-0005-0000-0000-0000C45E0000}"/>
    <cellStyle name="Normal 47 4 2" xfId="4245" xr:uid="{00000000-0005-0000-0000-0000C55E0000}"/>
    <cellStyle name="Normal 47 4 2 2" xfId="8922" xr:uid="{00000000-0005-0000-0000-0000C65E0000}"/>
    <cellStyle name="Normal 47 4 2 2 2" xfId="18246" xr:uid="{00000000-0005-0000-0000-0000C75E0000}"/>
    <cellStyle name="Normal 47 4 2 2 3" xfId="27569" xr:uid="{00000000-0005-0000-0000-0000C85E0000}"/>
    <cellStyle name="Normal 47 4 2 3" xfId="13579" xr:uid="{00000000-0005-0000-0000-0000C95E0000}"/>
    <cellStyle name="Normal 47 4 2 4" xfId="22903" xr:uid="{00000000-0005-0000-0000-0000CA5E0000}"/>
    <cellStyle name="Normal 47 4 3" xfId="5982" xr:uid="{00000000-0005-0000-0000-0000CB5E0000}"/>
    <cellStyle name="Normal 47 4 3 2" xfId="15306" xr:uid="{00000000-0005-0000-0000-0000CC5E0000}"/>
    <cellStyle name="Normal 47 4 3 3" xfId="24629" xr:uid="{00000000-0005-0000-0000-0000CD5E0000}"/>
    <cellStyle name="Normal 47 4 4" xfId="12024" xr:uid="{00000000-0005-0000-0000-0000CE5E0000}"/>
    <cellStyle name="Normal 47 4 5" xfId="21350" xr:uid="{00000000-0005-0000-0000-0000CF5E0000}"/>
    <cellStyle name="Normal 48" xfId="2564" xr:uid="{00000000-0005-0000-0000-0000D05E0000}"/>
    <cellStyle name="Normal 48 2" xfId="2565" xr:uid="{00000000-0005-0000-0000-0000D15E0000}"/>
    <cellStyle name="Normal 48 2 2" xfId="4246" xr:uid="{00000000-0005-0000-0000-0000D25E0000}"/>
    <cellStyle name="Normal 48 2 2 2" xfId="8923" xr:uid="{00000000-0005-0000-0000-0000D35E0000}"/>
    <cellStyle name="Normal 48 2 2 2 2" xfId="18247" xr:uid="{00000000-0005-0000-0000-0000D45E0000}"/>
    <cellStyle name="Normal 48 2 2 2 3" xfId="27570" xr:uid="{00000000-0005-0000-0000-0000D55E0000}"/>
    <cellStyle name="Normal 48 2 2 3" xfId="13580" xr:uid="{00000000-0005-0000-0000-0000D65E0000}"/>
    <cellStyle name="Normal 48 2 2 4" xfId="22904" xr:uid="{00000000-0005-0000-0000-0000D75E0000}"/>
    <cellStyle name="Normal 48 2 3" xfId="5984" xr:uid="{00000000-0005-0000-0000-0000D85E0000}"/>
    <cellStyle name="Normal 48 2 3 2" xfId="15308" xr:uid="{00000000-0005-0000-0000-0000D95E0000}"/>
    <cellStyle name="Normal 48 2 3 3" xfId="24631" xr:uid="{00000000-0005-0000-0000-0000DA5E0000}"/>
    <cellStyle name="Normal 48 2 4" xfId="12025" xr:uid="{00000000-0005-0000-0000-0000DB5E0000}"/>
    <cellStyle name="Normal 48 2 5" xfId="21351" xr:uid="{00000000-0005-0000-0000-0000DC5E0000}"/>
    <cellStyle name="Normal 49" xfId="2566" xr:uid="{00000000-0005-0000-0000-0000DD5E0000}"/>
    <cellStyle name="Normal 49 2" xfId="4247" xr:uid="{00000000-0005-0000-0000-0000DE5E0000}"/>
    <cellStyle name="Normal 49 2 2" xfId="8924" xr:uid="{00000000-0005-0000-0000-0000DF5E0000}"/>
    <cellStyle name="Normal 49 2 2 2" xfId="18248" xr:uid="{00000000-0005-0000-0000-0000E05E0000}"/>
    <cellStyle name="Normal 49 2 2 3" xfId="27571" xr:uid="{00000000-0005-0000-0000-0000E15E0000}"/>
    <cellStyle name="Normal 49 2 3" xfId="13581" xr:uid="{00000000-0005-0000-0000-0000E25E0000}"/>
    <cellStyle name="Normal 49 2 4" xfId="22905" xr:uid="{00000000-0005-0000-0000-0000E35E0000}"/>
    <cellStyle name="Normal 49 3" xfId="5985" xr:uid="{00000000-0005-0000-0000-0000E45E0000}"/>
    <cellStyle name="Normal 49 3 2" xfId="15309" xr:uid="{00000000-0005-0000-0000-0000E55E0000}"/>
    <cellStyle name="Normal 49 3 3" xfId="24632" xr:uid="{00000000-0005-0000-0000-0000E65E0000}"/>
    <cellStyle name="Normal 49 4" xfId="12026" xr:uid="{00000000-0005-0000-0000-0000E75E0000}"/>
    <cellStyle name="Normal 49 5" xfId="21352" xr:uid="{00000000-0005-0000-0000-0000E85E0000}"/>
    <cellStyle name="Normal 5" xfId="171" xr:uid="{00000000-0005-0000-0000-0000E95E0000}"/>
    <cellStyle name="Normal 5 10" xfId="2568" xr:uid="{00000000-0005-0000-0000-0000EA5E0000}"/>
    <cellStyle name="Normal 5 10 2" xfId="4249" xr:uid="{00000000-0005-0000-0000-0000EB5E0000}"/>
    <cellStyle name="Normal 5 10 2 2" xfId="8926" xr:uid="{00000000-0005-0000-0000-0000EC5E0000}"/>
    <cellStyle name="Normal 5 10 2 2 2" xfId="18250" xr:uid="{00000000-0005-0000-0000-0000ED5E0000}"/>
    <cellStyle name="Normal 5 10 2 2 3" xfId="27573" xr:uid="{00000000-0005-0000-0000-0000EE5E0000}"/>
    <cellStyle name="Normal 5 10 2 3" xfId="13583" xr:uid="{00000000-0005-0000-0000-0000EF5E0000}"/>
    <cellStyle name="Normal 5 10 2 4" xfId="22907" xr:uid="{00000000-0005-0000-0000-0000F05E0000}"/>
    <cellStyle name="Normal 5 10 3" xfId="5987" xr:uid="{00000000-0005-0000-0000-0000F15E0000}"/>
    <cellStyle name="Normal 5 10 3 2" xfId="15311" xr:uid="{00000000-0005-0000-0000-0000F25E0000}"/>
    <cellStyle name="Normal 5 10 3 3" xfId="24634" xr:uid="{00000000-0005-0000-0000-0000F35E0000}"/>
    <cellStyle name="Normal 5 10 4" xfId="12028" xr:uid="{00000000-0005-0000-0000-0000F45E0000}"/>
    <cellStyle name="Normal 5 10 5" xfId="21354" xr:uid="{00000000-0005-0000-0000-0000F55E0000}"/>
    <cellStyle name="Normal 5 11" xfId="2567" xr:uid="{00000000-0005-0000-0000-0000F65E0000}"/>
    <cellStyle name="Normal 5 11 2" xfId="4248" xr:uid="{00000000-0005-0000-0000-0000F75E0000}"/>
    <cellStyle name="Normal 5 11 2 2" xfId="8925" xr:uid="{00000000-0005-0000-0000-0000F85E0000}"/>
    <cellStyle name="Normal 5 11 2 2 2" xfId="18249" xr:uid="{00000000-0005-0000-0000-0000F95E0000}"/>
    <cellStyle name="Normal 5 11 2 2 3" xfId="27572" xr:uid="{00000000-0005-0000-0000-0000FA5E0000}"/>
    <cellStyle name="Normal 5 11 2 3" xfId="13582" xr:uid="{00000000-0005-0000-0000-0000FB5E0000}"/>
    <cellStyle name="Normal 5 11 2 4" xfId="22906" xr:uid="{00000000-0005-0000-0000-0000FC5E0000}"/>
    <cellStyle name="Normal 5 11 3" xfId="5986" xr:uid="{00000000-0005-0000-0000-0000FD5E0000}"/>
    <cellStyle name="Normal 5 11 3 2" xfId="15310" xr:uid="{00000000-0005-0000-0000-0000FE5E0000}"/>
    <cellStyle name="Normal 5 11 3 3" xfId="24633" xr:uid="{00000000-0005-0000-0000-0000FF5E0000}"/>
    <cellStyle name="Normal 5 11 4" xfId="12027" xr:uid="{00000000-0005-0000-0000-0000005F0000}"/>
    <cellStyle name="Normal 5 11 5" xfId="21353" xr:uid="{00000000-0005-0000-0000-0000015F0000}"/>
    <cellStyle name="Normal 5 12" xfId="2918" xr:uid="{00000000-0005-0000-0000-0000025F0000}"/>
    <cellStyle name="Normal 5 12 2" xfId="4552" xr:uid="{00000000-0005-0000-0000-0000035F0000}"/>
    <cellStyle name="Normal 5 12 2 2" xfId="9229" xr:uid="{00000000-0005-0000-0000-0000045F0000}"/>
    <cellStyle name="Normal 5 12 2 2 2" xfId="18553" xr:uid="{00000000-0005-0000-0000-0000055F0000}"/>
    <cellStyle name="Normal 5 12 2 2 3" xfId="27876" xr:uid="{00000000-0005-0000-0000-0000065F0000}"/>
    <cellStyle name="Normal 5 12 2 3" xfId="13876" xr:uid="{00000000-0005-0000-0000-0000075F0000}"/>
    <cellStyle name="Normal 5 12 2 4" xfId="23200" xr:uid="{00000000-0005-0000-0000-0000085F0000}"/>
    <cellStyle name="Normal 5 12 3" xfId="6327" xr:uid="{00000000-0005-0000-0000-0000095F0000}"/>
    <cellStyle name="Normal 5 12 3 2" xfId="15651" xr:uid="{00000000-0005-0000-0000-00000A5F0000}"/>
    <cellStyle name="Normal 5 12 3 3" xfId="24974" xr:uid="{00000000-0005-0000-0000-00000B5F0000}"/>
    <cellStyle name="Normal 5 12 4" xfId="12330" xr:uid="{00000000-0005-0000-0000-00000C5F0000}"/>
    <cellStyle name="Normal 5 12 5" xfId="21656" xr:uid="{00000000-0005-0000-0000-00000D5F0000}"/>
    <cellStyle name="Normal 5 13" xfId="1166" xr:uid="{00000000-0005-0000-0000-00000E5F0000}"/>
    <cellStyle name="Normal 5 14" xfId="2934" xr:uid="{00000000-0005-0000-0000-00000F5F0000}"/>
    <cellStyle name="Normal 5 14 2" xfId="7616" xr:uid="{00000000-0005-0000-0000-0000105F0000}"/>
    <cellStyle name="Normal 5 14 2 2" xfId="16940" xr:uid="{00000000-0005-0000-0000-0000115F0000}"/>
    <cellStyle name="Normal 5 14 2 3" xfId="26263" xr:uid="{00000000-0005-0000-0000-0000125F0000}"/>
    <cellStyle name="Normal 5 14 3" xfId="12339" xr:uid="{00000000-0005-0000-0000-0000135F0000}"/>
    <cellStyle name="Normal 5 14 4" xfId="21665" xr:uid="{00000000-0005-0000-0000-0000145F0000}"/>
    <cellStyle name="Normal 5 15" xfId="9302" xr:uid="{00000000-0005-0000-0000-0000155F0000}"/>
    <cellStyle name="Normal 5 15 2" xfId="18626" xr:uid="{00000000-0005-0000-0000-0000165F0000}"/>
    <cellStyle name="Normal 5 15 3" xfId="27949" xr:uid="{00000000-0005-0000-0000-0000175F0000}"/>
    <cellStyle name="Normal 5 16" xfId="9796" xr:uid="{00000000-0005-0000-0000-0000185F0000}"/>
    <cellStyle name="Normal 5 17" xfId="19120" xr:uid="{00000000-0005-0000-0000-0000195F0000}"/>
    <cellStyle name="Normal 5 18" xfId="28481" xr:uid="{00000000-0005-0000-0000-00001A5F0000}"/>
    <cellStyle name="Normal 5 2" xfId="233" xr:uid="{00000000-0005-0000-0000-00001B5F0000}"/>
    <cellStyle name="Normal 5 2 10" xfId="2570" xr:uid="{00000000-0005-0000-0000-00001C5F0000}"/>
    <cellStyle name="Normal 5 2 10 2" xfId="4251" xr:uid="{00000000-0005-0000-0000-00001D5F0000}"/>
    <cellStyle name="Normal 5 2 10 2 2" xfId="8928" xr:uid="{00000000-0005-0000-0000-00001E5F0000}"/>
    <cellStyle name="Normal 5 2 10 2 2 2" xfId="18252" xr:uid="{00000000-0005-0000-0000-00001F5F0000}"/>
    <cellStyle name="Normal 5 2 10 2 2 3" xfId="27575" xr:uid="{00000000-0005-0000-0000-0000205F0000}"/>
    <cellStyle name="Normal 5 2 10 2 3" xfId="13585" xr:uid="{00000000-0005-0000-0000-0000215F0000}"/>
    <cellStyle name="Normal 5 2 10 2 4" xfId="22909" xr:uid="{00000000-0005-0000-0000-0000225F0000}"/>
    <cellStyle name="Normal 5 2 10 3" xfId="5989" xr:uid="{00000000-0005-0000-0000-0000235F0000}"/>
    <cellStyle name="Normal 5 2 10 3 2" xfId="15313" xr:uid="{00000000-0005-0000-0000-0000245F0000}"/>
    <cellStyle name="Normal 5 2 10 3 3" xfId="24636" xr:uid="{00000000-0005-0000-0000-0000255F0000}"/>
    <cellStyle name="Normal 5 2 10 4" xfId="12030" xr:uid="{00000000-0005-0000-0000-0000265F0000}"/>
    <cellStyle name="Normal 5 2 10 5" xfId="21356" xr:uid="{00000000-0005-0000-0000-0000275F0000}"/>
    <cellStyle name="Normal 5 2 11" xfId="2569" xr:uid="{00000000-0005-0000-0000-0000285F0000}"/>
    <cellStyle name="Normal 5 2 11 2" xfId="7544" xr:uid="{00000000-0005-0000-0000-0000295F0000}"/>
    <cellStyle name="Normal 5 2 11 2 2" xfId="16868" xr:uid="{00000000-0005-0000-0000-00002A5F0000}"/>
    <cellStyle name="Normal 5 2 11 2 3" xfId="26191" xr:uid="{00000000-0005-0000-0000-00002B5F0000}"/>
    <cellStyle name="Normal 5 2 11 3" xfId="12029" xr:uid="{00000000-0005-0000-0000-00002C5F0000}"/>
    <cellStyle name="Normal 5 2 11 4" xfId="21355" xr:uid="{00000000-0005-0000-0000-00002D5F0000}"/>
    <cellStyle name="Normal 5 2 12" xfId="4250" xr:uid="{00000000-0005-0000-0000-00002E5F0000}"/>
    <cellStyle name="Normal 5 2 12 2" xfId="8927" xr:uid="{00000000-0005-0000-0000-00002F5F0000}"/>
    <cellStyle name="Normal 5 2 12 2 2" xfId="18251" xr:uid="{00000000-0005-0000-0000-0000305F0000}"/>
    <cellStyle name="Normal 5 2 12 2 3" xfId="27574" xr:uid="{00000000-0005-0000-0000-0000315F0000}"/>
    <cellStyle name="Normal 5 2 12 3" xfId="13584" xr:uid="{00000000-0005-0000-0000-0000325F0000}"/>
    <cellStyle name="Normal 5 2 12 4" xfId="22908" xr:uid="{00000000-0005-0000-0000-0000335F0000}"/>
    <cellStyle name="Normal 5 2 13" xfId="5988" xr:uid="{00000000-0005-0000-0000-0000345F0000}"/>
    <cellStyle name="Normal 5 2 13 2" xfId="15312" xr:uid="{00000000-0005-0000-0000-0000355F0000}"/>
    <cellStyle name="Normal 5 2 13 3" xfId="24635" xr:uid="{00000000-0005-0000-0000-0000365F0000}"/>
    <cellStyle name="Normal 5 2 14" xfId="9361" xr:uid="{00000000-0005-0000-0000-0000375F0000}"/>
    <cellStyle name="Normal 5 2 14 2" xfId="18685" xr:uid="{00000000-0005-0000-0000-0000385F0000}"/>
    <cellStyle name="Normal 5 2 14 3" xfId="28008" xr:uid="{00000000-0005-0000-0000-0000395F0000}"/>
    <cellStyle name="Normal 5 2 15" xfId="9855" xr:uid="{00000000-0005-0000-0000-00003A5F0000}"/>
    <cellStyle name="Normal 5 2 16" xfId="19179" xr:uid="{00000000-0005-0000-0000-00003B5F0000}"/>
    <cellStyle name="Normal 5 2 17" xfId="28564" xr:uid="{00000000-0005-0000-0000-00003C5F0000}"/>
    <cellStyle name="Normal 5 2 2" xfId="373" xr:uid="{00000000-0005-0000-0000-00003D5F0000}"/>
    <cellStyle name="Normal 5 2 2 10" xfId="4252" xr:uid="{00000000-0005-0000-0000-00003E5F0000}"/>
    <cellStyle name="Normal 5 2 2 10 2" xfId="8929" xr:uid="{00000000-0005-0000-0000-00003F5F0000}"/>
    <cellStyle name="Normal 5 2 2 10 2 2" xfId="18253" xr:uid="{00000000-0005-0000-0000-0000405F0000}"/>
    <cellStyle name="Normal 5 2 2 10 2 3" xfId="27576" xr:uid="{00000000-0005-0000-0000-0000415F0000}"/>
    <cellStyle name="Normal 5 2 2 10 3" xfId="13586" xr:uid="{00000000-0005-0000-0000-0000425F0000}"/>
    <cellStyle name="Normal 5 2 2 10 4" xfId="22910" xr:uid="{00000000-0005-0000-0000-0000435F0000}"/>
    <cellStyle name="Normal 5 2 2 11" xfId="5990" xr:uid="{00000000-0005-0000-0000-0000445F0000}"/>
    <cellStyle name="Normal 5 2 2 11 2" xfId="15314" xr:uid="{00000000-0005-0000-0000-0000455F0000}"/>
    <cellStyle name="Normal 5 2 2 11 3" xfId="24637" xr:uid="{00000000-0005-0000-0000-0000465F0000}"/>
    <cellStyle name="Normal 5 2 2 12" xfId="9484" xr:uid="{00000000-0005-0000-0000-0000475F0000}"/>
    <cellStyle name="Normal 5 2 2 12 2" xfId="18808" xr:uid="{00000000-0005-0000-0000-0000485F0000}"/>
    <cellStyle name="Normal 5 2 2 12 3" xfId="28131" xr:uid="{00000000-0005-0000-0000-0000495F0000}"/>
    <cellStyle name="Normal 5 2 2 13" xfId="9978" xr:uid="{00000000-0005-0000-0000-00004A5F0000}"/>
    <cellStyle name="Normal 5 2 2 14" xfId="19302" xr:uid="{00000000-0005-0000-0000-00004B5F0000}"/>
    <cellStyle name="Normal 5 2 2 15" xfId="28584" xr:uid="{00000000-0005-0000-0000-00004C5F0000}"/>
    <cellStyle name="Normal 5 2 2 2" xfId="613" xr:uid="{00000000-0005-0000-0000-00004D5F0000}"/>
    <cellStyle name="Normal 5 2 2 2 10" xfId="5991" xr:uid="{00000000-0005-0000-0000-00004E5F0000}"/>
    <cellStyle name="Normal 5 2 2 2 10 2" xfId="15315" xr:uid="{00000000-0005-0000-0000-00004F5F0000}"/>
    <cellStyle name="Normal 5 2 2 2 10 3" xfId="24638" xr:uid="{00000000-0005-0000-0000-0000505F0000}"/>
    <cellStyle name="Normal 5 2 2 2 11" xfId="9724" xr:uid="{00000000-0005-0000-0000-0000515F0000}"/>
    <cellStyle name="Normal 5 2 2 2 11 2" xfId="19048" xr:uid="{00000000-0005-0000-0000-0000525F0000}"/>
    <cellStyle name="Normal 5 2 2 2 11 3" xfId="28371" xr:uid="{00000000-0005-0000-0000-0000535F0000}"/>
    <cellStyle name="Normal 5 2 2 2 12" xfId="10218" xr:uid="{00000000-0005-0000-0000-0000545F0000}"/>
    <cellStyle name="Normal 5 2 2 2 13" xfId="19542" xr:uid="{00000000-0005-0000-0000-0000555F0000}"/>
    <cellStyle name="Normal 5 2 2 2 14" xfId="28738" xr:uid="{00000000-0005-0000-0000-0000565F0000}"/>
    <cellStyle name="Normal 5 2 2 2 2" xfId="1101" xr:uid="{00000000-0005-0000-0000-0000575F0000}"/>
    <cellStyle name="Normal 5 2 2 2 2 2" xfId="2574" xr:uid="{00000000-0005-0000-0000-0000585F0000}"/>
    <cellStyle name="Normal 5 2 2 2 2 2 2" xfId="2575" xr:uid="{00000000-0005-0000-0000-0000595F0000}"/>
    <cellStyle name="Normal 5 2 2 2 2 2 2 2" xfId="4256" xr:uid="{00000000-0005-0000-0000-00005A5F0000}"/>
    <cellStyle name="Normal 5 2 2 2 2 2 2 2 2" xfId="8933" xr:uid="{00000000-0005-0000-0000-00005B5F0000}"/>
    <cellStyle name="Normal 5 2 2 2 2 2 2 2 2 2" xfId="18257" xr:uid="{00000000-0005-0000-0000-00005C5F0000}"/>
    <cellStyle name="Normal 5 2 2 2 2 2 2 2 2 3" xfId="27580" xr:uid="{00000000-0005-0000-0000-00005D5F0000}"/>
    <cellStyle name="Normal 5 2 2 2 2 2 2 2 3" xfId="13590" xr:uid="{00000000-0005-0000-0000-00005E5F0000}"/>
    <cellStyle name="Normal 5 2 2 2 2 2 2 2 4" xfId="22914" xr:uid="{00000000-0005-0000-0000-00005F5F0000}"/>
    <cellStyle name="Normal 5 2 2 2 2 2 2 3" xfId="5994" xr:uid="{00000000-0005-0000-0000-0000605F0000}"/>
    <cellStyle name="Normal 5 2 2 2 2 2 2 3 2" xfId="15318" xr:uid="{00000000-0005-0000-0000-0000615F0000}"/>
    <cellStyle name="Normal 5 2 2 2 2 2 2 3 3" xfId="24641" xr:uid="{00000000-0005-0000-0000-0000625F0000}"/>
    <cellStyle name="Normal 5 2 2 2 2 2 2 4" xfId="12035" xr:uid="{00000000-0005-0000-0000-0000635F0000}"/>
    <cellStyle name="Normal 5 2 2 2 2 2 2 5" xfId="21361" xr:uid="{00000000-0005-0000-0000-0000645F0000}"/>
    <cellStyle name="Normal 5 2 2 2 2 2 3" xfId="4255" xr:uid="{00000000-0005-0000-0000-0000655F0000}"/>
    <cellStyle name="Normal 5 2 2 2 2 2 3 2" xfId="8932" xr:uid="{00000000-0005-0000-0000-0000665F0000}"/>
    <cellStyle name="Normal 5 2 2 2 2 2 3 2 2" xfId="18256" xr:uid="{00000000-0005-0000-0000-0000675F0000}"/>
    <cellStyle name="Normal 5 2 2 2 2 2 3 2 3" xfId="27579" xr:uid="{00000000-0005-0000-0000-0000685F0000}"/>
    <cellStyle name="Normal 5 2 2 2 2 2 3 3" xfId="13589" xr:uid="{00000000-0005-0000-0000-0000695F0000}"/>
    <cellStyle name="Normal 5 2 2 2 2 2 3 4" xfId="22913" xr:uid="{00000000-0005-0000-0000-00006A5F0000}"/>
    <cellStyle name="Normal 5 2 2 2 2 2 4" xfId="5993" xr:uid="{00000000-0005-0000-0000-00006B5F0000}"/>
    <cellStyle name="Normal 5 2 2 2 2 2 4 2" xfId="15317" xr:uid="{00000000-0005-0000-0000-00006C5F0000}"/>
    <cellStyle name="Normal 5 2 2 2 2 2 4 3" xfId="24640" xr:uid="{00000000-0005-0000-0000-00006D5F0000}"/>
    <cellStyle name="Normal 5 2 2 2 2 2 5" xfId="12034" xr:uid="{00000000-0005-0000-0000-00006E5F0000}"/>
    <cellStyle name="Normal 5 2 2 2 2 2 6" xfId="21360" xr:uid="{00000000-0005-0000-0000-00006F5F0000}"/>
    <cellStyle name="Normal 5 2 2 2 2 3" xfId="2576" xr:uid="{00000000-0005-0000-0000-0000705F0000}"/>
    <cellStyle name="Normal 5 2 2 2 2 3 2" xfId="4257" xr:uid="{00000000-0005-0000-0000-0000715F0000}"/>
    <cellStyle name="Normal 5 2 2 2 2 3 2 2" xfId="8934" xr:uid="{00000000-0005-0000-0000-0000725F0000}"/>
    <cellStyle name="Normal 5 2 2 2 2 3 2 2 2" xfId="18258" xr:uid="{00000000-0005-0000-0000-0000735F0000}"/>
    <cellStyle name="Normal 5 2 2 2 2 3 2 2 3" xfId="27581" xr:uid="{00000000-0005-0000-0000-0000745F0000}"/>
    <cellStyle name="Normal 5 2 2 2 2 3 2 3" xfId="13591" xr:uid="{00000000-0005-0000-0000-0000755F0000}"/>
    <cellStyle name="Normal 5 2 2 2 2 3 2 4" xfId="22915" xr:uid="{00000000-0005-0000-0000-0000765F0000}"/>
    <cellStyle name="Normal 5 2 2 2 2 3 3" xfId="5995" xr:uid="{00000000-0005-0000-0000-0000775F0000}"/>
    <cellStyle name="Normal 5 2 2 2 2 3 3 2" xfId="15319" xr:uid="{00000000-0005-0000-0000-0000785F0000}"/>
    <cellStyle name="Normal 5 2 2 2 2 3 3 3" xfId="24642" xr:uid="{00000000-0005-0000-0000-0000795F0000}"/>
    <cellStyle name="Normal 5 2 2 2 2 3 4" xfId="12036" xr:uid="{00000000-0005-0000-0000-00007A5F0000}"/>
    <cellStyle name="Normal 5 2 2 2 2 3 5" xfId="21362" xr:uid="{00000000-0005-0000-0000-00007B5F0000}"/>
    <cellStyle name="Normal 5 2 2 2 2 4" xfId="2573" xr:uid="{00000000-0005-0000-0000-00007C5F0000}"/>
    <cellStyle name="Normal 5 2 2 2 2 4 2" xfId="7547" xr:uid="{00000000-0005-0000-0000-00007D5F0000}"/>
    <cellStyle name="Normal 5 2 2 2 2 4 2 2" xfId="16871" xr:uid="{00000000-0005-0000-0000-00007E5F0000}"/>
    <cellStyle name="Normal 5 2 2 2 2 4 2 3" xfId="26194" xr:uid="{00000000-0005-0000-0000-00007F5F0000}"/>
    <cellStyle name="Normal 5 2 2 2 2 4 3" xfId="12033" xr:uid="{00000000-0005-0000-0000-0000805F0000}"/>
    <cellStyle name="Normal 5 2 2 2 2 4 4" xfId="21359" xr:uid="{00000000-0005-0000-0000-0000815F0000}"/>
    <cellStyle name="Normal 5 2 2 2 2 5" xfId="4254" xr:uid="{00000000-0005-0000-0000-0000825F0000}"/>
    <cellStyle name="Normal 5 2 2 2 2 5 2" xfId="8931" xr:uid="{00000000-0005-0000-0000-0000835F0000}"/>
    <cellStyle name="Normal 5 2 2 2 2 5 2 2" xfId="18255" xr:uid="{00000000-0005-0000-0000-0000845F0000}"/>
    <cellStyle name="Normal 5 2 2 2 2 5 2 3" xfId="27578" xr:uid="{00000000-0005-0000-0000-0000855F0000}"/>
    <cellStyle name="Normal 5 2 2 2 2 5 3" xfId="13588" xr:uid="{00000000-0005-0000-0000-0000865F0000}"/>
    <cellStyle name="Normal 5 2 2 2 2 5 4" xfId="22912" xr:uid="{00000000-0005-0000-0000-0000875F0000}"/>
    <cellStyle name="Normal 5 2 2 2 2 6" xfId="5992" xr:uid="{00000000-0005-0000-0000-0000885F0000}"/>
    <cellStyle name="Normal 5 2 2 2 2 6 2" xfId="15316" xr:uid="{00000000-0005-0000-0000-0000895F0000}"/>
    <cellStyle name="Normal 5 2 2 2 2 6 3" xfId="24639" xr:uid="{00000000-0005-0000-0000-00008A5F0000}"/>
    <cellStyle name="Normal 5 2 2 2 2 7" xfId="10702" xr:uid="{00000000-0005-0000-0000-00008B5F0000}"/>
    <cellStyle name="Normal 5 2 2 2 2 8" xfId="20026" xr:uid="{00000000-0005-0000-0000-00008C5F0000}"/>
    <cellStyle name="Normal 5 2 2 2 2 9" xfId="28880" xr:uid="{00000000-0005-0000-0000-00008D5F0000}"/>
    <cellStyle name="Normal 5 2 2 2 3" xfId="2577" xr:uid="{00000000-0005-0000-0000-00008E5F0000}"/>
    <cellStyle name="Normal 5 2 2 2 3 2" xfId="2578" xr:uid="{00000000-0005-0000-0000-00008F5F0000}"/>
    <cellStyle name="Normal 5 2 2 2 3 2 2" xfId="2579" xr:uid="{00000000-0005-0000-0000-0000905F0000}"/>
    <cellStyle name="Normal 5 2 2 2 3 2 2 2" xfId="4260" xr:uid="{00000000-0005-0000-0000-0000915F0000}"/>
    <cellStyle name="Normal 5 2 2 2 3 2 2 2 2" xfId="8937" xr:uid="{00000000-0005-0000-0000-0000925F0000}"/>
    <cellStyle name="Normal 5 2 2 2 3 2 2 2 2 2" xfId="18261" xr:uid="{00000000-0005-0000-0000-0000935F0000}"/>
    <cellStyle name="Normal 5 2 2 2 3 2 2 2 2 3" xfId="27584" xr:uid="{00000000-0005-0000-0000-0000945F0000}"/>
    <cellStyle name="Normal 5 2 2 2 3 2 2 2 3" xfId="13594" xr:uid="{00000000-0005-0000-0000-0000955F0000}"/>
    <cellStyle name="Normal 5 2 2 2 3 2 2 2 4" xfId="22918" xr:uid="{00000000-0005-0000-0000-0000965F0000}"/>
    <cellStyle name="Normal 5 2 2 2 3 2 2 3" xfId="5998" xr:uid="{00000000-0005-0000-0000-0000975F0000}"/>
    <cellStyle name="Normal 5 2 2 2 3 2 2 3 2" xfId="15322" xr:uid="{00000000-0005-0000-0000-0000985F0000}"/>
    <cellStyle name="Normal 5 2 2 2 3 2 2 3 3" xfId="24645" xr:uid="{00000000-0005-0000-0000-0000995F0000}"/>
    <cellStyle name="Normal 5 2 2 2 3 2 2 4" xfId="12039" xr:uid="{00000000-0005-0000-0000-00009A5F0000}"/>
    <cellStyle name="Normal 5 2 2 2 3 2 2 5" xfId="21365" xr:uid="{00000000-0005-0000-0000-00009B5F0000}"/>
    <cellStyle name="Normal 5 2 2 2 3 2 3" xfId="4259" xr:uid="{00000000-0005-0000-0000-00009C5F0000}"/>
    <cellStyle name="Normal 5 2 2 2 3 2 3 2" xfId="8936" xr:uid="{00000000-0005-0000-0000-00009D5F0000}"/>
    <cellStyle name="Normal 5 2 2 2 3 2 3 2 2" xfId="18260" xr:uid="{00000000-0005-0000-0000-00009E5F0000}"/>
    <cellStyle name="Normal 5 2 2 2 3 2 3 2 3" xfId="27583" xr:uid="{00000000-0005-0000-0000-00009F5F0000}"/>
    <cellStyle name="Normal 5 2 2 2 3 2 3 3" xfId="13593" xr:uid="{00000000-0005-0000-0000-0000A05F0000}"/>
    <cellStyle name="Normal 5 2 2 2 3 2 3 4" xfId="22917" xr:uid="{00000000-0005-0000-0000-0000A15F0000}"/>
    <cellStyle name="Normal 5 2 2 2 3 2 4" xfId="5997" xr:uid="{00000000-0005-0000-0000-0000A25F0000}"/>
    <cellStyle name="Normal 5 2 2 2 3 2 4 2" xfId="15321" xr:uid="{00000000-0005-0000-0000-0000A35F0000}"/>
    <cellStyle name="Normal 5 2 2 2 3 2 4 3" xfId="24644" xr:uid="{00000000-0005-0000-0000-0000A45F0000}"/>
    <cellStyle name="Normal 5 2 2 2 3 2 5" xfId="12038" xr:uid="{00000000-0005-0000-0000-0000A55F0000}"/>
    <cellStyle name="Normal 5 2 2 2 3 2 6" xfId="21364" xr:uid="{00000000-0005-0000-0000-0000A65F0000}"/>
    <cellStyle name="Normal 5 2 2 2 3 3" xfId="2580" xr:uid="{00000000-0005-0000-0000-0000A75F0000}"/>
    <cellStyle name="Normal 5 2 2 2 3 3 2" xfId="4261" xr:uid="{00000000-0005-0000-0000-0000A85F0000}"/>
    <cellStyle name="Normal 5 2 2 2 3 3 2 2" xfId="8938" xr:uid="{00000000-0005-0000-0000-0000A95F0000}"/>
    <cellStyle name="Normal 5 2 2 2 3 3 2 2 2" xfId="18262" xr:uid="{00000000-0005-0000-0000-0000AA5F0000}"/>
    <cellStyle name="Normal 5 2 2 2 3 3 2 2 3" xfId="27585" xr:uid="{00000000-0005-0000-0000-0000AB5F0000}"/>
    <cellStyle name="Normal 5 2 2 2 3 3 2 3" xfId="13595" xr:uid="{00000000-0005-0000-0000-0000AC5F0000}"/>
    <cellStyle name="Normal 5 2 2 2 3 3 2 4" xfId="22919" xr:uid="{00000000-0005-0000-0000-0000AD5F0000}"/>
    <cellStyle name="Normal 5 2 2 2 3 3 3" xfId="5999" xr:uid="{00000000-0005-0000-0000-0000AE5F0000}"/>
    <cellStyle name="Normal 5 2 2 2 3 3 3 2" xfId="15323" xr:uid="{00000000-0005-0000-0000-0000AF5F0000}"/>
    <cellStyle name="Normal 5 2 2 2 3 3 3 3" xfId="24646" xr:uid="{00000000-0005-0000-0000-0000B05F0000}"/>
    <cellStyle name="Normal 5 2 2 2 3 3 4" xfId="12040" xr:uid="{00000000-0005-0000-0000-0000B15F0000}"/>
    <cellStyle name="Normal 5 2 2 2 3 3 5" xfId="21366" xr:uid="{00000000-0005-0000-0000-0000B25F0000}"/>
    <cellStyle name="Normal 5 2 2 2 3 4" xfId="4258" xr:uid="{00000000-0005-0000-0000-0000B35F0000}"/>
    <cellStyle name="Normal 5 2 2 2 3 4 2" xfId="8935" xr:uid="{00000000-0005-0000-0000-0000B45F0000}"/>
    <cellStyle name="Normal 5 2 2 2 3 4 2 2" xfId="18259" xr:uid="{00000000-0005-0000-0000-0000B55F0000}"/>
    <cellStyle name="Normal 5 2 2 2 3 4 2 3" xfId="27582" xr:uid="{00000000-0005-0000-0000-0000B65F0000}"/>
    <cellStyle name="Normal 5 2 2 2 3 4 3" xfId="13592" xr:uid="{00000000-0005-0000-0000-0000B75F0000}"/>
    <cellStyle name="Normal 5 2 2 2 3 4 4" xfId="22916" xr:uid="{00000000-0005-0000-0000-0000B85F0000}"/>
    <cellStyle name="Normal 5 2 2 2 3 5" xfId="5996" xr:uid="{00000000-0005-0000-0000-0000B95F0000}"/>
    <cellStyle name="Normal 5 2 2 2 3 5 2" xfId="15320" xr:uid="{00000000-0005-0000-0000-0000BA5F0000}"/>
    <cellStyle name="Normal 5 2 2 2 3 5 3" xfId="24643" xr:uid="{00000000-0005-0000-0000-0000BB5F0000}"/>
    <cellStyle name="Normal 5 2 2 2 3 6" xfId="12037" xr:uid="{00000000-0005-0000-0000-0000BC5F0000}"/>
    <cellStyle name="Normal 5 2 2 2 3 7" xfId="21363" xr:uid="{00000000-0005-0000-0000-0000BD5F0000}"/>
    <cellStyle name="Normal 5 2 2 2 3 8" xfId="28797" xr:uid="{00000000-0005-0000-0000-0000BE5F0000}"/>
    <cellStyle name="Normal 5 2 2 2 4" xfId="2581" xr:uid="{00000000-0005-0000-0000-0000BF5F0000}"/>
    <cellStyle name="Normal 5 2 2 2 4 2" xfId="2582" xr:uid="{00000000-0005-0000-0000-0000C05F0000}"/>
    <cellStyle name="Normal 5 2 2 2 4 2 2" xfId="4263" xr:uid="{00000000-0005-0000-0000-0000C15F0000}"/>
    <cellStyle name="Normal 5 2 2 2 4 2 2 2" xfId="8940" xr:uid="{00000000-0005-0000-0000-0000C25F0000}"/>
    <cellStyle name="Normal 5 2 2 2 4 2 2 2 2" xfId="18264" xr:uid="{00000000-0005-0000-0000-0000C35F0000}"/>
    <cellStyle name="Normal 5 2 2 2 4 2 2 2 3" xfId="27587" xr:uid="{00000000-0005-0000-0000-0000C45F0000}"/>
    <cellStyle name="Normal 5 2 2 2 4 2 2 3" xfId="13597" xr:uid="{00000000-0005-0000-0000-0000C55F0000}"/>
    <cellStyle name="Normal 5 2 2 2 4 2 2 4" xfId="22921" xr:uid="{00000000-0005-0000-0000-0000C65F0000}"/>
    <cellStyle name="Normal 5 2 2 2 4 2 3" xfId="6001" xr:uid="{00000000-0005-0000-0000-0000C75F0000}"/>
    <cellStyle name="Normal 5 2 2 2 4 2 3 2" xfId="15325" xr:uid="{00000000-0005-0000-0000-0000C85F0000}"/>
    <cellStyle name="Normal 5 2 2 2 4 2 3 3" xfId="24648" xr:uid="{00000000-0005-0000-0000-0000C95F0000}"/>
    <cellStyle name="Normal 5 2 2 2 4 2 4" xfId="12042" xr:uid="{00000000-0005-0000-0000-0000CA5F0000}"/>
    <cellStyle name="Normal 5 2 2 2 4 2 5" xfId="21368" xr:uid="{00000000-0005-0000-0000-0000CB5F0000}"/>
    <cellStyle name="Normal 5 2 2 2 4 3" xfId="4262" xr:uid="{00000000-0005-0000-0000-0000CC5F0000}"/>
    <cellStyle name="Normal 5 2 2 2 4 3 2" xfId="8939" xr:uid="{00000000-0005-0000-0000-0000CD5F0000}"/>
    <cellStyle name="Normal 5 2 2 2 4 3 2 2" xfId="18263" xr:uid="{00000000-0005-0000-0000-0000CE5F0000}"/>
    <cellStyle name="Normal 5 2 2 2 4 3 2 3" xfId="27586" xr:uid="{00000000-0005-0000-0000-0000CF5F0000}"/>
    <cellStyle name="Normal 5 2 2 2 4 3 3" xfId="13596" xr:uid="{00000000-0005-0000-0000-0000D05F0000}"/>
    <cellStyle name="Normal 5 2 2 2 4 3 4" xfId="22920" xr:uid="{00000000-0005-0000-0000-0000D15F0000}"/>
    <cellStyle name="Normal 5 2 2 2 4 4" xfId="6000" xr:uid="{00000000-0005-0000-0000-0000D25F0000}"/>
    <cellStyle name="Normal 5 2 2 2 4 4 2" xfId="15324" xr:uid="{00000000-0005-0000-0000-0000D35F0000}"/>
    <cellStyle name="Normal 5 2 2 2 4 4 3" xfId="24647" xr:uid="{00000000-0005-0000-0000-0000D45F0000}"/>
    <cellStyle name="Normal 5 2 2 2 4 5" xfId="12041" xr:uid="{00000000-0005-0000-0000-0000D55F0000}"/>
    <cellStyle name="Normal 5 2 2 2 4 6" xfId="21367" xr:uid="{00000000-0005-0000-0000-0000D65F0000}"/>
    <cellStyle name="Normal 5 2 2 2 5" xfId="2583" xr:uid="{00000000-0005-0000-0000-0000D75F0000}"/>
    <cellStyle name="Normal 5 2 2 2 5 2" xfId="4264" xr:uid="{00000000-0005-0000-0000-0000D85F0000}"/>
    <cellStyle name="Normal 5 2 2 2 5 2 2" xfId="8941" xr:uid="{00000000-0005-0000-0000-0000D95F0000}"/>
    <cellStyle name="Normal 5 2 2 2 5 2 2 2" xfId="18265" xr:uid="{00000000-0005-0000-0000-0000DA5F0000}"/>
    <cellStyle name="Normal 5 2 2 2 5 2 2 3" xfId="27588" xr:uid="{00000000-0005-0000-0000-0000DB5F0000}"/>
    <cellStyle name="Normal 5 2 2 2 5 2 3" xfId="13598" xr:uid="{00000000-0005-0000-0000-0000DC5F0000}"/>
    <cellStyle name="Normal 5 2 2 2 5 2 4" xfId="22922" xr:uid="{00000000-0005-0000-0000-0000DD5F0000}"/>
    <cellStyle name="Normal 5 2 2 2 5 3" xfId="6002" xr:uid="{00000000-0005-0000-0000-0000DE5F0000}"/>
    <cellStyle name="Normal 5 2 2 2 5 3 2" xfId="15326" xr:uid="{00000000-0005-0000-0000-0000DF5F0000}"/>
    <cellStyle name="Normal 5 2 2 2 5 3 3" xfId="24649" xr:uid="{00000000-0005-0000-0000-0000E05F0000}"/>
    <cellStyle name="Normal 5 2 2 2 5 4" xfId="12043" xr:uid="{00000000-0005-0000-0000-0000E15F0000}"/>
    <cellStyle name="Normal 5 2 2 2 5 5" xfId="21369" xr:uid="{00000000-0005-0000-0000-0000E25F0000}"/>
    <cellStyle name="Normal 5 2 2 2 6" xfId="2584" xr:uid="{00000000-0005-0000-0000-0000E35F0000}"/>
    <cellStyle name="Normal 5 2 2 2 6 2" xfId="4265" xr:uid="{00000000-0005-0000-0000-0000E45F0000}"/>
    <cellStyle name="Normal 5 2 2 2 6 2 2" xfId="8942" xr:uid="{00000000-0005-0000-0000-0000E55F0000}"/>
    <cellStyle name="Normal 5 2 2 2 6 2 2 2" xfId="18266" xr:uid="{00000000-0005-0000-0000-0000E65F0000}"/>
    <cellStyle name="Normal 5 2 2 2 6 2 2 3" xfId="27589" xr:uid="{00000000-0005-0000-0000-0000E75F0000}"/>
    <cellStyle name="Normal 5 2 2 2 6 2 3" xfId="13599" xr:uid="{00000000-0005-0000-0000-0000E85F0000}"/>
    <cellStyle name="Normal 5 2 2 2 6 2 4" xfId="22923" xr:uid="{00000000-0005-0000-0000-0000E95F0000}"/>
    <cellStyle name="Normal 5 2 2 2 6 3" xfId="6003" xr:uid="{00000000-0005-0000-0000-0000EA5F0000}"/>
    <cellStyle name="Normal 5 2 2 2 6 3 2" xfId="15327" xr:uid="{00000000-0005-0000-0000-0000EB5F0000}"/>
    <cellStyle name="Normal 5 2 2 2 6 3 3" xfId="24650" xr:uid="{00000000-0005-0000-0000-0000EC5F0000}"/>
    <cellStyle name="Normal 5 2 2 2 6 4" xfId="12044" xr:uid="{00000000-0005-0000-0000-0000ED5F0000}"/>
    <cellStyle name="Normal 5 2 2 2 6 5" xfId="21370" xr:uid="{00000000-0005-0000-0000-0000EE5F0000}"/>
    <cellStyle name="Normal 5 2 2 2 7" xfId="2585" xr:uid="{00000000-0005-0000-0000-0000EF5F0000}"/>
    <cellStyle name="Normal 5 2 2 2 7 2" xfId="4266" xr:uid="{00000000-0005-0000-0000-0000F05F0000}"/>
    <cellStyle name="Normal 5 2 2 2 7 2 2" xfId="8943" xr:uid="{00000000-0005-0000-0000-0000F15F0000}"/>
    <cellStyle name="Normal 5 2 2 2 7 2 2 2" xfId="18267" xr:uid="{00000000-0005-0000-0000-0000F25F0000}"/>
    <cellStyle name="Normal 5 2 2 2 7 2 2 3" xfId="27590" xr:uid="{00000000-0005-0000-0000-0000F35F0000}"/>
    <cellStyle name="Normal 5 2 2 2 7 2 3" xfId="13600" xr:uid="{00000000-0005-0000-0000-0000F45F0000}"/>
    <cellStyle name="Normal 5 2 2 2 7 2 4" xfId="22924" xr:uid="{00000000-0005-0000-0000-0000F55F0000}"/>
    <cellStyle name="Normal 5 2 2 2 7 3" xfId="6004" xr:uid="{00000000-0005-0000-0000-0000F65F0000}"/>
    <cellStyle name="Normal 5 2 2 2 7 3 2" xfId="15328" xr:uid="{00000000-0005-0000-0000-0000F75F0000}"/>
    <cellStyle name="Normal 5 2 2 2 7 3 3" xfId="24651" xr:uid="{00000000-0005-0000-0000-0000F85F0000}"/>
    <cellStyle name="Normal 5 2 2 2 7 4" xfId="12045" xr:uid="{00000000-0005-0000-0000-0000F95F0000}"/>
    <cellStyle name="Normal 5 2 2 2 7 5" xfId="21371" xr:uid="{00000000-0005-0000-0000-0000FA5F0000}"/>
    <cellStyle name="Normal 5 2 2 2 8" xfId="2572" xr:uid="{00000000-0005-0000-0000-0000FB5F0000}"/>
    <cellStyle name="Normal 5 2 2 2 8 2" xfId="7546" xr:uid="{00000000-0005-0000-0000-0000FC5F0000}"/>
    <cellStyle name="Normal 5 2 2 2 8 2 2" xfId="16870" xr:uid="{00000000-0005-0000-0000-0000FD5F0000}"/>
    <cellStyle name="Normal 5 2 2 2 8 2 3" xfId="26193" xr:uid="{00000000-0005-0000-0000-0000FE5F0000}"/>
    <cellStyle name="Normal 5 2 2 2 8 3" xfId="12032" xr:uid="{00000000-0005-0000-0000-0000FF5F0000}"/>
    <cellStyle name="Normal 5 2 2 2 8 4" xfId="21358" xr:uid="{00000000-0005-0000-0000-000000600000}"/>
    <cellStyle name="Normal 5 2 2 2 9" xfId="4253" xr:uid="{00000000-0005-0000-0000-000001600000}"/>
    <cellStyle name="Normal 5 2 2 2 9 2" xfId="8930" xr:uid="{00000000-0005-0000-0000-000002600000}"/>
    <cellStyle name="Normal 5 2 2 2 9 2 2" xfId="18254" xr:uid="{00000000-0005-0000-0000-000003600000}"/>
    <cellStyle name="Normal 5 2 2 2 9 2 3" xfId="27577" xr:uid="{00000000-0005-0000-0000-000004600000}"/>
    <cellStyle name="Normal 5 2 2 2 9 3" xfId="13587" xr:uid="{00000000-0005-0000-0000-000005600000}"/>
    <cellStyle name="Normal 5 2 2 2 9 4" xfId="22911" xr:uid="{00000000-0005-0000-0000-000006600000}"/>
    <cellStyle name="Normal 5 2 2 3" xfId="861" xr:uid="{00000000-0005-0000-0000-000007600000}"/>
    <cellStyle name="Normal 5 2 2 3 2" xfId="2587" xr:uid="{00000000-0005-0000-0000-000008600000}"/>
    <cellStyle name="Normal 5 2 2 3 2 2" xfId="2588" xr:uid="{00000000-0005-0000-0000-000009600000}"/>
    <cellStyle name="Normal 5 2 2 3 2 2 2" xfId="4269" xr:uid="{00000000-0005-0000-0000-00000A600000}"/>
    <cellStyle name="Normal 5 2 2 3 2 2 2 2" xfId="8946" xr:uid="{00000000-0005-0000-0000-00000B600000}"/>
    <cellStyle name="Normal 5 2 2 3 2 2 2 2 2" xfId="18270" xr:uid="{00000000-0005-0000-0000-00000C600000}"/>
    <cellStyle name="Normal 5 2 2 3 2 2 2 2 3" xfId="27593" xr:uid="{00000000-0005-0000-0000-00000D600000}"/>
    <cellStyle name="Normal 5 2 2 3 2 2 2 3" xfId="13603" xr:uid="{00000000-0005-0000-0000-00000E600000}"/>
    <cellStyle name="Normal 5 2 2 3 2 2 2 4" xfId="22927" xr:uid="{00000000-0005-0000-0000-00000F600000}"/>
    <cellStyle name="Normal 5 2 2 3 2 2 3" xfId="6007" xr:uid="{00000000-0005-0000-0000-000010600000}"/>
    <cellStyle name="Normal 5 2 2 3 2 2 3 2" xfId="15331" xr:uid="{00000000-0005-0000-0000-000011600000}"/>
    <cellStyle name="Normal 5 2 2 3 2 2 3 3" xfId="24654" xr:uid="{00000000-0005-0000-0000-000012600000}"/>
    <cellStyle name="Normal 5 2 2 3 2 2 4" xfId="12048" xr:uid="{00000000-0005-0000-0000-000013600000}"/>
    <cellStyle name="Normal 5 2 2 3 2 2 5" xfId="21374" xr:uid="{00000000-0005-0000-0000-000014600000}"/>
    <cellStyle name="Normal 5 2 2 3 2 3" xfId="4268" xr:uid="{00000000-0005-0000-0000-000015600000}"/>
    <cellStyle name="Normal 5 2 2 3 2 3 2" xfId="8945" xr:uid="{00000000-0005-0000-0000-000016600000}"/>
    <cellStyle name="Normal 5 2 2 3 2 3 2 2" xfId="18269" xr:uid="{00000000-0005-0000-0000-000017600000}"/>
    <cellStyle name="Normal 5 2 2 3 2 3 2 3" xfId="27592" xr:uid="{00000000-0005-0000-0000-000018600000}"/>
    <cellStyle name="Normal 5 2 2 3 2 3 3" xfId="13602" xr:uid="{00000000-0005-0000-0000-000019600000}"/>
    <cellStyle name="Normal 5 2 2 3 2 3 4" xfId="22926" xr:uid="{00000000-0005-0000-0000-00001A600000}"/>
    <cellStyle name="Normal 5 2 2 3 2 4" xfId="6006" xr:uid="{00000000-0005-0000-0000-00001B600000}"/>
    <cellStyle name="Normal 5 2 2 3 2 4 2" xfId="15330" xr:uid="{00000000-0005-0000-0000-00001C600000}"/>
    <cellStyle name="Normal 5 2 2 3 2 4 3" xfId="24653" xr:uid="{00000000-0005-0000-0000-00001D600000}"/>
    <cellStyle name="Normal 5 2 2 3 2 5" xfId="12047" xr:uid="{00000000-0005-0000-0000-00001E600000}"/>
    <cellStyle name="Normal 5 2 2 3 2 6" xfId="21373" xr:uid="{00000000-0005-0000-0000-00001F600000}"/>
    <cellStyle name="Normal 5 2 2 3 3" xfId="2589" xr:uid="{00000000-0005-0000-0000-000020600000}"/>
    <cellStyle name="Normal 5 2 2 3 3 2" xfId="4270" xr:uid="{00000000-0005-0000-0000-000021600000}"/>
    <cellStyle name="Normal 5 2 2 3 3 2 2" xfId="8947" xr:uid="{00000000-0005-0000-0000-000022600000}"/>
    <cellStyle name="Normal 5 2 2 3 3 2 2 2" xfId="18271" xr:uid="{00000000-0005-0000-0000-000023600000}"/>
    <cellStyle name="Normal 5 2 2 3 3 2 2 3" xfId="27594" xr:uid="{00000000-0005-0000-0000-000024600000}"/>
    <cellStyle name="Normal 5 2 2 3 3 2 3" xfId="13604" xr:uid="{00000000-0005-0000-0000-000025600000}"/>
    <cellStyle name="Normal 5 2 2 3 3 2 4" xfId="22928" xr:uid="{00000000-0005-0000-0000-000026600000}"/>
    <cellStyle name="Normal 5 2 2 3 3 3" xfId="6008" xr:uid="{00000000-0005-0000-0000-000027600000}"/>
    <cellStyle name="Normal 5 2 2 3 3 3 2" xfId="15332" xr:uid="{00000000-0005-0000-0000-000028600000}"/>
    <cellStyle name="Normal 5 2 2 3 3 3 3" xfId="24655" xr:uid="{00000000-0005-0000-0000-000029600000}"/>
    <cellStyle name="Normal 5 2 2 3 3 4" xfId="12049" xr:uid="{00000000-0005-0000-0000-00002A600000}"/>
    <cellStyle name="Normal 5 2 2 3 3 5" xfId="21375" xr:uid="{00000000-0005-0000-0000-00002B600000}"/>
    <cellStyle name="Normal 5 2 2 3 4" xfId="2586" xr:uid="{00000000-0005-0000-0000-00002C600000}"/>
    <cellStyle name="Normal 5 2 2 3 4 2" xfId="7548" xr:uid="{00000000-0005-0000-0000-00002D600000}"/>
    <cellStyle name="Normal 5 2 2 3 4 2 2" xfId="16872" xr:uid="{00000000-0005-0000-0000-00002E600000}"/>
    <cellStyle name="Normal 5 2 2 3 4 2 3" xfId="26195" xr:uid="{00000000-0005-0000-0000-00002F600000}"/>
    <cellStyle name="Normal 5 2 2 3 4 3" xfId="12046" xr:uid="{00000000-0005-0000-0000-000030600000}"/>
    <cellStyle name="Normal 5 2 2 3 4 4" xfId="21372" xr:uid="{00000000-0005-0000-0000-000031600000}"/>
    <cellStyle name="Normal 5 2 2 3 5" xfId="4267" xr:uid="{00000000-0005-0000-0000-000032600000}"/>
    <cellStyle name="Normal 5 2 2 3 5 2" xfId="8944" xr:uid="{00000000-0005-0000-0000-000033600000}"/>
    <cellStyle name="Normal 5 2 2 3 5 2 2" xfId="18268" xr:uid="{00000000-0005-0000-0000-000034600000}"/>
    <cellStyle name="Normal 5 2 2 3 5 2 3" xfId="27591" xr:uid="{00000000-0005-0000-0000-000035600000}"/>
    <cellStyle name="Normal 5 2 2 3 5 3" xfId="13601" xr:uid="{00000000-0005-0000-0000-000036600000}"/>
    <cellStyle name="Normal 5 2 2 3 5 4" xfId="22925" xr:uid="{00000000-0005-0000-0000-000037600000}"/>
    <cellStyle name="Normal 5 2 2 3 6" xfId="6005" xr:uid="{00000000-0005-0000-0000-000038600000}"/>
    <cellStyle name="Normal 5 2 2 3 6 2" xfId="15329" xr:uid="{00000000-0005-0000-0000-000039600000}"/>
    <cellStyle name="Normal 5 2 2 3 6 3" xfId="24652" xr:uid="{00000000-0005-0000-0000-00003A600000}"/>
    <cellStyle name="Normal 5 2 2 3 7" xfId="10462" xr:uid="{00000000-0005-0000-0000-00003B600000}"/>
    <cellStyle name="Normal 5 2 2 3 8" xfId="19786" xr:uid="{00000000-0005-0000-0000-00003C600000}"/>
    <cellStyle name="Normal 5 2 2 3 9" xfId="28861" xr:uid="{00000000-0005-0000-0000-00003D600000}"/>
    <cellStyle name="Normal 5 2 2 4" xfId="2590" xr:uid="{00000000-0005-0000-0000-00003E600000}"/>
    <cellStyle name="Normal 5 2 2 4 2" xfId="2591" xr:uid="{00000000-0005-0000-0000-00003F600000}"/>
    <cellStyle name="Normal 5 2 2 4 2 2" xfId="2592" xr:uid="{00000000-0005-0000-0000-000040600000}"/>
    <cellStyle name="Normal 5 2 2 4 2 2 2" xfId="4273" xr:uid="{00000000-0005-0000-0000-000041600000}"/>
    <cellStyle name="Normal 5 2 2 4 2 2 2 2" xfId="8950" xr:uid="{00000000-0005-0000-0000-000042600000}"/>
    <cellStyle name="Normal 5 2 2 4 2 2 2 2 2" xfId="18274" xr:uid="{00000000-0005-0000-0000-000043600000}"/>
    <cellStyle name="Normal 5 2 2 4 2 2 2 2 3" xfId="27597" xr:uid="{00000000-0005-0000-0000-000044600000}"/>
    <cellStyle name="Normal 5 2 2 4 2 2 2 3" xfId="13607" xr:uid="{00000000-0005-0000-0000-000045600000}"/>
    <cellStyle name="Normal 5 2 2 4 2 2 2 4" xfId="22931" xr:uid="{00000000-0005-0000-0000-000046600000}"/>
    <cellStyle name="Normal 5 2 2 4 2 2 3" xfId="6011" xr:uid="{00000000-0005-0000-0000-000047600000}"/>
    <cellStyle name="Normal 5 2 2 4 2 2 3 2" xfId="15335" xr:uid="{00000000-0005-0000-0000-000048600000}"/>
    <cellStyle name="Normal 5 2 2 4 2 2 3 3" xfId="24658" xr:uid="{00000000-0005-0000-0000-000049600000}"/>
    <cellStyle name="Normal 5 2 2 4 2 2 4" xfId="12052" xr:uid="{00000000-0005-0000-0000-00004A600000}"/>
    <cellStyle name="Normal 5 2 2 4 2 2 5" xfId="21378" xr:uid="{00000000-0005-0000-0000-00004B600000}"/>
    <cellStyle name="Normal 5 2 2 4 2 3" xfId="4272" xr:uid="{00000000-0005-0000-0000-00004C600000}"/>
    <cellStyle name="Normal 5 2 2 4 2 3 2" xfId="8949" xr:uid="{00000000-0005-0000-0000-00004D600000}"/>
    <cellStyle name="Normal 5 2 2 4 2 3 2 2" xfId="18273" xr:uid="{00000000-0005-0000-0000-00004E600000}"/>
    <cellStyle name="Normal 5 2 2 4 2 3 2 3" xfId="27596" xr:uid="{00000000-0005-0000-0000-00004F600000}"/>
    <cellStyle name="Normal 5 2 2 4 2 3 3" xfId="13606" xr:uid="{00000000-0005-0000-0000-000050600000}"/>
    <cellStyle name="Normal 5 2 2 4 2 3 4" xfId="22930" xr:uid="{00000000-0005-0000-0000-000051600000}"/>
    <cellStyle name="Normal 5 2 2 4 2 4" xfId="6010" xr:uid="{00000000-0005-0000-0000-000052600000}"/>
    <cellStyle name="Normal 5 2 2 4 2 4 2" xfId="15334" xr:uid="{00000000-0005-0000-0000-000053600000}"/>
    <cellStyle name="Normal 5 2 2 4 2 4 3" xfId="24657" xr:uid="{00000000-0005-0000-0000-000054600000}"/>
    <cellStyle name="Normal 5 2 2 4 2 5" xfId="12051" xr:uid="{00000000-0005-0000-0000-000055600000}"/>
    <cellStyle name="Normal 5 2 2 4 2 6" xfId="21377" xr:uid="{00000000-0005-0000-0000-000056600000}"/>
    <cellStyle name="Normal 5 2 2 4 3" xfId="2593" xr:uid="{00000000-0005-0000-0000-000057600000}"/>
    <cellStyle name="Normal 5 2 2 4 3 2" xfId="4274" xr:uid="{00000000-0005-0000-0000-000058600000}"/>
    <cellStyle name="Normal 5 2 2 4 3 2 2" xfId="8951" xr:uid="{00000000-0005-0000-0000-000059600000}"/>
    <cellStyle name="Normal 5 2 2 4 3 2 2 2" xfId="18275" xr:uid="{00000000-0005-0000-0000-00005A600000}"/>
    <cellStyle name="Normal 5 2 2 4 3 2 2 3" xfId="27598" xr:uid="{00000000-0005-0000-0000-00005B600000}"/>
    <cellStyle name="Normal 5 2 2 4 3 2 3" xfId="13608" xr:uid="{00000000-0005-0000-0000-00005C600000}"/>
    <cellStyle name="Normal 5 2 2 4 3 2 4" xfId="22932" xr:uid="{00000000-0005-0000-0000-00005D600000}"/>
    <cellStyle name="Normal 5 2 2 4 3 3" xfId="6012" xr:uid="{00000000-0005-0000-0000-00005E600000}"/>
    <cellStyle name="Normal 5 2 2 4 3 3 2" xfId="15336" xr:uid="{00000000-0005-0000-0000-00005F600000}"/>
    <cellStyle name="Normal 5 2 2 4 3 3 3" xfId="24659" xr:uid="{00000000-0005-0000-0000-000060600000}"/>
    <cellStyle name="Normal 5 2 2 4 3 4" xfId="12053" xr:uid="{00000000-0005-0000-0000-000061600000}"/>
    <cellStyle name="Normal 5 2 2 4 3 5" xfId="21379" xr:uid="{00000000-0005-0000-0000-000062600000}"/>
    <cellStyle name="Normal 5 2 2 4 4" xfId="4271" xr:uid="{00000000-0005-0000-0000-000063600000}"/>
    <cellStyle name="Normal 5 2 2 4 4 2" xfId="8948" xr:uid="{00000000-0005-0000-0000-000064600000}"/>
    <cellStyle name="Normal 5 2 2 4 4 2 2" xfId="18272" xr:uid="{00000000-0005-0000-0000-000065600000}"/>
    <cellStyle name="Normal 5 2 2 4 4 2 3" xfId="27595" xr:uid="{00000000-0005-0000-0000-000066600000}"/>
    <cellStyle name="Normal 5 2 2 4 4 3" xfId="13605" xr:uid="{00000000-0005-0000-0000-000067600000}"/>
    <cellStyle name="Normal 5 2 2 4 4 4" xfId="22929" xr:uid="{00000000-0005-0000-0000-000068600000}"/>
    <cellStyle name="Normal 5 2 2 4 5" xfId="6009" xr:uid="{00000000-0005-0000-0000-000069600000}"/>
    <cellStyle name="Normal 5 2 2 4 5 2" xfId="15333" xr:uid="{00000000-0005-0000-0000-00006A600000}"/>
    <cellStyle name="Normal 5 2 2 4 5 3" xfId="24656" xr:uid="{00000000-0005-0000-0000-00006B600000}"/>
    <cellStyle name="Normal 5 2 2 4 6" xfId="12050" xr:uid="{00000000-0005-0000-0000-00006C600000}"/>
    <cellStyle name="Normal 5 2 2 4 7" xfId="21376" xr:uid="{00000000-0005-0000-0000-00006D600000}"/>
    <cellStyle name="Normal 5 2 2 4 8" xfId="28787" xr:uid="{00000000-0005-0000-0000-00006E600000}"/>
    <cellStyle name="Normal 5 2 2 5" xfId="2594" xr:uid="{00000000-0005-0000-0000-00006F600000}"/>
    <cellStyle name="Normal 5 2 2 5 2" xfId="2595" xr:uid="{00000000-0005-0000-0000-000070600000}"/>
    <cellStyle name="Normal 5 2 2 5 2 2" xfId="4276" xr:uid="{00000000-0005-0000-0000-000071600000}"/>
    <cellStyle name="Normal 5 2 2 5 2 2 2" xfId="8953" xr:uid="{00000000-0005-0000-0000-000072600000}"/>
    <cellStyle name="Normal 5 2 2 5 2 2 2 2" xfId="18277" xr:uid="{00000000-0005-0000-0000-000073600000}"/>
    <cellStyle name="Normal 5 2 2 5 2 2 2 3" xfId="27600" xr:uid="{00000000-0005-0000-0000-000074600000}"/>
    <cellStyle name="Normal 5 2 2 5 2 2 3" xfId="13610" xr:uid="{00000000-0005-0000-0000-000075600000}"/>
    <cellStyle name="Normal 5 2 2 5 2 2 4" xfId="22934" xr:uid="{00000000-0005-0000-0000-000076600000}"/>
    <cellStyle name="Normal 5 2 2 5 2 3" xfId="6014" xr:uid="{00000000-0005-0000-0000-000077600000}"/>
    <cellStyle name="Normal 5 2 2 5 2 3 2" xfId="15338" xr:uid="{00000000-0005-0000-0000-000078600000}"/>
    <cellStyle name="Normal 5 2 2 5 2 3 3" xfId="24661" xr:uid="{00000000-0005-0000-0000-000079600000}"/>
    <cellStyle name="Normal 5 2 2 5 2 4" xfId="12055" xr:uid="{00000000-0005-0000-0000-00007A600000}"/>
    <cellStyle name="Normal 5 2 2 5 2 5" xfId="21381" xr:uid="{00000000-0005-0000-0000-00007B600000}"/>
    <cellStyle name="Normal 5 2 2 5 3" xfId="4275" xr:uid="{00000000-0005-0000-0000-00007C600000}"/>
    <cellStyle name="Normal 5 2 2 5 3 2" xfId="8952" xr:uid="{00000000-0005-0000-0000-00007D600000}"/>
    <cellStyle name="Normal 5 2 2 5 3 2 2" xfId="18276" xr:uid="{00000000-0005-0000-0000-00007E600000}"/>
    <cellStyle name="Normal 5 2 2 5 3 2 3" xfId="27599" xr:uid="{00000000-0005-0000-0000-00007F600000}"/>
    <cellStyle name="Normal 5 2 2 5 3 3" xfId="13609" xr:uid="{00000000-0005-0000-0000-000080600000}"/>
    <cellStyle name="Normal 5 2 2 5 3 4" xfId="22933" xr:uid="{00000000-0005-0000-0000-000081600000}"/>
    <cellStyle name="Normal 5 2 2 5 4" xfId="6013" xr:uid="{00000000-0005-0000-0000-000082600000}"/>
    <cellStyle name="Normal 5 2 2 5 4 2" xfId="15337" xr:uid="{00000000-0005-0000-0000-000083600000}"/>
    <cellStyle name="Normal 5 2 2 5 4 3" xfId="24660" xr:uid="{00000000-0005-0000-0000-000084600000}"/>
    <cellStyle name="Normal 5 2 2 5 5" xfId="12054" xr:uid="{00000000-0005-0000-0000-000085600000}"/>
    <cellStyle name="Normal 5 2 2 5 6" xfId="21380" xr:uid="{00000000-0005-0000-0000-000086600000}"/>
    <cellStyle name="Normal 5 2 2 6" xfId="2596" xr:uid="{00000000-0005-0000-0000-000087600000}"/>
    <cellStyle name="Normal 5 2 2 6 2" xfId="4277" xr:uid="{00000000-0005-0000-0000-000088600000}"/>
    <cellStyle name="Normal 5 2 2 6 2 2" xfId="8954" xr:uid="{00000000-0005-0000-0000-000089600000}"/>
    <cellStyle name="Normal 5 2 2 6 2 2 2" xfId="18278" xr:uid="{00000000-0005-0000-0000-00008A600000}"/>
    <cellStyle name="Normal 5 2 2 6 2 2 3" xfId="27601" xr:uid="{00000000-0005-0000-0000-00008B600000}"/>
    <cellStyle name="Normal 5 2 2 6 2 3" xfId="13611" xr:uid="{00000000-0005-0000-0000-00008C600000}"/>
    <cellStyle name="Normal 5 2 2 6 2 4" xfId="22935" xr:uid="{00000000-0005-0000-0000-00008D600000}"/>
    <cellStyle name="Normal 5 2 2 6 3" xfId="6015" xr:uid="{00000000-0005-0000-0000-00008E600000}"/>
    <cellStyle name="Normal 5 2 2 6 3 2" xfId="15339" xr:uid="{00000000-0005-0000-0000-00008F600000}"/>
    <cellStyle name="Normal 5 2 2 6 3 3" xfId="24662" xr:uid="{00000000-0005-0000-0000-000090600000}"/>
    <cellStyle name="Normal 5 2 2 6 4" xfId="12056" xr:uid="{00000000-0005-0000-0000-000091600000}"/>
    <cellStyle name="Normal 5 2 2 6 5" xfId="21382" xr:uid="{00000000-0005-0000-0000-000092600000}"/>
    <cellStyle name="Normal 5 2 2 7" xfId="2597" xr:uid="{00000000-0005-0000-0000-000093600000}"/>
    <cellStyle name="Normal 5 2 2 7 2" xfId="4278" xr:uid="{00000000-0005-0000-0000-000094600000}"/>
    <cellStyle name="Normal 5 2 2 7 2 2" xfId="8955" xr:uid="{00000000-0005-0000-0000-000095600000}"/>
    <cellStyle name="Normal 5 2 2 7 2 2 2" xfId="18279" xr:uid="{00000000-0005-0000-0000-000096600000}"/>
    <cellStyle name="Normal 5 2 2 7 2 2 3" xfId="27602" xr:uid="{00000000-0005-0000-0000-000097600000}"/>
    <cellStyle name="Normal 5 2 2 7 2 3" xfId="13612" xr:uid="{00000000-0005-0000-0000-000098600000}"/>
    <cellStyle name="Normal 5 2 2 7 2 4" xfId="22936" xr:uid="{00000000-0005-0000-0000-000099600000}"/>
    <cellStyle name="Normal 5 2 2 7 3" xfId="6016" xr:uid="{00000000-0005-0000-0000-00009A600000}"/>
    <cellStyle name="Normal 5 2 2 7 3 2" xfId="15340" xr:uid="{00000000-0005-0000-0000-00009B600000}"/>
    <cellStyle name="Normal 5 2 2 7 3 3" xfId="24663" xr:uid="{00000000-0005-0000-0000-00009C600000}"/>
    <cellStyle name="Normal 5 2 2 7 4" xfId="12057" xr:uid="{00000000-0005-0000-0000-00009D600000}"/>
    <cellStyle name="Normal 5 2 2 7 5" xfId="21383" xr:uid="{00000000-0005-0000-0000-00009E600000}"/>
    <cellStyle name="Normal 5 2 2 8" xfId="2598" xr:uid="{00000000-0005-0000-0000-00009F600000}"/>
    <cellStyle name="Normal 5 2 2 8 2" xfId="4279" xr:uid="{00000000-0005-0000-0000-0000A0600000}"/>
    <cellStyle name="Normal 5 2 2 8 2 2" xfId="8956" xr:uid="{00000000-0005-0000-0000-0000A1600000}"/>
    <cellStyle name="Normal 5 2 2 8 2 2 2" xfId="18280" xr:uid="{00000000-0005-0000-0000-0000A2600000}"/>
    <cellStyle name="Normal 5 2 2 8 2 2 3" xfId="27603" xr:uid="{00000000-0005-0000-0000-0000A3600000}"/>
    <cellStyle name="Normal 5 2 2 8 2 3" xfId="13613" xr:uid="{00000000-0005-0000-0000-0000A4600000}"/>
    <cellStyle name="Normal 5 2 2 8 2 4" xfId="22937" xr:uid="{00000000-0005-0000-0000-0000A5600000}"/>
    <cellStyle name="Normal 5 2 2 8 3" xfId="6017" xr:uid="{00000000-0005-0000-0000-0000A6600000}"/>
    <cellStyle name="Normal 5 2 2 8 3 2" xfId="15341" xr:uid="{00000000-0005-0000-0000-0000A7600000}"/>
    <cellStyle name="Normal 5 2 2 8 3 3" xfId="24664" xr:uid="{00000000-0005-0000-0000-0000A8600000}"/>
    <cellStyle name="Normal 5 2 2 8 4" xfId="12058" xr:uid="{00000000-0005-0000-0000-0000A9600000}"/>
    <cellStyle name="Normal 5 2 2 8 5" xfId="21384" xr:uid="{00000000-0005-0000-0000-0000AA600000}"/>
    <cellStyle name="Normal 5 2 2 9" xfId="2571" xr:uid="{00000000-0005-0000-0000-0000AB600000}"/>
    <cellStyle name="Normal 5 2 2 9 2" xfId="7545" xr:uid="{00000000-0005-0000-0000-0000AC600000}"/>
    <cellStyle name="Normal 5 2 2 9 2 2" xfId="16869" xr:uid="{00000000-0005-0000-0000-0000AD600000}"/>
    <cellStyle name="Normal 5 2 2 9 2 3" xfId="26192" xr:uid="{00000000-0005-0000-0000-0000AE600000}"/>
    <cellStyle name="Normal 5 2 2 9 3" xfId="12031" xr:uid="{00000000-0005-0000-0000-0000AF600000}"/>
    <cellStyle name="Normal 5 2 2 9 4" xfId="21357" xr:uid="{00000000-0005-0000-0000-0000B0600000}"/>
    <cellStyle name="Normal 5 2 3" xfId="491" xr:uid="{00000000-0005-0000-0000-0000B1600000}"/>
    <cellStyle name="Normal 5 2 3 10" xfId="2600" xr:uid="{00000000-0005-0000-0000-0000B2600000}"/>
    <cellStyle name="Normal 5 2 3 10 2" xfId="4281" xr:uid="{00000000-0005-0000-0000-0000B3600000}"/>
    <cellStyle name="Normal 5 2 3 10 2 2" xfId="8958" xr:uid="{00000000-0005-0000-0000-0000B4600000}"/>
    <cellStyle name="Normal 5 2 3 10 2 2 2" xfId="18282" xr:uid="{00000000-0005-0000-0000-0000B5600000}"/>
    <cellStyle name="Normal 5 2 3 10 2 2 3" xfId="27605" xr:uid="{00000000-0005-0000-0000-0000B6600000}"/>
    <cellStyle name="Normal 5 2 3 10 2 3" xfId="13615" xr:uid="{00000000-0005-0000-0000-0000B7600000}"/>
    <cellStyle name="Normal 5 2 3 10 2 4" xfId="22939" xr:uid="{00000000-0005-0000-0000-0000B8600000}"/>
    <cellStyle name="Normal 5 2 3 10 3" xfId="6019" xr:uid="{00000000-0005-0000-0000-0000B9600000}"/>
    <cellStyle name="Normal 5 2 3 10 3 2" xfId="15343" xr:uid="{00000000-0005-0000-0000-0000BA600000}"/>
    <cellStyle name="Normal 5 2 3 10 3 3" xfId="24666" xr:uid="{00000000-0005-0000-0000-0000BB600000}"/>
    <cellStyle name="Normal 5 2 3 10 4" xfId="12060" xr:uid="{00000000-0005-0000-0000-0000BC600000}"/>
    <cellStyle name="Normal 5 2 3 10 5" xfId="21386" xr:uid="{00000000-0005-0000-0000-0000BD600000}"/>
    <cellStyle name="Normal 5 2 3 11" xfId="2599" xr:uid="{00000000-0005-0000-0000-0000BE600000}"/>
    <cellStyle name="Normal 5 2 3 11 2" xfId="7549" xr:uid="{00000000-0005-0000-0000-0000BF600000}"/>
    <cellStyle name="Normal 5 2 3 11 2 2" xfId="16873" xr:uid="{00000000-0005-0000-0000-0000C0600000}"/>
    <cellStyle name="Normal 5 2 3 11 2 3" xfId="26196" xr:uid="{00000000-0005-0000-0000-0000C1600000}"/>
    <cellStyle name="Normal 5 2 3 11 3" xfId="12059" xr:uid="{00000000-0005-0000-0000-0000C2600000}"/>
    <cellStyle name="Normal 5 2 3 11 4" xfId="21385" xr:uid="{00000000-0005-0000-0000-0000C3600000}"/>
    <cellStyle name="Normal 5 2 3 12" xfId="4280" xr:uid="{00000000-0005-0000-0000-0000C4600000}"/>
    <cellStyle name="Normal 5 2 3 12 2" xfId="8957" xr:uid="{00000000-0005-0000-0000-0000C5600000}"/>
    <cellStyle name="Normal 5 2 3 12 2 2" xfId="18281" xr:uid="{00000000-0005-0000-0000-0000C6600000}"/>
    <cellStyle name="Normal 5 2 3 12 2 3" xfId="27604" xr:uid="{00000000-0005-0000-0000-0000C7600000}"/>
    <cellStyle name="Normal 5 2 3 12 3" xfId="13614" xr:uid="{00000000-0005-0000-0000-0000C8600000}"/>
    <cellStyle name="Normal 5 2 3 12 4" xfId="22938" xr:uid="{00000000-0005-0000-0000-0000C9600000}"/>
    <cellStyle name="Normal 5 2 3 13" xfId="6018" xr:uid="{00000000-0005-0000-0000-0000CA600000}"/>
    <cellStyle name="Normal 5 2 3 13 2" xfId="15342" xr:uid="{00000000-0005-0000-0000-0000CB600000}"/>
    <cellStyle name="Normal 5 2 3 13 3" xfId="24665" xr:uid="{00000000-0005-0000-0000-0000CC600000}"/>
    <cellStyle name="Normal 5 2 3 14" xfId="9602" xr:uid="{00000000-0005-0000-0000-0000CD600000}"/>
    <cellStyle name="Normal 5 2 3 14 2" xfId="18926" xr:uid="{00000000-0005-0000-0000-0000CE600000}"/>
    <cellStyle name="Normal 5 2 3 14 3" xfId="28249" xr:uid="{00000000-0005-0000-0000-0000CF600000}"/>
    <cellStyle name="Normal 5 2 3 15" xfId="10096" xr:uid="{00000000-0005-0000-0000-0000D0600000}"/>
    <cellStyle name="Normal 5 2 3 16" xfId="19420" xr:uid="{00000000-0005-0000-0000-0000D1600000}"/>
    <cellStyle name="Normal 5 2 3 17" xfId="28737" xr:uid="{00000000-0005-0000-0000-0000D2600000}"/>
    <cellStyle name="Normal 5 2 3 2" xfId="979" xr:uid="{00000000-0005-0000-0000-0000D3600000}"/>
    <cellStyle name="Normal 5 2 3 2 10" xfId="4282" xr:uid="{00000000-0005-0000-0000-0000D4600000}"/>
    <cellStyle name="Normal 5 2 3 2 10 2" xfId="8959" xr:uid="{00000000-0005-0000-0000-0000D5600000}"/>
    <cellStyle name="Normal 5 2 3 2 10 2 2" xfId="18283" xr:uid="{00000000-0005-0000-0000-0000D6600000}"/>
    <cellStyle name="Normal 5 2 3 2 10 2 3" xfId="27606" xr:uid="{00000000-0005-0000-0000-0000D7600000}"/>
    <cellStyle name="Normal 5 2 3 2 10 3" xfId="13616" xr:uid="{00000000-0005-0000-0000-0000D8600000}"/>
    <cellStyle name="Normal 5 2 3 2 10 4" xfId="22940" xr:uid="{00000000-0005-0000-0000-0000D9600000}"/>
    <cellStyle name="Normal 5 2 3 2 11" xfId="6020" xr:uid="{00000000-0005-0000-0000-0000DA600000}"/>
    <cellStyle name="Normal 5 2 3 2 11 2" xfId="15344" xr:uid="{00000000-0005-0000-0000-0000DB600000}"/>
    <cellStyle name="Normal 5 2 3 2 11 3" xfId="24667" xr:uid="{00000000-0005-0000-0000-0000DC600000}"/>
    <cellStyle name="Normal 5 2 3 2 12" xfId="10580" xr:uid="{00000000-0005-0000-0000-0000DD600000}"/>
    <cellStyle name="Normal 5 2 3 2 13" xfId="19904" xr:uid="{00000000-0005-0000-0000-0000DE600000}"/>
    <cellStyle name="Normal 5 2 3 2 14" xfId="28879" xr:uid="{00000000-0005-0000-0000-0000DF600000}"/>
    <cellStyle name="Normal 5 2 3 2 2" xfId="2602" xr:uid="{00000000-0005-0000-0000-0000E0600000}"/>
    <cellStyle name="Normal 5 2 3 2 2 10" xfId="12062" xr:uid="{00000000-0005-0000-0000-0000E1600000}"/>
    <cellStyle name="Normal 5 2 3 2 2 11" xfId="21388" xr:uid="{00000000-0005-0000-0000-0000E2600000}"/>
    <cellStyle name="Normal 5 2 3 2 2 2" xfId="2603" xr:uid="{00000000-0005-0000-0000-0000E3600000}"/>
    <cellStyle name="Normal 5 2 3 2 2 2 2" xfId="2604" xr:uid="{00000000-0005-0000-0000-0000E4600000}"/>
    <cellStyle name="Normal 5 2 3 2 2 2 2 2" xfId="2605" xr:uid="{00000000-0005-0000-0000-0000E5600000}"/>
    <cellStyle name="Normal 5 2 3 2 2 2 2 2 2" xfId="4286" xr:uid="{00000000-0005-0000-0000-0000E6600000}"/>
    <cellStyle name="Normal 5 2 3 2 2 2 2 2 2 2" xfId="8963" xr:uid="{00000000-0005-0000-0000-0000E7600000}"/>
    <cellStyle name="Normal 5 2 3 2 2 2 2 2 2 2 2" xfId="18287" xr:uid="{00000000-0005-0000-0000-0000E8600000}"/>
    <cellStyle name="Normal 5 2 3 2 2 2 2 2 2 2 3" xfId="27610" xr:uid="{00000000-0005-0000-0000-0000E9600000}"/>
    <cellStyle name="Normal 5 2 3 2 2 2 2 2 2 3" xfId="13620" xr:uid="{00000000-0005-0000-0000-0000EA600000}"/>
    <cellStyle name="Normal 5 2 3 2 2 2 2 2 2 4" xfId="22944" xr:uid="{00000000-0005-0000-0000-0000EB600000}"/>
    <cellStyle name="Normal 5 2 3 2 2 2 2 2 3" xfId="6024" xr:uid="{00000000-0005-0000-0000-0000EC600000}"/>
    <cellStyle name="Normal 5 2 3 2 2 2 2 2 3 2" xfId="15348" xr:uid="{00000000-0005-0000-0000-0000ED600000}"/>
    <cellStyle name="Normal 5 2 3 2 2 2 2 2 3 3" xfId="24671" xr:uid="{00000000-0005-0000-0000-0000EE600000}"/>
    <cellStyle name="Normal 5 2 3 2 2 2 2 2 4" xfId="12065" xr:uid="{00000000-0005-0000-0000-0000EF600000}"/>
    <cellStyle name="Normal 5 2 3 2 2 2 2 2 5" xfId="21391" xr:uid="{00000000-0005-0000-0000-0000F0600000}"/>
    <cellStyle name="Normal 5 2 3 2 2 2 2 3" xfId="4285" xr:uid="{00000000-0005-0000-0000-0000F1600000}"/>
    <cellStyle name="Normal 5 2 3 2 2 2 2 3 2" xfId="8962" xr:uid="{00000000-0005-0000-0000-0000F2600000}"/>
    <cellStyle name="Normal 5 2 3 2 2 2 2 3 2 2" xfId="18286" xr:uid="{00000000-0005-0000-0000-0000F3600000}"/>
    <cellStyle name="Normal 5 2 3 2 2 2 2 3 2 3" xfId="27609" xr:uid="{00000000-0005-0000-0000-0000F4600000}"/>
    <cellStyle name="Normal 5 2 3 2 2 2 2 3 3" xfId="13619" xr:uid="{00000000-0005-0000-0000-0000F5600000}"/>
    <cellStyle name="Normal 5 2 3 2 2 2 2 3 4" xfId="22943" xr:uid="{00000000-0005-0000-0000-0000F6600000}"/>
    <cellStyle name="Normal 5 2 3 2 2 2 2 4" xfId="6023" xr:uid="{00000000-0005-0000-0000-0000F7600000}"/>
    <cellStyle name="Normal 5 2 3 2 2 2 2 4 2" xfId="15347" xr:uid="{00000000-0005-0000-0000-0000F8600000}"/>
    <cellStyle name="Normal 5 2 3 2 2 2 2 4 3" xfId="24670" xr:uid="{00000000-0005-0000-0000-0000F9600000}"/>
    <cellStyle name="Normal 5 2 3 2 2 2 2 5" xfId="12064" xr:uid="{00000000-0005-0000-0000-0000FA600000}"/>
    <cellStyle name="Normal 5 2 3 2 2 2 2 6" xfId="21390" xr:uid="{00000000-0005-0000-0000-0000FB600000}"/>
    <cellStyle name="Normal 5 2 3 2 2 2 3" xfId="2606" xr:uid="{00000000-0005-0000-0000-0000FC600000}"/>
    <cellStyle name="Normal 5 2 3 2 2 2 3 2" xfId="4287" xr:uid="{00000000-0005-0000-0000-0000FD600000}"/>
    <cellStyle name="Normal 5 2 3 2 2 2 3 2 2" xfId="8964" xr:uid="{00000000-0005-0000-0000-0000FE600000}"/>
    <cellStyle name="Normal 5 2 3 2 2 2 3 2 2 2" xfId="18288" xr:uid="{00000000-0005-0000-0000-0000FF600000}"/>
    <cellStyle name="Normal 5 2 3 2 2 2 3 2 2 3" xfId="27611" xr:uid="{00000000-0005-0000-0000-000000610000}"/>
    <cellStyle name="Normal 5 2 3 2 2 2 3 2 3" xfId="13621" xr:uid="{00000000-0005-0000-0000-000001610000}"/>
    <cellStyle name="Normal 5 2 3 2 2 2 3 2 4" xfId="22945" xr:uid="{00000000-0005-0000-0000-000002610000}"/>
    <cellStyle name="Normal 5 2 3 2 2 2 3 3" xfId="6025" xr:uid="{00000000-0005-0000-0000-000003610000}"/>
    <cellStyle name="Normal 5 2 3 2 2 2 3 3 2" xfId="15349" xr:uid="{00000000-0005-0000-0000-000004610000}"/>
    <cellStyle name="Normal 5 2 3 2 2 2 3 3 3" xfId="24672" xr:uid="{00000000-0005-0000-0000-000005610000}"/>
    <cellStyle name="Normal 5 2 3 2 2 2 3 4" xfId="12066" xr:uid="{00000000-0005-0000-0000-000006610000}"/>
    <cellStyle name="Normal 5 2 3 2 2 2 3 5" xfId="21392" xr:uid="{00000000-0005-0000-0000-000007610000}"/>
    <cellStyle name="Normal 5 2 3 2 2 2 4" xfId="4284" xr:uid="{00000000-0005-0000-0000-000008610000}"/>
    <cellStyle name="Normal 5 2 3 2 2 2 4 2" xfId="8961" xr:uid="{00000000-0005-0000-0000-000009610000}"/>
    <cellStyle name="Normal 5 2 3 2 2 2 4 2 2" xfId="18285" xr:uid="{00000000-0005-0000-0000-00000A610000}"/>
    <cellStyle name="Normal 5 2 3 2 2 2 4 2 3" xfId="27608" xr:uid="{00000000-0005-0000-0000-00000B610000}"/>
    <cellStyle name="Normal 5 2 3 2 2 2 4 3" xfId="13618" xr:uid="{00000000-0005-0000-0000-00000C610000}"/>
    <cellStyle name="Normal 5 2 3 2 2 2 4 4" xfId="22942" xr:uid="{00000000-0005-0000-0000-00000D610000}"/>
    <cellStyle name="Normal 5 2 3 2 2 2 5" xfId="6022" xr:uid="{00000000-0005-0000-0000-00000E610000}"/>
    <cellStyle name="Normal 5 2 3 2 2 2 5 2" xfId="15346" xr:uid="{00000000-0005-0000-0000-00000F610000}"/>
    <cellStyle name="Normal 5 2 3 2 2 2 5 3" xfId="24669" xr:uid="{00000000-0005-0000-0000-000010610000}"/>
    <cellStyle name="Normal 5 2 3 2 2 2 6" xfId="12063" xr:uid="{00000000-0005-0000-0000-000011610000}"/>
    <cellStyle name="Normal 5 2 3 2 2 2 7" xfId="21389" xr:uid="{00000000-0005-0000-0000-000012610000}"/>
    <cellStyle name="Normal 5 2 3 2 2 3" xfId="2607" xr:uid="{00000000-0005-0000-0000-000013610000}"/>
    <cellStyle name="Normal 5 2 3 2 2 3 2" xfId="2608" xr:uid="{00000000-0005-0000-0000-000014610000}"/>
    <cellStyle name="Normal 5 2 3 2 2 3 2 2" xfId="2609" xr:uid="{00000000-0005-0000-0000-000015610000}"/>
    <cellStyle name="Normal 5 2 3 2 2 3 2 2 2" xfId="4290" xr:uid="{00000000-0005-0000-0000-000016610000}"/>
    <cellStyle name="Normal 5 2 3 2 2 3 2 2 2 2" xfId="8967" xr:uid="{00000000-0005-0000-0000-000017610000}"/>
    <cellStyle name="Normal 5 2 3 2 2 3 2 2 2 2 2" xfId="18291" xr:uid="{00000000-0005-0000-0000-000018610000}"/>
    <cellStyle name="Normal 5 2 3 2 2 3 2 2 2 2 3" xfId="27614" xr:uid="{00000000-0005-0000-0000-000019610000}"/>
    <cellStyle name="Normal 5 2 3 2 2 3 2 2 2 3" xfId="13624" xr:uid="{00000000-0005-0000-0000-00001A610000}"/>
    <cellStyle name="Normal 5 2 3 2 2 3 2 2 2 4" xfId="22948" xr:uid="{00000000-0005-0000-0000-00001B610000}"/>
    <cellStyle name="Normal 5 2 3 2 2 3 2 2 3" xfId="6028" xr:uid="{00000000-0005-0000-0000-00001C610000}"/>
    <cellStyle name="Normal 5 2 3 2 2 3 2 2 3 2" xfId="15352" xr:uid="{00000000-0005-0000-0000-00001D610000}"/>
    <cellStyle name="Normal 5 2 3 2 2 3 2 2 3 3" xfId="24675" xr:uid="{00000000-0005-0000-0000-00001E610000}"/>
    <cellStyle name="Normal 5 2 3 2 2 3 2 2 4" xfId="12069" xr:uid="{00000000-0005-0000-0000-00001F610000}"/>
    <cellStyle name="Normal 5 2 3 2 2 3 2 2 5" xfId="21395" xr:uid="{00000000-0005-0000-0000-000020610000}"/>
    <cellStyle name="Normal 5 2 3 2 2 3 2 3" xfId="4289" xr:uid="{00000000-0005-0000-0000-000021610000}"/>
    <cellStyle name="Normal 5 2 3 2 2 3 2 3 2" xfId="8966" xr:uid="{00000000-0005-0000-0000-000022610000}"/>
    <cellStyle name="Normal 5 2 3 2 2 3 2 3 2 2" xfId="18290" xr:uid="{00000000-0005-0000-0000-000023610000}"/>
    <cellStyle name="Normal 5 2 3 2 2 3 2 3 2 3" xfId="27613" xr:uid="{00000000-0005-0000-0000-000024610000}"/>
    <cellStyle name="Normal 5 2 3 2 2 3 2 3 3" xfId="13623" xr:uid="{00000000-0005-0000-0000-000025610000}"/>
    <cellStyle name="Normal 5 2 3 2 2 3 2 3 4" xfId="22947" xr:uid="{00000000-0005-0000-0000-000026610000}"/>
    <cellStyle name="Normal 5 2 3 2 2 3 2 4" xfId="6027" xr:uid="{00000000-0005-0000-0000-000027610000}"/>
    <cellStyle name="Normal 5 2 3 2 2 3 2 4 2" xfId="15351" xr:uid="{00000000-0005-0000-0000-000028610000}"/>
    <cellStyle name="Normal 5 2 3 2 2 3 2 4 3" xfId="24674" xr:uid="{00000000-0005-0000-0000-000029610000}"/>
    <cellStyle name="Normal 5 2 3 2 2 3 2 5" xfId="12068" xr:uid="{00000000-0005-0000-0000-00002A610000}"/>
    <cellStyle name="Normal 5 2 3 2 2 3 2 6" xfId="21394" xr:uid="{00000000-0005-0000-0000-00002B610000}"/>
    <cellStyle name="Normal 5 2 3 2 2 3 3" xfId="2610" xr:uid="{00000000-0005-0000-0000-00002C610000}"/>
    <cellStyle name="Normal 5 2 3 2 2 3 3 2" xfId="4291" xr:uid="{00000000-0005-0000-0000-00002D610000}"/>
    <cellStyle name="Normal 5 2 3 2 2 3 3 2 2" xfId="8968" xr:uid="{00000000-0005-0000-0000-00002E610000}"/>
    <cellStyle name="Normal 5 2 3 2 2 3 3 2 2 2" xfId="18292" xr:uid="{00000000-0005-0000-0000-00002F610000}"/>
    <cellStyle name="Normal 5 2 3 2 2 3 3 2 2 3" xfId="27615" xr:uid="{00000000-0005-0000-0000-000030610000}"/>
    <cellStyle name="Normal 5 2 3 2 2 3 3 2 3" xfId="13625" xr:uid="{00000000-0005-0000-0000-000031610000}"/>
    <cellStyle name="Normal 5 2 3 2 2 3 3 2 4" xfId="22949" xr:uid="{00000000-0005-0000-0000-000032610000}"/>
    <cellStyle name="Normal 5 2 3 2 2 3 3 3" xfId="6029" xr:uid="{00000000-0005-0000-0000-000033610000}"/>
    <cellStyle name="Normal 5 2 3 2 2 3 3 3 2" xfId="15353" xr:uid="{00000000-0005-0000-0000-000034610000}"/>
    <cellStyle name="Normal 5 2 3 2 2 3 3 3 3" xfId="24676" xr:uid="{00000000-0005-0000-0000-000035610000}"/>
    <cellStyle name="Normal 5 2 3 2 2 3 3 4" xfId="12070" xr:uid="{00000000-0005-0000-0000-000036610000}"/>
    <cellStyle name="Normal 5 2 3 2 2 3 3 5" xfId="21396" xr:uid="{00000000-0005-0000-0000-000037610000}"/>
    <cellStyle name="Normal 5 2 3 2 2 3 4" xfId="4288" xr:uid="{00000000-0005-0000-0000-000038610000}"/>
    <cellStyle name="Normal 5 2 3 2 2 3 4 2" xfId="8965" xr:uid="{00000000-0005-0000-0000-000039610000}"/>
    <cellStyle name="Normal 5 2 3 2 2 3 4 2 2" xfId="18289" xr:uid="{00000000-0005-0000-0000-00003A610000}"/>
    <cellStyle name="Normal 5 2 3 2 2 3 4 2 3" xfId="27612" xr:uid="{00000000-0005-0000-0000-00003B610000}"/>
    <cellStyle name="Normal 5 2 3 2 2 3 4 3" xfId="13622" xr:uid="{00000000-0005-0000-0000-00003C610000}"/>
    <cellStyle name="Normal 5 2 3 2 2 3 4 4" xfId="22946" xr:uid="{00000000-0005-0000-0000-00003D610000}"/>
    <cellStyle name="Normal 5 2 3 2 2 3 5" xfId="6026" xr:uid="{00000000-0005-0000-0000-00003E610000}"/>
    <cellStyle name="Normal 5 2 3 2 2 3 5 2" xfId="15350" xr:uid="{00000000-0005-0000-0000-00003F610000}"/>
    <cellStyle name="Normal 5 2 3 2 2 3 5 3" xfId="24673" xr:uid="{00000000-0005-0000-0000-000040610000}"/>
    <cellStyle name="Normal 5 2 3 2 2 3 6" xfId="12067" xr:uid="{00000000-0005-0000-0000-000041610000}"/>
    <cellStyle name="Normal 5 2 3 2 2 3 7" xfId="21393" xr:uid="{00000000-0005-0000-0000-000042610000}"/>
    <cellStyle name="Normal 5 2 3 2 2 4" xfId="2611" xr:uid="{00000000-0005-0000-0000-000043610000}"/>
    <cellStyle name="Normal 5 2 3 2 2 4 2" xfId="2612" xr:uid="{00000000-0005-0000-0000-000044610000}"/>
    <cellStyle name="Normal 5 2 3 2 2 4 2 2" xfId="4293" xr:uid="{00000000-0005-0000-0000-000045610000}"/>
    <cellStyle name="Normal 5 2 3 2 2 4 2 2 2" xfId="8970" xr:uid="{00000000-0005-0000-0000-000046610000}"/>
    <cellStyle name="Normal 5 2 3 2 2 4 2 2 2 2" xfId="18294" xr:uid="{00000000-0005-0000-0000-000047610000}"/>
    <cellStyle name="Normal 5 2 3 2 2 4 2 2 2 3" xfId="27617" xr:uid="{00000000-0005-0000-0000-000048610000}"/>
    <cellStyle name="Normal 5 2 3 2 2 4 2 2 3" xfId="13627" xr:uid="{00000000-0005-0000-0000-000049610000}"/>
    <cellStyle name="Normal 5 2 3 2 2 4 2 2 4" xfId="22951" xr:uid="{00000000-0005-0000-0000-00004A610000}"/>
    <cellStyle name="Normal 5 2 3 2 2 4 2 3" xfId="6031" xr:uid="{00000000-0005-0000-0000-00004B610000}"/>
    <cellStyle name="Normal 5 2 3 2 2 4 2 3 2" xfId="15355" xr:uid="{00000000-0005-0000-0000-00004C610000}"/>
    <cellStyle name="Normal 5 2 3 2 2 4 2 3 3" xfId="24678" xr:uid="{00000000-0005-0000-0000-00004D610000}"/>
    <cellStyle name="Normal 5 2 3 2 2 4 2 4" xfId="12072" xr:uid="{00000000-0005-0000-0000-00004E610000}"/>
    <cellStyle name="Normal 5 2 3 2 2 4 2 5" xfId="21398" xr:uid="{00000000-0005-0000-0000-00004F610000}"/>
    <cellStyle name="Normal 5 2 3 2 2 4 3" xfId="4292" xr:uid="{00000000-0005-0000-0000-000050610000}"/>
    <cellStyle name="Normal 5 2 3 2 2 4 3 2" xfId="8969" xr:uid="{00000000-0005-0000-0000-000051610000}"/>
    <cellStyle name="Normal 5 2 3 2 2 4 3 2 2" xfId="18293" xr:uid="{00000000-0005-0000-0000-000052610000}"/>
    <cellStyle name="Normal 5 2 3 2 2 4 3 2 3" xfId="27616" xr:uid="{00000000-0005-0000-0000-000053610000}"/>
    <cellStyle name="Normal 5 2 3 2 2 4 3 3" xfId="13626" xr:uid="{00000000-0005-0000-0000-000054610000}"/>
    <cellStyle name="Normal 5 2 3 2 2 4 3 4" xfId="22950" xr:uid="{00000000-0005-0000-0000-000055610000}"/>
    <cellStyle name="Normal 5 2 3 2 2 4 4" xfId="6030" xr:uid="{00000000-0005-0000-0000-000056610000}"/>
    <cellStyle name="Normal 5 2 3 2 2 4 4 2" xfId="15354" xr:uid="{00000000-0005-0000-0000-000057610000}"/>
    <cellStyle name="Normal 5 2 3 2 2 4 4 3" xfId="24677" xr:uid="{00000000-0005-0000-0000-000058610000}"/>
    <cellStyle name="Normal 5 2 3 2 2 4 5" xfId="12071" xr:uid="{00000000-0005-0000-0000-000059610000}"/>
    <cellStyle name="Normal 5 2 3 2 2 4 6" xfId="21397" xr:uid="{00000000-0005-0000-0000-00005A610000}"/>
    <cellStyle name="Normal 5 2 3 2 2 5" xfId="2613" xr:uid="{00000000-0005-0000-0000-00005B610000}"/>
    <cellStyle name="Normal 5 2 3 2 2 5 2" xfId="4294" xr:uid="{00000000-0005-0000-0000-00005C610000}"/>
    <cellStyle name="Normal 5 2 3 2 2 5 2 2" xfId="8971" xr:uid="{00000000-0005-0000-0000-00005D610000}"/>
    <cellStyle name="Normal 5 2 3 2 2 5 2 2 2" xfId="18295" xr:uid="{00000000-0005-0000-0000-00005E610000}"/>
    <cellStyle name="Normal 5 2 3 2 2 5 2 2 3" xfId="27618" xr:uid="{00000000-0005-0000-0000-00005F610000}"/>
    <cellStyle name="Normal 5 2 3 2 2 5 2 3" xfId="13628" xr:uid="{00000000-0005-0000-0000-000060610000}"/>
    <cellStyle name="Normal 5 2 3 2 2 5 2 4" xfId="22952" xr:uid="{00000000-0005-0000-0000-000061610000}"/>
    <cellStyle name="Normal 5 2 3 2 2 5 3" xfId="6032" xr:uid="{00000000-0005-0000-0000-000062610000}"/>
    <cellStyle name="Normal 5 2 3 2 2 5 3 2" xfId="15356" xr:uid="{00000000-0005-0000-0000-000063610000}"/>
    <cellStyle name="Normal 5 2 3 2 2 5 3 3" xfId="24679" xr:uid="{00000000-0005-0000-0000-000064610000}"/>
    <cellStyle name="Normal 5 2 3 2 2 5 4" xfId="12073" xr:uid="{00000000-0005-0000-0000-000065610000}"/>
    <cellStyle name="Normal 5 2 3 2 2 5 5" xfId="21399" xr:uid="{00000000-0005-0000-0000-000066610000}"/>
    <cellStyle name="Normal 5 2 3 2 2 6" xfId="2614" xr:uid="{00000000-0005-0000-0000-000067610000}"/>
    <cellStyle name="Normal 5 2 3 2 2 6 2" xfId="4295" xr:uid="{00000000-0005-0000-0000-000068610000}"/>
    <cellStyle name="Normal 5 2 3 2 2 6 2 2" xfId="8972" xr:uid="{00000000-0005-0000-0000-000069610000}"/>
    <cellStyle name="Normal 5 2 3 2 2 6 2 2 2" xfId="18296" xr:uid="{00000000-0005-0000-0000-00006A610000}"/>
    <cellStyle name="Normal 5 2 3 2 2 6 2 2 3" xfId="27619" xr:uid="{00000000-0005-0000-0000-00006B610000}"/>
    <cellStyle name="Normal 5 2 3 2 2 6 2 3" xfId="13629" xr:uid="{00000000-0005-0000-0000-00006C610000}"/>
    <cellStyle name="Normal 5 2 3 2 2 6 2 4" xfId="22953" xr:uid="{00000000-0005-0000-0000-00006D610000}"/>
    <cellStyle name="Normal 5 2 3 2 2 6 3" xfId="6033" xr:uid="{00000000-0005-0000-0000-00006E610000}"/>
    <cellStyle name="Normal 5 2 3 2 2 6 3 2" xfId="15357" xr:uid="{00000000-0005-0000-0000-00006F610000}"/>
    <cellStyle name="Normal 5 2 3 2 2 6 3 3" xfId="24680" xr:uid="{00000000-0005-0000-0000-000070610000}"/>
    <cellStyle name="Normal 5 2 3 2 2 6 4" xfId="12074" xr:uid="{00000000-0005-0000-0000-000071610000}"/>
    <cellStyle name="Normal 5 2 3 2 2 6 5" xfId="21400" xr:uid="{00000000-0005-0000-0000-000072610000}"/>
    <cellStyle name="Normal 5 2 3 2 2 7" xfId="2615" xr:uid="{00000000-0005-0000-0000-000073610000}"/>
    <cellStyle name="Normal 5 2 3 2 2 7 2" xfId="4296" xr:uid="{00000000-0005-0000-0000-000074610000}"/>
    <cellStyle name="Normal 5 2 3 2 2 7 2 2" xfId="8973" xr:uid="{00000000-0005-0000-0000-000075610000}"/>
    <cellStyle name="Normal 5 2 3 2 2 7 2 2 2" xfId="18297" xr:uid="{00000000-0005-0000-0000-000076610000}"/>
    <cellStyle name="Normal 5 2 3 2 2 7 2 2 3" xfId="27620" xr:uid="{00000000-0005-0000-0000-000077610000}"/>
    <cellStyle name="Normal 5 2 3 2 2 7 2 3" xfId="13630" xr:uid="{00000000-0005-0000-0000-000078610000}"/>
    <cellStyle name="Normal 5 2 3 2 2 7 2 4" xfId="22954" xr:uid="{00000000-0005-0000-0000-000079610000}"/>
    <cellStyle name="Normal 5 2 3 2 2 7 3" xfId="6034" xr:uid="{00000000-0005-0000-0000-00007A610000}"/>
    <cellStyle name="Normal 5 2 3 2 2 7 3 2" xfId="15358" xr:uid="{00000000-0005-0000-0000-00007B610000}"/>
    <cellStyle name="Normal 5 2 3 2 2 7 3 3" xfId="24681" xr:uid="{00000000-0005-0000-0000-00007C610000}"/>
    <cellStyle name="Normal 5 2 3 2 2 7 4" xfId="12075" xr:uid="{00000000-0005-0000-0000-00007D610000}"/>
    <cellStyle name="Normal 5 2 3 2 2 7 5" xfId="21401" xr:uid="{00000000-0005-0000-0000-00007E610000}"/>
    <cellStyle name="Normal 5 2 3 2 2 8" xfId="4283" xr:uid="{00000000-0005-0000-0000-00007F610000}"/>
    <cellStyle name="Normal 5 2 3 2 2 8 2" xfId="8960" xr:uid="{00000000-0005-0000-0000-000080610000}"/>
    <cellStyle name="Normal 5 2 3 2 2 8 2 2" xfId="18284" xr:uid="{00000000-0005-0000-0000-000081610000}"/>
    <cellStyle name="Normal 5 2 3 2 2 8 2 3" xfId="27607" xr:uid="{00000000-0005-0000-0000-000082610000}"/>
    <cellStyle name="Normal 5 2 3 2 2 8 3" xfId="13617" xr:uid="{00000000-0005-0000-0000-000083610000}"/>
    <cellStyle name="Normal 5 2 3 2 2 8 4" xfId="22941" xr:uid="{00000000-0005-0000-0000-000084610000}"/>
    <cellStyle name="Normal 5 2 3 2 2 9" xfId="6021" xr:uid="{00000000-0005-0000-0000-000085610000}"/>
    <cellStyle name="Normal 5 2 3 2 2 9 2" xfId="15345" xr:uid="{00000000-0005-0000-0000-000086610000}"/>
    <cellStyle name="Normal 5 2 3 2 2 9 3" xfId="24668" xr:uid="{00000000-0005-0000-0000-000087610000}"/>
    <cellStyle name="Normal 5 2 3 2 3" xfId="2616" xr:uid="{00000000-0005-0000-0000-000088610000}"/>
    <cellStyle name="Normal 5 2 3 2 3 2" xfId="2617" xr:uid="{00000000-0005-0000-0000-000089610000}"/>
    <cellStyle name="Normal 5 2 3 2 3 2 2" xfId="2618" xr:uid="{00000000-0005-0000-0000-00008A610000}"/>
    <cellStyle name="Normal 5 2 3 2 3 2 2 2" xfId="4299" xr:uid="{00000000-0005-0000-0000-00008B610000}"/>
    <cellStyle name="Normal 5 2 3 2 3 2 2 2 2" xfId="8976" xr:uid="{00000000-0005-0000-0000-00008C610000}"/>
    <cellStyle name="Normal 5 2 3 2 3 2 2 2 2 2" xfId="18300" xr:uid="{00000000-0005-0000-0000-00008D610000}"/>
    <cellStyle name="Normal 5 2 3 2 3 2 2 2 2 3" xfId="27623" xr:uid="{00000000-0005-0000-0000-00008E610000}"/>
    <cellStyle name="Normal 5 2 3 2 3 2 2 2 3" xfId="13633" xr:uid="{00000000-0005-0000-0000-00008F610000}"/>
    <cellStyle name="Normal 5 2 3 2 3 2 2 2 4" xfId="22957" xr:uid="{00000000-0005-0000-0000-000090610000}"/>
    <cellStyle name="Normal 5 2 3 2 3 2 2 3" xfId="6037" xr:uid="{00000000-0005-0000-0000-000091610000}"/>
    <cellStyle name="Normal 5 2 3 2 3 2 2 3 2" xfId="15361" xr:uid="{00000000-0005-0000-0000-000092610000}"/>
    <cellStyle name="Normal 5 2 3 2 3 2 2 3 3" xfId="24684" xr:uid="{00000000-0005-0000-0000-000093610000}"/>
    <cellStyle name="Normal 5 2 3 2 3 2 2 4" xfId="12078" xr:uid="{00000000-0005-0000-0000-000094610000}"/>
    <cellStyle name="Normal 5 2 3 2 3 2 2 5" xfId="21404" xr:uid="{00000000-0005-0000-0000-000095610000}"/>
    <cellStyle name="Normal 5 2 3 2 3 2 3" xfId="4298" xr:uid="{00000000-0005-0000-0000-000096610000}"/>
    <cellStyle name="Normal 5 2 3 2 3 2 3 2" xfId="8975" xr:uid="{00000000-0005-0000-0000-000097610000}"/>
    <cellStyle name="Normal 5 2 3 2 3 2 3 2 2" xfId="18299" xr:uid="{00000000-0005-0000-0000-000098610000}"/>
    <cellStyle name="Normal 5 2 3 2 3 2 3 2 3" xfId="27622" xr:uid="{00000000-0005-0000-0000-000099610000}"/>
    <cellStyle name="Normal 5 2 3 2 3 2 3 3" xfId="13632" xr:uid="{00000000-0005-0000-0000-00009A610000}"/>
    <cellStyle name="Normal 5 2 3 2 3 2 3 4" xfId="22956" xr:uid="{00000000-0005-0000-0000-00009B610000}"/>
    <cellStyle name="Normal 5 2 3 2 3 2 4" xfId="6036" xr:uid="{00000000-0005-0000-0000-00009C610000}"/>
    <cellStyle name="Normal 5 2 3 2 3 2 4 2" xfId="15360" xr:uid="{00000000-0005-0000-0000-00009D610000}"/>
    <cellStyle name="Normal 5 2 3 2 3 2 4 3" xfId="24683" xr:uid="{00000000-0005-0000-0000-00009E610000}"/>
    <cellStyle name="Normal 5 2 3 2 3 2 5" xfId="12077" xr:uid="{00000000-0005-0000-0000-00009F610000}"/>
    <cellStyle name="Normal 5 2 3 2 3 2 6" xfId="21403" xr:uid="{00000000-0005-0000-0000-0000A0610000}"/>
    <cellStyle name="Normal 5 2 3 2 3 3" xfId="2619" xr:uid="{00000000-0005-0000-0000-0000A1610000}"/>
    <cellStyle name="Normal 5 2 3 2 3 3 2" xfId="4300" xr:uid="{00000000-0005-0000-0000-0000A2610000}"/>
    <cellStyle name="Normal 5 2 3 2 3 3 2 2" xfId="8977" xr:uid="{00000000-0005-0000-0000-0000A3610000}"/>
    <cellStyle name="Normal 5 2 3 2 3 3 2 2 2" xfId="18301" xr:uid="{00000000-0005-0000-0000-0000A4610000}"/>
    <cellStyle name="Normal 5 2 3 2 3 3 2 2 3" xfId="27624" xr:uid="{00000000-0005-0000-0000-0000A5610000}"/>
    <cellStyle name="Normal 5 2 3 2 3 3 2 3" xfId="13634" xr:uid="{00000000-0005-0000-0000-0000A6610000}"/>
    <cellStyle name="Normal 5 2 3 2 3 3 2 4" xfId="22958" xr:uid="{00000000-0005-0000-0000-0000A7610000}"/>
    <cellStyle name="Normal 5 2 3 2 3 3 3" xfId="6038" xr:uid="{00000000-0005-0000-0000-0000A8610000}"/>
    <cellStyle name="Normal 5 2 3 2 3 3 3 2" xfId="15362" xr:uid="{00000000-0005-0000-0000-0000A9610000}"/>
    <cellStyle name="Normal 5 2 3 2 3 3 3 3" xfId="24685" xr:uid="{00000000-0005-0000-0000-0000AA610000}"/>
    <cellStyle name="Normal 5 2 3 2 3 3 4" xfId="12079" xr:uid="{00000000-0005-0000-0000-0000AB610000}"/>
    <cellStyle name="Normal 5 2 3 2 3 3 5" xfId="21405" xr:uid="{00000000-0005-0000-0000-0000AC610000}"/>
    <cellStyle name="Normal 5 2 3 2 3 4" xfId="4297" xr:uid="{00000000-0005-0000-0000-0000AD610000}"/>
    <cellStyle name="Normal 5 2 3 2 3 4 2" xfId="8974" xr:uid="{00000000-0005-0000-0000-0000AE610000}"/>
    <cellStyle name="Normal 5 2 3 2 3 4 2 2" xfId="18298" xr:uid="{00000000-0005-0000-0000-0000AF610000}"/>
    <cellStyle name="Normal 5 2 3 2 3 4 2 3" xfId="27621" xr:uid="{00000000-0005-0000-0000-0000B0610000}"/>
    <cellStyle name="Normal 5 2 3 2 3 4 3" xfId="13631" xr:uid="{00000000-0005-0000-0000-0000B1610000}"/>
    <cellStyle name="Normal 5 2 3 2 3 4 4" xfId="22955" xr:uid="{00000000-0005-0000-0000-0000B2610000}"/>
    <cellStyle name="Normal 5 2 3 2 3 5" xfId="6035" xr:uid="{00000000-0005-0000-0000-0000B3610000}"/>
    <cellStyle name="Normal 5 2 3 2 3 5 2" xfId="15359" xr:uid="{00000000-0005-0000-0000-0000B4610000}"/>
    <cellStyle name="Normal 5 2 3 2 3 5 3" xfId="24682" xr:uid="{00000000-0005-0000-0000-0000B5610000}"/>
    <cellStyle name="Normal 5 2 3 2 3 6" xfId="12076" xr:uid="{00000000-0005-0000-0000-0000B6610000}"/>
    <cellStyle name="Normal 5 2 3 2 3 7" xfId="21402" xr:uid="{00000000-0005-0000-0000-0000B7610000}"/>
    <cellStyle name="Normal 5 2 3 2 4" xfId="2620" xr:uid="{00000000-0005-0000-0000-0000B8610000}"/>
    <cellStyle name="Normal 5 2 3 2 4 2" xfId="2621" xr:uid="{00000000-0005-0000-0000-0000B9610000}"/>
    <cellStyle name="Normal 5 2 3 2 4 2 2" xfId="2622" xr:uid="{00000000-0005-0000-0000-0000BA610000}"/>
    <cellStyle name="Normal 5 2 3 2 4 2 2 2" xfId="4303" xr:uid="{00000000-0005-0000-0000-0000BB610000}"/>
    <cellStyle name="Normal 5 2 3 2 4 2 2 2 2" xfId="8980" xr:uid="{00000000-0005-0000-0000-0000BC610000}"/>
    <cellStyle name="Normal 5 2 3 2 4 2 2 2 2 2" xfId="18304" xr:uid="{00000000-0005-0000-0000-0000BD610000}"/>
    <cellStyle name="Normal 5 2 3 2 4 2 2 2 2 3" xfId="27627" xr:uid="{00000000-0005-0000-0000-0000BE610000}"/>
    <cellStyle name="Normal 5 2 3 2 4 2 2 2 3" xfId="13637" xr:uid="{00000000-0005-0000-0000-0000BF610000}"/>
    <cellStyle name="Normal 5 2 3 2 4 2 2 2 4" xfId="22961" xr:uid="{00000000-0005-0000-0000-0000C0610000}"/>
    <cellStyle name="Normal 5 2 3 2 4 2 2 3" xfId="6041" xr:uid="{00000000-0005-0000-0000-0000C1610000}"/>
    <cellStyle name="Normal 5 2 3 2 4 2 2 3 2" xfId="15365" xr:uid="{00000000-0005-0000-0000-0000C2610000}"/>
    <cellStyle name="Normal 5 2 3 2 4 2 2 3 3" xfId="24688" xr:uid="{00000000-0005-0000-0000-0000C3610000}"/>
    <cellStyle name="Normal 5 2 3 2 4 2 2 4" xfId="12082" xr:uid="{00000000-0005-0000-0000-0000C4610000}"/>
    <cellStyle name="Normal 5 2 3 2 4 2 2 5" xfId="21408" xr:uid="{00000000-0005-0000-0000-0000C5610000}"/>
    <cellStyle name="Normal 5 2 3 2 4 2 3" xfId="4302" xr:uid="{00000000-0005-0000-0000-0000C6610000}"/>
    <cellStyle name="Normal 5 2 3 2 4 2 3 2" xfId="8979" xr:uid="{00000000-0005-0000-0000-0000C7610000}"/>
    <cellStyle name="Normal 5 2 3 2 4 2 3 2 2" xfId="18303" xr:uid="{00000000-0005-0000-0000-0000C8610000}"/>
    <cellStyle name="Normal 5 2 3 2 4 2 3 2 3" xfId="27626" xr:uid="{00000000-0005-0000-0000-0000C9610000}"/>
    <cellStyle name="Normal 5 2 3 2 4 2 3 3" xfId="13636" xr:uid="{00000000-0005-0000-0000-0000CA610000}"/>
    <cellStyle name="Normal 5 2 3 2 4 2 3 4" xfId="22960" xr:uid="{00000000-0005-0000-0000-0000CB610000}"/>
    <cellStyle name="Normal 5 2 3 2 4 2 4" xfId="6040" xr:uid="{00000000-0005-0000-0000-0000CC610000}"/>
    <cellStyle name="Normal 5 2 3 2 4 2 4 2" xfId="15364" xr:uid="{00000000-0005-0000-0000-0000CD610000}"/>
    <cellStyle name="Normal 5 2 3 2 4 2 4 3" xfId="24687" xr:uid="{00000000-0005-0000-0000-0000CE610000}"/>
    <cellStyle name="Normal 5 2 3 2 4 2 5" xfId="12081" xr:uid="{00000000-0005-0000-0000-0000CF610000}"/>
    <cellStyle name="Normal 5 2 3 2 4 2 6" xfId="21407" xr:uid="{00000000-0005-0000-0000-0000D0610000}"/>
    <cellStyle name="Normal 5 2 3 2 4 3" xfId="2623" xr:uid="{00000000-0005-0000-0000-0000D1610000}"/>
    <cellStyle name="Normal 5 2 3 2 4 3 2" xfId="4304" xr:uid="{00000000-0005-0000-0000-0000D2610000}"/>
    <cellStyle name="Normal 5 2 3 2 4 3 2 2" xfId="8981" xr:uid="{00000000-0005-0000-0000-0000D3610000}"/>
    <cellStyle name="Normal 5 2 3 2 4 3 2 2 2" xfId="18305" xr:uid="{00000000-0005-0000-0000-0000D4610000}"/>
    <cellStyle name="Normal 5 2 3 2 4 3 2 2 3" xfId="27628" xr:uid="{00000000-0005-0000-0000-0000D5610000}"/>
    <cellStyle name="Normal 5 2 3 2 4 3 2 3" xfId="13638" xr:uid="{00000000-0005-0000-0000-0000D6610000}"/>
    <cellStyle name="Normal 5 2 3 2 4 3 2 4" xfId="22962" xr:uid="{00000000-0005-0000-0000-0000D7610000}"/>
    <cellStyle name="Normal 5 2 3 2 4 3 3" xfId="6042" xr:uid="{00000000-0005-0000-0000-0000D8610000}"/>
    <cellStyle name="Normal 5 2 3 2 4 3 3 2" xfId="15366" xr:uid="{00000000-0005-0000-0000-0000D9610000}"/>
    <cellStyle name="Normal 5 2 3 2 4 3 3 3" xfId="24689" xr:uid="{00000000-0005-0000-0000-0000DA610000}"/>
    <cellStyle name="Normal 5 2 3 2 4 3 4" xfId="12083" xr:uid="{00000000-0005-0000-0000-0000DB610000}"/>
    <cellStyle name="Normal 5 2 3 2 4 3 5" xfId="21409" xr:uid="{00000000-0005-0000-0000-0000DC610000}"/>
    <cellStyle name="Normal 5 2 3 2 4 4" xfId="4301" xr:uid="{00000000-0005-0000-0000-0000DD610000}"/>
    <cellStyle name="Normal 5 2 3 2 4 4 2" xfId="8978" xr:uid="{00000000-0005-0000-0000-0000DE610000}"/>
    <cellStyle name="Normal 5 2 3 2 4 4 2 2" xfId="18302" xr:uid="{00000000-0005-0000-0000-0000DF610000}"/>
    <cellStyle name="Normal 5 2 3 2 4 4 2 3" xfId="27625" xr:uid="{00000000-0005-0000-0000-0000E0610000}"/>
    <cellStyle name="Normal 5 2 3 2 4 4 3" xfId="13635" xr:uid="{00000000-0005-0000-0000-0000E1610000}"/>
    <cellStyle name="Normal 5 2 3 2 4 4 4" xfId="22959" xr:uid="{00000000-0005-0000-0000-0000E2610000}"/>
    <cellStyle name="Normal 5 2 3 2 4 5" xfId="6039" xr:uid="{00000000-0005-0000-0000-0000E3610000}"/>
    <cellStyle name="Normal 5 2 3 2 4 5 2" xfId="15363" xr:uid="{00000000-0005-0000-0000-0000E4610000}"/>
    <cellStyle name="Normal 5 2 3 2 4 5 3" xfId="24686" xr:uid="{00000000-0005-0000-0000-0000E5610000}"/>
    <cellStyle name="Normal 5 2 3 2 4 6" xfId="12080" xr:uid="{00000000-0005-0000-0000-0000E6610000}"/>
    <cellStyle name="Normal 5 2 3 2 4 7" xfId="21406" xr:uid="{00000000-0005-0000-0000-0000E7610000}"/>
    <cellStyle name="Normal 5 2 3 2 5" xfId="2624" xr:uid="{00000000-0005-0000-0000-0000E8610000}"/>
    <cellStyle name="Normal 5 2 3 2 5 2" xfId="2625" xr:uid="{00000000-0005-0000-0000-0000E9610000}"/>
    <cellStyle name="Normal 5 2 3 2 5 2 2" xfId="4306" xr:uid="{00000000-0005-0000-0000-0000EA610000}"/>
    <cellStyle name="Normal 5 2 3 2 5 2 2 2" xfId="8983" xr:uid="{00000000-0005-0000-0000-0000EB610000}"/>
    <cellStyle name="Normal 5 2 3 2 5 2 2 2 2" xfId="18307" xr:uid="{00000000-0005-0000-0000-0000EC610000}"/>
    <cellStyle name="Normal 5 2 3 2 5 2 2 2 3" xfId="27630" xr:uid="{00000000-0005-0000-0000-0000ED610000}"/>
    <cellStyle name="Normal 5 2 3 2 5 2 2 3" xfId="13640" xr:uid="{00000000-0005-0000-0000-0000EE610000}"/>
    <cellStyle name="Normal 5 2 3 2 5 2 2 4" xfId="22964" xr:uid="{00000000-0005-0000-0000-0000EF610000}"/>
    <cellStyle name="Normal 5 2 3 2 5 2 3" xfId="6044" xr:uid="{00000000-0005-0000-0000-0000F0610000}"/>
    <cellStyle name="Normal 5 2 3 2 5 2 3 2" xfId="15368" xr:uid="{00000000-0005-0000-0000-0000F1610000}"/>
    <cellStyle name="Normal 5 2 3 2 5 2 3 3" xfId="24691" xr:uid="{00000000-0005-0000-0000-0000F2610000}"/>
    <cellStyle name="Normal 5 2 3 2 5 2 4" xfId="12085" xr:uid="{00000000-0005-0000-0000-0000F3610000}"/>
    <cellStyle name="Normal 5 2 3 2 5 2 5" xfId="21411" xr:uid="{00000000-0005-0000-0000-0000F4610000}"/>
    <cellStyle name="Normal 5 2 3 2 5 3" xfId="4305" xr:uid="{00000000-0005-0000-0000-0000F5610000}"/>
    <cellStyle name="Normal 5 2 3 2 5 3 2" xfId="8982" xr:uid="{00000000-0005-0000-0000-0000F6610000}"/>
    <cellStyle name="Normal 5 2 3 2 5 3 2 2" xfId="18306" xr:uid="{00000000-0005-0000-0000-0000F7610000}"/>
    <cellStyle name="Normal 5 2 3 2 5 3 2 3" xfId="27629" xr:uid="{00000000-0005-0000-0000-0000F8610000}"/>
    <cellStyle name="Normal 5 2 3 2 5 3 3" xfId="13639" xr:uid="{00000000-0005-0000-0000-0000F9610000}"/>
    <cellStyle name="Normal 5 2 3 2 5 3 4" xfId="22963" xr:uid="{00000000-0005-0000-0000-0000FA610000}"/>
    <cellStyle name="Normal 5 2 3 2 5 4" xfId="6043" xr:uid="{00000000-0005-0000-0000-0000FB610000}"/>
    <cellStyle name="Normal 5 2 3 2 5 4 2" xfId="15367" xr:uid="{00000000-0005-0000-0000-0000FC610000}"/>
    <cellStyle name="Normal 5 2 3 2 5 4 3" xfId="24690" xr:uid="{00000000-0005-0000-0000-0000FD610000}"/>
    <cellStyle name="Normal 5 2 3 2 5 5" xfId="12084" xr:uid="{00000000-0005-0000-0000-0000FE610000}"/>
    <cellStyle name="Normal 5 2 3 2 5 6" xfId="21410" xr:uid="{00000000-0005-0000-0000-0000FF610000}"/>
    <cellStyle name="Normal 5 2 3 2 6" xfId="2626" xr:uid="{00000000-0005-0000-0000-000000620000}"/>
    <cellStyle name="Normal 5 2 3 2 6 2" xfId="4307" xr:uid="{00000000-0005-0000-0000-000001620000}"/>
    <cellStyle name="Normal 5 2 3 2 6 2 2" xfId="8984" xr:uid="{00000000-0005-0000-0000-000002620000}"/>
    <cellStyle name="Normal 5 2 3 2 6 2 2 2" xfId="18308" xr:uid="{00000000-0005-0000-0000-000003620000}"/>
    <cellStyle name="Normal 5 2 3 2 6 2 2 3" xfId="27631" xr:uid="{00000000-0005-0000-0000-000004620000}"/>
    <cellStyle name="Normal 5 2 3 2 6 2 3" xfId="13641" xr:uid="{00000000-0005-0000-0000-000005620000}"/>
    <cellStyle name="Normal 5 2 3 2 6 2 4" xfId="22965" xr:uid="{00000000-0005-0000-0000-000006620000}"/>
    <cellStyle name="Normal 5 2 3 2 6 3" xfId="6045" xr:uid="{00000000-0005-0000-0000-000007620000}"/>
    <cellStyle name="Normal 5 2 3 2 6 3 2" xfId="15369" xr:uid="{00000000-0005-0000-0000-000008620000}"/>
    <cellStyle name="Normal 5 2 3 2 6 3 3" xfId="24692" xr:uid="{00000000-0005-0000-0000-000009620000}"/>
    <cellStyle name="Normal 5 2 3 2 6 4" xfId="12086" xr:uid="{00000000-0005-0000-0000-00000A620000}"/>
    <cellStyle name="Normal 5 2 3 2 6 5" xfId="21412" xr:uid="{00000000-0005-0000-0000-00000B620000}"/>
    <cellStyle name="Normal 5 2 3 2 7" xfId="2627" xr:uid="{00000000-0005-0000-0000-00000C620000}"/>
    <cellStyle name="Normal 5 2 3 2 7 2" xfId="4308" xr:uid="{00000000-0005-0000-0000-00000D620000}"/>
    <cellStyle name="Normal 5 2 3 2 7 2 2" xfId="8985" xr:uid="{00000000-0005-0000-0000-00000E620000}"/>
    <cellStyle name="Normal 5 2 3 2 7 2 2 2" xfId="18309" xr:uid="{00000000-0005-0000-0000-00000F620000}"/>
    <cellStyle name="Normal 5 2 3 2 7 2 2 3" xfId="27632" xr:uid="{00000000-0005-0000-0000-000010620000}"/>
    <cellStyle name="Normal 5 2 3 2 7 2 3" xfId="13642" xr:uid="{00000000-0005-0000-0000-000011620000}"/>
    <cellStyle name="Normal 5 2 3 2 7 2 4" xfId="22966" xr:uid="{00000000-0005-0000-0000-000012620000}"/>
    <cellStyle name="Normal 5 2 3 2 7 3" xfId="6046" xr:uid="{00000000-0005-0000-0000-000013620000}"/>
    <cellStyle name="Normal 5 2 3 2 7 3 2" xfId="15370" xr:uid="{00000000-0005-0000-0000-000014620000}"/>
    <cellStyle name="Normal 5 2 3 2 7 3 3" xfId="24693" xr:uid="{00000000-0005-0000-0000-000015620000}"/>
    <cellStyle name="Normal 5 2 3 2 7 4" xfId="12087" xr:uid="{00000000-0005-0000-0000-000016620000}"/>
    <cellStyle name="Normal 5 2 3 2 7 5" xfId="21413" xr:uid="{00000000-0005-0000-0000-000017620000}"/>
    <cellStyle name="Normal 5 2 3 2 8" xfId="2628" xr:uid="{00000000-0005-0000-0000-000018620000}"/>
    <cellStyle name="Normal 5 2 3 2 8 2" xfId="4309" xr:uid="{00000000-0005-0000-0000-000019620000}"/>
    <cellStyle name="Normal 5 2 3 2 8 2 2" xfId="8986" xr:uid="{00000000-0005-0000-0000-00001A620000}"/>
    <cellStyle name="Normal 5 2 3 2 8 2 2 2" xfId="18310" xr:uid="{00000000-0005-0000-0000-00001B620000}"/>
    <cellStyle name="Normal 5 2 3 2 8 2 2 3" xfId="27633" xr:uid="{00000000-0005-0000-0000-00001C620000}"/>
    <cellStyle name="Normal 5 2 3 2 8 2 3" xfId="13643" xr:uid="{00000000-0005-0000-0000-00001D620000}"/>
    <cellStyle name="Normal 5 2 3 2 8 2 4" xfId="22967" xr:uid="{00000000-0005-0000-0000-00001E620000}"/>
    <cellStyle name="Normal 5 2 3 2 8 3" xfId="6047" xr:uid="{00000000-0005-0000-0000-00001F620000}"/>
    <cellStyle name="Normal 5 2 3 2 8 3 2" xfId="15371" xr:uid="{00000000-0005-0000-0000-000020620000}"/>
    <cellStyle name="Normal 5 2 3 2 8 3 3" xfId="24694" xr:uid="{00000000-0005-0000-0000-000021620000}"/>
    <cellStyle name="Normal 5 2 3 2 8 4" xfId="12088" xr:uid="{00000000-0005-0000-0000-000022620000}"/>
    <cellStyle name="Normal 5 2 3 2 8 5" xfId="21414" xr:uid="{00000000-0005-0000-0000-000023620000}"/>
    <cellStyle name="Normal 5 2 3 2 9" xfId="2601" xr:uid="{00000000-0005-0000-0000-000024620000}"/>
    <cellStyle name="Normal 5 2 3 2 9 2" xfId="7550" xr:uid="{00000000-0005-0000-0000-000025620000}"/>
    <cellStyle name="Normal 5 2 3 2 9 2 2" xfId="16874" xr:uid="{00000000-0005-0000-0000-000026620000}"/>
    <cellStyle name="Normal 5 2 3 2 9 2 3" xfId="26197" xr:uid="{00000000-0005-0000-0000-000027620000}"/>
    <cellStyle name="Normal 5 2 3 2 9 3" xfId="12061" xr:uid="{00000000-0005-0000-0000-000028620000}"/>
    <cellStyle name="Normal 5 2 3 2 9 4" xfId="21387" xr:uid="{00000000-0005-0000-0000-000029620000}"/>
    <cellStyle name="Normal 5 2 3 3" xfId="2629" xr:uid="{00000000-0005-0000-0000-00002A620000}"/>
    <cellStyle name="Normal 5 2 3 3 10" xfId="6048" xr:uid="{00000000-0005-0000-0000-00002B620000}"/>
    <cellStyle name="Normal 5 2 3 3 10 2" xfId="15372" xr:uid="{00000000-0005-0000-0000-00002C620000}"/>
    <cellStyle name="Normal 5 2 3 3 10 3" xfId="24695" xr:uid="{00000000-0005-0000-0000-00002D620000}"/>
    <cellStyle name="Normal 5 2 3 3 11" xfId="12089" xr:uid="{00000000-0005-0000-0000-00002E620000}"/>
    <cellStyle name="Normal 5 2 3 3 12" xfId="21415" xr:uid="{00000000-0005-0000-0000-00002F620000}"/>
    <cellStyle name="Normal 5 2 3 3 13" xfId="28796" xr:uid="{00000000-0005-0000-0000-000030620000}"/>
    <cellStyle name="Normal 5 2 3 3 2" xfId="2630" xr:uid="{00000000-0005-0000-0000-000031620000}"/>
    <cellStyle name="Normal 5 2 3 3 2 10" xfId="12090" xr:uid="{00000000-0005-0000-0000-000032620000}"/>
    <cellStyle name="Normal 5 2 3 3 2 11" xfId="21416" xr:uid="{00000000-0005-0000-0000-000033620000}"/>
    <cellStyle name="Normal 5 2 3 3 2 2" xfId="2631" xr:uid="{00000000-0005-0000-0000-000034620000}"/>
    <cellStyle name="Normal 5 2 3 3 2 2 2" xfId="2632" xr:uid="{00000000-0005-0000-0000-000035620000}"/>
    <cellStyle name="Normal 5 2 3 3 2 2 2 2" xfId="2633" xr:uid="{00000000-0005-0000-0000-000036620000}"/>
    <cellStyle name="Normal 5 2 3 3 2 2 2 2 2" xfId="4314" xr:uid="{00000000-0005-0000-0000-000037620000}"/>
    <cellStyle name="Normal 5 2 3 3 2 2 2 2 2 2" xfId="8991" xr:uid="{00000000-0005-0000-0000-000038620000}"/>
    <cellStyle name="Normal 5 2 3 3 2 2 2 2 2 2 2" xfId="18315" xr:uid="{00000000-0005-0000-0000-000039620000}"/>
    <cellStyle name="Normal 5 2 3 3 2 2 2 2 2 2 3" xfId="27638" xr:uid="{00000000-0005-0000-0000-00003A620000}"/>
    <cellStyle name="Normal 5 2 3 3 2 2 2 2 2 3" xfId="13648" xr:uid="{00000000-0005-0000-0000-00003B620000}"/>
    <cellStyle name="Normal 5 2 3 3 2 2 2 2 2 4" xfId="22972" xr:uid="{00000000-0005-0000-0000-00003C620000}"/>
    <cellStyle name="Normal 5 2 3 3 2 2 2 2 3" xfId="6052" xr:uid="{00000000-0005-0000-0000-00003D620000}"/>
    <cellStyle name="Normal 5 2 3 3 2 2 2 2 3 2" xfId="15376" xr:uid="{00000000-0005-0000-0000-00003E620000}"/>
    <cellStyle name="Normal 5 2 3 3 2 2 2 2 3 3" xfId="24699" xr:uid="{00000000-0005-0000-0000-00003F620000}"/>
    <cellStyle name="Normal 5 2 3 3 2 2 2 2 4" xfId="12093" xr:uid="{00000000-0005-0000-0000-000040620000}"/>
    <cellStyle name="Normal 5 2 3 3 2 2 2 2 5" xfId="21419" xr:uid="{00000000-0005-0000-0000-000041620000}"/>
    <cellStyle name="Normal 5 2 3 3 2 2 2 3" xfId="4313" xr:uid="{00000000-0005-0000-0000-000042620000}"/>
    <cellStyle name="Normal 5 2 3 3 2 2 2 3 2" xfId="8990" xr:uid="{00000000-0005-0000-0000-000043620000}"/>
    <cellStyle name="Normal 5 2 3 3 2 2 2 3 2 2" xfId="18314" xr:uid="{00000000-0005-0000-0000-000044620000}"/>
    <cellStyle name="Normal 5 2 3 3 2 2 2 3 2 3" xfId="27637" xr:uid="{00000000-0005-0000-0000-000045620000}"/>
    <cellStyle name="Normal 5 2 3 3 2 2 2 3 3" xfId="13647" xr:uid="{00000000-0005-0000-0000-000046620000}"/>
    <cellStyle name="Normal 5 2 3 3 2 2 2 3 4" xfId="22971" xr:uid="{00000000-0005-0000-0000-000047620000}"/>
    <cellStyle name="Normal 5 2 3 3 2 2 2 4" xfId="6051" xr:uid="{00000000-0005-0000-0000-000048620000}"/>
    <cellStyle name="Normal 5 2 3 3 2 2 2 4 2" xfId="15375" xr:uid="{00000000-0005-0000-0000-000049620000}"/>
    <cellStyle name="Normal 5 2 3 3 2 2 2 4 3" xfId="24698" xr:uid="{00000000-0005-0000-0000-00004A620000}"/>
    <cellStyle name="Normal 5 2 3 3 2 2 2 5" xfId="12092" xr:uid="{00000000-0005-0000-0000-00004B620000}"/>
    <cellStyle name="Normal 5 2 3 3 2 2 2 6" xfId="21418" xr:uid="{00000000-0005-0000-0000-00004C620000}"/>
    <cellStyle name="Normal 5 2 3 3 2 2 3" xfId="2634" xr:uid="{00000000-0005-0000-0000-00004D620000}"/>
    <cellStyle name="Normal 5 2 3 3 2 2 3 2" xfId="4315" xr:uid="{00000000-0005-0000-0000-00004E620000}"/>
    <cellStyle name="Normal 5 2 3 3 2 2 3 2 2" xfId="8992" xr:uid="{00000000-0005-0000-0000-00004F620000}"/>
    <cellStyle name="Normal 5 2 3 3 2 2 3 2 2 2" xfId="18316" xr:uid="{00000000-0005-0000-0000-000050620000}"/>
    <cellStyle name="Normal 5 2 3 3 2 2 3 2 2 3" xfId="27639" xr:uid="{00000000-0005-0000-0000-000051620000}"/>
    <cellStyle name="Normal 5 2 3 3 2 2 3 2 3" xfId="13649" xr:uid="{00000000-0005-0000-0000-000052620000}"/>
    <cellStyle name="Normal 5 2 3 3 2 2 3 2 4" xfId="22973" xr:uid="{00000000-0005-0000-0000-000053620000}"/>
    <cellStyle name="Normal 5 2 3 3 2 2 3 3" xfId="6053" xr:uid="{00000000-0005-0000-0000-000054620000}"/>
    <cellStyle name="Normal 5 2 3 3 2 2 3 3 2" xfId="15377" xr:uid="{00000000-0005-0000-0000-000055620000}"/>
    <cellStyle name="Normal 5 2 3 3 2 2 3 3 3" xfId="24700" xr:uid="{00000000-0005-0000-0000-000056620000}"/>
    <cellStyle name="Normal 5 2 3 3 2 2 3 4" xfId="12094" xr:uid="{00000000-0005-0000-0000-000057620000}"/>
    <cellStyle name="Normal 5 2 3 3 2 2 3 5" xfId="21420" xr:uid="{00000000-0005-0000-0000-000058620000}"/>
    <cellStyle name="Normal 5 2 3 3 2 2 4" xfId="4312" xr:uid="{00000000-0005-0000-0000-000059620000}"/>
    <cellStyle name="Normal 5 2 3 3 2 2 4 2" xfId="8989" xr:uid="{00000000-0005-0000-0000-00005A620000}"/>
    <cellStyle name="Normal 5 2 3 3 2 2 4 2 2" xfId="18313" xr:uid="{00000000-0005-0000-0000-00005B620000}"/>
    <cellStyle name="Normal 5 2 3 3 2 2 4 2 3" xfId="27636" xr:uid="{00000000-0005-0000-0000-00005C620000}"/>
    <cellStyle name="Normal 5 2 3 3 2 2 4 3" xfId="13646" xr:uid="{00000000-0005-0000-0000-00005D620000}"/>
    <cellStyle name="Normal 5 2 3 3 2 2 4 4" xfId="22970" xr:uid="{00000000-0005-0000-0000-00005E620000}"/>
    <cellStyle name="Normal 5 2 3 3 2 2 5" xfId="6050" xr:uid="{00000000-0005-0000-0000-00005F620000}"/>
    <cellStyle name="Normal 5 2 3 3 2 2 5 2" xfId="15374" xr:uid="{00000000-0005-0000-0000-000060620000}"/>
    <cellStyle name="Normal 5 2 3 3 2 2 5 3" xfId="24697" xr:uid="{00000000-0005-0000-0000-000061620000}"/>
    <cellStyle name="Normal 5 2 3 3 2 2 6" xfId="12091" xr:uid="{00000000-0005-0000-0000-000062620000}"/>
    <cellStyle name="Normal 5 2 3 3 2 2 7" xfId="21417" xr:uid="{00000000-0005-0000-0000-000063620000}"/>
    <cellStyle name="Normal 5 2 3 3 2 3" xfId="2635" xr:uid="{00000000-0005-0000-0000-000064620000}"/>
    <cellStyle name="Normal 5 2 3 3 2 3 2" xfId="2636" xr:uid="{00000000-0005-0000-0000-000065620000}"/>
    <cellStyle name="Normal 5 2 3 3 2 3 2 2" xfId="2637" xr:uid="{00000000-0005-0000-0000-000066620000}"/>
    <cellStyle name="Normal 5 2 3 3 2 3 2 2 2" xfId="4318" xr:uid="{00000000-0005-0000-0000-000067620000}"/>
    <cellStyle name="Normal 5 2 3 3 2 3 2 2 2 2" xfId="8995" xr:uid="{00000000-0005-0000-0000-000068620000}"/>
    <cellStyle name="Normal 5 2 3 3 2 3 2 2 2 2 2" xfId="18319" xr:uid="{00000000-0005-0000-0000-000069620000}"/>
    <cellStyle name="Normal 5 2 3 3 2 3 2 2 2 2 3" xfId="27642" xr:uid="{00000000-0005-0000-0000-00006A620000}"/>
    <cellStyle name="Normal 5 2 3 3 2 3 2 2 2 3" xfId="13652" xr:uid="{00000000-0005-0000-0000-00006B620000}"/>
    <cellStyle name="Normal 5 2 3 3 2 3 2 2 2 4" xfId="22976" xr:uid="{00000000-0005-0000-0000-00006C620000}"/>
    <cellStyle name="Normal 5 2 3 3 2 3 2 2 3" xfId="6056" xr:uid="{00000000-0005-0000-0000-00006D620000}"/>
    <cellStyle name="Normal 5 2 3 3 2 3 2 2 3 2" xfId="15380" xr:uid="{00000000-0005-0000-0000-00006E620000}"/>
    <cellStyle name="Normal 5 2 3 3 2 3 2 2 3 3" xfId="24703" xr:uid="{00000000-0005-0000-0000-00006F620000}"/>
    <cellStyle name="Normal 5 2 3 3 2 3 2 2 4" xfId="12097" xr:uid="{00000000-0005-0000-0000-000070620000}"/>
    <cellStyle name="Normal 5 2 3 3 2 3 2 2 5" xfId="21423" xr:uid="{00000000-0005-0000-0000-000071620000}"/>
    <cellStyle name="Normal 5 2 3 3 2 3 2 3" xfId="4317" xr:uid="{00000000-0005-0000-0000-000072620000}"/>
    <cellStyle name="Normal 5 2 3 3 2 3 2 3 2" xfId="8994" xr:uid="{00000000-0005-0000-0000-000073620000}"/>
    <cellStyle name="Normal 5 2 3 3 2 3 2 3 2 2" xfId="18318" xr:uid="{00000000-0005-0000-0000-000074620000}"/>
    <cellStyle name="Normal 5 2 3 3 2 3 2 3 2 3" xfId="27641" xr:uid="{00000000-0005-0000-0000-000075620000}"/>
    <cellStyle name="Normal 5 2 3 3 2 3 2 3 3" xfId="13651" xr:uid="{00000000-0005-0000-0000-000076620000}"/>
    <cellStyle name="Normal 5 2 3 3 2 3 2 3 4" xfId="22975" xr:uid="{00000000-0005-0000-0000-000077620000}"/>
    <cellStyle name="Normal 5 2 3 3 2 3 2 4" xfId="6055" xr:uid="{00000000-0005-0000-0000-000078620000}"/>
    <cellStyle name="Normal 5 2 3 3 2 3 2 4 2" xfId="15379" xr:uid="{00000000-0005-0000-0000-000079620000}"/>
    <cellStyle name="Normal 5 2 3 3 2 3 2 4 3" xfId="24702" xr:uid="{00000000-0005-0000-0000-00007A620000}"/>
    <cellStyle name="Normal 5 2 3 3 2 3 2 5" xfId="12096" xr:uid="{00000000-0005-0000-0000-00007B620000}"/>
    <cellStyle name="Normal 5 2 3 3 2 3 2 6" xfId="21422" xr:uid="{00000000-0005-0000-0000-00007C620000}"/>
    <cellStyle name="Normal 5 2 3 3 2 3 3" xfId="2638" xr:uid="{00000000-0005-0000-0000-00007D620000}"/>
    <cellStyle name="Normal 5 2 3 3 2 3 3 2" xfId="4319" xr:uid="{00000000-0005-0000-0000-00007E620000}"/>
    <cellStyle name="Normal 5 2 3 3 2 3 3 2 2" xfId="8996" xr:uid="{00000000-0005-0000-0000-00007F620000}"/>
    <cellStyle name="Normal 5 2 3 3 2 3 3 2 2 2" xfId="18320" xr:uid="{00000000-0005-0000-0000-000080620000}"/>
    <cellStyle name="Normal 5 2 3 3 2 3 3 2 2 3" xfId="27643" xr:uid="{00000000-0005-0000-0000-000081620000}"/>
    <cellStyle name="Normal 5 2 3 3 2 3 3 2 3" xfId="13653" xr:uid="{00000000-0005-0000-0000-000082620000}"/>
    <cellStyle name="Normal 5 2 3 3 2 3 3 2 4" xfId="22977" xr:uid="{00000000-0005-0000-0000-000083620000}"/>
    <cellStyle name="Normal 5 2 3 3 2 3 3 3" xfId="6057" xr:uid="{00000000-0005-0000-0000-000084620000}"/>
    <cellStyle name="Normal 5 2 3 3 2 3 3 3 2" xfId="15381" xr:uid="{00000000-0005-0000-0000-000085620000}"/>
    <cellStyle name="Normal 5 2 3 3 2 3 3 3 3" xfId="24704" xr:uid="{00000000-0005-0000-0000-000086620000}"/>
    <cellStyle name="Normal 5 2 3 3 2 3 3 4" xfId="12098" xr:uid="{00000000-0005-0000-0000-000087620000}"/>
    <cellStyle name="Normal 5 2 3 3 2 3 3 5" xfId="21424" xr:uid="{00000000-0005-0000-0000-000088620000}"/>
    <cellStyle name="Normal 5 2 3 3 2 3 4" xfId="4316" xr:uid="{00000000-0005-0000-0000-000089620000}"/>
    <cellStyle name="Normal 5 2 3 3 2 3 4 2" xfId="8993" xr:uid="{00000000-0005-0000-0000-00008A620000}"/>
    <cellStyle name="Normal 5 2 3 3 2 3 4 2 2" xfId="18317" xr:uid="{00000000-0005-0000-0000-00008B620000}"/>
    <cellStyle name="Normal 5 2 3 3 2 3 4 2 3" xfId="27640" xr:uid="{00000000-0005-0000-0000-00008C620000}"/>
    <cellStyle name="Normal 5 2 3 3 2 3 4 3" xfId="13650" xr:uid="{00000000-0005-0000-0000-00008D620000}"/>
    <cellStyle name="Normal 5 2 3 3 2 3 4 4" xfId="22974" xr:uid="{00000000-0005-0000-0000-00008E620000}"/>
    <cellStyle name="Normal 5 2 3 3 2 3 5" xfId="6054" xr:uid="{00000000-0005-0000-0000-00008F620000}"/>
    <cellStyle name="Normal 5 2 3 3 2 3 5 2" xfId="15378" xr:uid="{00000000-0005-0000-0000-000090620000}"/>
    <cellStyle name="Normal 5 2 3 3 2 3 5 3" xfId="24701" xr:uid="{00000000-0005-0000-0000-000091620000}"/>
    <cellStyle name="Normal 5 2 3 3 2 3 6" xfId="12095" xr:uid="{00000000-0005-0000-0000-000092620000}"/>
    <cellStyle name="Normal 5 2 3 3 2 3 7" xfId="21421" xr:uid="{00000000-0005-0000-0000-000093620000}"/>
    <cellStyle name="Normal 5 2 3 3 2 4" xfId="2639" xr:uid="{00000000-0005-0000-0000-000094620000}"/>
    <cellStyle name="Normal 5 2 3 3 2 4 2" xfId="2640" xr:uid="{00000000-0005-0000-0000-000095620000}"/>
    <cellStyle name="Normal 5 2 3 3 2 4 2 2" xfId="4321" xr:uid="{00000000-0005-0000-0000-000096620000}"/>
    <cellStyle name="Normal 5 2 3 3 2 4 2 2 2" xfId="8998" xr:uid="{00000000-0005-0000-0000-000097620000}"/>
    <cellStyle name="Normal 5 2 3 3 2 4 2 2 2 2" xfId="18322" xr:uid="{00000000-0005-0000-0000-000098620000}"/>
    <cellStyle name="Normal 5 2 3 3 2 4 2 2 2 3" xfId="27645" xr:uid="{00000000-0005-0000-0000-000099620000}"/>
    <cellStyle name="Normal 5 2 3 3 2 4 2 2 3" xfId="13655" xr:uid="{00000000-0005-0000-0000-00009A620000}"/>
    <cellStyle name="Normal 5 2 3 3 2 4 2 2 4" xfId="22979" xr:uid="{00000000-0005-0000-0000-00009B620000}"/>
    <cellStyle name="Normal 5 2 3 3 2 4 2 3" xfId="6059" xr:uid="{00000000-0005-0000-0000-00009C620000}"/>
    <cellStyle name="Normal 5 2 3 3 2 4 2 3 2" xfId="15383" xr:uid="{00000000-0005-0000-0000-00009D620000}"/>
    <cellStyle name="Normal 5 2 3 3 2 4 2 3 3" xfId="24706" xr:uid="{00000000-0005-0000-0000-00009E620000}"/>
    <cellStyle name="Normal 5 2 3 3 2 4 2 4" xfId="12100" xr:uid="{00000000-0005-0000-0000-00009F620000}"/>
    <cellStyle name="Normal 5 2 3 3 2 4 2 5" xfId="21426" xr:uid="{00000000-0005-0000-0000-0000A0620000}"/>
    <cellStyle name="Normal 5 2 3 3 2 4 3" xfId="4320" xr:uid="{00000000-0005-0000-0000-0000A1620000}"/>
    <cellStyle name="Normal 5 2 3 3 2 4 3 2" xfId="8997" xr:uid="{00000000-0005-0000-0000-0000A2620000}"/>
    <cellStyle name="Normal 5 2 3 3 2 4 3 2 2" xfId="18321" xr:uid="{00000000-0005-0000-0000-0000A3620000}"/>
    <cellStyle name="Normal 5 2 3 3 2 4 3 2 3" xfId="27644" xr:uid="{00000000-0005-0000-0000-0000A4620000}"/>
    <cellStyle name="Normal 5 2 3 3 2 4 3 3" xfId="13654" xr:uid="{00000000-0005-0000-0000-0000A5620000}"/>
    <cellStyle name="Normal 5 2 3 3 2 4 3 4" xfId="22978" xr:uid="{00000000-0005-0000-0000-0000A6620000}"/>
    <cellStyle name="Normal 5 2 3 3 2 4 4" xfId="6058" xr:uid="{00000000-0005-0000-0000-0000A7620000}"/>
    <cellStyle name="Normal 5 2 3 3 2 4 4 2" xfId="15382" xr:uid="{00000000-0005-0000-0000-0000A8620000}"/>
    <cellStyle name="Normal 5 2 3 3 2 4 4 3" xfId="24705" xr:uid="{00000000-0005-0000-0000-0000A9620000}"/>
    <cellStyle name="Normal 5 2 3 3 2 4 5" xfId="12099" xr:uid="{00000000-0005-0000-0000-0000AA620000}"/>
    <cellStyle name="Normal 5 2 3 3 2 4 6" xfId="21425" xr:uid="{00000000-0005-0000-0000-0000AB620000}"/>
    <cellStyle name="Normal 5 2 3 3 2 5" xfId="2641" xr:uid="{00000000-0005-0000-0000-0000AC620000}"/>
    <cellStyle name="Normal 5 2 3 3 2 5 2" xfId="4322" xr:uid="{00000000-0005-0000-0000-0000AD620000}"/>
    <cellStyle name="Normal 5 2 3 3 2 5 2 2" xfId="8999" xr:uid="{00000000-0005-0000-0000-0000AE620000}"/>
    <cellStyle name="Normal 5 2 3 3 2 5 2 2 2" xfId="18323" xr:uid="{00000000-0005-0000-0000-0000AF620000}"/>
    <cellStyle name="Normal 5 2 3 3 2 5 2 2 3" xfId="27646" xr:uid="{00000000-0005-0000-0000-0000B0620000}"/>
    <cellStyle name="Normal 5 2 3 3 2 5 2 3" xfId="13656" xr:uid="{00000000-0005-0000-0000-0000B1620000}"/>
    <cellStyle name="Normal 5 2 3 3 2 5 2 4" xfId="22980" xr:uid="{00000000-0005-0000-0000-0000B2620000}"/>
    <cellStyle name="Normal 5 2 3 3 2 5 3" xfId="6060" xr:uid="{00000000-0005-0000-0000-0000B3620000}"/>
    <cellStyle name="Normal 5 2 3 3 2 5 3 2" xfId="15384" xr:uid="{00000000-0005-0000-0000-0000B4620000}"/>
    <cellStyle name="Normal 5 2 3 3 2 5 3 3" xfId="24707" xr:uid="{00000000-0005-0000-0000-0000B5620000}"/>
    <cellStyle name="Normal 5 2 3 3 2 5 4" xfId="12101" xr:uid="{00000000-0005-0000-0000-0000B6620000}"/>
    <cellStyle name="Normal 5 2 3 3 2 5 5" xfId="21427" xr:uid="{00000000-0005-0000-0000-0000B7620000}"/>
    <cellStyle name="Normal 5 2 3 3 2 6" xfId="2642" xr:uid="{00000000-0005-0000-0000-0000B8620000}"/>
    <cellStyle name="Normal 5 2 3 3 2 6 2" xfId="4323" xr:uid="{00000000-0005-0000-0000-0000B9620000}"/>
    <cellStyle name="Normal 5 2 3 3 2 6 2 2" xfId="9000" xr:uid="{00000000-0005-0000-0000-0000BA620000}"/>
    <cellStyle name="Normal 5 2 3 3 2 6 2 2 2" xfId="18324" xr:uid="{00000000-0005-0000-0000-0000BB620000}"/>
    <cellStyle name="Normal 5 2 3 3 2 6 2 2 3" xfId="27647" xr:uid="{00000000-0005-0000-0000-0000BC620000}"/>
    <cellStyle name="Normal 5 2 3 3 2 6 2 3" xfId="13657" xr:uid="{00000000-0005-0000-0000-0000BD620000}"/>
    <cellStyle name="Normal 5 2 3 3 2 6 2 4" xfId="22981" xr:uid="{00000000-0005-0000-0000-0000BE620000}"/>
    <cellStyle name="Normal 5 2 3 3 2 6 3" xfId="6061" xr:uid="{00000000-0005-0000-0000-0000BF620000}"/>
    <cellStyle name="Normal 5 2 3 3 2 6 3 2" xfId="15385" xr:uid="{00000000-0005-0000-0000-0000C0620000}"/>
    <cellStyle name="Normal 5 2 3 3 2 6 3 3" xfId="24708" xr:uid="{00000000-0005-0000-0000-0000C1620000}"/>
    <cellStyle name="Normal 5 2 3 3 2 6 4" xfId="12102" xr:uid="{00000000-0005-0000-0000-0000C2620000}"/>
    <cellStyle name="Normal 5 2 3 3 2 6 5" xfId="21428" xr:uid="{00000000-0005-0000-0000-0000C3620000}"/>
    <cellStyle name="Normal 5 2 3 3 2 7" xfId="2643" xr:uid="{00000000-0005-0000-0000-0000C4620000}"/>
    <cellStyle name="Normal 5 2 3 3 2 7 2" xfId="4324" xr:uid="{00000000-0005-0000-0000-0000C5620000}"/>
    <cellStyle name="Normal 5 2 3 3 2 7 2 2" xfId="9001" xr:uid="{00000000-0005-0000-0000-0000C6620000}"/>
    <cellStyle name="Normal 5 2 3 3 2 7 2 2 2" xfId="18325" xr:uid="{00000000-0005-0000-0000-0000C7620000}"/>
    <cellStyle name="Normal 5 2 3 3 2 7 2 2 3" xfId="27648" xr:uid="{00000000-0005-0000-0000-0000C8620000}"/>
    <cellStyle name="Normal 5 2 3 3 2 7 2 3" xfId="13658" xr:uid="{00000000-0005-0000-0000-0000C9620000}"/>
    <cellStyle name="Normal 5 2 3 3 2 7 2 4" xfId="22982" xr:uid="{00000000-0005-0000-0000-0000CA620000}"/>
    <cellStyle name="Normal 5 2 3 3 2 7 3" xfId="6062" xr:uid="{00000000-0005-0000-0000-0000CB620000}"/>
    <cellStyle name="Normal 5 2 3 3 2 7 3 2" xfId="15386" xr:uid="{00000000-0005-0000-0000-0000CC620000}"/>
    <cellStyle name="Normal 5 2 3 3 2 7 3 3" xfId="24709" xr:uid="{00000000-0005-0000-0000-0000CD620000}"/>
    <cellStyle name="Normal 5 2 3 3 2 7 4" xfId="12103" xr:uid="{00000000-0005-0000-0000-0000CE620000}"/>
    <cellStyle name="Normal 5 2 3 3 2 7 5" xfId="21429" xr:uid="{00000000-0005-0000-0000-0000CF620000}"/>
    <cellStyle name="Normal 5 2 3 3 2 8" xfId="4311" xr:uid="{00000000-0005-0000-0000-0000D0620000}"/>
    <cellStyle name="Normal 5 2 3 3 2 8 2" xfId="8988" xr:uid="{00000000-0005-0000-0000-0000D1620000}"/>
    <cellStyle name="Normal 5 2 3 3 2 8 2 2" xfId="18312" xr:uid="{00000000-0005-0000-0000-0000D2620000}"/>
    <cellStyle name="Normal 5 2 3 3 2 8 2 3" xfId="27635" xr:uid="{00000000-0005-0000-0000-0000D3620000}"/>
    <cellStyle name="Normal 5 2 3 3 2 8 3" xfId="13645" xr:uid="{00000000-0005-0000-0000-0000D4620000}"/>
    <cellStyle name="Normal 5 2 3 3 2 8 4" xfId="22969" xr:uid="{00000000-0005-0000-0000-0000D5620000}"/>
    <cellStyle name="Normal 5 2 3 3 2 9" xfId="6049" xr:uid="{00000000-0005-0000-0000-0000D6620000}"/>
    <cellStyle name="Normal 5 2 3 3 2 9 2" xfId="15373" xr:uid="{00000000-0005-0000-0000-0000D7620000}"/>
    <cellStyle name="Normal 5 2 3 3 2 9 3" xfId="24696" xr:uid="{00000000-0005-0000-0000-0000D8620000}"/>
    <cellStyle name="Normal 5 2 3 3 3" xfId="2644" xr:uid="{00000000-0005-0000-0000-0000D9620000}"/>
    <cellStyle name="Normal 5 2 3 3 3 2" xfId="2645" xr:uid="{00000000-0005-0000-0000-0000DA620000}"/>
    <cellStyle name="Normal 5 2 3 3 3 2 2" xfId="2646" xr:uid="{00000000-0005-0000-0000-0000DB620000}"/>
    <cellStyle name="Normal 5 2 3 3 3 2 2 2" xfId="4327" xr:uid="{00000000-0005-0000-0000-0000DC620000}"/>
    <cellStyle name="Normal 5 2 3 3 3 2 2 2 2" xfId="9004" xr:uid="{00000000-0005-0000-0000-0000DD620000}"/>
    <cellStyle name="Normal 5 2 3 3 3 2 2 2 2 2" xfId="18328" xr:uid="{00000000-0005-0000-0000-0000DE620000}"/>
    <cellStyle name="Normal 5 2 3 3 3 2 2 2 2 3" xfId="27651" xr:uid="{00000000-0005-0000-0000-0000DF620000}"/>
    <cellStyle name="Normal 5 2 3 3 3 2 2 2 3" xfId="13661" xr:uid="{00000000-0005-0000-0000-0000E0620000}"/>
    <cellStyle name="Normal 5 2 3 3 3 2 2 2 4" xfId="22985" xr:uid="{00000000-0005-0000-0000-0000E1620000}"/>
    <cellStyle name="Normal 5 2 3 3 3 2 2 3" xfId="6065" xr:uid="{00000000-0005-0000-0000-0000E2620000}"/>
    <cellStyle name="Normal 5 2 3 3 3 2 2 3 2" xfId="15389" xr:uid="{00000000-0005-0000-0000-0000E3620000}"/>
    <cellStyle name="Normal 5 2 3 3 3 2 2 3 3" xfId="24712" xr:uid="{00000000-0005-0000-0000-0000E4620000}"/>
    <cellStyle name="Normal 5 2 3 3 3 2 2 4" xfId="12106" xr:uid="{00000000-0005-0000-0000-0000E5620000}"/>
    <cellStyle name="Normal 5 2 3 3 3 2 2 5" xfId="21432" xr:uid="{00000000-0005-0000-0000-0000E6620000}"/>
    <cellStyle name="Normal 5 2 3 3 3 2 3" xfId="4326" xr:uid="{00000000-0005-0000-0000-0000E7620000}"/>
    <cellStyle name="Normal 5 2 3 3 3 2 3 2" xfId="9003" xr:uid="{00000000-0005-0000-0000-0000E8620000}"/>
    <cellStyle name="Normal 5 2 3 3 3 2 3 2 2" xfId="18327" xr:uid="{00000000-0005-0000-0000-0000E9620000}"/>
    <cellStyle name="Normal 5 2 3 3 3 2 3 2 3" xfId="27650" xr:uid="{00000000-0005-0000-0000-0000EA620000}"/>
    <cellStyle name="Normal 5 2 3 3 3 2 3 3" xfId="13660" xr:uid="{00000000-0005-0000-0000-0000EB620000}"/>
    <cellStyle name="Normal 5 2 3 3 3 2 3 4" xfId="22984" xr:uid="{00000000-0005-0000-0000-0000EC620000}"/>
    <cellStyle name="Normal 5 2 3 3 3 2 4" xfId="6064" xr:uid="{00000000-0005-0000-0000-0000ED620000}"/>
    <cellStyle name="Normal 5 2 3 3 3 2 4 2" xfId="15388" xr:uid="{00000000-0005-0000-0000-0000EE620000}"/>
    <cellStyle name="Normal 5 2 3 3 3 2 4 3" xfId="24711" xr:uid="{00000000-0005-0000-0000-0000EF620000}"/>
    <cellStyle name="Normal 5 2 3 3 3 2 5" xfId="12105" xr:uid="{00000000-0005-0000-0000-0000F0620000}"/>
    <cellStyle name="Normal 5 2 3 3 3 2 6" xfId="21431" xr:uid="{00000000-0005-0000-0000-0000F1620000}"/>
    <cellStyle name="Normal 5 2 3 3 3 3" xfId="2647" xr:uid="{00000000-0005-0000-0000-0000F2620000}"/>
    <cellStyle name="Normal 5 2 3 3 3 3 2" xfId="4328" xr:uid="{00000000-0005-0000-0000-0000F3620000}"/>
    <cellStyle name="Normal 5 2 3 3 3 3 2 2" xfId="9005" xr:uid="{00000000-0005-0000-0000-0000F4620000}"/>
    <cellStyle name="Normal 5 2 3 3 3 3 2 2 2" xfId="18329" xr:uid="{00000000-0005-0000-0000-0000F5620000}"/>
    <cellStyle name="Normal 5 2 3 3 3 3 2 2 3" xfId="27652" xr:uid="{00000000-0005-0000-0000-0000F6620000}"/>
    <cellStyle name="Normal 5 2 3 3 3 3 2 3" xfId="13662" xr:uid="{00000000-0005-0000-0000-0000F7620000}"/>
    <cellStyle name="Normal 5 2 3 3 3 3 2 4" xfId="22986" xr:uid="{00000000-0005-0000-0000-0000F8620000}"/>
    <cellStyle name="Normal 5 2 3 3 3 3 3" xfId="6066" xr:uid="{00000000-0005-0000-0000-0000F9620000}"/>
    <cellStyle name="Normal 5 2 3 3 3 3 3 2" xfId="15390" xr:uid="{00000000-0005-0000-0000-0000FA620000}"/>
    <cellStyle name="Normal 5 2 3 3 3 3 3 3" xfId="24713" xr:uid="{00000000-0005-0000-0000-0000FB620000}"/>
    <cellStyle name="Normal 5 2 3 3 3 3 4" xfId="12107" xr:uid="{00000000-0005-0000-0000-0000FC620000}"/>
    <cellStyle name="Normal 5 2 3 3 3 3 5" xfId="21433" xr:uid="{00000000-0005-0000-0000-0000FD620000}"/>
    <cellStyle name="Normal 5 2 3 3 3 4" xfId="4325" xr:uid="{00000000-0005-0000-0000-0000FE620000}"/>
    <cellStyle name="Normal 5 2 3 3 3 4 2" xfId="9002" xr:uid="{00000000-0005-0000-0000-0000FF620000}"/>
    <cellStyle name="Normal 5 2 3 3 3 4 2 2" xfId="18326" xr:uid="{00000000-0005-0000-0000-000000630000}"/>
    <cellStyle name="Normal 5 2 3 3 3 4 2 3" xfId="27649" xr:uid="{00000000-0005-0000-0000-000001630000}"/>
    <cellStyle name="Normal 5 2 3 3 3 4 3" xfId="13659" xr:uid="{00000000-0005-0000-0000-000002630000}"/>
    <cellStyle name="Normal 5 2 3 3 3 4 4" xfId="22983" xr:uid="{00000000-0005-0000-0000-000003630000}"/>
    <cellStyle name="Normal 5 2 3 3 3 5" xfId="6063" xr:uid="{00000000-0005-0000-0000-000004630000}"/>
    <cellStyle name="Normal 5 2 3 3 3 5 2" xfId="15387" xr:uid="{00000000-0005-0000-0000-000005630000}"/>
    <cellStyle name="Normal 5 2 3 3 3 5 3" xfId="24710" xr:uid="{00000000-0005-0000-0000-000006630000}"/>
    <cellStyle name="Normal 5 2 3 3 3 6" xfId="12104" xr:uid="{00000000-0005-0000-0000-000007630000}"/>
    <cellStyle name="Normal 5 2 3 3 3 7" xfId="21430" xr:uid="{00000000-0005-0000-0000-000008630000}"/>
    <cellStyle name="Normal 5 2 3 3 4" xfId="2648" xr:uid="{00000000-0005-0000-0000-000009630000}"/>
    <cellStyle name="Normal 5 2 3 3 4 2" xfId="2649" xr:uid="{00000000-0005-0000-0000-00000A630000}"/>
    <cellStyle name="Normal 5 2 3 3 4 2 2" xfId="2650" xr:uid="{00000000-0005-0000-0000-00000B630000}"/>
    <cellStyle name="Normal 5 2 3 3 4 2 2 2" xfId="4331" xr:uid="{00000000-0005-0000-0000-00000C630000}"/>
    <cellStyle name="Normal 5 2 3 3 4 2 2 2 2" xfId="9008" xr:uid="{00000000-0005-0000-0000-00000D630000}"/>
    <cellStyle name="Normal 5 2 3 3 4 2 2 2 2 2" xfId="18332" xr:uid="{00000000-0005-0000-0000-00000E630000}"/>
    <cellStyle name="Normal 5 2 3 3 4 2 2 2 2 3" xfId="27655" xr:uid="{00000000-0005-0000-0000-00000F630000}"/>
    <cellStyle name="Normal 5 2 3 3 4 2 2 2 3" xfId="13665" xr:uid="{00000000-0005-0000-0000-000010630000}"/>
    <cellStyle name="Normal 5 2 3 3 4 2 2 2 4" xfId="22989" xr:uid="{00000000-0005-0000-0000-000011630000}"/>
    <cellStyle name="Normal 5 2 3 3 4 2 2 3" xfId="6069" xr:uid="{00000000-0005-0000-0000-000012630000}"/>
    <cellStyle name="Normal 5 2 3 3 4 2 2 3 2" xfId="15393" xr:uid="{00000000-0005-0000-0000-000013630000}"/>
    <cellStyle name="Normal 5 2 3 3 4 2 2 3 3" xfId="24716" xr:uid="{00000000-0005-0000-0000-000014630000}"/>
    <cellStyle name="Normal 5 2 3 3 4 2 2 4" xfId="12110" xr:uid="{00000000-0005-0000-0000-000015630000}"/>
    <cellStyle name="Normal 5 2 3 3 4 2 2 5" xfId="21436" xr:uid="{00000000-0005-0000-0000-000016630000}"/>
    <cellStyle name="Normal 5 2 3 3 4 2 3" xfId="4330" xr:uid="{00000000-0005-0000-0000-000017630000}"/>
    <cellStyle name="Normal 5 2 3 3 4 2 3 2" xfId="9007" xr:uid="{00000000-0005-0000-0000-000018630000}"/>
    <cellStyle name="Normal 5 2 3 3 4 2 3 2 2" xfId="18331" xr:uid="{00000000-0005-0000-0000-000019630000}"/>
    <cellStyle name="Normal 5 2 3 3 4 2 3 2 3" xfId="27654" xr:uid="{00000000-0005-0000-0000-00001A630000}"/>
    <cellStyle name="Normal 5 2 3 3 4 2 3 3" xfId="13664" xr:uid="{00000000-0005-0000-0000-00001B630000}"/>
    <cellStyle name="Normal 5 2 3 3 4 2 3 4" xfId="22988" xr:uid="{00000000-0005-0000-0000-00001C630000}"/>
    <cellStyle name="Normal 5 2 3 3 4 2 4" xfId="6068" xr:uid="{00000000-0005-0000-0000-00001D630000}"/>
    <cellStyle name="Normal 5 2 3 3 4 2 4 2" xfId="15392" xr:uid="{00000000-0005-0000-0000-00001E630000}"/>
    <cellStyle name="Normal 5 2 3 3 4 2 4 3" xfId="24715" xr:uid="{00000000-0005-0000-0000-00001F630000}"/>
    <cellStyle name="Normal 5 2 3 3 4 2 5" xfId="12109" xr:uid="{00000000-0005-0000-0000-000020630000}"/>
    <cellStyle name="Normal 5 2 3 3 4 2 6" xfId="21435" xr:uid="{00000000-0005-0000-0000-000021630000}"/>
    <cellStyle name="Normal 5 2 3 3 4 3" xfId="2651" xr:uid="{00000000-0005-0000-0000-000022630000}"/>
    <cellStyle name="Normal 5 2 3 3 4 3 2" xfId="4332" xr:uid="{00000000-0005-0000-0000-000023630000}"/>
    <cellStyle name="Normal 5 2 3 3 4 3 2 2" xfId="9009" xr:uid="{00000000-0005-0000-0000-000024630000}"/>
    <cellStyle name="Normal 5 2 3 3 4 3 2 2 2" xfId="18333" xr:uid="{00000000-0005-0000-0000-000025630000}"/>
    <cellStyle name="Normal 5 2 3 3 4 3 2 2 3" xfId="27656" xr:uid="{00000000-0005-0000-0000-000026630000}"/>
    <cellStyle name="Normal 5 2 3 3 4 3 2 3" xfId="13666" xr:uid="{00000000-0005-0000-0000-000027630000}"/>
    <cellStyle name="Normal 5 2 3 3 4 3 2 4" xfId="22990" xr:uid="{00000000-0005-0000-0000-000028630000}"/>
    <cellStyle name="Normal 5 2 3 3 4 3 3" xfId="6070" xr:uid="{00000000-0005-0000-0000-000029630000}"/>
    <cellStyle name="Normal 5 2 3 3 4 3 3 2" xfId="15394" xr:uid="{00000000-0005-0000-0000-00002A630000}"/>
    <cellStyle name="Normal 5 2 3 3 4 3 3 3" xfId="24717" xr:uid="{00000000-0005-0000-0000-00002B630000}"/>
    <cellStyle name="Normal 5 2 3 3 4 3 4" xfId="12111" xr:uid="{00000000-0005-0000-0000-00002C630000}"/>
    <cellStyle name="Normal 5 2 3 3 4 3 5" xfId="21437" xr:uid="{00000000-0005-0000-0000-00002D630000}"/>
    <cellStyle name="Normal 5 2 3 3 4 4" xfId="4329" xr:uid="{00000000-0005-0000-0000-00002E630000}"/>
    <cellStyle name="Normal 5 2 3 3 4 4 2" xfId="9006" xr:uid="{00000000-0005-0000-0000-00002F630000}"/>
    <cellStyle name="Normal 5 2 3 3 4 4 2 2" xfId="18330" xr:uid="{00000000-0005-0000-0000-000030630000}"/>
    <cellStyle name="Normal 5 2 3 3 4 4 2 3" xfId="27653" xr:uid="{00000000-0005-0000-0000-000031630000}"/>
    <cellStyle name="Normal 5 2 3 3 4 4 3" xfId="13663" xr:uid="{00000000-0005-0000-0000-000032630000}"/>
    <cellStyle name="Normal 5 2 3 3 4 4 4" xfId="22987" xr:uid="{00000000-0005-0000-0000-000033630000}"/>
    <cellStyle name="Normal 5 2 3 3 4 5" xfId="6067" xr:uid="{00000000-0005-0000-0000-000034630000}"/>
    <cellStyle name="Normal 5 2 3 3 4 5 2" xfId="15391" xr:uid="{00000000-0005-0000-0000-000035630000}"/>
    <cellStyle name="Normal 5 2 3 3 4 5 3" xfId="24714" xr:uid="{00000000-0005-0000-0000-000036630000}"/>
    <cellStyle name="Normal 5 2 3 3 4 6" xfId="12108" xr:uid="{00000000-0005-0000-0000-000037630000}"/>
    <cellStyle name="Normal 5 2 3 3 4 7" xfId="21434" xr:uid="{00000000-0005-0000-0000-000038630000}"/>
    <cellStyle name="Normal 5 2 3 3 5" xfId="2652" xr:uid="{00000000-0005-0000-0000-000039630000}"/>
    <cellStyle name="Normal 5 2 3 3 5 2" xfId="2653" xr:uid="{00000000-0005-0000-0000-00003A630000}"/>
    <cellStyle name="Normal 5 2 3 3 5 2 2" xfId="4334" xr:uid="{00000000-0005-0000-0000-00003B630000}"/>
    <cellStyle name="Normal 5 2 3 3 5 2 2 2" xfId="9011" xr:uid="{00000000-0005-0000-0000-00003C630000}"/>
    <cellStyle name="Normal 5 2 3 3 5 2 2 2 2" xfId="18335" xr:uid="{00000000-0005-0000-0000-00003D630000}"/>
    <cellStyle name="Normal 5 2 3 3 5 2 2 2 3" xfId="27658" xr:uid="{00000000-0005-0000-0000-00003E630000}"/>
    <cellStyle name="Normal 5 2 3 3 5 2 2 3" xfId="13668" xr:uid="{00000000-0005-0000-0000-00003F630000}"/>
    <cellStyle name="Normal 5 2 3 3 5 2 2 4" xfId="22992" xr:uid="{00000000-0005-0000-0000-000040630000}"/>
    <cellStyle name="Normal 5 2 3 3 5 2 3" xfId="6072" xr:uid="{00000000-0005-0000-0000-000041630000}"/>
    <cellStyle name="Normal 5 2 3 3 5 2 3 2" xfId="15396" xr:uid="{00000000-0005-0000-0000-000042630000}"/>
    <cellStyle name="Normal 5 2 3 3 5 2 3 3" xfId="24719" xr:uid="{00000000-0005-0000-0000-000043630000}"/>
    <cellStyle name="Normal 5 2 3 3 5 2 4" xfId="12113" xr:uid="{00000000-0005-0000-0000-000044630000}"/>
    <cellStyle name="Normal 5 2 3 3 5 2 5" xfId="21439" xr:uid="{00000000-0005-0000-0000-000045630000}"/>
    <cellStyle name="Normal 5 2 3 3 5 3" xfId="4333" xr:uid="{00000000-0005-0000-0000-000046630000}"/>
    <cellStyle name="Normal 5 2 3 3 5 3 2" xfId="9010" xr:uid="{00000000-0005-0000-0000-000047630000}"/>
    <cellStyle name="Normal 5 2 3 3 5 3 2 2" xfId="18334" xr:uid="{00000000-0005-0000-0000-000048630000}"/>
    <cellStyle name="Normal 5 2 3 3 5 3 2 3" xfId="27657" xr:uid="{00000000-0005-0000-0000-000049630000}"/>
    <cellStyle name="Normal 5 2 3 3 5 3 3" xfId="13667" xr:uid="{00000000-0005-0000-0000-00004A630000}"/>
    <cellStyle name="Normal 5 2 3 3 5 3 4" xfId="22991" xr:uid="{00000000-0005-0000-0000-00004B630000}"/>
    <cellStyle name="Normal 5 2 3 3 5 4" xfId="6071" xr:uid="{00000000-0005-0000-0000-00004C630000}"/>
    <cellStyle name="Normal 5 2 3 3 5 4 2" xfId="15395" xr:uid="{00000000-0005-0000-0000-00004D630000}"/>
    <cellStyle name="Normal 5 2 3 3 5 4 3" xfId="24718" xr:uid="{00000000-0005-0000-0000-00004E630000}"/>
    <cellStyle name="Normal 5 2 3 3 5 5" xfId="12112" xr:uid="{00000000-0005-0000-0000-00004F630000}"/>
    <cellStyle name="Normal 5 2 3 3 5 6" xfId="21438" xr:uid="{00000000-0005-0000-0000-000050630000}"/>
    <cellStyle name="Normal 5 2 3 3 6" xfId="2654" xr:uid="{00000000-0005-0000-0000-000051630000}"/>
    <cellStyle name="Normal 5 2 3 3 6 2" xfId="4335" xr:uid="{00000000-0005-0000-0000-000052630000}"/>
    <cellStyle name="Normal 5 2 3 3 6 2 2" xfId="9012" xr:uid="{00000000-0005-0000-0000-000053630000}"/>
    <cellStyle name="Normal 5 2 3 3 6 2 2 2" xfId="18336" xr:uid="{00000000-0005-0000-0000-000054630000}"/>
    <cellStyle name="Normal 5 2 3 3 6 2 2 3" xfId="27659" xr:uid="{00000000-0005-0000-0000-000055630000}"/>
    <cellStyle name="Normal 5 2 3 3 6 2 3" xfId="13669" xr:uid="{00000000-0005-0000-0000-000056630000}"/>
    <cellStyle name="Normal 5 2 3 3 6 2 4" xfId="22993" xr:uid="{00000000-0005-0000-0000-000057630000}"/>
    <cellStyle name="Normal 5 2 3 3 6 3" xfId="6073" xr:uid="{00000000-0005-0000-0000-000058630000}"/>
    <cellStyle name="Normal 5 2 3 3 6 3 2" xfId="15397" xr:uid="{00000000-0005-0000-0000-000059630000}"/>
    <cellStyle name="Normal 5 2 3 3 6 3 3" xfId="24720" xr:uid="{00000000-0005-0000-0000-00005A630000}"/>
    <cellStyle name="Normal 5 2 3 3 6 4" xfId="12114" xr:uid="{00000000-0005-0000-0000-00005B630000}"/>
    <cellStyle name="Normal 5 2 3 3 6 5" xfId="21440" xr:uid="{00000000-0005-0000-0000-00005C630000}"/>
    <cellStyle name="Normal 5 2 3 3 7" xfId="2655" xr:uid="{00000000-0005-0000-0000-00005D630000}"/>
    <cellStyle name="Normal 5 2 3 3 7 2" xfId="4336" xr:uid="{00000000-0005-0000-0000-00005E630000}"/>
    <cellStyle name="Normal 5 2 3 3 7 2 2" xfId="9013" xr:uid="{00000000-0005-0000-0000-00005F630000}"/>
    <cellStyle name="Normal 5 2 3 3 7 2 2 2" xfId="18337" xr:uid="{00000000-0005-0000-0000-000060630000}"/>
    <cellStyle name="Normal 5 2 3 3 7 2 2 3" xfId="27660" xr:uid="{00000000-0005-0000-0000-000061630000}"/>
    <cellStyle name="Normal 5 2 3 3 7 2 3" xfId="13670" xr:uid="{00000000-0005-0000-0000-000062630000}"/>
    <cellStyle name="Normal 5 2 3 3 7 2 4" xfId="22994" xr:uid="{00000000-0005-0000-0000-000063630000}"/>
    <cellStyle name="Normal 5 2 3 3 7 3" xfId="6074" xr:uid="{00000000-0005-0000-0000-000064630000}"/>
    <cellStyle name="Normal 5 2 3 3 7 3 2" xfId="15398" xr:uid="{00000000-0005-0000-0000-000065630000}"/>
    <cellStyle name="Normal 5 2 3 3 7 3 3" xfId="24721" xr:uid="{00000000-0005-0000-0000-000066630000}"/>
    <cellStyle name="Normal 5 2 3 3 7 4" xfId="12115" xr:uid="{00000000-0005-0000-0000-000067630000}"/>
    <cellStyle name="Normal 5 2 3 3 7 5" xfId="21441" xr:uid="{00000000-0005-0000-0000-000068630000}"/>
    <cellStyle name="Normal 5 2 3 3 8" xfId="2656" xr:uid="{00000000-0005-0000-0000-000069630000}"/>
    <cellStyle name="Normal 5 2 3 3 8 2" xfId="4337" xr:uid="{00000000-0005-0000-0000-00006A630000}"/>
    <cellStyle name="Normal 5 2 3 3 8 2 2" xfId="9014" xr:uid="{00000000-0005-0000-0000-00006B630000}"/>
    <cellStyle name="Normal 5 2 3 3 8 2 2 2" xfId="18338" xr:uid="{00000000-0005-0000-0000-00006C630000}"/>
    <cellStyle name="Normal 5 2 3 3 8 2 2 3" xfId="27661" xr:uid="{00000000-0005-0000-0000-00006D630000}"/>
    <cellStyle name="Normal 5 2 3 3 8 2 3" xfId="13671" xr:uid="{00000000-0005-0000-0000-00006E630000}"/>
    <cellStyle name="Normal 5 2 3 3 8 2 4" xfId="22995" xr:uid="{00000000-0005-0000-0000-00006F630000}"/>
    <cellStyle name="Normal 5 2 3 3 8 3" xfId="6075" xr:uid="{00000000-0005-0000-0000-000070630000}"/>
    <cellStyle name="Normal 5 2 3 3 8 3 2" xfId="15399" xr:uid="{00000000-0005-0000-0000-000071630000}"/>
    <cellStyle name="Normal 5 2 3 3 8 3 3" xfId="24722" xr:uid="{00000000-0005-0000-0000-000072630000}"/>
    <cellStyle name="Normal 5 2 3 3 8 4" xfId="12116" xr:uid="{00000000-0005-0000-0000-000073630000}"/>
    <cellStyle name="Normal 5 2 3 3 8 5" xfId="21442" xr:uid="{00000000-0005-0000-0000-000074630000}"/>
    <cellStyle name="Normal 5 2 3 3 9" xfId="4310" xr:uid="{00000000-0005-0000-0000-000075630000}"/>
    <cellStyle name="Normal 5 2 3 3 9 2" xfId="8987" xr:uid="{00000000-0005-0000-0000-000076630000}"/>
    <cellStyle name="Normal 5 2 3 3 9 2 2" xfId="18311" xr:uid="{00000000-0005-0000-0000-000077630000}"/>
    <cellStyle name="Normal 5 2 3 3 9 2 3" xfId="27634" xr:uid="{00000000-0005-0000-0000-000078630000}"/>
    <cellStyle name="Normal 5 2 3 3 9 3" xfId="13644" xr:uid="{00000000-0005-0000-0000-000079630000}"/>
    <cellStyle name="Normal 5 2 3 3 9 4" xfId="22968" xr:uid="{00000000-0005-0000-0000-00007A630000}"/>
    <cellStyle name="Normal 5 2 3 4" xfId="2657" xr:uid="{00000000-0005-0000-0000-00007B630000}"/>
    <cellStyle name="Normal 5 2 3 4 10" xfId="12117" xr:uid="{00000000-0005-0000-0000-00007C630000}"/>
    <cellStyle name="Normal 5 2 3 4 11" xfId="21443" xr:uid="{00000000-0005-0000-0000-00007D630000}"/>
    <cellStyle name="Normal 5 2 3 4 2" xfId="2658" xr:uid="{00000000-0005-0000-0000-00007E630000}"/>
    <cellStyle name="Normal 5 2 3 4 2 2" xfId="2659" xr:uid="{00000000-0005-0000-0000-00007F630000}"/>
    <cellStyle name="Normal 5 2 3 4 2 2 2" xfId="2660" xr:uid="{00000000-0005-0000-0000-000080630000}"/>
    <cellStyle name="Normal 5 2 3 4 2 2 2 2" xfId="4341" xr:uid="{00000000-0005-0000-0000-000081630000}"/>
    <cellStyle name="Normal 5 2 3 4 2 2 2 2 2" xfId="9018" xr:uid="{00000000-0005-0000-0000-000082630000}"/>
    <cellStyle name="Normal 5 2 3 4 2 2 2 2 2 2" xfId="18342" xr:uid="{00000000-0005-0000-0000-000083630000}"/>
    <cellStyle name="Normal 5 2 3 4 2 2 2 2 2 3" xfId="27665" xr:uid="{00000000-0005-0000-0000-000084630000}"/>
    <cellStyle name="Normal 5 2 3 4 2 2 2 2 3" xfId="13675" xr:uid="{00000000-0005-0000-0000-000085630000}"/>
    <cellStyle name="Normal 5 2 3 4 2 2 2 2 4" xfId="22999" xr:uid="{00000000-0005-0000-0000-000086630000}"/>
    <cellStyle name="Normal 5 2 3 4 2 2 2 3" xfId="6079" xr:uid="{00000000-0005-0000-0000-000087630000}"/>
    <cellStyle name="Normal 5 2 3 4 2 2 2 3 2" xfId="15403" xr:uid="{00000000-0005-0000-0000-000088630000}"/>
    <cellStyle name="Normal 5 2 3 4 2 2 2 3 3" xfId="24726" xr:uid="{00000000-0005-0000-0000-000089630000}"/>
    <cellStyle name="Normal 5 2 3 4 2 2 2 4" xfId="12120" xr:uid="{00000000-0005-0000-0000-00008A630000}"/>
    <cellStyle name="Normal 5 2 3 4 2 2 2 5" xfId="21446" xr:uid="{00000000-0005-0000-0000-00008B630000}"/>
    <cellStyle name="Normal 5 2 3 4 2 2 3" xfId="4340" xr:uid="{00000000-0005-0000-0000-00008C630000}"/>
    <cellStyle name="Normal 5 2 3 4 2 2 3 2" xfId="9017" xr:uid="{00000000-0005-0000-0000-00008D630000}"/>
    <cellStyle name="Normal 5 2 3 4 2 2 3 2 2" xfId="18341" xr:uid="{00000000-0005-0000-0000-00008E630000}"/>
    <cellStyle name="Normal 5 2 3 4 2 2 3 2 3" xfId="27664" xr:uid="{00000000-0005-0000-0000-00008F630000}"/>
    <cellStyle name="Normal 5 2 3 4 2 2 3 3" xfId="13674" xr:uid="{00000000-0005-0000-0000-000090630000}"/>
    <cellStyle name="Normal 5 2 3 4 2 2 3 4" xfId="22998" xr:uid="{00000000-0005-0000-0000-000091630000}"/>
    <cellStyle name="Normal 5 2 3 4 2 2 4" xfId="6078" xr:uid="{00000000-0005-0000-0000-000092630000}"/>
    <cellStyle name="Normal 5 2 3 4 2 2 4 2" xfId="15402" xr:uid="{00000000-0005-0000-0000-000093630000}"/>
    <cellStyle name="Normal 5 2 3 4 2 2 4 3" xfId="24725" xr:uid="{00000000-0005-0000-0000-000094630000}"/>
    <cellStyle name="Normal 5 2 3 4 2 2 5" xfId="12119" xr:uid="{00000000-0005-0000-0000-000095630000}"/>
    <cellStyle name="Normal 5 2 3 4 2 2 6" xfId="21445" xr:uid="{00000000-0005-0000-0000-000096630000}"/>
    <cellStyle name="Normal 5 2 3 4 2 3" xfId="2661" xr:uid="{00000000-0005-0000-0000-000097630000}"/>
    <cellStyle name="Normal 5 2 3 4 2 3 2" xfId="4342" xr:uid="{00000000-0005-0000-0000-000098630000}"/>
    <cellStyle name="Normal 5 2 3 4 2 3 2 2" xfId="9019" xr:uid="{00000000-0005-0000-0000-000099630000}"/>
    <cellStyle name="Normal 5 2 3 4 2 3 2 2 2" xfId="18343" xr:uid="{00000000-0005-0000-0000-00009A630000}"/>
    <cellStyle name="Normal 5 2 3 4 2 3 2 2 3" xfId="27666" xr:uid="{00000000-0005-0000-0000-00009B630000}"/>
    <cellStyle name="Normal 5 2 3 4 2 3 2 3" xfId="13676" xr:uid="{00000000-0005-0000-0000-00009C630000}"/>
    <cellStyle name="Normal 5 2 3 4 2 3 2 4" xfId="23000" xr:uid="{00000000-0005-0000-0000-00009D630000}"/>
    <cellStyle name="Normal 5 2 3 4 2 3 3" xfId="6080" xr:uid="{00000000-0005-0000-0000-00009E630000}"/>
    <cellStyle name="Normal 5 2 3 4 2 3 3 2" xfId="15404" xr:uid="{00000000-0005-0000-0000-00009F630000}"/>
    <cellStyle name="Normal 5 2 3 4 2 3 3 3" xfId="24727" xr:uid="{00000000-0005-0000-0000-0000A0630000}"/>
    <cellStyle name="Normal 5 2 3 4 2 3 4" xfId="12121" xr:uid="{00000000-0005-0000-0000-0000A1630000}"/>
    <cellStyle name="Normal 5 2 3 4 2 3 5" xfId="21447" xr:uid="{00000000-0005-0000-0000-0000A2630000}"/>
    <cellStyle name="Normal 5 2 3 4 2 4" xfId="4339" xr:uid="{00000000-0005-0000-0000-0000A3630000}"/>
    <cellStyle name="Normal 5 2 3 4 2 4 2" xfId="9016" xr:uid="{00000000-0005-0000-0000-0000A4630000}"/>
    <cellStyle name="Normal 5 2 3 4 2 4 2 2" xfId="18340" xr:uid="{00000000-0005-0000-0000-0000A5630000}"/>
    <cellStyle name="Normal 5 2 3 4 2 4 2 3" xfId="27663" xr:uid="{00000000-0005-0000-0000-0000A6630000}"/>
    <cellStyle name="Normal 5 2 3 4 2 4 3" xfId="13673" xr:uid="{00000000-0005-0000-0000-0000A7630000}"/>
    <cellStyle name="Normal 5 2 3 4 2 4 4" xfId="22997" xr:uid="{00000000-0005-0000-0000-0000A8630000}"/>
    <cellStyle name="Normal 5 2 3 4 2 5" xfId="6077" xr:uid="{00000000-0005-0000-0000-0000A9630000}"/>
    <cellStyle name="Normal 5 2 3 4 2 5 2" xfId="15401" xr:uid="{00000000-0005-0000-0000-0000AA630000}"/>
    <cellStyle name="Normal 5 2 3 4 2 5 3" xfId="24724" xr:uid="{00000000-0005-0000-0000-0000AB630000}"/>
    <cellStyle name="Normal 5 2 3 4 2 6" xfId="12118" xr:uid="{00000000-0005-0000-0000-0000AC630000}"/>
    <cellStyle name="Normal 5 2 3 4 2 7" xfId="21444" xr:uid="{00000000-0005-0000-0000-0000AD630000}"/>
    <cellStyle name="Normal 5 2 3 4 3" xfId="2662" xr:uid="{00000000-0005-0000-0000-0000AE630000}"/>
    <cellStyle name="Normal 5 2 3 4 3 2" xfId="2663" xr:uid="{00000000-0005-0000-0000-0000AF630000}"/>
    <cellStyle name="Normal 5 2 3 4 3 2 2" xfId="2664" xr:uid="{00000000-0005-0000-0000-0000B0630000}"/>
    <cellStyle name="Normal 5 2 3 4 3 2 2 2" xfId="4345" xr:uid="{00000000-0005-0000-0000-0000B1630000}"/>
    <cellStyle name="Normal 5 2 3 4 3 2 2 2 2" xfId="9022" xr:uid="{00000000-0005-0000-0000-0000B2630000}"/>
    <cellStyle name="Normal 5 2 3 4 3 2 2 2 2 2" xfId="18346" xr:uid="{00000000-0005-0000-0000-0000B3630000}"/>
    <cellStyle name="Normal 5 2 3 4 3 2 2 2 2 3" xfId="27669" xr:uid="{00000000-0005-0000-0000-0000B4630000}"/>
    <cellStyle name="Normal 5 2 3 4 3 2 2 2 3" xfId="13679" xr:uid="{00000000-0005-0000-0000-0000B5630000}"/>
    <cellStyle name="Normal 5 2 3 4 3 2 2 2 4" xfId="23003" xr:uid="{00000000-0005-0000-0000-0000B6630000}"/>
    <cellStyle name="Normal 5 2 3 4 3 2 2 3" xfId="6083" xr:uid="{00000000-0005-0000-0000-0000B7630000}"/>
    <cellStyle name="Normal 5 2 3 4 3 2 2 3 2" xfId="15407" xr:uid="{00000000-0005-0000-0000-0000B8630000}"/>
    <cellStyle name="Normal 5 2 3 4 3 2 2 3 3" xfId="24730" xr:uid="{00000000-0005-0000-0000-0000B9630000}"/>
    <cellStyle name="Normal 5 2 3 4 3 2 2 4" xfId="12124" xr:uid="{00000000-0005-0000-0000-0000BA630000}"/>
    <cellStyle name="Normal 5 2 3 4 3 2 2 5" xfId="21450" xr:uid="{00000000-0005-0000-0000-0000BB630000}"/>
    <cellStyle name="Normal 5 2 3 4 3 2 3" xfId="4344" xr:uid="{00000000-0005-0000-0000-0000BC630000}"/>
    <cellStyle name="Normal 5 2 3 4 3 2 3 2" xfId="9021" xr:uid="{00000000-0005-0000-0000-0000BD630000}"/>
    <cellStyle name="Normal 5 2 3 4 3 2 3 2 2" xfId="18345" xr:uid="{00000000-0005-0000-0000-0000BE630000}"/>
    <cellStyle name="Normal 5 2 3 4 3 2 3 2 3" xfId="27668" xr:uid="{00000000-0005-0000-0000-0000BF630000}"/>
    <cellStyle name="Normal 5 2 3 4 3 2 3 3" xfId="13678" xr:uid="{00000000-0005-0000-0000-0000C0630000}"/>
    <cellStyle name="Normal 5 2 3 4 3 2 3 4" xfId="23002" xr:uid="{00000000-0005-0000-0000-0000C1630000}"/>
    <cellStyle name="Normal 5 2 3 4 3 2 4" xfId="6082" xr:uid="{00000000-0005-0000-0000-0000C2630000}"/>
    <cellStyle name="Normal 5 2 3 4 3 2 4 2" xfId="15406" xr:uid="{00000000-0005-0000-0000-0000C3630000}"/>
    <cellStyle name="Normal 5 2 3 4 3 2 4 3" xfId="24729" xr:uid="{00000000-0005-0000-0000-0000C4630000}"/>
    <cellStyle name="Normal 5 2 3 4 3 2 5" xfId="12123" xr:uid="{00000000-0005-0000-0000-0000C5630000}"/>
    <cellStyle name="Normal 5 2 3 4 3 2 6" xfId="21449" xr:uid="{00000000-0005-0000-0000-0000C6630000}"/>
    <cellStyle name="Normal 5 2 3 4 3 3" xfId="2665" xr:uid="{00000000-0005-0000-0000-0000C7630000}"/>
    <cellStyle name="Normal 5 2 3 4 3 3 2" xfId="4346" xr:uid="{00000000-0005-0000-0000-0000C8630000}"/>
    <cellStyle name="Normal 5 2 3 4 3 3 2 2" xfId="9023" xr:uid="{00000000-0005-0000-0000-0000C9630000}"/>
    <cellStyle name="Normal 5 2 3 4 3 3 2 2 2" xfId="18347" xr:uid="{00000000-0005-0000-0000-0000CA630000}"/>
    <cellStyle name="Normal 5 2 3 4 3 3 2 2 3" xfId="27670" xr:uid="{00000000-0005-0000-0000-0000CB630000}"/>
    <cellStyle name="Normal 5 2 3 4 3 3 2 3" xfId="13680" xr:uid="{00000000-0005-0000-0000-0000CC630000}"/>
    <cellStyle name="Normal 5 2 3 4 3 3 2 4" xfId="23004" xr:uid="{00000000-0005-0000-0000-0000CD630000}"/>
    <cellStyle name="Normal 5 2 3 4 3 3 3" xfId="6084" xr:uid="{00000000-0005-0000-0000-0000CE630000}"/>
    <cellStyle name="Normal 5 2 3 4 3 3 3 2" xfId="15408" xr:uid="{00000000-0005-0000-0000-0000CF630000}"/>
    <cellStyle name="Normal 5 2 3 4 3 3 3 3" xfId="24731" xr:uid="{00000000-0005-0000-0000-0000D0630000}"/>
    <cellStyle name="Normal 5 2 3 4 3 3 4" xfId="12125" xr:uid="{00000000-0005-0000-0000-0000D1630000}"/>
    <cellStyle name="Normal 5 2 3 4 3 3 5" xfId="21451" xr:uid="{00000000-0005-0000-0000-0000D2630000}"/>
    <cellStyle name="Normal 5 2 3 4 3 4" xfId="4343" xr:uid="{00000000-0005-0000-0000-0000D3630000}"/>
    <cellStyle name="Normal 5 2 3 4 3 4 2" xfId="9020" xr:uid="{00000000-0005-0000-0000-0000D4630000}"/>
    <cellStyle name="Normal 5 2 3 4 3 4 2 2" xfId="18344" xr:uid="{00000000-0005-0000-0000-0000D5630000}"/>
    <cellStyle name="Normal 5 2 3 4 3 4 2 3" xfId="27667" xr:uid="{00000000-0005-0000-0000-0000D6630000}"/>
    <cellStyle name="Normal 5 2 3 4 3 4 3" xfId="13677" xr:uid="{00000000-0005-0000-0000-0000D7630000}"/>
    <cellStyle name="Normal 5 2 3 4 3 4 4" xfId="23001" xr:uid="{00000000-0005-0000-0000-0000D8630000}"/>
    <cellStyle name="Normal 5 2 3 4 3 5" xfId="6081" xr:uid="{00000000-0005-0000-0000-0000D9630000}"/>
    <cellStyle name="Normal 5 2 3 4 3 5 2" xfId="15405" xr:uid="{00000000-0005-0000-0000-0000DA630000}"/>
    <cellStyle name="Normal 5 2 3 4 3 5 3" xfId="24728" xr:uid="{00000000-0005-0000-0000-0000DB630000}"/>
    <cellStyle name="Normal 5 2 3 4 3 6" xfId="12122" xr:uid="{00000000-0005-0000-0000-0000DC630000}"/>
    <cellStyle name="Normal 5 2 3 4 3 7" xfId="21448" xr:uid="{00000000-0005-0000-0000-0000DD630000}"/>
    <cellStyle name="Normal 5 2 3 4 4" xfId="2666" xr:uid="{00000000-0005-0000-0000-0000DE630000}"/>
    <cellStyle name="Normal 5 2 3 4 4 2" xfId="2667" xr:uid="{00000000-0005-0000-0000-0000DF630000}"/>
    <cellStyle name="Normal 5 2 3 4 4 2 2" xfId="4348" xr:uid="{00000000-0005-0000-0000-0000E0630000}"/>
    <cellStyle name="Normal 5 2 3 4 4 2 2 2" xfId="9025" xr:uid="{00000000-0005-0000-0000-0000E1630000}"/>
    <cellStyle name="Normal 5 2 3 4 4 2 2 2 2" xfId="18349" xr:uid="{00000000-0005-0000-0000-0000E2630000}"/>
    <cellStyle name="Normal 5 2 3 4 4 2 2 2 3" xfId="27672" xr:uid="{00000000-0005-0000-0000-0000E3630000}"/>
    <cellStyle name="Normal 5 2 3 4 4 2 2 3" xfId="13682" xr:uid="{00000000-0005-0000-0000-0000E4630000}"/>
    <cellStyle name="Normal 5 2 3 4 4 2 2 4" xfId="23006" xr:uid="{00000000-0005-0000-0000-0000E5630000}"/>
    <cellStyle name="Normal 5 2 3 4 4 2 3" xfId="6086" xr:uid="{00000000-0005-0000-0000-0000E6630000}"/>
    <cellStyle name="Normal 5 2 3 4 4 2 3 2" xfId="15410" xr:uid="{00000000-0005-0000-0000-0000E7630000}"/>
    <cellStyle name="Normal 5 2 3 4 4 2 3 3" xfId="24733" xr:uid="{00000000-0005-0000-0000-0000E8630000}"/>
    <cellStyle name="Normal 5 2 3 4 4 2 4" xfId="12127" xr:uid="{00000000-0005-0000-0000-0000E9630000}"/>
    <cellStyle name="Normal 5 2 3 4 4 2 5" xfId="21453" xr:uid="{00000000-0005-0000-0000-0000EA630000}"/>
    <cellStyle name="Normal 5 2 3 4 4 3" xfId="4347" xr:uid="{00000000-0005-0000-0000-0000EB630000}"/>
    <cellStyle name="Normal 5 2 3 4 4 3 2" xfId="9024" xr:uid="{00000000-0005-0000-0000-0000EC630000}"/>
    <cellStyle name="Normal 5 2 3 4 4 3 2 2" xfId="18348" xr:uid="{00000000-0005-0000-0000-0000ED630000}"/>
    <cellStyle name="Normal 5 2 3 4 4 3 2 3" xfId="27671" xr:uid="{00000000-0005-0000-0000-0000EE630000}"/>
    <cellStyle name="Normal 5 2 3 4 4 3 3" xfId="13681" xr:uid="{00000000-0005-0000-0000-0000EF630000}"/>
    <cellStyle name="Normal 5 2 3 4 4 3 4" xfId="23005" xr:uid="{00000000-0005-0000-0000-0000F0630000}"/>
    <cellStyle name="Normal 5 2 3 4 4 4" xfId="6085" xr:uid="{00000000-0005-0000-0000-0000F1630000}"/>
    <cellStyle name="Normal 5 2 3 4 4 4 2" xfId="15409" xr:uid="{00000000-0005-0000-0000-0000F2630000}"/>
    <cellStyle name="Normal 5 2 3 4 4 4 3" xfId="24732" xr:uid="{00000000-0005-0000-0000-0000F3630000}"/>
    <cellStyle name="Normal 5 2 3 4 4 5" xfId="12126" xr:uid="{00000000-0005-0000-0000-0000F4630000}"/>
    <cellStyle name="Normal 5 2 3 4 4 6" xfId="21452" xr:uid="{00000000-0005-0000-0000-0000F5630000}"/>
    <cellStyle name="Normal 5 2 3 4 5" xfId="2668" xr:uid="{00000000-0005-0000-0000-0000F6630000}"/>
    <cellStyle name="Normal 5 2 3 4 5 2" xfId="4349" xr:uid="{00000000-0005-0000-0000-0000F7630000}"/>
    <cellStyle name="Normal 5 2 3 4 5 2 2" xfId="9026" xr:uid="{00000000-0005-0000-0000-0000F8630000}"/>
    <cellStyle name="Normal 5 2 3 4 5 2 2 2" xfId="18350" xr:uid="{00000000-0005-0000-0000-0000F9630000}"/>
    <cellStyle name="Normal 5 2 3 4 5 2 2 3" xfId="27673" xr:uid="{00000000-0005-0000-0000-0000FA630000}"/>
    <cellStyle name="Normal 5 2 3 4 5 2 3" xfId="13683" xr:uid="{00000000-0005-0000-0000-0000FB630000}"/>
    <cellStyle name="Normal 5 2 3 4 5 2 4" xfId="23007" xr:uid="{00000000-0005-0000-0000-0000FC630000}"/>
    <cellStyle name="Normal 5 2 3 4 5 3" xfId="6087" xr:uid="{00000000-0005-0000-0000-0000FD630000}"/>
    <cellStyle name="Normal 5 2 3 4 5 3 2" xfId="15411" xr:uid="{00000000-0005-0000-0000-0000FE630000}"/>
    <cellStyle name="Normal 5 2 3 4 5 3 3" xfId="24734" xr:uid="{00000000-0005-0000-0000-0000FF630000}"/>
    <cellStyle name="Normal 5 2 3 4 5 4" xfId="12128" xr:uid="{00000000-0005-0000-0000-000000640000}"/>
    <cellStyle name="Normal 5 2 3 4 5 5" xfId="21454" xr:uid="{00000000-0005-0000-0000-000001640000}"/>
    <cellStyle name="Normal 5 2 3 4 6" xfId="2669" xr:uid="{00000000-0005-0000-0000-000002640000}"/>
    <cellStyle name="Normal 5 2 3 4 6 2" xfId="4350" xr:uid="{00000000-0005-0000-0000-000003640000}"/>
    <cellStyle name="Normal 5 2 3 4 6 2 2" xfId="9027" xr:uid="{00000000-0005-0000-0000-000004640000}"/>
    <cellStyle name="Normal 5 2 3 4 6 2 2 2" xfId="18351" xr:uid="{00000000-0005-0000-0000-000005640000}"/>
    <cellStyle name="Normal 5 2 3 4 6 2 2 3" xfId="27674" xr:uid="{00000000-0005-0000-0000-000006640000}"/>
    <cellStyle name="Normal 5 2 3 4 6 2 3" xfId="13684" xr:uid="{00000000-0005-0000-0000-000007640000}"/>
    <cellStyle name="Normal 5 2 3 4 6 2 4" xfId="23008" xr:uid="{00000000-0005-0000-0000-000008640000}"/>
    <cellStyle name="Normal 5 2 3 4 6 3" xfId="6088" xr:uid="{00000000-0005-0000-0000-000009640000}"/>
    <cellStyle name="Normal 5 2 3 4 6 3 2" xfId="15412" xr:uid="{00000000-0005-0000-0000-00000A640000}"/>
    <cellStyle name="Normal 5 2 3 4 6 3 3" xfId="24735" xr:uid="{00000000-0005-0000-0000-00000B640000}"/>
    <cellStyle name="Normal 5 2 3 4 6 4" xfId="12129" xr:uid="{00000000-0005-0000-0000-00000C640000}"/>
    <cellStyle name="Normal 5 2 3 4 6 5" xfId="21455" xr:uid="{00000000-0005-0000-0000-00000D640000}"/>
    <cellStyle name="Normal 5 2 3 4 7" xfId="2670" xr:uid="{00000000-0005-0000-0000-00000E640000}"/>
    <cellStyle name="Normal 5 2 3 4 7 2" xfId="4351" xr:uid="{00000000-0005-0000-0000-00000F640000}"/>
    <cellStyle name="Normal 5 2 3 4 7 2 2" xfId="9028" xr:uid="{00000000-0005-0000-0000-000010640000}"/>
    <cellStyle name="Normal 5 2 3 4 7 2 2 2" xfId="18352" xr:uid="{00000000-0005-0000-0000-000011640000}"/>
    <cellStyle name="Normal 5 2 3 4 7 2 2 3" xfId="27675" xr:uid="{00000000-0005-0000-0000-000012640000}"/>
    <cellStyle name="Normal 5 2 3 4 7 2 3" xfId="13685" xr:uid="{00000000-0005-0000-0000-000013640000}"/>
    <cellStyle name="Normal 5 2 3 4 7 2 4" xfId="23009" xr:uid="{00000000-0005-0000-0000-000014640000}"/>
    <cellStyle name="Normal 5 2 3 4 7 3" xfId="6089" xr:uid="{00000000-0005-0000-0000-000015640000}"/>
    <cellStyle name="Normal 5 2 3 4 7 3 2" xfId="15413" xr:uid="{00000000-0005-0000-0000-000016640000}"/>
    <cellStyle name="Normal 5 2 3 4 7 3 3" xfId="24736" xr:uid="{00000000-0005-0000-0000-000017640000}"/>
    <cellStyle name="Normal 5 2 3 4 7 4" xfId="12130" xr:uid="{00000000-0005-0000-0000-000018640000}"/>
    <cellStyle name="Normal 5 2 3 4 7 5" xfId="21456" xr:uid="{00000000-0005-0000-0000-000019640000}"/>
    <cellStyle name="Normal 5 2 3 4 8" xfId="4338" xr:uid="{00000000-0005-0000-0000-00001A640000}"/>
    <cellStyle name="Normal 5 2 3 4 8 2" xfId="9015" xr:uid="{00000000-0005-0000-0000-00001B640000}"/>
    <cellStyle name="Normal 5 2 3 4 8 2 2" xfId="18339" xr:uid="{00000000-0005-0000-0000-00001C640000}"/>
    <cellStyle name="Normal 5 2 3 4 8 2 3" xfId="27662" xr:uid="{00000000-0005-0000-0000-00001D640000}"/>
    <cellStyle name="Normal 5 2 3 4 8 3" xfId="13672" xr:uid="{00000000-0005-0000-0000-00001E640000}"/>
    <cellStyle name="Normal 5 2 3 4 8 4" xfId="22996" xr:uid="{00000000-0005-0000-0000-00001F640000}"/>
    <cellStyle name="Normal 5 2 3 4 9" xfId="6076" xr:uid="{00000000-0005-0000-0000-000020640000}"/>
    <cellStyle name="Normal 5 2 3 4 9 2" xfId="15400" xr:uid="{00000000-0005-0000-0000-000021640000}"/>
    <cellStyle name="Normal 5 2 3 4 9 3" xfId="24723" xr:uid="{00000000-0005-0000-0000-000022640000}"/>
    <cellStyle name="Normal 5 2 3 5" xfId="2671" xr:uid="{00000000-0005-0000-0000-000023640000}"/>
    <cellStyle name="Normal 5 2 3 5 2" xfId="2672" xr:uid="{00000000-0005-0000-0000-000024640000}"/>
    <cellStyle name="Normal 5 2 3 5 2 2" xfId="2673" xr:uid="{00000000-0005-0000-0000-000025640000}"/>
    <cellStyle name="Normal 5 2 3 5 2 2 2" xfId="4354" xr:uid="{00000000-0005-0000-0000-000026640000}"/>
    <cellStyle name="Normal 5 2 3 5 2 2 2 2" xfId="9031" xr:uid="{00000000-0005-0000-0000-000027640000}"/>
    <cellStyle name="Normal 5 2 3 5 2 2 2 2 2" xfId="18355" xr:uid="{00000000-0005-0000-0000-000028640000}"/>
    <cellStyle name="Normal 5 2 3 5 2 2 2 2 3" xfId="27678" xr:uid="{00000000-0005-0000-0000-000029640000}"/>
    <cellStyle name="Normal 5 2 3 5 2 2 2 3" xfId="13688" xr:uid="{00000000-0005-0000-0000-00002A640000}"/>
    <cellStyle name="Normal 5 2 3 5 2 2 2 4" xfId="23012" xr:uid="{00000000-0005-0000-0000-00002B640000}"/>
    <cellStyle name="Normal 5 2 3 5 2 2 3" xfId="6092" xr:uid="{00000000-0005-0000-0000-00002C640000}"/>
    <cellStyle name="Normal 5 2 3 5 2 2 3 2" xfId="15416" xr:uid="{00000000-0005-0000-0000-00002D640000}"/>
    <cellStyle name="Normal 5 2 3 5 2 2 3 3" xfId="24739" xr:uid="{00000000-0005-0000-0000-00002E640000}"/>
    <cellStyle name="Normal 5 2 3 5 2 2 4" xfId="12133" xr:uid="{00000000-0005-0000-0000-00002F640000}"/>
    <cellStyle name="Normal 5 2 3 5 2 2 5" xfId="21459" xr:uid="{00000000-0005-0000-0000-000030640000}"/>
    <cellStyle name="Normal 5 2 3 5 2 3" xfId="4353" xr:uid="{00000000-0005-0000-0000-000031640000}"/>
    <cellStyle name="Normal 5 2 3 5 2 3 2" xfId="9030" xr:uid="{00000000-0005-0000-0000-000032640000}"/>
    <cellStyle name="Normal 5 2 3 5 2 3 2 2" xfId="18354" xr:uid="{00000000-0005-0000-0000-000033640000}"/>
    <cellStyle name="Normal 5 2 3 5 2 3 2 3" xfId="27677" xr:uid="{00000000-0005-0000-0000-000034640000}"/>
    <cellStyle name="Normal 5 2 3 5 2 3 3" xfId="13687" xr:uid="{00000000-0005-0000-0000-000035640000}"/>
    <cellStyle name="Normal 5 2 3 5 2 3 4" xfId="23011" xr:uid="{00000000-0005-0000-0000-000036640000}"/>
    <cellStyle name="Normal 5 2 3 5 2 4" xfId="6091" xr:uid="{00000000-0005-0000-0000-000037640000}"/>
    <cellStyle name="Normal 5 2 3 5 2 4 2" xfId="15415" xr:uid="{00000000-0005-0000-0000-000038640000}"/>
    <cellStyle name="Normal 5 2 3 5 2 4 3" xfId="24738" xr:uid="{00000000-0005-0000-0000-000039640000}"/>
    <cellStyle name="Normal 5 2 3 5 2 5" xfId="12132" xr:uid="{00000000-0005-0000-0000-00003A640000}"/>
    <cellStyle name="Normal 5 2 3 5 2 6" xfId="21458" xr:uid="{00000000-0005-0000-0000-00003B640000}"/>
    <cellStyle name="Normal 5 2 3 5 3" xfId="2674" xr:uid="{00000000-0005-0000-0000-00003C640000}"/>
    <cellStyle name="Normal 5 2 3 5 3 2" xfId="4355" xr:uid="{00000000-0005-0000-0000-00003D640000}"/>
    <cellStyle name="Normal 5 2 3 5 3 2 2" xfId="9032" xr:uid="{00000000-0005-0000-0000-00003E640000}"/>
    <cellStyle name="Normal 5 2 3 5 3 2 2 2" xfId="18356" xr:uid="{00000000-0005-0000-0000-00003F640000}"/>
    <cellStyle name="Normal 5 2 3 5 3 2 2 3" xfId="27679" xr:uid="{00000000-0005-0000-0000-000040640000}"/>
    <cellStyle name="Normal 5 2 3 5 3 2 3" xfId="13689" xr:uid="{00000000-0005-0000-0000-000041640000}"/>
    <cellStyle name="Normal 5 2 3 5 3 2 4" xfId="23013" xr:uid="{00000000-0005-0000-0000-000042640000}"/>
    <cellStyle name="Normal 5 2 3 5 3 3" xfId="6093" xr:uid="{00000000-0005-0000-0000-000043640000}"/>
    <cellStyle name="Normal 5 2 3 5 3 3 2" xfId="15417" xr:uid="{00000000-0005-0000-0000-000044640000}"/>
    <cellStyle name="Normal 5 2 3 5 3 3 3" xfId="24740" xr:uid="{00000000-0005-0000-0000-000045640000}"/>
    <cellStyle name="Normal 5 2 3 5 3 4" xfId="12134" xr:uid="{00000000-0005-0000-0000-000046640000}"/>
    <cellStyle name="Normal 5 2 3 5 3 5" xfId="21460" xr:uid="{00000000-0005-0000-0000-000047640000}"/>
    <cellStyle name="Normal 5 2 3 5 4" xfId="4352" xr:uid="{00000000-0005-0000-0000-000048640000}"/>
    <cellStyle name="Normal 5 2 3 5 4 2" xfId="9029" xr:uid="{00000000-0005-0000-0000-000049640000}"/>
    <cellStyle name="Normal 5 2 3 5 4 2 2" xfId="18353" xr:uid="{00000000-0005-0000-0000-00004A640000}"/>
    <cellStyle name="Normal 5 2 3 5 4 2 3" xfId="27676" xr:uid="{00000000-0005-0000-0000-00004B640000}"/>
    <cellStyle name="Normal 5 2 3 5 4 3" xfId="13686" xr:uid="{00000000-0005-0000-0000-00004C640000}"/>
    <cellStyle name="Normal 5 2 3 5 4 4" xfId="23010" xr:uid="{00000000-0005-0000-0000-00004D640000}"/>
    <cellStyle name="Normal 5 2 3 5 5" xfId="6090" xr:uid="{00000000-0005-0000-0000-00004E640000}"/>
    <cellStyle name="Normal 5 2 3 5 5 2" xfId="15414" xr:uid="{00000000-0005-0000-0000-00004F640000}"/>
    <cellStyle name="Normal 5 2 3 5 5 3" xfId="24737" xr:uid="{00000000-0005-0000-0000-000050640000}"/>
    <cellStyle name="Normal 5 2 3 5 6" xfId="12131" xr:uid="{00000000-0005-0000-0000-000051640000}"/>
    <cellStyle name="Normal 5 2 3 5 7" xfId="21457" xr:uid="{00000000-0005-0000-0000-000052640000}"/>
    <cellStyle name="Normal 5 2 3 6" xfId="2675" xr:uid="{00000000-0005-0000-0000-000053640000}"/>
    <cellStyle name="Normal 5 2 3 6 2" xfId="2676" xr:uid="{00000000-0005-0000-0000-000054640000}"/>
    <cellStyle name="Normal 5 2 3 6 2 2" xfId="2677" xr:uid="{00000000-0005-0000-0000-000055640000}"/>
    <cellStyle name="Normal 5 2 3 6 2 2 2" xfId="4358" xr:uid="{00000000-0005-0000-0000-000056640000}"/>
    <cellStyle name="Normal 5 2 3 6 2 2 2 2" xfId="9035" xr:uid="{00000000-0005-0000-0000-000057640000}"/>
    <cellStyle name="Normal 5 2 3 6 2 2 2 2 2" xfId="18359" xr:uid="{00000000-0005-0000-0000-000058640000}"/>
    <cellStyle name="Normal 5 2 3 6 2 2 2 2 3" xfId="27682" xr:uid="{00000000-0005-0000-0000-000059640000}"/>
    <cellStyle name="Normal 5 2 3 6 2 2 2 3" xfId="13692" xr:uid="{00000000-0005-0000-0000-00005A640000}"/>
    <cellStyle name="Normal 5 2 3 6 2 2 2 4" xfId="23016" xr:uid="{00000000-0005-0000-0000-00005B640000}"/>
    <cellStyle name="Normal 5 2 3 6 2 2 3" xfId="6096" xr:uid="{00000000-0005-0000-0000-00005C640000}"/>
    <cellStyle name="Normal 5 2 3 6 2 2 3 2" xfId="15420" xr:uid="{00000000-0005-0000-0000-00005D640000}"/>
    <cellStyle name="Normal 5 2 3 6 2 2 3 3" xfId="24743" xr:uid="{00000000-0005-0000-0000-00005E640000}"/>
    <cellStyle name="Normal 5 2 3 6 2 2 4" xfId="12137" xr:uid="{00000000-0005-0000-0000-00005F640000}"/>
    <cellStyle name="Normal 5 2 3 6 2 2 5" xfId="21463" xr:uid="{00000000-0005-0000-0000-000060640000}"/>
    <cellStyle name="Normal 5 2 3 6 2 3" xfId="4357" xr:uid="{00000000-0005-0000-0000-000061640000}"/>
    <cellStyle name="Normal 5 2 3 6 2 3 2" xfId="9034" xr:uid="{00000000-0005-0000-0000-000062640000}"/>
    <cellStyle name="Normal 5 2 3 6 2 3 2 2" xfId="18358" xr:uid="{00000000-0005-0000-0000-000063640000}"/>
    <cellStyle name="Normal 5 2 3 6 2 3 2 3" xfId="27681" xr:uid="{00000000-0005-0000-0000-000064640000}"/>
    <cellStyle name="Normal 5 2 3 6 2 3 3" xfId="13691" xr:uid="{00000000-0005-0000-0000-000065640000}"/>
    <cellStyle name="Normal 5 2 3 6 2 3 4" xfId="23015" xr:uid="{00000000-0005-0000-0000-000066640000}"/>
    <cellStyle name="Normal 5 2 3 6 2 4" xfId="6095" xr:uid="{00000000-0005-0000-0000-000067640000}"/>
    <cellStyle name="Normal 5 2 3 6 2 4 2" xfId="15419" xr:uid="{00000000-0005-0000-0000-000068640000}"/>
    <cellStyle name="Normal 5 2 3 6 2 4 3" xfId="24742" xr:uid="{00000000-0005-0000-0000-000069640000}"/>
    <cellStyle name="Normal 5 2 3 6 2 5" xfId="12136" xr:uid="{00000000-0005-0000-0000-00006A640000}"/>
    <cellStyle name="Normal 5 2 3 6 2 6" xfId="21462" xr:uid="{00000000-0005-0000-0000-00006B640000}"/>
    <cellStyle name="Normal 5 2 3 6 3" xfId="2678" xr:uid="{00000000-0005-0000-0000-00006C640000}"/>
    <cellStyle name="Normal 5 2 3 6 3 2" xfId="4359" xr:uid="{00000000-0005-0000-0000-00006D640000}"/>
    <cellStyle name="Normal 5 2 3 6 3 2 2" xfId="9036" xr:uid="{00000000-0005-0000-0000-00006E640000}"/>
    <cellStyle name="Normal 5 2 3 6 3 2 2 2" xfId="18360" xr:uid="{00000000-0005-0000-0000-00006F640000}"/>
    <cellStyle name="Normal 5 2 3 6 3 2 2 3" xfId="27683" xr:uid="{00000000-0005-0000-0000-000070640000}"/>
    <cellStyle name="Normal 5 2 3 6 3 2 3" xfId="13693" xr:uid="{00000000-0005-0000-0000-000071640000}"/>
    <cellStyle name="Normal 5 2 3 6 3 2 4" xfId="23017" xr:uid="{00000000-0005-0000-0000-000072640000}"/>
    <cellStyle name="Normal 5 2 3 6 3 3" xfId="6097" xr:uid="{00000000-0005-0000-0000-000073640000}"/>
    <cellStyle name="Normal 5 2 3 6 3 3 2" xfId="15421" xr:uid="{00000000-0005-0000-0000-000074640000}"/>
    <cellStyle name="Normal 5 2 3 6 3 3 3" xfId="24744" xr:uid="{00000000-0005-0000-0000-000075640000}"/>
    <cellStyle name="Normal 5 2 3 6 3 4" xfId="12138" xr:uid="{00000000-0005-0000-0000-000076640000}"/>
    <cellStyle name="Normal 5 2 3 6 3 5" xfId="21464" xr:uid="{00000000-0005-0000-0000-000077640000}"/>
    <cellStyle name="Normal 5 2 3 6 4" xfId="4356" xr:uid="{00000000-0005-0000-0000-000078640000}"/>
    <cellStyle name="Normal 5 2 3 6 4 2" xfId="9033" xr:uid="{00000000-0005-0000-0000-000079640000}"/>
    <cellStyle name="Normal 5 2 3 6 4 2 2" xfId="18357" xr:uid="{00000000-0005-0000-0000-00007A640000}"/>
    <cellStyle name="Normal 5 2 3 6 4 2 3" xfId="27680" xr:uid="{00000000-0005-0000-0000-00007B640000}"/>
    <cellStyle name="Normal 5 2 3 6 4 3" xfId="13690" xr:uid="{00000000-0005-0000-0000-00007C640000}"/>
    <cellStyle name="Normal 5 2 3 6 4 4" xfId="23014" xr:uid="{00000000-0005-0000-0000-00007D640000}"/>
    <cellStyle name="Normal 5 2 3 6 5" xfId="6094" xr:uid="{00000000-0005-0000-0000-00007E640000}"/>
    <cellStyle name="Normal 5 2 3 6 5 2" xfId="15418" xr:uid="{00000000-0005-0000-0000-00007F640000}"/>
    <cellStyle name="Normal 5 2 3 6 5 3" xfId="24741" xr:uid="{00000000-0005-0000-0000-000080640000}"/>
    <cellStyle name="Normal 5 2 3 6 6" xfId="12135" xr:uid="{00000000-0005-0000-0000-000081640000}"/>
    <cellStyle name="Normal 5 2 3 6 7" xfId="21461" xr:uid="{00000000-0005-0000-0000-000082640000}"/>
    <cellStyle name="Normal 5 2 3 7" xfId="2679" xr:uid="{00000000-0005-0000-0000-000083640000}"/>
    <cellStyle name="Normal 5 2 3 7 2" xfId="2680" xr:uid="{00000000-0005-0000-0000-000084640000}"/>
    <cellStyle name="Normal 5 2 3 7 2 2" xfId="4361" xr:uid="{00000000-0005-0000-0000-000085640000}"/>
    <cellStyle name="Normal 5 2 3 7 2 2 2" xfId="9038" xr:uid="{00000000-0005-0000-0000-000086640000}"/>
    <cellStyle name="Normal 5 2 3 7 2 2 2 2" xfId="18362" xr:uid="{00000000-0005-0000-0000-000087640000}"/>
    <cellStyle name="Normal 5 2 3 7 2 2 2 3" xfId="27685" xr:uid="{00000000-0005-0000-0000-000088640000}"/>
    <cellStyle name="Normal 5 2 3 7 2 2 3" xfId="13695" xr:uid="{00000000-0005-0000-0000-000089640000}"/>
    <cellStyle name="Normal 5 2 3 7 2 2 4" xfId="23019" xr:uid="{00000000-0005-0000-0000-00008A640000}"/>
    <cellStyle name="Normal 5 2 3 7 2 3" xfId="6099" xr:uid="{00000000-0005-0000-0000-00008B640000}"/>
    <cellStyle name="Normal 5 2 3 7 2 3 2" xfId="15423" xr:uid="{00000000-0005-0000-0000-00008C640000}"/>
    <cellStyle name="Normal 5 2 3 7 2 3 3" xfId="24746" xr:uid="{00000000-0005-0000-0000-00008D640000}"/>
    <cellStyle name="Normal 5 2 3 7 2 4" xfId="12140" xr:uid="{00000000-0005-0000-0000-00008E640000}"/>
    <cellStyle name="Normal 5 2 3 7 2 5" xfId="21466" xr:uid="{00000000-0005-0000-0000-00008F640000}"/>
    <cellStyle name="Normal 5 2 3 7 3" xfId="4360" xr:uid="{00000000-0005-0000-0000-000090640000}"/>
    <cellStyle name="Normal 5 2 3 7 3 2" xfId="9037" xr:uid="{00000000-0005-0000-0000-000091640000}"/>
    <cellStyle name="Normal 5 2 3 7 3 2 2" xfId="18361" xr:uid="{00000000-0005-0000-0000-000092640000}"/>
    <cellStyle name="Normal 5 2 3 7 3 2 3" xfId="27684" xr:uid="{00000000-0005-0000-0000-000093640000}"/>
    <cellStyle name="Normal 5 2 3 7 3 3" xfId="13694" xr:uid="{00000000-0005-0000-0000-000094640000}"/>
    <cellStyle name="Normal 5 2 3 7 3 4" xfId="23018" xr:uid="{00000000-0005-0000-0000-000095640000}"/>
    <cellStyle name="Normal 5 2 3 7 4" xfId="6098" xr:uid="{00000000-0005-0000-0000-000096640000}"/>
    <cellStyle name="Normal 5 2 3 7 4 2" xfId="15422" xr:uid="{00000000-0005-0000-0000-000097640000}"/>
    <cellStyle name="Normal 5 2 3 7 4 3" xfId="24745" xr:uid="{00000000-0005-0000-0000-000098640000}"/>
    <cellStyle name="Normal 5 2 3 7 5" xfId="12139" xr:uid="{00000000-0005-0000-0000-000099640000}"/>
    <cellStyle name="Normal 5 2 3 7 6" xfId="21465" xr:uid="{00000000-0005-0000-0000-00009A640000}"/>
    <cellStyle name="Normal 5 2 3 8" xfId="2681" xr:uid="{00000000-0005-0000-0000-00009B640000}"/>
    <cellStyle name="Normal 5 2 3 8 2" xfId="4362" xr:uid="{00000000-0005-0000-0000-00009C640000}"/>
    <cellStyle name="Normal 5 2 3 8 2 2" xfId="9039" xr:uid="{00000000-0005-0000-0000-00009D640000}"/>
    <cellStyle name="Normal 5 2 3 8 2 2 2" xfId="18363" xr:uid="{00000000-0005-0000-0000-00009E640000}"/>
    <cellStyle name="Normal 5 2 3 8 2 2 3" xfId="27686" xr:uid="{00000000-0005-0000-0000-00009F640000}"/>
    <cellStyle name="Normal 5 2 3 8 2 3" xfId="13696" xr:uid="{00000000-0005-0000-0000-0000A0640000}"/>
    <cellStyle name="Normal 5 2 3 8 2 4" xfId="23020" xr:uid="{00000000-0005-0000-0000-0000A1640000}"/>
    <cellStyle name="Normal 5 2 3 8 3" xfId="6100" xr:uid="{00000000-0005-0000-0000-0000A2640000}"/>
    <cellStyle name="Normal 5 2 3 8 3 2" xfId="15424" xr:uid="{00000000-0005-0000-0000-0000A3640000}"/>
    <cellStyle name="Normal 5 2 3 8 3 3" xfId="24747" xr:uid="{00000000-0005-0000-0000-0000A4640000}"/>
    <cellStyle name="Normal 5 2 3 8 4" xfId="12141" xr:uid="{00000000-0005-0000-0000-0000A5640000}"/>
    <cellStyle name="Normal 5 2 3 8 5" xfId="21467" xr:uid="{00000000-0005-0000-0000-0000A6640000}"/>
    <cellStyle name="Normal 5 2 3 9" xfId="2682" xr:uid="{00000000-0005-0000-0000-0000A7640000}"/>
    <cellStyle name="Normal 5 2 3 9 2" xfId="4363" xr:uid="{00000000-0005-0000-0000-0000A8640000}"/>
    <cellStyle name="Normal 5 2 3 9 2 2" xfId="9040" xr:uid="{00000000-0005-0000-0000-0000A9640000}"/>
    <cellStyle name="Normal 5 2 3 9 2 2 2" xfId="18364" xr:uid="{00000000-0005-0000-0000-0000AA640000}"/>
    <cellStyle name="Normal 5 2 3 9 2 2 3" xfId="27687" xr:uid="{00000000-0005-0000-0000-0000AB640000}"/>
    <cellStyle name="Normal 5 2 3 9 2 3" xfId="13697" xr:uid="{00000000-0005-0000-0000-0000AC640000}"/>
    <cellStyle name="Normal 5 2 3 9 2 4" xfId="23021" xr:uid="{00000000-0005-0000-0000-0000AD640000}"/>
    <cellStyle name="Normal 5 2 3 9 3" xfId="6101" xr:uid="{00000000-0005-0000-0000-0000AE640000}"/>
    <cellStyle name="Normal 5 2 3 9 3 2" xfId="15425" xr:uid="{00000000-0005-0000-0000-0000AF640000}"/>
    <cellStyle name="Normal 5 2 3 9 3 3" xfId="24748" xr:uid="{00000000-0005-0000-0000-0000B0640000}"/>
    <cellStyle name="Normal 5 2 3 9 4" xfId="12142" xr:uid="{00000000-0005-0000-0000-0000B1640000}"/>
    <cellStyle name="Normal 5 2 3 9 5" xfId="21468" xr:uid="{00000000-0005-0000-0000-0000B2640000}"/>
    <cellStyle name="Normal 5 2 4" xfId="739" xr:uid="{00000000-0005-0000-0000-0000B3640000}"/>
    <cellStyle name="Normal 5 2 4 10" xfId="19664" xr:uid="{00000000-0005-0000-0000-0000B4640000}"/>
    <cellStyle name="Normal 5 2 4 11" xfId="28859" xr:uid="{00000000-0005-0000-0000-0000B5640000}"/>
    <cellStyle name="Normal 5 2 4 2" xfId="2684" xr:uid="{00000000-0005-0000-0000-0000B6640000}"/>
    <cellStyle name="Normal 5 2 4 2 10" xfId="21470" xr:uid="{00000000-0005-0000-0000-0000B7640000}"/>
    <cellStyle name="Normal 5 2 4 2 2" xfId="2685" xr:uid="{00000000-0005-0000-0000-0000B8640000}"/>
    <cellStyle name="Normal 5 2 4 2 2 2" xfId="2686" xr:uid="{00000000-0005-0000-0000-0000B9640000}"/>
    <cellStyle name="Normal 5 2 4 2 2 2 2" xfId="2687" xr:uid="{00000000-0005-0000-0000-0000BA640000}"/>
    <cellStyle name="Normal 5 2 4 2 2 2 2 2" xfId="4368" xr:uid="{00000000-0005-0000-0000-0000BB640000}"/>
    <cellStyle name="Normal 5 2 4 2 2 2 2 2 2" xfId="9045" xr:uid="{00000000-0005-0000-0000-0000BC640000}"/>
    <cellStyle name="Normal 5 2 4 2 2 2 2 2 2 2" xfId="18369" xr:uid="{00000000-0005-0000-0000-0000BD640000}"/>
    <cellStyle name="Normal 5 2 4 2 2 2 2 2 2 3" xfId="27692" xr:uid="{00000000-0005-0000-0000-0000BE640000}"/>
    <cellStyle name="Normal 5 2 4 2 2 2 2 2 3" xfId="13702" xr:uid="{00000000-0005-0000-0000-0000BF640000}"/>
    <cellStyle name="Normal 5 2 4 2 2 2 2 2 4" xfId="23026" xr:uid="{00000000-0005-0000-0000-0000C0640000}"/>
    <cellStyle name="Normal 5 2 4 2 2 2 2 3" xfId="6106" xr:uid="{00000000-0005-0000-0000-0000C1640000}"/>
    <cellStyle name="Normal 5 2 4 2 2 2 2 3 2" xfId="15430" xr:uid="{00000000-0005-0000-0000-0000C2640000}"/>
    <cellStyle name="Normal 5 2 4 2 2 2 2 3 3" xfId="24753" xr:uid="{00000000-0005-0000-0000-0000C3640000}"/>
    <cellStyle name="Normal 5 2 4 2 2 2 2 4" xfId="12147" xr:uid="{00000000-0005-0000-0000-0000C4640000}"/>
    <cellStyle name="Normal 5 2 4 2 2 2 2 5" xfId="21473" xr:uid="{00000000-0005-0000-0000-0000C5640000}"/>
    <cellStyle name="Normal 5 2 4 2 2 2 3" xfId="4367" xr:uid="{00000000-0005-0000-0000-0000C6640000}"/>
    <cellStyle name="Normal 5 2 4 2 2 2 3 2" xfId="9044" xr:uid="{00000000-0005-0000-0000-0000C7640000}"/>
    <cellStyle name="Normal 5 2 4 2 2 2 3 2 2" xfId="18368" xr:uid="{00000000-0005-0000-0000-0000C8640000}"/>
    <cellStyle name="Normal 5 2 4 2 2 2 3 2 3" xfId="27691" xr:uid="{00000000-0005-0000-0000-0000C9640000}"/>
    <cellStyle name="Normal 5 2 4 2 2 2 3 3" xfId="13701" xr:uid="{00000000-0005-0000-0000-0000CA640000}"/>
    <cellStyle name="Normal 5 2 4 2 2 2 3 4" xfId="23025" xr:uid="{00000000-0005-0000-0000-0000CB640000}"/>
    <cellStyle name="Normal 5 2 4 2 2 2 4" xfId="6105" xr:uid="{00000000-0005-0000-0000-0000CC640000}"/>
    <cellStyle name="Normal 5 2 4 2 2 2 4 2" xfId="15429" xr:uid="{00000000-0005-0000-0000-0000CD640000}"/>
    <cellStyle name="Normal 5 2 4 2 2 2 4 3" xfId="24752" xr:uid="{00000000-0005-0000-0000-0000CE640000}"/>
    <cellStyle name="Normal 5 2 4 2 2 2 5" xfId="12146" xr:uid="{00000000-0005-0000-0000-0000CF640000}"/>
    <cellStyle name="Normal 5 2 4 2 2 2 6" xfId="21472" xr:uid="{00000000-0005-0000-0000-0000D0640000}"/>
    <cellStyle name="Normal 5 2 4 2 2 3" xfId="2688" xr:uid="{00000000-0005-0000-0000-0000D1640000}"/>
    <cellStyle name="Normal 5 2 4 2 2 3 2" xfId="4369" xr:uid="{00000000-0005-0000-0000-0000D2640000}"/>
    <cellStyle name="Normal 5 2 4 2 2 3 2 2" xfId="9046" xr:uid="{00000000-0005-0000-0000-0000D3640000}"/>
    <cellStyle name="Normal 5 2 4 2 2 3 2 2 2" xfId="18370" xr:uid="{00000000-0005-0000-0000-0000D4640000}"/>
    <cellStyle name="Normal 5 2 4 2 2 3 2 2 3" xfId="27693" xr:uid="{00000000-0005-0000-0000-0000D5640000}"/>
    <cellStyle name="Normal 5 2 4 2 2 3 2 3" xfId="13703" xr:uid="{00000000-0005-0000-0000-0000D6640000}"/>
    <cellStyle name="Normal 5 2 4 2 2 3 2 4" xfId="23027" xr:uid="{00000000-0005-0000-0000-0000D7640000}"/>
    <cellStyle name="Normal 5 2 4 2 2 3 3" xfId="6107" xr:uid="{00000000-0005-0000-0000-0000D8640000}"/>
    <cellStyle name="Normal 5 2 4 2 2 3 3 2" xfId="15431" xr:uid="{00000000-0005-0000-0000-0000D9640000}"/>
    <cellStyle name="Normal 5 2 4 2 2 3 3 3" xfId="24754" xr:uid="{00000000-0005-0000-0000-0000DA640000}"/>
    <cellStyle name="Normal 5 2 4 2 2 3 4" xfId="12148" xr:uid="{00000000-0005-0000-0000-0000DB640000}"/>
    <cellStyle name="Normal 5 2 4 2 2 3 5" xfId="21474" xr:uid="{00000000-0005-0000-0000-0000DC640000}"/>
    <cellStyle name="Normal 5 2 4 2 2 4" xfId="4366" xr:uid="{00000000-0005-0000-0000-0000DD640000}"/>
    <cellStyle name="Normal 5 2 4 2 2 4 2" xfId="9043" xr:uid="{00000000-0005-0000-0000-0000DE640000}"/>
    <cellStyle name="Normal 5 2 4 2 2 4 2 2" xfId="18367" xr:uid="{00000000-0005-0000-0000-0000DF640000}"/>
    <cellStyle name="Normal 5 2 4 2 2 4 2 3" xfId="27690" xr:uid="{00000000-0005-0000-0000-0000E0640000}"/>
    <cellStyle name="Normal 5 2 4 2 2 4 3" xfId="13700" xr:uid="{00000000-0005-0000-0000-0000E1640000}"/>
    <cellStyle name="Normal 5 2 4 2 2 4 4" xfId="23024" xr:uid="{00000000-0005-0000-0000-0000E2640000}"/>
    <cellStyle name="Normal 5 2 4 2 2 5" xfId="6104" xr:uid="{00000000-0005-0000-0000-0000E3640000}"/>
    <cellStyle name="Normal 5 2 4 2 2 5 2" xfId="15428" xr:uid="{00000000-0005-0000-0000-0000E4640000}"/>
    <cellStyle name="Normal 5 2 4 2 2 5 3" xfId="24751" xr:uid="{00000000-0005-0000-0000-0000E5640000}"/>
    <cellStyle name="Normal 5 2 4 2 2 6" xfId="12145" xr:uid="{00000000-0005-0000-0000-0000E6640000}"/>
    <cellStyle name="Normal 5 2 4 2 2 7" xfId="21471" xr:uid="{00000000-0005-0000-0000-0000E7640000}"/>
    <cellStyle name="Normal 5 2 4 2 3" xfId="2689" xr:uid="{00000000-0005-0000-0000-0000E8640000}"/>
    <cellStyle name="Normal 5 2 4 2 3 2" xfId="2690" xr:uid="{00000000-0005-0000-0000-0000E9640000}"/>
    <cellStyle name="Normal 5 2 4 2 3 2 2" xfId="4371" xr:uid="{00000000-0005-0000-0000-0000EA640000}"/>
    <cellStyle name="Normal 5 2 4 2 3 2 2 2" xfId="9048" xr:uid="{00000000-0005-0000-0000-0000EB640000}"/>
    <cellStyle name="Normal 5 2 4 2 3 2 2 2 2" xfId="18372" xr:uid="{00000000-0005-0000-0000-0000EC640000}"/>
    <cellStyle name="Normal 5 2 4 2 3 2 2 2 3" xfId="27695" xr:uid="{00000000-0005-0000-0000-0000ED640000}"/>
    <cellStyle name="Normal 5 2 4 2 3 2 2 3" xfId="13705" xr:uid="{00000000-0005-0000-0000-0000EE640000}"/>
    <cellStyle name="Normal 5 2 4 2 3 2 2 4" xfId="23029" xr:uid="{00000000-0005-0000-0000-0000EF640000}"/>
    <cellStyle name="Normal 5 2 4 2 3 2 3" xfId="6109" xr:uid="{00000000-0005-0000-0000-0000F0640000}"/>
    <cellStyle name="Normal 5 2 4 2 3 2 3 2" xfId="15433" xr:uid="{00000000-0005-0000-0000-0000F1640000}"/>
    <cellStyle name="Normal 5 2 4 2 3 2 3 3" xfId="24756" xr:uid="{00000000-0005-0000-0000-0000F2640000}"/>
    <cellStyle name="Normal 5 2 4 2 3 2 4" xfId="12150" xr:uid="{00000000-0005-0000-0000-0000F3640000}"/>
    <cellStyle name="Normal 5 2 4 2 3 2 5" xfId="21476" xr:uid="{00000000-0005-0000-0000-0000F4640000}"/>
    <cellStyle name="Normal 5 2 4 2 3 3" xfId="4370" xr:uid="{00000000-0005-0000-0000-0000F5640000}"/>
    <cellStyle name="Normal 5 2 4 2 3 3 2" xfId="9047" xr:uid="{00000000-0005-0000-0000-0000F6640000}"/>
    <cellStyle name="Normal 5 2 4 2 3 3 2 2" xfId="18371" xr:uid="{00000000-0005-0000-0000-0000F7640000}"/>
    <cellStyle name="Normal 5 2 4 2 3 3 2 3" xfId="27694" xr:uid="{00000000-0005-0000-0000-0000F8640000}"/>
    <cellStyle name="Normal 5 2 4 2 3 3 3" xfId="13704" xr:uid="{00000000-0005-0000-0000-0000F9640000}"/>
    <cellStyle name="Normal 5 2 4 2 3 3 4" xfId="23028" xr:uid="{00000000-0005-0000-0000-0000FA640000}"/>
    <cellStyle name="Normal 5 2 4 2 3 4" xfId="6108" xr:uid="{00000000-0005-0000-0000-0000FB640000}"/>
    <cellStyle name="Normal 5 2 4 2 3 4 2" xfId="15432" xr:uid="{00000000-0005-0000-0000-0000FC640000}"/>
    <cellStyle name="Normal 5 2 4 2 3 4 3" xfId="24755" xr:uid="{00000000-0005-0000-0000-0000FD640000}"/>
    <cellStyle name="Normal 5 2 4 2 3 5" xfId="12149" xr:uid="{00000000-0005-0000-0000-0000FE640000}"/>
    <cellStyle name="Normal 5 2 4 2 3 6" xfId="21475" xr:uid="{00000000-0005-0000-0000-0000FF640000}"/>
    <cellStyle name="Normal 5 2 4 2 4" xfId="2691" xr:uid="{00000000-0005-0000-0000-000000650000}"/>
    <cellStyle name="Normal 5 2 4 2 4 2" xfId="4372" xr:uid="{00000000-0005-0000-0000-000001650000}"/>
    <cellStyle name="Normal 5 2 4 2 4 2 2" xfId="9049" xr:uid="{00000000-0005-0000-0000-000002650000}"/>
    <cellStyle name="Normal 5 2 4 2 4 2 2 2" xfId="18373" xr:uid="{00000000-0005-0000-0000-000003650000}"/>
    <cellStyle name="Normal 5 2 4 2 4 2 2 3" xfId="27696" xr:uid="{00000000-0005-0000-0000-000004650000}"/>
    <cellStyle name="Normal 5 2 4 2 4 2 3" xfId="13706" xr:uid="{00000000-0005-0000-0000-000005650000}"/>
    <cellStyle name="Normal 5 2 4 2 4 2 4" xfId="23030" xr:uid="{00000000-0005-0000-0000-000006650000}"/>
    <cellStyle name="Normal 5 2 4 2 4 3" xfId="6110" xr:uid="{00000000-0005-0000-0000-000007650000}"/>
    <cellStyle name="Normal 5 2 4 2 4 3 2" xfId="15434" xr:uid="{00000000-0005-0000-0000-000008650000}"/>
    <cellStyle name="Normal 5 2 4 2 4 3 3" xfId="24757" xr:uid="{00000000-0005-0000-0000-000009650000}"/>
    <cellStyle name="Normal 5 2 4 2 4 4" xfId="12151" xr:uid="{00000000-0005-0000-0000-00000A650000}"/>
    <cellStyle name="Normal 5 2 4 2 4 5" xfId="21477" xr:uid="{00000000-0005-0000-0000-00000B650000}"/>
    <cellStyle name="Normal 5 2 4 2 5" xfId="2692" xr:uid="{00000000-0005-0000-0000-00000C650000}"/>
    <cellStyle name="Normal 5 2 4 2 5 2" xfId="4373" xr:uid="{00000000-0005-0000-0000-00000D650000}"/>
    <cellStyle name="Normal 5 2 4 2 5 2 2" xfId="9050" xr:uid="{00000000-0005-0000-0000-00000E650000}"/>
    <cellStyle name="Normal 5 2 4 2 5 2 2 2" xfId="18374" xr:uid="{00000000-0005-0000-0000-00000F650000}"/>
    <cellStyle name="Normal 5 2 4 2 5 2 2 3" xfId="27697" xr:uid="{00000000-0005-0000-0000-000010650000}"/>
    <cellStyle name="Normal 5 2 4 2 5 2 3" xfId="13707" xr:uid="{00000000-0005-0000-0000-000011650000}"/>
    <cellStyle name="Normal 5 2 4 2 5 2 4" xfId="23031" xr:uid="{00000000-0005-0000-0000-000012650000}"/>
    <cellStyle name="Normal 5 2 4 2 5 3" xfId="6111" xr:uid="{00000000-0005-0000-0000-000013650000}"/>
    <cellStyle name="Normal 5 2 4 2 5 3 2" xfId="15435" xr:uid="{00000000-0005-0000-0000-000014650000}"/>
    <cellStyle name="Normal 5 2 4 2 5 3 3" xfId="24758" xr:uid="{00000000-0005-0000-0000-000015650000}"/>
    <cellStyle name="Normal 5 2 4 2 5 4" xfId="12152" xr:uid="{00000000-0005-0000-0000-000016650000}"/>
    <cellStyle name="Normal 5 2 4 2 5 5" xfId="21478" xr:uid="{00000000-0005-0000-0000-000017650000}"/>
    <cellStyle name="Normal 5 2 4 2 6" xfId="2693" xr:uid="{00000000-0005-0000-0000-000018650000}"/>
    <cellStyle name="Normal 5 2 4 2 6 2" xfId="4374" xr:uid="{00000000-0005-0000-0000-000019650000}"/>
    <cellStyle name="Normal 5 2 4 2 6 2 2" xfId="9051" xr:uid="{00000000-0005-0000-0000-00001A650000}"/>
    <cellStyle name="Normal 5 2 4 2 6 2 2 2" xfId="18375" xr:uid="{00000000-0005-0000-0000-00001B650000}"/>
    <cellStyle name="Normal 5 2 4 2 6 2 2 3" xfId="27698" xr:uid="{00000000-0005-0000-0000-00001C650000}"/>
    <cellStyle name="Normal 5 2 4 2 6 2 3" xfId="13708" xr:uid="{00000000-0005-0000-0000-00001D650000}"/>
    <cellStyle name="Normal 5 2 4 2 6 2 4" xfId="23032" xr:uid="{00000000-0005-0000-0000-00001E650000}"/>
    <cellStyle name="Normal 5 2 4 2 6 3" xfId="6112" xr:uid="{00000000-0005-0000-0000-00001F650000}"/>
    <cellStyle name="Normal 5 2 4 2 6 3 2" xfId="15436" xr:uid="{00000000-0005-0000-0000-000020650000}"/>
    <cellStyle name="Normal 5 2 4 2 6 3 3" xfId="24759" xr:uid="{00000000-0005-0000-0000-000021650000}"/>
    <cellStyle name="Normal 5 2 4 2 6 4" xfId="12153" xr:uid="{00000000-0005-0000-0000-000022650000}"/>
    <cellStyle name="Normal 5 2 4 2 6 5" xfId="21479" xr:uid="{00000000-0005-0000-0000-000023650000}"/>
    <cellStyle name="Normal 5 2 4 2 7" xfId="4365" xr:uid="{00000000-0005-0000-0000-000024650000}"/>
    <cellStyle name="Normal 5 2 4 2 7 2" xfId="9042" xr:uid="{00000000-0005-0000-0000-000025650000}"/>
    <cellStyle name="Normal 5 2 4 2 7 2 2" xfId="18366" xr:uid="{00000000-0005-0000-0000-000026650000}"/>
    <cellStyle name="Normal 5 2 4 2 7 2 3" xfId="27689" xr:uid="{00000000-0005-0000-0000-000027650000}"/>
    <cellStyle name="Normal 5 2 4 2 7 3" xfId="13699" xr:uid="{00000000-0005-0000-0000-000028650000}"/>
    <cellStyle name="Normal 5 2 4 2 7 4" xfId="23023" xr:uid="{00000000-0005-0000-0000-000029650000}"/>
    <cellStyle name="Normal 5 2 4 2 8" xfId="6103" xr:uid="{00000000-0005-0000-0000-00002A650000}"/>
    <cellStyle name="Normal 5 2 4 2 8 2" xfId="15427" xr:uid="{00000000-0005-0000-0000-00002B650000}"/>
    <cellStyle name="Normal 5 2 4 2 8 3" xfId="24750" xr:uid="{00000000-0005-0000-0000-00002C650000}"/>
    <cellStyle name="Normal 5 2 4 2 9" xfId="12144" xr:uid="{00000000-0005-0000-0000-00002D650000}"/>
    <cellStyle name="Normal 5 2 4 3" xfId="2694" xr:uid="{00000000-0005-0000-0000-00002E650000}"/>
    <cellStyle name="Normal 5 2 4 4" xfId="2695" xr:uid="{00000000-0005-0000-0000-00002F650000}"/>
    <cellStyle name="Normal 5 2 4 4 2" xfId="2696" xr:uid="{00000000-0005-0000-0000-000030650000}"/>
    <cellStyle name="Normal 5 2 4 4 2 2" xfId="4376" xr:uid="{00000000-0005-0000-0000-000031650000}"/>
    <cellStyle name="Normal 5 2 4 4 2 2 2" xfId="9053" xr:uid="{00000000-0005-0000-0000-000032650000}"/>
    <cellStyle name="Normal 5 2 4 4 2 2 2 2" xfId="18377" xr:uid="{00000000-0005-0000-0000-000033650000}"/>
    <cellStyle name="Normal 5 2 4 4 2 2 2 3" xfId="27700" xr:uid="{00000000-0005-0000-0000-000034650000}"/>
    <cellStyle name="Normal 5 2 4 4 2 2 3" xfId="13710" xr:uid="{00000000-0005-0000-0000-000035650000}"/>
    <cellStyle name="Normal 5 2 4 4 2 2 4" xfId="23034" xr:uid="{00000000-0005-0000-0000-000036650000}"/>
    <cellStyle name="Normal 5 2 4 4 2 3" xfId="6115" xr:uid="{00000000-0005-0000-0000-000037650000}"/>
    <cellStyle name="Normal 5 2 4 4 2 3 2" xfId="15439" xr:uid="{00000000-0005-0000-0000-000038650000}"/>
    <cellStyle name="Normal 5 2 4 4 2 3 3" xfId="24762" xr:uid="{00000000-0005-0000-0000-000039650000}"/>
    <cellStyle name="Normal 5 2 4 4 2 4" xfId="12155" xr:uid="{00000000-0005-0000-0000-00003A650000}"/>
    <cellStyle name="Normal 5 2 4 4 2 5" xfId="21481" xr:uid="{00000000-0005-0000-0000-00003B650000}"/>
    <cellStyle name="Normal 5 2 4 4 3" xfId="4375" xr:uid="{00000000-0005-0000-0000-00003C650000}"/>
    <cellStyle name="Normal 5 2 4 4 3 2" xfId="9052" xr:uid="{00000000-0005-0000-0000-00003D650000}"/>
    <cellStyle name="Normal 5 2 4 4 3 2 2" xfId="18376" xr:uid="{00000000-0005-0000-0000-00003E650000}"/>
    <cellStyle name="Normal 5 2 4 4 3 2 3" xfId="27699" xr:uid="{00000000-0005-0000-0000-00003F650000}"/>
    <cellStyle name="Normal 5 2 4 4 3 3" xfId="13709" xr:uid="{00000000-0005-0000-0000-000040650000}"/>
    <cellStyle name="Normal 5 2 4 4 3 4" xfId="23033" xr:uid="{00000000-0005-0000-0000-000041650000}"/>
    <cellStyle name="Normal 5 2 4 4 4" xfId="6114" xr:uid="{00000000-0005-0000-0000-000042650000}"/>
    <cellStyle name="Normal 5 2 4 4 4 2" xfId="15438" xr:uid="{00000000-0005-0000-0000-000043650000}"/>
    <cellStyle name="Normal 5 2 4 4 4 3" xfId="24761" xr:uid="{00000000-0005-0000-0000-000044650000}"/>
    <cellStyle name="Normal 5 2 4 4 5" xfId="12154" xr:uid="{00000000-0005-0000-0000-000045650000}"/>
    <cellStyle name="Normal 5 2 4 4 6" xfId="21480" xr:uid="{00000000-0005-0000-0000-000046650000}"/>
    <cellStyle name="Normal 5 2 4 5" xfId="2697" xr:uid="{00000000-0005-0000-0000-000047650000}"/>
    <cellStyle name="Normal 5 2 4 5 2" xfId="4377" xr:uid="{00000000-0005-0000-0000-000048650000}"/>
    <cellStyle name="Normal 5 2 4 5 2 2" xfId="9054" xr:uid="{00000000-0005-0000-0000-000049650000}"/>
    <cellStyle name="Normal 5 2 4 5 2 2 2" xfId="18378" xr:uid="{00000000-0005-0000-0000-00004A650000}"/>
    <cellStyle name="Normal 5 2 4 5 2 2 3" xfId="27701" xr:uid="{00000000-0005-0000-0000-00004B650000}"/>
    <cellStyle name="Normal 5 2 4 5 2 3" xfId="13711" xr:uid="{00000000-0005-0000-0000-00004C650000}"/>
    <cellStyle name="Normal 5 2 4 5 2 4" xfId="23035" xr:uid="{00000000-0005-0000-0000-00004D650000}"/>
    <cellStyle name="Normal 5 2 4 5 3" xfId="6116" xr:uid="{00000000-0005-0000-0000-00004E650000}"/>
    <cellStyle name="Normal 5 2 4 5 3 2" xfId="15440" xr:uid="{00000000-0005-0000-0000-00004F650000}"/>
    <cellStyle name="Normal 5 2 4 5 3 3" xfId="24763" xr:uid="{00000000-0005-0000-0000-000050650000}"/>
    <cellStyle name="Normal 5 2 4 5 4" xfId="12156" xr:uid="{00000000-0005-0000-0000-000051650000}"/>
    <cellStyle name="Normal 5 2 4 5 5" xfId="21482" xr:uid="{00000000-0005-0000-0000-000052650000}"/>
    <cellStyle name="Normal 5 2 4 6" xfId="2683" xr:uid="{00000000-0005-0000-0000-000053650000}"/>
    <cellStyle name="Normal 5 2 4 6 2" xfId="7551" xr:uid="{00000000-0005-0000-0000-000054650000}"/>
    <cellStyle name="Normal 5 2 4 6 2 2" xfId="16875" xr:uid="{00000000-0005-0000-0000-000055650000}"/>
    <cellStyle name="Normal 5 2 4 6 2 3" xfId="26198" xr:uid="{00000000-0005-0000-0000-000056650000}"/>
    <cellStyle name="Normal 5 2 4 6 3" xfId="12143" xr:uid="{00000000-0005-0000-0000-000057650000}"/>
    <cellStyle name="Normal 5 2 4 6 4" xfId="21469" xr:uid="{00000000-0005-0000-0000-000058650000}"/>
    <cellStyle name="Normal 5 2 4 7" xfId="4364" xr:uid="{00000000-0005-0000-0000-000059650000}"/>
    <cellStyle name="Normal 5 2 4 7 2" xfId="9041" xr:uid="{00000000-0005-0000-0000-00005A650000}"/>
    <cellStyle name="Normal 5 2 4 7 2 2" xfId="18365" xr:uid="{00000000-0005-0000-0000-00005B650000}"/>
    <cellStyle name="Normal 5 2 4 7 2 3" xfId="27688" xr:uid="{00000000-0005-0000-0000-00005C650000}"/>
    <cellStyle name="Normal 5 2 4 7 3" xfId="13698" xr:uid="{00000000-0005-0000-0000-00005D650000}"/>
    <cellStyle name="Normal 5 2 4 7 4" xfId="23022" xr:uid="{00000000-0005-0000-0000-00005E650000}"/>
    <cellStyle name="Normal 5 2 4 8" xfId="6102" xr:uid="{00000000-0005-0000-0000-00005F650000}"/>
    <cellStyle name="Normal 5 2 4 8 2" xfId="15426" xr:uid="{00000000-0005-0000-0000-000060650000}"/>
    <cellStyle name="Normal 5 2 4 8 3" xfId="24749" xr:uid="{00000000-0005-0000-0000-000061650000}"/>
    <cellStyle name="Normal 5 2 4 9" xfId="10340" xr:uid="{00000000-0005-0000-0000-000062650000}"/>
    <cellStyle name="Normal 5 2 5" xfId="2698" xr:uid="{00000000-0005-0000-0000-000063650000}"/>
    <cellStyle name="Normal 5 2 5 2" xfId="2699" xr:uid="{00000000-0005-0000-0000-000064650000}"/>
    <cellStyle name="Normal 5 2 5 2 2" xfId="2700" xr:uid="{00000000-0005-0000-0000-000065650000}"/>
    <cellStyle name="Normal 5 2 5 2 2 2" xfId="4380" xr:uid="{00000000-0005-0000-0000-000066650000}"/>
    <cellStyle name="Normal 5 2 5 2 2 2 2" xfId="9057" xr:uid="{00000000-0005-0000-0000-000067650000}"/>
    <cellStyle name="Normal 5 2 5 2 2 2 2 2" xfId="18381" xr:uid="{00000000-0005-0000-0000-000068650000}"/>
    <cellStyle name="Normal 5 2 5 2 2 2 2 3" xfId="27704" xr:uid="{00000000-0005-0000-0000-000069650000}"/>
    <cellStyle name="Normal 5 2 5 2 2 2 3" xfId="13714" xr:uid="{00000000-0005-0000-0000-00006A650000}"/>
    <cellStyle name="Normal 5 2 5 2 2 2 4" xfId="23038" xr:uid="{00000000-0005-0000-0000-00006B650000}"/>
    <cellStyle name="Normal 5 2 5 2 2 3" xfId="6119" xr:uid="{00000000-0005-0000-0000-00006C650000}"/>
    <cellStyle name="Normal 5 2 5 2 2 3 2" xfId="15443" xr:uid="{00000000-0005-0000-0000-00006D650000}"/>
    <cellStyle name="Normal 5 2 5 2 2 3 3" xfId="24766" xr:uid="{00000000-0005-0000-0000-00006E650000}"/>
    <cellStyle name="Normal 5 2 5 2 2 4" xfId="12159" xr:uid="{00000000-0005-0000-0000-00006F650000}"/>
    <cellStyle name="Normal 5 2 5 2 2 5" xfId="21485" xr:uid="{00000000-0005-0000-0000-000070650000}"/>
    <cellStyle name="Normal 5 2 5 2 3" xfId="4379" xr:uid="{00000000-0005-0000-0000-000071650000}"/>
    <cellStyle name="Normal 5 2 5 2 3 2" xfId="9056" xr:uid="{00000000-0005-0000-0000-000072650000}"/>
    <cellStyle name="Normal 5 2 5 2 3 2 2" xfId="18380" xr:uid="{00000000-0005-0000-0000-000073650000}"/>
    <cellStyle name="Normal 5 2 5 2 3 2 3" xfId="27703" xr:uid="{00000000-0005-0000-0000-000074650000}"/>
    <cellStyle name="Normal 5 2 5 2 3 3" xfId="13713" xr:uid="{00000000-0005-0000-0000-000075650000}"/>
    <cellStyle name="Normal 5 2 5 2 3 4" xfId="23037" xr:uid="{00000000-0005-0000-0000-000076650000}"/>
    <cellStyle name="Normal 5 2 5 2 4" xfId="6118" xr:uid="{00000000-0005-0000-0000-000077650000}"/>
    <cellStyle name="Normal 5 2 5 2 4 2" xfId="15442" xr:uid="{00000000-0005-0000-0000-000078650000}"/>
    <cellStyle name="Normal 5 2 5 2 4 3" xfId="24765" xr:uid="{00000000-0005-0000-0000-000079650000}"/>
    <cellStyle name="Normal 5 2 5 2 5" xfId="12158" xr:uid="{00000000-0005-0000-0000-00007A650000}"/>
    <cellStyle name="Normal 5 2 5 2 6" xfId="21484" xr:uid="{00000000-0005-0000-0000-00007B650000}"/>
    <cellStyle name="Normal 5 2 5 3" xfId="2701" xr:uid="{00000000-0005-0000-0000-00007C650000}"/>
    <cellStyle name="Normal 5 2 5 3 2" xfId="4381" xr:uid="{00000000-0005-0000-0000-00007D650000}"/>
    <cellStyle name="Normal 5 2 5 3 2 2" xfId="9058" xr:uid="{00000000-0005-0000-0000-00007E650000}"/>
    <cellStyle name="Normal 5 2 5 3 2 2 2" xfId="18382" xr:uid="{00000000-0005-0000-0000-00007F650000}"/>
    <cellStyle name="Normal 5 2 5 3 2 2 3" xfId="27705" xr:uid="{00000000-0005-0000-0000-000080650000}"/>
    <cellStyle name="Normal 5 2 5 3 2 3" xfId="13715" xr:uid="{00000000-0005-0000-0000-000081650000}"/>
    <cellStyle name="Normal 5 2 5 3 2 4" xfId="23039" xr:uid="{00000000-0005-0000-0000-000082650000}"/>
    <cellStyle name="Normal 5 2 5 3 3" xfId="6120" xr:uid="{00000000-0005-0000-0000-000083650000}"/>
    <cellStyle name="Normal 5 2 5 3 3 2" xfId="15444" xr:uid="{00000000-0005-0000-0000-000084650000}"/>
    <cellStyle name="Normal 5 2 5 3 3 3" xfId="24767" xr:uid="{00000000-0005-0000-0000-000085650000}"/>
    <cellStyle name="Normal 5 2 5 3 4" xfId="12160" xr:uid="{00000000-0005-0000-0000-000086650000}"/>
    <cellStyle name="Normal 5 2 5 3 5" xfId="21486" xr:uid="{00000000-0005-0000-0000-000087650000}"/>
    <cellStyle name="Normal 5 2 5 4" xfId="4378" xr:uid="{00000000-0005-0000-0000-000088650000}"/>
    <cellStyle name="Normal 5 2 5 4 2" xfId="9055" xr:uid="{00000000-0005-0000-0000-000089650000}"/>
    <cellStyle name="Normal 5 2 5 4 2 2" xfId="18379" xr:uid="{00000000-0005-0000-0000-00008A650000}"/>
    <cellStyle name="Normal 5 2 5 4 2 3" xfId="27702" xr:uid="{00000000-0005-0000-0000-00008B650000}"/>
    <cellStyle name="Normal 5 2 5 4 3" xfId="13712" xr:uid="{00000000-0005-0000-0000-00008C650000}"/>
    <cellStyle name="Normal 5 2 5 4 4" xfId="23036" xr:uid="{00000000-0005-0000-0000-00008D650000}"/>
    <cellStyle name="Normal 5 2 5 5" xfId="6117" xr:uid="{00000000-0005-0000-0000-00008E650000}"/>
    <cellStyle name="Normal 5 2 5 5 2" xfId="15441" xr:uid="{00000000-0005-0000-0000-00008F650000}"/>
    <cellStyle name="Normal 5 2 5 5 3" xfId="24764" xr:uid="{00000000-0005-0000-0000-000090650000}"/>
    <cellStyle name="Normal 5 2 5 6" xfId="12157" xr:uid="{00000000-0005-0000-0000-000091650000}"/>
    <cellStyle name="Normal 5 2 5 7" xfId="21483" xr:uid="{00000000-0005-0000-0000-000092650000}"/>
    <cellStyle name="Normal 5 2 5 8" xfId="28784" xr:uid="{00000000-0005-0000-0000-000093650000}"/>
    <cellStyle name="Normal 5 2 6" xfId="2702" xr:uid="{00000000-0005-0000-0000-000094650000}"/>
    <cellStyle name="Normal 5 2 6 2" xfId="2703" xr:uid="{00000000-0005-0000-0000-000095650000}"/>
    <cellStyle name="Normal 5 2 6 2 2" xfId="2704" xr:uid="{00000000-0005-0000-0000-000096650000}"/>
    <cellStyle name="Normal 5 2 6 2 2 2" xfId="4384" xr:uid="{00000000-0005-0000-0000-000097650000}"/>
    <cellStyle name="Normal 5 2 6 2 2 2 2" xfId="9061" xr:uid="{00000000-0005-0000-0000-000098650000}"/>
    <cellStyle name="Normal 5 2 6 2 2 2 2 2" xfId="18385" xr:uid="{00000000-0005-0000-0000-000099650000}"/>
    <cellStyle name="Normal 5 2 6 2 2 2 2 3" xfId="27708" xr:uid="{00000000-0005-0000-0000-00009A650000}"/>
    <cellStyle name="Normal 5 2 6 2 2 2 3" xfId="13718" xr:uid="{00000000-0005-0000-0000-00009B650000}"/>
    <cellStyle name="Normal 5 2 6 2 2 2 4" xfId="23042" xr:uid="{00000000-0005-0000-0000-00009C650000}"/>
    <cellStyle name="Normal 5 2 6 2 2 3" xfId="6123" xr:uid="{00000000-0005-0000-0000-00009D650000}"/>
    <cellStyle name="Normal 5 2 6 2 2 3 2" xfId="15447" xr:uid="{00000000-0005-0000-0000-00009E650000}"/>
    <cellStyle name="Normal 5 2 6 2 2 3 3" xfId="24770" xr:uid="{00000000-0005-0000-0000-00009F650000}"/>
    <cellStyle name="Normal 5 2 6 2 2 4" xfId="12163" xr:uid="{00000000-0005-0000-0000-0000A0650000}"/>
    <cellStyle name="Normal 5 2 6 2 2 5" xfId="21489" xr:uid="{00000000-0005-0000-0000-0000A1650000}"/>
    <cellStyle name="Normal 5 2 6 2 3" xfId="4383" xr:uid="{00000000-0005-0000-0000-0000A2650000}"/>
    <cellStyle name="Normal 5 2 6 2 3 2" xfId="9060" xr:uid="{00000000-0005-0000-0000-0000A3650000}"/>
    <cellStyle name="Normal 5 2 6 2 3 2 2" xfId="18384" xr:uid="{00000000-0005-0000-0000-0000A4650000}"/>
    <cellStyle name="Normal 5 2 6 2 3 2 3" xfId="27707" xr:uid="{00000000-0005-0000-0000-0000A5650000}"/>
    <cellStyle name="Normal 5 2 6 2 3 3" xfId="13717" xr:uid="{00000000-0005-0000-0000-0000A6650000}"/>
    <cellStyle name="Normal 5 2 6 2 3 4" xfId="23041" xr:uid="{00000000-0005-0000-0000-0000A7650000}"/>
    <cellStyle name="Normal 5 2 6 2 4" xfId="6122" xr:uid="{00000000-0005-0000-0000-0000A8650000}"/>
    <cellStyle name="Normal 5 2 6 2 4 2" xfId="15446" xr:uid="{00000000-0005-0000-0000-0000A9650000}"/>
    <cellStyle name="Normal 5 2 6 2 4 3" xfId="24769" xr:uid="{00000000-0005-0000-0000-0000AA650000}"/>
    <cellStyle name="Normal 5 2 6 2 5" xfId="12162" xr:uid="{00000000-0005-0000-0000-0000AB650000}"/>
    <cellStyle name="Normal 5 2 6 2 6" xfId="21488" xr:uid="{00000000-0005-0000-0000-0000AC650000}"/>
    <cellStyle name="Normal 5 2 6 3" xfId="2705" xr:uid="{00000000-0005-0000-0000-0000AD650000}"/>
    <cellStyle name="Normal 5 2 6 3 2" xfId="4385" xr:uid="{00000000-0005-0000-0000-0000AE650000}"/>
    <cellStyle name="Normal 5 2 6 3 2 2" xfId="9062" xr:uid="{00000000-0005-0000-0000-0000AF650000}"/>
    <cellStyle name="Normal 5 2 6 3 2 2 2" xfId="18386" xr:uid="{00000000-0005-0000-0000-0000B0650000}"/>
    <cellStyle name="Normal 5 2 6 3 2 2 3" xfId="27709" xr:uid="{00000000-0005-0000-0000-0000B1650000}"/>
    <cellStyle name="Normal 5 2 6 3 2 3" xfId="13719" xr:uid="{00000000-0005-0000-0000-0000B2650000}"/>
    <cellStyle name="Normal 5 2 6 3 2 4" xfId="23043" xr:uid="{00000000-0005-0000-0000-0000B3650000}"/>
    <cellStyle name="Normal 5 2 6 3 3" xfId="6124" xr:uid="{00000000-0005-0000-0000-0000B4650000}"/>
    <cellStyle name="Normal 5 2 6 3 3 2" xfId="15448" xr:uid="{00000000-0005-0000-0000-0000B5650000}"/>
    <cellStyle name="Normal 5 2 6 3 3 3" xfId="24771" xr:uid="{00000000-0005-0000-0000-0000B6650000}"/>
    <cellStyle name="Normal 5 2 6 3 4" xfId="12164" xr:uid="{00000000-0005-0000-0000-0000B7650000}"/>
    <cellStyle name="Normal 5 2 6 3 5" xfId="21490" xr:uid="{00000000-0005-0000-0000-0000B8650000}"/>
    <cellStyle name="Normal 5 2 6 4" xfId="4382" xr:uid="{00000000-0005-0000-0000-0000B9650000}"/>
    <cellStyle name="Normal 5 2 6 4 2" xfId="9059" xr:uid="{00000000-0005-0000-0000-0000BA650000}"/>
    <cellStyle name="Normal 5 2 6 4 2 2" xfId="18383" xr:uid="{00000000-0005-0000-0000-0000BB650000}"/>
    <cellStyle name="Normal 5 2 6 4 2 3" xfId="27706" xr:uid="{00000000-0005-0000-0000-0000BC650000}"/>
    <cellStyle name="Normal 5 2 6 4 3" xfId="13716" xr:uid="{00000000-0005-0000-0000-0000BD650000}"/>
    <cellStyle name="Normal 5 2 6 4 4" xfId="23040" xr:uid="{00000000-0005-0000-0000-0000BE650000}"/>
    <cellStyle name="Normal 5 2 6 5" xfId="6121" xr:uid="{00000000-0005-0000-0000-0000BF650000}"/>
    <cellStyle name="Normal 5 2 6 5 2" xfId="15445" xr:uid="{00000000-0005-0000-0000-0000C0650000}"/>
    <cellStyle name="Normal 5 2 6 5 3" xfId="24768" xr:uid="{00000000-0005-0000-0000-0000C1650000}"/>
    <cellStyle name="Normal 5 2 6 6" xfId="12161" xr:uid="{00000000-0005-0000-0000-0000C2650000}"/>
    <cellStyle name="Normal 5 2 6 7" xfId="21487" xr:uid="{00000000-0005-0000-0000-0000C3650000}"/>
    <cellStyle name="Normal 5 2 7" xfId="2706" xr:uid="{00000000-0005-0000-0000-0000C4650000}"/>
    <cellStyle name="Normal 5 2 7 2" xfId="2707" xr:uid="{00000000-0005-0000-0000-0000C5650000}"/>
    <cellStyle name="Normal 5 2 7 2 2" xfId="4387" xr:uid="{00000000-0005-0000-0000-0000C6650000}"/>
    <cellStyle name="Normal 5 2 7 2 2 2" xfId="9064" xr:uid="{00000000-0005-0000-0000-0000C7650000}"/>
    <cellStyle name="Normal 5 2 7 2 2 2 2" xfId="18388" xr:uid="{00000000-0005-0000-0000-0000C8650000}"/>
    <cellStyle name="Normal 5 2 7 2 2 2 3" xfId="27711" xr:uid="{00000000-0005-0000-0000-0000C9650000}"/>
    <cellStyle name="Normal 5 2 7 2 2 3" xfId="13721" xr:uid="{00000000-0005-0000-0000-0000CA650000}"/>
    <cellStyle name="Normal 5 2 7 2 2 4" xfId="23045" xr:uid="{00000000-0005-0000-0000-0000CB650000}"/>
    <cellStyle name="Normal 5 2 7 2 3" xfId="6126" xr:uid="{00000000-0005-0000-0000-0000CC650000}"/>
    <cellStyle name="Normal 5 2 7 2 3 2" xfId="15450" xr:uid="{00000000-0005-0000-0000-0000CD650000}"/>
    <cellStyle name="Normal 5 2 7 2 3 3" xfId="24773" xr:uid="{00000000-0005-0000-0000-0000CE650000}"/>
    <cellStyle name="Normal 5 2 7 2 4" xfId="12166" xr:uid="{00000000-0005-0000-0000-0000CF650000}"/>
    <cellStyle name="Normal 5 2 7 2 5" xfId="21492" xr:uid="{00000000-0005-0000-0000-0000D0650000}"/>
    <cellStyle name="Normal 5 2 7 3" xfId="4386" xr:uid="{00000000-0005-0000-0000-0000D1650000}"/>
    <cellStyle name="Normal 5 2 7 3 2" xfId="9063" xr:uid="{00000000-0005-0000-0000-0000D2650000}"/>
    <cellStyle name="Normal 5 2 7 3 2 2" xfId="18387" xr:uid="{00000000-0005-0000-0000-0000D3650000}"/>
    <cellStyle name="Normal 5 2 7 3 2 3" xfId="27710" xr:uid="{00000000-0005-0000-0000-0000D4650000}"/>
    <cellStyle name="Normal 5 2 7 3 3" xfId="13720" xr:uid="{00000000-0005-0000-0000-0000D5650000}"/>
    <cellStyle name="Normal 5 2 7 3 4" xfId="23044" xr:uid="{00000000-0005-0000-0000-0000D6650000}"/>
    <cellStyle name="Normal 5 2 7 4" xfId="6125" xr:uid="{00000000-0005-0000-0000-0000D7650000}"/>
    <cellStyle name="Normal 5 2 7 4 2" xfId="15449" xr:uid="{00000000-0005-0000-0000-0000D8650000}"/>
    <cellStyle name="Normal 5 2 7 4 3" xfId="24772" xr:uid="{00000000-0005-0000-0000-0000D9650000}"/>
    <cellStyle name="Normal 5 2 7 5" xfId="12165" xr:uid="{00000000-0005-0000-0000-0000DA650000}"/>
    <cellStyle name="Normal 5 2 7 6" xfId="21491" xr:uid="{00000000-0005-0000-0000-0000DB650000}"/>
    <cellStyle name="Normal 5 2 8" xfId="2708" xr:uid="{00000000-0005-0000-0000-0000DC650000}"/>
    <cellStyle name="Normal 5 2 8 2" xfId="4388" xr:uid="{00000000-0005-0000-0000-0000DD650000}"/>
    <cellStyle name="Normal 5 2 8 2 2" xfId="9065" xr:uid="{00000000-0005-0000-0000-0000DE650000}"/>
    <cellStyle name="Normal 5 2 8 2 2 2" xfId="18389" xr:uid="{00000000-0005-0000-0000-0000DF650000}"/>
    <cellStyle name="Normal 5 2 8 2 2 3" xfId="27712" xr:uid="{00000000-0005-0000-0000-0000E0650000}"/>
    <cellStyle name="Normal 5 2 8 2 3" xfId="13722" xr:uid="{00000000-0005-0000-0000-0000E1650000}"/>
    <cellStyle name="Normal 5 2 8 2 4" xfId="23046" xr:uid="{00000000-0005-0000-0000-0000E2650000}"/>
    <cellStyle name="Normal 5 2 8 3" xfId="6127" xr:uid="{00000000-0005-0000-0000-0000E3650000}"/>
    <cellStyle name="Normal 5 2 8 3 2" xfId="15451" xr:uid="{00000000-0005-0000-0000-0000E4650000}"/>
    <cellStyle name="Normal 5 2 8 3 3" xfId="24774" xr:uid="{00000000-0005-0000-0000-0000E5650000}"/>
    <cellStyle name="Normal 5 2 8 4" xfId="12167" xr:uid="{00000000-0005-0000-0000-0000E6650000}"/>
    <cellStyle name="Normal 5 2 8 5" xfId="21493" xr:uid="{00000000-0005-0000-0000-0000E7650000}"/>
    <cellStyle name="Normal 5 2 9" xfId="2709" xr:uid="{00000000-0005-0000-0000-0000E8650000}"/>
    <cellStyle name="Normal 5 2 9 2" xfId="4389" xr:uid="{00000000-0005-0000-0000-0000E9650000}"/>
    <cellStyle name="Normal 5 2 9 2 2" xfId="9066" xr:uid="{00000000-0005-0000-0000-0000EA650000}"/>
    <cellStyle name="Normal 5 2 9 2 2 2" xfId="18390" xr:uid="{00000000-0005-0000-0000-0000EB650000}"/>
    <cellStyle name="Normal 5 2 9 2 2 3" xfId="27713" xr:uid="{00000000-0005-0000-0000-0000EC650000}"/>
    <cellStyle name="Normal 5 2 9 2 3" xfId="13723" xr:uid="{00000000-0005-0000-0000-0000ED650000}"/>
    <cellStyle name="Normal 5 2 9 2 4" xfId="23047" xr:uid="{00000000-0005-0000-0000-0000EE650000}"/>
    <cellStyle name="Normal 5 2 9 3" xfId="6128" xr:uid="{00000000-0005-0000-0000-0000EF650000}"/>
    <cellStyle name="Normal 5 2 9 3 2" xfId="15452" xr:uid="{00000000-0005-0000-0000-0000F0650000}"/>
    <cellStyle name="Normal 5 2 9 3 3" xfId="24775" xr:uid="{00000000-0005-0000-0000-0000F1650000}"/>
    <cellStyle name="Normal 5 2 9 4" xfId="12168" xr:uid="{00000000-0005-0000-0000-0000F2650000}"/>
    <cellStyle name="Normal 5 2 9 5" xfId="21494" xr:uid="{00000000-0005-0000-0000-0000F3650000}"/>
    <cellStyle name="Normal 5 2_DHO-SF" xfId="28576" xr:uid="{00000000-0005-0000-0000-0000F4650000}"/>
    <cellStyle name="Normal 5 3" xfId="316" xr:uid="{00000000-0005-0000-0000-0000F5650000}"/>
    <cellStyle name="Normal 5 3 10" xfId="4390" xr:uid="{00000000-0005-0000-0000-0000F6650000}"/>
    <cellStyle name="Normal 5 3 10 2" xfId="9067" xr:uid="{00000000-0005-0000-0000-0000F7650000}"/>
    <cellStyle name="Normal 5 3 10 2 2" xfId="18391" xr:uid="{00000000-0005-0000-0000-0000F8650000}"/>
    <cellStyle name="Normal 5 3 10 2 3" xfId="27714" xr:uid="{00000000-0005-0000-0000-0000F9650000}"/>
    <cellStyle name="Normal 5 3 10 3" xfId="13724" xr:uid="{00000000-0005-0000-0000-0000FA650000}"/>
    <cellStyle name="Normal 5 3 10 4" xfId="23048" xr:uid="{00000000-0005-0000-0000-0000FB650000}"/>
    <cellStyle name="Normal 5 3 11" xfId="6129" xr:uid="{00000000-0005-0000-0000-0000FC650000}"/>
    <cellStyle name="Normal 5 3 11 2" xfId="15453" xr:uid="{00000000-0005-0000-0000-0000FD650000}"/>
    <cellStyle name="Normal 5 3 11 3" xfId="24776" xr:uid="{00000000-0005-0000-0000-0000FE650000}"/>
    <cellStyle name="Normal 5 3 12" xfId="9427" xr:uid="{00000000-0005-0000-0000-0000FF650000}"/>
    <cellStyle name="Normal 5 3 12 2" xfId="18751" xr:uid="{00000000-0005-0000-0000-000000660000}"/>
    <cellStyle name="Normal 5 3 12 3" xfId="28074" xr:uid="{00000000-0005-0000-0000-000001660000}"/>
    <cellStyle name="Normal 5 3 13" xfId="9921" xr:uid="{00000000-0005-0000-0000-000002660000}"/>
    <cellStyle name="Normal 5 3 14" xfId="19245" xr:uid="{00000000-0005-0000-0000-000003660000}"/>
    <cellStyle name="Normal 5 3 15" xfId="28765" xr:uid="{00000000-0005-0000-0000-000004660000}"/>
    <cellStyle name="Normal 5 3 16" xfId="28965" xr:uid="{00000000-0005-0000-0000-000005660000}"/>
    <cellStyle name="Normal 5 3 2" xfId="556" xr:uid="{00000000-0005-0000-0000-000006660000}"/>
    <cellStyle name="Normal 5 3 2 10" xfId="10161" xr:uid="{00000000-0005-0000-0000-000007660000}"/>
    <cellStyle name="Normal 5 3 2 11" xfId="19485" xr:uid="{00000000-0005-0000-0000-000008660000}"/>
    <cellStyle name="Normal 5 3 2 12" xfId="28903" xr:uid="{00000000-0005-0000-0000-000009660000}"/>
    <cellStyle name="Normal 5 3 2 2" xfId="1044" xr:uid="{00000000-0005-0000-0000-00000A660000}"/>
    <cellStyle name="Normal 5 3 2 2 10" xfId="10645" xr:uid="{00000000-0005-0000-0000-00000B660000}"/>
    <cellStyle name="Normal 5 3 2 2 11" xfId="19969" xr:uid="{00000000-0005-0000-0000-00000C660000}"/>
    <cellStyle name="Normal 5 3 2 2 2" xfId="2713" xr:uid="{00000000-0005-0000-0000-00000D660000}"/>
    <cellStyle name="Normal 5 3 2 2 2 2" xfId="2714" xr:uid="{00000000-0005-0000-0000-00000E660000}"/>
    <cellStyle name="Normal 5 3 2 2 2 2 2" xfId="2715" xr:uid="{00000000-0005-0000-0000-00000F660000}"/>
    <cellStyle name="Normal 5 3 2 2 2 2 2 2" xfId="4395" xr:uid="{00000000-0005-0000-0000-000010660000}"/>
    <cellStyle name="Normal 5 3 2 2 2 2 2 2 2" xfId="9072" xr:uid="{00000000-0005-0000-0000-000011660000}"/>
    <cellStyle name="Normal 5 3 2 2 2 2 2 2 2 2" xfId="18396" xr:uid="{00000000-0005-0000-0000-000012660000}"/>
    <cellStyle name="Normal 5 3 2 2 2 2 2 2 2 3" xfId="27719" xr:uid="{00000000-0005-0000-0000-000013660000}"/>
    <cellStyle name="Normal 5 3 2 2 2 2 2 2 3" xfId="13729" xr:uid="{00000000-0005-0000-0000-000014660000}"/>
    <cellStyle name="Normal 5 3 2 2 2 2 2 2 4" xfId="23053" xr:uid="{00000000-0005-0000-0000-000015660000}"/>
    <cellStyle name="Normal 5 3 2 2 2 2 2 3" xfId="6134" xr:uid="{00000000-0005-0000-0000-000016660000}"/>
    <cellStyle name="Normal 5 3 2 2 2 2 2 3 2" xfId="15458" xr:uid="{00000000-0005-0000-0000-000017660000}"/>
    <cellStyle name="Normal 5 3 2 2 2 2 2 3 3" xfId="24781" xr:uid="{00000000-0005-0000-0000-000018660000}"/>
    <cellStyle name="Normal 5 3 2 2 2 2 2 4" xfId="12174" xr:uid="{00000000-0005-0000-0000-000019660000}"/>
    <cellStyle name="Normal 5 3 2 2 2 2 2 5" xfId="21500" xr:uid="{00000000-0005-0000-0000-00001A660000}"/>
    <cellStyle name="Normal 5 3 2 2 2 2 3" xfId="4394" xr:uid="{00000000-0005-0000-0000-00001B660000}"/>
    <cellStyle name="Normal 5 3 2 2 2 2 3 2" xfId="9071" xr:uid="{00000000-0005-0000-0000-00001C660000}"/>
    <cellStyle name="Normal 5 3 2 2 2 2 3 2 2" xfId="18395" xr:uid="{00000000-0005-0000-0000-00001D660000}"/>
    <cellStyle name="Normal 5 3 2 2 2 2 3 2 3" xfId="27718" xr:uid="{00000000-0005-0000-0000-00001E660000}"/>
    <cellStyle name="Normal 5 3 2 2 2 2 3 3" xfId="13728" xr:uid="{00000000-0005-0000-0000-00001F660000}"/>
    <cellStyle name="Normal 5 3 2 2 2 2 3 4" xfId="23052" xr:uid="{00000000-0005-0000-0000-000020660000}"/>
    <cellStyle name="Normal 5 3 2 2 2 2 4" xfId="6133" xr:uid="{00000000-0005-0000-0000-000021660000}"/>
    <cellStyle name="Normal 5 3 2 2 2 2 4 2" xfId="15457" xr:uid="{00000000-0005-0000-0000-000022660000}"/>
    <cellStyle name="Normal 5 3 2 2 2 2 4 3" xfId="24780" xr:uid="{00000000-0005-0000-0000-000023660000}"/>
    <cellStyle name="Normal 5 3 2 2 2 2 5" xfId="12173" xr:uid="{00000000-0005-0000-0000-000024660000}"/>
    <cellStyle name="Normal 5 3 2 2 2 2 6" xfId="21499" xr:uid="{00000000-0005-0000-0000-000025660000}"/>
    <cellStyle name="Normal 5 3 2 2 2 3" xfId="2716" xr:uid="{00000000-0005-0000-0000-000026660000}"/>
    <cellStyle name="Normal 5 3 2 2 2 3 2" xfId="4396" xr:uid="{00000000-0005-0000-0000-000027660000}"/>
    <cellStyle name="Normal 5 3 2 2 2 3 2 2" xfId="9073" xr:uid="{00000000-0005-0000-0000-000028660000}"/>
    <cellStyle name="Normal 5 3 2 2 2 3 2 2 2" xfId="18397" xr:uid="{00000000-0005-0000-0000-000029660000}"/>
    <cellStyle name="Normal 5 3 2 2 2 3 2 2 3" xfId="27720" xr:uid="{00000000-0005-0000-0000-00002A660000}"/>
    <cellStyle name="Normal 5 3 2 2 2 3 2 3" xfId="13730" xr:uid="{00000000-0005-0000-0000-00002B660000}"/>
    <cellStyle name="Normal 5 3 2 2 2 3 2 4" xfId="23054" xr:uid="{00000000-0005-0000-0000-00002C660000}"/>
    <cellStyle name="Normal 5 3 2 2 2 3 3" xfId="6135" xr:uid="{00000000-0005-0000-0000-00002D660000}"/>
    <cellStyle name="Normal 5 3 2 2 2 3 3 2" xfId="15459" xr:uid="{00000000-0005-0000-0000-00002E660000}"/>
    <cellStyle name="Normal 5 3 2 2 2 3 3 3" xfId="24782" xr:uid="{00000000-0005-0000-0000-00002F660000}"/>
    <cellStyle name="Normal 5 3 2 2 2 3 4" xfId="12175" xr:uid="{00000000-0005-0000-0000-000030660000}"/>
    <cellStyle name="Normal 5 3 2 2 2 3 5" xfId="21501" xr:uid="{00000000-0005-0000-0000-000031660000}"/>
    <cellStyle name="Normal 5 3 2 2 2 4" xfId="4393" xr:uid="{00000000-0005-0000-0000-000032660000}"/>
    <cellStyle name="Normal 5 3 2 2 2 4 2" xfId="9070" xr:uid="{00000000-0005-0000-0000-000033660000}"/>
    <cellStyle name="Normal 5 3 2 2 2 4 2 2" xfId="18394" xr:uid="{00000000-0005-0000-0000-000034660000}"/>
    <cellStyle name="Normal 5 3 2 2 2 4 2 3" xfId="27717" xr:uid="{00000000-0005-0000-0000-000035660000}"/>
    <cellStyle name="Normal 5 3 2 2 2 4 3" xfId="13727" xr:uid="{00000000-0005-0000-0000-000036660000}"/>
    <cellStyle name="Normal 5 3 2 2 2 4 4" xfId="23051" xr:uid="{00000000-0005-0000-0000-000037660000}"/>
    <cellStyle name="Normal 5 3 2 2 2 5" xfId="6132" xr:uid="{00000000-0005-0000-0000-000038660000}"/>
    <cellStyle name="Normal 5 3 2 2 2 5 2" xfId="15456" xr:uid="{00000000-0005-0000-0000-000039660000}"/>
    <cellStyle name="Normal 5 3 2 2 2 5 3" xfId="24779" xr:uid="{00000000-0005-0000-0000-00003A660000}"/>
    <cellStyle name="Normal 5 3 2 2 2 6" xfId="12172" xr:uid="{00000000-0005-0000-0000-00003B660000}"/>
    <cellStyle name="Normal 5 3 2 2 2 7" xfId="21498" xr:uid="{00000000-0005-0000-0000-00003C660000}"/>
    <cellStyle name="Normal 5 3 2 2 3" xfId="2717" xr:uid="{00000000-0005-0000-0000-00003D660000}"/>
    <cellStyle name="Normal 5 3 2 2 3 2" xfId="2718" xr:uid="{00000000-0005-0000-0000-00003E660000}"/>
    <cellStyle name="Normal 5 3 2 2 3 2 2" xfId="4398" xr:uid="{00000000-0005-0000-0000-00003F660000}"/>
    <cellStyle name="Normal 5 3 2 2 3 2 2 2" xfId="9075" xr:uid="{00000000-0005-0000-0000-000040660000}"/>
    <cellStyle name="Normal 5 3 2 2 3 2 2 2 2" xfId="18399" xr:uid="{00000000-0005-0000-0000-000041660000}"/>
    <cellStyle name="Normal 5 3 2 2 3 2 2 2 3" xfId="27722" xr:uid="{00000000-0005-0000-0000-000042660000}"/>
    <cellStyle name="Normal 5 3 2 2 3 2 2 3" xfId="13732" xr:uid="{00000000-0005-0000-0000-000043660000}"/>
    <cellStyle name="Normal 5 3 2 2 3 2 2 4" xfId="23056" xr:uid="{00000000-0005-0000-0000-000044660000}"/>
    <cellStyle name="Normal 5 3 2 2 3 2 3" xfId="6137" xr:uid="{00000000-0005-0000-0000-000045660000}"/>
    <cellStyle name="Normal 5 3 2 2 3 2 3 2" xfId="15461" xr:uid="{00000000-0005-0000-0000-000046660000}"/>
    <cellStyle name="Normal 5 3 2 2 3 2 3 3" xfId="24784" xr:uid="{00000000-0005-0000-0000-000047660000}"/>
    <cellStyle name="Normal 5 3 2 2 3 2 4" xfId="12177" xr:uid="{00000000-0005-0000-0000-000048660000}"/>
    <cellStyle name="Normal 5 3 2 2 3 2 5" xfId="21503" xr:uid="{00000000-0005-0000-0000-000049660000}"/>
    <cellStyle name="Normal 5 3 2 2 3 3" xfId="4397" xr:uid="{00000000-0005-0000-0000-00004A660000}"/>
    <cellStyle name="Normal 5 3 2 2 3 3 2" xfId="9074" xr:uid="{00000000-0005-0000-0000-00004B660000}"/>
    <cellStyle name="Normal 5 3 2 2 3 3 2 2" xfId="18398" xr:uid="{00000000-0005-0000-0000-00004C660000}"/>
    <cellStyle name="Normal 5 3 2 2 3 3 2 3" xfId="27721" xr:uid="{00000000-0005-0000-0000-00004D660000}"/>
    <cellStyle name="Normal 5 3 2 2 3 3 3" xfId="13731" xr:uid="{00000000-0005-0000-0000-00004E660000}"/>
    <cellStyle name="Normal 5 3 2 2 3 3 4" xfId="23055" xr:uid="{00000000-0005-0000-0000-00004F660000}"/>
    <cellStyle name="Normal 5 3 2 2 3 4" xfId="6136" xr:uid="{00000000-0005-0000-0000-000050660000}"/>
    <cellStyle name="Normal 5 3 2 2 3 4 2" xfId="15460" xr:uid="{00000000-0005-0000-0000-000051660000}"/>
    <cellStyle name="Normal 5 3 2 2 3 4 3" xfId="24783" xr:uid="{00000000-0005-0000-0000-000052660000}"/>
    <cellStyle name="Normal 5 3 2 2 3 5" xfId="12176" xr:uid="{00000000-0005-0000-0000-000053660000}"/>
    <cellStyle name="Normal 5 3 2 2 3 6" xfId="21502" xr:uid="{00000000-0005-0000-0000-000054660000}"/>
    <cellStyle name="Normal 5 3 2 2 4" xfId="2719" xr:uid="{00000000-0005-0000-0000-000055660000}"/>
    <cellStyle name="Normal 5 3 2 2 4 2" xfId="4399" xr:uid="{00000000-0005-0000-0000-000056660000}"/>
    <cellStyle name="Normal 5 3 2 2 4 2 2" xfId="9076" xr:uid="{00000000-0005-0000-0000-000057660000}"/>
    <cellStyle name="Normal 5 3 2 2 4 2 2 2" xfId="18400" xr:uid="{00000000-0005-0000-0000-000058660000}"/>
    <cellStyle name="Normal 5 3 2 2 4 2 2 3" xfId="27723" xr:uid="{00000000-0005-0000-0000-000059660000}"/>
    <cellStyle name="Normal 5 3 2 2 4 2 3" xfId="13733" xr:uid="{00000000-0005-0000-0000-00005A660000}"/>
    <cellStyle name="Normal 5 3 2 2 4 2 4" xfId="23057" xr:uid="{00000000-0005-0000-0000-00005B660000}"/>
    <cellStyle name="Normal 5 3 2 2 4 3" xfId="6138" xr:uid="{00000000-0005-0000-0000-00005C660000}"/>
    <cellStyle name="Normal 5 3 2 2 4 3 2" xfId="15462" xr:uid="{00000000-0005-0000-0000-00005D660000}"/>
    <cellStyle name="Normal 5 3 2 2 4 3 3" xfId="24785" xr:uid="{00000000-0005-0000-0000-00005E660000}"/>
    <cellStyle name="Normal 5 3 2 2 4 4" xfId="12178" xr:uid="{00000000-0005-0000-0000-00005F660000}"/>
    <cellStyle name="Normal 5 3 2 2 4 5" xfId="21504" xr:uid="{00000000-0005-0000-0000-000060660000}"/>
    <cellStyle name="Normal 5 3 2 2 5" xfId="2720" xr:uid="{00000000-0005-0000-0000-000061660000}"/>
    <cellStyle name="Normal 5 3 2 2 5 2" xfId="4400" xr:uid="{00000000-0005-0000-0000-000062660000}"/>
    <cellStyle name="Normal 5 3 2 2 5 2 2" xfId="9077" xr:uid="{00000000-0005-0000-0000-000063660000}"/>
    <cellStyle name="Normal 5 3 2 2 5 2 2 2" xfId="18401" xr:uid="{00000000-0005-0000-0000-000064660000}"/>
    <cellStyle name="Normal 5 3 2 2 5 2 2 3" xfId="27724" xr:uid="{00000000-0005-0000-0000-000065660000}"/>
    <cellStyle name="Normal 5 3 2 2 5 2 3" xfId="13734" xr:uid="{00000000-0005-0000-0000-000066660000}"/>
    <cellStyle name="Normal 5 3 2 2 5 2 4" xfId="23058" xr:uid="{00000000-0005-0000-0000-000067660000}"/>
    <cellStyle name="Normal 5 3 2 2 5 3" xfId="6139" xr:uid="{00000000-0005-0000-0000-000068660000}"/>
    <cellStyle name="Normal 5 3 2 2 5 3 2" xfId="15463" xr:uid="{00000000-0005-0000-0000-000069660000}"/>
    <cellStyle name="Normal 5 3 2 2 5 3 3" xfId="24786" xr:uid="{00000000-0005-0000-0000-00006A660000}"/>
    <cellStyle name="Normal 5 3 2 2 5 4" xfId="12179" xr:uid="{00000000-0005-0000-0000-00006B660000}"/>
    <cellStyle name="Normal 5 3 2 2 5 5" xfId="21505" xr:uid="{00000000-0005-0000-0000-00006C660000}"/>
    <cellStyle name="Normal 5 3 2 2 6" xfId="2721" xr:uid="{00000000-0005-0000-0000-00006D660000}"/>
    <cellStyle name="Normal 5 3 2 2 6 2" xfId="4401" xr:uid="{00000000-0005-0000-0000-00006E660000}"/>
    <cellStyle name="Normal 5 3 2 2 6 2 2" xfId="9078" xr:uid="{00000000-0005-0000-0000-00006F660000}"/>
    <cellStyle name="Normal 5 3 2 2 6 2 2 2" xfId="18402" xr:uid="{00000000-0005-0000-0000-000070660000}"/>
    <cellStyle name="Normal 5 3 2 2 6 2 2 3" xfId="27725" xr:uid="{00000000-0005-0000-0000-000071660000}"/>
    <cellStyle name="Normal 5 3 2 2 6 2 3" xfId="13735" xr:uid="{00000000-0005-0000-0000-000072660000}"/>
    <cellStyle name="Normal 5 3 2 2 6 2 4" xfId="23059" xr:uid="{00000000-0005-0000-0000-000073660000}"/>
    <cellStyle name="Normal 5 3 2 2 6 3" xfId="6140" xr:uid="{00000000-0005-0000-0000-000074660000}"/>
    <cellStyle name="Normal 5 3 2 2 6 3 2" xfId="15464" xr:uid="{00000000-0005-0000-0000-000075660000}"/>
    <cellStyle name="Normal 5 3 2 2 6 3 3" xfId="24787" xr:uid="{00000000-0005-0000-0000-000076660000}"/>
    <cellStyle name="Normal 5 3 2 2 6 4" xfId="12180" xr:uid="{00000000-0005-0000-0000-000077660000}"/>
    <cellStyle name="Normal 5 3 2 2 6 5" xfId="21506" xr:uid="{00000000-0005-0000-0000-000078660000}"/>
    <cellStyle name="Normal 5 3 2 2 7" xfId="2712" xr:uid="{00000000-0005-0000-0000-000079660000}"/>
    <cellStyle name="Normal 5 3 2 2 7 2" xfId="7554" xr:uid="{00000000-0005-0000-0000-00007A660000}"/>
    <cellStyle name="Normal 5 3 2 2 7 2 2" xfId="16878" xr:uid="{00000000-0005-0000-0000-00007B660000}"/>
    <cellStyle name="Normal 5 3 2 2 7 2 3" xfId="26201" xr:uid="{00000000-0005-0000-0000-00007C660000}"/>
    <cellStyle name="Normal 5 3 2 2 7 3" xfId="12171" xr:uid="{00000000-0005-0000-0000-00007D660000}"/>
    <cellStyle name="Normal 5 3 2 2 7 4" xfId="21497" xr:uid="{00000000-0005-0000-0000-00007E660000}"/>
    <cellStyle name="Normal 5 3 2 2 8" xfId="4392" xr:uid="{00000000-0005-0000-0000-00007F660000}"/>
    <cellStyle name="Normal 5 3 2 2 8 2" xfId="9069" xr:uid="{00000000-0005-0000-0000-000080660000}"/>
    <cellStyle name="Normal 5 3 2 2 8 2 2" xfId="18393" xr:uid="{00000000-0005-0000-0000-000081660000}"/>
    <cellStyle name="Normal 5 3 2 2 8 2 3" xfId="27716" xr:uid="{00000000-0005-0000-0000-000082660000}"/>
    <cellStyle name="Normal 5 3 2 2 8 3" xfId="13726" xr:uid="{00000000-0005-0000-0000-000083660000}"/>
    <cellStyle name="Normal 5 3 2 2 8 4" xfId="23050" xr:uid="{00000000-0005-0000-0000-000084660000}"/>
    <cellStyle name="Normal 5 3 2 2 9" xfId="6131" xr:uid="{00000000-0005-0000-0000-000085660000}"/>
    <cellStyle name="Normal 5 3 2 2 9 2" xfId="15455" xr:uid="{00000000-0005-0000-0000-000086660000}"/>
    <cellStyle name="Normal 5 3 2 2 9 3" xfId="24778" xr:uid="{00000000-0005-0000-0000-000087660000}"/>
    <cellStyle name="Normal 5 3 2 3" xfId="2722" xr:uid="{00000000-0005-0000-0000-000088660000}"/>
    <cellStyle name="Normal 5 3 2 4" xfId="2723" xr:uid="{00000000-0005-0000-0000-000089660000}"/>
    <cellStyle name="Normal 5 3 2 4 2" xfId="2724" xr:uid="{00000000-0005-0000-0000-00008A660000}"/>
    <cellStyle name="Normal 5 3 2 4 2 2" xfId="4403" xr:uid="{00000000-0005-0000-0000-00008B660000}"/>
    <cellStyle name="Normal 5 3 2 4 2 2 2" xfId="9080" xr:uid="{00000000-0005-0000-0000-00008C660000}"/>
    <cellStyle name="Normal 5 3 2 4 2 2 2 2" xfId="18404" xr:uid="{00000000-0005-0000-0000-00008D660000}"/>
    <cellStyle name="Normal 5 3 2 4 2 2 2 3" xfId="27727" xr:uid="{00000000-0005-0000-0000-00008E660000}"/>
    <cellStyle name="Normal 5 3 2 4 2 2 3" xfId="13737" xr:uid="{00000000-0005-0000-0000-00008F660000}"/>
    <cellStyle name="Normal 5 3 2 4 2 2 4" xfId="23061" xr:uid="{00000000-0005-0000-0000-000090660000}"/>
    <cellStyle name="Normal 5 3 2 4 2 3" xfId="6143" xr:uid="{00000000-0005-0000-0000-000091660000}"/>
    <cellStyle name="Normal 5 3 2 4 2 3 2" xfId="15467" xr:uid="{00000000-0005-0000-0000-000092660000}"/>
    <cellStyle name="Normal 5 3 2 4 2 3 3" xfId="24790" xr:uid="{00000000-0005-0000-0000-000093660000}"/>
    <cellStyle name="Normal 5 3 2 4 2 4" xfId="12182" xr:uid="{00000000-0005-0000-0000-000094660000}"/>
    <cellStyle name="Normal 5 3 2 4 2 5" xfId="21508" xr:uid="{00000000-0005-0000-0000-000095660000}"/>
    <cellStyle name="Normal 5 3 2 4 3" xfId="4402" xr:uid="{00000000-0005-0000-0000-000096660000}"/>
    <cellStyle name="Normal 5 3 2 4 3 2" xfId="9079" xr:uid="{00000000-0005-0000-0000-000097660000}"/>
    <cellStyle name="Normal 5 3 2 4 3 2 2" xfId="18403" xr:uid="{00000000-0005-0000-0000-000098660000}"/>
    <cellStyle name="Normal 5 3 2 4 3 2 3" xfId="27726" xr:uid="{00000000-0005-0000-0000-000099660000}"/>
    <cellStyle name="Normal 5 3 2 4 3 3" xfId="13736" xr:uid="{00000000-0005-0000-0000-00009A660000}"/>
    <cellStyle name="Normal 5 3 2 4 3 4" xfId="23060" xr:uid="{00000000-0005-0000-0000-00009B660000}"/>
    <cellStyle name="Normal 5 3 2 4 4" xfId="6142" xr:uid="{00000000-0005-0000-0000-00009C660000}"/>
    <cellStyle name="Normal 5 3 2 4 4 2" xfId="15466" xr:uid="{00000000-0005-0000-0000-00009D660000}"/>
    <cellStyle name="Normal 5 3 2 4 4 3" xfId="24789" xr:uid="{00000000-0005-0000-0000-00009E660000}"/>
    <cellStyle name="Normal 5 3 2 4 5" xfId="12181" xr:uid="{00000000-0005-0000-0000-00009F660000}"/>
    <cellStyle name="Normal 5 3 2 4 6" xfId="21507" xr:uid="{00000000-0005-0000-0000-0000A0660000}"/>
    <cellStyle name="Normal 5 3 2 5" xfId="2725" xr:uid="{00000000-0005-0000-0000-0000A1660000}"/>
    <cellStyle name="Normal 5 3 2 5 2" xfId="4404" xr:uid="{00000000-0005-0000-0000-0000A2660000}"/>
    <cellStyle name="Normal 5 3 2 5 2 2" xfId="9081" xr:uid="{00000000-0005-0000-0000-0000A3660000}"/>
    <cellStyle name="Normal 5 3 2 5 2 2 2" xfId="18405" xr:uid="{00000000-0005-0000-0000-0000A4660000}"/>
    <cellStyle name="Normal 5 3 2 5 2 2 3" xfId="27728" xr:uid="{00000000-0005-0000-0000-0000A5660000}"/>
    <cellStyle name="Normal 5 3 2 5 2 3" xfId="13738" xr:uid="{00000000-0005-0000-0000-0000A6660000}"/>
    <cellStyle name="Normal 5 3 2 5 2 4" xfId="23062" xr:uid="{00000000-0005-0000-0000-0000A7660000}"/>
    <cellStyle name="Normal 5 3 2 5 3" xfId="6144" xr:uid="{00000000-0005-0000-0000-0000A8660000}"/>
    <cellStyle name="Normal 5 3 2 5 3 2" xfId="15468" xr:uid="{00000000-0005-0000-0000-0000A9660000}"/>
    <cellStyle name="Normal 5 3 2 5 3 3" xfId="24791" xr:uid="{00000000-0005-0000-0000-0000AA660000}"/>
    <cellStyle name="Normal 5 3 2 5 4" xfId="12183" xr:uid="{00000000-0005-0000-0000-0000AB660000}"/>
    <cellStyle name="Normal 5 3 2 5 5" xfId="21509" xr:uid="{00000000-0005-0000-0000-0000AC660000}"/>
    <cellStyle name="Normal 5 3 2 6" xfId="2711" xr:uid="{00000000-0005-0000-0000-0000AD660000}"/>
    <cellStyle name="Normal 5 3 2 6 2" xfId="7553" xr:uid="{00000000-0005-0000-0000-0000AE660000}"/>
    <cellStyle name="Normal 5 3 2 6 2 2" xfId="16877" xr:uid="{00000000-0005-0000-0000-0000AF660000}"/>
    <cellStyle name="Normal 5 3 2 6 2 3" xfId="26200" xr:uid="{00000000-0005-0000-0000-0000B0660000}"/>
    <cellStyle name="Normal 5 3 2 6 3" xfId="12170" xr:uid="{00000000-0005-0000-0000-0000B1660000}"/>
    <cellStyle name="Normal 5 3 2 6 4" xfId="21496" xr:uid="{00000000-0005-0000-0000-0000B2660000}"/>
    <cellStyle name="Normal 5 3 2 7" xfId="4391" xr:uid="{00000000-0005-0000-0000-0000B3660000}"/>
    <cellStyle name="Normal 5 3 2 7 2" xfId="9068" xr:uid="{00000000-0005-0000-0000-0000B4660000}"/>
    <cellStyle name="Normal 5 3 2 7 2 2" xfId="18392" xr:uid="{00000000-0005-0000-0000-0000B5660000}"/>
    <cellStyle name="Normal 5 3 2 7 2 3" xfId="27715" xr:uid="{00000000-0005-0000-0000-0000B6660000}"/>
    <cellStyle name="Normal 5 3 2 7 3" xfId="13725" xr:uid="{00000000-0005-0000-0000-0000B7660000}"/>
    <cellStyle name="Normal 5 3 2 7 4" xfId="23049" xr:uid="{00000000-0005-0000-0000-0000B8660000}"/>
    <cellStyle name="Normal 5 3 2 8" xfId="6130" xr:uid="{00000000-0005-0000-0000-0000B9660000}"/>
    <cellStyle name="Normal 5 3 2 8 2" xfId="15454" xr:uid="{00000000-0005-0000-0000-0000BA660000}"/>
    <cellStyle name="Normal 5 3 2 8 3" xfId="24777" xr:uid="{00000000-0005-0000-0000-0000BB660000}"/>
    <cellStyle name="Normal 5 3 2 9" xfId="9667" xr:uid="{00000000-0005-0000-0000-0000BC660000}"/>
    <cellStyle name="Normal 5 3 2 9 2" xfId="18991" xr:uid="{00000000-0005-0000-0000-0000BD660000}"/>
    <cellStyle name="Normal 5 3 2 9 3" xfId="28314" xr:uid="{00000000-0005-0000-0000-0000BE660000}"/>
    <cellStyle name="Normal 5 3 3" xfId="804" xr:uid="{00000000-0005-0000-0000-0000BF660000}"/>
    <cellStyle name="Normal 5 3 3 2" xfId="2727" xr:uid="{00000000-0005-0000-0000-0000C0660000}"/>
    <cellStyle name="Normal 5 3 3 2 2" xfId="2728" xr:uid="{00000000-0005-0000-0000-0000C1660000}"/>
    <cellStyle name="Normal 5 3 3 2 2 2" xfId="4407" xr:uid="{00000000-0005-0000-0000-0000C2660000}"/>
    <cellStyle name="Normal 5 3 3 2 2 2 2" xfId="9084" xr:uid="{00000000-0005-0000-0000-0000C3660000}"/>
    <cellStyle name="Normal 5 3 3 2 2 2 2 2" xfId="18408" xr:uid="{00000000-0005-0000-0000-0000C4660000}"/>
    <cellStyle name="Normal 5 3 3 2 2 2 2 3" xfId="27731" xr:uid="{00000000-0005-0000-0000-0000C5660000}"/>
    <cellStyle name="Normal 5 3 3 2 2 2 3" xfId="13741" xr:uid="{00000000-0005-0000-0000-0000C6660000}"/>
    <cellStyle name="Normal 5 3 3 2 2 2 4" xfId="23065" xr:uid="{00000000-0005-0000-0000-0000C7660000}"/>
    <cellStyle name="Normal 5 3 3 2 2 3" xfId="6147" xr:uid="{00000000-0005-0000-0000-0000C8660000}"/>
    <cellStyle name="Normal 5 3 3 2 2 3 2" xfId="15471" xr:uid="{00000000-0005-0000-0000-0000C9660000}"/>
    <cellStyle name="Normal 5 3 3 2 2 3 3" xfId="24794" xr:uid="{00000000-0005-0000-0000-0000CA660000}"/>
    <cellStyle name="Normal 5 3 3 2 2 4" xfId="12186" xr:uid="{00000000-0005-0000-0000-0000CB660000}"/>
    <cellStyle name="Normal 5 3 3 2 2 5" xfId="21512" xr:uid="{00000000-0005-0000-0000-0000CC660000}"/>
    <cellStyle name="Normal 5 3 3 2 3" xfId="4406" xr:uid="{00000000-0005-0000-0000-0000CD660000}"/>
    <cellStyle name="Normal 5 3 3 2 3 2" xfId="9083" xr:uid="{00000000-0005-0000-0000-0000CE660000}"/>
    <cellStyle name="Normal 5 3 3 2 3 2 2" xfId="18407" xr:uid="{00000000-0005-0000-0000-0000CF660000}"/>
    <cellStyle name="Normal 5 3 3 2 3 2 3" xfId="27730" xr:uid="{00000000-0005-0000-0000-0000D0660000}"/>
    <cellStyle name="Normal 5 3 3 2 3 3" xfId="13740" xr:uid="{00000000-0005-0000-0000-0000D1660000}"/>
    <cellStyle name="Normal 5 3 3 2 3 4" xfId="23064" xr:uid="{00000000-0005-0000-0000-0000D2660000}"/>
    <cellStyle name="Normal 5 3 3 2 4" xfId="6146" xr:uid="{00000000-0005-0000-0000-0000D3660000}"/>
    <cellStyle name="Normal 5 3 3 2 4 2" xfId="15470" xr:uid="{00000000-0005-0000-0000-0000D4660000}"/>
    <cellStyle name="Normal 5 3 3 2 4 3" xfId="24793" xr:uid="{00000000-0005-0000-0000-0000D5660000}"/>
    <cellStyle name="Normal 5 3 3 2 5" xfId="12185" xr:uid="{00000000-0005-0000-0000-0000D6660000}"/>
    <cellStyle name="Normal 5 3 3 2 6" xfId="21511" xr:uid="{00000000-0005-0000-0000-0000D7660000}"/>
    <cellStyle name="Normal 5 3 3 3" xfId="2729" xr:uid="{00000000-0005-0000-0000-0000D8660000}"/>
    <cellStyle name="Normal 5 3 3 3 2" xfId="4408" xr:uid="{00000000-0005-0000-0000-0000D9660000}"/>
    <cellStyle name="Normal 5 3 3 3 2 2" xfId="9085" xr:uid="{00000000-0005-0000-0000-0000DA660000}"/>
    <cellStyle name="Normal 5 3 3 3 2 2 2" xfId="18409" xr:uid="{00000000-0005-0000-0000-0000DB660000}"/>
    <cellStyle name="Normal 5 3 3 3 2 2 3" xfId="27732" xr:uid="{00000000-0005-0000-0000-0000DC660000}"/>
    <cellStyle name="Normal 5 3 3 3 2 3" xfId="13742" xr:uid="{00000000-0005-0000-0000-0000DD660000}"/>
    <cellStyle name="Normal 5 3 3 3 2 4" xfId="23066" xr:uid="{00000000-0005-0000-0000-0000DE660000}"/>
    <cellStyle name="Normal 5 3 3 3 3" xfId="6148" xr:uid="{00000000-0005-0000-0000-0000DF660000}"/>
    <cellStyle name="Normal 5 3 3 3 3 2" xfId="15472" xr:uid="{00000000-0005-0000-0000-0000E0660000}"/>
    <cellStyle name="Normal 5 3 3 3 3 3" xfId="24795" xr:uid="{00000000-0005-0000-0000-0000E1660000}"/>
    <cellStyle name="Normal 5 3 3 3 4" xfId="12187" xr:uid="{00000000-0005-0000-0000-0000E2660000}"/>
    <cellStyle name="Normal 5 3 3 3 5" xfId="21513" xr:uid="{00000000-0005-0000-0000-0000E3660000}"/>
    <cellStyle name="Normal 5 3 3 4" xfId="2726" xr:uid="{00000000-0005-0000-0000-0000E4660000}"/>
    <cellStyle name="Normal 5 3 3 4 2" xfId="7555" xr:uid="{00000000-0005-0000-0000-0000E5660000}"/>
    <cellStyle name="Normal 5 3 3 4 2 2" xfId="16879" xr:uid="{00000000-0005-0000-0000-0000E6660000}"/>
    <cellStyle name="Normal 5 3 3 4 2 3" xfId="26202" xr:uid="{00000000-0005-0000-0000-0000E7660000}"/>
    <cellStyle name="Normal 5 3 3 4 3" xfId="12184" xr:uid="{00000000-0005-0000-0000-0000E8660000}"/>
    <cellStyle name="Normal 5 3 3 4 4" xfId="21510" xr:uid="{00000000-0005-0000-0000-0000E9660000}"/>
    <cellStyle name="Normal 5 3 3 5" xfId="4405" xr:uid="{00000000-0005-0000-0000-0000EA660000}"/>
    <cellStyle name="Normal 5 3 3 5 2" xfId="9082" xr:uid="{00000000-0005-0000-0000-0000EB660000}"/>
    <cellStyle name="Normal 5 3 3 5 2 2" xfId="18406" xr:uid="{00000000-0005-0000-0000-0000EC660000}"/>
    <cellStyle name="Normal 5 3 3 5 2 3" xfId="27729" xr:uid="{00000000-0005-0000-0000-0000ED660000}"/>
    <cellStyle name="Normal 5 3 3 5 3" xfId="13739" xr:uid="{00000000-0005-0000-0000-0000EE660000}"/>
    <cellStyle name="Normal 5 3 3 5 4" xfId="23063" xr:uid="{00000000-0005-0000-0000-0000EF660000}"/>
    <cellStyle name="Normal 5 3 3 6" xfId="6145" xr:uid="{00000000-0005-0000-0000-0000F0660000}"/>
    <cellStyle name="Normal 5 3 3 6 2" xfId="15469" xr:uid="{00000000-0005-0000-0000-0000F1660000}"/>
    <cellStyle name="Normal 5 3 3 6 3" xfId="24792" xr:uid="{00000000-0005-0000-0000-0000F2660000}"/>
    <cellStyle name="Normal 5 3 3 7" xfId="10405" xr:uid="{00000000-0005-0000-0000-0000F3660000}"/>
    <cellStyle name="Normal 5 3 3 8" xfId="19729" xr:uid="{00000000-0005-0000-0000-0000F4660000}"/>
    <cellStyle name="Normal 5 3 4" xfId="2730" xr:uid="{00000000-0005-0000-0000-0000F5660000}"/>
    <cellStyle name="Normal 5 3 4 2" xfId="2731" xr:uid="{00000000-0005-0000-0000-0000F6660000}"/>
    <cellStyle name="Normal 5 3 4 2 2" xfId="2732" xr:uid="{00000000-0005-0000-0000-0000F7660000}"/>
    <cellStyle name="Normal 5 3 4 2 2 2" xfId="4411" xr:uid="{00000000-0005-0000-0000-0000F8660000}"/>
    <cellStyle name="Normal 5 3 4 2 2 2 2" xfId="9088" xr:uid="{00000000-0005-0000-0000-0000F9660000}"/>
    <cellStyle name="Normal 5 3 4 2 2 2 2 2" xfId="18412" xr:uid="{00000000-0005-0000-0000-0000FA660000}"/>
    <cellStyle name="Normal 5 3 4 2 2 2 2 3" xfId="27735" xr:uid="{00000000-0005-0000-0000-0000FB660000}"/>
    <cellStyle name="Normal 5 3 4 2 2 2 3" xfId="13745" xr:uid="{00000000-0005-0000-0000-0000FC660000}"/>
    <cellStyle name="Normal 5 3 4 2 2 2 4" xfId="23069" xr:uid="{00000000-0005-0000-0000-0000FD660000}"/>
    <cellStyle name="Normal 5 3 4 2 2 3" xfId="6151" xr:uid="{00000000-0005-0000-0000-0000FE660000}"/>
    <cellStyle name="Normal 5 3 4 2 2 3 2" xfId="15475" xr:uid="{00000000-0005-0000-0000-0000FF660000}"/>
    <cellStyle name="Normal 5 3 4 2 2 3 3" xfId="24798" xr:uid="{00000000-0005-0000-0000-000000670000}"/>
    <cellStyle name="Normal 5 3 4 2 2 4" xfId="12190" xr:uid="{00000000-0005-0000-0000-000001670000}"/>
    <cellStyle name="Normal 5 3 4 2 2 5" xfId="21516" xr:uid="{00000000-0005-0000-0000-000002670000}"/>
    <cellStyle name="Normal 5 3 4 2 3" xfId="4410" xr:uid="{00000000-0005-0000-0000-000003670000}"/>
    <cellStyle name="Normal 5 3 4 2 3 2" xfId="9087" xr:uid="{00000000-0005-0000-0000-000004670000}"/>
    <cellStyle name="Normal 5 3 4 2 3 2 2" xfId="18411" xr:uid="{00000000-0005-0000-0000-000005670000}"/>
    <cellStyle name="Normal 5 3 4 2 3 2 3" xfId="27734" xr:uid="{00000000-0005-0000-0000-000006670000}"/>
    <cellStyle name="Normal 5 3 4 2 3 3" xfId="13744" xr:uid="{00000000-0005-0000-0000-000007670000}"/>
    <cellStyle name="Normal 5 3 4 2 3 4" xfId="23068" xr:uid="{00000000-0005-0000-0000-000008670000}"/>
    <cellStyle name="Normal 5 3 4 2 4" xfId="6150" xr:uid="{00000000-0005-0000-0000-000009670000}"/>
    <cellStyle name="Normal 5 3 4 2 4 2" xfId="15474" xr:uid="{00000000-0005-0000-0000-00000A670000}"/>
    <cellStyle name="Normal 5 3 4 2 4 3" xfId="24797" xr:uid="{00000000-0005-0000-0000-00000B670000}"/>
    <cellStyle name="Normal 5 3 4 2 5" xfId="12189" xr:uid="{00000000-0005-0000-0000-00000C670000}"/>
    <cellStyle name="Normal 5 3 4 2 6" xfId="21515" xr:uid="{00000000-0005-0000-0000-00000D670000}"/>
    <cellStyle name="Normal 5 3 4 3" xfId="2733" xr:uid="{00000000-0005-0000-0000-00000E670000}"/>
    <cellStyle name="Normal 5 3 4 3 2" xfId="4412" xr:uid="{00000000-0005-0000-0000-00000F670000}"/>
    <cellStyle name="Normal 5 3 4 3 2 2" xfId="9089" xr:uid="{00000000-0005-0000-0000-000010670000}"/>
    <cellStyle name="Normal 5 3 4 3 2 2 2" xfId="18413" xr:uid="{00000000-0005-0000-0000-000011670000}"/>
    <cellStyle name="Normal 5 3 4 3 2 2 3" xfId="27736" xr:uid="{00000000-0005-0000-0000-000012670000}"/>
    <cellStyle name="Normal 5 3 4 3 2 3" xfId="13746" xr:uid="{00000000-0005-0000-0000-000013670000}"/>
    <cellStyle name="Normal 5 3 4 3 2 4" xfId="23070" xr:uid="{00000000-0005-0000-0000-000014670000}"/>
    <cellStyle name="Normal 5 3 4 3 3" xfId="6152" xr:uid="{00000000-0005-0000-0000-000015670000}"/>
    <cellStyle name="Normal 5 3 4 3 3 2" xfId="15476" xr:uid="{00000000-0005-0000-0000-000016670000}"/>
    <cellStyle name="Normal 5 3 4 3 3 3" xfId="24799" xr:uid="{00000000-0005-0000-0000-000017670000}"/>
    <cellStyle name="Normal 5 3 4 3 4" xfId="12191" xr:uid="{00000000-0005-0000-0000-000018670000}"/>
    <cellStyle name="Normal 5 3 4 3 5" xfId="21517" xr:uid="{00000000-0005-0000-0000-000019670000}"/>
    <cellStyle name="Normal 5 3 4 4" xfId="4409" xr:uid="{00000000-0005-0000-0000-00001A670000}"/>
    <cellStyle name="Normal 5 3 4 4 2" xfId="9086" xr:uid="{00000000-0005-0000-0000-00001B670000}"/>
    <cellStyle name="Normal 5 3 4 4 2 2" xfId="18410" xr:uid="{00000000-0005-0000-0000-00001C670000}"/>
    <cellStyle name="Normal 5 3 4 4 2 3" xfId="27733" xr:uid="{00000000-0005-0000-0000-00001D670000}"/>
    <cellStyle name="Normal 5 3 4 4 3" xfId="13743" xr:uid="{00000000-0005-0000-0000-00001E670000}"/>
    <cellStyle name="Normal 5 3 4 4 4" xfId="23067" xr:uid="{00000000-0005-0000-0000-00001F670000}"/>
    <cellStyle name="Normal 5 3 4 5" xfId="6149" xr:uid="{00000000-0005-0000-0000-000020670000}"/>
    <cellStyle name="Normal 5 3 4 5 2" xfId="15473" xr:uid="{00000000-0005-0000-0000-000021670000}"/>
    <cellStyle name="Normal 5 3 4 5 3" xfId="24796" xr:uid="{00000000-0005-0000-0000-000022670000}"/>
    <cellStyle name="Normal 5 3 4 6" xfId="12188" xr:uid="{00000000-0005-0000-0000-000023670000}"/>
    <cellStyle name="Normal 5 3 4 7" xfId="21514" xr:uid="{00000000-0005-0000-0000-000024670000}"/>
    <cellStyle name="Normal 5 3 5" xfId="2734" xr:uid="{00000000-0005-0000-0000-000025670000}"/>
    <cellStyle name="Normal 5 3 5 2" xfId="2735" xr:uid="{00000000-0005-0000-0000-000026670000}"/>
    <cellStyle name="Normal 5 3 5 2 2" xfId="4414" xr:uid="{00000000-0005-0000-0000-000027670000}"/>
    <cellStyle name="Normal 5 3 5 2 2 2" xfId="9091" xr:uid="{00000000-0005-0000-0000-000028670000}"/>
    <cellStyle name="Normal 5 3 5 2 2 2 2" xfId="18415" xr:uid="{00000000-0005-0000-0000-000029670000}"/>
    <cellStyle name="Normal 5 3 5 2 2 2 3" xfId="27738" xr:uid="{00000000-0005-0000-0000-00002A670000}"/>
    <cellStyle name="Normal 5 3 5 2 2 3" xfId="13748" xr:uid="{00000000-0005-0000-0000-00002B670000}"/>
    <cellStyle name="Normal 5 3 5 2 2 4" xfId="23072" xr:uid="{00000000-0005-0000-0000-00002C670000}"/>
    <cellStyle name="Normal 5 3 5 2 3" xfId="6154" xr:uid="{00000000-0005-0000-0000-00002D670000}"/>
    <cellStyle name="Normal 5 3 5 2 3 2" xfId="15478" xr:uid="{00000000-0005-0000-0000-00002E670000}"/>
    <cellStyle name="Normal 5 3 5 2 3 3" xfId="24801" xr:uid="{00000000-0005-0000-0000-00002F670000}"/>
    <cellStyle name="Normal 5 3 5 2 4" xfId="12193" xr:uid="{00000000-0005-0000-0000-000030670000}"/>
    <cellStyle name="Normal 5 3 5 2 5" xfId="21519" xr:uid="{00000000-0005-0000-0000-000031670000}"/>
    <cellStyle name="Normal 5 3 5 3" xfId="4413" xr:uid="{00000000-0005-0000-0000-000032670000}"/>
    <cellStyle name="Normal 5 3 5 3 2" xfId="9090" xr:uid="{00000000-0005-0000-0000-000033670000}"/>
    <cellStyle name="Normal 5 3 5 3 2 2" xfId="18414" xr:uid="{00000000-0005-0000-0000-000034670000}"/>
    <cellStyle name="Normal 5 3 5 3 2 3" xfId="27737" xr:uid="{00000000-0005-0000-0000-000035670000}"/>
    <cellStyle name="Normal 5 3 5 3 3" xfId="13747" xr:uid="{00000000-0005-0000-0000-000036670000}"/>
    <cellStyle name="Normal 5 3 5 3 4" xfId="23071" xr:uid="{00000000-0005-0000-0000-000037670000}"/>
    <cellStyle name="Normal 5 3 5 4" xfId="6153" xr:uid="{00000000-0005-0000-0000-000038670000}"/>
    <cellStyle name="Normal 5 3 5 4 2" xfId="15477" xr:uid="{00000000-0005-0000-0000-000039670000}"/>
    <cellStyle name="Normal 5 3 5 4 3" xfId="24800" xr:uid="{00000000-0005-0000-0000-00003A670000}"/>
    <cellStyle name="Normal 5 3 5 5" xfId="12192" xr:uid="{00000000-0005-0000-0000-00003B670000}"/>
    <cellStyle name="Normal 5 3 5 6" xfId="21518" xr:uid="{00000000-0005-0000-0000-00003C670000}"/>
    <cellStyle name="Normal 5 3 6" xfId="2736" xr:uid="{00000000-0005-0000-0000-00003D670000}"/>
    <cellStyle name="Normal 5 3 6 2" xfId="4415" xr:uid="{00000000-0005-0000-0000-00003E670000}"/>
    <cellStyle name="Normal 5 3 6 2 2" xfId="9092" xr:uid="{00000000-0005-0000-0000-00003F670000}"/>
    <cellStyle name="Normal 5 3 6 2 2 2" xfId="18416" xr:uid="{00000000-0005-0000-0000-000040670000}"/>
    <cellStyle name="Normal 5 3 6 2 2 3" xfId="27739" xr:uid="{00000000-0005-0000-0000-000041670000}"/>
    <cellStyle name="Normal 5 3 6 2 3" xfId="13749" xr:uid="{00000000-0005-0000-0000-000042670000}"/>
    <cellStyle name="Normal 5 3 6 2 4" xfId="23073" xr:uid="{00000000-0005-0000-0000-000043670000}"/>
    <cellStyle name="Normal 5 3 6 3" xfId="6155" xr:uid="{00000000-0005-0000-0000-000044670000}"/>
    <cellStyle name="Normal 5 3 6 3 2" xfId="15479" xr:uid="{00000000-0005-0000-0000-000045670000}"/>
    <cellStyle name="Normal 5 3 6 3 3" xfId="24802" xr:uid="{00000000-0005-0000-0000-000046670000}"/>
    <cellStyle name="Normal 5 3 6 4" xfId="12194" xr:uid="{00000000-0005-0000-0000-000047670000}"/>
    <cellStyle name="Normal 5 3 6 5" xfId="21520" xr:uid="{00000000-0005-0000-0000-000048670000}"/>
    <cellStyle name="Normal 5 3 7" xfId="2737" xr:uid="{00000000-0005-0000-0000-000049670000}"/>
    <cellStyle name="Normal 5 3 7 2" xfId="4416" xr:uid="{00000000-0005-0000-0000-00004A670000}"/>
    <cellStyle name="Normal 5 3 7 2 2" xfId="9093" xr:uid="{00000000-0005-0000-0000-00004B670000}"/>
    <cellStyle name="Normal 5 3 7 2 2 2" xfId="18417" xr:uid="{00000000-0005-0000-0000-00004C670000}"/>
    <cellStyle name="Normal 5 3 7 2 2 3" xfId="27740" xr:uid="{00000000-0005-0000-0000-00004D670000}"/>
    <cellStyle name="Normal 5 3 7 2 3" xfId="13750" xr:uid="{00000000-0005-0000-0000-00004E670000}"/>
    <cellStyle name="Normal 5 3 7 2 4" xfId="23074" xr:uid="{00000000-0005-0000-0000-00004F670000}"/>
    <cellStyle name="Normal 5 3 7 3" xfId="6156" xr:uid="{00000000-0005-0000-0000-000050670000}"/>
    <cellStyle name="Normal 5 3 7 3 2" xfId="15480" xr:uid="{00000000-0005-0000-0000-000051670000}"/>
    <cellStyle name="Normal 5 3 7 3 3" xfId="24803" xr:uid="{00000000-0005-0000-0000-000052670000}"/>
    <cellStyle name="Normal 5 3 7 4" xfId="12195" xr:uid="{00000000-0005-0000-0000-000053670000}"/>
    <cellStyle name="Normal 5 3 7 5" xfId="21521" xr:uid="{00000000-0005-0000-0000-000054670000}"/>
    <cellStyle name="Normal 5 3 8" xfId="2738" xr:uid="{00000000-0005-0000-0000-000055670000}"/>
    <cellStyle name="Normal 5 3 8 2" xfId="4417" xr:uid="{00000000-0005-0000-0000-000056670000}"/>
    <cellStyle name="Normal 5 3 8 2 2" xfId="9094" xr:uid="{00000000-0005-0000-0000-000057670000}"/>
    <cellStyle name="Normal 5 3 8 2 2 2" xfId="18418" xr:uid="{00000000-0005-0000-0000-000058670000}"/>
    <cellStyle name="Normal 5 3 8 2 2 3" xfId="27741" xr:uid="{00000000-0005-0000-0000-000059670000}"/>
    <cellStyle name="Normal 5 3 8 2 3" xfId="13751" xr:uid="{00000000-0005-0000-0000-00005A670000}"/>
    <cellStyle name="Normal 5 3 8 2 4" xfId="23075" xr:uid="{00000000-0005-0000-0000-00005B670000}"/>
    <cellStyle name="Normal 5 3 8 3" xfId="6157" xr:uid="{00000000-0005-0000-0000-00005C670000}"/>
    <cellStyle name="Normal 5 3 8 3 2" xfId="15481" xr:uid="{00000000-0005-0000-0000-00005D670000}"/>
    <cellStyle name="Normal 5 3 8 3 3" xfId="24804" xr:uid="{00000000-0005-0000-0000-00005E670000}"/>
    <cellStyle name="Normal 5 3 8 4" xfId="12196" xr:uid="{00000000-0005-0000-0000-00005F670000}"/>
    <cellStyle name="Normal 5 3 8 5" xfId="21522" xr:uid="{00000000-0005-0000-0000-000060670000}"/>
    <cellStyle name="Normal 5 3 9" xfId="2710" xr:uid="{00000000-0005-0000-0000-000061670000}"/>
    <cellStyle name="Normal 5 3 9 2" xfId="7552" xr:uid="{00000000-0005-0000-0000-000062670000}"/>
    <cellStyle name="Normal 5 3 9 2 2" xfId="16876" xr:uid="{00000000-0005-0000-0000-000063670000}"/>
    <cellStyle name="Normal 5 3 9 2 3" xfId="26199" xr:uid="{00000000-0005-0000-0000-000064670000}"/>
    <cellStyle name="Normal 5 3 9 3" xfId="12169" xr:uid="{00000000-0005-0000-0000-000065670000}"/>
    <cellStyle name="Normal 5 3 9 4" xfId="21495" xr:uid="{00000000-0005-0000-0000-000066670000}"/>
    <cellStyle name="Normal 5 4" xfId="254" xr:uid="{00000000-0005-0000-0000-000067670000}"/>
    <cellStyle name="Normal 5 4 2" xfId="2740" xr:uid="{00000000-0005-0000-0000-000068670000}"/>
    <cellStyle name="Normal 5 4 2 10" xfId="21524" xr:uid="{00000000-0005-0000-0000-000069670000}"/>
    <cellStyle name="Normal 5 4 2 2" xfId="2741" xr:uid="{00000000-0005-0000-0000-00006A670000}"/>
    <cellStyle name="Normal 5 4 2 2 2" xfId="2742" xr:uid="{00000000-0005-0000-0000-00006B670000}"/>
    <cellStyle name="Normal 5 4 2 2 2 2" xfId="2743" xr:uid="{00000000-0005-0000-0000-00006C670000}"/>
    <cellStyle name="Normal 5 4 2 2 2 2 2" xfId="4422" xr:uid="{00000000-0005-0000-0000-00006D670000}"/>
    <cellStyle name="Normal 5 4 2 2 2 2 2 2" xfId="9099" xr:uid="{00000000-0005-0000-0000-00006E670000}"/>
    <cellStyle name="Normal 5 4 2 2 2 2 2 2 2" xfId="18423" xr:uid="{00000000-0005-0000-0000-00006F670000}"/>
    <cellStyle name="Normal 5 4 2 2 2 2 2 2 3" xfId="27746" xr:uid="{00000000-0005-0000-0000-000070670000}"/>
    <cellStyle name="Normal 5 4 2 2 2 2 2 3" xfId="13756" xr:uid="{00000000-0005-0000-0000-000071670000}"/>
    <cellStyle name="Normal 5 4 2 2 2 2 2 4" xfId="23080" xr:uid="{00000000-0005-0000-0000-000072670000}"/>
    <cellStyle name="Normal 5 4 2 2 2 2 3" xfId="6162" xr:uid="{00000000-0005-0000-0000-000073670000}"/>
    <cellStyle name="Normal 5 4 2 2 2 2 3 2" xfId="15486" xr:uid="{00000000-0005-0000-0000-000074670000}"/>
    <cellStyle name="Normal 5 4 2 2 2 2 3 3" xfId="24809" xr:uid="{00000000-0005-0000-0000-000075670000}"/>
    <cellStyle name="Normal 5 4 2 2 2 2 4" xfId="12201" xr:uid="{00000000-0005-0000-0000-000076670000}"/>
    <cellStyle name="Normal 5 4 2 2 2 2 5" xfId="21527" xr:uid="{00000000-0005-0000-0000-000077670000}"/>
    <cellStyle name="Normal 5 4 2 2 2 3" xfId="4421" xr:uid="{00000000-0005-0000-0000-000078670000}"/>
    <cellStyle name="Normal 5 4 2 2 2 3 2" xfId="9098" xr:uid="{00000000-0005-0000-0000-000079670000}"/>
    <cellStyle name="Normal 5 4 2 2 2 3 2 2" xfId="18422" xr:uid="{00000000-0005-0000-0000-00007A670000}"/>
    <cellStyle name="Normal 5 4 2 2 2 3 2 3" xfId="27745" xr:uid="{00000000-0005-0000-0000-00007B670000}"/>
    <cellStyle name="Normal 5 4 2 2 2 3 3" xfId="13755" xr:uid="{00000000-0005-0000-0000-00007C670000}"/>
    <cellStyle name="Normal 5 4 2 2 2 3 4" xfId="23079" xr:uid="{00000000-0005-0000-0000-00007D670000}"/>
    <cellStyle name="Normal 5 4 2 2 2 4" xfId="6161" xr:uid="{00000000-0005-0000-0000-00007E670000}"/>
    <cellStyle name="Normal 5 4 2 2 2 4 2" xfId="15485" xr:uid="{00000000-0005-0000-0000-00007F670000}"/>
    <cellStyle name="Normal 5 4 2 2 2 4 3" xfId="24808" xr:uid="{00000000-0005-0000-0000-000080670000}"/>
    <cellStyle name="Normal 5 4 2 2 2 5" xfId="12200" xr:uid="{00000000-0005-0000-0000-000081670000}"/>
    <cellStyle name="Normal 5 4 2 2 2 6" xfId="21526" xr:uid="{00000000-0005-0000-0000-000082670000}"/>
    <cellStyle name="Normal 5 4 2 2 3" xfId="2744" xr:uid="{00000000-0005-0000-0000-000083670000}"/>
    <cellStyle name="Normal 5 4 2 2 3 2" xfId="4423" xr:uid="{00000000-0005-0000-0000-000084670000}"/>
    <cellStyle name="Normal 5 4 2 2 3 2 2" xfId="9100" xr:uid="{00000000-0005-0000-0000-000085670000}"/>
    <cellStyle name="Normal 5 4 2 2 3 2 2 2" xfId="18424" xr:uid="{00000000-0005-0000-0000-000086670000}"/>
    <cellStyle name="Normal 5 4 2 2 3 2 2 3" xfId="27747" xr:uid="{00000000-0005-0000-0000-000087670000}"/>
    <cellStyle name="Normal 5 4 2 2 3 2 3" xfId="13757" xr:uid="{00000000-0005-0000-0000-000088670000}"/>
    <cellStyle name="Normal 5 4 2 2 3 2 4" xfId="23081" xr:uid="{00000000-0005-0000-0000-000089670000}"/>
    <cellStyle name="Normal 5 4 2 2 3 3" xfId="6163" xr:uid="{00000000-0005-0000-0000-00008A670000}"/>
    <cellStyle name="Normal 5 4 2 2 3 3 2" xfId="15487" xr:uid="{00000000-0005-0000-0000-00008B670000}"/>
    <cellStyle name="Normal 5 4 2 2 3 3 3" xfId="24810" xr:uid="{00000000-0005-0000-0000-00008C670000}"/>
    <cellStyle name="Normal 5 4 2 2 3 4" xfId="12202" xr:uid="{00000000-0005-0000-0000-00008D670000}"/>
    <cellStyle name="Normal 5 4 2 2 3 5" xfId="21528" xr:uid="{00000000-0005-0000-0000-00008E670000}"/>
    <cellStyle name="Normal 5 4 2 2 4" xfId="4420" xr:uid="{00000000-0005-0000-0000-00008F670000}"/>
    <cellStyle name="Normal 5 4 2 2 4 2" xfId="9097" xr:uid="{00000000-0005-0000-0000-000090670000}"/>
    <cellStyle name="Normal 5 4 2 2 4 2 2" xfId="18421" xr:uid="{00000000-0005-0000-0000-000091670000}"/>
    <cellStyle name="Normal 5 4 2 2 4 2 3" xfId="27744" xr:uid="{00000000-0005-0000-0000-000092670000}"/>
    <cellStyle name="Normal 5 4 2 2 4 3" xfId="13754" xr:uid="{00000000-0005-0000-0000-000093670000}"/>
    <cellStyle name="Normal 5 4 2 2 4 4" xfId="23078" xr:uid="{00000000-0005-0000-0000-000094670000}"/>
    <cellStyle name="Normal 5 4 2 2 5" xfId="6160" xr:uid="{00000000-0005-0000-0000-000095670000}"/>
    <cellStyle name="Normal 5 4 2 2 5 2" xfId="15484" xr:uid="{00000000-0005-0000-0000-000096670000}"/>
    <cellStyle name="Normal 5 4 2 2 5 3" xfId="24807" xr:uid="{00000000-0005-0000-0000-000097670000}"/>
    <cellStyle name="Normal 5 4 2 2 6" xfId="12199" xr:uid="{00000000-0005-0000-0000-000098670000}"/>
    <cellStyle name="Normal 5 4 2 2 7" xfId="21525" xr:uid="{00000000-0005-0000-0000-000099670000}"/>
    <cellStyle name="Normal 5 4 2 3" xfId="2745" xr:uid="{00000000-0005-0000-0000-00009A670000}"/>
    <cellStyle name="Normal 5 4 2 3 2" xfId="2746" xr:uid="{00000000-0005-0000-0000-00009B670000}"/>
    <cellStyle name="Normal 5 4 2 3 2 2" xfId="4425" xr:uid="{00000000-0005-0000-0000-00009C670000}"/>
    <cellStyle name="Normal 5 4 2 3 2 2 2" xfId="9102" xr:uid="{00000000-0005-0000-0000-00009D670000}"/>
    <cellStyle name="Normal 5 4 2 3 2 2 2 2" xfId="18426" xr:uid="{00000000-0005-0000-0000-00009E670000}"/>
    <cellStyle name="Normal 5 4 2 3 2 2 2 3" xfId="27749" xr:uid="{00000000-0005-0000-0000-00009F670000}"/>
    <cellStyle name="Normal 5 4 2 3 2 2 3" xfId="13759" xr:uid="{00000000-0005-0000-0000-0000A0670000}"/>
    <cellStyle name="Normal 5 4 2 3 2 2 4" xfId="23083" xr:uid="{00000000-0005-0000-0000-0000A1670000}"/>
    <cellStyle name="Normal 5 4 2 3 2 3" xfId="6165" xr:uid="{00000000-0005-0000-0000-0000A2670000}"/>
    <cellStyle name="Normal 5 4 2 3 2 3 2" xfId="15489" xr:uid="{00000000-0005-0000-0000-0000A3670000}"/>
    <cellStyle name="Normal 5 4 2 3 2 3 3" xfId="24812" xr:uid="{00000000-0005-0000-0000-0000A4670000}"/>
    <cellStyle name="Normal 5 4 2 3 2 4" xfId="12204" xr:uid="{00000000-0005-0000-0000-0000A5670000}"/>
    <cellStyle name="Normal 5 4 2 3 2 5" xfId="21530" xr:uid="{00000000-0005-0000-0000-0000A6670000}"/>
    <cellStyle name="Normal 5 4 2 3 3" xfId="4424" xr:uid="{00000000-0005-0000-0000-0000A7670000}"/>
    <cellStyle name="Normal 5 4 2 3 3 2" xfId="9101" xr:uid="{00000000-0005-0000-0000-0000A8670000}"/>
    <cellStyle name="Normal 5 4 2 3 3 2 2" xfId="18425" xr:uid="{00000000-0005-0000-0000-0000A9670000}"/>
    <cellStyle name="Normal 5 4 2 3 3 2 3" xfId="27748" xr:uid="{00000000-0005-0000-0000-0000AA670000}"/>
    <cellStyle name="Normal 5 4 2 3 3 3" xfId="13758" xr:uid="{00000000-0005-0000-0000-0000AB670000}"/>
    <cellStyle name="Normal 5 4 2 3 3 4" xfId="23082" xr:uid="{00000000-0005-0000-0000-0000AC670000}"/>
    <cellStyle name="Normal 5 4 2 3 4" xfId="6164" xr:uid="{00000000-0005-0000-0000-0000AD670000}"/>
    <cellStyle name="Normal 5 4 2 3 4 2" xfId="15488" xr:uid="{00000000-0005-0000-0000-0000AE670000}"/>
    <cellStyle name="Normal 5 4 2 3 4 3" xfId="24811" xr:uid="{00000000-0005-0000-0000-0000AF670000}"/>
    <cellStyle name="Normal 5 4 2 3 5" xfId="12203" xr:uid="{00000000-0005-0000-0000-0000B0670000}"/>
    <cellStyle name="Normal 5 4 2 3 6" xfId="21529" xr:uid="{00000000-0005-0000-0000-0000B1670000}"/>
    <cellStyle name="Normal 5 4 2 4" xfId="2747" xr:uid="{00000000-0005-0000-0000-0000B2670000}"/>
    <cellStyle name="Normal 5 4 2 4 2" xfId="4426" xr:uid="{00000000-0005-0000-0000-0000B3670000}"/>
    <cellStyle name="Normal 5 4 2 4 2 2" xfId="9103" xr:uid="{00000000-0005-0000-0000-0000B4670000}"/>
    <cellStyle name="Normal 5 4 2 4 2 2 2" xfId="18427" xr:uid="{00000000-0005-0000-0000-0000B5670000}"/>
    <cellStyle name="Normal 5 4 2 4 2 2 3" xfId="27750" xr:uid="{00000000-0005-0000-0000-0000B6670000}"/>
    <cellStyle name="Normal 5 4 2 4 2 3" xfId="13760" xr:uid="{00000000-0005-0000-0000-0000B7670000}"/>
    <cellStyle name="Normal 5 4 2 4 2 4" xfId="23084" xr:uid="{00000000-0005-0000-0000-0000B8670000}"/>
    <cellStyle name="Normal 5 4 2 4 3" xfId="6166" xr:uid="{00000000-0005-0000-0000-0000B9670000}"/>
    <cellStyle name="Normal 5 4 2 4 3 2" xfId="15490" xr:uid="{00000000-0005-0000-0000-0000BA670000}"/>
    <cellStyle name="Normal 5 4 2 4 3 3" xfId="24813" xr:uid="{00000000-0005-0000-0000-0000BB670000}"/>
    <cellStyle name="Normal 5 4 2 4 4" xfId="12205" xr:uid="{00000000-0005-0000-0000-0000BC670000}"/>
    <cellStyle name="Normal 5 4 2 4 5" xfId="21531" xr:uid="{00000000-0005-0000-0000-0000BD670000}"/>
    <cellStyle name="Normal 5 4 2 5" xfId="2748" xr:uid="{00000000-0005-0000-0000-0000BE670000}"/>
    <cellStyle name="Normal 5 4 2 5 2" xfId="4427" xr:uid="{00000000-0005-0000-0000-0000BF670000}"/>
    <cellStyle name="Normal 5 4 2 5 2 2" xfId="9104" xr:uid="{00000000-0005-0000-0000-0000C0670000}"/>
    <cellStyle name="Normal 5 4 2 5 2 2 2" xfId="18428" xr:uid="{00000000-0005-0000-0000-0000C1670000}"/>
    <cellStyle name="Normal 5 4 2 5 2 2 3" xfId="27751" xr:uid="{00000000-0005-0000-0000-0000C2670000}"/>
    <cellStyle name="Normal 5 4 2 5 2 3" xfId="13761" xr:uid="{00000000-0005-0000-0000-0000C3670000}"/>
    <cellStyle name="Normal 5 4 2 5 2 4" xfId="23085" xr:uid="{00000000-0005-0000-0000-0000C4670000}"/>
    <cellStyle name="Normal 5 4 2 5 3" xfId="6167" xr:uid="{00000000-0005-0000-0000-0000C5670000}"/>
    <cellStyle name="Normal 5 4 2 5 3 2" xfId="15491" xr:uid="{00000000-0005-0000-0000-0000C6670000}"/>
    <cellStyle name="Normal 5 4 2 5 3 3" xfId="24814" xr:uid="{00000000-0005-0000-0000-0000C7670000}"/>
    <cellStyle name="Normal 5 4 2 5 4" xfId="12206" xr:uid="{00000000-0005-0000-0000-0000C8670000}"/>
    <cellStyle name="Normal 5 4 2 5 5" xfId="21532" xr:uid="{00000000-0005-0000-0000-0000C9670000}"/>
    <cellStyle name="Normal 5 4 2 6" xfId="2749" xr:uid="{00000000-0005-0000-0000-0000CA670000}"/>
    <cellStyle name="Normal 5 4 2 6 2" xfId="4428" xr:uid="{00000000-0005-0000-0000-0000CB670000}"/>
    <cellStyle name="Normal 5 4 2 6 2 2" xfId="9105" xr:uid="{00000000-0005-0000-0000-0000CC670000}"/>
    <cellStyle name="Normal 5 4 2 6 2 2 2" xfId="18429" xr:uid="{00000000-0005-0000-0000-0000CD670000}"/>
    <cellStyle name="Normal 5 4 2 6 2 2 3" xfId="27752" xr:uid="{00000000-0005-0000-0000-0000CE670000}"/>
    <cellStyle name="Normal 5 4 2 6 2 3" xfId="13762" xr:uid="{00000000-0005-0000-0000-0000CF670000}"/>
    <cellStyle name="Normal 5 4 2 6 2 4" xfId="23086" xr:uid="{00000000-0005-0000-0000-0000D0670000}"/>
    <cellStyle name="Normal 5 4 2 6 3" xfId="6168" xr:uid="{00000000-0005-0000-0000-0000D1670000}"/>
    <cellStyle name="Normal 5 4 2 6 3 2" xfId="15492" xr:uid="{00000000-0005-0000-0000-0000D2670000}"/>
    <cellStyle name="Normal 5 4 2 6 3 3" xfId="24815" xr:uid="{00000000-0005-0000-0000-0000D3670000}"/>
    <cellStyle name="Normal 5 4 2 6 4" xfId="12207" xr:uid="{00000000-0005-0000-0000-0000D4670000}"/>
    <cellStyle name="Normal 5 4 2 6 5" xfId="21533" xr:uid="{00000000-0005-0000-0000-0000D5670000}"/>
    <cellStyle name="Normal 5 4 2 7" xfId="4419" xr:uid="{00000000-0005-0000-0000-0000D6670000}"/>
    <cellStyle name="Normal 5 4 2 7 2" xfId="9096" xr:uid="{00000000-0005-0000-0000-0000D7670000}"/>
    <cellStyle name="Normal 5 4 2 7 2 2" xfId="18420" xr:uid="{00000000-0005-0000-0000-0000D8670000}"/>
    <cellStyle name="Normal 5 4 2 7 2 3" xfId="27743" xr:uid="{00000000-0005-0000-0000-0000D9670000}"/>
    <cellStyle name="Normal 5 4 2 7 3" xfId="13753" xr:uid="{00000000-0005-0000-0000-0000DA670000}"/>
    <cellStyle name="Normal 5 4 2 7 4" xfId="23077" xr:uid="{00000000-0005-0000-0000-0000DB670000}"/>
    <cellStyle name="Normal 5 4 2 8" xfId="6159" xr:uid="{00000000-0005-0000-0000-0000DC670000}"/>
    <cellStyle name="Normal 5 4 2 8 2" xfId="15483" xr:uid="{00000000-0005-0000-0000-0000DD670000}"/>
    <cellStyle name="Normal 5 4 2 8 3" xfId="24806" xr:uid="{00000000-0005-0000-0000-0000DE670000}"/>
    <cellStyle name="Normal 5 4 2 9" xfId="12198" xr:uid="{00000000-0005-0000-0000-0000DF670000}"/>
    <cellStyle name="Normal 5 4 3" xfId="2750" xr:uid="{00000000-0005-0000-0000-0000E0670000}"/>
    <cellStyle name="Normal 5 4 4" xfId="2751" xr:uid="{00000000-0005-0000-0000-0000E1670000}"/>
    <cellStyle name="Normal 5 4 4 2" xfId="2752" xr:uid="{00000000-0005-0000-0000-0000E2670000}"/>
    <cellStyle name="Normal 5 4 4 2 2" xfId="4430" xr:uid="{00000000-0005-0000-0000-0000E3670000}"/>
    <cellStyle name="Normal 5 4 4 2 2 2" xfId="9107" xr:uid="{00000000-0005-0000-0000-0000E4670000}"/>
    <cellStyle name="Normal 5 4 4 2 2 2 2" xfId="18431" xr:uid="{00000000-0005-0000-0000-0000E5670000}"/>
    <cellStyle name="Normal 5 4 4 2 2 2 3" xfId="27754" xr:uid="{00000000-0005-0000-0000-0000E6670000}"/>
    <cellStyle name="Normal 5 4 4 2 2 3" xfId="13764" xr:uid="{00000000-0005-0000-0000-0000E7670000}"/>
    <cellStyle name="Normal 5 4 4 2 2 4" xfId="23088" xr:uid="{00000000-0005-0000-0000-0000E8670000}"/>
    <cellStyle name="Normal 5 4 4 2 3" xfId="6171" xr:uid="{00000000-0005-0000-0000-0000E9670000}"/>
    <cellStyle name="Normal 5 4 4 2 3 2" xfId="15495" xr:uid="{00000000-0005-0000-0000-0000EA670000}"/>
    <cellStyle name="Normal 5 4 4 2 3 3" xfId="24818" xr:uid="{00000000-0005-0000-0000-0000EB670000}"/>
    <cellStyle name="Normal 5 4 4 2 4" xfId="12209" xr:uid="{00000000-0005-0000-0000-0000EC670000}"/>
    <cellStyle name="Normal 5 4 4 2 5" xfId="21535" xr:uid="{00000000-0005-0000-0000-0000ED670000}"/>
    <cellStyle name="Normal 5 4 4 3" xfId="4429" xr:uid="{00000000-0005-0000-0000-0000EE670000}"/>
    <cellStyle name="Normal 5 4 4 3 2" xfId="9106" xr:uid="{00000000-0005-0000-0000-0000EF670000}"/>
    <cellStyle name="Normal 5 4 4 3 2 2" xfId="18430" xr:uid="{00000000-0005-0000-0000-0000F0670000}"/>
    <cellStyle name="Normal 5 4 4 3 2 3" xfId="27753" xr:uid="{00000000-0005-0000-0000-0000F1670000}"/>
    <cellStyle name="Normal 5 4 4 3 3" xfId="13763" xr:uid="{00000000-0005-0000-0000-0000F2670000}"/>
    <cellStyle name="Normal 5 4 4 3 4" xfId="23087" xr:uid="{00000000-0005-0000-0000-0000F3670000}"/>
    <cellStyle name="Normal 5 4 4 4" xfId="6170" xr:uid="{00000000-0005-0000-0000-0000F4670000}"/>
    <cellStyle name="Normal 5 4 4 4 2" xfId="15494" xr:uid="{00000000-0005-0000-0000-0000F5670000}"/>
    <cellStyle name="Normal 5 4 4 4 3" xfId="24817" xr:uid="{00000000-0005-0000-0000-0000F6670000}"/>
    <cellStyle name="Normal 5 4 4 5" xfId="12208" xr:uid="{00000000-0005-0000-0000-0000F7670000}"/>
    <cellStyle name="Normal 5 4 4 6" xfId="21534" xr:uid="{00000000-0005-0000-0000-0000F8670000}"/>
    <cellStyle name="Normal 5 4 5" xfId="2753" xr:uid="{00000000-0005-0000-0000-0000F9670000}"/>
    <cellStyle name="Normal 5 4 5 2" xfId="4431" xr:uid="{00000000-0005-0000-0000-0000FA670000}"/>
    <cellStyle name="Normal 5 4 5 2 2" xfId="9108" xr:uid="{00000000-0005-0000-0000-0000FB670000}"/>
    <cellStyle name="Normal 5 4 5 2 2 2" xfId="18432" xr:uid="{00000000-0005-0000-0000-0000FC670000}"/>
    <cellStyle name="Normal 5 4 5 2 2 3" xfId="27755" xr:uid="{00000000-0005-0000-0000-0000FD670000}"/>
    <cellStyle name="Normal 5 4 5 2 3" xfId="13765" xr:uid="{00000000-0005-0000-0000-0000FE670000}"/>
    <cellStyle name="Normal 5 4 5 2 4" xfId="23089" xr:uid="{00000000-0005-0000-0000-0000FF670000}"/>
    <cellStyle name="Normal 5 4 5 3" xfId="6172" xr:uid="{00000000-0005-0000-0000-000000680000}"/>
    <cellStyle name="Normal 5 4 5 3 2" xfId="15496" xr:uid="{00000000-0005-0000-0000-000001680000}"/>
    <cellStyle name="Normal 5 4 5 3 3" xfId="24819" xr:uid="{00000000-0005-0000-0000-000002680000}"/>
    <cellStyle name="Normal 5 4 5 4" xfId="12210" xr:uid="{00000000-0005-0000-0000-000003680000}"/>
    <cellStyle name="Normal 5 4 5 5" xfId="21536" xr:uid="{00000000-0005-0000-0000-000004680000}"/>
    <cellStyle name="Normal 5 4 6" xfId="2739" xr:uid="{00000000-0005-0000-0000-000005680000}"/>
    <cellStyle name="Normal 5 4 6 2" xfId="7556" xr:uid="{00000000-0005-0000-0000-000006680000}"/>
    <cellStyle name="Normal 5 4 6 2 2" xfId="16880" xr:uid="{00000000-0005-0000-0000-000007680000}"/>
    <cellStyle name="Normal 5 4 6 2 3" xfId="26203" xr:uid="{00000000-0005-0000-0000-000008680000}"/>
    <cellStyle name="Normal 5 4 6 3" xfId="12197" xr:uid="{00000000-0005-0000-0000-000009680000}"/>
    <cellStyle name="Normal 5 4 6 4" xfId="21523" xr:uid="{00000000-0005-0000-0000-00000A680000}"/>
    <cellStyle name="Normal 5 4 7" xfId="4418" xr:uid="{00000000-0005-0000-0000-00000B680000}"/>
    <cellStyle name="Normal 5 4 7 2" xfId="9095" xr:uid="{00000000-0005-0000-0000-00000C680000}"/>
    <cellStyle name="Normal 5 4 7 2 2" xfId="18419" xr:uid="{00000000-0005-0000-0000-00000D680000}"/>
    <cellStyle name="Normal 5 4 7 2 3" xfId="27742" xr:uid="{00000000-0005-0000-0000-00000E680000}"/>
    <cellStyle name="Normal 5 4 7 3" xfId="13752" xr:uid="{00000000-0005-0000-0000-00000F680000}"/>
    <cellStyle name="Normal 5 4 7 4" xfId="23076" xr:uid="{00000000-0005-0000-0000-000010680000}"/>
    <cellStyle name="Normal 5 4 8" xfId="6158" xr:uid="{00000000-0005-0000-0000-000011680000}"/>
    <cellStyle name="Normal 5 4 8 2" xfId="15482" xr:uid="{00000000-0005-0000-0000-000012680000}"/>
    <cellStyle name="Normal 5 4 8 3" xfId="24805" xr:uid="{00000000-0005-0000-0000-000013680000}"/>
    <cellStyle name="Normal 5 5" xfId="432" xr:uid="{00000000-0005-0000-0000-000014680000}"/>
    <cellStyle name="Normal 5 5 2" xfId="920" xr:uid="{00000000-0005-0000-0000-000015680000}"/>
    <cellStyle name="Normal 5 5 2 2" xfId="2756" xr:uid="{00000000-0005-0000-0000-000016680000}"/>
    <cellStyle name="Normal 5 5 2 2 2" xfId="4434" xr:uid="{00000000-0005-0000-0000-000017680000}"/>
    <cellStyle name="Normal 5 5 2 2 2 2" xfId="9111" xr:uid="{00000000-0005-0000-0000-000018680000}"/>
    <cellStyle name="Normal 5 5 2 2 2 2 2" xfId="18435" xr:uid="{00000000-0005-0000-0000-000019680000}"/>
    <cellStyle name="Normal 5 5 2 2 2 2 3" xfId="27758" xr:uid="{00000000-0005-0000-0000-00001A680000}"/>
    <cellStyle name="Normal 5 5 2 2 2 3" xfId="13768" xr:uid="{00000000-0005-0000-0000-00001B680000}"/>
    <cellStyle name="Normal 5 5 2 2 2 4" xfId="23092" xr:uid="{00000000-0005-0000-0000-00001C680000}"/>
    <cellStyle name="Normal 5 5 2 2 3" xfId="6175" xr:uid="{00000000-0005-0000-0000-00001D680000}"/>
    <cellStyle name="Normal 5 5 2 2 3 2" xfId="15499" xr:uid="{00000000-0005-0000-0000-00001E680000}"/>
    <cellStyle name="Normal 5 5 2 2 3 3" xfId="24822" xr:uid="{00000000-0005-0000-0000-00001F680000}"/>
    <cellStyle name="Normal 5 5 2 2 4" xfId="12213" xr:uid="{00000000-0005-0000-0000-000020680000}"/>
    <cellStyle name="Normal 5 5 2 2 5" xfId="21539" xr:uid="{00000000-0005-0000-0000-000021680000}"/>
    <cellStyle name="Normal 5 5 2 3" xfId="2755" xr:uid="{00000000-0005-0000-0000-000022680000}"/>
    <cellStyle name="Normal 5 5 2 3 2" xfId="7558" xr:uid="{00000000-0005-0000-0000-000023680000}"/>
    <cellStyle name="Normal 5 5 2 3 2 2" xfId="16882" xr:uid="{00000000-0005-0000-0000-000024680000}"/>
    <cellStyle name="Normal 5 5 2 3 2 3" xfId="26205" xr:uid="{00000000-0005-0000-0000-000025680000}"/>
    <cellStyle name="Normal 5 5 2 3 3" xfId="12212" xr:uid="{00000000-0005-0000-0000-000026680000}"/>
    <cellStyle name="Normal 5 5 2 3 4" xfId="21538" xr:uid="{00000000-0005-0000-0000-000027680000}"/>
    <cellStyle name="Normal 5 5 2 4" xfId="4433" xr:uid="{00000000-0005-0000-0000-000028680000}"/>
    <cellStyle name="Normal 5 5 2 4 2" xfId="9110" xr:uid="{00000000-0005-0000-0000-000029680000}"/>
    <cellStyle name="Normal 5 5 2 4 2 2" xfId="18434" xr:uid="{00000000-0005-0000-0000-00002A680000}"/>
    <cellStyle name="Normal 5 5 2 4 2 3" xfId="27757" xr:uid="{00000000-0005-0000-0000-00002B680000}"/>
    <cellStyle name="Normal 5 5 2 4 3" xfId="13767" xr:uid="{00000000-0005-0000-0000-00002C680000}"/>
    <cellStyle name="Normal 5 5 2 4 4" xfId="23091" xr:uid="{00000000-0005-0000-0000-00002D680000}"/>
    <cellStyle name="Normal 5 5 2 5" xfId="6174" xr:uid="{00000000-0005-0000-0000-00002E680000}"/>
    <cellStyle name="Normal 5 5 2 5 2" xfId="15498" xr:uid="{00000000-0005-0000-0000-00002F680000}"/>
    <cellStyle name="Normal 5 5 2 5 3" xfId="24821" xr:uid="{00000000-0005-0000-0000-000030680000}"/>
    <cellStyle name="Normal 5 5 2 6" xfId="10521" xr:uid="{00000000-0005-0000-0000-000031680000}"/>
    <cellStyle name="Normal 5 5 2 7" xfId="19845" xr:uid="{00000000-0005-0000-0000-000032680000}"/>
    <cellStyle name="Normal 5 5 3" xfId="2757" xr:uid="{00000000-0005-0000-0000-000033680000}"/>
    <cellStyle name="Normal 5 5 3 2" xfId="4435" xr:uid="{00000000-0005-0000-0000-000034680000}"/>
    <cellStyle name="Normal 5 5 3 2 2" xfId="9112" xr:uid="{00000000-0005-0000-0000-000035680000}"/>
    <cellStyle name="Normal 5 5 3 2 2 2" xfId="18436" xr:uid="{00000000-0005-0000-0000-000036680000}"/>
    <cellStyle name="Normal 5 5 3 2 2 3" xfId="27759" xr:uid="{00000000-0005-0000-0000-000037680000}"/>
    <cellStyle name="Normal 5 5 3 2 3" xfId="13769" xr:uid="{00000000-0005-0000-0000-000038680000}"/>
    <cellStyle name="Normal 5 5 3 2 4" xfId="23093" xr:uid="{00000000-0005-0000-0000-000039680000}"/>
    <cellStyle name="Normal 5 5 3 3" xfId="6176" xr:uid="{00000000-0005-0000-0000-00003A680000}"/>
    <cellStyle name="Normal 5 5 3 3 2" xfId="15500" xr:uid="{00000000-0005-0000-0000-00003B680000}"/>
    <cellStyle name="Normal 5 5 3 3 3" xfId="24823" xr:uid="{00000000-0005-0000-0000-00003C680000}"/>
    <cellStyle name="Normal 5 5 3 4" xfId="12214" xr:uid="{00000000-0005-0000-0000-00003D680000}"/>
    <cellStyle name="Normal 5 5 3 5" xfId="21540" xr:uid="{00000000-0005-0000-0000-00003E680000}"/>
    <cellStyle name="Normal 5 5 4" xfId="2754" xr:uid="{00000000-0005-0000-0000-00003F680000}"/>
    <cellStyle name="Normal 5 5 4 2" xfId="7557" xr:uid="{00000000-0005-0000-0000-000040680000}"/>
    <cellStyle name="Normal 5 5 4 2 2" xfId="16881" xr:uid="{00000000-0005-0000-0000-000041680000}"/>
    <cellStyle name="Normal 5 5 4 2 3" xfId="26204" xr:uid="{00000000-0005-0000-0000-000042680000}"/>
    <cellStyle name="Normal 5 5 4 3" xfId="12211" xr:uid="{00000000-0005-0000-0000-000043680000}"/>
    <cellStyle name="Normal 5 5 4 4" xfId="21537" xr:uid="{00000000-0005-0000-0000-000044680000}"/>
    <cellStyle name="Normal 5 5 5" xfId="4432" xr:uid="{00000000-0005-0000-0000-000045680000}"/>
    <cellStyle name="Normal 5 5 5 2" xfId="9109" xr:uid="{00000000-0005-0000-0000-000046680000}"/>
    <cellStyle name="Normal 5 5 5 2 2" xfId="18433" xr:uid="{00000000-0005-0000-0000-000047680000}"/>
    <cellStyle name="Normal 5 5 5 2 3" xfId="27756" xr:uid="{00000000-0005-0000-0000-000048680000}"/>
    <cellStyle name="Normal 5 5 5 3" xfId="13766" xr:uid="{00000000-0005-0000-0000-000049680000}"/>
    <cellStyle name="Normal 5 5 5 4" xfId="23090" xr:uid="{00000000-0005-0000-0000-00004A680000}"/>
    <cellStyle name="Normal 5 5 6" xfId="6173" xr:uid="{00000000-0005-0000-0000-00004B680000}"/>
    <cellStyle name="Normal 5 5 6 2" xfId="15497" xr:uid="{00000000-0005-0000-0000-00004C680000}"/>
    <cellStyle name="Normal 5 5 6 3" xfId="24820" xr:uid="{00000000-0005-0000-0000-00004D680000}"/>
    <cellStyle name="Normal 5 5 7" xfId="9543" xr:uid="{00000000-0005-0000-0000-00004E680000}"/>
    <cellStyle name="Normal 5 5 7 2" xfId="18867" xr:uid="{00000000-0005-0000-0000-00004F680000}"/>
    <cellStyle name="Normal 5 5 7 3" xfId="28190" xr:uid="{00000000-0005-0000-0000-000050680000}"/>
    <cellStyle name="Normal 5 5 8" xfId="10037" xr:uid="{00000000-0005-0000-0000-000051680000}"/>
    <cellStyle name="Normal 5 5 9" xfId="19361" xr:uid="{00000000-0005-0000-0000-000052680000}"/>
    <cellStyle name="Normal 5 6" xfId="680" xr:uid="{00000000-0005-0000-0000-000053680000}"/>
    <cellStyle name="Normal 5 6 2" xfId="2759" xr:uid="{00000000-0005-0000-0000-000054680000}"/>
    <cellStyle name="Normal 5 6 2 2" xfId="2760" xr:uid="{00000000-0005-0000-0000-000055680000}"/>
    <cellStyle name="Normal 5 6 2 2 2" xfId="4438" xr:uid="{00000000-0005-0000-0000-000056680000}"/>
    <cellStyle name="Normal 5 6 2 2 2 2" xfId="9115" xr:uid="{00000000-0005-0000-0000-000057680000}"/>
    <cellStyle name="Normal 5 6 2 2 2 2 2" xfId="18439" xr:uid="{00000000-0005-0000-0000-000058680000}"/>
    <cellStyle name="Normal 5 6 2 2 2 2 3" xfId="27762" xr:uid="{00000000-0005-0000-0000-000059680000}"/>
    <cellStyle name="Normal 5 6 2 2 2 3" xfId="13772" xr:uid="{00000000-0005-0000-0000-00005A680000}"/>
    <cellStyle name="Normal 5 6 2 2 2 4" xfId="23096" xr:uid="{00000000-0005-0000-0000-00005B680000}"/>
    <cellStyle name="Normal 5 6 2 2 3" xfId="6179" xr:uid="{00000000-0005-0000-0000-00005C680000}"/>
    <cellStyle name="Normal 5 6 2 2 3 2" xfId="15503" xr:uid="{00000000-0005-0000-0000-00005D680000}"/>
    <cellStyle name="Normal 5 6 2 2 3 3" xfId="24826" xr:uid="{00000000-0005-0000-0000-00005E680000}"/>
    <cellStyle name="Normal 5 6 2 2 4" xfId="12217" xr:uid="{00000000-0005-0000-0000-00005F680000}"/>
    <cellStyle name="Normal 5 6 2 2 5" xfId="21543" xr:uid="{00000000-0005-0000-0000-000060680000}"/>
    <cellStyle name="Normal 5 6 2 3" xfId="4437" xr:uid="{00000000-0005-0000-0000-000061680000}"/>
    <cellStyle name="Normal 5 6 2 3 2" xfId="9114" xr:uid="{00000000-0005-0000-0000-000062680000}"/>
    <cellStyle name="Normal 5 6 2 3 2 2" xfId="18438" xr:uid="{00000000-0005-0000-0000-000063680000}"/>
    <cellStyle name="Normal 5 6 2 3 2 3" xfId="27761" xr:uid="{00000000-0005-0000-0000-000064680000}"/>
    <cellStyle name="Normal 5 6 2 3 3" xfId="13771" xr:uid="{00000000-0005-0000-0000-000065680000}"/>
    <cellStyle name="Normal 5 6 2 3 4" xfId="23095" xr:uid="{00000000-0005-0000-0000-000066680000}"/>
    <cellStyle name="Normal 5 6 2 4" xfId="6178" xr:uid="{00000000-0005-0000-0000-000067680000}"/>
    <cellStyle name="Normal 5 6 2 4 2" xfId="15502" xr:uid="{00000000-0005-0000-0000-000068680000}"/>
    <cellStyle name="Normal 5 6 2 4 3" xfId="24825" xr:uid="{00000000-0005-0000-0000-000069680000}"/>
    <cellStyle name="Normal 5 6 2 5" xfId="12216" xr:uid="{00000000-0005-0000-0000-00006A680000}"/>
    <cellStyle name="Normal 5 6 2 6" xfId="21542" xr:uid="{00000000-0005-0000-0000-00006B680000}"/>
    <cellStyle name="Normal 5 6 3" xfId="2761" xr:uid="{00000000-0005-0000-0000-00006C680000}"/>
    <cellStyle name="Normal 5 6 3 2" xfId="4439" xr:uid="{00000000-0005-0000-0000-00006D680000}"/>
    <cellStyle name="Normal 5 6 3 2 2" xfId="9116" xr:uid="{00000000-0005-0000-0000-00006E680000}"/>
    <cellStyle name="Normal 5 6 3 2 2 2" xfId="18440" xr:uid="{00000000-0005-0000-0000-00006F680000}"/>
    <cellStyle name="Normal 5 6 3 2 2 3" xfId="27763" xr:uid="{00000000-0005-0000-0000-000070680000}"/>
    <cellStyle name="Normal 5 6 3 2 3" xfId="13773" xr:uid="{00000000-0005-0000-0000-000071680000}"/>
    <cellStyle name="Normal 5 6 3 2 4" xfId="23097" xr:uid="{00000000-0005-0000-0000-000072680000}"/>
    <cellStyle name="Normal 5 6 3 3" xfId="6180" xr:uid="{00000000-0005-0000-0000-000073680000}"/>
    <cellStyle name="Normal 5 6 3 3 2" xfId="15504" xr:uid="{00000000-0005-0000-0000-000074680000}"/>
    <cellStyle name="Normal 5 6 3 3 3" xfId="24827" xr:uid="{00000000-0005-0000-0000-000075680000}"/>
    <cellStyle name="Normal 5 6 3 4" xfId="12218" xr:uid="{00000000-0005-0000-0000-000076680000}"/>
    <cellStyle name="Normal 5 6 3 5" xfId="21544" xr:uid="{00000000-0005-0000-0000-000077680000}"/>
    <cellStyle name="Normal 5 6 4" xfId="2758" xr:uid="{00000000-0005-0000-0000-000078680000}"/>
    <cellStyle name="Normal 5 6 4 2" xfId="7559" xr:uid="{00000000-0005-0000-0000-000079680000}"/>
    <cellStyle name="Normal 5 6 4 2 2" xfId="16883" xr:uid="{00000000-0005-0000-0000-00007A680000}"/>
    <cellStyle name="Normal 5 6 4 2 3" xfId="26206" xr:uid="{00000000-0005-0000-0000-00007B680000}"/>
    <cellStyle name="Normal 5 6 4 3" xfId="12215" xr:uid="{00000000-0005-0000-0000-00007C680000}"/>
    <cellStyle name="Normal 5 6 4 4" xfId="21541" xr:uid="{00000000-0005-0000-0000-00007D680000}"/>
    <cellStyle name="Normal 5 6 5" xfId="4436" xr:uid="{00000000-0005-0000-0000-00007E680000}"/>
    <cellStyle name="Normal 5 6 5 2" xfId="9113" xr:uid="{00000000-0005-0000-0000-00007F680000}"/>
    <cellStyle name="Normal 5 6 5 2 2" xfId="18437" xr:uid="{00000000-0005-0000-0000-000080680000}"/>
    <cellStyle name="Normal 5 6 5 2 3" xfId="27760" xr:uid="{00000000-0005-0000-0000-000081680000}"/>
    <cellStyle name="Normal 5 6 5 3" xfId="13770" xr:uid="{00000000-0005-0000-0000-000082680000}"/>
    <cellStyle name="Normal 5 6 5 4" xfId="23094" xr:uid="{00000000-0005-0000-0000-000083680000}"/>
    <cellStyle name="Normal 5 6 6" xfId="6177" xr:uid="{00000000-0005-0000-0000-000084680000}"/>
    <cellStyle name="Normal 5 6 6 2" xfId="15501" xr:uid="{00000000-0005-0000-0000-000085680000}"/>
    <cellStyle name="Normal 5 6 6 3" xfId="24824" xr:uid="{00000000-0005-0000-0000-000086680000}"/>
    <cellStyle name="Normal 5 6 7" xfId="10281" xr:uid="{00000000-0005-0000-0000-000087680000}"/>
    <cellStyle name="Normal 5 6 8" xfId="19605" xr:uid="{00000000-0005-0000-0000-000088680000}"/>
    <cellStyle name="Normal 5 7" xfId="1112" xr:uid="{00000000-0005-0000-0000-000089680000}"/>
    <cellStyle name="Normal 5 7 2" xfId="2763" xr:uid="{00000000-0005-0000-0000-00008A680000}"/>
    <cellStyle name="Normal 5 7 2 2" xfId="4441" xr:uid="{00000000-0005-0000-0000-00008B680000}"/>
    <cellStyle name="Normal 5 7 2 2 2" xfId="9118" xr:uid="{00000000-0005-0000-0000-00008C680000}"/>
    <cellStyle name="Normal 5 7 2 2 2 2" xfId="18442" xr:uid="{00000000-0005-0000-0000-00008D680000}"/>
    <cellStyle name="Normal 5 7 2 2 2 3" xfId="27765" xr:uid="{00000000-0005-0000-0000-00008E680000}"/>
    <cellStyle name="Normal 5 7 2 2 3" xfId="13775" xr:uid="{00000000-0005-0000-0000-00008F680000}"/>
    <cellStyle name="Normal 5 7 2 2 4" xfId="23099" xr:uid="{00000000-0005-0000-0000-000090680000}"/>
    <cellStyle name="Normal 5 7 2 3" xfId="6182" xr:uid="{00000000-0005-0000-0000-000091680000}"/>
    <cellStyle name="Normal 5 7 2 3 2" xfId="15506" xr:uid="{00000000-0005-0000-0000-000092680000}"/>
    <cellStyle name="Normal 5 7 2 3 3" xfId="24829" xr:uid="{00000000-0005-0000-0000-000093680000}"/>
    <cellStyle name="Normal 5 7 2 4" xfId="12220" xr:uid="{00000000-0005-0000-0000-000094680000}"/>
    <cellStyle name="Normal 5 7 2 5" xfId="21546" xr:uid="{00000000-0005-0000-0000-000095680000}"/>
    <cellStyle name="Normal 5 7 3" xfId="2762" xr:uid="{00000000-0005-0000-0000-000096680000}"/>
    <cellStyle name="Normal 5 7 3 2" xfId="7560" xr:uid="{00000000-0005-0000-0000-000097680000}"/>
    <cellStyle name="Normal 5 7 3 2 2" xfId="16884" xr:uid="{00000000-0005-0000-0000-000098680000}"/>
    <cellStyle name="Normal 5 7 3 2 3" xfId="26207" xr:uid="{00000000-0005-0000-0000-000099680000}"/>
    <cellStyle name="Normal 5 7 3 3" xfId="12219" xr:uid="{00000000-0005-0000-0000-00009A680000}"/>
    <cellStyle name="Normal 5 7 3 4" xfId="21545" xr:uid="{00000000-0005-0000-0000-00009B680000}"/>
    <cellStyle name="Normal 5 7 4" xfId="4440" xr:uid="{00000000-0005-0000-0000-00009C680000}"/>
    <cellStyle name="Normal 5 7 4 2" xfId="9117" xr:uid="{00000000-0005-0000-0000-00009D680000}"/>
    <cellStyle name="Normal 5 7 4 2 2" xfId="18441" xr:uid="{00000000-0005-0000-0000-00009E680000}"/>
    <cellStyle name="Normal 5 7 4 2 3" xfId="27764" xr:uid="{00000000-0005-0000-0000-00009F680000}"/>
    <cellStyle name="Normal 5 7 4 3" xfId="13774" xr:uid="{00000000-0005-0000-0000-0000A0680000}"/>
    <cellStyle name="Normal 5 7 4 4" xfId="23098" xr:uid="{00000000-0005-0000-0000-0000A1680000}"/>
    <cellStyle name="Normal 5 7 5" xfId="6181" xr:uid="{00000000-0005-0000-0000-0000A2680000}"/>
    <cellStyle name="Normal 5 7 5 2" xfId="15505" xr:uid="{00000000-0005-0000-0000-0000A3680000}"/>
    <cellStyle name="Normal 5 7 5 3" xfId="24828" xr:uid="{00000000-0005-0000-0000-0000A4680000}"/>
    <cellStyle name="Normal 5 7 6" xfId="10711" xr:uid="{00000000-0005-0000-0000-0000A5680000}"/>
    <cellStyle name="Normal 5 7 7" xfId="20035" xr:uid="{00000000-0005-0000-0000-0000A6680000}"/>
    <cellStyle name="Normal 5 7 8" xfId="28956" xr:uid="{00000000-0005-0000-0000-0000A7680000}"/>
    <cellStyle name="Normal 5 7 8 2" xfId="28983" xr:uid="{00000000-0005-0000-0000-0000A8680000}"/>
    <cellStyle name="Normal 5 8" xfId="1121" xr:uid="{00000000-0005-0000-0000-0000A9680000}"/>
    <cellStyle name="Normal 5 8 2" xfId="4442" xr:uid="{00000000-0005-0000-0000-0000AA680000}"/>
    <cellStyle name="Normal 5 8 2 2" xfId="9119" xr:uid="{00000000-0005-0000-0000-0000AB680000}"/>
    <cellStyle name="Normal 5 8 2 2 2" xfId="18443" xr:uid="{00000000-0005-0000-0000-0000AC680000}"/>
    <cellStyle name="Normal 5 8 2 2 3" xfId="27766" xr:uid="{00000000-0005-0000-0000-0000AD680000}"/>
    <cellStyle name="Normal 5 8 2 3" xfId="13776" xr:uid="{00000000-0005-0000-0000-0000AE680000}"/>
    <cellStyle name="Normal 5 8 2 4" xfId="23100" xr:uid="{00000000-0005-0000-0000-0000AF680000}"/>
    <cellStyle name="Normal 5 8 3" xfId="6183" xr:uid="{00000000-0005-0000-0000-0000B0680000}"/>
    <cellStyle name="Normal 5 8 3 2" xfId="15507" xr:uid="{00000000-0005-0000-0000-0000B1680000}"/>
    <cellStyle name="Normal 5 8 3 3" xfId="24830" xr:uid="{00000000-0005-0000-0000-0000B2680000}"/>
    <cellStyle name="Normal 5 8 4" xfId="10720" xr:uid="{00000000-0005-0000-0000-0000B3680000}"/>
    <cellStyle name="Normal 5 8 5" xfId="20044" xr:uid="{00000000-0005-0000-0000-0000B4680000}"/>
    <cellStyle name="Normal 5 9" xfId="2764" xr:uid="{00000000-0005-0000-0000-0000B5680000}"/>
    <cellStyle name="Normal 5 9 2" xfId="4443" xr:uid="{00000000-0005-0000-0000-0000B6680000}"/>
    <cellStyle name="Normal 5 9 2 2" xfId="9120" xr:uid="{00000000-0005-0000-0000-0000B7680000}"/>
    <cellStyle name="Normal 5 9 2 2 2" xfId="18444" xr:uid="{00000000-0005-0000-0000-0000B8680000}"/>
    <cellStyle name="Normal 5 9 2 2 3" xfId="27767" xr:uid="{00000000-0005-0000-0000-0000B9680000}"/>
    <cellStyle name="Normal 5 9 2 3" xfId="13777" xr:uid="{00000000-0005-0000-0000-0000BA680000}"/>
    <cellStyle name="Normal 5 9 2 4" xfId="23101" xr:uid="{00000000-0005-0000-0000-0000BB680000}"/>
    <cellStyle name="Normal 5 9 3" xfId="6184" xr:uid="{00000000-0005-0000-0000-0000BC680000}"/>
    <cellStyle name="Normal 5 9 3 2" xfId="15508" xr:uid="{00000000-0005-0000-0000-0000BD680000}"/>
    <cellStyle name="Normal 5 9 3 3" xfId="24831" xr:uid="{00000000-0005-0000-0000-0000BE680000}"/>
    <cellStyle name="Normal 5 9 4" xfId="12221" xr:uid="{00000000-0005-0000-0000-0000BF680000}"/>
    <cellStyle name="Normal 5 9 5" xfId="21547" xr:uid="{00000000-0005-0000-0000-0000C0680000}"/>
    <cellStyle name="Normal 50" xfId="2874" xr:uid="{00000000-0005-0000-0000-0000C1680000}"/>
    <cellStyle name="Normal 50 2" xfId="4525" xr:uid="{00000000-0005-0000-0000-0000C2680000}"/>
    <cellStyle name="Normal 50 2 2" xfId="9202" xr:uid="{00000000-0005-0000-0000-0000C3680000}"/>
    <cellStyle name="Normal 50 2 2 2" xfId="18526" xr:uid="{00000000-0005-0000-0000-0000C4680000}"/>
    <cellStyle name="Normal 50 2 2 3" xfId="27849" xr:uid="{00000000-0005-0000-0000-0000C5680000}"/>
    <cellStyle name="Normal 50 2 3" xfId="13859" xr:uid="{00000000-0005-0000-0000-0000C6680000}"/>
    <cellStyle name="Normal 50 2 4" xfId="23183" xr:uid="{00000000-0005-0000-0000-0000C7680000}"/>
    <cellStyle name="Normal 50 3" xfId="6288" xr:uid="{00000000-0005-0000-0000-0000C8680000}"/>
    <cellStyle name="Normal 50 3 2" xfId="15612" xr:uid="{00000000-0005-0000-0000-0000C9680000}"/>
    <cellStyle name="Normal 50 3 3" xfId="24935" xr:uid="{00000000-0005-0000-0000-0000CA680000}"/>
    <cellStyle name="Normal 50 4" xfId="12303" xr:uid="{00000000-0005-0000-0000-0000CB680000}"/>
    <cellStyle name="Normal 50 5" xfId="21629" xr:uid="{00000000-0005-0000-0000-0000CC680000}"/>
    <cellStyle name="Normal 51" xfId="2876" xr:uid="{00000000-0005-0000-0000-0000CD680000}"/>
    <cellStyle name="Normal 51 2" xfId="4527" xr:uid="{00000000-0005-0000-0000-0000CE680000}"/>
    <cellStyle name="Normal 51 2 2" xfId="9204" xr:uid="{00000000-0005-0000-0000-0000CF680000}"/>
    <cellStyle name="Normal 51 2 2 2" xfId="18528" xr:uid="{00000000-0005-0000-0000-0000D0680000}"/>
    <cellStyle name="Normal 51 2 2 3" xfId="27851" xr:uid="{00000000-0005-0000-0000-0000D1680000}"/>
    <cellStyle name="Normal 51 2 3" xfId="13861" xr:uid="{00000000-0005-0000-0000-0000D2680000}"/>
    <cellStyle name="Normal 51 2 4" xfId="23185" xr:uid="{00000000-0005-0000-0000-0000D3680000}"/>
    <cellStyle name="Normal 51 3" xfId="6290" xr:uid="{00000000-0005-0000-0000-0000D4680000}"/>
    <cellStyle name="Normal 51 3 2" xfId="15614" xr:uid="{00000000-0005-0000-0000-0000D5680000}"/>
    <cellStyle name="Normal 51 3 3" xfId="24937" xr:uid="{00000000-0005-0000-0000-0000D6680000}"/>
    <cellStyle name="Normal 51 4" xfId="12305" xr:uid="{00000000-0005-0000-0000-0000D7680000}"/>
    <cellStyle name="Normal 51 5" xfId="21631" xr:uid="{00000000-0005-0000-0000-0000D8680000}"/>
    <cellStyle name="Normal 52" xfId="2878" xr:uid="{00000000-0005-0000-0000-0000D9680000}"/>
    <cellStyle name="Normal 52 2" xfId="4529" xr:uid="{00000000-0005-0000-0000-0000DA680000}"/>
    <cellStyle name="Normal 52 2 2" xfId="9206" xr:uid="{00000000-0005-0000-0000-0000DB680000}"/>
    <cellStyle name="Normal 52 2 2 2" xfId="18530" xr:uid="{00000000-0005-0000-0000-0000DC680000}"/>
    <cellStyle name="Normal 52 2 2 3" xfId="27853" xr:uid="{00000000-0005-0000-0000-0000DD680000}"/>
    <cellStyle name="Normal 52 2 3" xfId="13863" xr:uid="{00000000-0005-0000-0000-0000DE680000}"/>
    <cellStyle name="Normal 52 2 4" xfId="23187" xr:uid="{00000000-0005-0000-0000-0000DF680000}"/>
    <cellStyle name="Normal 52 3" xfId="6292" xr:uid="{00000000-0005-0000-0000-0000E0680000}"/>
    <cellStyle name="Normal 52 3 2" xfId="15616" xr:uid="{00000000-0005-0000-0000-0000E1680000}"/>
    <cellStyle name="Normal 52 3 3" xfId="24939" xr:uid="{00000000-0005-0000-0000-0000E2680000}"/>
    <cellStyle name="Normal 52 4" xfId="12307" xr:uid="{00000000-0005-0000-0000-0000E3680000}"/>
    <cellStyle name="Normal 52 5" xfId="21633" xr:uid="{00000000-0005-0000-0000-0000E4680000}"/>
    <cellStyle name="Normal 53" xfId="2880" xr:uid="{00000000-0005-0000-0000-0000E5680000}"/>
    <cellStyle name="Normal 54" xfId="2882" xr:uid="{00000000-0005-0000-0000-0000E6680000}"/>
    <cellStyle name="Normal 54 2" xfId="4532" xr:uid="{00000000-0005-0000-0000-0000E7680000}"/>
    <cellStyle name="Normal 54 2 2" xfId="9209" xr:uid="{00000000-0005-0000-0000-0000E8680000}"/>
    <cellStyle name="Normal 54 2 2 2" xfId="18533" xr:uid="{00000000-0005-0000-0000-0000E9680000}"/>
    <cellStyle name="Normal 54 2 2 3" xfId="27856" xr:uid="{00000000-0005-0000-0000-0000EA680000}"/>
    <cellStyle name="Normal 54 2 3" xfId="13866" xr:uid="{00000000-0005-0000-0000-0000EB680000}"/>
    <cellStyle name="Normal 54 2 4" xfId="23190" xr:uid="{00000000-0005-0000-0000-0000EC680000}"/>
    <cellStyle name="Normal 54 3" xfId="6296" xr:uid="{00000000-0005-0000-0000-0000ED680000}"/>
    <cellStyle name="Normal 54 3 2" xfId="15620" xr:uid="{00000000-0005-0000-0000-0000EE680000}"/>
    <cellStyle name="Normal 54 3 3" xfId="24943" xr:uid="{00000000-0005-0000-0000-0000EF680000}"/>
    <cellStyle name="Normal 54 4" xfId="12310" xr:uid="{00000000-0005-0000-0000-0000F0680000}"/>
    <cellStyle name="Normal 54 5" xfId="21636" xr:uid="{00000000-0005-0000-0000-0000F1680000}"/>
    <cellStyle name="Normal 55" xfId="2884" xr:uid="{00000000-0005-0000-0000-0000F2680000}"/>
    <cellStyle name="Normal 55 2" xfId="4534" xr:uid="{00000000-0005-0000-0000-0000F3680000}"/>
    <cellStyle name="Normal 55 2 2" xfId="9211" xr:uid="{00000000-0005-0000-0000-0000F4680000}"/>
    <cellStyle name="Normal 55 2 2 2" xfId="18535" xr:uid="{00000000-0005-0000-0000-0000F5680000}"/>
    <cellStyle name="Normal 55 2 2 3" xfId="27858" xr:uid="{00000000-0005-0000-0000-0000F6680000}"/>
    <cellStyle name="Normal 55 2 3" xfId="13868" xr:uid="{00000000-0005-0000-0000-0000F7680000}"/>
    <cellStyle name="Normal 55 2 4" xfId="23192" xr:uid="{00000000-0005-0000-0000-0000F8680000}"/>
    <cellStyle name="Normal 55 3" xfId="6298" xr:uid="{00000000-0005-0000-0000-0000F9680000}"/>
    <cellStyle name="Normal 55 3 2" xfId="15622" xr:uid="{00000000-0005-0000-0000-0000FA680000}"/>
    <cellStyle name="Normal 55 3 3" xfId="24945" xr:uid="{00000000-0005-0000-0000-0000FB680000}"/>
    <cellStyle name="Normal 55 4" xfId="12312" xr:uid="{00000000-0005-0000-0000-0000FC680000}"/>
    <cellStyle name="Normal 55 5" xfId="21638" xr:uid="{00000000-0005-0000-0000-0000FD680000}"/>
    <cellStyle name="Normal 56" xfId="1344" xr:uid="{00000000-0005-0000-0000-0000FE680000}"/>
    <cellStyle name="Normal 57" xfId="2889" xr:uid="{00000000-0005-0000-0000-0000FF680000}"/>
    <cellStyle name="Normal 57 2" xfId="4537" xr:uid="{00000000-0005-0000-0000-000000690000}"/>
    <cellStyle name="Normal 57 2 2" xfId="9214" xr:uid="{00000000-0005-0000-0000-000001690000}"/>
    <cellStyle name="Normal 57 2 2 2" xfId="18538" xr:uid="{00000000-0005-0000-0000-000002690000}"/>
    <cellStyle name="Normal 57 2 2 3" xfId="27861" xr:uid="{00000000-0005-0000-0000-000003690000}"/>
    <cellStyle name="Normal 57 2 3" xfId="13871" xr:uid="{00000000-0005-0000-0000-000004690000}"/>
    <cellStyle name="Normal 57 2 4" xfId="23195" xr:uid="{00000000-0005-0000-0000-000005690000}"/>
    <cellStyle name="Normal 57 3" xfId="6303" xr:uid="{00000000-0005-0000-0000-000006690000}"/>
    <cellStyle name="Normal 57 3 2" xfId="15627" xr:uid="{00000000-0005-0000-0000-000007690000}"/>
    <cellStyle name="Normal 57 3 3" xfId="24950" xr:uid="{00000000-0005-0000-0000-000008690000}"/>
    <cellStyle name="Normal 57 4" xfId="12315" xr:uid="{00000000-0005-0000-0000-000009690000}"/>
    <cellStyle name="Normal 57 5" xfId="21641" xr:uid="{00000000-0005-0000-0000-00000A690000}"/>
    <cellStyle name="Normal 58" xfId="2929" xr:uid="{00000000-0005-0000-0000-00000B690000}"/>
    <cellStyle name="Normal 58 2" xfId="2949" xr:uid="{00000000-0005-0000-0000-00000C690000}"/>
    <cellStyle name="Normal 58 3" xfId="7611" xr:uid="{00000000-0005-0000-0000-00000D690000}"/>
    <cellStyle name="Normal 58 3 2" xfId="16935" xr:uid="{00000000-0005-0000-0000-00000E690000}"/>
    <cellStyle name="Normal 58 3 3" xfId="26258" xr:uid="{00000000-0005-0000-0000-00000F690000}"/>
    <cellStyle name="Normal 58 4" xfId="12334" xr:uid="{00000000-0005-0000-0000-000010690000}"/>
    <cellStyle name="Normal 58 5" xfId="21660" xr:uid="{00000000-0005-0000-0000-000011690000}"/>
    <cellStyle name="Normal 59" xfId="2936" xr:uid="{00000000-0005-0000-0000-000012690000}"/>
    <cellStyle name="Normal 59 2" xfId="7618" xr:uid="{00000000-0005-0000-0000-000013690000}"/>
    <cellStyle name="Normal 59 2 2" xfId="16942" xr:uid="{00000000-0005-0000-0000-000014690000}"/>
    <cellStyle name="Normal 59 2 3" xfId="26265" xr:uid="{00000000-0005-0000-0000-000015690000}"/>
    <cellStyle name="Normal 59 3" xfId="12341" xr:uid="{00000000-0005-0000-0000-000016690000}"/>
    <cellStyle name="Normal 59 4" xfId="21667" xr:uid="{00000000-0005-0000-0000-000017690000}"/>
    <cellStyle name="Normal 6" xfId="172" xr:uid="{00000000-0005-0000-0000-000018690000}"/>
    <cellStyle name="Normal 6 2" xfId="2765" xr:uid="{00000000-0005-0000-0000-000019690000}"/>
    <cellStyle name="Normal 6 3" xfId="1349" xr:uid="{00000000-0005-0000-0000-00001A690000}"/>
    <cellStyle name="Normal 6 4" xfId="2919" xr:uid="{00000000-0005-0000-0000-00001B690000}"/>
    <cellStyle name="Normal 6 4 2" xfId="4553" xr:uid="{00000000-0005-0000-0000-00001C690000}"/>
    <cellStyle name="Normal 6 4 2 2" xfId="9230" xr:uid="{00000000-0005-0000-0000-00001D690000}"/>
    <cellStyle name="Normal 6 4 2 2 2" xfId="18554" xr:uid="{00000000-0005-0000-0000-00001E690000}"/>
    <cellStyle name="Normal 6 4 2 2 3" xfId="27877" xr:uid="{00000000-0005-0000-0000-00001F690000}"/>
    <cellStyle name="Normal 6 4 2 3" xfId="13877" xr:uid="{00000000-0005-0000-0000-000020690000}"/>
    <cellStyle name="Normal 6 4 2 4" xfId="23201" xr:uid="{00000000-0005-0000-0000-000021690000}"/>
    <cellStyle name="Normal 6 4 3" xfId="6328" xr:uid="{00000000-0005-0000-0000-000022690000}"/>
    <cellStyle name="Normal 6 4 3 2" xfId="15652" xr:uid="{00000000-0005-0000-0000-000023690000}"/>
    <cellStyle name="Normal 6 4 3 3" xfId="24975" xr:uid="{00000000-0005-0000-0000-000024690000}"/>
    <cellStyle name="Normal 6 4 4" xfId="12331" xr:uid="{00000000-0005-0000-0000-000025690000}"/>
    <cellStyle name="Normal 6 4 5" xfId="21657" xr:uid="{00000000-0005-0000-0000-000026690000}"/>
    <cellStyle name="Normal 6 5" xfId="1337" xr:uid="{00000000-0005-0000-0000-000027690000}"/>
    <cellStyle name="Normal 6 6" xfId="28482" xr:uid="{00000000-0005-0000-0000-000028690000}"/>
    <cellStyle name="Normal 60" xfId="4554" xr:uid="{00000000-0005-0000-0000-000029690000}"/>
    <cellStyle name="Normal 60 2" xfId="13878" xr:uid="{00000000-0005-0000-0000-00002A690000}"/>
    <cellStyle name="Normal 61" xfId="28380" xr:uid="{00000000-0005-0000-0000-00002B690000}"/>
    <cellStyle name="Normal 62" xfId="28385" xr:uid="{00000000-0005-0000-0000-00002C690000}"/>
    <cellStyle name="Normal 63" xfId="28769" xr:uid="{00000000-0005-0000-0000-00002D690000}"/>
    <cellStyle name="Normal 64" xfId="28776" xr:uid="{00000000-0005-0000-0000-00002E690000}"/>
    <cellStyle name="Normal 65" xfId="28774" xr:uid="{00000000-0005-0000-0000-00002F690000}"/>
    <cellStyle name="Normal 66" xfId="28959" xr:uid="{00000000-0005-0000-0000-000030690000}"/>
    <cellStyle name="Normal 67" xfId="28962" xr:uid="{00000000-0005-0000-0000-000031690000}"/>
    <cellStyle name="Normal 68" xfId="28968" xr:uid="{00000000-0005-0000-0000-000032690000}"/>
    <cellStyle name="Normal 69" xfId="28972" xr:uid="{00000000-0005-0000-0000-000033690000}"/>
    <cellStyle name="Normal 7" xfId="56" xr:uid="{00000000-0005-0000-0000-000034690000}"/>
    <cellStyle name="Normal 7 10" xfId="19068" xr:uid="{00000000-0005-0000-0000-000035690000}"/>
    <cellStyle name="Normal 7 11" xfId="28558" xr:uid="{00000000-0005-0000-0000-000036690000}"/>
    <cellStyle name="Normal 7 2" xfId="194" xr:uid="{00000000-0005-0000-0000-000037690000}"/>
    <cellStyle name="Normal 7 2 10" xfId="9322" xr:uid="{00000000-0005-0000-0000-000038690000}"/>
    <cellStyle name="Normal 7 2 10 2" xfId="18646" xr:uid="{00000000-0005-0000-0000-000039690000}"/>
    <cellStyle name="Normal 7 2 10 3" xfId="27969" xr:uid="{00000000-0005-0000-0000-00003A690000}"/>
    <cellStyle name="Normal 7 2 11" xfId="9816" xr:uid="{00000000-0005-0000-0000-00003B690000}"/>
    <cellStyle name="Normal 7 2 12" xfId="19140" xr:uid="{00000000-0005-0000-0000-00003C690000}"/>
    <cellStyle name="Normal 7 2 13" xfId="28950" xr:uid="{00000000-0005-0000-0000-00003D690000}"/>
    <cellStyle name="Normal 7 2 2" xfId="334" xr:uid="{00000000-0005-0000-0000-00003E690000}"/>
    <cellStyle name="Normal 7 2 2 2" xfId="574" xr:uid="{00000000-0005-0000-0000-00003F690000}"/>
    <cellStyle name="Normal 7 2 2 2 2" xfId="1062" xr:uid="{00000000-0005-0000-0000-000040690000}"/>
    <cellStyle name="Normal 7 2 2 2 2 2" xfId="2770" xr:uid="{00000000-0005-0000-0000-000041690000}"/>
    <cellStyle name="Normal 7 2 2 2 2 2 2" xfId="7564" xr:uid="{00000000-0005-0000-0000-000042690000}"/>
    <cellStyle name="Normal 7 2 2 2 2 2 2 2" xfId="16888" xr:uid="{00000000-0005-0000-0000-000043690000}"/>
    <cellStyle name="Normal 7 2 2 2 2 2 2 3" xfId="26211" xr:uid="{00000000-0005-0000-0000-000044690000}"/>
    <cellStyle name="Normal 7 2 2 2 2 2 3" xfId="12226" xr:uid="{00000000-0005-0000-0000-000045690000}"/>
    <cellStyle name="Normal 7 2 2 2 2 2 4" xfId="21552" xr:uid="{00000000-0005-0000-0000-000046690000}"/>
    <cellStyle name="Normal 7 2 2 2 2 3" xfId="4448" xr:uid="{00000000-0005-0000-0000-000047690000}"/>
    <cellStyle name="Normal 7 2 2 2 2 3 2" xfId="9125" xr:uid="{00000000-0005-0000-0000-000048690000}"/>
    <cellStyle name="Normal 7 2 2 2 2 3 2 2" xfId="18449" xr:uid="{00000000-0005-0000-0000-000049690000}"/>
    <cellStyle name="Normal 7 2 2 2 2 3 2 3" xfId="27772" xr:uid="{00000000-0005-0000-0000-00004A690000}"/>
    <cellStyle name="Normal 7 2 2 2 2 3 3" xfId="13782" xr:uid="{00000000-0005-0000-0000-00004B690000}"/>
    <cellStyle name="Normal 7 2 2 2 2 3 4" xfId="23106" xr:uid="{00000000-0005-0000-0000-00004C690000}"/>
    <cellStyle name="Normal 7 2 2 2 2 4" xfId="6189" xr:uid="{00000000-0005-0000-0000-00004D690000}"/>
    <cellStyle name="Normal 7 2 2 2 2 4 2" xfId="15513" xr:uid="{00000000-0005-0000-0000-00004E690000}"/>
    <cellStyle name="Normal 7 2 2 2 2 4 3" xfId="24836" xr:uid="{00000000-0005-0000-0000-00004F690000}"/>
    <cellStyle name="Normal 7 2 2 2 2 5" xfId="10663" xr:uid="{00000000-0005-0000-0000-000050690000}"/>
    <cellStyle name="Normal 7 2 2 2 2 6" xfId="19987" xr:uid="{00000000-0005-0000-0000-000051690000}"/>
    <cellStyle name="Normal 7 2 2 2 3" xfId="2769" xr:uid="{00000000-0005-0000-0000-000052690000}"/>
    <cellStyle name="Normal 7 2 2 2 3 2" xfId="7563" xr:uid="{00000000-0005-0000-0000-000053690000}"/>
    <cellStyle name="Normal 7 2 2 2 3 2 2" xfId="16887" xr:uid="{00000000-0005-0000-0000-000054690000}"/>
    <cellStyle name="Normal 7 2 2 2 3 2 3" xfId="26210" xr:uid="{00000000-0005-0000-0000-000055690000}"/>
    <cellStyle name="Normal 7 2 2 2 3 3" xfId="12225" xr:uid="{00000000-0005-0000-0000-000056690000}"/>
    <cellStyle name="Normal 7 2 2 2 3 4" xfId="21551" xr:uid="{00000000-0005-0000-0000-000057690000}"/>
    <cellStyle name="Normal 7 2 2 2 4" xfId="4447" xr:uid="{00000000-0005-0000-0000-000058690000}"/>
    <cellStyle name="Normal 7 2 2 2 4 2" xfId="9124" xr:uid="{00000000-0005-0000-0000-000059690000}"/>
    <cellStyle name="Normal 7 2 2 2 4 2 2" xfId="18448" xr:uid="{00000000-0005-0000-0000-00005A690000}"/>
    <cellStyle name="Normal 7 2 2 2 4 2 3" xfId="27771" xr:uid="{00000000-0005-0000-0000-00005B690000}"/>
    <cellStyle name="Normal 7 2 2 2 4 3" xfId="13781" xr:uid="{00000000-0005-0000-0000-00005C690000}"/>
    <cellStyle name="Normal 7 2 2 2 4 4" xfId="23105" xr:uid="{00000000-0005-0000-0000-00005D690000}"/>
    <cellStyle name="Normal 7 2 2 2 5" xfId="6188" xr:uid="{00000000-0005-0000-0000-00005E690000}"/>
    <cellStyle name="Normal 7 2 2 2 5 2" xfId="15512" xr:uid="{00000000-0005-0000-0000-00005F690000}"/>
    <cellStyle name="Normal 7 2 2 2 5 3" xfId="24835" xr:uid="{00000000-0005-0000-0000-000060690000}"/>
    <cellStyle name="Normal 7 2 2 2 6" xfId="9685" xr:uid="{00000000-0005-0000-0000-000061690000}"/>
    <cellStyle name="Normal 7 2 2 2 6 2" xfId="19009" xr:uid="{00000000-0005-0000-0000-000062690000}"/>
    <cellStyle name="Normal 7 2 2 2 6 3" xfId="28332" xr:uid="{00000000-0005-0000-0000-000063690000}"/>
    <cellStyle name="Normal 7 2 2 2 7" xfId="10179" xr:uid="{00000000-0005-0000-0000-000064690000}"/>
    <cellStyle name="Normal 7 2 2 2 8" xfId="19503" xr:uid="{00000000-0005-0000-0000-000065690000}"/>
    <cellStyle name="Normal 7 2 2 3" xfId="822" xr:uid="{00000000-0005-0000-0000-000066690000}"/>
    <cellStyle name="Normal 7 2 2 3 2" xfId="2771" xr:uid="{00000000-0005-0000-0000-000067690000}"/>
    <cellStyle name="Normal 7 2 2 3 2 2" xfId="7565" xr:uid="{00000000-0005-0000-0000-000068690000}"/>
    <cellStyle name="Normal 7 2 2 3 2 2 2" xfId="16889" xr:uid="{00000000-0005-0000-0000-000069690000}"/>
    <cellStyle name="Normal 7 2 2 3 2 2 3" xfId="26212" xr:uid="{00000000-0005-0000-0000-00006A690000}"/>
    <cellStyle name="Normal 7 2 2 3 2 3" xfId="12227" xr:uid="{00000000-0005-0000-0000-00006B690000}"/>
    <cellStyle name="Normal 7 2 2 3 2 4" xfId="21553" xr:uid="{00000000-0005-0000-0000-00006C690000}"/>
    <cellStyle name="Normal 7 2 2 3 3" xfId="4449" xr:uid="{00000000-0005-0000-0000-00006D690000}"/>
    <cellStyle name="Normal 7 2 2 3 3 2" xfId="9126" xr:uid="{00000000-0005-0000-0000-00006E690000}"/>
    <cellStyle name="Normal 7 2 2 3 3 2 2" xfId="18450" xr:uid="{00000000-0005-0000-0000-00006F690000}"/>
    <cellStyle name="Normal 7 2 2 3 3 2 3" xfId="27773" xr:uid="{00000000-0005-0000-0000-000070690000}"/>
    <cellStyle name="Normal 7 2 2 3 3 3" xfId="13783" xr:uid="{00000000-0005-0000-0000-000071690000}"/>
    <cellStyle name="Normal 7 2 2 3 3 4" xfId="23107" xr:uid="{00000000-0005-0000-0000-000072690000}"/>
    <cellStyle name="Normal 7 2 2 3 4" xfId="6190" xr:uid="{00000000-0005-0000-0000-000073690000}"/>
    <cellStyle name="Normal 7 2 2 3 4 2" xfId="15514" xr:uid="{00000000-0005-0000-0000-000074690000}"/>
    <cellStyle name="Normal 7 2 2 3 4 3" xfId="24837" xr:uid="{00000000-0005-0000-0000-000075690000}"/>
    <cellStyle name="Normal 7 2 2 3 5" xfId="10423" xr:uid="{00000000-0005-0000-0000-000076690000}"/>
    <cellStyle name="Normal 7 2 2 3 6" xfId="19747" xr:uid="{00000000-0005-0000-0000-000077690000}"/>
    <cellStyle name="Normal 7 2 2 4" xfId="2768" xr:uid="{00000000-0005-0000-0000-000078690000}"/>
    <cellStyle name="Normal 7 2 2 4 2" xfId="7562" xr:uid="{00000000-0005-0000-0000-000079690000}"/>
    <cellStyle name="Normal 7 2 2 4 2 2" xfId="16886" xr:uid="{00000000-0005-0000-0000-00007A690000}"/>
    <cellStyle name="Normal 7 2 2 4 2 3" xfId="26209" xr:uid="{00000000-0005-0000-0000-00007B690000}"/>
    <cellStyle name="Normal 7 2 2 4 3" xfId="12224" xr:uid="{00000000-0005-0000-0000-00007C690000}"/>
    <cellStyle name="Normal 7 2 2 4 4" xfId="21550" xr:uid="{00000000-0005-0000-0000-00007D690000}"/>
    <cellStyle name="Normal 7 2 2 5" xfId="4446" xr:uid="{00000000-0005-0000-0000-00007E690000}"/>
    <cellStyle name="Normal 7 2 2 5 2" xfId="9123" xr:uid="{00000000-0005-0000-0000-00007F690000}"/>
    <cellStyle name="Normal 7 2 2 5 2 2" xfId="18447" xr:uid="{00000000-0005-0000-0000-000080690000}"/>
    <cellStyle name="Normal 7 2 2 5 2 3" xfId="27770" xr:uid="{00000000-0005-0000-0000-000081690000}"/>
    <cellStyle name="Normal 7 2 2 5 3" xfId="13780" xr:uid="{00000000-0005-0000-0000-000082690000}"/>
    <cellStyle name="Normal 7 2 2 5 4" xfId="23104" xr:uid="{00000000-0005-0000-0000-000083690000}"/>
    <cellStyle name="Normal 7 2 2 6" xfId="6187" xr:uid="{00000000-0005-0000-0000-000084690000}"/>
    <cellStyle name="Normal 7 2 2 6 2" xfId="15511" xr:uid="{00000000-0005-0000-0000-000085690000}"/>
    <cellStyle name="Normal 7 2 2 6 3" xfId="24834" xr:uid="{00000000-0005-0000-0000-000086690000}"/>
    <cellStyle name="Normal 7 2 2 7" xfId="9445" xr:uid="{00000000-0005-0000-0000-000087690000}"/>
    <cellStyle name="Normal 7 2 2 7 2" xfId="18769" xr:uid="{00000000-0005-0000-0000-000088690000}"/>
    <cellStyle name="Normal 7 2 2 7 3" xfId="28092" xr:uid="{00000000-0005-0000-0000-000089690000}"/>
    <cellStyle name="Normal 7 2 2 8" xfId="9939" xr:uid="{00000000-0005-0000-0000-00008A690000}"/>
    <cellStyle name="Normal 7 2 2 9" xfId="19263" xr:uid="{00000000-0005-0000-0000-00008B690000}"/>
    <cellStyle name="Normal 7 2 3" xfId="452" xr:uid="{00000000-0005-0000-0000-00008C690000}"/>
    <cellStyle name="Normal 7 2 3 2" xfId="940" xr:uid="{00000000-0005-0000-0000-00008D690000}"/>
    <cellStyle name="Normal 7 2 3 2 2" xfId="2773" xr:uid="{00000000-0005-0000-0000-00008E690000}"/>
    <cellStyle name="Normal 7 2 3 2 2 2" xfId="7567" xr:uid="{00000000-0005-0000-0000-00008F690000}"/>
    <cellStyle name="Normal 7 2 3 2 2 2 2" xfId="16891" xr:uid="{00000000-0005-0000-0000-000090690000}"/>
    <cellStyle name="Normal 7 2 3 2 2 2 3" xfId="26214" xr:uid="{00000000-0005-0000-0000-000091690000}"/>
    <cellStyle name="Normal 7 2 3 2 2 3" xfId="12229" xr:uid="{00000000-0005-0000-0000-000092690000}"/>
    <cellStyle name="Normal 7 2 3 2 2 4" xfId="21555" xr:uid="{00000000-0005-0000-0000-000093690000}"/>
    <cellStyle name="Normal 7 2 3 2 3" xfId="4451" xr:uid="{00000000-0005-0000-0000-000094690000}"/>
    <cellStyle name="Normal 7 2 3 2 3 2" xfId="9128" xr:uid="{00000000-0005-0000-0000-000095690000}"/>
    <cellStyle name="Normal 7 2 3 2 3 2 2" xfId="18452" xr:uid="{00000000-0005-0000-0000-000096690000}"/>
    <cellStyle name="Normal 7 2 3 2 3 2 3" xfId="27775" xr:uid="{00000000-0005-0000-0000-000097690000}"/>
    <cellStyle name="Normal 7 2 3 2 3 3" xfId="13785" xr:uid="{00000000-0005-0000-0000-000098690000}"/>
    <cellStyle name="Normal 7 2 3 2 3 4" xfId="23109" xr:uid="{00000000-0005-0000-0000-000099690000}"/>
    <cellStyle name="Normal 7 2 3 2 4" xfId="6192" xr:uid="{00000000-0005-0000-0000-00009A690000}"/>
    <cellStyle name="Normal 7 2 3 2 4 2" xfId="15516" xr:uid="{00000000-0005-0000-0000-00009B690000}"/>
    <cellStyle name="Normal 7 2 3 2 4 3" xfId="24839" xr:uid="{00000000-0005-0000-0000-00009C690000}"/>
    <cellStyle name="Normal 7 2 3 2 5" xfId="10541" xr:uid="{00000000-0005-0000-0000-00009D690000}"/>
    <cellStyle name="Normal 7 2 3 2 6" xfId="19865" xr:uid="{00000000-0005-0000-0000-00009E690000}"/>
    <cellStyle name="Normal 7 2 3 3" xfId="2772" xr:uid="{00000000-0005-0000-0000-00009F690000}"/>
    <cellStyle name="Normal 7 2 3 3 2" xfId="7566" xr:uid="{00000000-0005-0000-0000-0000A0690000}"/>
    <cellStyle name="Normal 7 2 3 3 2 2" xfId="16890" xr:uid="{00000000-0005-0000-0000-0000A1690000}"/>
    <cellStyle name="Normal 7 2 3 3 2 3" xfId="26213" xr:uid="{00000000-0005-0000-0000-0000A2690000}"/>
    <cellStyle name="Normal 7 2 3 3 3" xfId="12228" xr:uid="{00000000-0005-0000-0000-0000A3690000}"/>
    <cellStyle name="Normal 7 2 3 3 4" xfId="21554" xr:uid="{00000000-0005-0000-0000-0000A4690000}"/>
    <cellStyle name="Normal 7 2 3 4" xfId="4450" xr:uid="{00000000-0005-0000-0000-0000A5690000}"/>
    <cellStyle name="Normal 7 2 3 4 2" xfId="9127" xr:uid="{00000000-0005-0000-0000-0000A6690000}"/>
    <cellStyle name="Normal 7 2 3 4 2 2" xfId="18451" xr:uid="{00000000-0005-0000-0000-0000A7690000}"/>
    <cellStyle name="Normal 7 2 3 4 2 3" xfId="27774" xr:uid="{00000000-0005-0000-0000-0000A8690000}"/>
    <cellStyle name="Normal 7 2 3 4 3" xfId="13784" xr:uid="{00000000-0005-0000-0000-0000A9690000}"/>
    <cellStyle name="Normal 7 2 3 4 4" xfId="23108" xr:uid="{00000000-0005-0000-0000-0000AA690000}"/>
    <cellStyle name="Normal 7 2 3 5" xfId="6191" xr:uid="{00000000-0005-0000-0000-0000AB690000}"/>
    <cellStyle name="Normal 7 2 3 5 2" xfId="15515" xr:uid="{00000000-0005-0000-0000-0000AC690000}"/>
    <cellStyle name="Normal 7 2 3 5 3" xfId="24838" xr:uid="{00000000-0005-0000-0000-0000AD690000}"/>
    <cellStyle name="Normal 7 2 3 6" xfId="9563" xr:uid="{00000000-0005-0000-0000-0000AE690000}"/>
    <cellStyle name="Normal 7 2 3 6 2" xfId="18887" xr:uid="{00000000-0005-0000-0000-0000AF690000}"/>
    <cellStyle name="Normal 7 2 3 6 3" xfId="28210" xr:uid="{00000000-0005-0000-0000-0000B0690000}"/>
    <cellStyle name="Normal 7 2 3 7" xfId="10057" xr:uid="{00000000-0005-0000-0000-0000B1690000}"/>
    <cellStyle name="Normal 7 2 3 8" xfId="19381" xr:uid="{00000000-0005-0000-0000-0000B2690000}"/>
    <cellStyle name="Normal 7 2 4" xfId="700" xr:uid="{00000000-0005-0000-0000-0000B3690000}"/>
    <cellStyle name="Normal 7 2 4 2" xfId="2774" xr:uid="{00000000-0005-0000-0000-0000B4690000}"/>
    <cellStyle name="Normal 7 2 4 2 2" xfId="7568" xr:uid="{00000000-0005-0000-0000-0000B5690000}"/>
    <cellStyle name="Normal 7 2 4 2 2 2" xfId="16892" xr:uid="{00000000-0005-0000-0000-0000B6690000}"/>
    <cellStyle name="Normal 7 2 4 2 2 3" xfId="26215" xr:uid="{00000000-0005-0000-0000-0000B7690000}"/>
    <cellStyle name="Normal 7 2 4 2 3" xfId="12230" xr:uid="{00000000-0005-0000-0000-0000B8690000}"/>
    <cellStyle name="Normal 7 2 4 2 4" xfId="21556" xr:uid="{00000000-0005-0000-0000-0000B9690000}"/>
    <cellStyle name="Normal 7 2 4 3" xfId="4452" xr:uid="{00000000-0005-0000-0000-0000BA690000}"/>
    <cellStyle name="Normal 7 2 4 3 2" xfId="9129" xr:uid="{00000000-0005-0000-0000-0000BB690000}"/>
    <cellStyle name="Normal 7 2 4 3 2 2" xfId="18453" xr:uid="{00000000-0005-0000-0000-0000BC690000}"/>
    <cellStyle name="Normal 7 2 4 3 2 3" xfId="27776" xr:uid="{00000000-0005-0000-0000-0000BD690000}"/>
    <cellStyle name="Normal 7 2 4 3 3" xfId="13786" xr:uid="{00000000-0005-0000-0000-0000BE690000}"/>
    <cellStyle name="Normal 7 2 4 3 4" xfId="23110" xr:uid="{00000000-0005-0000-0000-0000BF690000}"/>
    <cellStyle name="Normal 7 2 4 4" xfId="6193" xr:uid="{00000000-0005-0000-0000-0000C0690000}"/>
    <cellStyle name="Normal 7 2 4 4 2" xfId="15517" xr:uid="{00000000-0005-0000-0000-0000C1690000}"/>
    <cellStyle name="Normal 7 2 4 4 3" xfId="24840" xr:uid="{00000000-0005-0000-0000-0000C2690000}"/>
    <cellStyle name="Normal 7 2 4 5" xfId="10301" xr:uid="{00000000-0005-0000-0000-0000C3690000}"/>
    <cellStyle name="Normal 7 2 4 6" xfId="19625" xr:uid="{00000000-0005-0000-0000-0000C4690000}"/>
    <cellStyle name="Normal 7 2 5" xfId="2775" xr:uid="{00000000-0005-0000-0000-0000C5690000}"/>
    <cellStyle name="Normal 7 2 5 2" xfId="4453" xr:uid="{00000000-0005-0000-0000-0000C6690000}"/>
    <cellStyle name="Normal 7 2 5 2 2" xfId="9130" xr:uid="{00000000-0005-0000-0000-0000C7690000}"/>
    <cellStyle name="Normal 7 2 5 2 2 2" xfId="18454" xr:uid="{00000000-0005-0000-0000-0000C8690000}"/>
    <cellStyle name="Normal 7 2 5 2 2 3" xfId="27777" xr:uid="{00000000-0005-0000-0000-0000C9690000}"/>
    <cellStyle name="Normal 7 2 5 2 3" xfId="13787" xr:uid="{00000000-0005-0000-0000-0000CA690000}"/>
    <cellStyle name="Normal 7 2 5 2 4" xfId="23111" xr:uid="{00000000-0005-0000-0000-0000CB690000}"/>
    <cellStyle name="Normal 7 2 5 3" xfId="6194" xr:uid="{00000000-0005-0000-0000-0000CC690000}"/>
    <cellStyle name="Normal 7 2 5 3 2" xfId="15518" xr:uid="{00000000-0005-0000-0000-0000CD690000}"/>
    <cellStyle name="Normal 7 2 5 3 3" xfId="24841" xr:uid="{00000000-0005-0000-0000-0000CE690000}"/>
    <cellStyle name="Normal 7 2 5 4" xfId="12231" xr:uid="{00000000-0005-0000-0000-0000CF690000}"/>
    <cellStyle name="Normal 7 2 5 5" xfId="21557" xr:uid="{00000000-0005-0000-0000-0000D0690000}"/>
    <cellStyle name="Normal 7 2 6" xfId="2776" xr:uid="{00000000-0005-0000-0000-0000D1690000}"/>
    <cellStyle name="Normal 7 2 6 2" xfId="4454" xr:uid="{00000000-0005-0000-0000-0000D2690000}"/>
    <cellStyle name="Normal 7 2 6 2 2" xfId="9131" xr:uid="{00000000-0005-0000-0000-0000D3690000}"/>
    <cellStyle name="Normal 7 2 6 2 2 2" xfId="18455" xr:uid="{00000000-0005-0000-0000-0000D4690000}"/>
    <cellStyle name="Normal 7 2 6 2 2 3" xfId="27778" xr:uid="{00000000-0005-0000-0000-0000D5690000}"/>
    <cellStyle name="Normal 7 2 6 2 3" xfId="13788" xr:uid="{00000000-0005-0000-0000-0000D6690000}"/>
    <cellStyle name="Normal 7 2 6 2 4" xfId="23112" xr:uid="{00000000-0005-0000-0000-0000D7690000}"/>
    <cellStyle name="Normal 7 2 6 3" xfId="6195" xr:uid="{00000000-0005-0000-0000-0000D8690000}"/>
    <cellStyle name="Normal 7 2 6 3 2" xfId="15519" xr:uid="{00000000-0005-0000-0000-0000D9690000}"/>
    <cellStyle name="Normal 7 2 6 3 3" xfId="24842" xr:uid="{00000000-0005-0000-0000-0000DA690000}"/>
    <cellStyle name="Normal 7 2 6 4" xfId="12232" xr:uid="{00000000-0005-0000-0000-0000DB690000}"/>
    <cellStyle name="Normal 7 2 6 5" xfId="21558" xr:uid="{00000000-0005-0000-0000-0000DC690000}"/>
    <cellStyle name="Normal 7 2 7" xfId="2767" xr:uid="{00000000-0005-0000-0000-0000DD690000}"/>
    <cellStyle name="Normal 7 2 7 2" xfId="7561" xr:uid="{00000000-0005-0000-0000-0000DE690000}"/>
    <cellStyle name="Normal 7 2 7 2 2" xfId="16885" xr:uid="{00000000-0005-0000-0000-0000DF690000}"/>
    <cellStyle name="Normal 7 2 7 2 3" xfId="26208" xr:uid="{00000000-0005-0000-0000-0000E0690000}"/>
    <cellStyle name="Normal 7 2 7 3" xfId="12223" xr:uid="{00000000-0005-0000-0000-0000E1690000}"/>
    <cellStyle name="Normal 7 2 7 4" xfId="21549" xr:uid="{00000000-0005-0000-0000-0000E2690000}"/>
    <cellStyle name="Normal 7 2 8" xfId="4445" xr:uid="{00000000-0005-0000-0000-0000E3690000}"/>
    <cellStyle name="Normal 7 2 8 2" xfId="9122" xr:uid="{00000000-0005-0000-0000-0000E4690000}"/>
    <cellStyle name="Normal 7 2 8 2 2" xfId="18446" xr:uid="{00000000-0005-0000-0000-0000E5690000}"/>
    <cellStyle name="Normal 7 2 8 2 3" xfId="27769" xr:uid="{00000000-0005-0000-0000-0000E6690000}"/>
    <cellStyle name="Normal 7 2 8 3" xfId="13779" xr:uid="{00000000-0005-0000-0000-0000E7690000}"/>
    <cellStyle name="Normal 7 2 8 4" xfId="23103" xr:uid="{00000000-0005-0000-0000-0000E8690000}"/>
    <cellStyle name="Normal 7 2 9" xfId="6186" xr:uid="{00000000-0005-0000-0000-0000E9690000}"/>
    <cellStyle name="Normal 7 2 9 2" xfId="15510" xr:uid="{00000000-0005-0000-0000-0000EA690000}"/>
    <cellStyle name="Normal 7 2 9 3" xfId="24833" xr:uid="{00000000-0005-0000-0000-0000EB690000}"/>
    <cellStyle name="Normal 7 3" xfId="281" xr:uid="{00000000-0005-0000-0000-0000EC690000}"/>
    <cellStyle name="Normal 7 3 2" xfId="529" xr:uid="{00000000-0005-0000-0000-0000ED690000}"/>
    <cellStyle name="Normal 7 3 2 2" xfId="1017" xr:uid="{00000000-0005-0000-0000-0000EE690000}"/>
    <cellStyle name="Normal 7 3 2 2 2" xfId="6283" xr:uid="{00000000-0005-0000-0000-0000EF690000}"/>
    <cellStyle name="Normal 7 3 2 2 2 2" xfId="15607" xr:uid="{00000000-0005-0000-0000-0000F0690000}"/>
    <cellStyle name="Normal 7 3 2 2 2 3" xfId="24930" xr:uid="{00000000-0005-0000-0000-0000F1690000}"/>
    <cellStyle name="Normal 7 3 2 2 3" xfId="10618" xr:uid="{00000000-0005-0000-0000-0000F2690000}"/>
    <cellStyle name="Normal 7 3 2 2 4" xfId="19942" xr:uid="{00000000-0005-0000-0000-0000F3690000}"/>
    <cellStyle name="Normal 7 3 2 3" xfId="7105" xr:uid="{00000000-0005-0000-0000-0000F4690000}"/>
    <cellStyle name="Normal 7 3 2 3 2" xfId="16429" xr:uid="{00000000-0005-0000-0000-0000F5690000}"/>
    <cellStyle name="Normal 7 3 2 3 3" xfId="25752" xr:uid="{00000000-0005-0000-0000-0000F6690000}"/>
    <cellStyle name="Normal 7 3 2 4" xfId="9640" xr:uid="{00000000-0005-0000-0000-0000F7690000}"/>
    <cellStyle name="Normal 7 3 2 4 2" xfId="18964" xr:uid="{00000000-0005-0000-0000-0000F8690000}"/>
    <cellStyle name="Normal 7 3 2 4 3" xfId="28287" xr:uid="{00000000-0005-0000-0000-0000F9690000}"/>
    <cellStyle name="Normal 7 3 2 5" xfId="10134" xr:uid="{00000000-0005-0000-0000-0000FA690000}"/>
    <cellStyle name="Normal 7 3 2 6" xfId="19458" xr:uid="{00000000-0005-0000-0000-0000FB690000}"/>
    <cellStyle name="Normal 7 3 3" xfId="777" xr:uid="{00000000-0005-0000-0000-0000FC690000}"/>
    <cellStyle name="Normal 7 3 3 2" xfId="6958" xr:uid="{00000000-0005-0000-0000-0000FD690000}"/>
    <cellStyle name="Normal 7 3 3 2 2" xfId="16282" xr:uid="{00000000-0005-0000-0000-0000FE690000}"/>
    <cellStyle name="Normal 7 3 3 2 3" xfId="25605" xr:uid="{00000000-0005-0000-0000-0000FF690000}"/>
    <cellStyle name="Normal 7 3 3 3" xfId="10378" xr:uid="{00000000-0005-0000-0000-0000006A0000}"/>
    <cellStyle name="Normal 7 3 3 4" xfId="19702" xr:uid="{00000000-0005-0000-0000-0000016A0000}"/>
    <cellStyle name="Normal 7 3 4" xfId="2777" xr:uid="{00000000-0005-0000-0000-0000026A0000}"/>
    <cellStyle name="Normal 7 3 5" xfId="7239" xr:uid="{00000000-0005-0000-0000-0000036A0000}"/>
    <cellStyle name="Normal 7 3 5 2" xfId="16563" xr:uid="{00000000-0005-0000-0000-0000046A0000}"/>
    <cellStyle name="Normal 7 3 5 3" xfId="25886" xr:uid="{00000000-0005-0000-0000-0000056A0000}"/>
    <cellStyle name="Normal 7 3 6" xfId="9399" xr:uid="{00000000-0005-0000-0000-0000066A0000}"/>
    <cellStyle name="Normal 7 3 6 2" xfId="18723" xr:uid="{00000000-0005-0000-0000-0000076A0000}"/>
    <cellStyle name="Normal 7 3 6 3" xfId="28046" xr:uid="{00000000-0005-0000-0000-0000086A0000}"/>
    <cellStyle name="Normal 7 3 7" xfId="9893" xr:uid="{00000000-0005-0000-0000-0000096A0000}"/>
    <cellStyle name="Normal 7 3 8" xfId="19217" xr:uid="{00000000-0005-0000-0000-00000A6A0000}"/>
    <cellStyle name="Normal 7 4" xfId="393" xr:uid="{00000000-0005-0000-0000-00000B6A0000}"/>
    <cellStyle name="Normal 7 4 2" xfId="881" xr:uid="{00000000-0005-0000-0000-00000C6A0000}"/>
    <cellStyle name="Normal 7 4 2 2" xfId="2779" xr:uid="{00000000-0005-0000-0000-00000D6A0000}"/>
    <cellStyle name="Normal 7 4 2 2 2" xfId="7570" xr:uid="{00000000-0005-0000-0000-00000E6A0000}"/>
    <cellStyle name="Normal 7 4 2 2 2 2" xfId="16894" xr:uid="{00000000-0005-0000-0000-00000F6A0000}"/>
    <cellStyle name="Normal 7 4 2 2 2 3" xfId="26217" xr:uid="{00000000-0005-0000-0000-0000106A0000}"/>
    <cellStyle name="Normal 7 4 2 2 3" xfId="12234" xr:uid="{00000000-0005-0000-0000-0000116A0000}"/>
    <cellStyle name="Normal 7 4 2 2 4" xfId="21560" xr:uid="{00000000-0005-0000-0000-0000126A0000}"/>
    <cellStyle name="Normal 7 4 2 3" xfId="4456" xr:uid="{00000000-0005-0000-0000-0000136A0000}"/>
    <cellStyle name="Normal 7 4 2 3 2" xfId="9133" xr:uid="{00000000-0005-0000-0000-0000146A0000}"/>
    <cellStyle name="Normal 7 4 2 3 2 2" xfId="18457" xr:uid="{00000000-0005-0000-0000-0000156A0000}"/>
    <cellStyle name="Normal 7 4 2 3 2 3" xfId="27780" xr:uid="{00000000-0005-0000-0000-0000166A0000}"/>
    <cellStyle name="Normal 7 4 2 3 3" xfId="13790" xr:uid="{00000000-0005-0000-0000-0000176A0000}"/>
    <cellStyle name="Normal 7 4 2 3 4" xfId="23114" xr:uid="{00000000-0005-0000-0000-0000186A0000}"/>
    <cellStyle name="Normal 7 4 2 4" xfId="6198" xr:uid="{00000000-0005-0000-0000-0000196A0000}"/>
    <cellStyle name="Normal 7 4 2 4 2" xfId="15522" xr:uid="{00000000-0005-0000-0000-00001A6A0000}"/>
    <cellStyle name="Normal 7 4 2 4 3" xfId="24845" xr:uid="{00000000-0005-0000-0000-00001B6A0000}"/>
    <cellStyle name="Normal 7 4 2 5" xfId="10482" xr:uid="{00000000-0005-0000-0000-00001C6A0000}"/>
    <cellStyle name="Normal 7 4 2 6" xfId="19806" xr:uid="{00000000-0005-0000-0000-00001D6A0000}"/>
    <cellStyle name="Normal 7 4 3" xfId="2778" xr:uid="{00000000-0005-0000-0000-00001E6A0000}"/>
    <cellStyle name="Normal 7 4 3 2" xfId="7569" xr:uid="{00000000-0005-0000-0000-00001F6A0000}"/>
    <cellStyle name="Normal 7 4 3 2 2" xfId="16893" xr:uid="{00000000-0005-0000-0000-0000206A0000}"/>
    <cellStyle name="Normal 7 4 3 2 3" xfId="26216" xr:uid="{00000000-0005-0000-0000-0000216A0000}"/>
    <cellStyle name="Normal 7 4 3 3" xfId="12233" xr:uid="{00000000-0005-0000-0000-0000226A0000}"/>
    <cellStyle name="Normal 7 4 3 4" xfId="21559" xr:uid="{00000000-0005-0000-0000-0000236A0000}"/>
    <cellStyle name="Normal 7 4 4" xfId="4455" xr:uid="{00000000-0005-0000-0000-0000246A0000}"/>
    <cellStyle name="Normal 7 4 4 2" xfId="9132" xr:uid="{00000000-0005-0000-0000-0000256A0000}"/>
    <cellStyle name="Normal 7 4 4 2 2" xfId="18456" xr:uid="{00000000-0005-0000-0000-0000266A0000}"/>
    <cellStyle name="Normal 7 4 4 2 3" xfId="27779" xr:uid="{00000000-0005-0000-0000-0000276A0000}"/>
    <cellStyle name="Normal 7 4 4 3" xfId="13789" xr:uid="{00000000-0005-0000-0000-0000286A0000}"/>
    <cellStyle name="Normal 7 4 4 4" xfId="23113" xr:uid="{00000000-0005-0000-0000-0000296A0000}"/>
    <cellStyle name="Normal 7 4 5" xfId="6197" xr:uid="{00000000-0005-0000-0000-00002A6A0000}"/>
    <cellStyle name="Normal 7 4 5 2" xfId="15521" xr:uid="{00000000-0005-0000-0000-00002B6A0000}"/>
    <cellStyle name="Normal 7 4 5 3" xfId="24844" xr:uid="{00000000-0005-0000-0000-00002C6A0000}"/>
    <cellStyle name="Normal 7 4 6" xfId="9504" xr:uid="{00000000-0005-0000-0000-00002D6A0000}"/>
    <cellStyle name="Normal 7 4 6 2" xfId="18828" xr:uid="{00000000-0005-0000-0000-00002E6A0000}"/>
    <cellStyle name="Normal 7 4 6 3" xfId="28151" xr:uid="{00000000-0005-0000-0000-00002F6A0000}"/>
    <cellStyle name="Normal 7 4 7" xfId="9998" xr:uid="{00000000-0005-0000-0000-0000306A0000}"/>
    <cellStyle name="Normal 7 4 8" xfId="19322" xr:uid="{00000000-0005-0000-0000-0000316A0000}"/>
    <cellStyle name="Normal 7 5" xfId="641" xr:uid="{00000000-0005-0000-0000-0000326A0000}"/>
    <cellStyle name="Normal 7 5 2" xfId="2780" xr:uid="{00000000-0005-0000-0000-0000336A0000}"/>
    <cellStyle name="Normal 7 5 2 2" xfId="7571" xr:uid="{00000000-0005-0000-0000-0000346A0000}"/>
    <cellStyle name="Normal 7 5 2 2 2" xfId="16895" xr:uid="{00000000-0005-0000-0000-0000356A0000}"/>
    <cellStyle name="Normal 7 5 2 2 3" xfId="26218" xr:uid="{00000000-0005-0000-0000-0000366A0000}"/>
    <cellStyle name="Normal 7 5 2 3" xfId="12235" xr:uid="{00000000-0005-0000-0000-0000376A0000}"/>
    <cellStyle name="Normal 7 5 2 4" xfId="21561" xr:uid="{00000000-0005-0000-0000-0000386A0000}"/>
    <cellStyle name="Normal 7 5 3" xfId="4457" xr:uid="{00000000-0005-0000-0000-0000396A0000}"/>
    <cellStyle name="Normal 7 5 3 2" xfId="9134" xr:uid="{00000000-0005-0000-0000-00003A6A0000}"/>
    <cellStyle name="Normal 7 5 3 2 2" xfId="18458" xr:uid="{00000000-0005-0000-0000-00003B6A0000}"/>
    <cellStyle name="Normal 7 5 3 2 3" xfId="27781" xr:uid="{00000000-0005-0000-0000-00003C6A0000}"/>
    <cellStyle name="Normal 7 5 3 3" xfId="13791" xr:uid="{00000000-0005-0000-0000-00003D6A0000}"/>
    <cellStyle name="Normal 7 5 3 4" xfId="23115" xr:uid="{00000000-0005-0000-0000-00003E6A0000}"/>
    <cellStyle name="Normal 7 5 4" xfId="6199" xr:uid="{00000000-0005-0000-0000-00003F6A0000}"/>
    <cellStyle name="Normal 7 5 4 2" xfId="15523" xr:uid="{00000000-0005-0000-0000-0000406A0000}"/>
    <cellStyle name="Normal 7 5 4 3" xfId="24846" xr:uid="{00000000-0005-0000-0000-0000416A0000}"/>
    <cellStyle name="Normal 7 5 5" xfId="10242" xr:uid="{00000000-0005-0000-0000-0000426A0000}"/>
    <cellStyle name="Normal 7 5 6" xfId="19566" xr:uid="{00000000-0005-0000-0000-0000436A0000}"/>
    <cellStyle name="Normal 7 6" xfId="2766" xr:uid="{00000000-0005-0000-0000-0000446A0000}"/>
    <cellStyle name="Normal 7 6 2" xfId="4444" xr:uid="{00000000-0005-0000-0000-0000456A0000}"/>
    <cellStyle name="Normal 7 6 2 2" xfId="9121" xr:uid="{00000000-0005-0000-0000-0000466A0000}"/>
    <cellStyle name="Normal 7 6 2 2 2" xfId="18445" xr:uid="{00000000-0005-0000-0000-0000476A0000}"/>
    <cellStyle name="Normal 7 6 2 2 3" xfId="27768" xr:uid="{00000000-0005-0000-0000-0000486A0000}"/>
    <cellStyle name="Normal 7 6 2 3" xfId="13778" xr:uid="{00000000-0005-0000-0000-0000496A0000}"/>
    <cellStyle name="Normal 7 6 2 4" xfId="23102" xr:uid="{00000000-0005-0000-0000-00004A6A0000}"/>
    <cellStyle name="Normal 7 6 3" xfId="6185" xr:uid="{00000000-0005-0000-0000-00004B6A0000}"/>
    <cellStyle name="Normal 7 6 3 2" xfId="15509" xr:uid="{00000000-0005-0000-0000-00004C6A0000}"/>
    <cellStyle name="Normal 7 6 3 3" xfId="24832" xr:uid="{00000000-0005-0000-0000-00004D6A0000}"/>
    <cellStyle name="Normal 7 6 4" xfId="12222" xr:uid="{00000000-0005-0000-0000-00004E6A0000}"/>
    <cellStyle name="Normal 7 6 5" xfId="21548" xr:uid="{00000000-0005-0000-0000-00004F6A0000}"/>
    <cellStyle name="Normal 7 7" xfId="1338" xr:uid="{00000000-0005-0000-0000-0000506A0000}"/>
    <cellStyle name="Normal 7 8" xfId="9250" xr:uid="{00000000-0005-0000-0000-0000516A0000}"/>
    <cellStyle name="Normal 7 8 2" xfId="18574" xr:uid="{00000000-0005-0000-0000-0000526A0000}"/>
    <cellStyle name="Normal 7 8 3" xfId="27897" xr:uid="{00000000-0005-0000-0000-0000536A0000}"/>
    <cellStyle name="Normal 7 9" xfId="9744" xr:uid="{00000000-0005-0000-0000-0000546A0000}"/>
    <cellStyle name="Normal 70" xfId="28974" xr:uid="{00000000-0005-0000-0000-0000556A0000}"/>
    <cellStyle name="Normal 71" xfId="28976" xr:uid="{00000000-0005-0000-0000-0000566A0000}"/>
    <cellStyle name="Normal 72" xfId="28978" xr:uid="{00000000-0005-0000-0000-0000576A0000}"/>
    <cellStyle name="Normal 73" xfId="28980" xr:uid="{00000000-0005-0000-0000-0000586A0000}"/>
    <cellStyle name="Normal 74" xfId="28981" xr:uid="{00000000-0005-0000-0000-0000596A0000}"/>
    <cellStyle name="Normal 75" xfId="28982" xr:uid="{00000000-0005-0000-0000-00005A6A0000}"/>
    <cellStyle name="Normal 8" xfId="257" xr:uid="{00000000-0005-0000-0000-00005B6A0000}"/>
    <cellStyle name="Normal 8 10" xfId="28567" xr:uid="{00000000-0005-0000-0000-00005C6A0000}"/>
    <cellStyle name="Normal 8 2" xfId="2782" xr:uid="{00000000-0005-0000-0000-00005D6A0000}"/>
    <cellStyle name="Normal 8 2 10" xfId="12237" xr:uid="{00000000-0005-0000-0000-00005E6A0000}"/>
    <cellStyle name="Normal 8 2 11" xfId="21563" xr:uid="{00000000-0005-0000-0000-00005F6A0000}"/>
    <cellStyle name="Normal 8 2 12" xfId="28652" xr:uid="{00000000-0005-0000-0000-0000606A0000}"/>
    <cellStyle name="Normal 8 2 2" xfId="2783" xr:uid="{00000000-0005-0000-0000-0000616A0000}"/>
    <cellStyle name="Normal 8 2 2 2" xfId="2784" xr:uid="{00000000-0005-0000-0000-0000626A0000}"/>
    <cellStyle name="Normal 8 2 2 2 2" xfId="2785" xr:uid="{00000000-0005-0000-0000-0000636A0000}"/>
    <cellStyle name="Normal 8 2 2 2 2 2" xfId="4462" xr:uid="{00000000-0005-0000-0000-0000646A0000}"/>
    <cellStyle name="Normal 8 2 2 2 2 2 2" xfId="9139" xr:uid="{00000000-0005-0000-0000-0000656A0000}"/>
    <cellStyle name="Normal 8 2 2 2 2 2 2 2" xfId="18463" xr:uid="{00000000-0005-0000-0000-0000666A0000}"/>
    <cellStyle name="Normal 8 2 2 2 2 2 2 3" xfId="27786" xr:uid="{00000000-0005-0000-0000-0000676A0000}"/>
    <cellStyle name="Normal 8 2 2 2 2 2 3" xfId="13796" xr:uid="{00000000-0005-0000-0000-0000686A0000}"/>
    <cellStyle name="Normal 8 2 2 2 2 2 4" xfId="23120" xr:uid="{00000000-0005-0000-0000-0000696A0000}"/>
    <cellStyle name="Normal 8 2 2 2 2 3" xfId="6204" xr:uid="{00000000-0005-0000-0000-00006A6A0000}"/>
    <cellStyle name="Normal 8 2 2 2 2 3 2" xfId="15528" xr:uid="{00000000-0005-0000-0000-00006B6A0000}"/>
    <cellStyle name="Normal 8 2 2 2 2 3 3" xfId="24851" xr:uid="{00000000-0005-0000-0000-00006C6A0000}"/>
    <cellStyle name="Normal 8 2 2 2 2 4" xfId="12240" xr:uid="{00000000-0005-0000-0000-00006D6A0000}"/>
    <cellStyle name="Normal 8 2 2 2 2 5" xfId="21566" xr:uid="{00000000-0005-0000-0000-00006E6A0000}"/>
    <cellStyle name="Normal 8 2 2 2 3" xfId="4461" xr:uid="{00000000-0005-0000-0000-00006F6A0000}"/>
    <cellStyle name="Normal 8 2 2 2 3 2" xfId="9138" xr:uid="{00000000-0005-0000-0000-0000706A0000}"/>
    <cellStyle name="Normal 8 2 2 2 3 2 2" xfId="18462" xr:uid="{00000000-0005-0000-0000-0000716A0000}"/>
    <cellStyle name="Normal 8 2 2 2 3 2 3" xfId="27785" xr:uid="{00000000-0005-0000-0000-0000726A0000}"/>
    <cellStyle name="Normal 8 2 2 2 3 3" xfId="13795" xr:uid="{00000000-0005-0000-0000-0000736A0000}"/>
    <cellStyle name="Normal 8 2 2 2 3 4" xfId="23119" xr:uid="{00000000-0005-0000-0000-0000746A0000}"/>
    <cellStyle name="Normal 8 2 2 2 4" xfId="6203" xr:uid="{00000000-0005-0000-0000-0000756A0000}"/>
    <cellStyle name="Normal 8 2 2 2 4 2" xfId="15527" xr:uid="{00000000-0005-0000-0000-0000766A0000}"/>
    <cellStyle name="Normal 8 2 2 2 4 3" xfId="24850" xr:uid="{00000000-0005-0000-0000-0000776A0000}"/>
    <cellStyle name="Normal 8 2 2 2 5" xfId="12239" xr:uid="{00000000-0005-0000-0000-0000786A0000}"/>
    <cellStyle name="Normal 8 2 2 2 6" xfId="21565" xr:uid="{00000000-0005-0000-0000-0000796A0000}"/>
    <cellStyle name="Normal 8 2 2 3" xfId="2786" xr:uid="{00000000-0005-0000-0000-00007A6A0000}"/>
    <cellStyle name="Normal 8 2 2 3 2" xfId="4463" xr:uid="{00000000-0005-0000-0000-00007B6A0000}"/>
    <cellStyle name="Normal 8 2 2 3 2 2" xfId="9140" xr:uid="{00000000-0005-0000-0000-00007C6A0000}"/>
    <cellStyle name="Normal 8 2 2 3 2 2 2" xfId="18464" xr:uid="{00000000-0005-0000-0000-00007D6A0000}"/>
    <cellStyle name="Normal 8 2 2 3 2 2 3" xfId="27787" xr:uid="{00000000-0005-0000-0000-00007E6A0000}"/>
    <cellStyle name="Normal 8 2 2 3 2 3" xfId="13797" xr:uid="{00000000-0005-0000-0000-00007F6A0000}"/>
    <cellStyle name="Normal 8 2 2 3 2 4" xfId="23121" xr:uid="{00000000-0005-0000-0000-0000806A0000}"/>
    <cellStyle name="Normal 8 2 2 3 3" xfId="6205" xr:uid="{00000000-0005-0000-0000-0000816A0000}"/>
    <cellStyle name="Normal 8 2 2 3 3 2" xfId="15529" xr:uid="{00000000-0005-0000-0000-0000826A0000}"/>
    <cellStyle name="Normal 8 2 2 3 3 3" xfId="24852" xr:uid="{00000000-0005-0000-0000-0000836A0000}"/>
    <cellStyle name="Normal 8 2 2 3 4" xfId="12241" xr:uid="{00000000-0005-0000-0000-0000846A0000}"/>
    <cellStyle name="Normal 8 2 2 3 5" xfId="21567" xr:uid="{00000000-0005-0000-0000-0000856A0000}"/>
    <cellStyle name="Normal 8 2 2 4" xfId="4460" xr:uid="{00000000-0005-0000-0000-0000866A0000}"/>
    <cellStyle name="Normal 8 2 2 4 2" xfId="9137" xr:uid="{00000000-0005-0000-0000-0000876A0000}"/>
    <cellStyle name="Normal 8 2 2 4 2 2" xfId="18461" xr:uid="{00000000-0005-0000-0000-0000886A0000}"/>
    <cellStyle name="Normal 8 2 2 4 2 3" xfId="27784" xr:uid="{00000000-0005-0000-0000-0000896A0000}"/>
    <cellStyle name="Normal 8 2 2 4 3" xfId="13794" xr:uid="{00000000-0005-0000-0000-00008A6A0000}"/>
    <cellStyle name="Normal 8 2 2 4 4" xfId="23118" xr:uid="{00000000-0005-0000-0000-00008B6A0000}"/>
    <cellStyle name="Normal 8 2 2 5" xfId="6202" xr:uid="{00000000-0005-0000-0000-00008C6A0000}"/>
    <cellStyle name="Normal 8 2 2 5 2" xfId="15526" xr:uid="{00000000-0005-0000-0000-00008D6A0000}"/>
    <cellStyle name="Normal 8 2 2 5 3" xfId="24849" xr:uid="{00000000-0005-0000-0000-00008E6A0000}"/>
    <cellStyle name="Normal 8 2 2 6" xfId="12238" xr:uid="{00000000-0005-0000-0000-00008F6A0000}"/>
    <cellStyle name="Normal 8 2 2 7" xfId="21564" xr:uid="{00000000-0005-0000-0000-0000906A0000}"/>
    <cellStyle name="Normal 8 2 2 8" xfId="28869" xr:uid="{00000000-0005-0000-0000-0000916A0000}"/>
    <cellStyle name="Normal 8 2 3" xfId="2787" xr:uid="{00000000-0005-0000-0000-0000926A0000}"/>
    <cellStyle name="Normal 8 2 3 2" xfId="2788" xr:uid="{00000000-0005-0000-0000-0000936A0000}"/>
    <cellStyle name="Normal 8 2 3 2 2" xfId="2789" xr:uid="{00000000-0005-0000-0000-0000946A0000}"/>
    <cellStyle name="Normal 8 2 3 2 2 2" xfId="4466" xr:uid="{00000000-0005-0000-0000-0000956A0000}"/>
    <cellStyle name="Normal 8 2 3 2 2 2 2" xfId="9143" xr:uid="{00000000-0005-0000-0000-0000966A0000}"/>
    <cellStyle name="Normal 8 2 3 2 2 2 2 2" xfId="18467" xr:uid="{00000000-0005-0000-0000-0000976A0000}"/>
    <cellStyle name="Normal 8 2 3 2 2 2 2 3" xfId="27790" xr:uid="{00000000-0005-0000-0000-0000986A0000}"/>
    <cellStyle name="Normal 8 2 3 2 2 2 3" xfId="13800" xr:uid="{00000000-0005-0000-0000-0000996A0000}"/>
    <cellStyle name="Normal 8 2 3 2 2 2 4" xfId="23124" xr:uid="{00000000-0005-0000-0000-00009A6A0000}"/>
    <cellStyle name="Normal 8 2 3 2 2 3" xfId="6208" xr:uid="{00000000-0005-0000-0000-00009B6A0000}"/>
    <cellStyle name="Normal 8 2 3 2 2 3 2" xfId="15532" xr:uid="{00000000-0005-0000-0000-00009C6A0000}"/>
    <cellStyle name="Normal 8 2 3 2 2 3 3" xfId="24855" xr:uid="{00000000-0005-0000-0000-00009D6A0000}"/>
    <cellStyle name="Normal 8 2 3 2 2 4" xfId="12244" xr:uid="{00000000-0005-0000-0000-00009E6A0000}"/>
    <cellStyle name="Normal 8 2 3 2 2 5" xfId="21570" xr:uid="{00000000-0005-0000-0000-00009F6A0000}"/>
    <cellStyle name="Normal 8 2 3 2 3" xfId="4465" xr:uid="{00000000-0005-0000-0000-0000A06A0000}"/>
    <cellStyle name="Normal 8 2 3 2 3 2" xfId="9142" xr:uid="{00000000-0005-0000-0000-0000A16A0000}"/>
    <cellStyle name="Normal 8 2 3 2 3 2 2" xfId="18466" xr:uid="{00000000-0005-0000-0000-0000A26A0000}"/>
    <cellStyle name="Normal 8 2 3 2 3 2 3" xfId="27789" xr:uid="{00000000-0005-0000-0000-0000A36A0000}"/>
    <cellStyle name="Normal 8 2 3 2 3 3" xfId="13799" xr:uid="{00000000-0005-0000-0000-0000A46A0000}"/>
    <cellStyle name="Normal 8 2 3 2 3 4" xfId="23123" xr:uid="{00000000-0005-0000-0000-0000A56A0000}"/>
    <cellStyle name="Normal 8 2 3 2 4" xfId="6207" xr:uid="{00000000-0005-0000-0000-0000A66A0000}"/>
    <cellStyle name="Normal 8 2 3 2 4 2" xfId="15531" xr:uid="{00000000-0005-0000-0000-0000A76A0000}"/>
    <cellStyle name="Normal 8 2 3 2 4 3" xfId="24854" xr:uid="{00000000-0005-0000-0000-0000A86A0000}"/>
    <cellStyle name="Normal 8 2 3 2 5" xfId="12243" xr:uid="{00000000-0005-0000-0000-0000A96A0000}"/>
    <cellStyle name="Normal 8 2 3 2 6" xfId="21569" xr:uid="{00000000-0005-0000-0000-0000AA6A0000}"/>
    <cellStyle name="Normal 8 2 3 3" xfId="2790" xr:uid="{00000000-0005-0000-0000-0000AB6A0000}"/>
    <cellStyle name="Normal 8 2 3 3 2" xfId="4467" xr:uid="{00000000-0005-0000-0000-0000AC6A0000}"/>
    <cellStyle name="Normal 8 2 3 3 2 2" xfId="9144" xr:uid="{00000000-0005-0000-0000-0000AD6A0000}"/>
    <cellStyle name="Normal 8 2 3 3 2 2 2" xfId="18468" xr:uid="{00000000-0005-0000-0000-0000AE6A0000}"/>
    <cellStyle name="Normal 8 2 3 3 2 2 3" xfId="27791" xr:uid="{00000000-0005-0000-0000-0000AF6A0000}"/>
    <cellStyle name="Normal 8 2 3 3 2 3" xfId="13801" xr:uid="{00000000-0005-0000-0000-0000B06A0000}"/>
    <cellStyle name="Normal 8 2 3 3 2 4" xfId="23125" xr:uid="{00000000-0005-0000-0000-0000B16A0000}"/>
    <cellStyle name="Normal 8 2 3 3 3" xfId="6209" xr:uid="{00000000-0005-0000-0000-0000B26A0000}"/>
    <cellStyle name="Normal 8 2 3 3 3 2" xfId="15533" xr:uid="{00000000-0005-0000-0000-0000B36A0000}"/>
    <cellStyle name="Normal 8 2 3 3 3 3" xfId="24856" xr:uid="{00000000-0005-0000-0000-0000B46A0000}"/>
    <cellStyle name="Normal 8 2 3 3 4" xfId="12245" xr:uid="{00000000-0005-0000-0000-0000B56A0000}"/>
    <cellStyle name="Normal 8 2 3 3 5" xfId="21571" xr:uid="{00000000-0005-0000-0000-0000B66A0000}"/>
    <cellStyle name="Normal 8 2 3 4" xfId="4464" xr:uid="{00000000-0005-0000-0000-0000B76A0000}"/>
    <cellStyle name="Normal 8 2 3 4 2" xfId="9141" xr:uid="{00000000-0005-0000-0000-0000B86A0000}"/>
    <cellStyle name="Normal 8 2 3 4 2 2" xfId="18465" xr:uid="{00000000-0005-0000-0000-0000B96A0000}"/>
    <cellStyle name="Normal 8 2 3 4 2 3" xfId="27788" xr:uid="{00000000-0005-0000-0000-0000BA6A0000}"/>
    <cellStyle name="Normal 8 2 3 4 3" xfId="13798" xr:uid="{00000000-0005-0000-0000-0000BB6A0000}"/>
    <cellStyle name="Normal 8 2 3 4 4" xfId="23122" xr:uid="{00000000-0005-0000-0000-0000BC6A0000}"/>
    <cellStyle name="Normal 8 2 3 5" xfId="6206" xr:uid="{00000000-0005-0000-0000-0000BD6A0000}"/>
    <cellStyle name="Normal 8 2 3 5 2" xfId="15530" xr:uid="{00000000-0005-0000-0000-0000BE6A0000}"/>
    <cellStyle name="Normal 8 2 3 5 3" xfId="24853" xr:uid="{00000000-0005-0000-0000-0000BF6A0000}"/>
    <cellStyle name="Normal 8 2 3 6" xfId="12242" xr:uid="{00000000-0005-0000-0000-0000C06A0000}"/>
    <cellStyle name="Normal 8 2 3 7" xfId="21568" xr:uid="{00000000-0005-0000-0000-0000C16A0000}"/>
    <cellStyle name="Normal 8 2 3 8" xfId="28791" xr:uid="{00000000-0005-0000-0000-0000C26A0000}"/>
    <cellStyle name="Normal 8 2 4" xfId="2791" xr:uid="{00000000-0005-0000-0000-0000C36A0000}"/>
    <cellStyle name="Normal 8 2 4 2" xfId="2792" xr:uid="{00000000-0005-0000-0000-0000C46A0000}"/>
    <cellStyle name="Normal 8 2 4 2 2" xfId="4469" xr:uid="{00000000-0005-0000-0000-0000C56A0000}"/>
    <cellStyle name="Normal 8 2 4 2 2 2" xfId="9146" xr:uid="{00000000-0005-0000-0000-0000C66A0000}"/>
    <cellStyle name="Normal 8 2 4 2 2 2 2" xfId="18470" xr:uid="{00000000-0005-0000-0000-0000C76A0000}"/>
    <cellStyle name="Normal 8 2 4 2 2 2 3" xfId="27793" xr:uid="{00000000-0005-0000-0000-0000C86A0000}"/>
    <cellStyle name="Normal 8 2 4 2 2 3" xfId="13803" xr:uid="{00000000-0005-0000-0000-0000C96A0000}"/>
    <cellStyle name="Normal 8 2 4 2 2 4" xfId="23127" xr:uid="{00000000-0005-0000-0000-0000CA6A0000}"/>
    <cellStyle name="Normal 8 2 4 2 3" xfId="6211" xr:uid="{00000000-0005-0000-0000-0000CB6A0000}"/>
    <cellStyle name="Normal 8 2 4 2 3 2" xfId="15535" xr:uid="{00000000-0005-0000-0000-0000CC6A0000}"/>
    <cellStyle name="Normal 8 2 4 2 3 3" xfId="24858" xr:uid="{00000000-0005-0000-0000-0000CD6A0000}"/>
    <cellStyle name="Normal 8 2 4 2 4" xfId="12247" xr:uid="{00000000-0005-0000-0000-0000CE6A0000}"/>
    <cellStyle name="Normal 8 2 4 2 5" xfId="21573" xr:uid="{00000000-0005-0000-0000-0000CF6A0000}"/>
    <cellStyle name="Normal 8 2 4 3" xfId="4468" xr:uid="{00000000-0005-0000-0000-0000D06A0000}"/>
    <cellStyle name="Normal 8 2 4 3 2" xfId="9145" xr:uid="{00000000-0005-0000-0000-0000D16A0000}"/>
    <cellStyle name="Normal 8 2 4 3 2 2" xfId="18469" xr:uid="{00000000-0005-0000-0000-0000D26A0000}"/>
    <cellStyle name="Normal 8 2 4 3 2 3" xfId="27792" xr:uid="{00000000-0005-0000-0000-0000D36A0000}"/>
    <cellStyle name="Normal 8 2 4 3 3" xfId="13802" xr:uid="{00000000-0005-0000-0000-0000D46A0000}"/>
    <cellStyle name="Normal 8 2 4 3 4" xfId="23126" xr:uid="{00000000-0005-0000-0000-0000D56A0000}"/>
    <cellStyle name="Normal 8 2 4 4" xfId="6210" xr:uid="{00000000-0005-0000-0000-0000D66A0000}"/>
    <cellStyle name="Normal 8 2 4 4 2" xfId="15534" xr:uid="{00000000-0005-0000-0000-0000D76A0000}"/>
    <cellStyle name="Normal 8 2 4 4 3" xfId="24857" xr:uid="{00000000-0005-0000-0000-0000D86A0000}"/>
    <cellStyle name="Normal 8 2 4 5" xfId="12246" xr:uid="{00000000-0005-0000-0000-0000D96A0000}"/>
    <cellStyle name="Normal 8 2 4 6" xfId="21572" xr:uid="{00000000-0005-0000-0000-0000DA6A0000}"/>
    <cellStyle name="Normal 8 2 5" xfId="2793" xr:uid="{00000000-0005-0000-0000-0000DB6A0000}"/>
    <cellStyle name="Normal 8 2 5 2" xfId="4470" xr:uid="{00000000-0005-0000-0000-0000DC6A0000}"/>
    <cellStyle name="Normal 8 2 5 2 2" xfId="9147" xr:uid="{00000000-0005-0000-0000-0000DD6A0000}"/>
    <cellStyle name="Normal 8 2 5 2 2 2" xfId="18471" xr:uid="{00000000-0005-0000-0000-0000DE6A0000}"/>
    <cellStyle name="Normal 8 2 5 2 2 3" xfId="27794" xr:uid="{00000000-0005-0000-0000-0000DF6A0000}"/>
    <cellStyle name="Normal 8 2 5 2 3" xfId="13804" xr:uid="{00000000-0005-0000-0000-0000E06A0000}"/>
    <cellStyle name="Normal 8 2 5 2 4" xfId="23128" xr:uid="{00000000-0005-0000-0000-0000E16A0000}"/>
    <cellStyle name="Normal 8 2 5 3" xfId="6212" xr:uid="{00000000-0005-0000-0000-0000E26A0000}"/>
    <cellStyle name="Normal 8 2 5 3 2" xfId="15536" xr:uid="{00000000-0005-0000-0000-0000E36A0000}"/>
    <cellStyle name="Normal 8 2 5 3 3" xfId="24859" xr:uid="{00000000-0005-0000-0000-0000E46A0000}"/>
    <cellStyle name="Normal 8 2 5 4" xfId="12248" xr:uid="{00000000-0005-0000-0000-0000E56A0000}"/>
    <cellStyle name="Normal 8 2 5 5" xfId="21574" xr:uid="{00000000-0005-0000-0000-0000E66A0000}"/>
    <cellStyle name="Normal 8 2 6" xfId="2794" xr:uid="{00000000-0005-0000-0000-0000E76A0000}"/>
    <cellStyle name="Normal 8 2 6 2" xfId="4471" xr:uid="{00000000-0005-0000-0000-0000E86A0000}"/>
    <cellStyle name="Normal 8 2 6 2 2" xfId="9148" xr:uid="{00000000-0005-0000-0000-0000E96A0000}"/>
    <cellStyle name="Normal 8 2 6 2 2 2" xfId="18472" xr:uid="{00000000-0005-0000-0000-0000EA6A0000}"/>
    <cellStyle name="Normal 8 2 6 2 2 3" xfId="27795" xr:uid="{00000000-0005-0000-0000-0000EB6A0000}"/>
    <cellStyle name="Normal 8 2 6 2 3" xfId="13805" xr:uid="{00000000-0005-0000-0000-0000EC6A0000}"/>
    <cellStyle name="Normal 8 2 6 2 4" xfId="23129" xr:uid="{00000000-0005-0000-0000-0000ED6A0000}"/>
    <cellStyle name="Normal 8 2 6 3" xfId="6213" xr:uid="{00000000-0005-0000-0000-0000EE6A0000}"/>
    <cellStyle name="Normal 8 2 6 3 2" xfId="15537" xr:uid="{00000000-0005-0000-0000-0000EF6A0000}"/>
    <cellStyle name="Normal 8 2 6 3 3" xfId="24860" xr:uid="{00000000-0005-0000-0000-0000F06A0000}"/>
    <cellStyle name="Normal 8 2 6 4" xfId="12249" xr:uid="{00000000-0005-0000-0000-0000F16A0000}"/>
    <cellStyle name="Normal 8 2 6 5" xfId="21575" xr:uid="{00000000-0005-0000-0000-0000F26A0000}"/>
    <cellStyle name="Normal 8 2 7" xfId="2795" xr:uid="{00000000-0005-0000-0000-0000F36A0000}"/>
    <cellStyle name="Normal 8 2 7 2" xfId="4472" xr:uid="{00000000-0005-0000-0000-0000F46A0000}"/>
    <cellStyle name="Normal 8 2 7 2 2" xfId="9149" xr:uid="{00000000-0005-0000-0000-0000F56A0000}"/>
    <cellStyle name="Normal 8 2 7 2 2 2" xfId="18473" xr:uid="{00000000-0005-0000-0000-0000F66A0000}"/>
    <cellStyle name="Normal 8 2 7 2 2 3" xfId="27796" xr:uid="{00000000-0005-0000-0000-0000F76A0000}"/>
    <cellStyle name="Normal 8 2 7 2 3" xfId="13806" xr:uid="{00000000-0005-0000-0000-0000F86A0000}"/>
    <cellStyle name="Normal 8 2 7 2 4" xfId="23130" xr:uid="{00000000-0005-0000-0000-0000F96A0000}"/>
    <cellStyle name="Normal 8 2 7 3" xfId="6214" xr:uid="{00000000-0005-0000-0000-0000FA6A0000}"/>
    <cellStyle name="Normal 8 2 7 3 2" xfId="15538" xr:uid="{00000000-0005-0000-0000-0000FB6A0000}"/>
    <cellStyle name="Normal 8 2 7 3 3" xfId="24861" xr:uid="{00000000-0005-0000-0000-0000FC6A0000}"/>
    <cellStyle name="Normal 8 2 7 4" xfId="12250" xr:uid="{00000000-0005-0000-0000-0000FD6A0000}"/>
    <cellStyle name="Normal 8 2 7 5" xfId="21576" xr:uid="{00000000-0005-0000-0000-0000FE6A0000}"/>
    <cellStyle name="Normal 8 2 8" xfId="4459" xr:uid="{00000000-0005-0000-0000-0000FF6A0000}"/>
    <cellStyle name="Normal 8 2 8 2" xfId="9136" xr:uid="{00000000-0005-0000-0000-0000006B0000}"/>
    <cellStyle name="Normal 8 2 8 2 2" xfId="18460" xr:uid="{00000000-0005-0000-0000-0000016B0000}"/>
    <cellStyle name="Normal 8 2 8 2 3" xfId="27783" xr:uid="{00000000-0005-0000-0000-0000026B0000}"/>
    <cellStyle name="Normal 8 2 8 3" xfId="13793" xr:uid="{00000000-0005-0000-0000-0000036B0000}"/>
    <cellStyle name="Normal 8 2 8 4" xfId="23117" xr:uid="{00000000-0005-0000-0000-0000046B0000}"/>
    <cellStyle name="Normal 8 2 9" xfId="6201" xr:uid="{00000000-0005-0000-0000-0000056B0000}"/>
    <cellStyle name="Normal 8 2 9 2" xfId="15525" xr:uid="{00000000-0005-0000-0000-0000066B0000}"/>
    <cellStyle name="Normal 8 2 9 3" xfId="24848" xr:uid="{00000000-0005-0000-0000-0000076B0000}"/>
    <cellStyle name="Normal 8 3" xfId="2796" xr:uid="{00000000-0005-0000-0000-0000086B0000}"/>
    <cellStyle name="Normal 8 3 10" xfId="21577" xr:uid="{00000000-0005-0000-0000-0000096B0000}"/>
    <cellStyle name="Normal 8 3 2" xfId="2797" xr:uid="{00000000-0005-0000-0000-00000A6B0000}"/>
    <cellStyle name="Normal 8 3 2 2" xfId="2798" xr:uid="{00000000-0005-0000-0000-00000B6B0000}"/>
    <cellStyle name="Normal 8 3 2 2 2" xfId="2799" xr:uid="{00000000-0005-0000-0000-00000C6B0000}"/>
    <cellStyle name="Normal 8 3 2 2 2 2" xfId="4476" xr:uid="{00000000-0005-0000-0000-00000D6B0000}"/>
    <cellStyle name="Normal 8 3 2 2 2 2 2" xfId="9153" xr:uid="{00000000-0005-0000-0000-00000E6B0000}"/>
    <cellStyle name="Normal 8 3 2 2 2 2 2 2" xfId="18477" xr:uid="{00000000-0005-0000-0000-00000F6B0000}"/>
    <cellStyle name="Normal 8 3 2 2 2 2 2 3" xfId="27800" xr:uid="{00000000-0005-0000-0000-0000106B0000}"/>
    <cellStyle name="Normal 8 3 2 2 2 2 3" xfId="13810" xr:uid="{00000000-0005-0000-0000-0000116B0000}"/>
    <cellStyle name="Normal 8 3 2 2 2 2 4" xfId="23134" xr:uid="{00000000-0005-0000-0000-0000126B0000}"/>
    <cellStyle name="Normal 8 3 2 2 2 3" xfId="6218" xr:uid="{00000000-0005-0000-0000-0000136B0000}"/>
    <cellStyle name="Normal 8 3 2 2 2 3 2" xfId="15542" xr:uid="{00000000-0005-0000-0000-0000146B0000}"/>
    <cellStyle name="Normal 8 3 2 2 2 3 3" xfId="24865" xr:uid="{00000000-0005-0000-0000-0000156B0000}"/>
    <cellStyle name="Normal 8 3 2 2 2 4" xfId="12254" xr:uid="{00000000-0005-0000-0000-0000166B0000}"/>
    <cellStyle name="Normal 8 3 2 2 2 5" xfId="21580" xr:uid="{00000000-0005-0000-0000-0000176B0000}"/>
    <cellStyle name="Normal 8 3 2 2 3" xfId="4475" xr:uid="{00000000-0005-0000-0000-0000186B0000}"/>
    <cellStyle name="Normal 8 3 2 2 3 2" xfId="9152" xr:uid="{00000000-0005-0000-0000-0000196B0000}"/>
    <cellStyle name="Normal 8 3 2 2 3 2 2" xfId="18476" xr:uid="{00000000-0005-0000-0000-00001A6B0000}"/>
    <cellStyle name="Normal 8 3 2 2 3 2 3" xfId="27799" xr:uid="{00000000-0005-0000-0000-00001B6B0000}"/>
    <cellStyle name="Normal 8 3 2 2 3 3" xfId="13809" xr:uid="{00000000-0005-0000-0000-00001C6B0000}"/>
    <cellStyle name="Normal 8 3 2 2 3 4" xfId="23133" xr:uid="{00000000-0005-0000-0000-00001D6B0000}"/>
    <cellStyle name="Normal 8 3 2 2 4" xfId="6217" xr:uid="{00000000-0005-0000-0000-00001E6B0000}"/>
    <cellStyle name="Normal 8 3 2 2 4 2" xfId="15541" xr:uid="{00000000-0005-0000-0000-00001F6B0000}"/>
    <cellStyle name="Normal 8 3 2 2 4 3" xfId="24864" xr:uid="{00000000-0005-0000-0000-0000206B0000}"/>
    <cellStyle name="Normal 8 3 2 2 5" xfId="12253" xr:uid="{00000000-0005-0000-0000-0000216B0000}"/>
    <cellStyle name="Normal 8 3 2 2 6" xfId="21579" xr:uid="{00000000-0005-0000-0000-0000226B0000}"/>
    <cellStyle name="Normal 8 3 2 3" xfId="2800" xr:uid="{00000000-0005-0000-0000-0000236B0000}"/>
    <cellStyle name="Normal 8 3 2 3 2" xfId="4477" xr:uid="{00000000-0005-0000-0000-0000246B0000}"/>
    <cellStyle name="Normal 8 3 2 3 2 2" xfId="9154" xr:uid="{00000000-0005-0000-0000-0000256B0000}"/>
    <cellStyle name="Normal 8 3 2 3 2 2 2" xfId="18478" xr:uid="{00000000-0005-0000-0000-0000266B0000}"/>
    <cellStyle name="Normal 8 3 2 3 2 2 3" xfId="27801" xr:uid="{00000000-0005-0000-0000-0000276B0000}"/>
    <cellStyle name="Normal 8 3 2 3 2 3" xfId="13811" xr:uid="{00000000-0005-0000-0000-0000286B0000}"/>
    <cellStyle name="Normal 8 3 2 3 2 4" xfId="23135" xr:uid="{00000000-0005-0000-0000-0000296B0000}"/>
    <cellStyle name="Normal 8 3 2 3 3" xfId="6219" xr:uid="{00000000-0005-0000-0000-00002A6B0000}"/>
    <cellStyle name="Normal 8 3 2 3 3 2" xfId="15543" xr:uid="{00000000-0005-0000-0000-00002B6B0000}"/>
    <cellStyle name="Normal 8 3 2 3 3 3" xfId="24866" xr:uid="{00000000-0005-0000-0000-00002C6B0000}"/>
    <cellStyle name="Normal 8 3 2 3 4" xfId="12255" xr:uid="{00000000-0005-0000-0000-00002D6B0000}"/>
    <cellStyle name="Normal 8 3 2 3 5" xfId="21581" xr:uid="{00000000-0005-0000-0000-00002E6B0000}"/>
    <cellStyle name="Normal 8 3 2 4" xfId="4474" xr:uid="{00000000-0005-0000-0000-00002F6B0000}"/>
    <cellStyle name="Normal 8 3 2 4 2" xfId="9151" xr:uid="{00000000-0005-0000-0000-0000306B0000}"/>
    <cellStyle name="Normal 8 3 2 4 2 2" xfId="18475" xr:uid="{00000000-0005-0000-0000-0000316B0000}"/>
    <cellStyle name="Normal 8 3 2 4 2 3" xfId="27798" xr:uid="{00000000-0005-0000-0000-0000326B0000}"/>
    <cellStyle name="Normal 8 3 2 4 3" xfId="13808" xr:uid="{00000000-0005-0000-0000-0000336B0000}"/>
    <cellStyle name="Normal 8 3 2 4 4" xfId="23132" xr:uid="{00000000-0005-0000-0000-0000346B0000}"/>
    <cellStyle name="Normal 8 3 2 5" xfId="6216" xr:uid="{00000000-0005-0000-0000-0000356B0000}"/>
    <cellStyle name="Normal 8 3 2 5 2" xfId="15540" xr:uid="{00000000-0005-0000-0000-0000366B0000}"/>
    <cellStyle name="Normal 8 3 2 5 3" xfId="24863" xr:uid="{00000000-0005-0000-0000-0000376B0000}"/>
    <cellStyle name="Normal 8 3 2 6" xfId="12252" xr:uid="{00000000-0005-0000-0000-0000386B0000}"/>
    <cellStyle name="Normal 8 3 2 7" xfId="21578" xr:uid="{00000000-0005-0000-0000-0000396B0000}"/>
    <cellStyle name="Normal 8 3 3" xfId="2801" xr:uid="{00000000-0005-0000-0000-00003A6B0000}"/>
    <cellStyle name="Normal 8 3 3 2" xfId="2802" xr:uid="{00000000-0005-0000-0000-00003B6B0000}"/>
    <cellStyle name="Normal 8 3 3 2 2" xfId="4479" xr:uid="{00000000-0005-0000-0000-00003C6B0000}"/>
    <cellStyle name="Normal 8 3 3 2 2 2" xfId="9156" xr:uid="{00000000-0005-0000-0000-00003D6B0000}"/>
    <cellStyle name="Normal 8 3 3 2 2 2 2" xfId="18480" xr:uid="{00000000-0005-0000-0000-00003E6B0000}"/>
    <cellStyle name="Normal 8 3 3 2 2 2 3" xfId="27803" xr:uid="{00000000-0005-0000-0000-00003F6B0000}"/>
    <cellStyle name="Normal 8 3 3 2 2 3" xfId="13813" xr:uid="{00000000-0005-0000-0000-0000406B0000}"/>
    <cellStyle name="Normal 8 3 3 2 2 4" xfId="23137" xr:uid="{00000000-0005-0000-0000-0000416B0000}"/>
    <cellStyle name="Normal 8 3 3 2 3" xfId="6221" xr:uid="{00000000-0005-0000-0000-0000426B0000}"/>
    <cellStyle name="Normal 8 3 3 2 3 2" xfId="15545" xr:uid="{00000000-0005-0000-0000-0000436B0000}"/>
    <cellStyle name="Normal 8 3 3 2 3 3" xfId="24868" xr:uid="{00000000-0005-0000-0000-0000446B0000}"/>
    <cellStyle name="Normal 8 3 3 2 4" xfId="12257" xr:uid="{00000000-0005-0000-0000-0000456B0000}"/>
    <cellStyle name="Normal 8 3 3 2 5" xfId="21583" xr:uid="{00000000-0005-0000-0000-0000466B0000}"/>
    <cellStyle name="Normal 8 3 3 3" xfId="4478" xr:uid="{00000000-0005-0000-0000-0000476B0000}"/>
    <cellStyle name="Normal 8 3 3 3 2" xfId="9155" xr:uid="{00000000-0005-0000-0000-0000486B0000}"/>
    <cellStyle name="Normal 8 3 3 3 2 2" xfId="18479" xr:uid="{00000000-0005-0000-0000-0000496B0000}"/>
    <cellStyle name="Normal 8 3 3 3 2 3" xfId="27802" xr:uid="{00000000-0005-0000-0000-00004A6B0000}"/>
    <cellStyle name="Normal 8 3 3 3 3" xfId="13812" xr:uid="{00000000-0005-0000-0000-00004B6B0000}"/>
    <cellStyle name="Normal 8 3 3 3 4" xfId="23136" xr:uid="{00000000-0005-0000-0000-00004C6B0000}"/>
    <cellStyle name="Normal 8 3 3 4" xfId="6220" xr:uid="{00000000-0005-0000-0000-00004D6B0000}"/>
    <cellStyle name="Normal 8 3 3 4 2" xfId="15544" xr:uid="{00000000-0005-0000-0000-00004E6B0000}"/>
    <cellStyle name="Normal 8 3 3 4 3" xfId="24867" xr:uid="{00000000-0005-0000-0000-00004F6B0000}"/>
    <cellStyle name="Normal 8 3 3 5" xfId="12256" xr:uid="{00000000-0005-0000-0000-0000506B0000}"/>
    <cellStyle name="Normal 8 3 3 6" xfId="21582" xr:uid="{00000000-0005-0000-0000-0000516B0000}"/>
    <cellStyle name="Normal 8 3 4" xfId="2803" xr:uid="{00000000-0005-0000-0000-0000526B0000}"/>
    <cellStyle name="Normal 8 3 4 2" xfId="4480" xr:uid="{00000000-0005-0000-0000-0000536B0000}"/>
    <cellStyle name="Normal 8 3 4 2 2" xfId="9157" xr:uid="{00000000-0005-0000-0000-0000546B0000}"/>
    <cellStyle name="Normal 8 3 4 2 2 2" xfId="18481" xr:uid="{00000000-0005-0000-0000-0000556B0000}"/>
    <cellStyle name="Normal 8 3 4 2 2 3" xfId="27804" xr:uid="{00000000-0005-0000-0000-0000566B0000}"/>
    <cellStyle name="Normal 8 3 4 2 3" xfId="13814" xr:uid="{00000000-0005-0000-0000-0000576B0000}"/>
    <cellStyle name="Normal 8 3 4 2 4" xfId="23138" xr:uid="{00000000-0005-0000-0000-0000586B0000}"/>
    <cellStyle name="Normal 8 3 4 3" xfId="6222" xr:uid="{00000000-0005-0000-0000-0000596B0000}"/>
    <cellStyle name="Normal 8 3 4 3 2" xfId="15546" xr:uid="{00000000-0005-0000-0000-00005A6B0000}"/>
    <cellStyle name="Normal 8 3 4 3 3" xfId="24869" xr:uid="{00000000-0005-0000-0000-00005B6B0000}"/>
    <cellStyle name="Normal 8 3 4 4" xfId="12258" xr:uid="{00000000-0005-0000-0000-00005C6B0000}"/>
    <cellStyle name="Normal 8 3 4 5" xfId="21584" xr:uid="{00000000-0005-0000-0000-00005D6B0000}"/>
    <cellStyle name="Normal 8 3 5" xfId="2804" xr:uid="{00000000-0005-0000-0000-00005E6B0000}"/>
    <cellStyle name="Normal 8 3 5 2" xfId="4481" xr:uid="{00000000-0005-0000-0000-00005F6B0000}"/>
    <cellStyle name="Normal 8 3 5 2 2" xfId="9158" xr:uid="{00000000-0005-0000-0000-0000606B0000}"/>
    <cellStyle name="Normal 8 3 5 2 2 2" xfId="18482" xr:uid="{00000000-0005-0000-0000-0000616B0000}"/>
    <cellStyle name="Normal 8 3 5 2 2 3" xfId="27805" xr:uid="{00000000-0005-0000-0000-0000626B0000}"/>
    <cellStyle name="Normal 8 3 5 2 3" xfId="13815" xr:uid="{00000000-0005-0000-0000-0000636B0000}"/>
    <cellStyle name="Normal 8 3 5 2 4" xfId="23139" xr:uid="{00000000-0005-0000-0000-0000646B0000}"/>
    <cellStyle name="Normal 8 3 5 3" xfId="6223" xr:uid="{00000000-0005-0000-0000-0000656B0000}"/>
    <cellStyle name="Normal 8 3 5 3 2" xfId="15547" xr:uid="{00000000-0005-0000-0000-0000666B0000}"/>
    <cellStyle name="Normal 8 3 5 3 3" xfId="24870" xr:uid="{00000000-0005-0000-0000-0000676B0000}"/>
    <cellStyle name="Normal 8 3 5 4" xfId="12259" xr:uid="{00000000-0005-0000-0000-0000686B0000}"/>
    <cellStyle name="Normal 8 3 5 5" xfId="21585" xr:uid="{00000000-0005-0000-0000-0000696B0000}"/>
    <cellStyle name="Normal 8 3 6" xfId="2805" xr:uid="{00000000-0005-0000-0000-00006A6B0000}"/>
    <cellStyle name="Normal 8 3 6 2" xfId="4482" xr:uid="{00000000-0005-0000-0000-00006B6B0000}"/>
    <cellStyle name="Normal 8 3 6 2 2" xfId="9159" xr:uid="{00000000-0005-0000-0000-00006C6B0000}"/>
    <cellStyle name="Normal 8 3 6 2 2 2" xfId="18483" xr:uid="{00000000-0005-0000-0000-00006D6B0000}"/>
    <cellStyle name="Normal 8 3 6 2 2 3" xfId="27806" xr:uid="{00000000-0005-0000-0000-00006E6B0000}"/>
    <cellStyle name="Normal 8 3 6 2 3" xfId="13816" xr:uid="{00000000-0005-0000-0000-00006F6B0000}"/>
    <cellStyle name="Normal 8 3 6 2 4" xfId="23140" xr:uid="{00000000-0005-0000-0000-0000706B0000}"/>
    <cellStyle name="Normal 8 3 6 3" xfId="6224" xr:uid="{00000000-0005-0000-0000-0000716B0000}"/>
    <cellStyle name="Normal 8 3 6 3 2" xfId="15548" xr:uid="{00000000-0005-0000-0000-0000726B0000}"/>
    <cellStyle name="Normal 8 3 6 3 3" xfId="24871" xr:uid="{00000000-0005-0000-0000-0000736B0000}"/>
    <cellStyle name="Normal 8 3 6 4" xfId="12260" xr:uid="{00000000-0005-0000-0000-0000746B0000}"/>
    <cellStyle name="Normal 8 3 6 5" xfId="21586" xr:uid="{00000000-0005-0000-0000-0000756B0000}"/>
    <cellStyle name="Normal 8 3 7" xfId="4473" xr:uid="{00000000-0005-0000-0000-0000766B0000}"/>
    <cellStyle name="Normal 8 3 7 2" xfId="9150" xr:uid="{00000000-0005-0000-0000-0000776B0000}"/>
    <cellStyle name="Normal 8 3 7 2 2" xfId="18474" xr:uid="{00000000-0005-0000-0000-0000786B0000}"/>
    <cellStyle name="Normal 8 3 7 2 3" xfId="27797" xr:uid="{00000000-0005-0000-0000-0000796B0000}"/>
    <cellStyle name="Normal 8 3 7 3" xfId="13807" xr:uid="{00000000-0005-0000-0000-00007A6B0000}"/>
    <cellStyle name="Normal 8 3 7 4" xfId="23131" xr:uid="{00000000-0005-0000-0000-00007B6B0000}"/>
    <cellStyle name="Normal 8 3 8" xfId="6215" xr:uid="{00000000-0005-0000-0000-00007C6B0000}"/>
    <cellStyle name="Normal 8 3 8 2" xfId="15539" xr:uid="{00000000-0005-0000-0000-00007D6B0000}"/>
    <cellStyle name="Normal 8 3 8 3" xfId="24862" xr:uid="{00000000-0005-0000-0000-00007E6B0000}"/>
    <cellStyle name="Normal 8 3 9" xfId="12251" xr:uid="{00000000-0005-0000-0000-00007F6B0000}"/>
    <cellStyle name="Normal 8 4" xfId="2806" xr:uid="{00000000-0005-0000-0000-0000806B0000}"/>
    <cellStyle name="Normal 8 5" xfId="2807" xr:uid="{00000000-0005-0000-0000-0000816B0000}"/>
    <cellStyle name="Normal 8 5 2" xfId="2808" xr:uid="{00000000-0005-0000-0000-0000826B0000}"/>
    <cellStyle name="Normal 8 5 2 2" xfId="4484" xr:uid="{00000000-0005-0000-0000-0000836B0000}"/>
    <cellStyle name="Normal 8 5 2 2 2" xfId="9161" xr:uid="{00000000-0005-0000-0000-0000846B0000}"/>
    <cellStyle name="Normal 8 5 2 2 2 2" xfId="18485" xr:uid="{00000000-0005-0000-0000-0000856B0000}"/>
    <cellStyle name="Normal 8 5 2 2 2 3" xfId="27808" xr:uid="{00000000-0005-0000-0000-0000866B0000}"/>
    <cellStyle name="Normal 8 5 2 2 3" xfId="13818" xr:uid="{00000000-0005-0000-0000-0000876B0000}"/>
    <cellStyle name="Normal 8 5 2 2 4" xfId="23142" xr:uid="{00000000-0005-0000-0000-0000886B0000}"/>
    <cellStyle name="Normal 8 5 2 3" xfId="6227" xr:uid="{00000000-0005-0000-0000-0000896B0000}"/>
    <cellStyle name="Normal 8 5 2 3 2" xfId="15551" xr:uid="{00000000-0005-0000-0000-00008A6B0000}"/>
    <cellStyle name="Normal 8 5 2 3 3" xfId="24874" xr:uid="{00000000-0005-0000-0000-00008B6B0000}"/>
    <cellStyle name="Normal 8 5 2 4" xfId="12262" xr:uid="{00000000-0005-0000-0000-00008C6B0000}"/>
    <cellStyle name="Normal 8 5 2 5" xfId="21588" xr:uid="{00000000-0005-0000-0000-00008D6B0000}"/>
    <cellStyle name="Normal 8 5 3" xfId="4483" xr:uid="{00000000-0005-0000-0000-00008E6B0000}"/>
    <cellStyle name="Normal 8 5 3 2" xfId="9160" xr:uid="{00000000-0005-0000-0000-00008F6B0000}"/>
    <cellStyle name="Normal 8 5 3 2 2" xfId="18484" xr:uid="{00000000-0005-0000-0000-0000906B0000}"/>
    <cellStyle name="Normal 8 5 3 2 3" xfId="27807" xr:uid="{00000000-0005-0000-0000-0000916B0000}"/>
    <cellStyle name="Normal 8 5 3 3" xfId="13817" xr:uid="{00000000-0005-0000-0000-0000926B0000}"/>
    <cellStyle name="Normal 8 5 3 4" xfId="23141" xr:uid="{00000000-0005-0000-0000-0000936B0000}"/>
    <cellStyle name="Normal 8 5 4" xfId="6226" xr:uid="{00000000-0005-0000-0000-0000946B0000}"/>
    <cellStyle name="Normal 8 5 4 2" xfId="15550" xr:uid="{00000000-0005-0000-0000-0000956B0000}"/>
    <cellStyle name="Normal 8 5 4 3" xfId="24873" xr:uid="{00000000-0005-0000-0000-0000966B0000}"/>
    <cellStyle name="Normal 8 5 5" xfId="12261" xr:uid="{00000000-0005-0000-0000-0000976B0000}"/>
    <cellStyle name="Normal 8 5 6" xfId="21587" xr:uid="{00000000-0005-0000-0000-0000986B0000}"/>
    <cellStyle name="Normal 8 6" xfId="2809" xr:uid="{00000000-0005-0000-0000-0000996B0000}"/>
    <cellStyle name="Normal 8 6 2" xfId="4485" xr:uid="{00000000-0005-0000-0000-00009A6B0000}"/>
    <cellStyle name="Normal 8 6 2 2" xfId="9162" xr:uid="{00000000-0005-0000-0000-00009B6B0000}"/>
    <cellStyle name="Normal 8 6 2 2 2" xfId="18486" xr:uid="{00000000-0005-0000-0000-00009C6B0000}"/>
    <cellStyle name="Normal 8 6 2 2 3" xfId="27809" xr:uid="{00000000-0005-0000-0000-00009D6B0000}"/>
    <cellStyle name="Normal 8 6 2 3" xfId="13819" xr:uid="{00000000-0005-0000-0000-00009E6B0000}"/>
    <cellStyle name="Normal 8 6 2 4" xfId="23143" xr:uid="{00000000-0005-0000-0000-00009F6B0000}"/>
    <cellStyle name="Normal 8 6 3" xfId="6228" xr:uid="{00000000-0005-0000-0000-0000A06B0000}"/>
    <cellStyle name="Normal 8 6 3 2" xfId="15552" xr:uid="{00000000-0005-0000-0000-0000A16B0000}"/>
    <cellStyle name="Normal 8 6 3 3" xfId="24875" xr:uid="{00000000-0005-0000-0000-0000A26B0000}"/>
    <cellStyle name="Normal 8 6 4" xfId="12263" xr:uid="{00000000-0005-0000-0000-0000A36B0000}"/>
    <cellStyle name="Normal 8 6 5" xfId="21589" xr:uid="{00000000-0005-0000-0000-0000A46B0000}"/>
    <cellStyle name="Normal 8 7" xfId="2781" xr:uid="{00000000-0005-0000-0000-0000A56B0000}"/>
    <cellStyle name="Normal 8 7 2" xfId="4458" xr:uid="{00000000-0005-0000-0000-0000A66B0000}"/>
    <cellStyle name="Normal 8 7 2 2" xfId="9135" xr:uid="{00000000-0005-0000-0000-0000A76B0000}"/>
    <cellStyle name="Normal 8 7 2 2 2" xfId="18459" xr:uid="{00000000-0005-0000-0000-0000A86B0000}"/>
    <cellStyle name="Normal 8 7 2 2 3" xfId="27782" xr:uid="{00000000-0005-0000-0000-0000A96B0000}"/>
    <cellStyle name="Normal 8 7 2 3" xfId="13792" xr:uid="{00000000-0005-0000-0000-0000AA6B0000}"/>
    <cellStyle name="Normal 8 7 2 4" xfId="23116" xr:uid="{00000000-0005-0000-0000-0000AB6B0000}"/>
    <cellStyle name="Normal 8 7 3" xfId="6200" xr:uid="{00000000-0005-0000-0000-0000AC6B0000}"/>
    <cellStyle name="Normal 8 7 3 2" xfId="15524" xr:uid="{00000000-0005-0000-0000-0000AD6B0000}"/>
    <cellStyle name="Normal 8 7 3 3" xfId="24847" xr:uid="{00000000-0005-0000-0000-0000AE6B0000}"/>
    <cellStyle name="Normal 8 7 4" xfId="12236" xr:uid="{00000000-0005-0000-0000-0000AF6B0000}"/>
    <cellStyle name="Normal 8 7 5" xfId="21562" xr:uid="{00000000-0005-0000-0000-0000B06B0000}"/>
    <cellStyle name="Normal 8 8" xfId="2920" xr:uid="{00000000-0005-0000-0000-0000B16B0000}"/>
    <cellStyle name="Normal 8 9" xfId="1339" xr:uid="{00000000-0005-0000-0000-0000B26B0000}"/>
    <cellStyle name="Normal 9" xfId="173" xr:uid="{00000000-0005-0000-0000-0000B36B0000}"/>
    <cellStyle name="Normal 9 10" xfId="2921" xr:uid="{00000000-0005-0000-0000-0000B46B0000}"/>
    <cellStyle name="Normal 9 11" xfId="1340" xr:uid="{00000000-0005-0000-0000-0000B56B0000}"/>
    <cellStyle name="Normal 9 12" xfId="28563" xr:uid="{00000000-0005-0000-0000-0000B66B0000}"/>
    <cellStyle name="Normal 9 2" xfId="2811" xr:uid="{00000000-0005-0000-0000-0000B76B0000}"/>
    <cellStyle name="Normal 9 2 2" xfId="2812" xr:uid="{00000000-0005-0000-0000-0000B86B0000}"/>
    <cellStyle name="Normal 9 2 2 2" xfId="2813" xr:uid="{00000000-0005-0000-0000-0000B96B0000}"/>
    <cellStyle name="Normal 9 2 2 2 2" xfId="4489" xr:uid="{00000000-0005-0000-0000-0000BA6B0000}"/>
    <cellStyle name="Normal 9 2 2 2 2 2" xfId="9166" xr:uid="{00000000-0005-0000-0000-0000BB6B0000}"/>
    <cellStyle name="Normal 9 2 2 2 2 2 2" xfId="18490" xr:uid="{00000000-0005-0000-0000-0000BC6B0000}"/>
    <cellStyle name="Normal 9 2 2 2 2 2 3" xfId="27813" xr:uid="{00000000-0005-0000-0000-0000BD6B0000}"/>
    <cellStyle name="Normal 9 2 2 2 2 3" xfId="13823" xr:uid="{00000000-0005-0000-0000-0000BE6B0000}"/>
    <cellStyle name="Normal 9 2 2 2 2 4" xfId="23147" xr:uid="{00000000-0005-0000-0000-0000BF6B0000}"/>
    <cellStyle name="Normal 9 2 2 2 3" xfId="6232" xr:uid="{00000000-0005-0000-0000-0000C06B0000}"/>
    <cellStyle name="Normal 9 2 2 2 3 2" xfId="15556" xr:uid="{00000000-0005-0000-0000-0000C16B0000}"/>
    <cellStyle name="Normal 9 2 2 2 3 3" xfId="24879" xr:uid="{00000000-0005-0000-0000-0000C26B0000}"/>
    <cellStyle name="Normal 9 2 2 2 4" xfId="12267" xr:uid="{00000000-0005-0000-0000-0000C36B0000}"/>
    <cellStyle name="Normal 9 2 2 2 5" xfId="21593" xr:uid="{00000000-0005-0000-0000-0000C46B0000}"/>
    <cellStyle name="Normal 9 2 2 3" xfId="4488" xr:uid="{00000000-0005-0000-0000-0000C56B0000}"/>
    <cellStyle name="Normal 9 2 2 3 2" xfId="9165" xr:uid="{00000000-0005-0000-0000-0000C66B0000}"/>
    <cellStyle name="Normal 9 2 2 3 2 2" xfId="18489" xr:uid="{00000000-0005-0000-0000-0000C76B0000}"/>
    <cellStyle name="Normal 9 2 2 3 2 3" xfId="27812" xr:uid="{00000000-0005-0000-0000-0000C86B0000}"/>
    <cellStyle name="Normal 9 2 2 3 3" xfId="13822" xr:uid="{00000000-0005-0000-0000-0000C96B0000}"/>
    <cellStyle name="Normal 9 2 2 3 4" xfId="23146" xr:uid="{00000000-0005-0000-0000-0000CA6B0000}"/>
    <cellStyle name="Normal 9 2 2 4" xfId="6231" xr:uid="{00000000-0005-0000-0000-0000CB6B0000}"/>
    <cellStyle name="Normal 9 2 2 4 2" xfId="15555" xr:uid="{00000000-0005-0000-0000-0000CC6B0000}"/>
    <cellStyle name="Normal 9 2 2 4 3" xfId="24878" xr:uid="{00000000-0005-0000-0000-0000CD6B0000}"/>
    <cellStyle name="Normal 9 2 2 5" xfId="12266" xr:uid="{00000000-0005-0000-0000-0000CE6B0000}"/>
    <cellStyle name="Normal 9 2 2 6" xfId="21592" xr:uid="{00000000-0005-0000-0000-0000CF6B0000}"/>
    <cellStyle name="Normal 9 2 3" xfId="2814" xr:uid="{00000000-0005-0000-0000-0000D06B0000}"/>
    <cellStyle name="Normal 9 2 3 2" xfId="4490" xr:uid="{00000000-0005-0000-0000-0000D16B0000}"/>
    <cellStyle name="Normal 9 2 3 2 2" xfId="9167" xr:uid="{00000000-0005-0000-0000-0000D26B0000}"/>
    <cellStyle name="Normal 9 2 3 2 2 2" xfId="18491" xr:uid="{00000000-0005-0000-0000-0000D36B0000}"/>
    <cellStyle name="Normal 9 2 3 2 2 3" xfId="27814" xr:uid="{00000000-0005-0000-0000-0000D46B0000}"/>
    <cellStyle name="Normal 9 2 3 2 3" xfId="13824" xr:uid="{00000000-0005-0000-0000-0000D56B0000}"/>
    <cellStyle name="Normal 9 2 3 2 4" xfId="23148" xr:uid="{00000000-0005-0000-0000-0000D66B0000}"/>
    <cellStyle name="Normal 9 2 3 3" xfId="6233" xr:uid="{00000000-0005-0000-0000-0000D76B0000}"/>
    <cellStyle name="Normal 9 2 3 3 2" xfId="15557" xr:uid="{00000000-0005-0000-0000-0000D86B0000}"/>
    <cellStyle name="Normal 9 2 3 3 3" xfId="24880" xr:uid="{00000000-0005-0000-0000-0000D96B0000}"/>
    <cellStyle name="Normal 9 2 3 4" xfId="12268" xr:uid="{00000000-0005-0000-0000-0000DA6B0000}"/>
    <cellStyle name="Normal 9 2 3 5" xfId="21594" xr:uid="{00000000-0005-0000-0000-0000DB6B0000}"/>
    <cellStyle name="Normal 9 2 4" xfId="4487" xr:uid="{00000000-0005-0000-0000-0000DC6B0000}"/>
    <cellStyle name="Normal 9 2 4 2" xfId="9164" xr:uid="{00000000-0005-0000-0000-0000DD6B0000}"/>
    <cellStyle name="Normal 9 2 4 2 2" xfId="18488" xr:uid="{00000000-0005-0000-0000-0000DE6B0000}"/>
    <cellStyle name="Normal 9 2 4 2 3" xfId="27811" xr:uid="{00000000-0005-0000-0000-0000DF6B0000}"/>
    <cellStyle name="Normal 9 2 4 3" xfId="13821" xr:uid="{00000000-0005-0000-0000-0000E06B0000}"/>
    <cellStyle name="Normal 9 2 4 4" xfId="23145" xr:uid="{00000000-0005-0000-0000-0000E16B0000}"/>
    <cellStyle name="Normal 9 2 5" xfId="6230" xr:uid="{00000000-0005-0000-0000-0000E26B0000}"/>
    <cellStyle name="Normal 9 2 5 2" xfId="15554" xr:uid="{00000000-0005-0000-0000-0000E36B0000}"/>
    <cellStyle name="Normal 9 2 5 3" xfId="24877" xr:uid="{00000000-0005-0000-0000-0000E46B0000}"/>
    <cellStyle name="Normal 9 2 6" xfId="12265" xr:uid="{00000000-0005-0000-0000-0000E56B0000}"/>
    <cellStyle name="Normal 9 2 7" xfId="21591" xr:uid="{00000000-0005-0000-0000-0000E66B0000}"/>
    <cellStyle name="Normal 9 3" xfId="2815" xr:uid="{00000000-0005-0000-0000-0000E76B0000}"/>
    <cellStyle name="Normal 9 3 2" xfId="2816" xr:uid="{00000000-0005-0000-0000-0000E86B0000}"/>
    <cellStyle name="Normal 9 3 2 2" xfId="2817" xr:uid="{00000000-0005-0000-0000-0000E96B0000}"/>
    <cellStyle name="Normal 9 3 2 2 2" xfId="4493" xr:uid="{00000000-0005-0000-0000-0000EA6B0000}"/>
    <cellStyle name="Normal 9 3 2 2 2 2" xfId="9170" xr:uid="{00000000-0005-0000-0000-0000EB6B0000}"/>
    <cellStyle name="Normal 9 3 2 2 2 2 2" xfId="18494" xr:uid="{00000000-0005-0000-0000-0000EC6B0000}"/>
    <cellStyle name="Normal 9 3 2 2 2 2 3" xfId="27817" xr:uid="{00000000-0005-0000-0000-0000ED6B0000}"/>
    <cellStyle name="Normal 9 3 2 2 2 3" xfId="13827" xr:uid="{00000000-0005-0000-0000-0000EE6B0000}"/>
    <cellStyle name="Normal 9 3 2 2 2 4" xfId="23151" xr:uid="{00000000-0005-0000-0000-0000EF6B0000}"/>
    <cellStyle name="Normal 9 3 2 2 3" xfId="6236" xr:uid="{00000000-0005-0000-0000-0000F06B0000}"/>
    <cellStyle name="Normal 9 3 2 2 3 2" xfId="15560" xr:uid="{00000000-0005-0000-0000-0000F16B0000}"/>
    <cellStyle name="Normal 9 3 2 2 3 3" xfId="24883" xr:uid="{00000000-0005-0000-0000-0000F26B0000}"/>
    <cellStyle name="Normal 9 3 2 2 4" xfId="12271" xr:uid="{00000000-0005-0000-0000-0000F36B0000}"/>
    <cellStyle name="Normal 9 3 2 2 5" xfId="21597" xr:uid="{00000000-0005-0000-0000-0000F46B0000}"/>
    <cellStyle name="Normal 9 3 2 3" xfId="4492" xr:uid="{00000000-0005-0000-0000-0000F56B0000}"/>
    <cellStyle name="Normal 9 3 2 3 2" xfId="9169" xr:uid="{00000000-0005-0000-0000-0000F66B0000}"/>
    <cellStyle name="Normal 9 3 2 3 2 2" xfId="18493" xr:uid="{00000000-0005-0000-0000-0000F76B0000}"/>
    <cellStyle name="Normal 9 3 2 3 2 3" xfId="27816" xr:uid="{00000000-0005-0000-0000-0000F86B0000}"/>
    <cellStyle name="Normal 9 3 2 3 3" xfId="13826" xr:uid="{00000000-0005-0000-0000-0000F96B0000}"/>
    <cellStyle name="Normal 9 3 2 3 4" xfId="23150" xr:uid="{00000000-0005-0000-0000-0000FA6B0000}"/>
    <cellStyle name="Normal 9 3 2 4" xfId="6235" xr:uid="{00000000-0005-0000-0000-0000FB6B0000}"/>
    <cellStyle name="Normal 9 3 2 4 2" xfId="15559" xr:uid="{00000000-0005-0000-0000-0000FC6B0000}"/>
    <cellStyle name="Normal 9 3 2 4 3" xfId="24882" xr:uid="{00000000-0005-0000-0000-0000FD6B0000}"/>
    <cellStyle name="Normal 9 3 2 5" xfId="12270" xr:uid="{00000000-0005-0000-0000-0000FE6B0000}"/>
    <cellStyle name="Normal 9 3 2 6" xfId="21596" xr:uid="{00000000-0005-0000-0000-0000FF6B0000}"/>
    <cellStyle name="Normal 9 3 3" xfId="2818" xr:uid="{00000000-0005-0000-0000-0000006C0000}"/>
    <cellStyle name="Normal 9 3 3 2" xfId="4494" xr:uid="{00000000-0005-0000-0000-0000016C0000}"/>
    <cellStyle name="Normal 9 3 3 2 2" xfId="9171" xr:uid="{00000000-0005-0000-0000-0000026C0000}"/>
    <cellStyle name="Normal 9 3 3 2 2 2" xfId="18495" xr:uid="{00000000-0005-0000-0000-0000036C0000}"/>
    <cellStyle name="Normal 9 3 3 2 2 3" xfId="27818" xr:uid="{00000000-0005-0000-0000-0000046C0000}"/>
    <cellStyle name="Normal 9 3 3 2 3" xfId="13828" xr:uid="{00000000-0005-0000-0000-0000056C0000}"/>
    <cellStyle name="Normal 9 3 3 2 4" xfId="23152" xr:uid="{00000000-0005-0000-0000-0000066C0000}"/>
    <cellStyle name="Normal 9 3 3 3" xfId="6237" xr:uid="{00000000-0005-0000-0000-0000076C0000}"/>
    <cellStyle name="Normal 9 3 3 3 2" xfId="15561" xr:uid="{00000000-0005-0000-0000-0000086C0000}"/>
    <cellStyle name="Normal 9 3 3 3 3" xfId="24884" xr:uid="{00000000-0005-0000-0000-0000096C0000}"/>
    <cellStyle name="Normal 9 3 3 4" xfId="12272" xr:uid="{00000000-0005-0000-0000-00000A6C0000}"/>
    <cellStyle name="Normal 9 3 3 5" xfId="21598" xr:uid="{00000000-0005-0000-0000-00000B6C0000}"/>
    <cellStyle name="Normal 9 3 4" xfId="4491" xr:uid="{00000000-0005-0000-0000-00000C6C0000}"/>
    <cellStyle name="Normal 9 3 4 2" xfId="9168" xr:uid="{00000000-0005-0000-0000-00000D6C0000}"/>
    <cellStyle name="Normal 9 3 4 2 2" xfId="18492" xr:uid="{00000000-0005-0000-0000-00000E6C0000}"/>
    <cellStyle name="Normal 9 3 4 2 3" xfId="27815" xr:uid="{00000000-0005-0000-0000-00000F6C0000}"/>
    <cellStyle name="Normal 9 3 4 3" xfId="13825" xr:uid="{00000000-0005-0000-0000-0000106C0000}"/>
    <cellStyle name="Normal 9 3 4 4" xfId="23149" xr:uid="{00000000-0005-0000-0000-0000116C0000}"/>
    <cellStyle name="Normal 9 3 5" xfId="6234" xr:uid="{00000000-0005-0000-0000-0000126C0000}"/>
    <cellStyle name="Normal 9 3 5 2" xfId="15558" xr:uid="{00000000-0005-0000-0000-0000136C0000}"/>
    <cellStyle name="Normal 9 3 5 3" xfId="24881" xr:uid="{00000000-0005-0000-0000-0000146C0000}"/>
    <cellStyle name="Normal 9 3 6" xfId="12269" xr:uid="{00000000-0005-0000-0000-0000156C0000}"/>
    <cellStyle name="Normal 9 3 7" xfId="21595" xr:uid="{00000000-0005-0000-0000-0000166C0000}"/>
    <cellStyle name="Normal 9 4" xfId="2819" xr:uid="{00000000-0005-0000-0000-0000176C0000}"/>
    <cellStyle name="Normal 9 4 2" xfId="2820" xr:uid="{00000000-0005-0000-0000-0000186C0000}"/>
    <cellStyle name="Normal 9 4 2 2" xfId="2821" xr:uid="{00000000-0005-0000-0000-0000196C0000}"/>
    <cellStyle name="Normal 9 4 2 2 2" xfId="4497" xr:uid="{00000000-0005-0000-0000-00001A6C0000}"/>
    <cellStyle name="Normal 9 4 2 2 2 2" xfId="9174" xr:uid="{00000000-0005-0000-0000-00001B6C0000}"/>
    <cellStyle name="Normal 9 4 2 2 2 2 2" xfId="18498" xr:uid="{00000000-0005-0000-0000-00001C6C0000}"/>
    <cellStyle name="Normal 9 4 2 2 2 2 3" xfId="27821" xr:uid="{00000000-0005-0000-0000-00001D6C0000}"/>
    <cellStyle name="Normal 9 4 2 2 2 3" xfId="13831" xr:uid="{00000000-0005-0000-0000-00001E6C0000}"/>
    <cellStyle name="Normal 9 4 2 2 2 4" xfId="23155" xr:uid="{00000000-0005-0000-0000-00001F6C0000}"/>
    <cellStyle name="Normal 9 4 2 2 3" xfId="6240" xr:uid="{00000000-0005-0000-0000-0000206C0000}"/>
    <cellStyle name="Normal 9 4 2 2 3 2" xfId="15564" xr:uid="{00000000-0005-0000-0000-0000216C0000}"/>
    <cellStyle name="Normal 9 4 2 2 3 3" xfId="24887" xr:uid="{00000000-0005-0000-0000-0000226C0000}"/>
    <cellStyle name="Normal 9 4 2 2 4" xfId="12275" xr:uid="{00000000-0005-0000-0000-0000236C0000}"/>
    <cellStyle name="Normal 9 4 2 2 5" xfId="21601" xr:uid="{00000000-0005-0000-0000-0000246C0000}"/>
    <cellStyle name="Normal 9 4 2 3" xfId="4496" xr:uid="{00000000-0005-0000-0000-0000256C0000}"/>
    <cellStyle name="Normal 9 4 2 3 2" xfId="9173" xr:uid="{00000000-0005-0000-0000-0000266C0000}"/>
    <cellStyle name="Normal 9 4 2 3 2 2" xfId="18497" xr:uid="{00000000-0005-0000-0000-0000276C0000}"/>
    <cellStyle name="Normal 9 4 2 3 2 3" xfId="27820" xr:uid="{00000000-0005-0000-0000-0000286C0000}"/>
    <cellStyle name="Normal 9 4 2 3 3" xfId="13830" xr:uid="{00000000-0005-0000-0000-0000296C0000}"/>
    <cellStyle name="Normal 9 4 2 3 4" xfId="23154" xr:uid="{00000000-0005-0000-0000-00002A6C0000}"/>
    <cellStyle name="Normal 9 4 2 4" xfId="6239" xr:uid="{00000000-0005-0000-0000-00002B6C0000}"/>
    <cellStyle name="Normal 9 4 2 4 2" xfId="15563" xr:uid="{00000000-0005-0000-0000-00002C6C0000}"/>
    <cellStyle name="Normal 9 4 2 4 3" xfId="24886" xr:uid="{00000000-0005-0000-0000-00002D6C0000}"/>
    <cellStyle name="Normal 9 4 2 5" xfId="12274" xr:uid="{00000000-0005-0000-0000-00002E6C0000}"/>
    <cellStyle name="Normal 9 4 2 6" xfId="21600" xr:uid="{00000000-0005-0000-0000-00002F6C0000}"/>
    <cellStyle name="Normal 9 4 3" xfId="2822" xr:uid="{00000000-0005-0000-0000-0000306C0000}"/>
    <cellStyle name="Normal 9 4 3 2" xfId="4498" xr:uid="{00000000-0005-0000-0000-0000316C0000}"/>
    <cellStyle name="Normal 9 4 3 2 2" xfId="9175" xr:uid="{00000000-0005-0000-0000-0000326C0000}"/>
    <cellStyle name="Normal 9 4 3 2 2 2" xfId="18499" xr:uid="{00000000-0005-0000-0000-0000336C0000}"/>
    <cellStyle name="Normal 9 4 3 2 2 3" xfId="27822" xr:uid="{00000000-0005-0000-0000-0000346C0000}"/>
    <cellStyle name="Normal 9 4 3 2 3" xfId="13832" xr:uid="{00000000-0005-0000-0000-0000356C0000}"/>
    <cellStyle name="Normal 9 4 3 2 4" xfId="23156" xr:uid="{00000000-0005-0000-0000-0000366C0000}"/>
    <cellStyle name="Normal 9 4 3 3" xfId="6241" xr:uid="{00000000-0005-0000-0000-0000376C0000}"/>
    <cellStyle name="Normal 9 4 3 3 2" xfId="15565" xr:uid="{00000000-0005-0000-0000-0000386C0000}"/>
    <cellStyle name="Normal 9 4 3 3 3" xfId="24888" xr:uid="{00000000-0005-0000-0000-0000396C0000}"/>
    <cellStyle name="Normal 9 4 3 4" xfId="12276" xr:uid="{00000000-0005-0000-0000-00003A6C0000}"/>
    <cellStyle name="Normal 9 4 3 5" xfId="21602" xr:uid="{00000000-0005-0000-0000-00003B6C0000}"/>
    <cellStyle name="Normal 9 4 4" xfId="4495" xr:uid="{00000000-0005-0000-0000-00003C6C0000}"/>
    <cellStyle name="Normal 9 4 4 2" xfId="9172" xr:uid="{00000000-0005-0000-0000-00003D6C0000}"/>
    <cellStyle name="Normal 9 4 4 2 2" xfId="18496" xr:uid="{00000000-0005-0000-0000-00003E6C0000}"/>
    <cellStyle name="Normal 9 4 4 2 3" xfId="27819" xr:uid="{00000000-0005-0000-0000-00003F6C0000}"/>
    <cellStyle name="Normal 9 4 4 3" xfId="13829" xr:uid="{00000000-0005-0000-0000-0000406C0000}"/>
    <cellStyle name="Normal 9 4 4 4" xfId="23153" xr:uid="{00000000-0005-0000-0000-0000416C0000}"/>
    <cellStyle name="Normal 9 4 5" xfId="6238" xr:uid="{00000000-0005-0000-0000-0000426C0000}"/>
    <cellStyle name="Normal 9 4 5 2" xfId="15562" xr:uid="{00000000-0005-0000-0000-0000436C0000}"/>
    <cellStyle name="Normal 9 4 5 3" xfId="24885" xr:uid="{00000000-0005-0000-0000-0000446C0000}"/>
    <cellStyle name="Normal 9 4 6" xfId="12273" xr:uid="{00000000-0005-0000-0000-0000456C0000}"/>
    <cellStyle name="Normal 9 4 7" xfId="21599" xr:uid="{00000000-0005-0000-0000-0000466C0000}"/>
    <cellStyle name="Normal 9 5" xfId="2823" xr:uid="{00000000-0005-0000-0000-0000476C0000}"/>
    <cellStyle name="Normal 9 5 2" xfId="2824" xr:uid="{00000000-0005-0000-0000-0000486C0000}"/>
    <cellStyle name="Normal 9 5 2 2" xfId="4500" xr:uid="{00000000-0005-0000-0000-0000496C0000}"/>
    <cellStyle name="Normal 9 5 2 2 2" xfId="9177" xr:uid="{00000000-0005-0000-0000-00004A6C0000}"/>
    <cellStyle name="Normal 9 5 2 2 2 2" xfId="18501" xr:uid="{00000000-0005-0000-0000-00004B6C0000}"/>
    <cellStyle name="Normal 9 5 2 2 2 3" xfId="27824" xr:uid="{00000000-0005-0000-0000-00004C6C0000}"/>
    <cellStyle name="Normal 9 5 2 2 3" xfId="13834" xr:uid="{00000000-0005-0000-0000-00004D6C0000}"/>
    <cellStyle name="Normal 9 5 2 2 4" xfId="23158" xr:uid="{00000000-0005-0000-0000-00004E6C0000}"/>
    <cellStyle name="Normal 9 5 2 3" xfId="6243" xr:uid="{00000000-0005-0000-0000-00004F6C0000}"/>
    <cellStyle name="Normal 9 5 2 3 2" xfId="15567" xr:uid="{00000000-0005-0000-0000-0000506C0000}"/>
    <cellStyle name="Normal 9 5 2 3 3" xfId="24890" xr:uid="{00000000-0005-0000-0000-0000516C0000}"/>
    <cellStyle name="Normal 9 5 2 4" xfId="12278" xr:uid="{00000000-0005-0000-0000-0000526C0000}"/>
    <cellStyle name="Normal 9 5 2 5" xfId="21604" xr:uid="{00000000-0005-0000-0000-0000536C0000}"/>
    <cellStyle name="Normal 9 5 3" xfId="4499" xr:uid="{00000000-0005-0000-0000-0000546C0000}"/>
    <cellStyle name="Normal 9 5 3 2" xfId="9176" xr:uid="{00000000-0005-0000-0000-0000556C0000}"/>
    <cellStyle name="Normal 9 5 3 2 2" xfId="18500" xr:uid="{00000000-0005-0000-0000-0000566C0000}"/>
    <cellStyle name="Normal 9 5 3 2 3" xfId="27823" xr:uid="{00000000-0005-0000-0000-0000576C0000}"/>
    <cellStyle name="Normal 9 5 3 3" xfId="13833" xr:uid="{00000000-0005-0000-0000-0000586C0000}"/>
    <cellStyle name="Normal 9 5 3 4" xfId="23157" xr:uid="{00000000-0005-0000-0000-0000596C0000}"/>
    <cellStyle name="Normal 9 5 4" xfId="6242" xr:uid="{00000000-0005-0000-0000-00005A6C0000}"/>
    <cellStyle name="Normal 9 5 4 2" xfId="15566" xr:uid="{00000000-0005-0000-0000-00005B6C0000}"/>
    <cellStyle name="Normal 9 5 4 3" xfId="24889" xr:uid="{00000000-0005-0000-0000-00005C6C0000}"/>
    <cellStyle name="Normal 9 5 5" xfId="12277" xr:uid="{00000000-0005-0000-0000-00005D6C0000}"/>
    <cellStyle name="Normal 9 5 6" xfId="21603" xr:uid="{00000000-0005-0000-0000-00005E6C0000}"/>
    <cellStyle name="Normal 9 6" xfId="2825" xr:uid="{00000000-0005-0000-0000-00005F6C0000}"/>
    <cellStyle name="Normal 9 6 2" xfId="4501" xr:uid="{00000000-0005-0000-0000-0000606C0000}"/>
    <cellStyle name="Normal 9 6 2 2" xfId="9178" xr:uid="{00000000-0005-0000-0000-0000616C0000}"/>
    <cellStyle name="Normal 9 6 2 2 2" xfId="18502" xr:uid="{00000000-0005-0000-0000-0000626C0000}"/>
    <cellStyle name="Normal 9 6 2 2 3" xfId="27825" xr:uid="{00000000-0005-0000-0000-0000636C0000}"/>
    <cellStyle name="Normal 9 6 2 3" xfId="13835" xr:uid="{00000000-0005-0000-0000-0000646C0000}"/>
    <cellStyle name="Normal 9 6 2 4" xfId="23159" xr:uid="{00000000-0005-0000-0000-0000656C0000}"/>
    <cellStyle name="Normal 9 6 3" xfId="6244" xr:uid="{00000000-0005-0000-0000-0000666C0000}"/>
    <cellStyle name="Normal 9 6 3 2" xfId="15568" xr:uid="{00000000-0005-0000-0000-0000676C0000}"/>
    <cellStyle name="Normal 9 6 3 3" xfId="24891" xr:uid="{00000000-0005-0000-0000-0000686C0000}"/>
    <cellStyle name="Normal 9 6 4" xfId="12279" xr:uid="{00000000-0005-0000-0000-0000696C0000}"/>
    <cellStyle name="Normal 9 6 5" xfId="21605" xr:uid="{00000000-0005-0000-0000-00006A6C0000}"/>
    <cellStyle name="Normal 9 7" xfId="2826" xr:uid="{00000000-0005-0000-0000-00006B6C0000}"/>
    <cellStyle name="Normal 9 7 2" xfId="4502" xr:uid="{00000000-0005-0000-0000-00006C6C0000}"/>
    <cellStyle name="Normal 9 7 2 2" xfId="9179" xr:uid="{00000000-0005-0000-0000-00006D6C0000}"/>
    <cellStyle name="Normal 9 7 2 2 2" xfId="18503" xr:uid="{00000000-0005-0000-0000-00006E6C0000}"/>
    <cellStyle name="Normal 9 7 2 2 3" xfId="27826" xr:uid="{00000000-0005-0000-0000-00006F6C0000}"/>
    <cellStyle name="Normal 9 7 2 3" xfId="13836" xr:uid="{00000000-0005-0000-0000-0000706C0000}"/>
    <cellStyle name="Normal 9 7 2 4" xfId="23160" xr:uid="{00000000-0005-0000-0000-0000716C0000}"/>
    <cellStyle name="Normal 9 7 3" xfId="6245" xr:uid="{00000000-0005-0000-0000-0000726C0000}"/>
    <cellStyle name="Normal 9 7 3 2" xfId="15569" xr:uid="{00000000-0005-0000-0000-0000736C0000}"/>
    <cellStyle name="Normal 9 7 3 3" xfId="24892" xr:uid="{00000000-0005-0000-0000-0000746C0000}"/>
    <cellStyle name="Normal 9 7 4" xfId="12280" xr:uid="{00000000-0005-0000-0000-0000756C0000}"/>
    <cellStyle name="Normal 9 7 5" xfId="21606" xr:uid="{00000000-0005-0000-0000-0000766C0000}"/>
    <cellStyle name="Normal 9 8" xfId="2827" xr:uid="{00000000-0005-0000-0000-0000776C0000}"/>
    <cellStyle name="Normal 9 8 2" xfId="4503" xr:uid="{00000000-0005-0000-0000-0000786C0000}"/>
    <cellStyle name="Normal 9 8 2 2" xfId="9180" xr:uid="{00000000-0005-0000-0000-0000796C0000}"/>
    <cellStyle name="Normal 9 8 2 2 2" xfId="18504" xr:uid="{00000000-0005-0000-0000-00007A6C0000}"/>
    <cellStyle name="Normal 9 8 2 2 3" xfId="27827" xr:uid="{00000000-0005-0000-0000-00007B6C0000}"/>
    <cellStyle name="Normal 9 8 2 3" xfId="13837" xr:uid="{00000000-0005-0000-0000-00007C6C0000}"/>
    <cellStyle name="Normal 9 8 2 4" xfId="23161" xr:uid="{00000000-0005-0000-0000-00007D6C0000}"/>
    <cellStyle name="Normal 9 8 3" xfId="6246" xr:uid="{00000000-0005-0000-0000-00007E6C0000}"/>
    <cellStyle name="Normal 9 8 3 2" xfId="15570" xr:uid="{00000000-0005-0000-0000-00007F6C0000}"/>
    <cellStyle name="Normal 9 8 3 3" xfId="24893" xr:uid="{00000000-0005-0000-0000-0000806C0000}"/>
    <cellStyle name="Normal 9 8 4" xfId="12281" xr:uid="{00000000-0005-0000-0000-0000816C0000}"/>
    <cellStyle name="Normal 9 8 5" xfId="21607" xr:uid="{00000000-0005-0000-0000-0000826C0000}"/>
    <cellStyle name="Normal 9 9" xfId="2810" xr:uid="{00000000-0005-0000-0000-0000836C0000}"/>
    <cellStyle name="Normal 9 9 2" xfId="4486" xr:uid="{00000000-0005-0000-0000-0000846C0000}"/>
    <cellStyle name="Normal 9 9 2 2" xfId="9163" xr:uid="{00000000-0005-0000-0000-0000856C0000}"/>
    <cellStyle name="Normal 9 9 2 2 2" xfId="18487" xr:uid="{00000000-0005-0000-0000-0000866C0000}"/>
    <cellStyle name="Normal 9 9 2 2 3" xfId="27810" xr:uid="{00000000-0005-0000-0000-0000876C0000}"/>
    <cellStyle name="Normal 9 9 2 3" xfId="13820" xr:uid="{00000000-0005-0000-0000-0000886C0000}"/>
    <cellStyle name="Normal 9 9 2 4" xfId="23144" xr:uid="{00000000-0005-0000-0000-0000896C0000}"/>
    <cellStyle name="Normal 9 9 3" xfId="6229" xr:uid="{00000000-0005-0000-0000-00008A6C0000}"/>
    <cellStyle name="Normal 9 9 3 2" xfId="15553" xr:uid="{00000000-0005-0000-0000-00008B6C0000}"/>
    <cellStyle name="Normal 9 9 3 3" xfId="24876" xr:uid="{00000000-0005-0000-0000-00008C6C0000}"/>
    <cellStyle name="Normal 9 9 4" xfId="12264" xr:uid="{00000000-0005-0000-0000-00008D6C0000}"/>
    <cellStyle name="Normal 9 9 5" xfId="21590" xr:uid="{00000000-0005-0000-0000-00008E6C0000}"/>
    <cellStyle name="Normal Table" xfId="28653" xr:uid="{00000000-0005-0000-0000-00008F6C0000}"/>
    <cellStyle name="Normal_Assets and Liabilities of Financial Institutions" xfId="4" xr:uid="{00000000-0005-0000-0000-0000906C0000}"/>
    <cellStyle name="Normal_B" xfId="5" xr:uid="{00000000-0005-0000-0000-0000916C0000}"/>
    <cellStyle name="Normal_Construction work done by Public &amp; Private Contractors" xfId="6" xr:uid="{00000000-0005-0000-0000-0000926C0000}"/>
    <cellStyle name="Normal_GROSS DOMESTIC AND NATIONAL PRODUCT" xfId="7" xr:uid="{00000000-0005-0000-0000-0000936C0000}"/>
    <cellStyle name="Normal_Liquid Assets and Ratios of Financial Institutions" xfId="8" xr:uid="{00000000-0005-0000-0000-0000946C0000}"/>
    <cellStyle name="Normal_MONTHLY REVIEW TABLES" xfId="9" xr:uid="{00000000-0005-0000-0000-0000956C0000}"/>
    <cellStyle name="Normal_Monthy 1.4 1.5 &amp; 1.6" xfId="10" xr:uid="{00000000-0005-0000-0000-0000966C0000}"/>
    <cellStyle name="Normal_Table 19 Central Government Accounts" xfId="11" xr:uid="{00000000-0005-0000-0000-0000986C0000}"/>
    <cellStyle name="Normal_Table 43 44" xfId="12" xr:uid="{00000000-0005-0000-0000-0000996C0000}"/>
    <cellStyle name="Normal_Volume of Manufacturing Production" xfId="13" xr:uid="{00000000-0005-0000-0000-00009A6C0000}"/>
    <cellStyle name="Notas" xfId="28547" xr:uid="{00000000-0005-0000-0000-00009B6C0000}"/>
    <cellStyle name="Note 2" xfId="174" xr:uid="{00000000-0005-0000-0000-00009C6C0000}"/>
    <cellStyle name="Note 2 10" xfId="2954" xr:uid="{00000000-0005-0000-0000-00009D6C0000}"/>
    <cellStyle name="Note 2 10 2" xfId="7633" xr:uid="{00000000-0005-0000-0000-00009E6C0000}"/>
    <cellStyle name="Note 2 10 2 2" xfId="16957" xr:uid="{00000000-0005-0000-0000-00009F6C0000}"/>
    <cellStyle name="Note 2 10 2 3" xfId="26280" xr:uid="{00000000-0005-0000-0000-0000A06C0000}"/>
    <cellStyle name="Note 2 10 3" xfId="12355" xr:uid="{00000000-0005-0000-0000-0000A16C0000}"/>
    <cellStyle name="Note 2 10 4" xfId="21681" xr:uid="{00000000-0005-0000-0000-0000A26C0000}"/>
    <cellStyle name="Note 2 11" xfId="4596" xr:uid="{00000000-0005-0000-0000-0000A36C0000}"/>
    <cellStyle name="Note 2 11 2" xfId="13920" xr:uid="{00000000-0005-0000-0000-0000A46C0000}"/>
    <cellStyle name="Note 2 11 3" xfId="23243" xr:uid="{00000000-0005-0000-0000-0000A56C0000}"/>
    <cellStyle name="Note 2 12" xfId="9303" xr:uid="{00000000-0005-0000-0000-0000A66C0000}"/>
    <cellStyle name="Note 2 12 2" xfId="18627" xr:uid="{00000000-0005-0000-0000-0000A76C0000}"/>
    <cellStyle name="Note 2 12 3" xfId="27950" xr:uid="{00000000-0005-0000-0000-0000A86C0000}"/>
    <cellStyle name="Note 2 13" xfId="9797" xr:uid="{00000000-0005-0000-0000-0000A96C0000}"/>
    <cellStyle name="Note 2 14" xfId="19121" xr:uid="{00000000-0005-0000-0000-0000AA6C0000}"/>
    <cellStyle name="Note 2 15" xfId="28548" xr:uid="{00000000-0005-0000-0000-0000AB6C0000}"/>
    <cellStyle name="Note 2 2" xfId="175" xr:uid="{00000000-0005-0000-0000-0000AC6C0000}"/>
    <cellStyle name="Note 2 2 10" xfId="4611" xr:uid="{00000000-0005-0000-0000-0000AD6C0000}"/>
    <cellStyle name="Note 2 2 10 2" xfId="13935" xr:uid="{00000000-0005-0000-0000-0000AE6C0000}"/>
    <cellStyle name="Note 2 2 10 3" xfId="23258" xr:uid="{00000000-0005-0000-0000-0000AF6C0000}"/>
    <cellStyle name="Note 2 2 11" xfId="9304" xr:uid="{00000000-0005-0000-0000-0000B06C0000}"/>
    <cellStyle name="Note 2 2 11 2" xfId="18628" xr:uid="{00000000-0005-0000-0000-0000B16C0000}"/>
    <cellStyle name="Note 2 2 11 3" xfId="27951" xr:uid="{00000000-0005-0000-0000-0000B26C0000}"/>
    <cellStyle name="Note 2 2 12" xfId="9798" xr:uid="{00000000-0005-0000-0000-0000B36C0000}"/>
    <cellStyle name="Note 2 2 13" xfId="19122" xr:uid="{00000000-0005-0000-0000-0000B46C0000}"/>
    <cellStyle name="Note 2 2 2" xfId="235" xr:uid="{00000000-0005-0000-0000-0000B56C0000}"/>
    <cellStyle name="Note 2 2 2 10" xfId="19181" xr:uid="{00000000-0005-0000-0000-0000B66C0000}"/>
    <cellStyle name="Note 2 2 2 2" xfId="375" xr:uid="{00000000-0005-0000-0000-0000B76C0000}"/>
    <cellStyle name="Note 2 2 2 2 2" xfId="615" xr:uid="{00000000-0005-0000-0000-0000B86C0000}"/>
    <cellStyle name="Note 2 2 2 2 2 2" xfId="1103" xr:uid="{00000000-0005-0000-0000-0000B96C0000}"/>
    <cellStyle name="Note 2 2 2 2 2 2 2" xfId="6320" xr:uid="{00000000-0005-0000-0000-0000BA6C0000}"/>
    <cellStyle name="Note 2 2 2 2 2 2 2 2" xfId="15644" xr:uid="{00000000-0005-0000-0000-0000BB6C0000}"/>
    <cellStyle name="Note 2 2 2 2 2 2 2 3" xfId="24967" xr:uid="{00000000-0005-0000-0000-0000BC6C0000}"/>
    <cellStyle name="Note 2 2 2 2 2 2 3" xfId="10704" xr:uid="{00000000-0005-0000-0000-0000BD6C0000}"/>
    <cellStyle name="Note 2 2 2 2 2 2 4" xfId="20028" xr:uid="{00000000-0005-0000-0000-0000BE6C0000}"/>
    <cellStyle name="Note 2 2 2 2 2 3" xfId="2832" xr:uid="{00000000-0005-0000-0000-0000BF6C0000}"/>
    <cellStyle name="Note 2 2 2 2 2 3 2" xfId="7574" xr:uid="{00000000-0005-0000-0000-0000C06C0000}"/>
    <cellStyle name="Note 2 2 2 2 2 3 2 2" xfId="16898" xr:uid="{00000000-0005-0000-0000-0000C16C0000}"/>
    <cellStyle name="Note 2 2 2 2 2 3 2 3" xfId="26221" xr:uid="{00000000-0005-0000-0000-0000C26C0000}"/>
    <cellStyle name="Note 2 2 2 2 2 3 3" xfId="12286" xr:uid="{00000000-0005-0000-0000-0000C36C0000}"/>
    <cellStyle name="Note 2 2 2 2 2 3 4" xfId="21612" xr:uid="{00000000-0005-0000-0000-0000C46C0000}"/>
    <cellStyle name="Note 2 2 2 2 2 4" xfId="4508" xr:uid="{00000000-0005-0000-0000-0000C56C0000}"/>
    <cellStyle name="Note 2 2 2 2 2 4 2" xfId="9185" xr:uid="{00000000-0005-0000-0000-0000C66C0000}"/>
    <cellStyle name="Note 2 2 2 2 2 4 2 2" xfId="18509" xr:uid="{00000000-0005-0000-0000-0000C76C0000}"/>
    <cellStyle name="Note 2 2 2 2 2 4 2 3" xfId="27832" xr:uid="{00000000-0005-0000-0000-0000C86C0000}"/>
    <cellStyle name="Note 2 2 2 2 2 4 3" xfId="13842" xr:uid="{00000000-0005-0000-0000-0000C96C0000}"/>
    <cellStyle name="Note 2 2 2 2 2 4 4" xfId="23166" xr:uid="{00000000-0005-0000-0000-0000CA6C0000}"/>
    <cellStyle name="Note 2 2 2 2 2 5" xfId="6251" xr:uid="{00000000-0005-0000-0000-0000CB6C0000}"/>
    <cellStyle name="Note 2 2 2 2 2 5 2" xfId="15575" xr:uid="{00000000-0005-0000-0000-0000CC6C0000}"/>
    <cellStyle name="Note 2 2 2 2 2 5 3" xfId="24898" xr:uid="{00000000-0005-0000-0000-0000CD6C0000}"/>
    <cellStyle name="Note 2 2 2 2 2 6" xfId="9726" xr:uid="{00000000-0005-0000-0000-0000CE6C0000}"/>
    <cellStyle name="Note 2 2 2 2 2 6 2" xfId="19050" xr:uid="{00000000-0005-0000-0000-0000CF6C0000}"/>
    <cellStyle name="Note 2 2 2 2 2 6 3" xfId="28373" xr:uid="{00000000-0005-0000-0000-0000D06C0000}"/>
    <cellStyle name="Note 2 2 2 2 2 7" xfId="10220" xr:uid="{00000000-0005-0000-0000-0000D16C0000}"/>
    <cellStyle name="Note 2 2 2 2 2 8" xfId="19544" xr:uid="{00000000-0005-0000-0000-0000D26C0000}"/>
    <cellStyle name="Note 2 2 2 2 3" xfId="863" xr:uid="{00000000-0005-0000-0000-0000D36C0000}"/>
    <cellStyle name="Note 2 2 2 2 3 2" xfId="6900" xr:uid="{00000000-0005-0000-0000-0000D46C0000}"/>
    <cellStyle name="Note 2 2 2 2 3 2 2" xfId="16224" xr:uid="{00000000-0005-0000-0000-0000D56C0000}"/>
    <cellStyle name="Note 2 2 2 2 3 2 3" xfId="25547" xr:uid="{00000000-0005-0000-0000-0000D66C0000}"/>
    <cellStyle name="Note 2 2 2 2 3 3" xfId="10464" xr:uid="{00000000-0005-0000-0000-0000D76C0000}"/>
    <cellStyle name="Note 2 2 2 2 3 4" xfId="19788" xr:uid="{00000000-0005-0000-0000-0000D86C0000}"/>
    <cellStyle name="Note 2 2 2 2 4" xfId="2831" xr:uid="{00000000-0005-0000-0000-0000D96C0000}"/>
    <cellStyle name="Note 2 2 2 2 4 2" xfId="7573" xr:uid="{00000000-0005-0000-0000-0000DA6C0000}"/>
    <cellStyle name="Note 2 2 2 2 4 2 2" xfId="16897" xr:uid="{00000000-0005-0000-0000-0000DB6C0000}"/>
    <cellStyle name="Note 2 2 2 2 4 2 3" xfId="26220" xr:uid="{00000000-0005-0000-0000-0000DC6C0000}"/>
    <cellStyle name="Note 2 2 2 2 4 3" xfId="12285" xr:uid="{00000000-0005-0000-0000-0000DD6C0000}"/>
    <cellStyle name="Note 2 2 2 2 4 4" xfId="21611" xr:uid="{00000000-0005-0000-0000-0000DE6C0000}"/>
    <cellStyle name="Note 2 2 2 2 5" xfId="4507" xr:uid="{00000000-0005-0000-0000-0000DF6C0000}"/>
    <cellStyle name="Note 2 2 2 2 5 2" xfId="9184" xr:uid="{00000000-0005-0000-0000-0000E06C0000}"/>
    <cellStyle name="Note 2 2 2 2 5 2 2" xfId="18508" xr:uid="{00000000-0005-0000-0000-0000E16C0000}"/>
    <cellStyle name="Note 2 2 2 2 5 2 3" xfId="27831" xr:uid="{00000000-0005-0000-0000-0000E26C0000}"/>
    <cellStyle name="Note 2 2 2 2 5 3" xfId="13841" xr:uid="{00000000-0005-0000-0000-0000E36C0000}"/>
    <cellStyle name="Note 2 2 2 2 5 4" xfId="23165" xr:uid="{00000000-0005-0000-0000-0000E46C0000}"/>
    <cellStyle name="Note 2 2 2 2 6" xfId="6250" xr:uid="{00000000-0005-0000-0000-0000E56C0000}"/>
    <cellStyle name="Note 2 2 2 2 6 2" xfId="15574" xr:uid="{00000000-0005-0000-0000-0000E66C0000}"/>
    <cellStyle name="Note 2 2 2 2 6 3" xfId="24897" xr:uid="{00000000-0005-0000-0000-0000E76C0000}"/>
    <cellStyle name="Note 2 2 2 2 7" xfId="9486" xr:uid="{00000000-0005-0000-0000-0000E86C0000}"/>
    <cellStyle name="Note 2 2 2 2 7 2" xfId="18810" xr:uid="{00000000-0005-0000-0000-0000E96C0000}"/>
    <cellStyle name="Note 2 2 2 2 7 3" xfId="28133" xr:uid="{00000000-0005-0000-0000-0000EA6C0000}"/>
    <cellStyle name="Note 2 2 2 2 8" xfId="9980" xr:uid="{00000000-0005-0000-0000-0000EB6C0000}"/>
    <cellStyle name="Note 2 2 2 2 9" xfId="19304" xr:uid="{00000000-0005-0000-0000-0000EC6C0000}"/>
    <cellStyle name="Note 2 2 2 3" xfId="493" xr:uid="{00000000-0005-0000-0000-0000ED6C0000}"/>
    <cellStyle name="Note 2 2 2 3 2" xfId="981" xr:uid="{00000000-0005-0000-0000-0000EE6C0000}"/>
    <cellStyle name="Note 2 2 2 3 2 2" xfId="4562" xr:uid="{00000000-0005-0000-0000-0000EF6C0000}"/>
    <cellStyle name="Note 2 2 2 3 2 2 2" xfId="13886" xr:uid="{00000000-0005-0000-0000-0000F06C0000}"/>
    <cellStyle name="Note 2 2 2 3 2 2 3" xfId="23209" xr:uid="{00000000-0005-0000-0000-0000F16C0000}"/>
    <cellStyle name="Note 2 2 2 3 2 3" xfId="10582" xr:uid="{00000000-0005-0000-0000-0000F26C0000}"/>
    <cellStyle name="Note 2 2 2 3 2 4" xfId="19906" xr:uid="{00000000-0005-0000-0000-0000F36C0000}"/>
    <cellStyle name="Note 2 2 2 3 3" xfId="2833" xr:uid="{00000000-0005-0000-0000-0000F46C0000}"/>
    <cellStyle name="Note 2 2 2 3 3 2" xfId="7575" xr:uid="{00000000-0005-0000-0000-0000F56C0000}"/>
    <cellStyle name="Note 2 2 2 3 3 2 2" xfId="16899" xr:uid="{00000000-0005-0000-0000-0000F66C0000}"/>
    <cellStyle name="Note 2 2 2 3 3 2 3" xfId="26222" xr:uid="{00000000-0005-0000-0000-0000F76C0000}"/>
    <cellStyle name="Note 2 2 2 3 3 3" xfId="12287" xr:uid="{00000000-0005-0000-0000-0000F86C0000}"/>
    <cellStyle name="Note 2 2 2 3 3 4" xfId="21613" xr:uid="{00000000-0005-0000-0000-0000F96C0000}"/>
    <cellStyle name="Note 2 2 2 3 4" xfId="4509" xr:uid="{00000000-0005-0000-0000-0000FA6C0000}"/>
    <cellStyle name="Note 2 2 2 3 4 2" xfId="9186" xr:uid="{00000000-0005-0000-0000-0000FB6C0000}"/>
    <cellStyle name="Note 2 2 2 3 4 2 2" xfId="18510" xr:uid="{00000000-0005-0000-0000-0000FC6C0000}"/>
    <cellStyle name="Note 2 2 2 3 4 2 3" xfId="27833" xr:uid="{00000000-0005-0000-0000-0000FD6C0000}"/>
    <cellStyle name="Note 2 2 2 3 4 3" xfId="13843" xr:uid="{00000000-0005-0000-0000-0000FE6C0000}"/>
    <cellStyle name="Note 2 2 2 3 4 4" xfId="23167" xr:uid="{00000000-0005-0000-0000-0000FF6C0000}"/>
    <cellStyle name="Note 2 2 2 3 5" xfId="6252" xr:uid="{00000000-0005-0000-0000-0000006D0000}"/>
    <cellStyle name="Note 2 2 2 3 5 2" xfId="15576" xr:uid="{00000000-0005-0000-0000-0000016D0000}"/>
    <cellStyle name="Note 2 2 2 3 5 3" xfId="24899" xr:uid="{00000000-0005-0000-0000-0000026D0000}"/>
    <cellStyle name="Note 2 2 2 3 6" xfId="9604" xr:uid="{00000000-0005-0000-0000-0000036D0000}"/>
    <cellStyle name="Note 2 2 2 3 6 2" xfId="18928" xr:uid="{00000000-0005-0000-0000-0000046D0000}"/>
    <cellStyle name="Note 2 2 2 3 6 3" xfId="28251" xr:uid="{00000000-0005-0000-0000-0000056D0000}"/>
    <cellStyle name="Note 2 2 2 3 7" xfId="10098" xr:uid="{00000000-0005-0000-0000-0000066D0000}"/>
    <cellStyle name="Note 2 2 2 3 8" xfId="19422" xr:uid="{00000000-0005-0000-0000-0000076D0000}"/>
    <cellStyle name="Note 2 2 2 4" xfId="741" xr:uid="{00000000-0005-0000-0000-0000086D0000}"/>
    <cellStyle name="Note 2 2 2 4 2" xfId="6984" xr:uid="{00000000-0005-0000-0000-0000096D0000}"/>
    <cellStyle name="Note 2 2 2 4 2 2" xfId="16308" xr:uid="{00000000-0005-0000-0000-00000A6D0000}"/>
    <cellStyle name="Note 2 2 2 4 2 3" xfId="25631" xr:uid="{00000000-0005-0000-0000-00000B6D0000}"/>
    <cellStyle name="Note 2 2 2 4 3" xfId="10342" xr:uid="{00000000-0005-0000-0000-00000C6D0000}"/>
    <cellStyle name="Note 2 2 2 4 4" xfId="19666" xr:uid="{00000000-0005-0000-0000-00000D6D0000}"/>
    <cellStyle name="Note 2 2 2 5" xfId="2830" xr:uid="{00000000-0005-0000-0000-00000E6D0000}"/>
    <cellStyle name="Note 2 2 2 5 2" xfId="7572" xr:uid="{00000000-0005-0000-0000-00000F6D0000}"/>
    <cellStyle name="Note 2 2 2 5 2 2" xfId="16896" xr:uid="{00000000-0005-0000-0000-0000106D0000}"/>
    <cellStyle name="Note 2 2 2 5 2 3" xfId="26219" xr:uid="{00000000-0005-0000-0000-0000116D0000}"/>
    <cellStyle name="Note 2 2 2 5 3" xfId="12284" xr:uid="{00000000-0005-0000-0000-0000126D0000}"/>
    <cellStyle name="Note 2 2 2 5 4" xfId="21610" xr:uid="{00000000-0005-0000-0000-0000136D0000}"/>
    <cellStyle name="Note 2 2 2 6" xfId="4506" xr:uid="{00000000-0005-0000-0000-0000146D0000}"/>
    <cellStyle name="Note 2 2 2 6 2" xfId="9183" xr:uid="{00000000-0005-0000-0000-0000156D0000}"/>
    <cellStyle name="Note 2 2 2 6 2 2" xfId="18507" xr:uid="{00000000-0005-0000-0000-0000166D0000}"/>
    <cellStyle name="Note 2 2 2 6 2 3" xfId="27830" xr:uid="{00000000-0005-0000-0000-0000176D0000}"/>
    <cellStyle name="Note 2 2 2 6 3" xfId="13840" xr:uid="{00000000-0005-0000-0000-0000186D0000}"/>
    <cellStyle name="Note 2 2 2 6 4" xfId="23164" xr:uid="{00000000-0005-0000-0000-0000196D0000}"/>
    <cellStyle name="Note 2 2 2 7" xfId="6249" xr:uid="{00000000-0005-0000-0000-00001A6D0000}"/>
    <cellStyle name="Note 2 2 2 7 2" xfId="15573" xr:uid="{00000000-0005-0000-0000-00001B6D0000}"/>
    <cellStyle name="Note 2 2 2 7 3" xfId="24896" xr:uid="{00000000-0005-0000-0000-00001C6D0000}"/>
    <cellStyle name="Note 2 2 2 8" xfId="9363" xr:uid="{00000000-0005-0000-0000-00001D6D0000}"/>
    <cellStyle name="Note 2 2 2 8 2" xfId="18687" xr:uid="{00000000-0005-0000-0000-00001E6D0000}"/>
    <cellStyle name="Note 2 2 2 8 3" xfId="28010" xr:uid="{00000000-0005-0000-0000-00001F6D0000}"/>
    <cellStyle name="Note 2 2 2 9" xfId="9857" xr:uid="{00000000-0005-0000-0000-0000206D0000}"/>
    <cellStyle name="Note 2 2 3" xfId="274" xr:uid="{00000000-0005-0000-0000-0000216D0000}"/>
    <cellStyle name="Note 2 2 3 2" xfId="527" xr:uid="{00000000-0005-0000-0000-0000226D0000}"/>
    <cellStyle name="Note 2 2 3 2 2" xfId="1015" xr:uid="{00000000-0005-0000-0000-0000236D0000}"/>
    <cellStyle name="Note 2 2 3 2 2 2" xfId="6786" xr:uid="{00000000-0005-0000-0000-0000246D0000}"/>
    <cellStyle name="Note 2 2 3 2 2 2 2" xfId="16110" xr:uid="{00000000-0005-0000-0000-0000256D0000}"/>
    <cellStyle name="Note 2 2 3 2 2 2 3" xfId="25433" xr:uid="{00000000-0005-0000-0000-0000266D0000}"/>
    <cellStyle name="Note 2 2 3 2 2 3" xfId="10616" xr:uid="{00000000-0005-0000-0000-0000276D0000}"/>
    <cellStyle name="Note 2 2 3 2 2 4" xfId="19940" xr:uid="{00000000-0005-0000-0000-0000286D0000}"/>
    <cellStyle name="Note 2 2 3 2 3" xfId="2835" xr:uid="{00000000-0005-0000-0000-0000296D0000}"/>
    <cellStyle name="Note 2 2 3 2 3 2" xfId="7577" xr:uid="{00000000-0005-0000-0000-00002A6D0000}"/>
    <cellStyle name="Note 2 2 3 2 3 2 2" xfId="16901" xr:uid="{00000000-0005-0000-0000-00002B6D0000}"/>
    <cellStyle name="Note 2 2 3 2 3 2 3" xfId="26224" xr:uid="{00000000-0005-0000-0000-00002C6D0000}"/>
    <cellStyle name="Note 2 2 3 2 3 3" xfId="12289" xr:uid="{00000000-0005-0000-0000-00002D6D0000}"/>
    <cellStyle name="Note 2 2 3 2 3 4" xfId="21615" xr:uid="{00000000-0005-0000-0000-00002E6D0000}"/>
    <cellStyle name="Note 2 2 3 2 4" xfId="4511" xr:uid="{00000000-0005-0000-0000-00002F6D0000}"/>
    <cellStyle name="Note 2 2 3 2 4 2" xfId="9188" xr:uid="{00000000-0005-0000-0000-0000306D0000}"/>
    <cellStyle name="Note 2 2 3 2 4 2 2" xfId="18512" xr:uid="{00000000-0005-0000-0000-0000316D0000}"/>
    <cellStyle name="Note 2 2 3 2 4 2 3" xfId="27835" xr:uid="{00000000-0005-0000-0000-0000326D0000}"/>
    <cellStyle name="Note 2 2 3 2 4 3" xfId="13845" xr:uid="{00000000-0005-0000-0000-0000336D0000}"/>
    <cellStyle name="Note 2 2 3 2 4 4" xfId="23169" xr:uid="{00000000-0005-0000-0000-0000346D0000}"/>
    <cellStyle name="Note 2 2 3 2 5" xfId="6254" xr:uid="{00000000-0005-0000-0000-0000356D0000}"/>
    <cellStyle name="Note 2 2 3 2 5 2" xfId="15578" xr:uid="{00000000-0005-0000-0000-0000366D0000}"/>
    <cellStyle name="Note 2 2 3 2 5 3" xfId="24901" xr:uid="{00000000-0005-0000-0000-0000376D0000}"/>
    <cellStyle name="Note 2 2 3 2 6" xfId="9638" xr:uid="{00000000-0005-0000-0000-0000386D0000}"/>
    <cellStyle name="Note 2 2 3 2 6 2" xfId="18962" xr:uid="{00000000-0005-0000-0000-0000396D0000}"/>
    <cellStyle name="Note 2 2 3 2 6 3" xfId="28285" xr:uid="{00000000-0005-0000-0000-00003A6D0000}"/>
    <cellStyle name="Note 2 2 3 2 7" xfId="10132" xr:uid="{00000000-0005-0000-0000-00003B6D0000}"/>
    <cellStyle name="Note 2 2 3 2 8" xfId="19456" xr:uid="{00000000-0005-0000-0000-00003C6D0000}"/>
    <cellStyle name="Note 2 2 3 3" xfId="775" xr:uid="{00000000-0005-0000-0000-00003D6D0000}"/>
    <cellStyle name="Note 2 2 3 3 2" xfId="5418" xr:uid="{00000000-0005-0000-0000-00003E6D0000}"/>
    <cellStyle name="Note 2 2 3 3 2 2" xfId="14742" xr:uid="{00000000-0005-0000-0000-00003F6D0000}"/>
    <cellStyle name="Note 2 2 3 3 2 3" xfId="24065" xr:uid="{00000000-0005-0000-0000-0000406D0000}"/>
    <cellStyle name="Note 2 2 3 3 3" xfId="10376" xr:uid="{00000000-0005-0000-0000-0000416D0000}"/>
    <cellStyle name="Note 2 2 3 3 4" xfId="19700" xr:uid="{00000000-0005-0000-0000-0000426D0000}"/>
    <cellStyle name="Note 2 2 3 4" xfId="2834" xr:uid="{00000000-0005-0000-0000-0000436D0000}"/>
    <cellStyle name="Note 2 2 3 4 2" xfId="7576" xr:uid="{00000000-0005-0000-0000-0000446D0000}"/>
    <cellStyle name="Note 2 2 3 4 2 2" xfId="16900" xr:uid="{00000000-0005-0000-0000-0000456D0000}"/>
    <cellStyle name="Note 2 2 3 4 2 3" xfId="26223" xr:uid="{00000000-0005-0000-0000-0000466D0000}"/>
    <cellStyle name="Note 2 2 3 4 3" xfId="12288" xr:uid="{00000000-0005-0000-0000-0000476D0000}"/>
    <cellStyle name="Note 2 2 3 4 4" xfId="21614" xr:uid="{00000000-0005-0000-0000-0000486D0000}"/>
    <cellStyle name="Note 2 2 3 5" xfId="4510" xr:uid="{00000000-0005-0000-0000-0000496D0000}"/>
    <cellStyle name="Note 2 2 3 5 2" xfId="9187" xr:uid="{00000000-0005-0000-0000-00004A6D0000}"/>
    <cellStyle name="Note 2 2 3 5 2 2" xfId="18511" xr:uid="{00000000-0005-0000-0000-00004B6D0000}"/>
    <cellStyle name="Note 2 2 3 5 2 3" xfId="27834" xr:uid="{00000000-0005-0000-0000-00004C6D0000}"/>
    <cellStyle name="Note 2 2 3 5 3" xfId="13844" xr:uid="{00000000-0005-0000-0000-00004D6D0000}"/>
    <cellStyle name="Note 2 2 3 5 4" xfId="23168" xr:uid="{00000000-0005-0000-0000-00004E6D0000}"/>
    <cellStyle name="Note 2 2 3 6" xfId="6253" xr:uid="{00000000-0005-0000-0000-00004F6D0000}"/>
    <cellStyle name="Note 2 2 3 6 2" xfId="15577" xr:uid="{00000000-0005-0000-0000-0000506D0000}"/>
    <cellStyle name="Note 2 2 3 6 3" xfId="24900" xr:uid="{00000000-0005-0000-0000-0000516D0000}"/>
    <cellStyle name="Note 2 2 3 7" xfId="9397" xr:uid="{00000000-0005-0000-0000-0000526D0000}"/>
    <cellStyle name="Note 2 2 3 7 2" xfId="18721" xr:uid="{00000000-0005-0000-0000-0000536D0000}"/>
    <cellStyle name="Note 2 2 3 7 3" xfId="28044" xr:uid="{00000000-0005-0000-0000-0000546D0000}"/>
    <cellStyle name="Note 2 2 3 8" xfId="9891" xr:uid="{00000000-0005-0000-0000-0000556D0000}"/>
    <cellStyle name="Note 2 2 3 9" xfId="19215" xr:uid="{00000000-0005-0000-0000-0000566D0000}"/>
    <cellStyle name="Note 2 2 4" xfId="434" xr:uid="{00000000-0005-0000-0000-0000576D0000}"/>
    <cellStyle name="Note 2 2 4 2" xfId="922" xr:uid="{00000000-0005-0000-0000-0000586D0000}"/>
    <cellStyle name="Note 2 2 4 2 2" xfId="6848" xr:uid="{00000000-0005-0000-0000-0000596D0000}"/>
    <cellStyle name="Note 2 2 4 2 2 2" xfId="16172" xr:uid="{00000000-0005-0000-0000-00005A6D0000}"/>
    <cellStyle name="Note 2 2 4 2 2 3" xfId="25495" xr:uid="{00000000-0005-0000-0000-00005B6D0000}"/>
    <cellStyle name="Note 2 2 4 2 3" xfId="10523" xr:uid="{00000000-0005-0000-0000-00005C6D0000}"/>
    <cellStyle name="Note 2 2 4 2 4" xfId="19847" xr:uid="{00000000-0005-0000-0000-00005D6D0000}"/>
    <cellStyle name="Note 2 2 4 3" xfId="2836" xr:uid="{00000000-0005-0000-0000-00005E6D0000}"/>
    <cellStyle name="Note 2 2 4 3 2" xfId="7578" xr:uid="{00000000-0005-0000-0000-00005F6D0000}"/>
    <cellStyle name="Note 2 2 4 3 2 2" xfId="16902" xr:uid="{00000000-0005-0000-0000-0000606D0000}"/>
    <cellStyle name="Note 2 2 4 3 2 3" xfId="26225" xr:uid="{00000000-0005-0000-0000-0000616D0000}"/>
    <cellStyle name="Note 2 2 4 3 3" xfId="12290" xr:uid="{00000000-0005-0000-0000-0000626D0000}"/>
    <cellStyle name="Note 2 2 4 3 4" xfId="21616" xr:uid="{00000000-0005-0000-0000-0000636D0000}"/>
    <cellStyle name="Note 2 2 4 4" xfId="4512" xr:uid="{00000000-0005-0000-0000-0000646D0000}"/>
    <cellStyle name="Note 2 2 4 4 2" xfId="9189" xr:uid="{00000000-0005-0000-0000-0000656D0000}"/>
    <cellStyle name="Note 2 2 4 4 2 2" xfId="18513" xr:uid="{00000000-0005-0000-0000-0000666D0000}"/>
    <cellStyle name="Note 2 2 4 4 2 3" xfId="27836" xr:uid="{00000000-0005-0000-0000-0000676D0000}"/>
    <cellStyle name="Note 2 2 4 4 3" xfId="13846" xr:uid="{00000000-0005-0000-0000-0000686D0000}"/>
    <cellStyle name="Note 2 2 4 4 4" xfId="23170" xr:uid="{00000000-0005-0000-0000-0000696D0000}"/>
    <cellStyle name="Note 2 2 4 5" xfId="6255" xr:uid="{00000000-0005-0000-0000-00006A6D0000}"/>
    <cellStyle name="Note 2 2 4 5 2" xfId="15579" xr:uid="{00000000-0005-0000-0000-00006B6D0000}"/>
    <cellStyle name="Note 2 2 4 5 3" xfId="24902" xr:uid="{00000000-0005-0000-0000-00006C6D0000}"/>
    <cellStyle name="Note 2 2 4 6" xfId="9545" xr:uid="{00000000-0005-0000-0000-00006D6D0000}"/>
    <cellStyle name="Note 2 2 4 6 2" xfId="18869" xr:uid="{00000000-0005-0000-0000-00006E6D0000}"/>
    <cellStyle name="Note 2 2 4 6 3" xfId="28192" xr:uid="{00000000-0005-0000-0000-00006F6D0000}"/>
    <cellStyle name="Note 2 2 4 7" xfId="10039" xr:uid="{00000000-0005-0000-0000-0000706D0000}"/>
    <cellStyle name="Note 2 2 4 8" xfId="19363" xr:uid="{00000000-0005-0000-0000-0000716D0000}"/>
    <cellStyle name="Note 2 2 5" xfId="682" xr:uid="{00000000-0005-0000-0000-0000726D0000}"/>
    <cellStyle name="Note 2 2 5 2" xfId="2837" xr:uid="{00000000-0005-0000-0000-0000736D0000}"/>
    <cellStyle name="Note 2 2 5 2 2" xfId="7579" xr:uid="{00000000-0005-0000-0000-0000746D0000}"/>
    <cellStyle name="Note 2 2 5 2 2 2" xfId="16903" xr:uid="{00000000-0005-0000-0000-0000756D0000}"/>
    <cellStyle name="Note 2 2 5 2 2 3" xfId="26226" xr:uid="{00000000-0005-0000-0000-0000766D0000}"/>
    <cellStyle name="Note 2 2 5 2 3" xfId="12291" xr:uid="{00000000-0005-0000-0000-0000776D0000}"/>
    <cellStyle name="Note 2 2 5 2 4" xfId="21617" xr:uid="{00000000-0005-0000-0000-0000786D0000}"/>
    <cellStyle name="Note 2 2 5 3" xfId="4513" xr:uid="{00000000-0005-0000-0000-0000796D0000}"/>
    <cellStyle name="Note 2 2 5 3 2" xfId="9190" xr:uid="{00000000-0005-0000-0000-00007A6D0000}"/>
    <cellStyle name="Note 2 2 5 3 2 2" xfId="18514" xr:uid="{00000000-0005-0000-0000-00007B6D0000}"/>
    <cellStyle name="Note 2 2 5 3 2 3" xfId="27837" xr:uid="{00000000-0005-0000-0000-00007C6D0000}"/>
    <cellStyle name="Note 2 2 5 3 3" xfId="13847" xr:uid="{00000000-0005-0000-0000-00007D6D0000}"/>
    <cellStyle name="Note 2 2 5 3 4" xfId="23171" xr:uid="{00000000-0005-0000-0000-00007E6D0000}"/>
    <cellStyle name="Note 2 2 5 4" xfId="6256" xr:uid="{00000000-0005-0000-0000-00007F6D0000}"/>
    <cellStyle name="Note 2 2 5 4 2" xfId="15580" xr:uid="{00000000-0005-0000-0000-0000806D0000}"/>
    <cellStyle name="Note 2 2 5 4 3" xfId="24903" xr:uid="{00000000-0005-0000-0000-0000816D0000}"/>
    <cellStyle name="Note 2 2 5 5" xfId="10283" xr:uid="{00000000-0005-0000-0000-0000826D0000}"/>
    <cellStyle name="Note 2 2 5 6" xfId="19607" xr:uid="{00000000-0005-0000-0000-0000836D0000}"/>
    <cellStyle name="Note 2 2 6" xfId="2838" xr:uid="{00000000-0005-0000-0000-0000846D0000}"/>
    <cellStyle name="Note 2 2 6 2" xfId="4514" xr:uid="{00000000-0005-0000-0000-0000856D0000}"/>
    <cellStyle name="Note 2 2 6 2 2" xfId="9191" xr:uid="{00000000-0005-0000-0000-0000866D0000}"/>
    <cellStyle name="Note 2 2 6 2 2 2" xfId="18515" xr:uid="{00000000-0005-0000-0000-0000876D0000}"/>
    <cellStyle name="Note 2 2 6 2 2 3" xfId="27838" xr:uid="{00000000-0005-0000-0000-0000886D0000}"/>
    <cellStyle name="Note 2 2 6 2 3" xfId="13848" xr:uid="{00000000-0005-0000-0000-0000896D0000}"/>
    <cellStyle name="Note 2 2 6 2 4" xfId="23172" xr:uid="{00000000-0005-0000-0000-00008A6D0000}"/>
    <cellStyle name="Note 2 2 6 3" xfId="6257" xr:uid="{00000000-0005-0000-0000-00008B6D0000}"/>
    <cellStyle name="Note 2 2 6 3 2" xfId="15581" xr:uid="{00000000-0005-0000-0000-00008C6D0000}"/>
    <cellStyle name="Note 2 2 6 3 3" xfId="24904" xr:uid="{00000000-0005-0000-0000-00008D6D0000}"/>
    <cellStyle name="Note 2 2 6 4" xfId="12292" xr:uid="{00000000-0005-0000-0000-00008E6D0000}"/>
    <cellStyle name="Note 2 2 6 5" xfId="21618" xr:uid="{00000000-0005-0000-0000-00008F6D0000}"/>
    <cellStyle name="Note 2 2 7" xfId="2829" xr:uid="{00000000-0005-0000-0000-0000906D0000}"/>
    <cellStyle name="Note 2 2 7 2" xfId="4505" xr:uid="{00000000-0005-0000-0000-0000916D0000}"/>
    <cellStyle name="Note 2 2 7 2 2" xfId="9182" xr:uid="{00000000-0005-0000-0000-0000926D0000}"/>
    <cellStyle name="Note 2 2 7 2 2 2" xfId="18506" xr:uid="{00000000-0005-0000-0000-0000936D0000}"/>
    <cellStyle name="Note 2 2 7 2 2 3" xfId="27829" xr:uid="{00000000-0005-0000-0000-0000946D0000}"/>
    <cellStyle name="Note 2 2 7 2 3" xfId="13839" xr:uid="{00000000-0005-0000-0000-0000956D0000}"/>
    <cellStyle name="Note 2 2 7 2 4" xfId="23163" xr:uid="{00000000-0005-0000-0000-0000966D0000}"/>
    <cellStyle name="Note 2 2 7 3" xfId="6248" xr:uid="{00000000-0005-0000-0000-0000976D0000}"/>
    <cellStyle name="Note 2 2 7 3 2" xfId="15572" xr:uid="{00000000-0005-0000-0000-0000986D0000}"/>
    <cellStyle name="Note 2 2 7 3 3" xfId="24895" xr:uid="{00000000-0005-0000-0000-0000996D0000}"/>
    <cellStyle name="Note 2 2 7 4" xfId="12283" xr:uid="{00000000-0005-0000-0000-00009A6D0000}"/>
    <cellStyle name="Note 2 2 7 5" xfId="21609" xr:uid="{00000000-0005-0000-0000-00009B6D0000}"/>
    <cellStyle name="Note 2 2 8" xfId="1150" xr:uid="{00000000-0005-0000-0000-00009C6D0000}"/>
    <cellStyle name="Note 2 2 8 2" xfId="6699" xr:uid="{00000000-0005-0000-0000-00009D6D0000}"/>
    <cellStyle name="Note 2 2 8 2 2" xfId="16023" xr:uid="{00000000-0005-0000-0000-00009E6D0000}"/>
    <cellStyle name="Note 2 2 8 2 3" xfId="25346" xr:uid="{00000000-0005-0000-0000-00009F6D0000}"/>
    <cellStyle name="Note 2 2 8 3" xfId="10749" xr:uid="{00000000-0005-0000-0000-0000A06D0000}"/>
    <cellStyle name="Note 2 2 8 4" xfId="20073" xr:uid="{00000000-0005-0000-0000-0000A16D0000}"/>
    <cellStyle name="Note 2 2 9" xfId="2968" xr:uid="{00000000-0005-0000-0000-0000A26D0000}"/>
    <cellStyle name="Note 2 2 9 2" xfId="7647" xr:uid="{00000000-0005-0000-0000-0000A36D0000}"/>
    <cellStyle name="Note 2 2 9 2 2" xfId="16971" xr:uid="{00000000-0005-0000-0000-0000A46D0000}"/>
    <cellStyle name="Note 2 2 9 2 3" xfId="26294" xr:uid="{00000000-0005-0000-0000-0000A56D0000}"/>
    <cellStyle name="Note 2 2 9 3" xfId="12369" xr:uid="{00000000-0005-0000-0000-0000A66D0000}"/>
    <cellStyle name="Note 2 2 9 4" xfId="21695" xr:uid="{00000000-0005-0000-0000-0000A76D0000}"/>
    <cellStyle name="Note 2 3" xfId="176" xr:uid="{00000000-0005-0000-0000-0000A86D0000}"/>
    <cellStyle name="Note 2 3 10" xfId="19123" xr:uid="{00000000-0005-0000-0000-0000A96D0000}"/>
    <cellStyle name="Note 2 3 2" xfId="236" xr:uid="{00000000-0005-0000-0000-0000AA6D0000}"/>
    <cellStyle name="Note 2 3 2 2" xfId="376" xr:uid="{00000000-0005-0000-0000-0000AB6D0000}"/>
    <cellStyle name="Note 2 3 2 2 2" xfId="616" xr:uid="{00000000-0005-0000-0000-0000AC6D0000}"/>
    <cellStyle name="Note 2 3 2 2 2 2" xfId="1104" xr:uid="{00000000-0005-0000-0000-0000AD6D0000}"/>
    <cellStyle name="Note 2 3 2 2 2 2 2" xfId="6712" xr:uid="{00000000-0005-0000-0000-0000AE6D0000}"/>
    <cellStyle name="Note 2 3 2 2 2 2 2 2" xfId="16036" xr:uid="{00000000-0005-0000-0000-0000AF6D0000}"/>
    <cellStyle name="Note 2 3 2 2 2 2 2 3" xfId="25359" xr:uid="{00000000-0005-0000-0000-0000B06D0000}"/>
    <cellStyle name="Note 2 3 2 2 2 2 3" xfId="10705" xr:uid="{00000000-0005-0000-0000-0000B16D0000}"/>
    <cellStyle name="Note 2 3 2 2 2 2 4" xfId="20029" xr:uid="{00000000-0005-0000-0000-0000B26D0000}"/>
    <cellStyle name="Note 2 3 2 2 2 3" xfId="5239" xr:uid="{00000000-0005-0000-0000-0000B36D0000}"/>
    <cellStyle name="Note 2 3 2 2 2 3 2" xfId="14563" xr:uid="{00000000-0005-0000-0000-0000B46D0000}"/>
    <cellStyle name="Note 2 3 2 2 2 3 3" xfId="23886" xr:uid="{00000000-0005-0000-0000-0000B56D0000}"/>
    <cellStyle name="Note 2 3 2 2 2 4" xfId="9727" xr:uid="{00000000-0005-0000-0000-0000B66D0000}"/>
    <cellStyle name="Note 2 3 2 2 2 4 2" xfId="19051" xr:uid="{00000000-0005-0000-0000-0000B76D0000}"/>
    <cellStyle name="Note 2 3 2 2 2 4 3" xfId="28374" xr:uid="{00000000-0005-0000-0000-0000B86D0000}"/>
    <cellStyle name="Note 2 3 2 2 2 5" xfId="10221" xr:uid="{00000000-0005-0000-0000-0000B96D0000}"/>
    <cellStyle name="Note 2 3 2 2 2 6" xfId="19545" xr:uid="{00000000-0005-0000-0000-0000BA6D0000}"/>
    <cellStyle name="Note 2 3 2 2 3" xfId="864" xr:uid="{00000000-0005-0000-0000-0000BB6D0000}"/>
    <cellStyle name="Note 2 3 2 2 3 2" xfId="6899" xr:uid="{00000000-0005-0000-0000-0000BC6D0000}"/>
    <cellStyle name="Note 2 3 2 2 3 2 2" xfId="16223" xr:uid="{00000000-0005-0000-0000-0000BD6D0000}"/>
    <cellStyle name="Note 2 3 2 2 3 2 3" xfId="25546" xr:uid="{00000000-0005-0000-0000-0000BE6D0000}"/>
    <cellStyle name="Note 2 3 2 2 3 3" xfId="10465" xr:uid="{00000000-0005-0000-0000-0000BF6D0000}"/>
    <cellStyle name="Note 2 3 2 2 3 4" xfId="19789" xr:uid="{00000000-0005-0000-0000-0000C06D0000}"/>
    <cellStyle name="Note 2 3 2 2 4" xfId="7178" xr:uid="{00000000-0005-0000-0000-0000C16D0000}"/>
    <cellStyle name="Note 2 3 2 2 4 2" xfId="16502" xr:uid="{00000000-0005-0000-0000-0000C26D0000}"/>
    <cellStyle name="Note 2 3 2 2 4 3" xfId="25825" xr:uid="{00000000-0005-0000-0000-0000C36D0000}"/>
    <cellStyle name="Note 2 3 2 2 5" xfId="9487" xr:uid="{00000000-0005-0000-0000-0000C46D0000}"/>
    <cellStyle name="Note 2 3 2 2 5 2" xfId="18811" xr:uid="{00000000-0005-0000-0000-0000C56D0000}"/>
    <cellStyle name="Note 2 3 2 2 5 3" xfId="28134" xr:uid="{00000000-0005-0000-0000-0000C66D0000}"/>
    <cellStyle name="Note 2 3 2 2 6" xfId="9981" xr:uid="{00000000-0005-0000-0000-0000C76D0000}"/>
    <cellStyle name="Note 2 3 2 2 7" xfId="19305" xr:uid="{00000000-0005-0000-0000-0000C86D0000}"/>
    <cellStyle name="Note 2 3 2 3" xfId="494" xr:uid="{00000000-0005-0000-0000-0000C96D0000}"/>
    <cellStyle name="Note 2 3 2 3 2" xfId="982" xr:uid="{00000000-0005-0000-0000-0000CA6D0000}"/>
    <cellStyle name="Note 2 3 2 3 2 2" xfId="7343" xr:uid="{00000000-0005-0000-0000-0000CB6D0000}"/>
    <cellStyle name="Note 2 3 2 3 2 2 2" xfId="16667" xr:uid="{00000000-0005-0000-0000-0000CC6D0000}"/>
    <cellStyle name="Note 2 3 2 3 2 2 3" xfId="25990" xr:uid="{00000000-0005-0000-0000-0000CD6D0000}"/>
    <cellStyle name="Note 2 3 2 3 2 3" xfId="10583" xr:uid="{00000000-0005-0000-0000-0000CE6D0000}"/>
    <cellStyle name="Note 2 3 2 3 2 4" xfId="19907" xr:uid="{00000000-0005-0000-0000-0000CF6D0000}"/>
    <cellStyle name="Note 2 3 2 3 3" xfId="7117" xr:uid="{00000000-0005-0000-0000-0000D06D0000}"/>
    <cellStyle name="Note 2 3 2 3 3 2" xfId="16441" xr:uid="{00000000-0005-0000-0000-0000D16D0000}"/>
    <cellStyle name="Note 2 3 2 3 3 3" xfId="25764" xr:uid="{00000000-0005-0000-0000-0000D26D0000}"/>
    <cellStyle name="Note 2 3 2 3 4" xfId="9605" xr:uid="{00000000-0005-0000-0000-0000D36D0000}"/>
    <cellStyle name="Note 2 3 2 3 4 2" xfId="18929" xr:uid="{00000000-0005-0000-0000-0000D46D0000}"/>
    <cellStyle name="Note 2 3 2 3 4 3" xfId="28252" xr:uid="{00000000-0005-0000-0000-0000D56D0000}"/>
    <cellStyle name="Note 2 3 2 3 5" xfId="10099" xr:uid="{00000000-0005-0000-0000-0000D66D0000}"/>
    <cellStyle name="Note 2 3 2 3 6" xfId="19423" xr:uid="{00000000-0005-0000-0000-0000D76D0000}"/>
    <cellStyle name="Note 2 3 2 4" xfId="742" xr:uid="{00000000-0005-0000-0000-0000D86D0000}"/>
    <cellStyle name="Note 2 3 2 4 2" xfId="6983" xr:uid="{00000000-0005-0000-0000-0000D96D0000}"/>
    <cellStyle name="Note 2 3 2 4 2 2" xfId="16307" xr:uid="{00000000-0005-0000-0000-0000DA6D0000}"/>
    <cellStyle name="Note 2 3 2 4 2 3" xfId="25630" xr:uid="{00000000-0005-0000-0000-0000DB6D0000}"/>
    <cellStyle name="Note 2 3 2 4 3" xfId="10343" xr:uid="{00000000-0005-0000-0000-0000DC6D0000}"/>
    <cellStyle name="Note 2 3 2 4 4" xfId="19667" xr:uid="{00000000-0005-0000-0000-0000DD6D0000}"/>
    <cellStyle name="Note 2 3 2 5" xfId="7246" xr:uid="{00000000-0005-0000-0000-0000DE6D0000}"/>
    <cellStyle name="Note 2 3 2 5 2" xfId="16570" xr:uid="{00000000-0005-0000-0000-0000DF6D0000}"/>
    <cellStyle name="Note 2 3 2 5 3" xfId="25893" xr:uid="{00000000-0005-0000-0000-0000E06D0000}"/>
    <cellStyle name="Note 2 3 2 6" xfId="9364" xr:uid="{00000000-0005-0000-0000-0000E16D0000}"/>
    <cellStyle name="Note 2 3 2 6 2" xfId="18688" xr:uid="{00000000-0005-0000-0000-0000E26D0000}"/>
    <cellStyle name="Note 2 3 2 6 3" xfId="28011" xr:uid="{00000000-0005-0000-0000-0000E36D0000}"/>
    <cellStyle name="Note 2 3 2 7" xfId="9858" xr:uid="{00000000-0005-0000-0000-0000E46D0000}"/>
    <cellStyle name="Note 2 3 2 8" xfId="19182" xr:uid="{00000000-0005-0000-0000-0000E56D0000}"/>
    <cellStyle name="Note 2 3 3" xfId="317" xr:uid="{00000000-0005-0000-0000-0000E66D0000}"/>
    <cellStyle name="Note 2 3 3 2" xfId="557" xr:uid="{00000000-0005-0000-0000-0000E76D0000}"/>
    <cellStyle name="Note 2 3 3 2 2" xfId="1045" xr:uid="{00000000-0005-0000-0000-0000E86D0000}"/>
    <cellStyle name="Note 2 3 3 2 2 2" xfId="6765" xr:uid="{00000000-0005-0000-0000-0000E96D0000}"/>
    <cellStyle name="Note 2 3 3 2 2 2 2" xfId="16089" xr:uid="{00000000-0005-0000-0000-0000EA6D0000}"/>
    <cellStyle name="Note 2 3 3 2 2 2 3" xfId="25412" xr:uid="{00000000-0005-0000-0000-0000EB6D0000}"/>
    <cellStyle name="Note 2 3 3 2 2 3" xfId="10646" xr:uid="{00000000-0005-0000-0000-0000EC6D0000}"/>
    <cellStyle name="Note 2 3 3 2 2 4" xfId="19970" xr:uid="{00000000-0005-0000-0000-0000ED6D0000}"/>
    <cellStyle name="Note 2 3 3 2 3" xfId="7083" xr:uid="{00000000-0005-0000-0000-0000EE6D0000}"/>
    <cellStyle name="Note 2 3 3 2 3 2" xfId="16407" xr:uid="{00000000-0005-0000-0000-0000EF6D0000}"/>
    <cellStyle name="Note 2 3 3 2 3 3" xfId="25730" xr:uid="{00000000-0005-0000-0000-0000F06D0000}"/>
    <cellStyle name="Note 2 3 3 2 4" xfId="9668" xr:uid="{00000000-0005-0000-0000-0000F16D0000}"/>
    <cellStyle name="Note 2 3 3 2 4 2" xfId="18992" xr:uid="{00000000-0005-0000-0000-0000F26D0000}"/>
    <cellStyle name="Note 2 3 3 2 4 3" xfId="28315" xr:uid="{00000000-0005-0000-0000-0000F36D0000}"/>
    <cellStyle name="Note 2 3 3 2 5" xfId="10162" xr:uid="{00000000-0005-0000-0000-0000F46D0000}"/>
    <cellStyle name="Note 2 3 3 2 6" xfId="19486" xr:uid="{00000000-0005-0000-0000-0000F56D0000}"/>
    <cellStyle name="Note 2 3 3 3" xfId="805" xr:uid="{00000000-0005-0000-0000-0000F66D0000}"/>
    <cellStyle name="Note 2 3 3 3 2" xfId="6940" xr:uid="{00000000-0005-0000-0000-0000F76D0000}"/>
    <cellStyle name="Note 2 3 3 3 2 2" xfId="16264" xr:uid="{00000000-0005-0000-0000-0000F86D0000}"/>
    <cellStyle name="Note 2 3 3 3 2 3" xfId="25587" xr:uid="{00000000-0005-0000-0000-0000F96D0000}"/>
    <cellStyle name="Note 2 3 3 3 3" xfId="10406" xr:uid="{00000000-0005-0000-0000-0000FA6D0000}"/>
    <cellStyle name="Note 2 3 3 3 4" xfId="19730" xr:uid="{00000000-0005-0000-0000-0000FB6D0000}"/>
    <cellStyle name="Note 2 3 3 4" xfId="7215" xr:uid="{00000000-0005-0000-0000-0000FC6D0000}"/>
    <cellStyle name="Note 2 3 3 4 2" xfId="16539" xr:uid="{00000000-0005-0000-0000-0000FD6D0000}"/>
    <cellStyle name="Note 2 3 3 4 3" xfId="25862" xr:uid="{00000000-0005-0000-0000-0000FE6D0000}"/>
    <cellStyle name="Note 2 3 3 5" xfId="9428" xr:uid="{00000000-0005-0000-0000-0000FF6D0000}"/>
    <cellStyle name="Note 2 3 3 5 2" xfId="18752" xr:uid="{00000000-0005-0000-0000-0000006E0000}"/>
    <cellStyle name="Note 2 3 3 5 3" xfId="28075" xr:uid="{00000000-0005-0000-0000-0000016E0000}"/>
    <cellStyle name="Note 2 3 3 6" xfId="9922" xr:uid="{00000000-0005-0000-0000-0000026E0000}"/>
    <cellStyle name="Note 2 3 3 7" xfId="19246" xr:uid="{00000000-0005-0000-0000-0000036E0000}"/>
    <cellStyle name="Note 2 3 4" xfId="435" xr:uid="{00000000-0005-0000-0000-0000046E0000}"/>
    <cellStyle name="Note 2 3 4 2" xfId="923" xr:uid="{00000000-0005-0000-0000-0000056E0000}"/>
    <cellStyle name="Note 2 3 4 2 2" xfId="6847" xr:uid="{00000000-0005-0000-0000-0000066E0000}"/>
    <cellStyle name="Note 2 3 4 2 2 2" xfId="16171" xr:uid="{00000000-0005-0000-0000-0000076E0000}"/>
    <cellStyle name="Note 2 3 4 2 2 3" xfId="25494" xr:uid="{00000000-0005-0000-0000-0000086E0000}"/>
    <cellStyle name="Note 2 3 4 2 3" xfId="10524" xr:uid="{00000000-0005-0000-0000-0000096E0000}"/>
    <cellStyle name="Note 2 3 4 2 4" xfId="19848" xr:uid="{00000000-0005-0000-0000-00000A6E0000}"/>
    <cellStyle name="Note 2 3 4 3" xfId="7151" xr:uid="{00000000-0005-0000-0000-00000B6E0000}"/>
    <cellStyle name="Note 2 3 4 3 2" xfId="16475" xr:uid="{00000000-0005-0000-0000-00000C6E0000}"/>
    <cellStyle name="Note 2 3 4 3 3" xfId="25798" xr:uid="{00000000-0005-0000-0000-00000D6E0000}"/>
    <cellStyle name="Note 2 3 4 4" xfId="9546" xr:uid="{00000000-0005-0000-0000-00000E6E0000}"/>
    <cellStyle name="Note 2 3 4 4 2" xfId="18870" xr:uid="{00000000-0005-0000-0000-00000F6E0000}"/>
    <cellStyle name="Note 2 3 4 4 3" xfId="28193" xr:uid="{00000000-0005-0000-0000-0000106E0000}"/>
    <cellStyle name="Note 2 3 4 5" xfId="10040" xr:uid="{00000000-0005-0000-0000-0000116E0000}"/>
    <cellStyle name="Note 2 3 4 6" xfId="19364" xr:uid="{00000000-0005-0000-0000-0000126E0000}"/>
    <cellStyle name="Note 2 3 5" xfId="683" xr:uid="{00000000-0005-0000-0000-0000136E0000}"/>
    <cellStyle name="Note 2 3 5 2" xfId="7027" xr:uid="{00000000-0005-0000-0000-0000146E0000}"/>
    <cellStyle name="Note 2 3 5 2 2" xfId="16351" xr:uid="{00000000-0005-0000-0000-0000156E0000}"/>
    <cellStyle name="Note 2 3 5 2 3" xfId="25674" xr:uid="{00000000-0005-0000-0000-0000166E0000}"/>
    <cellStyle name="Note 2 3 5 3" xfId="10284" xr:uid="{00000000-0005-0000-0000-0000176E0000}"/>
    <cellStyle name="Note 2 3 5 4" xfId="19608" xr:uid="{00000000-0005-0000-0000-0000186E0000}"/>
    <cellStyle name="Note 2 3 6" xfId="2839" xr:uid="{00000000-0005-0000-0000-0000196E0000}"/>
    <cellStyle name="Note 2 3 7" xfId="7281" xr:uid="{00000000-0005-0000-0000-00001A6E0000}"/>
    <cellStyle name="Note 2 3 7 2" xfId="16605" xr:uid="{00000000-0005-0000-0000-00001B6E0000}"/>
    <cellStyle name="Note 2 3 7 3" xfId="25928" xr:uid="{00000000-0005-0000-0000-00001C6E0000}"/>
    <cellStyle name="Note 2 3 8" xfId="9305" xr:uid="{00000000-0005-0000-0000-00001D6E0000}"/>
    <cellStyle name="Note 2 3 8 2" xfId="18629" xr:uid="{00000000-0005-0000-0000-00001E6E0000}"/>
    <cellStyle name="Note 2 3 8 3" xfId="27952" xr:uid="{00000000-0005-0000-0000-00001F6E0000}"/>
    <cellStyle name="Note 2 3 9" xfId="9799" xr:uid="{00000000-0005-0000-0000-0000206E0000}"/>
    <cellStyle name="Note 2 4" xfId="234" xr:uid="{00000000-0005-0000-0000-0000216E0000}"/>
    <cellStyle name="Note 2 4 10" xfId="19180" xr:uid="{00000000-0005-0000-0000-0000226E0000}"/>
    <cellStyle name="Note 2 4 2" xfId="374" xr:uid="{00000000-0005-0000-0000-0000236E0000}"/>
    <cellStyle name="Note 2 4 2 2" xfId="614" xr:uid="{00000000-0005-0000-0000-0000246E0000}"/>
    <cellStyle name="Note 2 4 2 2 2" xfId="1102" xr:uid="{00000000-0005-0000-0000-0000256E0000}"/>
    <cellStyle name="Note 2 4 2 2 2 2" xfId="6724" xr:uid="{00000000-0005-0000-0000-0000266E0000}"/>
    <cellStyle name="Note 2 4 2 2 2 2 2" xfId="16048" xr:uid="{00000000-0005-0000-0000-0000276E0000}"/>
    <cellStyle name="Note 2 4 2 2 2 2 3" xfId="25371" xr:uid="{00000000-0005-0000-0000-0000286E0000}"/>
    <cellStyle name="Note 2 4 2 2 2 3" xfId="10703" xr:uid="{00000000-0005-0000-0000-0000296E0000}"/>
    <cellStyle name="Note 2 4 2 2 2 4" xfId="20027" xr:uid="{00000000-0005-0000-0000-00002A6E0000}"/>
    <cellStyle name="Note 2 4 2 2 3" xfId="7045" xr:uid="{00000000-0005-0000-0000-00002B6E0000}"/>
    <cellStyle name="Note 2 4 2 2 3 2" xfId="16369" xr:uid="{00000000-0005-0000-0000-00002C6E0000}"/>
    <cellStyle name="Note 2 4 2 2 3 3" xfId="25692" xr:uid="{00000000-0005-0000-0000-00002D6E0000}"/>
    <cellStyle name="Note 2 4 2 2 4" xfId="9725" xr:uid="{00000000-0005-0000-0000-00002E6E0000}"/>
    <cellStyle name="Note 2 4 2 2 4 2" xfId="19049" xr:uid="{00000000-0005-0000-0000-00002F6E0000}"/>
    <cellStyle name="Note 2 4 2 2 4 3" xfId="28372" xr:uid="{00000000-0005-0000-0000-0000306E0000}"/>
    <cellStyle name="Note 2 4 2 2 5" xfId="10219" xr:uid="{00000000-0005-0000-0000-0000316E0000}"/>
    <cellStyle name="Note 2 4 2 2 6" xfId="19543" xr:uid="{00000000-0005-0000-0000-0000326E0000}"/>
    <cellStyle name="Note 2 4 2 3" xfId="862" xr:uid="{00000000-0005-0000-0000-0000336E0000}"/>
    <cellStyle name="Note 2 4 2 3 2" xfId="6901" xr:uid="{00000000-0005-0000-0000-0000346E0000}"/>
    <cellStyle name="Note 2 4 2 3 2 2" xfId="16225" xr:uid="{00000000-0005-0000-0000-0000356E0000}"/>
    <cellStyle name="Note 2 4 2 3 2 3" xfId="25548" xr:uid="{00000000-0005-0000-0000-0000366E0000}"/>
    <cellStyle name="Note 2 4 2 3 3" xfId="10463" xr:uid="{00000000-0005-0000-0000-0000376E0000}"/>
    <cellStyle name="Note 2 4 2 3 4" xfId="19787" xr:uid="{00000000-0005-0000-0000-0000386E0000}"/>
    <cellStyle name="Note 2 4 2 4" xfId="2841" xr:uid="{00000000-0005-0000-0000-0000396E0000}"/>
    <cellStyle name="Note 2 4 2 4 2" xfId="7581" xr:uid="{00000000-0005-0000-0000-00003A6E0000}"/>
    <cellStyle name="Note 2 4 2 4 2 2" xfId="16905" xr:uid="{00000000-0005-0000-0000-00003B6E0000}"/>
    <cellStyle name="Note 2 4 2 4 2 3" xfId="26228" xr:uid="{00000000-0005-0000-0000-00003C6E0000}"/>
    <cellStyle name="Note 2 4 2 4 3" xfId="12294" xr:uid="{00000000-0005-0000-0000-00003D6E0000}"/>
    <cellStyle name="Note 2 4 2 4 4" xfId="21620" xr:uid="{00000000-0005-0000-0000-00003E6E0000}"/>
    <cellStyle name="Note 2 4 2 5" xfId="4516" xr:uid="{00000000-0005-0000-0000-00003F6E0000}"/>
    <cellStyle name="Note 2 4 2 5 2" xfId="9193" xr:uid="{00000000-0005-0000-0000-0000406E0000}"/>
    <cellStyle name="Note 2 4 2 5 2 2" xfId="18517" xr:uid="{00000000-0005-0000-0000-0000416E0000}"/>
    <cellStyle name="Note 2 4 2 5 2 3" xfId="27840" xr:uid="{00000000-0005-0000-0000-0000426E0000}"/>
    <cellStyle name="Note 2 4 2 5 3" xfId="13850" xr:uid="{00000000-0005-0000-0000-0000436E0000}"/>
    <cellStyle name="Note 2 4 2 5 4" xfId="23174" xr:uid="{00000000-0005-0000-0000-0000446E0000}"/>
    <cellStyle name="Note 2 4 2 6" xfId="6260" xr:uid="{00000000-0005-0000-0000-0000456E0000}"/>
    <cellStyle name="Note 2 4 2 6 2" xfId="15584" xr:uid="{00000000-0005-0000-0000-0000466E0000}"/>
    <cellStyle name="Note 2 4 2 6 3" xfId="24907" xr:uid="{00000000-0005-0000-0000-0000476E0000}"/>
    <cellStyle name="Note 2 4 2 7" xfId="9485" xr:uid="{00000000-0005-0000-0000-0000486E0000}"/>
    <cellStyle name="Note 2 4 2 7 2" xfId="18809" xr:uid="{00000000-0005-0000-0000-0000496E0000}"/>
    <cellStyle name="Note 2 4 2 7 3" xfId="28132" xr:uid="{00000000-0005-0000-0000-00004A6E0000}"/>
    <cellStyle name="Note 2 4 2 8" xfId="9979" xr:uid="{00000000-0005-0000-0000-00004B6E0000}"/>
    <cellStyle name="Note 2 4 2 9" xfId="19303" xr:uid="{00000000-0005-0000-0000-00004C6E0000}"/>
    <cellStyle name="Note 2 4 3" xfId="492" xr:uid="{00000000-0005-0000-0000-00004D6E0000}"/>
    <cellStyle name="Note 2 4 3 2" xfId="980" xr:uid="{00000000-0005-0000-0000-00004E6E0000}"/>
    <cellStyle name="Note 2 4 3 2 2" xfId="5487" xr:uid="{00000000-0005-0000-0000-00004F6E0000}"/>
    <cellStyle name="Note 2 4 3 2 2 2" xfId="14811" xr:uid="{00000000-0005-0000-0000-0000506E0000}"/>
    <cellStyle name="Note 2 4 3 2 2 3" xfId="24134" xr:uid="{00000000-0005-0000-0000-0000516E0000}"/>
    <cellStyle name="Note 2 4 3 2 3" xfId="10581" xr:uid="{00000000-0005-0000-0000-0000526E0000}"/>
    <cellStyle name="Note 2 4 3 2 4" xfId="19905" xr:uid="{00000000-0005-0000-0000-0000536E0000}"/>
    <cellStyle name="Note 2 4 3 3" xfId="7118" xr:uid="{00000000-0005-0000-0000-0000546E0000}"/>
    <cellStyle name="Note 2 4 3 3 2" xfId="16442" xr:uid="{00000000-0005-0000-0000-0000556E0000}"/>
    <cellStyle name="Note 2 4 3 3 3" xfId="25765" xr:uid="{00000000-0005-0000-0000-0000566E0000}"/>
    <cellStyle name="Note 2 4 3 4" xfId="9603" xr:uid="{00000000-0005-0000-0000-0000576E0000}"/>
    <cellStyle name="Note 2 4 3 4 2" xfId="18927" xr:uid="{00000000-0005-0000-0000-0000586E0000}"/>
    <cellStyle name="Note 2 4 3 4 3" xfId="28250" xr:uid="{00000000-0005-0000-0000-0000596E0000}"/>
    <cellStyle name="Note 2 4 3 5" xfId="10097" xr:uid="{00000000-0005-0000-0000-00005A6E0000}"/>
    <cellStyle name="Note 2 4 3 6" xfId="19421" xr:uid="{00000000-0005-0000-0000-00005B6E0000}"/>
    <cellStyle name="Note 2 4 4" xfId="740" xr:uid="{00000000-0005-0000-0000-00005C6E0000}"/>
    <cellStyle name="Note 2 4 4 2" xfId="6985" xr:uid="{00000000-0005-0000-0000-00005D6E0000}"/>
    <cellStyle name="Note 2 4 4 2 2" xfId="16309" xr:uid="{00000000-0005-0000-0000-00005E6E0000}"/>
    <cellStyle name="Note 2 4 4 2 3" xfId="25632" xr:uid="{00000000-0005-0000-0000-00005F6E0000}"/>
    <cellStyle name="Note 2 4 4 3" xfId="10341" xr:uid="{00000000-0005-0000-0000-0000606E0000}"/>
    <cellStyle name="Note 2 4 4 4" xfId="19665" xr:uid="{00000000-0005-0000-0000-0000616E0000}"/>
    <cellStyle name="Note 2 4 5" xfId="2840" xr:uid="{00000000-0005-0000-0000-0000626E0000}"/>
    <cellStyle name="Note 2 4 5 2" xfId="7580" xr:uid="{00000000-0005-0000-0000-0000636E0000}"/>
    <cellStyle name="Note 2 4 5 2 2" xfId="16904" xr:uid="{00000000-0005-0000-0000-0000646E0000}"/>
    <cellStyle name="Note 2 4 5 2 3" xfId="26227" xr:uid="{00000000-0005-0000-0000-0000656E0000}"/>
    <cellStyle name="Note 2 4 5 3" xfId="12293" xr:uid="{00000000-0005-0000-0000-0000666E0000}"/>
    <cellStyle name="Note 2 4 5 4" xfId="21619" xr:uid="{00000000-0005-0000-0000-0000676E0000}"/>
    <cellStyle name="Note 2 4 6" xfId="4515" xr:uid="{00000000-0005-0000-0000-0000686E0000}"/>
    <cellStyle name="Note 2 4 6 2" xfId="9192" xr:uid="{00000000-0005-0000-0000-0000696E0000}"/>
    <cellStyle name="Note 2 4 6 2 2" xfId="18516" xr:uid="{00000000-0005-0000-0000-00006A6E0000}"/>
    <cellStyle name="Note 2 4 6 2 3" xfId="27839" xr:uid="{00000000-0005-0000-0000-00006B6E0000}"/>
    <cellStyle name="Note 2 4 6 3" xfId="13849" xr:uid="{00000000-0005-0000-0000-00006C6E0000}"/>
    <cellStyle name="Note 2 4 6 4" xfId="23173" xr:uid="{00000000-0005-0000-0000-00006D6E0000}"/>
    <cellStyle name="Note 2 4 7" xfId="6259" xr:uid="{00000000-0005-0000-0000-00006E6E0000}"/>
    <cellStyle name="Note 2 4 7 2" xfId="15583" xr:uid="{00000000-0005-0000-0000-00006F6E0000}"/>
    <cellStyle name="Note 2 4 7 3" xfId="24906" xr:uid="{00000000-0005-0000-0000-0000706E0000}"/>
    <cellStyle name="Note 2 4 8" xfId="9362" xr:uid="{00000000-0005-0000-0000-0000716E0000}"/>
    <cellStyle name="Note 2 4 8 2" xfId="18686" xr:uid="{00000000-0005-0000-0000-0000726E0000}"/>
    <cellStyle name="Note 2 4 8 3" xfId="28009" xr:uid="{00000000-0005-0000-0000-0000736E0000}"/>
    <cellStyle name="Note 2 4 9" xfId="9856" xr:uid="{00000000-0005-0000-0000-0000746E0000}"/>
    <cellStyle name="Note 2 5" xfId="259" xr:uid="{00000000-0005-0000-0000-0000756E0000}"/>
    <cellStyle name="Note 2 5 2" xfId="513" xr:uid="{00000000-0005-0000-0000-0000766E0000}"/>
    <cellStyle name="Note 2 5 2 2" xfId="1001" xr:uid="{00000000-0005-0000-0000-0000776E0000}"/>
    <cellStyle name="Note 2 5 2 2 2" xfId="6287" xr:uid="{00000000-0005-0000-0000-0000786E0000}"/>
    <cellStyle name="Note 2 5 2 2 2 2" xfId="15611" xr:uid="{00000000-0005-0000-0000-0000796E0000}"/>
    <cellStyle name="Note 2 5 2 2 2 3" xfId="24934" xr:uid="{00000000-0005-0000-0000-00007A6E0000}"/>
    <cellStyle name="Note 2 5 2 2 3" xfId="10602" xr:uid="{00000000-0005-0000-0000-00007B6E0000}"/>
    <cellStyle name="Note 2 5 2 2 4" xfId="19926" xr:uid="{00000000-0005-0000-0000-00007C6E0000}"/>
    <cellStyle name="Note 2 5 2 3" xfId="7111" xr:uid="{00000000-0005-0000-0000-00007D6E0000}"/>
    <cellStyle name="Note 2 5 2 3 2" xfId="16435" xr:uid="{00000000-0005-0000-0000-00007E6E0000}"/>
    <cellStyle name="Note 2 5 2 3 3" xfId="25758" xr:uid="{00000000-0005-0000-0000-00007F6E0000}"/>
    <cellStyle name="Note 2 5 2 4" xfId="9624" xr:uid="{00000000-0005-0000-0000-0000806E0000}"/>
    <cellStyle name="Note 2 5 2 4 2" xfId="18948" xr:uid="{00000000-0005-0000-0000-0000816E0000}"/>
    <cellStyle name="Note 2 5 2 4 3" xfId="28271" xr:uid="{00000000-0005-0000-0000-0000826E0000}"/>
    <cellStyle name="Note 2 5 2 5" xfId="10118" xr:uid="{00000000-0005-0000-0000-0000836E0000}"/>
    <cellStyle name="Note 2 5 2 6" xfId="19442" xr:uid="{00000000-0005-0000-0000-0000846E0000}"/>
    <cellStyle name="Note 2 5 3" xfId="761" xr:uid="{00000000-0005-0000-0000-0000856E0000}"/>
    <cellStyle name="Note 2 5 3 2" xfId="6970" xr:uid="{00000000-0005-0000-0000-0000866E0000}"/>
    <cellStyle name="Note 2 5 3 2 2" xfId="16294" xr:uid="{00000000-0005-0000-0000-0000876E0000}"/>
    <cellStyle name="Note 2 5 3 2 3" xfId="25617" xr:uid="{00000000-0005-0000-0000-0000886E0000}"/>
    <cellStyle name="Note 2 5 3 3" xfId="10362" xr:uid="{00000000-0005-0000-0000-0000896E0000}"/>
    <cellStyle name="Note 2 5 3 4" xfId="19686" xr:uid="{00000000-0005-0000-0000-00008A6E0000}"/>
    <cellStyle name="Note 2 5 4" xfId="2842" xr:uid="{00000000-0005-0000-0000-00008B6E0000}"/>
    <cellStyle name="Note 2 5 4 2" xfId="7582" xr:uid="{00000000-0005-0000-0000-00008C6E0000}"/>
    <cellStyle name="Note 2 5 4 2 2" xfId="16906" xr:uid="{00000000-0005-0000-0000-00008D6E0000}"/>
    <cellStyle name="Note 2 5 4 2 3" xfId="26229" xr:uid="{00000000-0005-0000-0000-00008E6E0000}"/>
    <cellStyle name="Note 2 5 4 3" xfId="12295" xr:uid="{00000000-0005-0000-0000-00008F6E0000}"/>
    <cellStyle name="Note 2 5 4 4" xfId="21621" xr:uid="{00000000-0005-0000-0000-0000906E0000}"/>
    <cellStyle name="Note 2 5 5" xfId="4517" xr:uid="{00000000-0005-0000-0000-0000916E0000}"/>
    <cellStyle name="Note 2 5 5 2" xfId="9194" xr:uid="{00000000-0005-0000-0000-0000926E0000}"/>
    <cellStyle name="Note 2 5 5 2 2" xfId="18518" xr:uid="{00000000-0005-0000-0000-0000936E0000}"/>
    <cellStyle name="Note 2 5 5 2 3" xfId="27841" xr:uid="{00000000-0005-0000-0000-0000946E0000}"/>
    <cellStyle name="Note 2 5 5 3" xfId="13851" xr:uid="{00000000-0005-0000-0000-0000956E0000}"/>
    <cellStyle name="Note 2 5 5 4" xfId="23175" xr:uid="{00000000-0005-0000-0000-0000966E0000}"/>
    <cellStyle name="Note 2 5 6" xfId="6261" xr:uid="{00000000-0005-0000-0000-0000976E0000}"/>
    <cellStyle name="Note 2 5 6 2" xfId="15585" xr:uid="{00000000-0005-0000-0000-0000986E0000}"/>
    <cellStyle name="Note 2 5 6 3" xfId="24908" xr:uid="{00000000-0005-0000-0000-0000996E0000}"/>
    <cellStyle name="Note 2 5 7" xfId="9383" xr:uid="{00000000-0005-0000-0000-00009A6E0000}"/>
    <cellStyle name="Note 2 5 7 2" xfId="18707" xr:uid="{00000000-0005-0000-0000-00009B6E0000}"/>
    <cellStyle name="Note 2 5 7 3" xfId="28030" xr:uid="{00000000-0005-0000-0000-00009C6E0000}"/>
    <cellStyle name="Note 2 5 8" xfId="9877" xr:uid="{00000000-0005-0000-0000-00009D6E0000}"/>
    <cellStyle name="Note 2 5 9" xfId="19201" xr:uid="{00000000-0005-0000-0000-00009E6E0000}"/>
    <cellStyle name="Note 2 6" xfId="433" xr:uid="{00000000-0005-0000-0000-00009F6E0000}"/>
    <cellStyle name="Note 2 6 2" xfId="921" xr:uid="{00000000-0005-0000-0000-0000A06E0000}"/>
    <cellStyle name="Note 2 6 2 2" xfId="6849" xr:uid="{00000000-0005-0000-0000-0000A16E0000}"/>
    <cellStyle name="Note 2 6 2 2 2" xfId="16173" xr:uid="{00000000-0005-0000-0000-0000A26E0000}"/>
    <cellStyle name="Note 2 6 2 2 3" xfId="25496" xr:uid="{00000000-0005-0000-0000-0000A36E0000}"/>
    <cellStyle name="Note 2 6 2 3" xfId="10522" xr:uid="{00000000-0005-0000-0000-0000A46E0000}"/>
    <cellStyle name="Note 2 6 2 4" xfId="19846" xr:uid="{00000000-0005-0000-0000-0000A56E0000}"/>
    <cellStyle name="Note 2 6 3" xfId="2843" xr:uid="{00000000-0005-0000-0000-0000A66E0000}"/>
    <cellStyle name="Note 2 6 3 2" xfId="7583" xr:uid="{00000000-0005-0000-0000-0000A76E0000}"/>
    <cellStyle name="Note 2 6 3 2 2" xfId="16907" xr:uid="{00000000-0005-0000-0000-0000A86E0000}"/>
    <cellStyle name="Note 2 6 3 2 3" xfId="26230" xr:uid="{00000000-0005-0000-0000-0000A96E0000}"/>
    <cellStyle name="Note 2 6 3 3" xfId="12296" xr:uid="{00000000-0005-0000-0000-0000AA6E0000}"/>
    <cellStyle name="Note 2 6 3 4" xfId="21622" xr:uid="{00000000-0005-0000-0000-0000AB6E0000}"/>
    <cellStyle name="Note 2 6 4" xfId="4518" xr:uid="{00000000-0005-0000-0000-0000AC6E0000}"/>
    <cellStyle name="Note 2 6 4 2" xfId="9195" xr:uid="{00000000-0005-0000-0000-0000AD6E0000}"/>
    <cellStyle name="Note 2 6 4 2 2" xfId="18519" xr:uid="{00000000-0005-0000-0000-0000AE6E0000}"/>
    <cellStyle name="Note 2 6 4 2 3" xfId="27842" xr:uid="{00000000-0005-0000-0000-0000AF6E0000}"/>
    <cellStyle name="Note 2 6 4 3" xfId="13852" xr:uid="{00000000-0005-0000-0000-0000B06E0000}"/>
    <cellStyle name="Note 2 6 4 4" xfId="23176" xr:uid="{00000000-0005-0000-0000-0000B16E0000}"/>
    <cellStyle name="Note 2 6 5" xfId="6262" xr:uid="{00000000-0005-0000-0000-0000B26E0000}"/>
    <cellStyle name="Note 2 6 5 2" xfId="15586" xr:uid="{00000000-0005-0000-0000-0000B36E0000}"/>
    <cellStyle name="Note 2 6 5 3" xfId="24909" xr:uid="{00000000-0005-0000-0000-0000B46E0000}"/>
    <cellStyle name="Note 2 6 6" xfId="9544" xr:uid="{00000000-0005-0000-0000-0000B56E0000}"/>
    <cellStyle name="Note 2 6 6 2" xfId="18868" xr:uid="{00000000-0005-0000-0000-0000B66E0000}"/>
    <cellStyle name="Note 2 6 6 3" xfId="28191" xr:uid="{00000000-0005-0000-0000-0000B76E0000}"/>
    <cellStyle name="Note 2 6 7" xfId="10038" xr:uid="{00000000-0005-0000-0000-0000B86E0000}"/>
    <cellStyle name="Note 2 6 8" xfId="19362" xr:uid="{00000000-0005-0000-0000-0000B96E0000}"/>
    <cellStyle name="Note 2 7" xfId="681" xr:uid="{00000000-0005-0000-0000-0000BA6E0000}"/>
    <cellStyle name="Note 2 7 2" xfId="2844" xr:uid="{00000000-0005-0000-0000-0000BB6E0000}"/>
    <cellStyle name="Note 2 7 2 2" xfId="7584" xr:uid="{00000000-0005-0000-0000-0000BC6E0000}"/>
    <cellStyle name="Note 2 7 2 2 2" xfId="16908" xr:uid="{00000000-0005-0000-0000-0000BD6E0000}"/>
    <cellStyle name="Note 2 7 2 2 3" xfId="26231" xr:uid="{00000000-0005-0000-0000-0000BE6E0000}"/>
    <cellStyle name="Note 2 7 2 3" xfId="12297" xr:uid="{00000000-0005-0000-0000-0000BF6E0000}"/>
    <cellStyle name="Note 2 7 2 4" xfId="21623" xr:uid="{00000000-0005-0000-0000-0000C06E0000}"/>
    <cellStyle name="Note 2 7 3" xfId="4519" xr:uid="{00000000-0005-0000-0000-0000C16E0000}"/>
    <cellStyle name="Note 2 7 3 2" xfId="9196" xr:uid="{00000000-0005-0000-0000-0000C26E0000}"/>
    <cellStyle name="Note 2 7 3 2 2" xfId="18520" xr:uid="{00000000-0005-0000-0000-0000C36E0000}"/>
    <cellStyle name="Note 2 7 3 2 3" xfId="27843" xr:uid="{00000000-0005-0000-0000-0000C46E0000}"/>
    <cellStyle name="Note 2 7 3 3" xfId="13853" xr:uid="{00000000-0005-0000-0000-0000C56E0000}"/>
    <cellStyle name="Note 2 7 3 4" xfId="23177" xr:uid="{00000000-0005-0000-0000-0000C66E0000}"/>
    <cellStyle name="Note 2 7 4" xfId="6263" xr:uid="{00000000-0005-0000-0000-0000C76E0000}"/>
    <cellStyle name="Note 2 7 4 2" xfId="15587" xr:uid="{00000000-0005-0000-0000-0000C86E0000}"/>
    <cellStyle name="Note 2 7 4 3" xfId="24910" xr:uid="{00000000-0005-0000-0000-0000C96E0000}"/>
    <cellStyle name="Note 2 7 5" xfId="10282" xr:uid="{00000000-0005-0000-0000-0000CA6E0000}"/>
    <cellStyle name="Note 2 7 6" xfId="19606" xr:uid="{00000000-0005-0000-0000-0000CB6E0000}"/>
    <cellStyle name="Note 2 8" xfId="2828" xr:uid="{00000000-0005-0000-0000-0000CC6E0000}"/>
    <cellStyle name="Note 2 8 2" xfId="4504" xr:uid="{00000000-0005-0000-0000-0000CD6E0000}"/>
    <cellStyle name="Note 2 8 2 2" xfId="9181" xr:uid="{00000000-0005-0000-0000-0000CE6E0000}"/>
    <cellStyle name="Note 2 8 2 2 2" xfId="18505" xr:uid="{00000000-0005-0000-0000-0000CF6E0000}"/>
    <cellStyle name="Note 2 8 2 2 3" xfId="27828" xr:uid="{00000000-0005-0000-0000-0000D06E0000}"/>
    <cellStyle name="Note 2 8 2 3" xfId="13838" xr:uid="{00000000-0005-0000-0000-0000D16E0000}"/>
    <cellStyle name="Note 2 8 2 4" xfId="23162" xr:uid="{00000000-0005-0000-0000-0000D26E0000}"/>
    <cellStyle name="Note 2 8 3" xfId="6247" xr:uid="{00000000-0005-0000-0000-0000D36E0000}"/>
    <cellStyle name="Note 2 8 3 2" xfId="15571" xr:uid="{00000000-0005-0000-0000-0000D46E0000}"/>
    <cellStyle name="Note 2 8 3 3" xfId="24894" xr:uid="{00000000-0005-0000-0000-0000D56E0000}"/>
    <cellStyle name="Note 2 8 4" xfId="12282" xr:uid="{00000000-0005-0000-0000-0000D66E0000}"/>
    <cellStyle name="Note 2 8 5" xfId="21608" xr:uid="{00000000-0005-0000-0000-0000D76E0000}"/>
    <cellStyle name="Note 2 9" xfId="1136" xr:uid="{00000000-0005-0000-0000-0000D86E0000}"/>
    <cellStyle name="Note 2 9 2" xfId="7337" xr:uid="{00000000-0005-0000-0000-0000D96E0000}"/>
    <cellStyle name="Note 2 9 2 2" xfId="16661" xr:uid="{00000000-0005-0000-0000-0000DA6E0000}"/>
    <cellStyle name="Note 2 9 2 3" xfId="25984" xr:uid="{00000000-0005-0000-0000-0000DB6E0000}"/>
    <cellStyle name="Note 2 9 3" xfId="10735" xr:uid="{00000000-0005-0000-0000-0000DC6E0000}"/>
    <cellStyle name="Note 2 9 4" xfId="20059" xr:uid="{00000000-0005-0000-0000-0000DD6E0000}"/>
    <cellStyle name="Note 3" xfId="177" xr:uid="{00000000-0005-0000-0000-0000DE6E0000}"/>
    <cellStyle name="Note 3 10" xfId="6264" xr:uid="{00000000-0005-0000-0000-0000DF6E0000}"/>
    <cellStyle name="Note 3 10 2" xfId="15588" xr:uid="{00000000-0005-0000-0000-0000E06E0000}"/>
    <cellStyle name="Note 3 10 3" xfId="24911" xr:uid="{00000000-0005-0000-0000-0000E16E0000}"/>
    <cellStyle name="Note 3 11" xfId="9306" xr:uid="{00000000-0005-0000-0000-0000E26E0000}"/>
    <cellStyle name="Note 3 11 2" xfId="18630" xr:uid="{00000000-0005-0000-0000-0000E36E0000}"/>
    <cellStyle name="Note 3 11 3" xfId="27953" xr:uid="{00000000-0005-0000-0000-0000E46E0000}"/>
    <cellStyle name="Note 3 12" xfId="9800" xr:uid="{00000000-0005-0000-0000-0000E56E0000}"/>
    <cellStyle name="Note 3 13" xfId="19124" xr:uid="{00000000-0005-0000-0000-0000E66E0000}"/>
    <cellStyle name="Note 3 14" xfId="28654" xr:uid="{00000000-0005-0000-0000-0000E76E0000}"/>
    <cellStyle name="Note 3 2" xfId="178" xr:uid="{00000000-0005-0000-0000-0000E86E0000}"/>
    <cellStyle name="Note 3 2 10" xfId="19125" xr:uid="{00000000-0005-0000-0000-0000E96E0000}"/>
    <cellStyle name="Note 3 2 2" xfId="238" xr:uid="{00000000-0005-0000-0000-0000EA6E0000}"/>
    <cellStyle name="Note 3 2 2 2" xfId="378" xr:uid="{00000000-0005-0000-0000-0000EB6E0000}"/>
    <cellStyle name="Note 3 2 2 2 2" xfId="618" xr:uid="{00000000-0005-0000-0000-0000EC6E0000}"/>
    <cellStyle name="Note 3 2 2 2 2 2" xfId="1106" xr:uid="{00000000-0005-0000-0000-0000ED6E0000}"/>
    <cellStyle name="Note 3 2 2 2 2 2 2" xfId="6721" xr:uid="{00000000-0005-0000-0000-0000EE6E0000}"/>
    <cellStyle name="Note 3 2 2 2 2 2 2 2" xfId="16045" xr:uid="{00000000-0005-0000-0000-0000EF6E0000}"/>
    <cellStyle name="Note 3 2 2 2 2 2 2 3" xfId="25368" xr:uid="{00000000-0005-0000-0000-0000F06E0000}"/>
    <cellStyle name="Note 3 2 2 2 2 2 3" xfId="10707" xr:uid="{00000000-0005-0000-0000-0000F16E0000}"/>
    <cellStyle name="Note 3 2 2 2 2 2 4" xfId="20031" xr:uid="{00000000-0005-0000-0000-0000F26E0000}"/>
    <cellStyle name="Note 3 2 2 2 2 3" xfId="7042" xr:uid="{00000000-0005-0000-0000-0000F36E0000}"/>
    <cellStyle name="Note 3 2 2 2 2 3 2" xfId="16366" xr:uid="{00000000-0005-0000-0000-0000F46E0000}"/>
    <cellStyle name="Note 3 2 2 2 2 3 3" xfId="25689" xr:uid="{00000000-0005-0000-0000-0000F56E0000}"/>
    <cellStyle name="Note 3 2 2 2 2 4" xfId="9729" xr:uid="{00000000-0005-0000-0000-0000F66E0000}"/>
    <cellStyle name="Note 3 2 2 2 2 4 2" xfId="19053" xr:uid="{00000000-0005-0000-0000-0000F76E0000}"/>
    <cellStyle name="Note 3 2 2 2 2 4 3" xfId="28376" xr:uid="{00000000-0005-0000-0000-0000F86E0000}"/>
    <cellStyle name="Note 3 2 2 2 2 5" xfId="10223" xr:uid="{00000000-0005-0000-0000-0000F96E0000}"/>
    <cellStyle name="Note 3 2 2 2 2 6" xfId="19547" xr:uid="{00000000-0005-0000-0000-0000FA6E0000}"/>
    <cellStyle name="Note 3 2 2 2 3" xfId="866" xr:uid="{00000000-0005-0000-0000-0000FB6E0000}"/>
    <cellStyle name="Note 3 2 2 2 3 2" xfId="6897" xr:uid="{00000000-0005-0000-0000-0000FC6E0000}"/>
    <cellStyle name="Note 3 2 2 2 3 2 2" xfId="16221" xr:uid="{00000000-0005-0000-0000-0000FD6E0000}"/>
    <cellStyle name="Note 3 2 2 2 3 2 3" xfId="25544" xr:uid="{00000000-0005-0000-0000-0000FE6E0000}"/>
    <cellStyle name="Note 3 2 2 2 3 3" xfId="10467" xr:uid="{00000000-0005-0000-0000-0000FF6E0000}"/>
    <cellStyle name="Note 3 2 2 2 3 4" xfId="19791" xr:uid="{00000000-0005-0000-0000-0000006F0000}"/>
    <cellStyle name="Note 3 2 2 2 4" xfId="5165" xr:uid="{00000000-0005-0000-0000-0000016F0000}"/>
    <cellStyle name="Note 3 2 2 2 4 2" xfId="14489" xr:uid="{00000000-0005-0000-0000-0000026F0000}"/>
    <cellStyle name="Note 3 2 2 2 4 3" xfId="23812" xr:uid="{00000000-0005-0000-0000-0000036F0000}"/>
    <cellStyle name="Note 3 2 2 2 5" xfId="9489" xr:uid="{00000000-0005-0000-0000-0000046F0000}"/>
    <cellStyle name="Note 3 2 2 2 5 2" xfId="18813" xr:uid="{00000000-0005-0000-0000-0000056F0000}"/>
    <cellStyle name="Note 3 2 2 2 5 3" xfId="28136" xr:uid="{00000000-0005-0000-0000-0000066F0000}"/>
    <cellStyle name="Note 3 2 2 2 6" xfId="9983" xr:uid="{00000000-0005-0000-0000-0000076F0000}"/>
    <cellStyle name="Note 3 2 2 2 7" xfId="19307" xr:uid="{00000000-0005-0000-0000-0000086F0000}"/>
    <cellStyle name="Note 3 2 2 3" xfId="496" xr:uid="{00000000-0005-0000-0000-0000096F0000}"/>
    <cellStyle name="Note 3 2 2 3 2" xfId="984" xr:uid="{00000000-0005-0000-0000-00000A6F0000}"/>
    <cellStyle name="Note 3 2 2 3 2 2" xfId="5488" xr:uid="{00000000-0005-0000-0000-00000B6F0000}"/>
    <cellStyle name="Note 3 2 2 3 2 2 2" xfId="14812" xr:uid="{00000000-0005-0000-0000-00000C6F0000}"/>
    <cellStyle name="Note 3 2 2 3 2 2 3" xfId="24135" xr:uid="{00000000-0005-0000-0000-00000D6F0000}"/>
    <cellStyle name="Note 3 2 2 3 2 3" xfId="10585" xr:uid="{00000000-0005-0000-0000-00000E6F0000}"/>
    <cellStyle name="Note 3 2 2 3 2 4" xfId="19909" xr:uid="{00000000-0005-0000-0000-00000F6F0000}"/>
    <cellStyle name="Note 3 2 2 3 3" xfId="7110" xr:uid="{00000000-0005-0000-0000-0000106F0000}"/>
    <cellStyle name="Note 3 2 2 3 3 2" xfId="16434" xr:uid="{00000000-0005-0000-0000-0000116F0000}"/>
    <cellStyle name="Note 3 2 2 3 3 3" xfId="25757" xr:uid="{00000000-0005-0000-0000-0000126F0000}"/>
    <cellStyle name="Note 3 2 2 3 4" xfId="9607" xr:uid="{00000000-0005-0000-0000-0000136F0000}"/>
    <cellStyle name="Note 3 2 2 3 4 2" xfId="18931" xr:uid="{00000000-0005-0000-0000-0000146F0000}"/>
    <cellStyle name="Note 3 2 2 3 4 3" xfId="28254" xr:uid="{00000000-0005-0000-0000-0000156F0000}"/>
    <cellStyle name="Note 3 2 2 3 5" xfId="10101" xr:uid="{00000000-0005-0000-0000-0000166F0000}"/>
    <cellStyle name="Note 3 2 2 3 6" xfId="19425" xr:uid="{00000000-0005-0000-0000-0000176F0000}"/>
    <cellStyle name="Note 3 2 2 4" xfId="744" xr:uid="{00000000-0005-0000-0000-0000186F0000}"/>
    <cellStyle name="Note 3 2 2 4 2" xfId="6981" xr:uid="{00000000-0005-0000-0000-0000196F0000}"/>
    <cellStyle name="Note 3 2 2 4 2 2" xfId="16305" xr:uid="{00000000-0005-0000-0000-00001A6F0000}"/>
    <cellStyle name="Note 3 2 2 4 2 3" xfId="25628" xr:uid="{00000000-0005-0000-0000-00001B6F0000}"/>
    <cellStyle name="Note 3 2 2 4 3" xfId="10345" xr:uid="{00000000-0005-0000-0000-00001C6F0000}"/>
    <cellStyle name="Note 3 2 2 4 4" xfId="19669" xr:uid="{00000000-0005-0000-0000-00001D6F0000}"/>
    <cellStyle name="Note 3 2 2 5" xfId="7245" xr:uid="{00000000-0005-0000-0000-00001E6F0000}"/>
    <cellStyle name="Note 3 2 2 5 2" xfId="16569" xr:uid="{00000000-0005-0000-0000-00001F6F0000}"/>
    <cellStyle name="Note 3 2 2 5 3" xfId="25892" xr:uid="{00000000-0005-0000-0000-0000206F0000}"/>
    <cellStyle name="Note 3 2 2 6" xfId="9366" xr:uid="{00000000-0005-0000-0000-0000216F0000}"/>
    <cellStyle name="Note 3 2 2 6 2" xfId="18690" xr:uid="{00000000-0005-0000-0000-0000226F0000}"/>
    <cellStyle name="Note 3 2 2 6 3" xfId="28013" xr:uid="{00000000-0005-0000-0000-0000236F0000}"/>
    <cellStyle name="Note 3 2 2 7" xfId="9860" xr:uid="{00000000-0005-0000-0000-0000246F0000}"/>
    <cellStyle name="Note 3 2 2 8" xfId="19184" xr:uid="{00000000-0005-0000-0000-0000256F0000}"/>
    <cellStyle name="Note 3 2 3" xfId="319" xr:uid="{00000000-0005-0000-0000-0000266F0000}"/>
    <cellStyle name="Note 3 2 3 2" xfId="559" xr:uid="{00000000-0005-0000-0000-0000276F0000}"/>
    <cellStyle name="Note 3 2 3 2 2" xfId="1047" xr:uid="{00000000-0005-0000-0000-0000286F0000}"/>
    <cellStyle name="Note 3 2 3 2 2 2" xfId="6764" xr:uid="{00000000-0005-0000-0000-0000296F0000}"/>
    <cellStyle name="Note 3 2 3 2 2 2 2" xfId="16088" xr:uid="{00000000-0005-0000-0000-00002A6F0000}"/>
    <cellStyle name="Note 3 2 3 2 2 2 3" xfId="25411" xr:uid="{00000000-0005-0000-0000-00002B6F0000}"/>
    <cellStyle name="Note 3 2 3 2 2 3" xfId="10648" xr:uid="{00000000-0005-0000-0000-00002C6F0000}"/>
    <cellStyle name="Note 3 2 3 2 2 4" xfId="19972" xr:uid="{00000000-0005-0000-0000-00002D6F0000}"/>
    <cellStyle name="Note 3 2 3 2 3" xfId="7081" xr:uid="{00000000-0005-0000-0000-00002E6F0000}"/>
    <cellStyle name="Note 3 2 3 2 3 2" xfId="16405" xr:uid="{00000000-0005-0000-0000-00002F6F0000}"/>
    <cellStyle name="Note 3 2 3 2 3 3" xfId="25728" xr:uid="{00000000-0005-0000-0000-0000306F0000}"/>
    <cellStyle name="Note 3 2 3 2 4" xfId="9670" xr:uid="{00000000-0005-0000-0000-0000316F0000}"/>
    <cellStyle name="Note 3 2 3 2 4 2" xfId="18994" xr:uid="{00000000-0005-0000-0000-0000326F0000}"/>
    <cellStyle name="Note 3 2 3 2 4 3" xfId="28317" xr:uid="{00000000-0005-0000-0000-0000336F0000}"/>
    <cellStyle name="Note 3 2 3 2 5" xfId="10164" xr:uid="{00000000-0005-0000-0000-0000346F0000}"/>
    <cellStyle name="Note 3 2 3 2 6" xfId="19488" xr:uid="{00000000-0005-0000-0000-0000356F0000}"/>
    <cellStyle name="Note 3 2 3 3" xfId="807" xr:uid="{00000000-0005-0000-0000-0000366F0000}"/>
    <cellStyle name="Note 3 2 3 3 2" xfId="6938" xr:uid="{00000000-0005-0000-0000-0000376F0000}"/>
    <cellStyle name="Note 3 2 3 3 2 2" xfId="16262" xr:uid="{00000000-0005-0000-0000-0000386F0000}"/>
    <cellStyle name="Note 3 2 3 3 2 3" xfId="25585" xr:uid="{00000000-0005-0000-0000-0000396F0000}"/>
    <cellStyle name="Note 3 2 3 3 3" xfId="10408" xr:uid="{00000000-0005-0000-0000-00003A6F0000}"/>
    <cellStyle name="Note 3 2 3 3 4" xfId="19732" xr:uid="{00000000-0005-0000-0000-00003B6F0000}"/>
    <cellStyle name="Note 3 2 3 4" xfId="7213" xr:uid="{00000000-0005-0000-0000-00003C6F0000}"/>
    <cellStyle name="Note 3 2 3 4 2" xfId="16537" xr:uid="{00000000-0005-0000-0000-00003D6F0000}"/>
    <cellStyle name="Note 3 2 3 4 3" xfId="25860" xr:uid="{00000000-0005-0000-0000-00003E6F0000}"/>
    <cellStyle name="Note 3 2 3 5" xfId="9430" xr:uid="{00000000-0005-0000-0000-00003F6F0000}"/>
    <cellStyle name="Note 3 2 3 5 2" xfId="18754" xr:uid="{00000000-0005-0000-0000-0000406F0000}"/>
    <cellStyle name="Note 3 2 3 5 3" xfId="28077" xr:uid="{00000000-0005-0000-0000-0000416F0000}"/>
    <cellStyle name="Note 3 2 3 6" xfId="9924" xr:uid="{00000000-0005-0000-0000-0000426F0000}"/>
    <cellStyle name="Note 3 2 3 7" xfId="19248" xr:uid="{00000000-0005-0000-0000-0000436F0000}"/>
    <cellStyle name="Note 3 2 4" xfId="437" xr:uid="{00000000-0005-0000-0000-0000446F0000}"/>
    <cellStyle name="Note 3 2 4 2" xfId="925" xr:uid="{00000000-0005-0000-0000-0000456F0000}"/>
    <cellStyle name="Note 3 2 4 2 2" xfId="6845" xr:uid="{00000000-0005-0000-0000-0000466F0000}"/>
    <cellStyle name="Note 3 2 4 2 2 2" xfId="16169" xr:uid="{00000000-0005-0000-0000-0000476F0000}"/>
    <cellStyle name="Note 3 2 4 2 2 3" xfId="25492" xr:uid="{00000000-0005-0000-0000-0000486F0000}"/>
    <cellStyle name="Note 3 2 4 2 3" xfId="10526" xr:uid="{00000000-0005-0000-0000-0000496F0000}"/>
    <cellStyle name="Note 3 2 4 2 4" xfId="19850" xr:uid="{00000000-0005-0000-0000-00004A6F0000}"/>
    <cellStyle name="Note 3 2 4 3" xfId="7145" xr:uid="{00000000-0005-0000-0000-00004B6F0000}"/>
    <cellStyle name="Note 3 2 4 3 2" xfId="16469" xr:uid="{00000000-0005-0000-0000-00004C6F0000}"/>
    <cellStyle name="Note 3 2 4 3 3" xfId="25792" xr:uid="{00000000-0005-0000-0000-00004D6F0000}"/>
    <cellStyle name="Note 3 2 4 4" xfId="9548" xr:uid="{00000000-0005-0000-0000-00004E6F0000}"/>
    <cellStyle name="Note 3 2 4 4 2" xfId="18872" xr:uid="{00000000-0005-0000-0000-00004F6F0000}"/>
    <cellStyle name="Note 3 2 4 4 3" xfId="28195" xr:uid="{00000000-0005-0000-0000-0000506F0000}"/>
    <cellStyle name="Note 3 2 4 5" xfId="10042" xr:uid="{00000000-0005-0000-0000-0000516F0000}"/>
    <cellStyle name="Note 3 2 4 6" xfId="19366" xr:uid="{00000000-0005-0000-0000-0000526F0000}"/>
    <cellStyle name="Note 3 2 5" xfId="685" xr:uid="{00000000-0005-0000-0000-0000536F0000}"/>
    <cellStyle name="Note 3 2 5 2" xfId="7025" xr:uid="{00000000-0005-0000-0000-0000546F0000}"/>
    <cellStyle name="Note 3 2 5 2 2" xfId="16349" xr:uid="{00000000-0005-0000-0000-0000556F0000}"/>
    <cellStyle name="Note 3 2 5 2 3" xfId="25672" xr:uid="{00000000-0005-0000-0000-0000566F0000}"/>
    <cellStyle name="Note 3 2 5 3" xfId="10286" xr:uid="{00000000-0005-0000-0000-0000576F0000}"/>
    <cellStyle name="Note 3 2 5 4" xfId="19610" xr:uid="{00000000-0005-0000-0000-0000586F0000}"/>
    <cellStyle name="Note 3 2 6" xfId="2846" xr:uid="{00000000-0005-0000-0000-0000596F0000}"/>
    <cellStyle name="Note 3 2 7" xfId="7280" xr:uid="{00000000-0005-0000-0000-00005A6F0000}"/>
    <cellStyle name="Note 3 2 7 2" xfId="16604" xr:uid="{00000000-0005-0000-0000-00005B6F0000}"/>
    <cellStyle name="Note 3 2 7 3" xfId="25927" xr:uid="{00000000-0005-0000-0000-00005C6F0000}"/>
    <cellStyle name="Note 3 2 8" xfId="9307" xr:uid="{00000000-0005-0000-0000-00005D6F0000}"/>
    <cellStyle name="Note 3 2 8 2" xfId="18631" xr:uid="{00000000-0005-0000-0000-00005E6F0000}"/>
    <cellStyle name="Note 3 2 8 3" xfId="27954" xr:uid="{00000000-0005-0000-0000-00005F6F0000}"/>
    <cellStyle name="Note 3 2 9" xfId="9801" xr:uid="{00000000-0005-0000-0000-0000606F0000}"/>
    <cellStyle name="Note 3 3" xfId="179" xr:uid="{00000000-0005-0000-0000-0000616F0000}"/>
    <cellStyle name="Note 3 3 10" xfId="9802" xr:uid="{00000000-0005-0000-0000-0000626F0000}"/>
    <cellStyle name="Note 3 3 11" xfId="19126" xr:uid="{00000000-0005-0000-0000-0000636F0000}"/>
    <cellStyle name="Note 3 3 2" xfId="239" xr:uid="{00000000-0005-0000-0000-0000646F0000}"/>
    <cellStyle name="Note 3 3 2 10" xfId="19185" xr:uid="{00000000-0005-0000-0000-0000656F0000}"/>
    <cellStyle name="Note 3 3 2 2" xfId="379" xr:uid="{00000000-0005-0000-0000-0000666F0000}"/>
    <cellStyle name="Note 3 3 2 2 2" xfId="619" xr:uid="{00000000-0005-0000-0000-0000676F0000}"/>
    <cellStyle name="Note 3 3 2 2 2 2" xfId="1107" xr:uid="{00000000-0005-0000-0000-0000686F0000}"/>
    <cellStyle name="Note 3 3 2 2 2 2 2" xfId="6720" xr:uid="{00000000-0005-0000-0000-0000696F0000}"/>
    <cellStyle name="Note 3 3 2 2 2 2 2 2" xfId="16044" xr:uid="{00000000-0005-0000-0000-00006A6F0000}"/>
    <cellStyle name="Note 3 3 2 2 2 2 2 3" xfId="25367" xr:uid="{00000000-0005-0000-0000-00006B6F0000}"/>
    <cellStyle name="Note 3 3 2 2 2 2 3" xfId="10708" xr:uid="{00000000-0005-0000-0000-00006C6F0000}"/>
    <cellStyle name="Note 3 3 2 2 2 2 4" xfId="20032" xr:uid="{00000000-0005-0000-0000-00006D6F0000}"/>
    <cellStyle name="Note 3 3 2 2 2 3" xfId="5241" xr:uid="{00000000-0005-0000-0000-00006E6F0000}"/>
    <cellStyle name="Note 3 3 2 2 2 3 2" xfId="14565" xr:uid="{00000000-0005-0000-0000-00006F6F0000}"/>
    <cellStyle name="Note 3 3 2 2 2 3 3" xfId="23888" xr:uid="{00000000-0005-0000-0000-0000706F0000}"/>
    <cellStyle name="Note 3 3 2 2 2 4" xfId="9730" xr:uid="{00000000-0005-0000-0000-0000716F0000}"/>
    <cellStyle name="Note 3 3 2 2 2 4 2" xfId="19054" xr:uid="{00000000-0005-0000-0000-0000726F0000}"/>
    <cellStyle name="Note 3 3 2 2 2 4 3" xfId="28377" xr:uid="{00000000-0005-0000-0000-0000736F0000}"/>
    <cellStyle name="Note 3 3 2 2 2 5" xfId="10224" xr:uid="{00000000-0005-0000-0000-0000746F0000}"/>
    <cellStyle name="Note 3 3 2 2 2 6" xfId="19548" xr:uid="{00000000-0005-0000-0000-0000756F0000}"/>
    <cellStyle name="Note 3 3 2 2 3" xfId="867" xr:uid="{00000000-0005-0000-0000-0000766F0000}"/>
    <cellStyle name="Note 3 3 2 2 3 2" xfId="5473" xr:uid="{00000000-0005-0000-0000-0000776F0000}"/>
    <cellStyle name="Note 3 3 2 2 3 2 2" xfId="14797" xr:uid="{00000000-0005-0000-0000-0000786F0000}"/>
    <cellStyle name="Note 3 3 2 2 3 2 3" xfId="24120" xr:uid="{00000000-0005-0000-0000-0000796F0000}"/>
    <cellStyle name="Note 3 3 2 2 3 3" xfId="10468" xr:uid="{00000000-0005-0000-0000-00007A6F0000}"/>
    <cellStyle name="Note 3 3 2 2 3 4" xfId="19792" xr:uid="{00000000-0005-0000-0000-00007B6F0000}"/>
    <cellStyle name="Note 3 3 2 2 4" xfId="7180" xr:uid="{00000000-0005-0000-0000-00007C6F0000}"/>
    <cellStyle name="Note 3 3 2 2 4 2" xfId="16504" xr:uid="{00000000-0005-0000-0000-00007D6F0000}"/>
    <cellStyle name="Note 3 3 2 2 4 3" xfId="25827" xr:uid="{00000000-0005-0000-0000-00007E6F0000}"/>
    <cellStyle name="Note 3 3 2 2 5" xfId="9490" xr:uid="{00000000-0005-0000-0000-00007F6F0000}"/>
    <cellStyle name="Note 3 3 2 2 5 2" xfId="18814" xr:uid="{00000000-0005-0000-0000-0000806F0000}"/>
    <cellStyle name="Note 3 3 2 2 5 3" xfId="28137" xr:uid="{00000000-0005-0000-0000-0000816F0000}"/>
    <cellStyle name="Note 3 3 2 2 6" xfId="9984" xr:uid="{00000000-0005-0000-0000-0000826F0000}"/>
    <cellStyle name="Note 3 3 2 2 7" xfId="19308" xr:uid="{00000000-0005-0000-0000-0000836F0000}"/>
    <cellStyle name="Note 3 3 2 3" xfId="497" xr:uid="{00000000-0005-0000-0000-0000846F0000}"/>
    <cellStyle name="Note 3 3 2 3 2" xfId="985" xr:uid="{00000000-0005-0000-0000-0000856F0000}"/>
    <cellStyle name="Note 3 3 2 3 2 2" xfId="7342" xr:uid="{00000000-0005-0000-0000-0000866F0000}"/>
    <cellStyle name="Note 3 3 2 3 2 2 2" xfId="16666" xr:uid="{00000000-0005-0000-0000-0000876F0000}"/>
    <cellStyle name="Note 3 3 2 3 2 2 3" xfId="25989" xr:uid="{00000000-0005-0000-0000-0000886F0000}"/>
    <cellStyle name="Note 3 3 2 3 2 3" xfId="10586" xr:uid="{00000000-0005-0000-0000-0000896F0000}"/>
    <cellStyle name="Note 3 3 2 3 2 4" xfId="19910" xr:uid="{00000000-0005-0000-0000-00008A6F0000}"/>
    <cellStyle name="Note 3 3 2 3 3" xfId="7115" xr:uid="{00000000-0005-0000-0000-00008B6F0000}"/>
    <cellStyle name="Note 3 3 2 3 3 2" xfId="16439" xr:uid="{00000000-0005-0000-0000-00008C6F0000}"/>
    <cellStyle name="Note 3 3 2 3 3 3" xfId="25762" xr:uid="{00000000-0005-0000-0000-00008D6F0000}"/>
    <cellStyle name="Note 3 3 2 3 4" xfId="9608" xr:uid="{00000000-0005-0000-0000-00008E6F0000}"/>
    <cellStyle name="Note 3 3 2 3 4 2" xfId="18932" xr:uid="{00000000-0005-0000-0000-00008F6F0000}"/>
    <cellStyle name="Note 3 3 2 3 4 3" xfId="28255" xr:uid="{00000000-0005-0000-0000-0000906F0000}"/>
    <cellStyle name="Note 3 3 2 3 5" xfId="10102" xr:uid="{00000000-0005-0000-0000-0000916F0000}"/>
    <cellStyle name="Note 3 3 2 3 6" xfId="19426" xr:uid="{00000000-0005-0000-0000-0000926F0000}"/>
    <cellStyle name="Note 3 3 2 4" xfId="745" xr:uid="{00000000-0005-0000-0000-0000936F0000}"/>
    <cellStyle name="Note 3 3 2 4 2" xfId="6980" xr:uid="{00000000-0005-0000-0000-0000946F0000}"/>
    <cellStyle name="Note 3 3 2 4 2 2" xfId="16304" xr:uid="{00000000-0005-0000-0000-0000956F0000}"/>
    <cellStyle name="Note 3 3 2 4 2 3" xfId="25627" xr:uid="{00000000-0005-0000-0000-0000966F0000}"/>
    <cellStyle name="Note 3 3 2 4 3" xfId="10346" xr:uid="{00000000-0005-0000-0000-0000976F0000}"/>
    <cellStyle name="Note 3 3 2 4 4" xfId="19670" xr:uid="{00000000-0005-0000-0000-0000986F0000}"/>
    <cellStyle name="Note 3 3 2 5" xfId="2848" xr:uid="{00000000-0005-0000-0000-0000996F0000}"/>
    <cellStyle name="Note 3 3 2 5 2" xfId="7587" xr:uid="{00000000-0005-0000-0000-00009A6F0000}"/>
    <cellStyle name="Note 3 3 2 5 2 2" xfId="16911" xr:uid="{00000000-0005-0000-0000-00009B6F0000}"/>
    <cellStyle name="Note 3 3 2 5 2 3" xfId="26234" xr:uid="{00000000-0005-0000-0000-00009C6F0000}"/>
    <cellStyle name="Note 3 3 2 5 3" xfId="12300" xr:uid="{00000000-0005-0000-0000-00009D6F0000}"/>
    <cellStyle name="Note 3 3 2 5 4" xfId="21626" xr:uid="{00000000-0005-0000-0000-00009E6F0000}"/>
    <cellStyle name="Note 3 3 2 6" xfId="4522" xr:uid="{00000000-0005-0000-0000-00009F6F0000}"/>
    <cellStyle name="Note 3 3 2 6 2" xfId="9199" xr:uid="{00000000-0005-0000-0000-0000A06F0000}"/>
    <cellStyle name="Note 3 3 2 6 2 2" xfId="18523" xr:uid="{00000000-0005-0000-0000-0000A16F0000}"/>
    <cellStyle name="Note 3 3 2 6 2 3" xfId="27846" xr:uid="{00000000-0005-0000-0000-0000A26F0000}"/>
    <cellStyle name="Note 3 3 2 6 3" xfId="13856" xr:uid="{00000000-0005-0000-0000-0000A36F0000}"/>
    <cellStyle name="Note 3 3 2 6 4" xfId="23180" xr:uid="{00000000-0005-0000-0000-0000A46F0000}"/>
    <cellStyle name="Note 3 3 2 7" xfId="6267" xr:uid="{00000000-0005-0000-0000-0000A56F0000}"/>
    <cellStyle name="Note 3 3 2 7 2" xfId="15591" xr:uid="{00000000-0005-0000-0000-0000A66F0000}"/>
    <cellStyle name="Note 3 3 2 7 3" xfId="24914" xr:uid="{00000000-0005-0000-0000-0000A76F0000}"/>
    <cellStyle name="Note 3 3 2 8" xfId="9367" xr:uid="{00000000-0005-0000-0000-0000A86F0000}"/>
    <cellStyle name="Note 3 3 2 8 2" xfId="18691" xr:uid="{00000000-0005-0000-0000-0000A96F0000}"/>
    <cellStyle name="Note 3 3 2 8 3" xfId="28014" xr:uid="{00000000-0005-0000-0000-0000AA6F0000}"/>
    <cellStyle name="Note 3 3 2 9" xfId="9861" xr:uid="{00000000-0005-0000-0000-0000AB6F0000}"/>
    <cellStyle name="Note 3 3 3" xfId="320" xr:uid="{00000000-0005-0000-0000-0000AC6F0000}"/>
    <cellStyle name="Note 3 3 3 2" xfId="560" xr:uid="{00000000-0005-0000-0000-0000AD6F0000}"/>
    <cellStyle name="Note 3 3 3 2 2" xfId="1048" xr:uid="{00000000-0005-0000-0000-0000AE6F0000}"/>
    <cellStyle name="Note 3 3 3 2 2 2" xfId="6763" xr:uid="{00000000-0005-0000-0000-0000AF6F0000}"/>
    <cellStyle name="Note 3 3 3 2 2 2 2" xfId="16087" xr:uid="{00000000-0005-0000-0000-0000B06F0000}"/>
    <cellStyle name="Note 3 3 3 2 2 2 3" xfId="25410" xr:uid="{00000000-0005-0000-0000-0000B16F0000}"/>
    <cellStyle name="Note 3 3 3 2 2 3" xfId="10649" xr:uid="{00000000-0005-0000-0000-0000B26F0000}"/>
    <cellStyle name="Note 3 3 3 2 2 4" xfId="19973" xr:uid="{00000000-0005-0000-0000-0000B36F0000}"/>
    <cellStyle name="Note 3 3 3 2 3" xfId="7080" xr:uid="{00000000-0005-0000-0000-0000B46F0000}"/>
    <cellStyle name="Note 3 3 3 2 3 2" xfId="16404" xr:uid="{00000000-0005-0000-0000-0000B56F0000}"/>
    <cellStyle name="Note 3 3 3 2 3 3" xfId="25727" xr:uid="{00000000-0005-0000-0000-0000B66F0000}"/>
    <cellStyle name="Note 3 3 3 2 4" xfId="9671" xr:uid="{00000000-0005-0000-0000-0000B76F0000}"/>
    <cellStyle name="Note 3 3 3 2 4 2" xfId="18995" xr:uid="{00000000-0005-0000-0000-0000B86F0000}"/>
    <cellStyle name="Note 3 3 3 2 4 3" xfId="28318" xr:uid="{00000000-0005-0000-0000-0000B96F0000}"/>
    <cellStyle name="Note 3 3 3 2 5" xfId="10165" xr:uid="{00000000-0005-0000-0000-0000BA6F0000}"/>
    <cellStyle name="Note 3 3 3 2 6" xfId="19489" xr:uid="{00000000-0005-0000-0000-0000BB6F0000}"/>
    <cellStyle name="Note 3 3 3 3" xfId="808" xr:uid="{00000000-0005-0000-0000-0000BC6F0000}"/>
    <cellStyle name="Note 3 3 3 3 2" xfId="6937" xr:uid="{00000000-0005-0000-0000-0000BD6F0000}"/>
    <cellStyle name="Note 3 3 3 3 2 2" xfId="16261" xr:uid="{00000000-0005-0000-0000-0000BE6F0000}"/>
    <cellStyle name="Note 3 3 3 3 2 3" xfId="25584" xr:uid="{00000000-0005-0000-0000-0000BF6F0000}"/>
    <cellStyle name="Note 3 3 3 3 3" xfId="10409" xr:uid="{00000000-0005-0000-0000-0000C06F0000}"/>
    <cellStyle name="Note 3 3 3 3 4" xfId="19733" xr:uid="{00000000-0005-0000-0000-0000C16F0000}"/>
    <cellStyle name="Note 3 3 3 4" xfId="7212" xr:uid="{00000000-0005-0000-0000-0000C26F0000}"/>
    <cellStyle name="Note 3 3 3 4 2" xfId="16536" xr:uid="{00000000-0005-0000-0000-0000C36F0000}"/>
    <cellStyle name="Note 3 3 3 4 3" xfId="25859" xr:uid="{00000000-0005-0000-0000-0000C46F0000}"/>
    <cellStyle name="Note 3 3 3 5" xfId="9431" xr:uid="{00000000-0005-0000-0000-0000C56F0000}"/>
    <cellStyle name="Note 3 3 3 5 2" xfId="18755" xr:uid="{00000000-0005-0000-0000-0000C66F0000}"/>
    <cellStyle name="Note 3 3 3 5 3" xfId="28078" xr:uid="{00000000-0005-0000-0000-0000C76F0000}"/>
    <cellStyle name="Note 3 3 3 6" xfId="9925" xr:uid="{00000000-0005-0000-0000-0000C86F0000}"/>
    <cellStyle name="Note 3 3 3 7" xfId="19249" xr:uid="{00000000-0005-0000-0000-0000C96F0000}"/>
    <cellStyle name="Note 3 3 4" xfId="438" xr:uid="{00000000-0005-0000-0000-0000CA6F0000}"/>
    <cellStyle name="Note 3 3 4 2" xfId="926" xr:uid="{00000000-0005-0000-0000-0000CB6F0000}"/>
    <cellStyle name="Note 3 3 4 2 2" xfId="6844" xr:uid="{00000000-0005-0000-0000-0000CC6F0000}"/>
    <cellStyle name="Note 3 3 4 2 2 2" xfId="16168" xr:uid="{00000000-0005-0000-0000-0000CD6F0000}"/>
    <cellStyle name="Note 3 3 4 2 2 3" xfId="25491" xr:uid="{00000000-0005-0000-0000-0000CE6F0000}"/>
    <cellStyle name="Note 3 3 4 2 3" xfId="10527" xr:uid="{00000000-0005-0000-0000-0000CF6F0000}"/>
    <cellStyle name="Note 3 3 4 2 4" xfId="19851" xr:uid="{00000000-0005-0000-0000-0000D06F0000}"/>
    <cellStyle name="Note 3 3 4 3" xfId="7149" xr:uid="{00000000-0005-0000-0000-0000D16F0000}"/>
    <cellStyle name="Note 3 3 4 3 2" xfId="16473" xr:uid="{00000000-0005-0000-0000-0000D26F0000}"/>
    <cellStyle name="Note 3 3 4 3 3" xfId="25796" xr:uid="{00000000-0005-0000-0000-0000D36F0000}"/>
    <cellStyle name="Note 3 3 4 4" xfId="9549" xr:uid="{00000000-0005-0000-0000-0000D46F0000}"/>
    <cellStyle name="Note 3 3 4 4 2" xfId="18873" xr:uid="{00000000-0005-0000-0000-0000D56F0000}"/>
    <cellStyle name="Note 3 3 4 4 3" xfId="28196" xr:uid="{00000000-0005-0000-0000-0000D66F0000}"/>
    <cellStyle name="Note 3 3 4 5" xfId="10043" xr:uid="{00000000-0005-0000-0000-0000D76F0000}"/>
    <cellStyle name="Note 3 3 4 6" xfId="19367" xr:uid="{00000000-0005-0000-0000-0000D86F0000}"/>
    <cellStyle name="Note 3 3 5" xfId="686" xr:uid="{00000000-0005-0000-0000-0000D96F0000}"/>
    <cellStyle name="Note 3 3 5 2" xfId="7024" xr:uid="{00000000-0005-0000-0000-0000DA6F0000}"/>
    <cellStyle name="Note 3 3 5 2 2" xfId="16348" xr:uid="{00000000-0005-0000-0000-0000DB6F0000}"/>
    <cellStyle name="Note 3 3 5 2 3" xfId="25671" xr:uid="{00000000-0005-0000-0000-0000DC6F0000}"/>
    <cellStyle name="Note 3 3 5 3" xfId="10287" xr:uid="{00000000-0005-0000-0000-0000DD6F0000}"/>
    <cellStyle name="Note 3 3 5 4" xfId="19611" xr:uid="{00000000-0005-0000-0000-0000DE6F0000}"/>
    <cellStyle name="Note 3 3 6" xfId="2847" xr:uid="{00000000-0005-0000-0000-0000DF6F0000}"/>
    <cellStyle name="Note 3 3 6 2" xfId="7586" xr:uid="{00000000-0005-0000-0000-0000E06F0000}"/>
    <cellStyle name="Note 3 3 6 2 2" xfId="16910" xr:uid="{00000000-0005-0000-0000-0000E16F0000}"/>
    <cellStyle name="Note 3 3 6 2 3" xfId="26233" xr:uid="{00000000-0005-0000-0000-0000E26F0000}"/>
    <cellStyle name="Note 3 3 6 3" xfId="12299" xr:uid="{00000000-0005-0000-0000-0000E36F0000}"/>
    <cellStyle name="Note 3 3 6 4" xfId="21625" xr:uid="{00000000-0005-0000-0000-0000E46F0000}"/>
    <cellStyle name="Note 3 3 7" xfId="4521" xr:uid="{00000000-0005-0000-0000-0000E56F0000}"/>
    <cellStyle name="Note 3 3 7 2" xfId="9198" xr:uid="{00000000-0005-0000-0000-0000E66F0000}"/>
    <cellStyle name="Note 3 3 7 2 2" xfId="18522" xr:uid="{00000000-0005-0000-0000-0000E76F0000}"/>
    <cellStyle name="Note 3 3 7 2 3" xfId="27845" xr:uid="{00000000-0005-0000-0000-0000E86F0000}"/>
    <cellStyle name="Note 3 3 7 3" xfId="13855" xr:uid="{00000000-0005-0000-0000-0000E96F0000}"/>
    <cellStyle name="Note 3 3 7 4" xfId="23179" xr:uid="{00000000-0005-0000-0000-0000EA6F0000}"/>
    <cellStyle name="Note 3 3 8" xfId="6266" xr:uid="{00000000-0005-0000-0000-0000EB6F0000}"/>
    <cellStyle name="Note 3 3 8 2" xfId="15590" xr:uid="{00000000-0005-0000-0000-0000EC6F0000}"/>
    <cellStyle name="Note 3 3 8 3" xfId="24913" xr:uid="{00000000-0005-0000-0000-0000ED6F0000}"/>
    <cellStyle name="Note 3 3 9" xfId="9308" xr:uid="{00000000-0005-0000-0000-0000EE6F0000}"/>
    <cellStyle name="Note 3 3 9 2" xfId="18632" xr:uid="{00000000-0005-0000-0000-0000EF6F0000}"/>
    <cellStyle name="Note 3 3 9 3" xfId="27955" xr:uid="{00000000-0005-0000-0000-0000F06F0000}"/>
    <cellStyle name="Note 3 4" xfId="237" xr:uid="{00000000-0005-0000-0000-0000F16F0000}"/>
    <cellStyle name="Note 3 4 10" xfId="19183" xr:uid="{00000000-0005-0000-0000-0000F26F0000}"/>
    <cellStyle name="Note 3 4 2" xfId="377" xr:uid="{00000000-0005-0000-0000-0000F36F0000}"/>
    <cellStyle name="Note 3 4 2 2" xfId="617" xr:uid="{00000000-0005-0000-0000-0000F46F0000}"/>
    <cellStyle name="Note 3 4 2 2 2" xfId="1105" xr:uid="{00000000-0005-0000-0000-0000F56F0000}"/>
    <cellStyle name="Note 3 4 2 2 2 2" xfId="6722" xr:uid="{00000000-0005-0000-0000-0000F66F0000}"/>
    <cellStyle name="Note 3 4 2 2 2 2 2" xfId="16046" xr:uid="{00000000-0005-0000-0000-0000F76F0000}"/>
    <cellStyle name="Note 3 4 2 2 2 2 3" xfId="25369" xr:uid="{00000000-0005-0000-0000-0000F86F0000}"/>
    <cellStyle name="Note 3 4 2 2 2 3" xfId="10706" xr:uid="{00000000-0005-0000-0000-0000F96F0000}"/>
    <cellStyle name="Note 3 4 2 2 2 4" xfId="20030" xr:uid="{00000000-0005-0000-0000-0000FA6F0000}"/>
    <cellStyle name="Note 3 4 2 2 3" xfId="4613" xr:uid="{00000000-0005-0000-0000-0000FB6F0000}"/>
    <cellStyle name="Note 3 4 2 2 3 2" xfId="13937" xr:uid="{00000000-0005-0000-0000-0000FC6F0000}"/>
    <cellStyle name="Note 3 4 2 2 3 3" xfId="23260" xr:uid="{00000000-0005-0000-0000-0000FD6F0000}"/>
    <cellStyle name="Note 3 4 2 2 4" xfId="9728" xr:uid="{00000000-0005-0000-0000-0000FE6F0000}"/>
    <cellStyle name="Note 3 4 2 2 4 2" xfId="19052" xr:uid="{00000000-0005-0000-0000-0000FF6F0000}"/>
    <cellStyle name="Note 3 4 2 2 4 3" xfId="28375" xr:uid="{00000000-0005-0000-0000-000000700000}"/>
    <cellStyle name="Note 3 4 2 2 5" xfId="10222" xr:uid="{00000000-0005-0000-0000-000001700000}"/>
    <cellStyle name="Note 3 4 2 2 6" xfId="19546" xr:uid="{00000000-0005-0000-0000-000002700000}"/>
    <cellStyle name="Note 3 4 2 3" xfId="865" xr:uid="{00000000-0005-0000-0000-000003700000}"/>
    <cellStyle name="Note 3 4 2 3 2" xfId="6898" xr:uid="{00000000-0005-0000-0000-000004700000}"/>
    <cellStyle name="Note 3 4 2 3 2 2" xfId="16222" xr:uid="{00000000-0005-0000-0000-000005700000}"/>
    <cellStyle name="Note 3 4 2 3 2 3" xfId="25545" xr:uid="{00000000-0005-0000-0000-000006700000}"/>
    <cellStyle name="Note 3 4 2 3 3" xfId="10466" xr:uid="{00000000-0005-0000-0000-000007700000}"/>
    <cellStyle name="Note 3 4 2 3 4" xfId="19790" xr:uid="{00000000-0005-0000-0000-000008700000}"/>
    <cellStyle name="Note 3 4 2 4" xfId="5894" xr:uid="{00000000-0005-0000-0000-000009700000}"/>
    <cellStyle name="Note 3 4 2 4 2" xfId="15218" xr:uid="{00000000-0005-0000-0000-00000A700000}"/>
    <cellStyle name="Note 3 4 2 4 3" xfId="24541" xr:uid="{00000000-0005-0000-0000-00000B700000}"/>
    <cellStyle name="Note 3 4 2 5" xfId="9488" xr:uid="{00000000-0005-0000-0000-00000C700000}"/>
    <cellStyle name="Note 3 4 2 5 2" xfId="18812" xr:uid="{00000000-0005-0000-0000-00000D700000}"/>
    <cellStyle name="Note 3 4 2 5 3" xfId="28135" xr:uid="{00000000-0005-0000-0000-00000E700000}"/>
    <cellStyle name="Note 3 4 2 6" xfId="9982" xr:uid="{00000000-0005-0000-0000-00000F700000}"/>
    <cellStyle name="Note 3 4 2 7" xfId="19306" xr:uid="{00000000-0005-0000-0000-000010700000}"/>
    <cellStyle name="Note 3 4 3" xfId="495" xr:uid="{00000000-0005-0000-0000-000011700000}"/>
    <cellStyle name="Note 3 4 3 2" xfId="983" xr:uid="{00000000-0005-0000-0000-000012700000}"/>
    <cellStyle name="Note 3 4 3 2 2" xfId="6809" xr:uid="{00000000-0005-0000-0000-000013700000}"/>
    <cellStyle name="Note 3 4 3 2 2 2" xfId="16133" xr:uid="{00000000-0005-0000-0000-000014700000}"/>
    <cellStyle name="Note 3 4 3 2 2 3" xfId="25456" xr:uid="{00000000-0005-0000-0000-000015700000}"/>
    <cellStyle name="Note 3 4 3 2 3" xfId="10584" xr:uid="{00000000-0005-0000-0000-000016700000}"/>
    <cellStyle name="Note 3 4 3 2 4" xfId="19908" xr:uid="{00000000-0005-0000-0000-000017700000}"/>
    <cellStyle name="Note 3 4 3 3" xfId="5218" xr:uid="{00000000-0005-0000-0000-000018700000}"/>
    <cellStyle name="Note 3 4 3 3 2" xfId="14542" xr:uid="{00000000-0005-0000-0000-000019700000}"/>
    <cellStyle name="Note 3 4 3 3 3" xfId="23865" xr:uid="{00000000-0005-0000-0000-00001A700000}"/>
    <cellStyle name="Note 3 4 3 4" xfId="9606" xr:uid="{00000000-0005-0000-0000-00001B700000}"/>
    <cellStyle name="Note 3 4 3 4 2" xfId="18930" xr:uid="{00000000-0005-0000-0000-00001C700000}"/>
    <cellStyle name="Note 3 4 3 4 3" xfId="28253" xr:uid="{00000000-0005-0000-0000-00001D700000}"/>
    <cellStyle name="Note 3 4 3 5" xfId="10100" xr:uid="{00000000-0005-0000-0000-00001E700000}"/>
    <cellStyle name="Note 3 4 3 6" xfId="19424" xr:uid="{00000000-0005-0000-0000-00001F700000}"/>
    <cellStyle name="Note 3 4 4" xfId="743" xr:uid="{00000000-0005-0000-0000-000020700000}"/>
    <cellStyle name="Note 3 4 4 2" xfId="6982" xr:uid="{00000000-0005-0000-0000-000021700000}"/>
    <cellStyle name="Note 3 4 4 2 2" xfId="16306" xr:uid="{00000000-0005-0000-0000-000022700000}"/>
    <cellStyle name="Note 3 4 4 2 3" xfId="25629" xr:uid="{00000000-0005-0000-0000-000023700000}"/>
    <cellStyle name="Note 3 4 4 3" xfId="10344" xr:uid="{00000000-0005-0000-0000-000024700000}"/>
    <cellStyle name="Note 3 4 4 4" xfId="19668" xr:uid="{00000000-0005-0000-0000-000025700000}"/>
    <cellStyle name="Note 3 4 5" xfId="2849" xr:uid="{00000000-0005-0000-0000-000026700000}"/>
    <cellStyle name="Note 3 4 5 2" xfId="7588" xr:uid="{00000000-0005-0000-0000-000027700000}"/>
    <cellStyle name="Note 3 4 5 2 2" xfId="16912" xr:uid="{00000000-0005-0000-0000-000028700000}"/>
    <cellStyle name="Note 3 4 5 2 3" xfId="26235" xr:uid="{00000000-0005-0000-0000-000029700000}"/>
    <cellStyle name="Note 3 4 5 3" xfId="12301" xr:uid="{00000000-0005-0000-0000-00002A700000}"/>
    <cellStyle name="Note 3 4 5 4" xfId="21627" xr:uid="{00000000-0005-0000-0000-00002B700000}"/>
    <cellStyle name="Note 3 4 6" xfId="4523" xr:uid="{00000000-0005-0000-0000-00002C700000}"/>
    <cellStyle name="Note 3 4 6 2" xfId="9200" xr:uid="{00000000-0005-0000-0000-00002D700000}"/>
    <cellStyle name="Note 3 4 6 2 2" xfId="18524" xr:uid="{00000000-0005-0000-0000-00002E700000}"/>
    <cellStyle name="Note 3 4 6 2 3" xfId="27847" xr:uid="{00000000-0005-0000-0000-00002F700000}"/>
    <cellStyle name="Note 3 4 6 3" xfId="13857" xr:uid="{00000000-0005-0000-0000-000030700000}"/>
    <cellStyle name="Note 3 4 6 4" xfId="23181" xr:uid="{00000000-0005-0000-0000-000031700000}"/>
    <cellStyle name="Note 3 4 7" xfId="6268" xr:uid="{00000000-0005-0000-0000-000032700000}"/>
    <cellStyle name="Note 3 4 7 2" xfId="15592" xr:uid="{00000000-0005-0000-0000-000033700000}"/>
    <cellStyle name="Note 3 4 7 3" xfId="24915" xr:uid="{00000000-0005-0000-0000-000034700000}"/>
    <cellStyle name="Note 3 4 8" xfId="9365" xr:uid="{00000000-0005-0000-0000-000035700000}"/>
    <cellStyle name="Note 3 4 8 2" xfId="18689" xr:uid="{00000000-0005-0000-0000-000036700000}"/>
    <cellStyle name="Note 3 4 8 3" xfId="28012" xr:uid="{00000000-0005-0000-0000-000037700000}"/>
    <cellStyle name="Note 3 4 9" xfId="9859" xr:uid="{00000000-0005-0000-0000-000038700000}"/>
    <cellStyle name="Note 3 5" xfId="318" xr:uid="{00000000-0005-0000-0000-000039700000}"/>
    <cellStyle name="Note 3 5 2" xfId="558" xr:uid="{00000000-0005-0000-0000-00003A700000}"/>
    <cellStyle name="Note 3 5 2 2" xfId="1046" xr:uid="{00000000-0005-0000-0000-00003B700000}"/>
    <cellStyle name="Note 3 5 2 2 2" xfId="6751" xr:uid="{00000000-0005-0000-0000-00003C700000}"/>
    <cellStyle name="Note 3 5 2 2 2 2" xfId="16075" xr:uid="{00000000-0005-0000-0000-00003D700000}"/>
    <cellStyle name="Note 3 5 2 2 2 3" xfId="25398" xr:uid="{00000000-0005-0000-0000-00003E700000}"/>
    <cellStyle name="Note 3 5 2 2 3" xfId="10647" xr:uid="{00000000-0005-0000-0000-00003F700000}"/>
    <cellStyle name="Note 3 5 2 2 4" xfId="19971" xr:uid="{00000000-0005-0000-0000-000040700000}"/>
    <cellStyle name="Note 3 5 2 3" xfId="7082" xr:uid="{00000000-0005-0000-0000-000041700000}"/>
    <cellStyle name="Note 3 5 2 3 2" xfId="16406" xr:uid="{00000000-0005-0000-0000-000042700000}"/>
    <cellStyle name="Note 3 5 2 3 3" xfId="25729" xr:uid="{00000000-0005-0000-0000-000043700000}"/>
    <cellStyle name="Note 3 5 2 4" xfId="9669" xr:uid="{00000000-0005-0000-0000-000044700000}"/>
    <cellStyle name="Note 3 5 2 4 2" xfId="18993" xr:uid="{00000000-0005-0000-0000-000045700000}"/>
    <cellStyle name="Note 3 5 2 4 3" xfId="28316" xr:uid="{00000000-0005-0000-0000-000046700000}"/>
    <cellStyle name="Note 3 5 2 5" xfId="10163" xr:uid="{00000000-0005-0000-0000-000047700000}"/>
    <cellStyle name="Note 3 5 2 6" xfId="19487" xr:uid="{00000000-0005-0000-0000-000048700000}"/>
    <cellStyle name="Note 3 5 3" xfId="806" xr:uid="{00000000-0005-0000-0000-000049700000}"/>
    <cellStyle name="Note 3 5 3 2" xfId="6939" xr:uid="{00000000-0005-0000-0000-00004A700000}"/>
    <cellStyle name="Note 3 5 3 2 2" xfId="16263" xr:uid="{00000000-0005-0000-0000-00004B700000}"/>
    <cellStyle name="Note 3 5 3 2 3" xfId="25586" xr:uid="{00000000-0005-0000-0000-00004C700000}"/>
    <cellStyle name="Note 3 5 3 3" xfId="10407" xr:uid="{00000000-0005-0000-0000-00004D700000}"/>
    <cellStyle name="Note 3 5 3 4" xfId="19731" xr:uid="{00000000-0005-0000-0000-00004E700000}"/>
    <cellStyle name="Note 3 5 4" xfId="7214" xr:uid="{00000000-0005-0000-0000-00004F700000}"/>
    <cellStyle name="Note 3 5 4 2" xfId="16538" xr:uid="{00000000-0005-0000-0000-000050700000}"/>
    <cellStyle name="Note 3 5 4 3" xfId="25861" xr:uid="{00000000-0005-0000-0000-000051700000}"/>
    <cellStyle name="Note 3 5 5" xfId="9429" xr:uid="{00000000-0005-0000-0000-000052700000}"/>
    <cellStyle name="Note 3 5 5 2" xfId="18753" xr:uid="{00000000-0005-0000-0000-000053700000}"/>
    <cellStyle name="Note 3 5 5 3" xfId="28076" xr:uid="{00000000-0005-0000-0000-000054700000}"/>
    <cellStyle name="Note 3 5 6" xfId="9923" xr:uid="{00000000-0005-0000-0000-000055700000}"/>
    <cellStyle name="Note 3 5 7" xfId="19247" xr:uid="{00000000-0005-0000-0000-000056700000}"/>
    <cellStyle name="Note 3 6" xfId="436" xr:uid="{00000000-0005-0000-0000-000057700000}"/>
    <cellStyle name="Note 3 6 2" xfId="924" xr:uid="{00000000-0005-0000-0000-000058700000}"/>
    <cellStyle name="Note 3 6 2 2" xfId="6846" xr:uid="{00000000-0005-0000-0000-000059700000}"/>
    <cellStyle name="Note 3 6 2 2 2" xfId="16170" xr:uid="{00000000-0005-0000-0000-00005A700000}"/>
    <cellStyle name="Note 3 6 2 2 3" xfId="25493" xr:uid="{00000000-0005-0000-0000-00005B700000}"/>
    <cellStyle name="Note 3 6 2 3" xfId="10525" xr:uid="{00000000-0005-0000-0000-00005C700000}"/>
    <cellStyle name="Note 3 6 2 4" xfId="19849" xr:uid="{00000000-0005-0000-0000-00005D700000}"/>
    <cellStyle name="Note 3 6 3" xfId="7150" xr:uid="{00000000-0005-0000-0000-00005E700000}"/>
    <cellStyle name="Note 3 6 3 2" xfId="16474" xr:uid="{00000000-0005-0000-0000-00005F700000}"/>
    <cellStyle name="Note 3 6 3 3" xfId="25797" xr:uid="{00000000-0005-0000-0000-000060700000}"/>
    <cellStyle name="Note 3 6 4" xfId="9547" xr:uid="{00000000-0005-0000-0000-000061700000}"/>
    <cellStyle name="Note 3 6 4 2" xfId="18871" xr:uid="{00000000-0005-0000-0000-000062700000}"/>
    <cellStyle name="Note 3 6 4 3" xfId="28194" xr:uid="{00000000-0005-0000-0000-000063700000}"/>
    <cellStyle name="Note 3 6 5" xfId="10041" xr:uid="{00000000-0005-0000-0000-000064700000}"/>
    <cellStyle name="Note 3 6 6" xfId="19365" xr:uid="{00000000-0005-0000-0000-000065700000}"/>
    <cellStyle name="Note 3 7" xfId="684" xr:uid="{00000000-0005-0000-0000-000066700000}"/>
    <cellStyle name="Note 3 7 2" xfId="7026" xr:uid="{00000000-0005-0000-0000-000067700000}"/>
    <cellStyle name="Note 3 7 2 2" xfId="16350" xr:uid="{00000000-0005-0000-0000-000068700000}"/>
    <cellStyle name="Note 3 7 2 3" xfId="25673" xr:uid="{00000000-0005-0000-0000-000069700000}"/>
    <cellStyle name="Note 3 7 3" xfId="10285" xr:uid="{00000000-0005-0000-0000-00006A700000}"/>
    <cellStyle name="Note 3 7 4" xfId="19609" xr:uid="{00000000-0005-0000-0000-00006B700000}"/>
    <cellStyle name="Note 3 8" xfId="2845" xr:uid="{00000000-0005-0000-0000-00006C700000}"/>
    <cellStyle name="Note 3 8 2" xfId="7585" xr:uid="{00000000-0005-0000-0000-00006D700000}"/>
    <cellStyle name="Note 3 8 2 2" xfId="16909" xr:uid="{00000000-0005-0000-0000-00006E700000}"/>
    <cellStyle name="Note 3 8 2 3" xfId="26232" xr:uid="{00000000-0005-0000-0000-00006F700000}"/>
    <cellStyle name="Note 3 8 3" xfId="12298" xr:uid="{00000000-0005-0000-0000-000070700000}"/>
    <cellStyle name="Note 3 8 4" xfId="21624" xr:uid="{00000000-0005-0000-0000-000071700000}"/>
    <cellStyle name="Note 3 9" xfId="4520" xr:uid="{00000000-0005-0000-0000-000072700000}"/>
    <cellStyle name="Note 3 9 2" xfId="9197" xr:uid="{00000000-0005-0000-0000-000073700000}"/>
    <cellStyle name="Note 3 9 2 2" xfId="18521" xr:uid="{00000000-0005-0000-0000-000074700000}"/>
    <cellStyle name="Note 3 9 2 3" xfId="27844" xr:uid="{00000000-0005-0000-0000-000075700000}"/>
    <cellStyle name="Note 3 9 3" xfId="13854" xr:uid="{00000000-0005-0000-0000-000076700000}"/>
    <cellStyle name="Note 3 9 4" xfId="23178" xr:uid="{00000000-0005-0000-0000-000077700000}"/>
    <cellStyle name="Note 4" xfId="28463" xr:uid="{00000000-0005-0000-0000-000078700000}"/>
    <cellStyle name="Note 5" xfId="28951" xr:uid="{00000000-0005-0000-0000-000079700000}"/>
    <cellStyle name="Output" xfId="25" builtinId="21" customBuiltin="1"/>
    <cellStyle name="Output 2" xfId="2850" xr:uid="{00000000-0005-0000-0000-00007B700000}"/>
    <cellStyle name="Output 2 2" xfId="28549" xr:uid="{00000000-0005-0000-0000-00007C700000}"/>
    <cellStyle name="Output 3" xfId="2851" xr:uid="{00000000-0005-0000-0000-00007D700000}"/>
    <cellStyle name="Output 3 2" xfId="28655" xr:uid="{00000000-0005-0000-0000-00007E700000}"/>
    <cellStyle name="Output 4" xfId="2852" xr:uid="{00000000-0005-0000-0000-00007F700000}"/>
    <cellStyle name="Output 4 2" xfId="28857" xr:uid="{00000000-0005-0000-0000-000080700000}"/>
    <cellStyle name="Output 5" xfId="28464" xr:uid="{00000000-0005-0000-0000-000081700000}"/>
    <cellStyle name="Output 5 2" xfId="28952" xr:uid="{00000000-0005-0000-0000-000082700000}"/>
    <cellStyle name="Percent" xfId="14" builtinId="5"/>
    <cellStyle name="Percent [2]" xfId="28656" xr:uid="{00000000-0005-0000-0000-000084700000}"/>
    <cellStyle name="Percent 10" xfId="2931" xr:uid="{00000000-0005-0000-0000-000085700000}"/>
    <cellStyle name="Percent 10 2" xfId="2951" xr:uid="{00000000-0005-0000-0000-000086700000}"/>
    <cellStyle name="Percent 10 3" xfId="7613" xr:uid="{00000000-0005-0000-0000-000087700000}"/>
    <cellStyle name="Percent 10 3 2" xfId="16937" xr:uid="{00000000-0005-0000-0000-000088700000}"/>
    <cellStyle name="Percent 10 3 3" xfId="26260" xr:uid="{00000000-0005-0000-0000-000089700000}"/>
    <cellStyle name="Percent 10 4" xfId="12336" xr:uid="{00000000-0005-0000-0000-00008A700000}"/>
    <cellStyle name="Percent 10 5" xfId="21662" xr:uid="{00000000-0005-0000-0000-00008B700000}"/>
    <cellStyle name="Percent 10 6" xfId="28955" xr:uid="{00000000-0005-0000-0000-00008C700000}"/>
    <cellStyle name="Percent 11" xfId="28382" xr:uid="{00000000-0005-0000-0000-00008D700000}"/>
    <cellStyle name="Percent 12" xfId="28767" xr:uid="{00000000-0005-0000-0000-00008E700000}"/>
    <cellStyle name="Percent 13" xfId="28780" xr:uid="{00000000-0005-0000-0000-00008F700000}"/>
    <cellStyle name="Percent 14" xfId="28773" xr:uid="{00000000-0005-0000-0000-000090700000}"/>
    <cellStyle name="Percent 15" xfId="28862" xr:uid="{00000000-0005-0000-0000-000091700000}"/>
    <cellStyle name="Percent 16" xfId="28961" xr:uid="{00000000-0005-0000-0000-000092700000}"/>
    <cellStyle name="Percent 17" xfId="28960" xr:uid="{00000000-0005-0000-0000-000093700000}"/>
    <cellStyle name="Percent 18" xfId="28969" xr:uid="{00000000-0005-0000-0000-000094700000}"/>
    <cellStyle name="Percent 19" xfId="28970" xr:uid="{00000000-0005-0000-0000-000095700000}"/>
    <cellStyle name="Percent 2" xfId="15" xr:uid="{00000000-0005-0000-0000-000096700000}"/>
    <cellStyle name="Percent 2 2" xfId="287" xr:uid="{00000000-0005-0000-0000-000097700000}"/>
    <cellStyle name="Percent 2 3" xfId="256" xr:uid="{00000000-0005-0000-0000-000098700000}"/>
    <cellStyle name="Percent 2 4" xfId="28490" xr:uid="{00000000-0005-0000-0000-000099700000}"/>
    <cellStyle name="Percent 20" xfId="28966" xr:uid="{00000000-0005-0000-0000-00009A700000}"/>
    <cellStyle name="Percent 21" xfId="28971" xr:uid="{00000000-0005-0000-0000-00009B700000}"/>
    <cellStyle name="Percent 22" xfId="28973" xr:uid="{00000000-0005-0000-0000-00009C700000}"/>
    <cellStyle name="Percent 23" xfId="28975" xr:uid="{00000000-0005-0000-0000-00009D700000}"/>
    <cellStyle name="Percent 24" xfId="28977" xr:uid="{00000000-0005-0000-0000-00009E700000}"/>
    <cellStyle name="Percent 25" xfId="28979" xr:uid="{00000000-0005-0000-0000-00009F700000}"/>
    <cellStyle name="Percent 3" xfId="280" xr:uid="{00000000-0005-0000-0000-0000A0700000}"/>
    <cellStyle name="Percent 3 2" xfId="1167" xr:uid="{00000000-0005-0000-0000-0000A1700000}"/>
    <cellStyle name="Percent 3 2 2" xfId="2853" xr:uid="{00000000-0005-0000-0000-0000A2700000}"/>
    <cellStyle name="Percent 3 3" xfId="2854" xr:uid="{00000000-0005-0000-0000-0000A3700000}"/>
    <cellStyle name="Percent 3 4" xfId="28905" xr:uid="{00000000-0005-0000-0000-0000A4700000}"/>
    <cellStyle name="Percent 4" xfId="622" xr:uid="{00000000-0005-0000-0000-0000A5700000}"/>
    <cellStyle name="Percent 4 2" xfId="639" xr:uid="{00000000-0005-0000-0000-0000A6700000}"/>
    <cellStyle name="Percent 4 2 2" xfId="2922" xr:uid="{00000000-0005-0000-0000-0000A7700000}"/>
    <cellStyle name="Percent 4 2 2 2" xfId="2923" xr:uid="{00000000-0005-0000-0000-0000A8700000}"/>
    <cellStyle name="Percent 4 2 2 2 2" xfId="2924" xr:uid="{00000000-0005-0000-0000-0000A9700000}"/>
    <cellStyle name="Percent 4 2 2 2 2 2" xfId="2925" xr:uid="{00000000-0005-0000-0000-0000AA700000}"/>
    <cellStyle name="Percent 4 3" xfId="7041" xr:uid="{00000000-0005-0000-0000-0000AB700000}"/>
    <cellStyle name="Percent 4 3 2" xfId="16365" xr:uid="{00000000-0005-0000-0000-0000AC700000}"/>
    <cellStyle name="Percent 4 3 3" xfId="25688" xr:uid="{00000000-0005-0000-0000-0000AD700000}"/>
    <cellStyle name="Percent 4 4" xfId="10227" xr:uid="{00000000-0005-0000-0000-0000AE700000}"/>
    <cellStyle name="Percent 4 5" xfId="19551" xr:uid="{00000000-0005-0000-0000-0000AF700000}"/>
    <cellStyle name="Percent 4 6" xfId="28909" xr:uid="{00000000-0005-0000-0000-0000B0700000}"/>
    <cellStyle name="Percent 5" xfId="1118" xr:uid="{00000000-0005-0000-0000-0000B1700000}"/>
    <cellStyle name="Percent 5 2" xfId="2855" xr:uid="{00000000-0005-0000-0000-0000B2700000}"/>
    <cellStyle name="Percent 5 3" xfId="1341" xr:uid="{00000000-0005-0000-0000-0000B3700000}"/>
    <cellStyle name="Percent 5 4" xfId="6323" xr:uid="{00000000-0005-0000-0000-0000B4700000}"/>
    <cellStyle name="Percent 5 4 2" xfId="15647" xr:uid="{00000000-0005-0000-0000-0000B5700000}"/>
    <cellStyle name="Percent 5 4 3" xfId="24970" xr:uid="{00000000-0005-0000-0000-0000B6700000}"/>
    <cellStyle name="Percent 5 5" xfId="10717" xr:uid="{00000000-0005-0000-0000-0000B7700000}"/>
    <cellStyle name="Percent 5 6" xfId="20041" xr:uid="{00000000-0005-0000-0000-0000B8700000}"/>
    <cellStyle name="Percent 5 7" xfId="28845" xr:uid="{00000000-0005-0000-0000-0000B9700000}"/>
    <cellStyle name="Percent 6" xfId="1342" xr:uid="{00000000-0005-0000-0000-0000BA700000}"/>
    <cellStyle name="Percent 6 2" xfId="2856" xr:uid="{00000000-0005-0000-0000-0000BB700000}"/>
    <cellStyle name="Percent 6 3" xfId="28826" xr:uid="{00000000-0005-0000-0000-0000BC700000}"/>
    <cellStyle name="Percent 7" xfId="2857" xr:uid="{00000000-0005-0000-0000-0000BD700000}"/>
    <cellStyle name="Percent 7 2" xfId="2858" xr:uid="{00000000-0005-0000-0000-0000BE700000}"/>
    <cellStyle name="Percent 7 3" xfId="28917" xr:uid="{00000000-0005-0000-0000-0000BF700000}"/>
    <cellStyle name="Percent 8" xfId="2859" xr:uid="{00000000-0005-0000-0000-0000C0700000}"/>
    <cellStyle name="Percent 8 2" xfId="2860" xr:uid="{00000000-0005-0000-0000-0000C1700000}"/>
    <cellStyle name="Percent 8 3" xfId="28865" xr:uid="{00000000-0005-0000-0000-0000C2700000}"/>
    <cellStyle name="Percent 9" xfId="2861" xr:uid="{00000000-0005-0000-0000-0000C3700000}"/>
    <cellStyle name="Percent 9 2" xfId="4524" xr:uid="{00000000-0005-0000-0000-0000C4700000}"/>
    <cellStyle name="Percent 9 2 2" xfId="9201" xr:uid="{00000000-0005-0000-0000-0000C5700000}"/>
    <cellStyle name="Percent 9 2 2 2" xfId="18525" xr:uid="{00000000-0005-0000-0000-0000C6700000}"/>
    <cellStyle name="Percent 9 2 2 3" xfId="27848" xr:uid="{00000000-0005-0000-0000-0000C7700000}"/>
    <cellStyle name="Percent 9 2 3" xfId="13858" xr:uid="{00000000-0005-0000-0000-0000C8700000}"/>
    <cellStyle name="Percent 9 2 4" xfId="23182" xr:uid="{00000000-0005-0000-0000-0000C9700000}"/>
    <cellStyle name="Percent 9 3" xfId="6278" xr:uid="{00000000-0005-0000-0000-0000CA700000}"/>
    <cellStyle name="Percent 9 3 2" xfId="15602" xr:uid="{00000000-0005-0000-0000-0000CB700000}"/>
    <cellStyle name="Percent 9 3 3" xfId="24925" xr:uid="{00000000-0005-0000-0000-0000CC700000}"/>
    <cellStyle name="Percent 9 4" xfId="12302" xr:uid="{00000000-0005-0000-0000-0000CD700000}"/>
    <cellStyle name="Percent 9 5" xfId="21628" xr:uid="{00000000-0005-0000-0000-0000CE700000}"/>
    <cellStyle name="Percent 9 6" xfId="28815" xr:uid="{00000000-0005-0000-0000-0000CF700000}"/>
    <cellStyle name="percentage difference" xfId="28657" xr:uid="{00000000-0005-0000-0000-0000D0700000}"/>
    <cellStyle name="percentage difference one decimal" xfId="28465" xr:uid="{00000000-0005-0000-0000-0000D1700000}"/>
    <cellStyle name="percentage difference zero decimal" xfId="28466" xr:uid="{00000000-0005-0000-0000-0000D2700000}"/>
    <cellStyle name="Percentual" xfId="28658" xr:uid="{00000000-0005-0000-0000-0000D3700000}"/>
    <cellStyle name="Ponto" xfId="28659" xr:uid="{00000000-0005-0000-0000-0000D4700000}"/>
    <cellStyle name="Porcentagem_SEP1196" xfId="28660" xr:uid="{00000000-0005-0000-0000-0000D5700000}"/>
    <cellStyle name="Porcentaje" xfId="28661" xr:uid="{00000000-0005-0000-0000-0000D6700000}"/>
    <cellStyle name="Presentation" xfId="28662" xr:uid="{00000000-0005-0000-0000-0000D7700000}"/>
    <cellStyle name="Publication" xfId="28663" xr:uid="{00000000-0005-0000-0000-0000D8700000}"/>
    <cellStyle name="Punto" xfId="28664" xr:uid="{00000000-0005-0000-0000-0000D9700000}"/>
    <cellStyle name="Punto0" xfId="28665" xr:uid="{00000000-0005-0000-0000-0000DA700000}"/>
    <cellStyle name="Salida" xfId="28550" xr:uid="{00000000-0005-0000-0000-0000DB700000}"/>
    <cellStyle name="SAPBEXaggData" xfId="28666" xr:uid="{00000000-0005-0000-0000-0000DC700000}"/>
    <cellStyle name="SAPBEXaggDataEmph" xfId="28667" xr:uid="{00000000-0005-0000-0000-0000DD700000}"/>
    <cellStyle name="SAPBEXaggItem" xfId="28668" xr:uid="{00000000-0005-0000-0000-0000DE700000}"/>
    <cellStyle name="SAPBEXchaText" xfId="28669" xr:uid="{00000000-0005-0000-0000-0000DF700000}"/>
    <cellStyle name="SAPBEXexcBad" xfId="28670" xr:uid="{00000000-0005-0000-0000-0000E0700000}"/>
    <cellStyle name="SAPBEXexcCritical" xfId="28671" xr:uid="{00000000-0005-0000-0000-0000E1700000}"/>
    <cellStyle name="SAPBEXexcGood" xfId="28672" xr:uid="{00000000-0005-0000-0000-0000E2700000}"/>
    <cellStyle name="SAPBEXexcVeryBad" xfId="28673" xr:uid="{00000000-0005-0000-0000-0000E3700000}"/>
    <cellStyle name="SAPBEXfilterDrill" xfId="28674" xr:uid="{00000000-0005-0000-0000-0000E4700000}"/>
    <cellStyle name="SAPBEXfilterItem" xfId="28675" xr:uid="{00000000-0005-0000-0000-0000E5700000}"/>
    <cellStyle name="SAPBEXfilterText" xfId="28676" xr:uid="{00000000-0005-0000-0000-0000E6700000}"/>
    <cellStyle name="SAPBEXformats" xfId="28677" xr:uid="{00000000-0005-0000-0000-0000E7700000}"/>
    <cellStyle name="SAPBEXheaderData" xfId="28678" xr:uid="{00000000-0005-0000-0000-0000E8700000}"/>
    <cellStyle name="SAPBEXheaderItem" xfId="28679" xr:uid="{00000000-0005-0000-0000-0000E9700000}"/>
    <cellStyle name="SAPBEXheaderText" xfId="28680" xr:uid="{00000000-0005-0000-0000-0000EA700000}"/>
    <cellStyle name="SAPBEXresData" xfId="28681" xr:uid="{00000000-0005-0000-0000-0000EB700000}"/>
    <cellStyle name="SAPBEXresDataEmph" xfId="28682" xr:uid="{00000000-0005-0000-0000-0000EC700000}"/>
    <cellStyle name="SAPBEXresItem" xfId="28683" xr:uid="{00000000-0005-0000-0000-0000ED700000}"/>
    <cellStyle name="SAPBEXstdData" xfId="28684" xr:uid="{00000000-0005-0000-0000-0000EE700000}"/>
    <cellStyle name="SAPBEXstdDataEmph" xfId="28685" xr:uid="{00000000-0005-0000-0000-0000EF700000}"/>
    <cellStyle name="SAPBEXstdItem" xfId="28686" xr:uid="{00000000-0005-0000-0000-0000F0700000}"/>
    <cellStyle name="SAPBEXsubData" xfId="28687" xr:uid="{00000000-0005-0000-0000-0000F1700000}"/>
    <cellStyle name="SAPBEXsubDataEmph" xfId="28688" xr:uid="{00000000-0005-0000-0000-0000F2700000}"/>
    <cellStyle name="SAPBEXsubItem" xfId="28689" xr:uid="{00000000-0005-0000-0000-0000F3700000}"/>
    <cellStyle name="SAPBEXtitle" xfId="28690" xr:uid="{00000000-0005-0000-0000-0000F4700000}"/>
    <cellStyle name="SAPBEXundefined" xfId="28691" xr:uid="{00000000-0005-0000-0000-0000F5700000}"/>
    <cellStyle name="Sep. milhar [2]" xfId="28692" xr:uid="{00000000-0005-0000-0000-0000F6700000}"/>
    <cellStyle name="Separador de m" xfId="28693" xr:uid="{00000000-0005-0000-0000-0000F7700000}"/>
    <cellStyle name="Separador de milhares [0]_A" xfId="28694" xr:uid="{00000000-0005-0000-0000-0000F8700000}"/>
    <cellStyle name="Separador de milhares_A" xfId="28695" xr:uid="{00000000-0005-0000-0000-0000F9700000}"/>
    <cellStyle name="Sheet Title" xfId="28696" xr:uid="{00000000-0005-0000-0000-0000FA700000}"/>
    <cellStyle name="Text" xfId="28697" xr:uid="{00000000-0005-0000-0000-0000FB700000}"/>
    <cellStyle name="Texto de advertencia" xfId="28551" xr:uid="{00000000-0005-0000-0000-0000FC700000}"/>
    <cellStyle name="Texto explicativo" xfId="28552" xr:uid="{00000000-0005-0000-0000-0000FD700000}"/>
    <cellStyle name="Title 2" xfId="180" xr:uid="{00000000-0005-0000-0000-0000FE700000}"/>
    <cellStyle name="Title 2 2" xfId="2862" xr:uid="{00000000-0005-0000-0000-0000FF700000}"/>
    <cellStyle name="Title 3" xfId="2863" xr:uid="{00000000-0005-0000-0000-000000710000}"/>
    <cellStyle name="Title 4" xfId="2952" xr:uid="{00000000-0005-0000-0000-000001710000}"/>
    <cellStyle name="Título" xfId="28553" xr:uid="{00000000-0005-0000-0000-000002710000}"/>
    <cellStyle name="Título 1" xfId="28554" xr:uid="{00000000-0005-0000-0000-000003710000}"/>
    <cellStyle name="Título 2" xfId="28555" xr:uid="{00000000-0005-0000-0000-000004710000}"/>
    <cellStyle name="Título 3" xfId="28556" xr:uid="{00000000-0005-0000-0000-000005710000}"/>
    <cellStyle name="Titulo1" xfId="28698" xr:uid="{00000000-0005-0000-0000-000006710000}"/>
    <cellStyle name="Titulo2" xfId="28699" xr:uid="{00000000-0005-0000-0000-000007710000}"/>
    <cellStyle name="Total" xfId="31" builtinId="25" customBuiltin="1"/>
    <cellStyle name="Total 2" xfId="2864" xr:uid="{00000000-0005-0000-0000-000009710000}"/>
    <cellStyle name="Total 2 2" xfId="2865" xr:uid="{00000000-0005-0000-0000-00000A710000}"/>
    <cellStyle name="Total 2 3" xfId="2866" xr:uid="{00000000-0005-0000-0000-00000B710000}"/>
    <cellStyle name="Total 2 4" xfId="2867" xr:uid="{00000000-0005-0000-0000-00000C710000}"/>
    <cellStyle name="Total 2 5" xfId="28491" xr:uid="{00000000-0005-0000-0000-00000D710000}"/>
    <cellStyle name="Total 3" xfId="2868" xr:uid="{00000000-0005-0000-0000-00000E710000}"/>
    <cellStyle name="Total 3 2" xfId="2869" xr:uid="{00000000-0005-0000-0000-00000F710000}"/>
    <cellStyle name="Total 3 3" xfId="2870" xr:uid="{00000000-0005-0000-0000-000010710000}"/>
    <cellStyle name="Total 3 4" xfId="2871" xr:uid="{00000000-0005-0000-0000-000011710000}"/>
    <cellStyle name="Total 3 5" xfId="28851" xr:uid="{00000000-0005-0000-0000-000012710000}"/>
    <cellStyle name="Total 4" xfId="2872" xr:uid="{00000000-0005-0000-0000-000013710000}"/>
    <cellStyle name="Total 5" xfId="28467" xr:uid="{00000000-0005-0000-0000-000014710000}"/>
    <cellStyle name="V¡rgula" xfId="28700" xr:uid="{00000000-0005-0000-0000-000015710000}"/>
    <cellStyle name="V¡rgula0" xfId="28701" xr:uid="{00000000-0005-0000-0000-000016710000}"/>
    <cellStyle name="vaca" xfId="28702" xr:uid="{00000000-0005-0000-0000-000017710000}"/>
    <cellStyle name="Vírgula" xfId="28703" xr:uid="{00000000-0005-0000-0000-000018710000}"/>
    <cellStyle name="Warning Text" xfId="29" builtinId="11" customBuiltin="1"/>
    <cellStyle name="Warning Text 2" xfId="2873" xr:uid="{00000000-0005-0000-0000-00001A710000}"/>
    <cellStyle name="Warning Text 2 2" xfId="28557" xr:uid="{00000000-0005-0000-0000-00001B710000}"/>
    <cellStyle name="Warning Text 3" xfId="28704" xr:uid="{00000000-0005-0000-0000-00001C710000}"/>
    <cellStyle name="Warning Text 4" xfId="28468" xr:uid="{00000000-0005-0000-0000-00001D710000}"/>
    <cellStyle name="Warning Text 5" xfId="28953" xr:uid="{00000000-0005-0000-0000-00001E710000}"/>
    <cellStyle name="WebAnchor1" xfId="28705" xr:uid="{00000000-0005-0000-0000-00001F710000}"/>
    <cellStyle name="WebAnchor2" xfId="28706" xr:uid="{00000000-0005-0000-0000-000020710000}"/>
    <cellStyle name="WebAnchor3" xfId="28707" xr:uid="{00000000-0005-0000-0000-000021710000}"/>
    <cellStyle name="WebAnchor4" xfId="28708" xr:uid="{00000000-0005-0000-0000-000022710000}"/>
    <cellStyle name="WebAnchor5" xfId="28709" xr:uid="{00000000-0005-0000-0000-000023710000}"/>
    <cellStyle name="WebAnchor6" xfId="28710" xr:uid="{00000000-0005-0000-0000-000024710000}"/>
    <cellStyle name="WebAnchor7" xfId="28711" xr:uid="{00000000-0005-0000-0000-000025710000}"/>
    <cellStyle name="Webexclude" xfId="28712" xr:uid="{00000000-0005-0000-0000-000026710000}"/>
    <cellStyle name="WebFN" xfId="28713" xr:uid="{00000000-0005-0000-0000-000027710000}"/>
    <cellStyle name="WebFN1" xfId="28714" xr:uid="{00000000-0005-0000-0000-000028710000}"/>
    <cellStyle name="WebFN2" xfId="28715" xr:uid="{00000000-0005-0000-0000-000029710000}"/>
    <cellStyle name="WebFN3" xfId="28716" xr:uid="{00000000-0005-0000-0000-00002A710000}"/>
    <cellStyle name="WebFN4" xfId="28717" xr:uid="{00000000-0005-0000-0000-00002B710000}"/>
    <cellStyle name="WebHR" xfId="28718" xr:uid="{00000000-0005-0000-0000-00002C710000}"/>
    <cellStyle name="WebIndent1" xfId="28719" xr:uid="{00000000-0005-0000-0000-00002D710000}"/>
    <cellStyle name="WebIndent1wFN3" xfId="28720" xr:uid="{00000000-0005-0000-0000-00002E710000}"/>
    <cellStyle name="WebIndent2" xfId="28721" xr:uid="{00000000-0005-0000-0000-00002F710000}"/>
    <cellStyle name="WebNoBR" xfId="28722" xr:uid="{00000000-0005-0000-0000-000030710000}"/>
    <cellStyle name="ДАТА" xfId="28723" xr:uid="{00000000-0005-0000-0000-000031710000}"/>
    <cellStyle name="ДЕНЕЖНЫЙ_BOPENGC" xfId="28724" xr:uid="{00000000-0005-0000-0000-000032710000}"/>
    <cellStyle name="ЗАГОЛОВОК1" xfId="28725" xr:uid="{00000000-0005-0000-0000-000033710000}"/>
    <cellStyle name="ЗАГОЛОВОК2" xfId="28726" xr:uid="{00000000-0005-0000-0000-000034710000}"/>
    <cellStyle name="ИТОГОВЫЙ" xfId="28727" xr:uid="{00000000-0005-0000-0000-000035710000}"/>
    <cellStyle name="Обычный_9265SR" xfId="28480" xr:uid="{00000000-0005-0000-0000-000036710000}"/>
    <cellStyle name="ПРОЦЕНТНЫЙ_BOPENGC" xfId="28728" xr:uid="{00000000-0005-0000-0000-000037710000}"/>
    <cellStyle name="ТЕКСТ" xfId="28729" xr:uid="{00000000-0005-0000-0000-000038710000}"/>
    <cellStyle name="ФИКСИРОВАННЫЙ" xfId="28730" xr:uid="{00000000-0005-0000-0000-000039710000}"/>
    <cellStyle name="ФИНАНСОВЫЙ_BOPENGC" xfId="28731" xr:uid="{00000000-0005-0000-0000-00003A71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externalLink" Target="externalLinks/externalLink5.xml"/><Relationship Id="rId63" Type="http://schemas.openxmlformats.org/officeDocument/2006/relationships/externalLink" Target="externalLinks/externalLink21.xml"/><Relationship Id="rId68" Type="http://schemas.openxmlformats.org/officeDocument/2006/relationships/externalLink" Target="externalLinks/externalLink26.xml"/><Relationship Id="rId84" Type="http://schemas.openxmlformats.org/officeDocument/2006/relationships/externalLink" Target="externalLinks/externalLink42.xml"/><Relationship Id="rId89" Type="http://schemas.openxmlformats.org/officeDocument/2006/relationships/theme" Target="theme/theme1.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externalLink" Target="externalLinks/externalLink11.xml"/><Relationship Id="rId58" Type="http://schemas.openxmlformats.org/officeDocument/2006/relationships/externalLink" Target="externalLinks/externalLink16.xml"/><Relationship Id="rId74" Type="http://schemas.openxmlformats.org/officeDocument/2006/relationships/externalLink" Target="externalLinks/externalLink32.xml"/><Relationship Id="rId79" Type="http://schemas.openxmlformats.org/officeDocument/2006/relationships/externalLink" Target="externalLinks/externalLink37.xml"/><Relationship Id="rId5" Type="http://schemas.openxmlformats.org/officeDocument/2006/relationships/worksheet" Target="worksheets/sheet5.xml"/><Relationship Id="rId90" Type="http://schemas.openxmlformats.org/officeDocument/2006/relationships/styles" Target="styles.xml"/><Relationship Id="rId95" Type="http://schemas.openxmlformats.org/officeDocument/2006/relationships/customXml" Target="../customXml/item3.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externalLink" Target="externalLinks/externalLink1.xml"/><Relationship Id="rId48" Type="http://schemas.openxmlformats.org/officeDocument/2006/relationships/externalLink" Target="externalLinks/externalLink6.xml"/><Relationship Id="rId64" Type="http://schemas.openxmlformats.org/officeDocument/2006/relationships/externalLink" Target="externalLinks/externalLink22.xml"/><Relationship Id="rId69" Type="http://schemas.openxmlformats.org/officeDocument/2006/relationships/externalLink" Target="externalLinks/externalLink27.xml"/><Relationship Id="rId8" Type="http://schemas.openxmlformats.org/officeDocument/2006/relationships/worksheet" Target="worksheets/sheet8.xml"/><Relationship Id="rId51" Type="http://schemas.openxmlformats.org/officeDocument/2006/relationships/externalLink" Target="externalLinks/externalLink9.xml"/><Relationship Id="rId72" Type="http://schemas.openxmlformats.org/officeDocument/2006/relationships/externalLink" Target="externalLinks/externalLink30.xml"/><Relationship Id="rId80" Type="http://schemas.openxmlformats.org/officeDocument/2006/relationships/externalLink" Target="externalLinks/externalLink38.xml"/><Relationship Id="rId85" Type="http://schemas.openxmlformats.org/officeDocument/2006/relationships/externalLink" Target="externalLinks/externalLink43.xml"/><Relationship Id="rId93"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4.xml"/><Relationship Id="rId59" Type="http://schemas.openxmlformats.org/officeDocument/2006/relationships/externalLink" Target="externalLinks/externalLink17.xml"/><Relationship Id="rId67" Type="http://schemas.openxmlformats.org/officeDocument/2006/relationships/externalLink" Target="externalLinks/externalLink25.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12.xml"/><Relationship Id="rId62" Type="http://schemas.openxmlformats.org/officeDocument/2006/relationships/externalLink" Target="externalLinks/externalLink20.xml"/><Relationship Id="rId70" Type="http://schemas.openxmlformats.org/officeDocument/2006/relationships/externalLink" Target="externalLinks/externalLink28.xml"/><Relationship Id="rId75" Type="http://schemas.openxmlformats.org/officeDocument/2006/relationships/externalLink" Target="externalLinks/externalLink33.xml"/><Relationship Id="rId83" Type="http://schemas.openxmlformats.org/officeDocument/2006/relationships/externalLink" Target="externalLinks/externalLink41.xml"/><Relationship Id="rId88" Type="http://schemas.openxmlformats.org/officeDocument/2006/relationships/externalLink" Target="externalLinks/externalLink46.xml"/><Relationship Id="rId9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7.xml"/><Relationship Id="rId57" Type="http://schemas.openxmlformats.org/officeDocument/2006/relationships/externalLink" Target="externalLinks/externalLink15.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externalLink" Target="externalLinks/externalLink2.xml"/><Relationship Id="rId52" Type="http://schemas.openxmlformats.org/officeDocument/2006/relationships/externalLink" Target="externalLinks/externalLink10.xml"/><Relationship Id="rId60" Type="http://schemas.openxmlformats.org/officeDocument/2006/relationships/externalLink" Target="externalLinks/externalLink18.xml"/><Relationship Id="rId65" Type="http://schemas.openxmlformats.org/officeDocument/2006/relationships/externalLink" Target="externalLinks/externalLink23.xml"/><Relationship Id="rId73" Type="http://schemas.openxmlformats.org/officeDocument/2006/relationships/externalLink" Target="externalLinks/externalLink31.xml"/><Relationship Id="rId78" Type="http://schemas.openxmlformats.org/officeDocument/2006/relationships/externalLink" Target="externalLinks/externalLink36.xml"/><Relationship Id="rId81" Type="http://schemas.openxmlformats.org/officeDocument/2006/relationships/externalLink" Target="externalLinks/externalLink39.xml"/><Relationship Id="rId86" Type="http://schemas.openxmlformats.org/officeDocument/2006/relationships/externalLink" Target="externalLinks/externalLink44.xml"/><Relationship Id="rId9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externalLink" Target="externalLinks/externalLink8.xml"/><Relationship Id="rId55" Type="http://schemas.openxmlformats.org/officeDocument/2006/relationships/externalLink" Target="externalLinks/externalLink13.xml"/><Relationship Id="rId76" Type="http://schemas.openxmlformats.org/officeDocument/2006/relationships/externalLink" Target="externalLinks/externalLink34.xml"/><Relationship Id="rId7" Type="http://schemas.openxmlformats.org/officeDocument/2006/relationships/worksheet" Target="worksheets/sheet7.xml"/><Relationship Id="rId71" Type="http://schemas.openxmlformats.org/officeDocument/2006/relationships/externalLink" Target="externalLinks/externalLink29.xml"/><Relationship Id="rId92" Type="http://schemas.openxmlformats.org/officeDocument/2006/relationships/calcChain" Target="calcChain.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externalLink" Target="externalLinks/externalLink3.xml"/><Relationship Id="rId66" Type="http://schemas.openxmlformats.org/officeDocument/2006/relationships/externalLink" Target="externalLinks/externalLink24.xml"/><Relationship Id="rId87" Type="http://schemas.openxmlformats.org/officeDocument/2006/relationships/externalLink" Target="externalLinks/externalLink45.xml"/><Relationship Id="rId61" Type="http://schemas.openxmlformats.org/officeDocument/2006/relationships/externalLink" Target="externalLinks/externalLink19.xml"/><Relationship Id="rId82" Type="http://schemas.openxmlformats.org/officeDocument/2006/relationships/externalLink" Target="externalLinks/externalLink40.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externalLink" Target="externalLinks/externalLink14.xml"/><Relationship Id="rId77" Type="http://schemas.openxmlformats.org/officeDocument/2006/relationships/externalLink" Target="externalLinks/externalLink35.xml"/></Relationships>
</file>

<file path=xl/drawings/drawing1.xml><?xml version="1.0" encoding="utf-8"?>
<xdr:wsDr xmlns:xdr="http://schemas.openxmlformats.org/drawingml/2006/spreadsheetDrawing" xmlns:a="http://schemas.openxmlformats.org/drawingml/2006/main">
  <xdr:twoCellAnchor>
    <xdr:from>
      <xdr:col>0</xdr:col>
      <xdr:colOff>0</xdr:colOff>
      <xdr:row>14</xdr:row>
      <xdr:rowOff>47625</xdr:rowOff>
    </xdr:from>
    <xdr:to>
      <xdr:col>46</xdr:col>
      <xdr:colOff>1133475</xdr:colOff>
      <xdr:row>40</xdr:row>
      <xdr:rowOff>0</xdr:rowOff>
    </xdr:to>
    <xdr:pic>
      <xdr:nvPicPr>
        <xdr:cNvPr id="87041" name="Object 1">
          <a:extLst>
            <a:ext uri="{FF2B5EF4-FFF2-40B4-BE49-F238E27FC236}">
              <a16:creationId xmlns:a16="http://schemas.microsoft.com/office/drawing/2014/main" id="{00000000-0008-0000-0000-0000015401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2867025"/>
          <a:ext cx="7267575" cy="44958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14</xdr:row>
      <xdr:rowOff>47625</xdr:rowOff>
    </xdr:from>
    <xdr:to>
      <xdr:col>46</xdr:col>
      <xdr:colOff>1133475</xdr:colOff>
      <xdr:row>39</xdr:row>
      <xdr:rowOff>123825</xdr:rowOff>
    </xdr:to>
    <xdr:pic>
      <xdr:nvPicPr>
        <xdr:cNvPr id="87042" name="Object 2">
          <a:extLst>
            <a:ext uri="{FF2B5EF4-FFF2-40B4-BE49-F238E27FC236}">
              <a16:creationId xmlns:a16="http://schemas.microsoft.com/office/drawing/2014/main" id="{00000000-0008-0000-0000-0000025401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2867025"/>
          <a:ext cx="7267575" cy="44196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323850</xdr:colOff>
      <xdr:row>0</xdr:row>
      <xdr:rowOff>0</xdr:rowOff>
    </xdr:to>
    <xdr:pic>
      <xdr:nvPicPr>
        <xdr:cNvPr id="2" name="Object 2">
          <a:extLst>
            <a:ext uri="{FF2B5EF4-FFF2-40B4-BE49-F238E27FC236}">
              <a16:creationId xmlns:a16="http://schemas.microsoft.com/office/drawing/2014/main" id="{00000000-0008-0000-2B00-00000200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086600"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0</xdr:row>
      <xdr:rowOff>0</xdr:rowOff>
    </xdr:from>
    <xdr:to>
      <xdr:col>10</xdr:col>
      <xdr:colOff>428625</xdr:colOff>
      <xdr:row>0</xdr:row>
      <xdr:rowOff>0</xdr:rowOff>
    </xdr:to>
    <xdr:pic>
      <xdr:nvPicPr>
        <xdr:cNvPr id="3" name="Object 3">
          <a:extLst>
            <a:ext uri="{FF2B5EF4-FFF2-40B4-BE49-F238E27FC236}">
              <a16:creationId xmlns:a16="http://schemas.microsoft.com/office/drawing/2014/main" id="{00000000-0008-0000-2B00-00000300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191375"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561975</xdr:colOff>
      <xdr:row>3</xdr:row>
      <xdr:rowOff>9525</xdr:rowOff>
    </xdr:to>
    <xdr:sp macro="" textlink="">
      <xdr:nvSpPr>
        <xdr:cNvPr id="43195" name="Object 2">
          <a:extLst>
            <a:ext uri="{FF2B5EF4-FFF2-40B4-BE49-F238E27FC236}">
              <a16:creationId xmlns:a16="http://schemas.microsoft.com/office/drawing/2014/main" id="{00000000-0008-0000-2D00-0000BBA80000}"/>
            </a:ext>
          </a:extLst>
        </xdr:cNvPr>
        <xdr:cNvSpPr>
          <a:spLocks noChangeArrowheads="1" noChangeShapeType="1"/>
        </xdr:cNvSpPr>
      </xdr:nvSpPr>
      <xdr:spPr bwMode="auto">
        <a:xfrm>
          <a:off x="0" y="0"/>
          <a:ext cx="445770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43196" name="Object 3">
          <a:extLst>
            <a:ext uri="{FF2B5EF4-FFF2-40B4-BE49-F238E27FC236}">
              <a16:creationId xmlns:a16="http://schemas.microsoft.com/office/drawing/2014/main" id="{00000000-0008-0000-2D00-0000BCA80000}"/>
            </a:ext>
          </a:extLst>
        </xdr:cNvPr>
        <xdr:cNvSpPr>
          <a:spLocks noChangeArrowheads="1" noChangeShapeType="1"/>
        </xdr:cNvSpPr>
      </xdr:nvSpPr>
      <xdr:spPr bwMode="auto">
        <a:xfrm>
          <a:off x="0" y="0"/>
          <a:ext cx="91440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781050</xdr:colOff>
      <xdr:row>3</xdr:row>
      <xdr:rowOff>9525</xdr:rowOff>
    </xdr:to>
    <xdr:sp macro="" textlink="">
      <xdr:nvSpPr>
        <xdr:cNvPr id="43197" name="Object 4">
          <a:extLst>
            <a:ext uri="{FF2B5EF4-FFF2-40B4-BE49-F238E27FC236}">
              <a16:creationId xmlns:a16="http://schemas.microsoft.com/office/drawing/2014/main" id="{00000000-0008-0000-2D00-0000BDA80000}"/>
            </a:ext>
          </a:extLst>
        </xdr:cNvPr>
        <xdr:cNvSpPr>
          <a:spLocks noChangeArrowheads="1" noChangeShapeType="1"/>
        </xdr:cNvSpPr>
      </xdr:nvSpPr>
      <xdr:spPr bwMode="auto">
        <a:xfrm>
          <a:off x="0" y="0"/>
          <a:ext cx="78105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43198" name="Object 5">
          <a:extLst>
            <a:ext uri="{FF2B5EF4-FFF2-40B4-BE49-F238E27FC236}">
              <a16:creationId xmlns:a16="http://schemas.microsoft.com/office/drawing/2014/main" id="{00000000-0008-0000-2D00-0000BEA80000}"/>
            </a:ext>
          </a:extLst>
        </xdr:cNvPr>
        <xdr:cNvSpPr>
          <a:spLocks noChangeArrowheads="1" noChangeShapeType="1"/>
        </xdr:cNvSpPr>
      </xdr:nvSpPr>
      <xdr:spPr bwMode="auto">
        <a:xfrm>
          <a:off x="0" y="0"/>
          <a:ext cx="91440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43199" name="Object 7">
          <a:extLst>
            <a:ext uri="{FF2B5EF4-FFF2-40B4-BE49-F238E27FC236}">
              <a16:creationId xmlns:a16="http://schemas.microsoft.com/office/drawing/2014/main" id="{00000000-0008-0000-2D00-0000BFA80000}"/>
            </a:ext>
          </a:extLst>
        </xdr:cNvPr>
        <xdr:cNvSpPr>
          <a:spLocks noChangeArrowheads="1" noChangeShapeType="1"/>
        </xdr:cNvSpPr>
      </xdr:nvSpPr>
      <xdr:spPr bwMode="auto">
        <a:xfrm>
          <a:off x="0" y="0"/>
          <a:ext cx="914400" cy="68580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43200" name="Object 8">
          <a:extLst>
            <a:ext uri="{FF2B5EF4-FFF2-40B4-BE49-F238E27FC236}">
              <a16:creationId xmlns:a16="http://schemas.microsoft.com/office/drawing/2014/main" id="{00000000-0008-0000-2D00-0000C0A80000}"/>
            </a:ext>
          </a:extLst>
        </xdr:cNvPr>
        <xdr:cNvSpPr>
          <a:spLocks noChangeArrowheads="1" noChangeShapeType="1"/>
        </xdr:cNvSpPr>
      </xdr:nvSpPr>
      <xdr:spPr bwMode="auto">
        <a:xfrm>
          <a:off x="0" y="0"/>
          <a:ext cx="914400" cy="685800"/>
        </a:xfrm>
        <a:prstGeom prst="rect">
          <a:avLst/>
        </a:prstGeom>
        <a:noFill/>
        <a:ln w="9525" algn="in">
          <a:noFill/>
          <a:miter lim="800000"/>
          <a:headEnd/>
          <a:tailEnd/>
        </a:ln>
      </xdr:spPr>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561975</xdr:colOff>
      <xdr:row>3</xdr:row>
      <xdr:rowOff>9525</xdr:rowOff>
    </xdr:to>
    <xdr:sp macro="" textlink="">
      <xdr:nvSpPr>
        <xdr:cNvPr id="2" name="Object 2">
          <a:extLst>
            <a:ext uri="{FF2B5EF4-FFF2-40B4-BE49-F238E27FC236}">
              <a16:creationId xmlns:a16="http://schemas.microsoft.com/office/drawing/2014/main" id="{00000000-0008-0000-2E00-000002000000}"/>
            </a:ext>
          </a:extLst>
        </xdr:cNvPr>
        <xdr:cNvSpPr>
          <a:spLocks noChangeArrowheads="1" noChangeShapeType="1"/>
        </xdr:cNvSpPr>
      </xdr:nvSpPr>
      <xdr:spPr bwMode="auto">
        <a:xfrm>
          <a:off x="0" y="0"/>
          <a:ext cx="37719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3" name="Object 3">
          <a:extLst>
            <a:ext uri="{FF2B5EF4-FFF2-40B4-BE49-F238E27FC236}">
              <a16:creationId xmlns:a16="http://schemas.microsoft.com/office/drawing/2014/main" id="{00000000-0008-0000-2E00-000003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781050</xdr:colOff>
      <xdr:row>3</xdr:row>
      <xdr:rowOff>9525</xdr:rowOff>
    </xdr:to>
    <xdr:sp macro="" textlink="">
      <xdr:nvSpPr>
        <xdr:cNvPr id="4" name="Object 4">
          <a:extLst>
            <a:ext uri="{FF2B5EF4-FFF2-40B4-BE49-F238E27FC236}">
              <a16:creationId xmlns:a16="http://schemas.microsoft.com/office/drawing/2014/main" id="{00000000-0008-0000-2E00-000004000000}"/>
            </a:ext>
          </a:extLst>
        </xdr:cNvPr>
        <xdr:cNvSpPr>
          <a:spLocks noChangeArrowheads="1" noChangeShapeType="1"/>
        </xdr:cNvSpPr>
      </xdr:nvSpPr>
      <xdr:spPr bwMode="auto">
        <a:xfrm>
          <a:off x="0" y="0"/>
          <a:ext cx="78105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5" name="Object 5">
          <a:extLst>
            <a:ext uri="{FF2B5EF4-FFF2-40B4-BE49-F238E27FC236}">
              <a16:creationId xmlns:a16="http://schemas.microsoft.com/office/drawing/2014/main" id="{00000000-0008-0000-2E00-000005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6" name="Object 7">
          <a:extLst>
            <a:ext uri="{FF2B5EF4-FFF2-40B4-BE49-F238E27FC236}">
              <a16:creationId xmlns:a16="http://schemas.microsoft.com/office/drawing/2014/main" id="{00000000-0008-0000-2E00-000006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7" name="Object 8">
          <a:extLst>
            <a:ext uri="{FF2B5EF4-FFF2-40B4-BE49-F238E27FC236}">
              <a16:creationId xmlns:a16="http://schemas.microsoft.com/office/drawing/2014/main" id="{00000000-0008-0000-2E00-000007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561975</xdr:colOff>
      <xdr:row>29</xdr:row>
      <xdr:rowOff>95250</xdr:rowOff>
    </xdr:from>
    <xdr:to>
      <xdr:col>7</xdr:col>
      <xdr:colOff>1247775</xdr:colOff>
      <xdr:row>32</xdr:row>
      <xdr:rowOff>123825</xdr:rowOff>
    </xdr:to>
    <xdr:sp macro="" textlink="">
      <xdr:nvSpPr>
        <xdr:cNvPr id="37027" name="Object 1">
          <a:extLst>
            <a:ext uri="{FF2B5EF4-FFF2-40B4-BE49-F238E27FC236}">
              <a16:creationId xmlns:a16="http://schemas.microsoft.com/office/drawing/2014/main" id="{00000000-0008-0000-3300-0000A3900000}"/>
            </a:ext>
          </a:extLst>
        </xdr:cNvPr>
        <xdr:cNvSpPr>
          <a:spLocks noChangeArrowheads="1" noChangeShapeType="1"/>
        </xdr:cNvSpPr>
      </xdr:nvSpPr>
      <xdr:spPr bwMode="auto">
        <a:xfrm>
          <a:off x="1323975" y="2409825"/>
          <a:ext cx="3238500" cy="51435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4</xdr:col>
      <xdr:colOff>95250</xdr:colOff>
      <xdr:row>32</xdr:row>
      <xdr:rowOff>123825</xdr:rowOff>
    </xdr:to>
    <xdr:sp macro="" textlink="">
      <xdr:nvSpPr>
        <xdr:cNvPr id="37028" name="Object 2">
          <a:extLst>
            <a:ext uri="{FF2B5EF4-FFF2-40B4-BE49-F238E27FC236}">
              <a16:creationId xmlns:a16="http://schemas.microsoft.com/office/drawing/2014/main" id="{00000000-0008-0000-3300-0000A4900000}"/>
            </a:ext>
          </a:extLst>
        </xdr:cNvPr>
        <xdr:cNvSpPr>
          <a:spLocks noChangeArrowheads="1" noChangeShapeType="1"/>
        </xdr:cNvSpPr>
      </xdr:nvSpPr>
      <xdr:spPr bwMode="auto">
        <a:xfrm>
          <a:off x="1323975" y="2409825"/>
          <a:ext cx="1076325" cy="51435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7</xdr:col>
      <xdr:colOff>1247775</xdr:colOff>
      <xdr:row>31</xdr:row>
      <xdr:rowOff>114300</xdr:rowOff>
    </xdr:to>
    <xdr:sp macro="" textlink="">
      <xdr:nvSpPr>
        <xdr:cNvPr id="37029" name="Object 3">
          <a:extLst>
            <a:ext uri="{FF2B5EF4-FFF2-40B4-BE49-F238E27FC236}">
              <a16:creationId xmlns:a16="http://schemas.microsoft.com/office/drawing/2014/main" id="{00000000-0008-0000-3300-0000A5900000}"/>
            </a:ext>
          </a:extLst>
        </xdr:cNvPr>
        <xdr:cNvSpPr>
          <a:spLocks noChangeArrowheads="1" noChangeShapeType="1"/>
        </xdr:cNvSpPr>
      </xdr:nvSpPr>
      <xdr:spPr bwMode="auto">
        <a:xfrm>
          <a:off x="1323975" y="2409825"/>
          <a:ext cx="3238500" cy="34290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4</xdr:col>
      <xdr:colOff>95250</xdr:colOff>
      <xdr:row>31</xdr:row>
      <xdr:rowOff>114300</xdr:rowOff>
    </xdr:to>
    <xdr:sp macro="" textlink="">
      <xdr:nvSpPr>
        <xdr:cNvPr id="37030" name="Object 4">
          <a:extLst>
            <a:ext uri="{FF2B5EF4-FFF2-40B4-BE49-F238E27FC236}">
              <a16:creationId xmlns:a16="http://schemas.microsoft.com/office/drawing/2014/main" id="{00000000-0008-0000-3300-0000A6900000}"/>
            </a:ext>
          </a:extLst>
        </xdr:cNvPr>
        <xdr:cNvSpPr>
          <a:spLocks noChangeArrowheads="1" noChangeShapeType="1"/>
        </xdr:cNvSpPr>
      </xdr:nvSpPr>
      <xdr:spPr bwMode="auto">
        <a:xfrm>
          <a:off x="1323975" y="2409825"/>
          <a:ext cx="1076325" cy="34290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9</xdr:col>
      <xdr:colOff>0</xdr:colOff>
      <xdr:row>30</xdr:row>
      <xdr:rowOff>104775</xdr:rowOff>
    </xdr:to>
    <xdr:sp macro="" textlink="">
      <xdr:nvSpPr>
        <xdr:cNvPr id="37031" name="Object 6">
          <a:extLst>
            <a:ext uri="{FF2B5EF4-FFF2-40B4-BE49-F238E27FC236}">
              <a16:creationId xmlns:a16="http://schemas.microsoft.com/office/drawing/2014/main" id="{00000000-0008-0000-3300-0000A7900000}"/>
            </a:ext>
          </a:extLst>
        </xdr:cNvPr>
        <xdr:cNvSpPr>
          <a:spLocks noChangeArrowheads="1" noChangeShapeType="1"/>
        </xdr:cNvSpPr>
      </xdr:nvSpPr>
      <xdr:spPr bwMode="auto">
        <a:xfrm>
          <a:off x="1323975" y="2409825"/>
          <a:ext cx="4314825" cy="17145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9</xdr:col>
      <xdr:colOff>0</xdr:colOff>
      <xdr:row>38</xdr:row>
      <xdr:rowOff>95250</xdr:rowOff>
    </xdr:to>
    <xdr:sp macro="" textlink="">
      <xdr:nvSpPr>
        <xdr:cNvPr id="37032" name="Object 7">
          <a:extLst>
            <a:ext uri="{FF2B5EF4-FFF2-40B4-BE49-F238E27FC236}">
              <a16:creationId xmlns:a16="http://schemas.microsoft.com/office/drawing/2014/main" id="{00000000-0008-0000-3300-0000A8900000}"/>
            </a:ext>
          </a:extLst>
        </xdr:cNvPr>
        <xdr:cNvSpPr>
          <a:spLocks noChangeArrowheads="1" noChangeShapeType="1"/>
        </xdr:cNvSpPr>
      </xdr:nvSpPr>
      <xdr:spPr bwMode="auto">
        <a:xfrm>
          <a:off x="1323975" y="2409825"/>
          <a:ext cx="4314825" cy="1457325"/>
        </a:xfrm>
        <a:prstGeom prst="rect">
          <a:avLst/>
        </a:prstGeom>
        <a:noFill/>
        <a:ln w="9525" algn="in">
          <a:noFill/>
          <a:miter lim="800000"/>
          <a:headEnd/>
          <a:tailEnd/>
        </a:ln>
      </xdr:spPr>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523875</xdr:colOff>
      <xdr:row>1</xdr:row>
      <xdr:rowOff>47625</xdr:rowOff>
    </xdr:to>
    <xdr:sp macro="" textlink="">
      <xdr:nvSpPr>
        <xdr:cNvPr id="34886" name="Object 1">
          <a:extLst>
            <a:ext uri="{FF2B5EF4-FFF2-40B4-BE49-F238E27FC236}">
              <a16:creationId xmlns:a16="http://schemas.microsoft.com/office/drawing/2014/main" id="{00000000-0008-0000-3400-000046880000}"/>
            </a:ext>
          </a:extLst>
        </xdr:cNvPr>
        <xdr:cNvSpPr>
          <a:spLocks noChangeArrowheads="1" noChangeShapeType="1"/>
        </xdr:cNvSpPr>
      </xdr:nvSpPr>
      <xdr:spPr bwMode="auto">
        <a:xfrm>
          <a:off x="0" y="0"/>
          <a:ext cx="4429125" cy="238125"/>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523875</xdr:colOff>
      <xdr:row>1</xdr:row>
      <xdr:rowOff>209550</xdr:rowOff>
    </xdr:to>
    <xdr:sp macro="" textlink="">
      <xdr:nvSpPr>
        <xdr:cNvPr id="34887" name="Object 2">
          <a:extLst>
            <a:ext uri="{FF2B5EF4-FFF2-40B4-BE49-F238E27FC236}">
              <a16:creationId xmlns:a16="http://schemas.microsoft.com/office/drawing/2014/main" id="{00000000-0008-0000-3400-000047880000}"/>
            </a:ext>
          </a:extLst>
        </xdr:cNvPr>
        <xdr:cNvSpPr>
          <a:spLocks noChangeArrowheads="1" noChangeShapeType="1"/>
        </xdr:cNvSpPr>
      </xdr:nvSpPr>
      <xdr:spPr bwMode="auto">
        <a:xfrm>
          <a:off x="0" y="0"/>
          <a:ext cx="4429125" cy="400050"/>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523875</xdr:colOff>
      <xdr:row>1</xdr:row>
      <xdr:rowOff>9525</xdr:rowOff>
    </xdr:to>
    <xdr:sp macro="" textlink="">
      <xdr:nvSpPr>
        <xdr:cNvPr id="34888" name="Object 3">
          <a:extLst>
            <a:ext uri="{FF2B5EF4-FFF2-40B4-BE49-F238E27FC236}">
              <a16:creationId xmlns:a16="http://schemas.microsoft.com/office/drawing/2014/main" id="{00000000-0008-0000-3400-000048880000}"/>
            </a:ext>
          </a:extLst>
        </xdr:cNvPr>
        <xdr:cNvSpPr>
          <a:spLocks noChangeArrowheads="1" noChangeShapeType="1"/>
        </xdr:cNvSpPr>
      </xdr:nvSpPr>
      <xdr:spPr bwMode="auto">
        <a:xfrm>
          <a:off x="0" y="0"/>
          <a:ext cx="4429125" cy="200025"/>
        </a:xfrm>
        <a:prstGeom prst="rect">
          <a:avLst/>
        </a:prstGeom>
        <a:noFill/>
        <a:ln w="9525" algn="in">
          <a:no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9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9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5</xdr:col>
      <xdr:colOff>1571625</xdr:colOff>
      <xdr:row>0</xdr:row>
      <xdr:rowOff>171450</xdr:rowOff>
    </xdr:to>
    <xdr:sp macro="" textlink="">
      <xdr:nvSpPr>
        <xdr:cNvPr id="4" name="Object 3">
          <a:extLst>
            <a:ext uri="{FF2B5EF4-FFF2-40B4-BE49-F238E27FC236}">
              <a16:creationId xmlns:a16="http://schemas.microsoft.com/office/drawing/2014/main" id="{00000000-0008-0000-1900-000004000000}"/>
            </a:ext>
          </a:extLst>
        </xdr:cNvPr>
        <xdr:cNvSpPr>
          <a:spLocks noChangeArrowheads="1" noChangeShapeType="1"/>
        </xdr:cNvSpPr>
      </xdr:nvSpPr>
      <xdr:spPr bwMode="auto">
        <a:xfrm>
          <a:off x="0" y="0"/>
          <a:ext cx="60198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9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B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B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1571625</xdr:colOff>
      <xdr:row>0</xdr:row>
      <xdr:rowOff>171450</xdr:rowOff>
    </xdr:to>
    <xdr:sp macro="" textlink="">
      <xdr:nvSpPr>
        <xdr:cNvPr id="4" name="Object 3">
          <a:extLst>
            <a:ext uri="{FF2B5EF4-FFF2-40B4-BE49-F238E27FC236}">
              <a16:creationId xmlns:a16="http://schemas.microsoft.com/office/drawing/2014/main" id="{00000000-0008-0000-1B00-000004000000}"/>
            </a:ext>
          </a:extLst>
        </xdr:cNvPr>
        <xdr:cNvSpPr>
          <a:spLocks noChangeArrowheads="1" noChangeShapeType="1"/>
        </xdr:cNvSpPr>
      </xdr:nvSpPr>
      <xdr:spPr bwMode="auto">
        <a:xfrm>
          <a:off x="0" y="0"/>
          <a:ext cx="49149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B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D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D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5</xdr:col>
      <xdr:colOff>1571625</xdr:colOff>
      <xdr:row>0</xdr:row>
      <xdr:rowOff>171450</xdr:rowOff>
    </xdr:to>
    <xdr:sp macro="" textlink="">
      <xdr:nvSpPr>
        <xdr:cNvPr id="4" name="Object 3">
          <a:extLst>
            <a:ext uri="{FF2B5EF4-FFF2-40B4-BE49-F238E27FC236}">
              <a16:creationId xmlns:a16="http://schemas.microsoft.com/office/drawing/2014/main" id="{00000000-0008-0000-1D00-000004000000}"/>
            </a:ext>
          </a:extLst>
        </xdr:cNvPr>
        <xdr:cNvSpPr>
          <a:spLocks noChangeArrowheads="1" noChangeShapeType="1"/>
        </xdr:cNvSpPr>
      </xdr:nvSpPr>
      <xdr:spPr bwMode="auto">
        <a:xfrm>
          <a:off x="0" y="0"/>
          <a:ext cx="60198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D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F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F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1571625</xdr:colOff>
      <xdr:row>0</xdr:row>
      <xdr:rowOff>171450</xdr:rowOff>
    </xdr:to>
    <xdr:sp macro="" textlink="">
      <xdr:nvSpPr>
        <xdr:cNvPr id="4" name="Object 3">
          <a:extLst>
            <a:ext uri="{FF2B5EF4-FFF2-40B4-BE49-F238E27FC236}">
              <a16:creationId xmlns:a16="http://schemas.microsoft.com/office/drawing/2014/main" id="{00000000-0008-0000-1F00-000004000000}"/>
            </a:ext>
          </a:extLst>
        </xdr:cNvPr>
        <xdr:cNvSpPr>
          <a:spLocks noChangeArrowheads="1" noChangeShapeType="1"/>
        </xdr:cNvSpPr>
      </xdr:nvSpPr>
      <xdr:spPr bwMode="auto">
        <a:xfrm>
          <a:off x="0" y="0"/>
          <a:ext cx="49149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F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434340</xdr:colOff>
      <xdr:row>218</xdr:row>
      <xdr:rowOff>76200</xdr:rowOff>
    </xdr:from>
    <xdr:to>
      <xdr:col>15</xdr:col>
      <xdr:colOff>152400</xdr:colOff>
      <xdr:row>270</xdr:row>
      <xdr:rowOff>76200</xdr:rowOff>
    </xdr:to>
    <xdr:grpSp>
      <xdr:nvGrpSpPr>
        <xdr:cNvPr id="3" name="Group 80">
          <a:extLst>
            <a:ext uri="{FF2B5EF4-FFF2-40B4-BE49-F238E27FC236}">
              <a16:creationId xmlns:a16="http://schemas.microsoft.com/office/drawing/2014/main" id="{00000000-0008-0000-2000-000003000000}"/>
            </a:ext>
          </a:extLst>
        </xdr:cNvPr>
        <xdr:cNvGrpSpPr>
          <a:grpSpLocks/>
        </xdr:cNvGrpSpPr>
      </xdr:nvGrpSpPr>
      <xdr:grpSpPr bwMode="auto">
        <a:xfrm rot="16200000">
          <a:off x="7806214" y="10897076"/>
          <a:ext cx="5572125" cy="7838123"/>
          <a:chOff x="107213400" y="106299000"/>
          <a:chExt cx="4358647" cy="7770566"/>
        </a:xfrm>
      </xdr:grpSpPr>
      <xdr:sp macro="" textlink="">
        <xdr:nvSpPr>
          <xdr:cNvPr id="4" name="Text Box 82">
            <a:extLst>
              <a:ext uri="{FF2B5EF4-FFF2-40B4-BE49-F238E27FC236}">
                <a16:creationId xmlns:a16="http://schemas.microsoft.com/office/drawing/2014/main" id="{00000000-0008-0000-2000-000004000000}"/>
              </a:ext>
            </a:extLst>
          </xdr:cNvPr>
          <xdr:cNvSpPr txBox="1">
            <a:spLocks noChangeArrowheads="1"/>
          </xdr:cNvSpPr>
        </xdr:nvSpPr>
        <xdr:spPr bwMode="auto">
          <a:xfrm rot="5400000">
            <a:off x="105584625" y="107927775"/>
            <a:ext cx="3429000" cy="171450"/>
          </a:xfrm>
          <a:prstGeom prst="rect">
            <a:avLst/>
          </a:prstGeom>
          <a:noFill/>
          <a:ln w="9525" algn="in">
            <a:noFill/>
            <a:miter lim="800000"/>
            <a:headEnd/>
            <a:tailEnd/>
          </a:ln>
          <a:effectLst/>
        </xdr:spPr>
        <xdr:txBody>
          <a:bodyPr vertOverflow="clip" wrap="square" lIns="36576" tIns="36576" rIns="36576" bIns="36576" anchor="t" upright="1"/>
          <a:lstStyle/>
          <a:p>
            <a:pPr algn="l" rtl="0">
              <a:defRPr sz="1000"/>
            </a:pPr>
            <a:r>
              <a:rPr lang="en-US" sz="600" b="0" i="1" strike="noStrike">
                <a:solidFill>
                  <a:srgbClr val="000000"/>
                </a:solidFill>
                <a:latin typeface="Times New Roman"/>
                <a:cs typeface="Times New Roman"/>
              </a:rPr>
              <a:t>1. These are large corporation with business operations covering across a number of sectors.</a:t>
            </a:r>
          </a:p>
          <a:p>
            <a:pPr algn="l" rtl="0">
              <a:defRPr sz="1000"/>
            </a:pPr>
            <a:endParaRPr lang="en-US" sz="600" b="0" i="1" strike="noStrike">
              <a:solidFill>
                <a:srgbClr val="000000"/>
              </a:solidFill>
              <a:latin typeface="Times New Roman"/>
              <a:cs typeface="Times New Roman"/>
            </a:endParaRP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790575</xdr:colOff>
      <xdr:row>6</xdr:row>
      <xdr:rowOff>200025</xdr:rowOff>
    </xdr:to>
    <xdr:pic>
      <xdr:nvPicPr>
        <xdr:cNvPr id="14339" name="Object 3">
          <a:extLst>
            <a:ext uri="{FF2B5EF4-FFF2-40B4-BE49-F238E27FC236}">
              <a16:creationId xmlns:a16="http://schemas.microsoft.com/office/drawing/2014/main" id="{00000000-0008-0000-2400-000003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781925" cy="15621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0</xdr:row>
      <xdr:rowOff>0</xdr:rowOff>
    </xdr:from>
    <xdr:to>
      <xdr:col>6</xdr:col>
      <xdr:colOff>733425</xdr:colOff>
      <xdr:row>6</xdr:row>
      <xdr:rowOff>57150</xdr:rowOff>
    </xdr:to>
    <xdr:pic>
      <xdr:nvPicPr>
        <xdr:cNvPr id="14340" name="Object 4">
          <a:extLst>
            <a:ext uri="{FF2B5EF4-FFF2-40B4-BE49-F238E27FC236}">
              <a16:creationId xmlns:a16="http://schemas.microsoft.com/office/drawing/2014/main" id="{00000000-0008-0000-2400-000004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724775" cy="1419225"/>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9525</xdr:colOff>
      <xdr:row>0</xdr:row>
      <xdr:rowOff>0</xdr:rowOff>
    </xdr:from>
    <xdr:to>
      <xdr:col>0</xdr:col>
      <xdr:colOff>123825</xdr:colOff>
      <xdr:row>37</xdr:row>
      <xdr:rowOff>123825</xdr:rowOff>
    </xdr:to>
    <xdr:pic>
      <xdr:nvPicPr>
        <xdr:cNvPr id="14341" name="Object 5">
          <a:extLst>
            <a:ext uri="{FF2B5EF4-FFF2-40B4-BE49-F238E27FC236}">
              <a16:creationId xmlns:a16="http://schemas.microsoft.com/office/drawing/2014/main" id="{00000000-0008-0000-2400-000005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rot="5400000">
          <a:off x="-3795713" y="3805238"/>
          <a:ext cx="7724775" cy="1143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15</xdr:row>
      <xdr:rowOff>47625</xdr:rowOff>
    </xdr:from>
    <xdr:to>
      <xdr:col>6</xdr:col>
      <xdr:colOff>76200</xdr:colOff>
      <xdr:row>15</xdr:row>
      <xdr:rowOff>161925</xdr:rowOff>
    </xdr:to>
    <xdr:pic>
      <xdr:nvPicPr>
        <xdr:cNvPr id="14342" name="Object 6">
          <a:extLst>
            <a:ext uri="{FF2B5EF4-FFF2-40B4-BE49-F238E27FC236}">
              <a16:creationId xmlns:a16="http://schemas.microsoft.com/office/drawing/2014/main" id="{00000000-0008-0000-2400-000006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3248025"/>
          <a:ext cx="7067550" cy="1143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19049</xdr:colOff>
      <xdr:row>1</xdr:row>
      <xdr:rowOff>0</xdr:rowOff>
    </xdr:from>
    <xdr:to>
      <xdr:col>5</xdr:col>
      <xdr:colOff>704849</xdr:colOff>
      <xdr:row>4</xdr:row>
      <xdr:rowOff>28575</xdr:rowOff>
    </xdr:to>
    <xdr:sp macro="" textlink="">
      <xdr:nvSpPr>
        <xdr:cNvPr id="25602" name="Text Box 2">
          <a:extLst>
            <a:ext uri="{FF2B5EF4-FFF2-40B4-BE49-F238E27FC236}">
              <a16:creationId xmlns:a16="http://schemas.microsoft.com/office/drawing/2014/main" id="{00000000-0008-0000-2600-000002640000}"/>
            </a:ext>
          </a:extLst>
        </xdr:cNvPr>
        <xdr:cNvSpPr txBox="1">
          <a:spLocks noChangeArrowheads="1"/>
        </xdr:cNvSpPr>
      </xdr:nvSpPr>
      <xdr:spPr bwMode="auto">
        <a:xfrm>
          <a:off x="2790824" y="190500"/>
          <a:ext cx="3171825" cy="600075"/>
        </a:xfrm>
        <a:prstGeom prst="rect">
          <a:avLst/>
        </a:prstGeom>
        <a:noFill/>
        <a:ln w="9525" algn="in">
          <a:noFill/>
          <a:miter lim="800000"/>
          <a:headEnd/>
          <a:tailEnd/>
        </a:ln>
        <a:effectLst/>
      </xdr:spPr>
      <xdr:txBody>
        <a:bodyPr vertOverflow="clip" wrap="square" lIns="36576" tIns="36576" rIns="36576" bIns="36576" anchor="t" upright="1"/>
        <a:lstStyle/>
        <a:p>
          <a:pPr algn="l" rtl="0">
            <a:defRPr sz="1000"/>
          </a:pPr>
          <a:r>
            <a:rPr lang="en-US" sz="1000" b="1" i="0" strike="noStrike">
              <a:solidFill>
                <a:srgbClr val="000000"/>
              </a:solidFill>
              <a:latin typeface="Times New Roman"/>
              <a:cs typeface="Times New Roman"/>
            </a:rPr>
            <a:t>TABLE 4.1 LENDING RATES (percent per annum)1</a:t>
          </a:r>
        </a:p>
        <a:p>
          <a:pPr algn="l" rtl="0">
            <a:defRPr sz="1000"/>
          </a:pPr>
          <a:endParaRPr lang="en-US" sz="1000" b="1" i="0" strike="noStrike">
            <a:solidFill>
              <a:srgbClr val="000000"/>
            </a:solidFill>
            <a:latin typeface="Times New Roman"/>
            <a:cs typeface="Times New Roman"/>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1476375</xdr:colOff>
      <xdr:row>0</xdr:row>
      <xdr:rowOff>0</xdr:rowOff>
    </xdr:to>
    <xdr:pic>
      <xdr:nvPicPr>
        <xdr:cNvPr id="22529" name="Object 1">
          <a:extLst>
            <a:ext uri="{FF2B5EF4-FFF2-40B4-BE49-F238E27FC236}">
              <a16:creationId xmlns:a16="http://schemas.microsoft.com/office/drawing/2014/main" id="{00000000-0008-0000-2900-0000015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3352800"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0</xdr:row>
      <xdr:rowOff>0</xdr:rowOff>
    </xdr:from>
    <xdr:to>
      <xdr:col>3</xdr:col>
      <xdr:colOff>1476375</xdr:colOff>
      <xdr:row>0</xdr:row>
      <xdr:rowOff>0</xdr:rowOff>
    </xdr:to>
    <xdr:pic>
      <xdr:nvPicPr>
        <xdr:cNvPr id="22530" name="Object 2">
          <a:extLst>
            <a:ext uri="{FF2B5EF4-FFF2-40B4-BE49-F238E27FC236}">
              <a16:creationId xmlns:a16="http://schemas.microsoft.com/office/drawing/2014/main" id="{00000000-0008-0000-2900-0000025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3352800"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mfdata\econ\DATA\KEN\current\External\KenBOP(current)base%20May%20mission%20rev.2%2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d.docs.live.net/WIN/TEMP/MFLOW9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Documents%20and%20Settings/JMATZ/My%20Local%20Documents/EXCEL/Guyana/2003%20Mission/Final/Other%20Depository%20Corporations%20Balance.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Documents%20and%20Settings/LABREGO/My%20Local%20Documents/Ecuador/ecubopLates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Q:\WIN\TEMP\MFLOW96.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psfwn03p\sta\DOC\AI\SIMS\Workfiles\Guyana\MB\IMD\2003%20Mission\Final\Other%20Depository%20Corporations%20Balance.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Q:\Documents%20and%20Settings\LABREGO\My%20Local%20Documents\Ecuador\ecubopLatest.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PSGWN03P\AFR\MissionJAN\ROBOPBucharestJan20LAMI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ata1\pdr\DATA\MOZ\WIN\TEMP\BOP9703_stres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F:\Fiscal\Documents%202012\GFS2001\ZWE%20GFSM200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shared\framework\External\KenBOP(current)HU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shared\framework\Monetary\deleted%20from%20KenMoney(current).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ata2\afr\DATA\AFR\country%20matters\CM_Jan200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ata2\afr\DATA\KEN\Weta-Weo\2004\S2004\KENWETA2003S.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imfdata\econ\data\wrs\xl97\system\WRS97TAB.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J:\Users\Mudhuu\Desktop\Users\Machinjike%20Noell\AppData\Local\Microsoft\Windows\Temporary%20Internet%20Files\Content.IE5\8BIH2XA1\DSA-Malawi,%20July%202012\LIC_DSA_Templat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D:\MissionJAN\ROBOPBucharestJan20LAMIN.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www-int.imf.org/depts/res/weo/GEE/current/G698.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Documents%20and%20Settings\Administrator\My%20Documents\HROTICH%20-%20Treasury\Kenya%20-%20FinProg\Kenya--Medium%20term%20(November%20200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shared\framework\SI%20and%20SA%202003\Statistical%20Appendix\TAB59-68wip.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d.docs.live.net/DATA/DH/GEO/BOP/GeoBop.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PSSWN06p\wrs2\mcd\system\WRSTAB.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K:\DATA\KEN\current\Dec%202003%20mission\KenBOP(wip).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FPSGWN03P\AFR\Users\AMcIntyre\My%20Documents\New%20Macro%20May%202004\KenMoney.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A:\ECCB06R.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DATA/DH/GEO/BOP/Data/FLOW2004a.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DATA/S1/ECU/SECTORS/External/PERUMF97.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D:\My%20Documents\Zimbabwe\BOP\ZW_RSV.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FPSGWN03P\AFR\WIN\TEMP\Zimbabwe\ZW_BOP03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ata1\pdr\Users\LAylward\My%20Documents\KenBOP(current)nm%208.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F:\Documents%20and%20Settings\rrhrotich\My%20Documents\Working%20Files\IMF%20documents\External%20Financing%20--%20Revised%20March%202004.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R:\DRAFTS\GO\IR\Paises\Canada\In%20reach%20exercise\Data\High%20Frequency%20Classification%20Assistant_%20Canada.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https://d.docs.live.net/DATA/S1/ECU/SECTORS/External/ecuredtab.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D:\WIN\TEMP\Zimbabwe\Miss9803\ZW_BOP02.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https://d.docs.live.net/DOC/SI/IMSection/DP/Workfiles/SRF/SRF%20for%20Supplement/Graduated%20to%20DC/Chile%20EIS.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Data1\pdr\DATA\MOZ\DATA\Enhanced%20Table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shared\framework\Monetary\deleted%20from%20KenMoney(curren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shared\framework\SI%20and%20SA%202003\Statistical%20Appendix\TAB59-68wip.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ata1\pdr\DATA\MOZ\moz%20BoP.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PSGWN03P\AFR\My%20Documents\Zimbabwe\BOP\ZW_RSV.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J:\DATA\DD\GEO\BOP\GeoBo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A (new)"/>
      <sheetName val="Leases"/>
      <sheetName val="Info"/>
      <sheetName val="Ext.Fin (FY)"/>
      <sheetName val="Table fy"/>
      <sheetName val="Table"/>
      <sheetName val="BOP"/>
      <sheetName val="Output"/>
      <sheetName val="weo"/>
      <sheetName val="Macro"/>
      <sheetName val="Exp"/>
      <sheetName val="Imp"/>
      <sheetName val="serv"/>
      <sheetName val="in-out"/>
      <sheetName val="KA"/>
      <sheetName val="Ind"/>
      <sheetName val="DSA output"/>
      <sheetName val="Sheet1"/>
      <sheetName val="WE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E"/>
      <sheetName val="MFLOW96.XLS"/>
    </sheetNames>
    <definedNames>
      <definedName name="[Macros Import].qbop"/>
      <definedName name="atrade"/>
      <definedName name="mflowsa"/>
      <definedName name="mflowsq"/>
      <definedName name="mstocksa"/>
      <definedName name="mstocksq"/>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
      <sheetName val="A 2"/>
      <sheetName val="A 3_A 13"/>
      <sheetName val="A 4_A 14"/>
      <sheetName val="A 5_A 15"/>
      <sheetName val="A 6"/>
      <sheetName val="A 7"/>
      <sheetName val="A 8"/>
      <sheetName val="A 9"/>
      <sheetName val="A 11"/>
      <sheetName val="C 2"/>
      <sheetName val="A 16"/>
      <sheetName val="A 18"/>
      <sheetName val="Bridge to 2SR"/>
      <sheetName val="Comm. Banks"/>
      <sheetName val="NBS"/>
      <sheetName val="Tcoy."/>
      <sheetName val="Globe Trust"/>
      <sheetName val="NBS&amp;TC -Bridge to 2SR"/>
      <sheetName val="NBS&amp;TC"/>
      <sheetName val="ODC-2SR"/>
      <sheetName val="STA-2SF"/>
      <sheetName val="WHD-OD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ulnerability Indicators"/>
      <sheetName val="BOP Main"/>
      <sheetName val="BOP Alt"/>
      <sheetName val="Index"/>
      <sheetName val="DebtM"/>
      <sheetName val="Finreq-M"/>
      <sheetName val="BoP-M"/>
      <sheetName val="BoP-Q"/>
      <sheetName val="Trade"/>
      <sheetName val="Input"/>
      <sheetName val="SER"/>
      <sheetName val="Input2"/>
      <sheetName val="DebtSer"/>
      <sheetName val="CAP"/>
      <sheetName val="RES"/>
      <sheetName val="BoP"/>
      <sheetName val="BoP M-T"/>
      <sheetName val="FinReqM-T"/>
      <sheetName val="Tab7SR"/>
      <sheetName val="Tab8SR"/>
      <sheetName val="DEBT"/>
      <sheetName val="month-01"/>
      <sheetName val="FINREQ"/>
      <sheetName val="monthCAP"/>
      <sheetName val="OUTPUT"/>
      <sheetName val="PC+Bond"/>
      <sheetName val="arr"/>
      <sheetName val="PC"/>
      <sheetName val="BondFin"/>
      <sheetName val="PCscen"/>
      <sheetName val="month2000"/>
      <sheetName val="WEOQ5"/>
      <sheetName val="WEOQ6"/>
      <sheetName val="WEOQ7"/>
      <sheetName val="xxweolinks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MFLOW96.XLS"/>
      <sheetName val="A 11"/>
    </sheetNames>
    <definedNames>
      <definedName name="[Macros Import].qbop"/>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
      <sheetName val="A 2"/>
      <sheetName val="A 3_A 13"/>
      <sheetName val="A 4_A 14"/>
      <sheetName val="A 5_A 15"/>
      <sheetName val="A 6"/>
      <sheetName val="A 7"/>
      <sheetName val="A 8"/>
      <sheetName val="A 9"/>
      <sheetName val="A 11"/>
      <sheetName val="C 2"/>
      <sheetName val="A 16"/>
      <sheetName val="A 18"/>
      <sheetName val="Bridge to 2SR"/>
      <sheetName val="Comm. Banks"/>
      <sheetName val="NBS"/>
      <sheetName val="Tcoy."/>
      <sheetName val="Globe Trust"/>
      <sheetName val="NBS&amp;TC -Bridge to 2SR"/>
      <sheetName val="NBS&amp;TC"/>
      <sheetName val="ODC-2SR"/>
      <sheetName val="STA-2SF"/>
      <sheetName val="WHD-ODC"/>
      <sheetName val="Other Depository Corporations 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ulnerability Indicators"/>
      <sheetName val="BOP Main"/>
      <sheetName val="BOP Alt"/>
      <sheetName val="Index"/>
      <sheetName val="DebtM"/>
      <sheetName val="Finreq-M"/>
      <sheetName val="BoP-M"/>
      <sheetName val="BoP-Q"/>
      <sheetName val="Trade"/>
      <sheetName val="Input"/>
      <sheetName val="SER"/>
      <sheetName val="Input2"/>
      <sheetName val="DebtSer"/>
      <sheetName val="CAP"/>
      <sheetName val="RES"/>
      <sheetName val="BoP"/>
      <sheetName val="BoP M-T"/>
      <sheetName val="FinReqM-T"/>
      <sheetName val="Tab7SR"/>
      <sheetName val="Tab8SR"/>
      <sheetName val="DEBT"/>
      <sheetName val="month-01"/>
      <sheetName val="FINREQ"/>
      <sheetName val="monthCAP"/>
      <sheetName val="OUTPUT"/>
      <sheetName val="PC+Bond"/>
      <sheetName val="arr"/>
      <sheetName val="PC"/>
      <sheetName val="BondFin"/>
      <sheetName val="PCscen"/>
      <sheetName val="month2000"/>
      <sheetName val="WEOQ5"/>
      <sheetName val="WEOQ6"/>
      <sheetName val="WEOQ7"/>
      <sheetName val="xxweolinks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Assumptions"/>
      <sheetName val="Misc"/>
      <sheetName val="S-Uses"/>
      <sheetName val="1999"/>
      <sheetName val="Summary"/>
      <sheetName val="Trade"/>
      <sheetName val="Services"/>
      <sheetName val="OLDWEO"/>
      <sheetName val="Capital"/>
      <sheetName val="NFA"/>
      <sheetName val="Debt2"/>
      <sheetName val="Debt2000"/>
      <sheetName val="debt2000old"/>
      <sheetName val="Debt1"/>
      <sheetName val="Debt by debtor"/>
      <sheetName val="Debt 1998"/>
      <sheetName val="Debt3"/>
      <sheetName val="SR"/>
      <sheetName val="Disb"/>
      <sheetName val="Bail-in"/>
      <sheetName val="Mid-term (SR)"/>
      <sheetName val="WEO"/>
      <sheetName val="DM-BOP"/>
      <sheetName val="Source and mis-uses of Funds"/>
      <sheetName val="Old BOP"/>
      <sheetName val="Old Cap Act"/>
      <sheetName val="Module1"/>
      <sheetName val="Module2"/>
      <sheetName val="Module3"/>
      <sheetName val="Cover"/>
      <sheetName val="ROBOPBucharestJan20LAMIN"/>
      <sheetName val="A 11"/>
      <sheetName val="Imp"/>
      <sheetName val="DSA output"/>
      <sheetName val="in-out"/>
      <sheetName val="PRIVATE"/>
      <sheetName val="Coverpage"/>
      <sheetName val="CODE LIST"/>
      <sheetName val="Allowances"/>
      <sheetName val="Table1m"/>
      <sheetName val="SUPUESTOS"/>
      <sheetName val="RESULTADOS"/>
      <sheetName val="SMONET-FINANC"/>
      <sheetName val="SFISCAL-MOD"/>
      <sheetName val="SREAL"/>
      <sheetName val="CPIA"/>
      <sheetName val="GE Calculation"/>
      <sheetName val="RBZ-form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BoP_OUT_Medium"/>
      <sheetName val="BoP_OUT_Long"/>
      <sheetName val="IMF_Assistance"/>
      <sheetName val="large_projects"/>
      <sheetName val="DebtService_to_budget"/>
      <sheetName val="Terms_of_Trade"/>
      <sheetName val="Workspace_contents"/>
      <sheetName val="Stress 0322"/>
      <sheetName val="Stress analysis"/>
      <sheetName val="IMF Assistance Old"/>
      <sheetName val="Key Ratios"/>
      <sheetName val="Debt Service  Long"/>
      <sheetName val="Tally_PDR"/>
      <sheetName val="SEI"/>
      <sheetName val="TOC"/>
      <sheetName val="Stress_0322"/>
      <sheetName val="Stress_analysis"/>
      <sheetName val="IMF_Assistance_Old"/>
      <sheetName val="Key_Ratios"/>
      <sheetName val="Debt_Service__Long"/>
      <sheetName val="1996"/>
      <sheetName val="Fund_Credit"/>
      <sheetName val="Export destination"/>
      <sheetName val="NPV Reduction"/>
      <sheetName val="Noyau"/>
      <sheetName val="WEO_WETA"/>
      <sheetName val="IFS SURVEYS Dec1990_Feb2004"/>
      <sheetName val="Monetary Dev_Monthly"/>
      <sheetName val="Table of Contents"/>
      <sheetName val="InHUB"/>
      <sheetName val="Afiliados"/>
      <sheetName val="MMI"/>
      <sheetName val="Info Din."/>
      <sheetName val="Scheduled Repayment"/>
      <sheetName val="FHIS"/>
      <sheetName val="BOP9703_stress"/>
      <sheetName val="Q1"/>
      <sheetName val="C_basef14.3p10.6"/>
      <sheetName val="Realism 2 - Fiscal multiplier"/>
      <sheetName val="Realism 2 - Alt. 1"/>
      <sheetName val="panel chart"/>
      <sheetName val="Stress_03221"/>
      <sheetName val="Stress_analysis1"/>
      <sheetName val="BoP_OUT_Medium1"/>
      <sheetName val="BoP_OUT_Long1"/>
      <sheetName val="IMF_Assistance1"/>
      <sheetName val="IMF_Assistance_Old1"/>
      <sheetName val="large_projects1"/>
      <sheetName val="Terms_of_Trade1"/>
      <sheetName val="Key_Ratios1"/>
      <sheetName val="Debt_Service__Long1"/>
      <sheetName val="DebtService_to_budget1"/>
      <sheetName val="Workspace_contents1"/>
      <sheetName val="NFA-input"/>
      <sheetName val="CBK-input"/>
      <sheetName val="Survey"/>
      <sheetName val="6-QAC &amp; PC Table (2)"/>
      <sheetName val="BoP"/>
      <sheetName val="RES"/>
      <sheetName val="Input"/>
      <sheetName val="Trade"/>
      <sheetName val="OutHUB"/>
      <sheetName val="PARAM"/>
      <sheetName val="CPIINDEX"/>
      <sheetName val="IFS_SURVEYS_Dec1990_Feb2004"/>
      <sheetName val="Table_of_Contents"/>
      <sheetName val="Monetary_Dev_Monthly"/>
      <sheetName val="AfDB"/>
      <sheetName val="CB"/>
      <sheetName val="Bench - 99"/>
      <sheetName val="BDDCLE-Octobre 04 pgmé"/>
      <sheetName val="Gin"/>
      <sheetName val="Din"/>
      <sheetName val="Impact"/>
      <sheetName val="Figure 6 NPV"/>
      <sheetName val="SimInp1"/>
      <sheetName val="ModDef"/>
      <sheetName val="Model"/>
      <sheetName val="Gov-20"/>
      <sheetName val="Control"/>
      <sheetName val="work sheet"/>
      <sheetName val="Assumptions"/>
      <sheetName val="RBZ-former"/>
    </sheetNames>
    <sheetDataSet>
      <sheetData sheetId="0" refreshError="1"/>
      <sheetData sheetId="1" refreshError="1">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sheetData sheetId="60"/>
      <sheetData sheetId="61"/>
      <sheetData sheetId="62"/>
      <sheetData sheetId="63"/>
      <sheetData sheetId="64"/>
      <sheetData sheetId="65"/>
      <sheetData sheetId="66"/>
      <sheetData sheetId="67"/>
      <sheetData sheetId="68"/>
      <sheetData sheetId="69"/>
      <sheetData sheetId="70"/>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sheetData sheetId="83"/>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lp"/>
      <sheetName val="Cover page"/>
      <sheetName val="Arrears"/>
      <sheetName val="Employment"/>
      <sheetName val="Transfer"/>
      <sheetName val="Contingent"/>
      <sheetName val="Nat-Outturn"/>
      <sheetName val="other"/>
      <sheetName val="AFR"/>
      <sheetName val="Level of government"/>
      <sheetName val="Statement II_Cash"/>
      <sheetName val="Table1_C"/>
      <sheetName val="Table2_C"/>
      <sheetName val="Table3_C"/>
      <sheetName val="Table6_C"/>
      <sheetName val="Table6_C_additional"/>
      <sheetName val="HF report_Stat II"/>
      <sheetName val="HF report_Balance sheet"/>
      <sheetName val="CODE LIST"/>
      <sheetName val="2009"/>
      <sheetName val="2010"/>
      <sheetName val="2011"/>
      <sheetName val="Sheet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3">
          <cell r="M3" t="str">
            <v>A1:  REVENUE [11 + 12 + 13 + 14]</v>
          </cell>
          <cell r="O3" t="str">
            <v>C1:  REVENUE [11 + 12 + 13 + 14]</v>
          </cell>
        </row>
        <row r="4">
          <cell r="M4" t="str">
            <v>A11:  Taxes  [111 + 112 + 113 + 114 + 115 + 116]</v>
          </cell>
          <cell r="O4" t="str">
            <v>C11:  Taxes  [111 + 112 + 113 + 114 + 115 + 116]</v>
          </cell>
        </row>
        <row r="5">
          <cell r="M5" t="str">
            <v>A111:  Taxes on income, profits, and capital gains [1111 + 1112 + 1113]</v>
          </cell>
          <cell r="O5" t="str">
            <v>C111:  Taxes on income, profits, and capital gains [1111 + 1112 + 1113]</v>
          </cell>
        </row>
        <row r="6">
          <cell r="M6" t="str">
            <v xml:space="preserve">A1111:  Taxes on income: Payable by individuals </v>
          </cell>
          <cell r="O6" t="str">
            <v xml:space="preserve">C1111:  Taxes on income: Payable by individuals </v>
          </cell>
        </row>
        <row r="7">
          <cell r="M7" t="str">
            <v xml:space="preserve">A1112:  Taxes on income: Payable by corporations and other enterprises </v>
          </cell>
          <cell r="O7" t="str">
            <v xml:space="preserve">C1112:  Taxes on income: Payable by corporations and other enterprises </v>
          </cell>
        </row>
        <row r="8">
          <cell r="M8" t="str">
            <v xml:space="preserve">A1113:  Taxes on income: Unallocable </v>
          </cell>
          <cell r="O8" t="str">
            <v xml:space="preserve">C1113:  Taxes on income: Unallocable </v>
          </cell>
        </row>
        <row r="9">
          <cell r="M9" t="str">
            <v xml:space="preserve">A112:  Taxes on payroll and workforce </v>
          </cell>
          <cell r="O9" t="str">
            <v xml:space="preserve">C112:  Taxes on payroll and workforce </v>
          </cell>
        </row>
        <row r="10">
          <cell r="M10" t="str">
            <v>A113:  Taxes on property [1131 + 1132 + 1133 + 1134 + 1135 + 1136]</v>
          </cell>
          <cell r="O10" t="str">
            <v>C113:  Taxes on property [1131 + 1132 + 1133 + 1134 + 1135 + 1136]</v>
          </cell>
        </row>
        <row r="11">
          <cell r="M11" t="str">
            <v xml:space="preserve">A1131:  Taxes on property:  Recurrent taxes on immovable property </v>
          </cell>
          <cell r="O11" t="str">
            <v xml:space="preserve">C1131:  Taxes on property:  Recurrent taxes on immovable property </v>
          </cell>
        </row>
        <row r="12">
          <cell r="M12" t="str">
            <v xml:space="preserve">A1132:  Taxes on property:  Recurrent taxes on net wealth </v>
          </cell>
          <cell r="O12" t="str">
            <v xml:space="preserve">C1132:  Taxes on property:  Recurrent taxes on net wealth </v>
          </cell>
        </row>
        <row r="13">
          <cell r="M13" t="str">
            <v xml:space="preserve">A1133:  Taxes on property:  Estate, inheritance, and gift taxes </v>
          </cell>
          <cell r="O13" t="str">
            <v xml:space="preserve">C1133:  Taxes on property:  Estate, inheritance, and gift taxes </v>
          </cell>
        </row>
        <row r="14">
          <cell r="M14" t="str">
            <v xml:space="preserve">A1134:  Taxes on property:  Taxes on financial and capital transactions </v>
          </cell>
          <cell r="O14" t="str">
            <v xml:space="preserve">C1134:  Taxes on property:  Taxes on financial and capital transactions </v>
          </cell>
        </row>
        <row r="15">
          <cell r="M15" t="str">
            <v xml:space="preserve">A1135:  Taxes on property:  Other nonrecurrent taxes on property </v>
          </cell>
          <cell r="O15" t="str">
            <v xml:space="preserve">C1135:  Taxes on property:  Other nonrecurrent taxes on property </v>
          </cell>
        </row>
        <row r="16">
          <cell r="M16" t="str">
            <v xml:space="preserve">A1136:  Taxes on property:  Other recurrent taxes on property </v>
          </cell>
          <cell r="O16" t="str">
            <v xml:space="preserve">C1136:  Taxes on property:  Other recurrent taxes on property </v>
          </cell>
        </row>
        <row r="17">
          <cell r="M17" t="str">
            <v xml:space="preserve">A114:  Taxes on goods and services </v>
          </cell>
          <cell r="O17" t="str">
            <v xml:space="preserve">C114:  Taxes on goods and services </v>
          </cell>
        </row>
        <row r="18">
          <cell r="M18" t="str">
            <v>A1141:  Taxes on goods and services:  General taxes on goods and services  [11411 + 11412 + 11413]</v>
          </cell>
          <cell r="O18" t="str">
            <v>C1141:  Taxes on goods and services:  General taxes on goods and services  [11411 + 11412 + 11413]</v>
          </cell>
        </row>
        <row r="19">
          <cell r="M19" t="str">
            <v xml:space="preserve">A11411:  General taxes on goods and services:  Value-added taxes </v>
          </cell>
          <cell r="O19" t="str">
            <v xml:space="preserve">C11411:  General taxes on goods and services:  Value-added taxes </v>
          </cell>
        </row>
        <row r="20">
          <cell r="M20" t="str">
            <v xml:space="preserve">A11412:  General taxes on goods and services:  Sales taxes </v>
          </cell>
          <cell r="O20" t="str">
            <v xml:space="preserve">C11412:  General taxes on goods and services:  Sales taxes </v>
          </cell>
        </row>
        <row r="21">
          <cell r="M21" t="str">
            <v xml:space="preserve">A11413:  General taxes on goods and services:  Turnover &amp; other general taxes on G &amp; S </v>
          </cell>
          <cell r="O21" t="str">
            <v xml:space="preserve">C11413:  General taxes on goods and services:  Turnover &amp; other general taxes on G &amp; S </v>
          </cell>
        </row>
        <row r="22">
          <cell r="M22" t="str">
            <v xml:space="preserve">A1142:  Taxes on goods and services:  Excises </v>
          </cell>
          <cell r="O22" t="str">
            <v xml:space="preserve">C1142:  Taxes on goods and services:  Excises </v>
          </cell>
        </row>
        <row r="23">
          <cell r="M23" t="str">
            <v xml:space="preserve">A1143:  Taxes on goods and services:  Profits of fiscal monopolies </v>
          </cell>
          <cell r="O23" t="str">
            <v xml:space="preserve">C1143:  Taxes on goods and services:  Profits of fiscal monopolies </v>
          </cell>
        </row>
        <row r="24">
          <cell r="M24" t="str">
            <v xml:space="preserve">A1144:  Taxes on goods and services:  Taxes on specific services </v>
          </cell>
          <cell r="O24" t="str">
            <v xml:space="preserve">C1144:  Taxes on goods and services:  Taxes on specific services </v>
          </cell>
        </row>
        <row r="25">
          <cell r="M25" t="str">
            <v>A1145:  Taxes on goods and services:  Taxes on use of goods, permission to use goods  [11451 + 11452]</v>
          </cell>
          <cell r="O25" t="str">
            <v>C1145:  Taxes on goods and services:  Taxes on use of goods, permission to use goods  [11451 + 11452]</v>
          </cell>
        </row>
        <row r="26">
          <cell r="M26" t="str">
            <v xml:space="preserve">A11451:  Taxes on use and permission of goods and services:  Motor vehicles taxes </v>
          </cell>
          <cell r="O26" t="str">
            <v xml:space="preserve">C11451:  Taxes on use and permission of goods and services:  Motor vehicles taxes </v>
          </cell>
        </row>
        <row r="27">
          <cell r="M27" t="str">
            <v xml:space="preserve">A11452:  Taxes on use and permission of goods and services:  Other </v>
          </cell>
          <cell r="O27" t="str">
            <v xml:space="preserve">C11452:  Taxes on use and permission of goods and services:  Other </v>
          </cell>
        </row>
        <row r="28">
          <cell r="M28" t="str">
            <v xml:space="preserve">A1146:  Taxes on goods and services:  Other taxes on goods and services </v>
          </cell>
          <cell r="O28" t="str">
            <v xml:space="preserve">C1146:  Taxes on goods and services:  Other taxes on goods and services </v>
          </cell>
        </row>
        <row r="29">
          <cell r="M29" t="str">
            <v>A115:  Taxes on international trade and transactions [1151 + 1152 + 1153 + 1154 + 1155 + 1156]</v>
          </cell>
          <cell r="O29" t="str">
            <v>C115:  Taxes on international trade and transactions [1151 + 1152 + 1153 + 1154 + 1155 + 1156]</v>
          </cell>
        </row>
        <row r="30">
          <cell r="M30" t="str">
            <v xml:space="preserve">A1151:  Taxes on international trade and transactions: Customs and other import duties </v>
          </cell>
          <cell r="O30" t="str">
            <v xml:space="preserve">C1151:  Taxes on international trade and transactions: Customs and other import duties </v>
          </cell>
        </row>
        <row r="31">
          <cell r="M31" t="str">
            <v xml:space="preserve">A1152:  Taxes on international trade and transactions: Taxes on exports </v>
          </cell>
          <cell r="O31" t="str">
            <v xml:space="preserve">C1152:  Taxes on international trade and transactions: Taxes on exports </v>
          </cell>
        </row>
        <row r="32">
          <cell r="M32" t="str">
            <v xml:space="preserve">A1153:  Taxes on international trade and transactions: Profits of export or import monopolies </v>
          </cell>
          <cell r="O32" t="str">
            <v xml:space="preserve">C1153:  Taxes on international trade and transactions: Profits of export or import monopolies </v>
          </cell>
        </row>
        <row r="33">
          <cell r="M33" t="str">
            <v xml:space="preserve">A1154:  Taxes on international trade and transactions: Exchange profits </v>
          </cell>
          <cell r="O33" t="str">
            <v xml:space="preserve">C1154:  Taxes on international trade and transactions: Exchange profits </v>
          </cell>
        </row>
        <row r="34">
          <cell r="M34" t="str">
            <v xml:space="preserve">A1155:  Taxes on international trade and transactions: Exchange taxes </v>
          </cell>
          <cell r="O34" t="str">
            <v xml:space="preserve">C1155:  Taxes on international trade and transactions: Exchange taxes </v>
          </cell>
        </row>
        <row r="35">
          <cell r="M35" t="str">
            <v xml:space="preserve">A1156:  Taxes on international trade and transactions: Other taxes on international trade and transactions </v>
          </cell>
          <cell r="O35" t="str">
            <v xml:space="preserve">C1156:  Taxes on international trade and transactions: Other taxes on international trade and transactions </v>
          </cell>
        </row>
        <row r="36">
          <cell r="M36" t="str">
            <v xml:space="preserve">A116:  Other taxes </v>
          </cell>
          <cell r="O36" t="str">
            <v xml:space="preserve">C116:  Other taxes </v>
          </cell>
        </row>
        <row r="37">
          <cell r="M37" t="str">
            <v>A12:  Social contributions [121 + 122]</v>
          </cell>
          <cell r="O37" t="str">
            <v>C12:  Social contributions [121 + 122]</v>
          </cell>
        </row>
        <row r="38">
          <cell r="M38" t="str">
            <v>A121:  Social security contributions [1211 + 1212 + 1213 + 1214]</v>
          </cell>
          <cell r="O38" t="str">
            <v>C121:  Social security contributions [1211 + 1212 + 1213 + 1214]</v>
          </cell>
        </row>
        <row r="39">
          <cell r="M39" t="str">
            <v xml:space="preserve">A1211:  Social security contributions:  Employee contributions </v>
          </cell>
          <cell r="O39" t="str">
            <v xml:space="preserve">C1211:  Social security contributions:  Employee contributions </v>
          </cell>
        </row>
        <row r="40">
          <cell r="M40" t="str">
            <v xml:space="preserve">A1212:  Social security contributions:  Employer contributions </v>
          </cell>
          <cell r="O40" t="str">
            <v xml:space="preserve">C1212:  Social security contributions:  Employer contributions </v>
          </cell>
        </row>
        <row r="41">
          <cell r="M41" t="str">
            <v xml:space="preserve">A1213:  Social security contributions:  Self-employed or nonemployed contributions </v>
          </cell>
          <cell r="O41" t="str">
            <v xml:space="preserve">C1213:  Social security contributions:  Self-employed or nonemployed contributions </v>
          </cell>
        </row>
        <row r="42">
          <cell r="M42" t="str">
            <v xml:space="preserve">A1214:  Social security contributions:  Unallocable contributions </v>
          </cell>
          <cell r="O42" t="str">
            <v xml:space="preserve">C1214:  Social security contributions:  Unallocable contributions </v>
          </cell>
        </row>
        <row r="43">
          <cell r="M43" t="str">
            <v>A122:  Other social contributions [1221 + 1222 + 1223]</v>
          </cell>
          <cell r="O43" t="str">
            <v>C122:  Other social contributions [1221 + 1222 + 1223]</v>
          </cell>
        </row>
        <row r="44">
          <cell r="M44" t="str">
            <v xml:space="preserve">A1221:  Other social contributions : Employee contributions </v>
          </cell>
          <cell r="O44" t="str">
            <v xml:space="preserve">C1221:  Other social contributions : Employee contributions </v>
          </cell>
        </row>
        <row r="45">
          <cell r="M45" t="str">
            <v xml:space="preserve">A1222:  Other social contributions : Employer contributions </v>
          </cell>
          <cell r="O45" t="str">
            <v xml:space="preserve">C1222:  Other social contributions : Employer contributions </v>
          </cell>
        </row>
        <row r="46">
          <cell r="M46" t="str">
            <v xml:space="preserve">A1223:  Other social contributions : Imputed contributions </v>
          </cell>
          <cell r="O46" t="str">
            <v xml:space="preserve">C1223:  Other social contributions : Imputed contributions </v>
          </cell>
        </row>
        <row r="47">
          <cell r="M47" t="str">
            <v>A13:  Grants [131 + 132 + 133]</v>
          </cell>
          <cell r="O47" t="str">
            <v>C13:  Grants [131 + 132 + 133]</v>
          </cell>
        </row>
        <row r="48">
          <cell r="M48" t="str">
            <v>A131:  Grants from foreign governments [1311 + 1312]</v>
          </cell>
          <cell r="O48" t="str">
            <v>C131:  Grants from foreign governments [1311 + 1312]</v>
          </cell>
        </row>
        <row r="49">
          <cell r="M49" t="str">
            <v xml:space="preserve">A1311:  Grants from foreign governments: Current </v>
          </cell>
          <cell r="O49" t="str">
            <v xml:space="preserve">C1311:  Grants from foreign governments: Current </v>
          </cell>
        </row>
        <row r="50">
          <cell r="M50" t="str">
            <v xml:space="preserve">A1312:  Grants from foreign governments: Capital </v>
          </cell>
          <cell r="O50" t="str">
            <v xml:space="preserve">C1312:  Grants from foreign governments: Capital </v>
          </cell>
        </row>
        <row r="51">
          <cell r="M51" t="str">
            <v>A132:  Grants from international organizations [1321 + 1322]</v>
          </cell>
          <cell r="O51" t="str">
            <v>C132:  Grants from international organizations [1321 + 1322]</v>
          </cell>
        </row>
        <row r="52">
          <cell r="M52" t="str">
            <v xml:space="preserve">A1321:  Grants from international organizations: Current </v>
          </cell>
          <cell r="O52" t="str">
            <v xml:space="preserve">C1321:  Grants from international organizations: Current </v>
          </cell>
        </row>
        <row r="53">
          <cell r="M53" t="str">
            <v xml:space="preserve">A1322:  Grants from international organizations: Capital </v>
          </cell>
          <cell r="O53" t="str">
            <v xml:space="preserve">C1322:  Grants from international organizations: Capital </v>
          </cell>
        </row>
        <row r="54">
          <cell r="M54" t="str">
            <v>A133:  Grants from other general government units [1331 + 1332]</v>
          </cell>
          <cell r="O54" t="str">
            <v>C133:  Grants from other general government units [1331 + 1332]</v>
          </cell>
        </row>
        <row r="55">
          <cell r="M55" t="str">
            <v xml:space="preserve">A1331:  Grants from other general government units: Current </v>
          </cell>
          <cell r="O55" t="str">
            <v xml:space="preserve">C1331:  Grants from other general government units: Current </v>
          </cell>
        </row>
        <row r="56">
          <cell r="M56" t="str">
            <v xml:space="preserve">A1332:  Grants from other general government units: Capital </v>
          </cell>
          <cell r="O56" t="str">
            <v xml:space="preserve">C1332:  Grants from other general government units: Capital </v>
          </cell>
        </row>
        <row r="57">
          <cell r="M57" t="str">
            <v>A14:  Other revenue [141 + 142 + 143 + 144 + 145]</v>
          </cell>
          <cell r="O57" t="str">
            <v>C14:  Other revenue [141 + 142 + 143 + 144 + 145]</v>
          </cell>
        </row>
        <row r="58">
          <cell r="M58" t="str">
            <v>A141:  Other revenue: Property income [1411 + 1412 + 1413 + 1414 + 1415]</v>
          </cell>
          <cell r="O58" t="str">
            <v>C141:  Other revenue: Property income [1411 + 1412 + 1413 + 1414 + 1415]</v>
          </cell>
        </row>
        <row r="59">
          <cell r="M59" t="str">
            <v xml:space="preserve">A1411:  Other revenue: Property income: Interest </v>
          </cell>
          <cell r="O59" t="str">
            <v xml:space="preserve">C1411:  Other revenue: Property income: Interest </v>
          </cell>
        </row>
        <row r="60">
          <cell r="M60" t="str">
            <v xml:space="preserve">A1412:  Other revenue: Property income: Dividends </v>
          </cell>
          <cell r="O60" t="str">
            <v xml:space="preserve">C1412:  Other revenue: Property income: Dividends </v>
          </cell>
        </row>
        <row r="61">
          <cell r="M61" t="str">
            <v xml:space="preserve">A1413:  Other revenue: Property income: Withdrawals from income of quasi-corporations </v>
          </cell>
          <cell r="O61" t="str">
            <v xml:space="preserve">C1413:  Other revenue: Property income: Withdrawals from income of quasi-corporations </v>
          </cell>
        </row>
        <row r="62">
          <cell r="M62" t="str">
            <v xml:space="preserve">A1414:  Other revenue: Property income: Property income attrib to insurance policyholders </v>
          </cell>
          <cell r="O62" t="str">
            <v xml:space="preserve">C1414:  Other revenue: Property income: Property income attrib to insurance policyholders </v>
          </cell>
        </row>
        <row r="63">
          <cell r="M63" t="str">
            <v xml:space="preserve">A1415:  Other revenue: Property income: Rent </v>
          </cell>
          <cell r="O63" t="str">
            <v xml:space="preserve">C1415:  Other revenue: Property income: Rent </v>
          </cell>
        </row>
        <row r="64">
          <cell r="M64" t="str">
            <v>A142:  Other revenue: Sales of goods and services [1421 + 1422 + 1423 + 1424]</v>
          </cell>
          <cell r="O64" t="str">
            <v>C142:  Other revenue: Sales of goods and services [1421 + 1422 + 1423 + 1424]</v>
          </cell>
        </row>
        <row r="65">
          <cell r="M65" t="str">
            <v xml:space="preserve">A1421:  Other revenue: Sales of goods and services: Sales of market establishments </v>
          </cell>
          <cell r="O65" t="str">
            <v xml:space="preserve">C1421:  Other revenue: Sales of goods and services: Sales of market establishments </v>
          </cell>
        </row>
        <row r="66">
          <cell r="M66" t="str">
            <v xml:space="preserve">A1422:  Other revenue: Sales of goods and services: Administrative fees </v>
          </cell>
          <cell r="O66" t="str">
            <v xml:space="preserve">C1422:  Other revenue: Sales of goods and services: Administrative fees </v>
          </cell>
        </row>
        <row r="67">
          <cell r="M67" t="str">
            <v xml:space="preserve">A1423:  Other revenue: Sales of goods and services: Incidental sales by nonmarket establishments </v>
          </cell>
          <cell r="O67" t="str">
            <v xml:space="preserve">C1423:  Other revenue: Sales of goods and services: Incidental sales by nonmarket establishments </v>
          </cell>
        </row>
        <row r="68">
          <cell r="M68" t="str">
            <v xml:space="preserve">A1424:  Other revenue: Sales of goods and services: Imputed sales of goods and services </v>
          </cell>
          <cell r="O68" t="str">
            <v xml:space="preserve">C1424:  Other revenue: Sales of goods and services: Imputed sales of goods and services </v>
          </cell>
        </row>
        <row r="69">
          <cell r="M69" t="str">
            <v xml:space="preserve">A143:  Other revenue: Fines, penalties, and forfeits </v>
          </cell>
          <cell r="O69" t="str">
            <v xml:space="preserve">C143:  Other revenue: Fines, penalties, and forfeits </v>
          </cell>
        </row>
        <row r="70">
          <cell r="M70" t="str">
            <v>A144:  Other revenue: Voluntary transfers other than grants [1441 + 1442]</v>
          </cell>
          <cell r="O70" t="str">
            <v>C144:  Other revenue: Voluntary transfers other than grants [1441 + 1442]</v>
          </cell>
        </row>
        <row r="71">
          <cell r="M71" t="str">
            <v xml:space="preserve">A1441:  Other revenue: Voluntary transfers other than grants:  Current </v>
          </cell>
          <cell r="O71" t="str">
            <v xml:space="preserve">C1441:  Other revenue: Voluntary transfers other than grants:  Current </v>
          </cell>
        </row>
        <row r="72">
          <cell r="M72" t="str">
            <v xml:space="preserve">A1442:  Other revenue: Voluntary transfers other than grants : Capital </v>
          </cell>
          <cell r="O72" t="str">
            <v xml:space="preserve">C1442:  Other revenue: Voluntary transfers other than grants : Capital </v>
          </cell>
        </row>
        <row r="73">
          <cell r="M73" t="str">
            <v xml:space="preserve">A145:  Other revenue: Miscellaneous and unidentified revenue </v>
          </cell>
          <cell r="O73" t="str">
            <v xml:space="preserve">C145:  Other revenue: Miscellaneous and unidentified revenue </v>
          </cell>
        </row>
        <row r="74">
          <cell r="M74" t="str">
            <v>A2:  EXPENSE [21 + 22 + 23 + 24 + 25 + 26 + 27 + 28]</v>
          </cell>
          <cell r="O74" t="str">
            <v>C2:  EXPENSE [21 + 22 + 23 + 24 + 25 + 26 + 27 + 28]</v>
          </cell>
        </row>
        <row r="75">
          <cell r="M75" t="str">
            <v>A21:  Compensation of employees [211 + 212]</v>
          </cell>
          <cell r="O75" t="str">
            <v>C21:  Compensation of employees [211 + 212]</v>
          </cell>
        </row>
        <row r="76">
          <cell r="M76" t="str">
            <v xml:space="preserve">A211:  Compensation of employees: Wages and salaries </v>
          </cell>
          <cell r="O76" t="str">
            <v xml:space="preserve">C211:  Compensation of employees: Wages and salaries </v>
          </cell>
        </row>
        <row r="77">
          <cell r="M77" t="str">
            <v>A212:  Compensation of employees: Social contributions [2121 + 2122]</v>
          </cell>
          <cell r="O77" t="str">
            <v>C212:  Compensation of employees: Social contributions [2121 + 2122]</v>
          </cell>
        </row>
        <row r="78">
          <cell r="M78" t="str">
            <v xml:space="preserve">A2121:  Compensation of employees: Actual social contributions </v>
          </cell>
          <cell r="O78" t="str">
            <v xml:space="preserve">C2121:  Compensation of employees: Actual social contributions </v>
          </cell>
        </row>
        <row r="79">
          <cell r="M79" t="str">
            <v xml:space="preserve">A2122:  Compensation of employees: Imputed social contributions </v>
          </cell>
          <cell r="O79" t="str">
            <v xml:space="preserve">C2122:  Compensation of employees: Imputed social contributions </v>
          </cell>
        </row>
        <row r="80">
          <cell r="M80" t="str">
            <v xml:space="preserve">A22:  Use of goods and services </v>
          </cell>
          <cell r="O80" t="str">
            <v xml:space="preserve">C22:  Purchases of goods and services </v>
          </cell>
        </row>
        <row r="81">
          <cell r="M81" t="str">
            <v xml:space="preserve">A23:  Consumption of fixed capital </v>
          </cell>
          <cell r="O81" t="str">
            <v>Not applicable</v>
          </cell>
        </row>
        <row r="82">
          <cell r="M82" t="str">
            <v>A24:  Interest [241 + 242 + 243]</v>
          </cell>
          <cell r="O82" t="str">
            <v>C24:  Interest [241 + 242 + 243]</v>
          </cell>
        </row>
        <row r="83">
          <cell r="M83" t="str">
            <v xml:space="preserve">A241:  Interest : To nonresidents </v>
          </cell>
          <cell r="O83" t="str">
            <v xml:space="preserve">C241:  Interest : To nonresidents </v>
          </cell>
        </row>
        <row r="84">
          <cell r="M84" t="str">
            <v xml:space="preserve">A242:  Interest : To residents other than general government </v>
          </cell>
          <cell r="O84" t="str">
            <v xml:space="preserve">C242:  Interest : To residents other than general government </v>
          </cell>
        </row>
        <row r="85">
          <cell r="M85" t="str">
            <v xml:space="preserve">A243:  Interest : To other general government units </v>
          </cell>
          <cell r="O85" t="str">
            <v xml:space="preserve">C243:  Interest : To other general government units </v>
          </cell>
        </row>
        <row r="86">
          <cell r="M86" t="str">
            <v>A25:  Subsidies [251 + 252]</v>
          </cell>
          <cell r="O86" t="str">
            <v>C25:  Subsidies [251 + 252]</v>
          </cell>
        </row>
        <row r="87">
          <cell r="M87" t="str">
            <v xml:space="preserve">A251:  Subsidies: To public corporations </v>
          </cell>
          <cell r="O87" t="str">
            <v xml:space="preserve">C251:  Subsidies: To public corporations </v>
          </cell>
        </row>
        <row r="88">
          <cell r="M88" t="str">
            <v xml:space="preserve">A252:  Subsidies: To private enterprises </v>
          </cell>
          <cell r="O88" t="str">
            <v xml:space="preserve">C252:  Subsidies: To private enterprises </v>
          </cell>
        </row>
        <row r="89">
          <cell r="M89" t="str">
            <v>A26:  Grants [262 + 262 + 263]</v>
          </cell>
          <cell r="O89" t="str">
            <v>C26:  Grants [262 + 262 + 263]</v>
          </cell>
        </row>
        <row r="90">
          <cell r="M90" t="str">
            <v>A261:  To foreign governments [2611 + 2612]</v>
          </cell>
          <cell r="O90" t="str">
            <v>C261:  To foreign governments [2611 + 2612]</v>
          </cell>
        </row>
        <row r="91">
          <cell r="M91" t="str">
            <v xml:space="preserve">A2611:  To foreign governments :  Current </v>
          </cell>
          <cell r="O91" t="str">
            <v xml:space="preserve">C2611:  To foreign governments :  Current </v>
          </cell>
        </row>
        <row r="92">
          <cell r="M92" t="str">
            <v xml:space="preserve">A2612:  To foreign governments :  Capital </v>
          </cell>
          <cell r="O92" t="str">
            <v xml:space="preserve">C2612:  To foreign governments :  Capital </v>
          </cell>
        </row>
        <row r="93">
          <cell r="M93" t="str">
            <v>A262:  To international organizations  [2621 + 2622]</v>
          </cell>
          <cell r="O93" t="str">
            <v>C262:  To international organizations  [2621 + 2622]</v>
          </cell>
        </row>
        <row r="94">
          <cell r="M94" t="str">
            <v xml:space="preserve">A2621:  To international organizations : Current </v>
          </cell>
          <cell r="O94" t="str">
            <v xml:space="preserve">C2621:  To international organizations : Current </v>
          </cell>
        </row>
        <row r="95">
          <cell r="M95" t="str">
            <v xml:space="preserve">A2622:  To international organizations : Capital </v>
          </cell>
          <cell r="O95" t="str">
            <v xml:space="preserve">C2622:  To international organizations : Capital </v>
          </cell>
        </row>
        <row r="96">
          <cell r="M96" t="str">
            <v>A263:  To other general government units [2631 + 2632]</v>
          </cell>
          <cell r="O96" t="str">
            <v>C263:  To other general government units [2631 + 2632]</v>
          </cell>
        </row>
        <row r="97">
          <cell r="M97" t="str">
            <v xml:space="preserve">A2631:  To other general government units: Current </v>
          </cell>
          <cell r="O97" t="str">
            <v xml:space="preserve">C2631:  To other general government units: Current </v>
          </cell>
        </row>
        <row r="98">
          <cell r="M98" t="str">
            <v xml:space="preserve">A2632:  To other general government units: Capital </v>
          </cell>
          <cell r="O98" t="str">
            <v xml:space="preserve">C2632:  To other general government units: Capital </v>
          </cell>
        </row>
        <row r="99">
          <cell r="M99" t="str">
            <v>A27:  Social benefits [271 + 272 + 273]</v>
          </cell>
          <cell r="O99" t="str">
            <v>C27:  Social benefits [271 + 272 + 273]</v>
          </cell>
        </row>
        <row r="100">
          <cell r="M100" t="str">
            <v xml:space="preserve">A271:  Social benefits: Social security benefits </v>
          </cell>
          <cell r="O100" t="str">
            <v xml:space="preserve">C271:  Social benefits: Social security benefits </v>
          </cell>
        </row>
        <row r="101">
          <cell r="M101" t="str">
            <v xml:space="preserve">A272:  Social benefits: Social assistance benefits </v>
          </cell>
          <cell r="O101" t="str">
            <v xml:space="preserve">C272:  Social benefits: Social assistance benefits </v>
          </cell>
        </row>
        <row r="102">
          <cell r="M102" t="str">
            <v xml:space="preserve">A273:  Social benefits: Employer social benefits </v>
          </cell>
          <cell r="O102" t="str">
            <v xml:space="preserve">C273:  Social benefits: Employer social benefits </v>
          </cell>
        </row>
        <row r="103">
          <cell r="M103" t="str">
            <v>A28:  Other expense [281 + 282]</v>
          </cell>
          <cell r="O103" t="str">
            <v>C28:  Other expense [281 + 282]</v>
          </cell>
        </row>
        <row r="104">
          <cell r="M104" t="str">
            <v xml:space="preserve">A281:  Other expense:  Property expense other than interest </v>
          </cell>
          <cell r="O104" t="str">
            <v xml:space="preserve">C281:  Other expense:  Property expense other than interest </v>
          </cell>
        </row>
        <row r="105">
          <cell r="M105" t="str">
            <v>A282:  Other expense:  Miscellaneous other expense [2821 + 2822]</v>
          </cell>
          <cell r="O105" t="str">
            <v>C282:  Other expense:  Miscellaneous other expense [2821 + 2822]</v>
          </cell>
        </row>
        <row r="106">
          <cell r="M106" t="str">
            <v xml:space="preserve">A2821:  Other expense:  Miscellaneous other expense:  Current </v>
          </cell>
          <cell r="O106" t="str">
            <v xml:space="preserve">C2821:  Other expense:  Miscellaneous other expense:  Current </v>
          </cell>
        </row>
        <row r="107">
          <cell r="M107" t="str">
            <v xml:space="preserve">A2822:  Other expense:  Miscellaneous other expense:  Capital </v>
          </cell>
          <cell r="O107" t="str">
            <v xml:space="preserve">C2822:  Other expense:  Miscellaneous other expense:  Capital </v>
          </cell>
        </row>
        <row r="108">
          <cell r="M108" t="str">
            <v>A3:  CHANGE IN NET WORTH: TRANSACTIONS [31 + 32 - 33]</v>
          </cell>
          <cell r="O108" t="str">
            <v>Not applicable</v>
          </cell>
        </row>
        <row r="109">
          <cell r="M109" t="str">
            <v>A31:  Transactions - Net acquisition of nonfinancial assets [311 + 312 + 313 + 314]</v>
          </cell>
          <cell r="O109" t="str">
            <v>C31:  Transactions - Net acquisition of nonfinancial assets [311 + 312 + 313 + 314]</v>
          </cell>
        </row>
        <row r="110">
          <cell r="M110" t="str">
            <v>A311:  Transactions - Fixed assets [311.1 - 311.2 - 311.3] OR [3111 + 3112 + 3113 + 3114]</v>
          </cell>
          <cell r="O110" t="str">
            <v>C311:  Transactions - Fixed assets [311.1 - 311.2 - 311.3] OR [3111 + 3112 + 3113 + 3114]</v>
          </cell>
        </row>
        <row r="111">
          <cell r="M111" t="str">
            <v>A311.1:  Transactions - Acquisitions: fixed assets [3111.1 + 3112.1 + 3113.1]</v>
          </cell>
          <cell r="O111" t="str">
            <v>C311.1:  Transactions - Acquisitions: fixed assets [3111.1 + 3112.1 + 3113.1]</v>
          </cell>
        </row>
        <row r="112">
          <cell r="M112" t="str">
            <v>A311.2:  Transactions - Disposals: fixed assets [3111.2 + 3112.2 + 3113.2]</v>
          </cell>
          <cell r="O112" t="str">
            <v>C311.2:  Transactions - Disposals: fixed assets [3111.2 + 3112.2 + 3113.2]</v>
          </cell>
        </row>
        <row r="113">
          <cell r="M113" t="str">
            <v>A311.3:  Transactions - Consumption of fixed capital (CFC): fixed assets [3111.3 + 3112.3 + 3113.3]</v>
          </cell>
          <cell r="O113" t="str">
            <v>Not applicable</v>
          </cell>
        </row>
        <row r="114">
          <cell r="M114" t="str">
            <v>A3111:  Transactions - Fixed assets: Buildings and structures [3111.1 - 3111.2 - 3111.3]</v>
          </cell>
          <cell r="O114" t="str">
            <v>C3111:  Transactions - Fixed assets: Buildings and structures [3111.1 - 3111.2 - 3111.3]</v>
          </cell>
        </row>
        <row r="115">
          <cell r="M115" t="str">
            <v xml:space="preserve">A3111.1:  Transactions - Acquisitions: buildings and structures </v>
          </cell>
          <cell r="O115" t="str">
            <v xml:space="preserve">C3111.1:  Transactions - Acquisitions: buildings and structures </v>
          </cell>
        </row>
        <row r="116">
          <cell r="M116" t="str">
            <v xml:space="preserve">A3111.2:  Transactions - Disposals: buildings and structures </v>
          </cell>
          <cell r="O116" t="str">
            <v xml:space="preserve">C3111.2:  Transactions - Disposals: buildings and structures </v>
          </cell>
        </row>
        <row r="117">
          <cell r="M117" t="str">
            <v xml:space="preserve">A3111.3:  Transactions - CFC: buildings and structures </v>
          </cell>
          <cell r="O117" t="str">
            <v>Not applicable</v>
          </cell>
        </row>
        <row r="118">
          <cell r="M118" t="str">
            <v>A3112:  Transactions - Fixed assets:  Machinery and equipment  [3112.1 - 3112.2 - 3112.3]</v>
          </cell>
          <cell r="O118" t="str">
            <v>C3112:  Transactions - Fixed assets:  Machinery and equipment  [3112.1 - 3112.2 - 3112.3]</v>
          </cell>
        </row>
        <row r="119">
          <cell r="M119" t="str">
            <v xml:space="preserve">A3112.1:  Transactions - Acquisitions: machinery and equipment </v>
          </cell>
          <cell r="O119" t="str">
            <v xml:space="preserve">C3112.1:  Transactions - Acquisitions: machinery and equipment </v>
          </cell>
        </row>
        <row r="120">
          <cell r="M120" t="str">
            <v xml:space="preserve">A3112.2:  Transactions - Disposals: machinery and equipment </v>
          </cell>
          <cell r="O120" t="str">
            <v xml:space="preserve">C3112.2:  Transactions - Disposals: machinery and equipment </v>
          </cell>
        </row>
        <row r="121">
          <cell r="M121" t="str">
            <v xml:space="preserve">A3112.3:  Transactions - CFC: machinery and equipment </v>
          </cell>
          <cell r="O121" t="str">
            <v>Not applicable</v>
          </cell>
        </row>
        <row r="122">
          <cell r="M122" t="str">
            <v>A3113:  Transactions - Fixed assets:  Other fixed assets  [3113.1 - 3113.2 - 3113.3]</v>
          </cell>
          <cell r="O122" t="str">
            <v>C3113:  Transactions - Fixed assets:  Other fixed assets  [3113.1 - 3113.2 - 3113.3]</v>
          </cell>
        </row>
        <row r="123">
          <cell r="M123" t="str">
            <v xml:space="preserve">A3113.1:  Transactions - Acquisitions: other fixed assets </v>
          </cell>
          <cell r="O123" t="str">
            <v xml:space="preserve">C3113.1:  Transactions - Acquisitions: other fixed assets </v>
          </cell>
        </row>
        <row r="124">
          <cell r="M124" t="str">
            <v xml:space="preserve">A3113.2:  Transactions - Disposals: other fixed assets </v>
          </cell>
          <cell r="O124" t="str">
            <v xml:space="preserve">C3113.2:  Transactions - Disposals: other fixed assets </v>
          </cell>
        </row>
        <row r="125">
          <cell r="M125" t="str">
            <v xml:space="preserve">A3113.3:  Transactions - CFC: other fixed assets </v>
          </cell>
          <cell r="O125" t="str">
            <v>Not applicable</v>
          </cell>
        </row>
        <row r="126">
          <cell r="M126" t="str">
            <v xml:space="preserve">A312:  Transactions - Inventories </v>
          </cell>
          <cell r="O126" t="str">
            <v xml:space="preserve">C312:  Transactions - Inventories </v>
          </cell>
        </row>
        <row r="127">
          <cell r="M127" t="str">
            <v>A3121: CNW - Transactions - Strategic stocks</v>
          </cell>
          <cell r="O127" t="str">
            <v>C312.1: CNW - Acquisitions</v>
          </cell>
        </row>
        <row r="128">
          <cell r="M128" t="str">
            <v>A3122:  CNW - Transactions - Other Inventories</v>
          </cell>
          <cell r="O128" t="str">
            <v>C312.2:  CNW - Disposals</v>
          </cell>
        </row>
        <row r="129">
          <cell r="M129" t="str">
            <v>A313:  Transactions - Valuables [313.1 - 313.2]</v>
          </cell>
          <cell r="O129" t="str">
            <v>C313:  Transactions - Valuables [313.1 - 313.2]</v>
          </cell>
        </row>
        <row r="130">
          <cell r="M130" t="str">
            <v xml:space="preserve">A313.1:  Transactions - Acquisitions: valuables </v>
          </cell>
          <cell r="O130" t="str">
            <v xml:space="preserve">C313.1:  Transactions - Acquisitions: valuables </v>
          </cell>
        </row>
        <row r="131">
          <cell r="M131" t="str">
            <v xml:space="preserve">A313.2:  Transactions - Disposals: valuables </v>
          </cell>
          <cell r="O131" t="str">
            <v xml:space="preserve">C313.2:  Transactions - Disposals: valuables </v>
          </cell>
        </row>
        <row r="132">
          <cell r="M132" t="str">
            <v>A314:  Transactions - Nonproduced assets [314.1 - 314.2 - 314.3]</v>
          </cell>
          <cell r="O132" t="str">
            <v>C314:  Transactions - Nonproduced assets [314.1 - 314.2 - 314.3]</v>
          </cell>
        </row>
        <row r="133">
          <cell r="M133" t="str">
            <v>A314.1:  Transactions - Acquisitions: nonproduced assets [3141.1 + 3142.1 + 3143.1 + 3144.1]</v>
          </cell>
          <cell r="O133" t="str">
            <v>C314.1:  Transactions - Acquisitions: nonproduced assets [3141.1 + 3142.1 + 3143.1 + 3144.1]</v>
          </cell>
        </row>
        <row r="134">
          <cell r="M134" t="str">
            <v>A314.2:  Transactions - Disposals: nonproduced assets [3141.2 + 3142.2 + 3143.2 + 3144.2]</v>
          </cell>
          <cell r="O134" t="str">
            <v>C314.2:  Transactions - Disposals: nonproduced assets [3141.2 + 3142.2 + 3143.2 + 3144.2]</v>
          </cell>
        </row>
        <row r="135">
          <cell r="M135" t="str">
            <v>A314.3:  Transactions - CFC: major improvements, nonproduced assets [3141.3 + 3142.3 + 3143.3+ 3144.3]</v>
          </cell>
          <cell r="O135" t="str">
            <v>Not applicable</v>
          </cell>
        </row>
        <row r="136">
          <cell r="M136" t="str">
            <v>A3141:  Transactions - Nonproduced assets: Land  [3141.1 -3141.2 - 3141.3]</v>
          </cell>
          <cell r="O136" t="str">
            <v>C3141:  Transactions - Nonproduced assets: Land  [3141.1 -3141.2 - 3141.3]</v>
          </cell>
        </row>
        <row r="137">
          <cell r="M137" t="str">
            <v xml:space="preserve">A3141.1:  Transactions - Acquisitions: land </v>
          </cell>
          <cell r="O137" t="str">
            <v xml:space="preserve">C3141.1:  Transactions - Acquisitions: land </v>
          </cell>
        </row>
        <row r="138">
          <cell r="M138" t="str">
            <v xml:space="preserve">A3141.2:  Transactions - Disposals: land </v>
          </cell>
          <cell r="O138" t="str">
            <v xml:space="preserve">C3141.2:  Transactions - Disposals: land </v>
          </cell>
        </row>
        <row r="139">
          <cell r="M139" t="str">
            <v xml:space="preserve">A3141.3:  Transactions - CFC: major improvements, land </v>
          </cell>
          <cell r="O139" t="str">
            <v>Not applicable</v>
          </cell>
        </row>
        <row r="140">
          <cell r="M140" t="str">
            <v>A3142:  Transactions - Nonproduced assets: Subsoil assets [3142.1 - 3142.2 - 3142.3]</v>
          </cell>
          <cell r="O140" t="str">
            <v>C3142:  Transactions - Nonproduced assets: Subsoil assets [3142.1 - 3142.2 - 3142.3]</v>
          </cell>
        </row>
        <row r="141">
          <cell r="M141" t="str">
            <v xml:space="preserve">A3142.1:  Transactions - Acquisitions: subsoil assets </v>
          </cell>
          <cell r="O141" t="str">
            <v xml:space="preserve">C3142.1:  Transactions - Acquisitions: subsoil assets </v>
          </cell>
        </row>
        <row r="142">
          <cell r="M142" t="str">
            <v xml:space="preserve">A3142.2:  Transactions - Disposals: subsoil assets </v>
          </cell>
          <cell r="O142" t="str">
            <v xml:space="preserve">C3142.2:  Transactions - Disposals: subsoil assets </v>
          </cell>
        </row>
        <row r="143">
          <cell r="M143" t="str">
            <v xml:space="preserve">A3142.3:  Transactions - CFC: major improvements, subsoil assets </v>
          </cell>
          <cell r="O143" t="str">
            <v>Not applicable</v>
          </cell>
        </row>
        <row r="144">
          <cell r="M144" t="str">
            <v>A3143:  Transactions - Nonproduced assets: Other naturally occurring assets  [3143.1 - 3143.2]</v>
          </cell>
          <cell r="O144" t="str">
            <v>C3143:  Transactions - Nonproduced assets: Other naturally occurring assets  [3143.1 - 3143.2]</v>
          </cell>
        </row>
        <row r="145">
          <cell r="M145" t="str">
            <v xml:space="preserve">A3143.1:  Transactions - Acquisitions: other naturally occurring assets </v>
          </cell>
          <cell r="O145" t="str">
            <v xml:space="preserve">C3143.1:  Transactions - Acquisitions: other naturally occurring assets </v>
          </cell>
        </row>
        <row r="146">
          <cell r="M146" t="str">
            <v xml:space="preserve">A3143.2:  Transactions - Disposals: other naturally occurring assets </v>
          </cell>
          <cell r="O146" t="str">
            <v xml:space="preserve">C3143.2:  Transactions - Disposals: other naturally occurring assets </v>
          </cell>
        </row>
        <row r="147">
          <cell r="M147" t="str">
            <v>A3144:  Transactions - Nonproduced assets: Intangible nonproduced assets  [3144.1 - 3144.2]</v>
          </cell>
          <cell r="O147" t="str">
            <v>C3144:  Transactions - Nonproduced assets: Intangible nonproduced assets  [3144.1 - 3144.2]</v>
          </cell>
        </row>
        <row r="148">
          <cell r="M148" t="str">
            <v xml:space="preserve">A3144.1:  Transactions - Acquisitions: intangible nonproduced assets </v>
          </cell>
          <cell r="O148" t="str">
            <v xml:space="preserve">C3144.1:  Transactions - Acquisitions: intangible nonproduced assets </v>
          </cell>
        </row>
        <row r="149">
          <cell r="M149" t="str">
            <v xml:space="preserve">A3144.2:  Transactions - Disposals: intangible nonproduced assets </v>
          </cell>
          <cell r="O149" t="str">
            <v xml:space="preserve">C3144.2:  Transactions - Disposals: intangible nonproduced assets </v>
          </cell>
        </row>
        <row r="150">
          <cell r="M150" t="str">
            <v>A32:  Transactions - Net acquisition of financial assets [3202 + 3203 + 3204 + 3205 + 3206 + 3207 + 3208]</v>
          </cell>
          <cell r="O150" t="str">
            <v>C32:  Transactions - Net acquisition of financial assets [3202 + 3203 + 3204 + 3205 + 3206 + 3207 + 3208]</v>
          </cell>
        </row>
        <row r="151">
          <cell r="M151" t="str">
            <v xml:space="preserve">A3202:  Transactions - Net acquisition of financial assets :  Currency and deposits [3212+3222] </v>
          </cell>
          <cell r="O151" t="str">
            <v xml:space="preserve">C3202:  Transactions - Net acquisition of financial assets :  Currency and deposits [3212+3222] </v>
          </cell>
        </row>
        <row r="152">
          <cell r="M152" t="str">
            <v xml:space="preserve">A3203:  Transactions - Net acquisition of financial assets :  Securities other than shares [3213+3223] </v>
          </cell>
          <cell r="O152" t="str">
            <v xml:space="preserve">C3203:  Transactions - Net acquisition of financial assets :  Securities other than shares [3213+3223] </v>
          </cell>
        </row>
        <row r="153">
          <cell r="M153" t="str">
            <v xml:space="preserve">A3204:  Transactions - Net acquisition of financial assets :  Loans [3214+3224] </v>
          </cell>
          <cell r="O153" t="str">
            <v xml:space="preserve">C3204:  Transactions - Net acquisition of financial assets :  Loans [3214+3224] </v>
          </cell>
        </row>
        <row r="154">
          <cell r="M154" t="str">
            <v xml:space="preserve">A3205:  Transactions - Net acquisition of financial assets :  Shares and other equity [3215+3225] </v>
          </cell>
          <cell r="O154" t="str">
            <v xml:space="preserve">C3205:  Transactions - Net acquisition of financial assets :  Shares and other equity [3215+3225] </v>
          </cell>
        </row>
        <row r="155">
          <cell r="M155" t="str">
            <v xml:space="preserve">A3206:  Transactions - Net acquisition of financial assets :  Insurance technical reserves [3216+3226] </v>
          </cell>
          <cell r="O155" t="str">
            <v xml:space="preserve">C3206:  Transactions - Net acquisition of financial assets :  Insurance technical reserves [3216+3226] </v>
          </cell>
        </row>
        <row r="156">
          <cell r="M156" t="str">
            <v xml:space="preserve">A3207:  Transactions - Net acquisition of financial assets :  Financial derivatives [3217+3227] </v>
          </cell>
          <cell r="O156" t="str">
            <v xml:space="preserve">C3207:  Transactions - Net acquisition of financial assets :  Financial derivatives [3217+3227] </v>
          </cell>
        </row>
        <row r="157">
          <cell r="M157" t="str">
            <v xml:space="preserve">A3208:  Transactions - Net acquisition of financial assets :  Other accounts receivable [3218+3228] </v>
          </cell>
          <cell r="O157" t="str">
            <v xml:space="preserve">C3208:  Transactions - Net acquisition of financial assets :  Other accounts receivable [3218+3228] </v>
          </cell>
        </row>
        <row r="158">
          <cell r="M158" t="str">
            <v>A321:  Transactions - Net acquisition of financial assets :  Domestic [3212 + 3213 + 3214 + 3215 + 3216 + 3217 + 3218]</v>
          </cell>
          <cell r="O158" t="str">
            <v>C321:  Transactions - Net acquisition of financial assets :  Domestic [3212 + 3213 + 3214 + 3215 + 3216 + 3217 + 3218]</v>
          </cell>
        </row>
        <row r="159">
          <cell r="M159" t="str">
            <v xml:space="preserve">A3212:  Transactions - Net acquisition of financial assets :  Domestic - Currency and deposits </v>
          </cell>
          <cell r="O159" t="str">
            <v xml:space="preserve">C3212:  Transactions - Net acquisition of financial assets :  Domestic - Currency and deposits </v>
          </cell>
        </row>
        <row r="160">
          <cell r="M160" t="str">
            <v xml:space="preserve">A3213:  Transactions - Net acquisition of financial assets :  Domestic - Securities other than shares </v>
          </cell>
          <cell r="O160" t="str">
            <v xml:space="preserve">C3213:  Transactions - Net acquisition of financial assets :  Domestic - Securities other than shares </v>
          </cell>
        </row>
        <row r="161">
          <cell r="M161" t="str">
            <v xml:space="preserve">A3214:  Transactions - Net acquisition of financial assets :  Domestic - Loans </v>
          </cell>
          <cell r="O161" t="str">
            <v xml:space="preserve">C3214:  Transactions - Net acquisition of financial assets :  Domestic - Loans </v>
          </cell>
        </row>
        <row r="162">
          <cell r="M162" t="str">
            <v xml:space="preserve">A3215:  Transactions - Net acquisition of financial assets :  Domestic - Shares and other equity </v>
          </cell>
          <cell r="O162" t="str">
            <v xml:space="preserve">C3215:  Transactions - Net acquisition of financial assets :  Domestic - Shares and other equity </v>
          </cell>
        </row>
        <row r="163">
          <cell r="M163" t="str">
            <v xml:space="preserve">A3216:  Transactions - Net acquisition of financial assets :  Domestic - Insurance technical reserves </v>
          </cell>
          <cell r="O163" t="str">
            <v xml:space="preserve">C3216:  Transactions - Net acquisition of financial assets :  Domestic - Insurance technical reserves </v>
          </cell>
        </row>
        <row r="164">
          <cell r="M164" t="str">
            <v xml:space="preserve">A3217:  Transactions - Net acquisition of financial assets :  Domestic - Financial derivatives </v>
          </cell>
          <cell r="O164" t="str">
            <v xml:space="preserve">C3217:  Transactions - Net acquisition of financial assets :  Domestic - Financial derivatives </v>
          </cell>
        </row>
        <row r="165">
          <cell r="M165" t="str">
            <v xml:space="preserve">A3218:  Transactions - Net acquisition of financial assets :  Domestic - Other accounts receivable </v>
          </cell>
          <cell r="O165" t="str">
            <v xml:space="preserve">C3218:  Transactions - Net acquisition of financial assets :  Domestic - Other accounts receivable </v>
          </cell>
        </row>
        <row r="166">
          <cell r="M166" t="str">
            <v>A322:  Transactions - Net acquisition of financial assets :  Foreign [3222 + 3223 + 3224 + 3225 + 3226 + 3227 + 3228]</v>
          </cell>
          <cell r="O166" t="str">
            <v>C322:  Transactions - Net acquisition of financial assets :  Foreign [3222 + 3223 + 3224 + 3225 + 3226 + 3227 + 3228]</v>
          </cell>
        </row>
        <row r="167">
          <cell r="M167" t="str">
            <v xml:space="preserve">A3222:  Transactions - Net acquisition of financial assets :  Foreign - Currency and deposits </v>
          </cell>
          <cell r="O167" t="str">
            <v xml:space="preserve">C3222:  Transactions - Net acquisition of financial assets :  Foreign - Currency and deposits </v>
          </cell>
        </row>
        <row r="168">
          <cell r="M168" t="str">
            <v xml:space="preserve">A3223:  Transactions - Net acquisition of financial assets :  Foreign - Securities other than shares </v>
          </cell>
          <cell r="O168" t="str">
            <v xml:space="preserve">C3223:  Transactions - Net acquisition of financial assets :  Foreign - Securities other than shares </v>
          </cell>
        </row>
        <row r="169">
          <cell r="M169" t="str">
            <v xml:space="preserve">A3224:  Transactions - Net acquisition of financial assets :  Foreign - Loans </v>
          </cell>
          <cell r="O169" t="str">
            <v xml:space="preserve">C3224:  Transactions - Net acquisition of financial assets :  Foreign - Loans </v>
          </cell>
        </row>
        <row r="170">
          <cell r="M170" t="str">
            <v xml:space="preserve">A3225:  Transactions - Net acquisition of financial assets :  Foreign - Shares and other equity </v>
          </cell>
          <cell r="O170" t="str">
            <v xml:space="preserve">C3225:  Transactions - Net acquisition of financial assets :  Foreign - Shares and other equity </v>
          </cell>
        </row>
        <row r="171">
          <cell r="M171" t="str">
            <v xml:space="preserve">A3226:  Transactions - Net acquisition of financial assets :  Foreign - Insurance technical reserves </v>
          </cell>
          <cell r="O171" t="str">
            <v xml:space="preserve">C3226:  Transactions - Net acquisition of financial assets :  Foreign - Insurance technical reserves </v>
          </cell>
        </row>
        <row r="172">
          <cell r="M172" t="str">
            <v xml:space="preserve">A3227:  Transactions - Net acquisition of financial assets :  Foreign - Financial derivatives </v>
          </cell>
          <cell r="O172" t="str">
            <v xml:space="preserve">C3227:  Transactions - Net acquisition of financial assets :  Foreign - Financial derivatives </v>
          </cell>
        </row>
        <row r="173">
          <cell r="M173" t="str">
            <v xml:space="preserve">A3228:  Transactions - Net acquisition of financial assets :  Foreign - Other accounts receivable </v>
          </cell>
          <cell r="O173" t="str">
            <v xml:space="preserve">C3228:  Transactions - Net acquisition of financial assets :  Foreign - Other accounts receivable </v>
          </cell>
        </row>
        <row r="174">
          <cell r="M174" t="str">
            <v xml:space="preserve">A323:  Transactions - Monetary gold and SDRs </v>
          </cell>
          <cell r="O174" t="str">
            <v xml:space="preserve">C323:  Transactions - Monetary gold and SDRs </v>
          </cell>
        </row>
        <row r="175">
          <cell r="M175" t="str">
            <v>A33:  Transactions - Net incurrence of liabilities [3322 + 3323 + 3324 + 3325 + 3326 + 3327 + 3328]</v>
          </cell>
          <cell r="O175" t="str">
            <v>C33:  Transactions - Net incurrence of liabilities [3322 + 3323 + 3324 + 3325 + 3326 + 3327 + 3328]</v>
          </cell>
        </row>
        <row r="176">
          <cell r="M176" t="str">
            <v xml:space="preserve">A3302:  Transactions - Net incurrence of liabilities: Currency and deposits [3312+3322] </v>
          </cell>
          <cell r="O176" t="str">
            <v xml:space="preserve">C3302:  Transactions - Net incurrence of liabilities: Currency and deposits [3312+3322] </v>
          </cell>
        </row>
        <row r="177">
          <cell r="M177" t="str">
            <v xml:space="preserve">A3303:  Transactions - Net incurrence of liabilities: Securities other than shares [3313+3323] </v>
          </cell>
          <cell r="O177" t="str">
            <v xml:space="preserve">C3303:  Transactions - Net incurrence of liabilities: Securities other than shares [3313+3323] </v>
          </cell>
        </row>
        <row r="178">
          <cell r="M178" t="str">
            <v xml:space="preserve">A3304:  Transactions - Net incurrence of liabilities: Loans [3314+3324] </v>
          </cell>
          <cell r="O178" t="str">
            <v xml:space="preserve">C3304:  Transactions - Net incurrence of liabilities: Loans [3314+3324] </v>
          </cell>
        </row>
        <row r="179">
          <cell r="M179" t="str">
            <v xml:space="preserve">A3305:  Transactions - Net incurrence of liabilities: Shares and other equity [3315+3325] </v>
          </cell>
          <cell r="O179" t="str">
            <v xml:space="preserve">C3305:  Transactions - Net incurrence of liabilities: Shares and other equity [3315+3325] </v>
          </cell>
        </row>
        <row r="180">
          <cell r="M180" t="str">
            <v xml:space="preserve">A3306:  Transactions - Net incurrence of liabilities: Insurance technical reserves [3316+3326] </v>
          </cell>
          <cell r="O180" t="str">
            <v xml:space="preserve">C3306:  Transactions - Net incurrence of liabilities: Insurance technical reserves [3316+3326] </v>
          </cell>
        </row>
        <row r="181">
          <cell r="M181" t="str">
            <v xml:space="preserve">A3307:  Transactions - Net incurrence of liabilities: Financial derivatives [3317+3327] </v>
          </cell>
          <cell r="O181" t="str">
            <v xml:space="preserve">C3307:  Transactions - Net incurrence of liabilities: Financial derivatives [3317+3327] </v>
          </cell>
        </row>
        <row r="182">
          <cell r="M182" t="str">
            <v xml:space="preserve">A3308:  Transactions - Net incurrence of liabilities: Other accounts payable [3318+3328] </v>
          </cell>
          <cell r="O182" t="str">
            <v xml:space="preserve">C3308:  Transactions - Net incurrence of liabilities: Other accounts payable [3318+3328] </v>
          </cell>
        </row>
        <row r="183">
          <cell r="M183" t="str">
            <v>A331:  Transactions - Net incurrence of liabilities: Domestic [3313 + 3313 + 3314 + 3315 + 3316 + 3317 + 3318]</v>
          </cell>
          <cell r="O183" t="str">
            <v>C331:  Transactions - Net incurrence of liabilities: Domestic [3313 + 3313 + 3314 + 3315 + 3316 + 3317 + 3318]</v>
          </cell>
        </row>
        <row r="184">
          <cell r="M184" t="str">
            <v xml:space="preserve">A3312:  Transactions - Net incurrence of liabilities: Domestic - Currency and deposits </v>
          </cell>
          <cell r="O184" t="str">
            <v xml:space="preserve">C3312:  Transactions - Net incurrence of liabilities: Domestic - Currency and deposits </v>
          </cell>
        </row>
        <row r="185">
          <cell r="M185" t="str">
            <v xml:space="preserve">A3313:  Transactions - Net incurrence of liabilities: Domestic - Securities other than shares </v>
          </cell>
          <cell r="O185" t="str">
            <v xml:space="preserve">C3313:  Transactions - Net incurrence of liabilities: Domestic - Securities other than shares </v>
          </cell>
        </row>
        <row r="186">
          <cell r="M186" t="str">
            <v xml:space="preserve">A3314:  Transactions - Net incurrence of liabilities: Domestic - Loans </v>
          </cell>
          <cell r="O186" t="str">
            <v xml:space="preserve">C3314:  Transactions - Net incurrence of liabilities: Domestic - Loans </v>
          </cell>
        </row>
        <row r="187">
          <cell r="M187" t="str">
            <v xml:space="preserve">A3315:  Transactions - Net incurrence of liabilities: Domestic - Shares and other equity </v>
          </cell>
          <cell r="O187" t="str">
            <v xml:space="preserve">C3315:  Transactions - Net incurrence of liabilities: Domestic - Shares and other equity </v>
          </cell>
        </row>
        <row r="188">
          <cell r="M188" t="str">
            <v xml:space="preserve">A3316:  Transactions - Net incurrence of liabilities: Domestic - Insurance technical reserves </v>
          </cell>
          <cell r="O188" t="str">
            <v xml:space="preserve">C3316:  Transactions - Net incurrence of liabilities: Domestic - Insurance technical reserves </v>
          </cell>
        </row>
        <row r="189">
          <cell r="M189" t="str">
            <v xml:space="preserve">A3317:  Transactions - Net incurrence of liabilities: Domestic - Financial derivatives </v>
          </cell>
          <cell r="O189" t="str">
            <v xml:space="preserve">C3317:  Transactions - Net incurrence of liabilities: Domestic - Financial derivatives </v>
          </cell>
        </row>
        <row r="190">
          <cell r="M190" t="str">
            <v xml:space="preserve">A3318:  Transactions - Net incurrence of liabilities: Domestic - Other accounts payable </v>
          </cell>
          <cell r="O190" t="str">
            <v xml:space="preserve">C3318:  Transactions - Net incurrence of liabilities: Domestic - Other accounts payable </v>
          </cell>
        </row>
        <row r="191">
          <cell r="M191" t="str">
            <v>A332:  Transactions - Net incurrence of liabilities: Foreign [3322 + 3323 + 3324 + 3325 + 3326 +3327 +3328]</v>
          </cell>
          <cell r="O191" t="str">
            <v>C332:  Transactions - Net incurrence of liabilities: Foreign [3322 + 3323 + 3324 + 3325 + 3326 +3327 +3328]</v>
          </cell>
        </row>
        <row r="192">
          <cell r="M192" t="str">
            <v xml:space="preserve">A3322:  Transactions - Net incurrence of liabilities: Foreign  - Currency and deposits </v>
          </cell>
          <cell r="O192" t="str">
            <v xml:space="preserve">C3322:  Transactions - Net incurrence of liabilities: Foreign  - Currency and deposits </v>
          </cell>
        </row>
        <row r="193">
          <cell r="M193" t="str">
            <v xml:space="preserve">A3323:  Transactions - Net incurrence of liabilities: Foreign  - Securities other than shares </v>
          </cell>
          <cell r="O193" t="str">
            <v xml:space="preserve">C3323:  Transactions - Net incurrence of liabilities: Foreign  - Securities other than shares </v>
          </cell>
        </row>
        <row r="194">
          <cell r="M194" t="str">
            <v xml:space="preserve">A3324:  Transactions - Net incurrence of liabilities: Foreign  - Loans </v>
          </cell>
          <cell r="O194" t="str">
            <v xml:space="preserve">C3324:  Transactions - Net incurrence of liabilities: Foreign  - Loans </v>
          </cell>
        </row>
        <row r="195">
          <cell r="M195" t="str">
            <v xml:space="preserve">A3325:  Transactions - Net incurrence of liabilities: Foreign  - Shares and other equity </v>
          </cell>
          <cell r="O195" t="str">
            <v xml:space="preserve">C3325:  Transactions - Net incurrence of liabilities: Foreign  - Shares and other equity </v>
          </cell>
        </row>
        <row r="196">
          <cell r="M196" t="str">
            <v xml:space="preserve">A3326:  Transactions - Net incurrence of liabilities: Foreign  - Insurance technical reserves </v>
          </cell>
          <cell r="O196" t="str">
            <v xml:space="preserve">C3326:  Transactions - Net incurrence of liabilities: Foreign  - Insurance technical reserves </v>
          </cell>
        </row>
        <row r="197">
          <cell r="M197" t="str">
            <v xml:space="preserve">A3327:  Transactions - Net incurrence of liabilities: Foreign  - Financial derivatives </v>
          </cell>
          <cell r="O197" t="str">
            <v xml:space="preserve">C3327:  Transactions - Net incurrence of liabilities: Foreign  - Financial derivatives </v>
          </cell>
        </row>
        <row r="198">
          <cell r="M198" t="str">
            <v xml:space="preserve">A3328:  Transactions - Net incurrence of liabilities: Foreign  - Other accounts payable </v>
          </cell>
          <cell r="O198" t="str">
            <v xml:space="preserve">C3328:  Transactions - Net incurrence of liabilities: Foreign  - Other accounts payable </v>
          </cell>
        </row>
        <row r="199">
          <cell r="M199" t="str">
            <v>A4:  CHANGE IN NET WORTH: HOLDING GAINS [41 + 42 - 43]</v>
          </cell>
          <cell r="O199" t="str">
            <v>Not applicable</v>
          </cell>
        </row>
        <row r="200">
          <cell r="M200" t="str">
            <v>A41:  Holding Gains- Nonfinancial assets [411 + 412 + 413 + 414]</v>
          </cell>
          <cell r="O200" t="str">
            <v>C41:  Holding Gains- Nonfinancial assets [411 + 412 + 413 + 414]</v>
          </cell>
        </row>
        <row r="201">
          <cell r="M201" t="str">
            <v>A411:  Holding Gains- Nonfinancial assets:  Fixed assets [4111 + 4112 + 4113]</v>
          </cell>
          <cell r="O201" t="str">
            <v>C411:  Holding Gains- Nonfinancial assets:  Fixed assets [4111 + 4112 + 4113]</v>
          </cell>
        </row>
        <row r="202">
          <cell r="M202" t="str">
            <v xml:space="preserve">A4111:  Holding Gains- Nonfinancial assets:  Fixed assets:  Buildings and structures </v>
          </cell>
          <cell r="O202" t="str">
            <v xml:space="preserve">C4111:  Holding Gains- Nonfinancial assets:  Fixed assets:  Buildings and structures </v>
          </cell>
        </row>
        <row r="203">
          <cell r="M203" t="str">
            <v xml:space="preserve">A4112:  Holding Gains- Nonfinancial assets:  Fixed assets:  Machinery and equipment </v>
          </cell>
          <cell r="O203" t="str">
            <v xml:space="preserve">C4112:  Holding Gains- Nonfinancial assets:  Fixed assets:  Machinery and equipment </v>
          </cell>
        </row>
        <row r="204">
          <cell r="M204" t="str">
            <v xml:space="preserve">A4113:  Holding Gains- Nonfinancial assets:  Fixed assets:  Other fixed assets </v>
          </cell>
          <cell r="O204" t="str">
            <v xml:space="preserve">C4113:  Holding Gains- Nonfinancial assets:  Fixed assets:  Other fixed assets </v>
          </cell>
        </row>
        <row r="205">
          <cell r="M205" t="str">
            <v xml:space="preserve">A412:  Holding Gains- Nonfinancial assets:  Inventories </v>
          </cell>
          <cell r="O205" t="str">
            <v xml:space="preserve">C412:  Holding Gains- Nonfinancial assets:  Inventories </v>
          </cell>
        </row>
        <row r="206">
          <cell r="M206" t="str">
            <v xml:space="preserve">A413:  Holding Gains- Nonfinancial assets:  Valuables </v>
          </cell>
          <cell r="O206" t="str">
            <v xml:space="preserve">C413:  Holding Gains- Nonfinancial assets:  Valuables </v>
          </cell>
        </row>
        <row r="207">
          <cell r="M207" t="str">
            <v>A414:  Holding Gains- Nonfinancial assets:  Nonproduced assets [4141 + 4142 + 4143 + 4144]</v>
          </cell>
          <cell r="O207" t="str">
            <v>C414:  Holding Gains- Nonfinancial assets:  Nonproduced assets [4141 + 4142 + 4143 + 4144]</v>
          </cell>
        </row>
        <row r="208">
          <cell r="M208" t="str">
            <v xml:space="preserve">A4141:  Holding Gains- Nonfinancial assets:  Nonproduced assets:  Land </v>
          </cell>
          <cell r="O208" t="str">
            <v xml:space="preserve">C4141:  Holding Gains- Nonfinancial assets:  Nonproduced assets:  Land </v>
          </cell>
        </row>
        <row r="209">
          <cell r="M209" t="str">
            <v xml:space="preserve">A4142:  Holding Gains- Nonfinancial assets:  Nonproduced assets:  Subsoil assets </v>
          </cell>
          <cell r="O209" t="str">
            <v xml:space="preserve">C4142:  Holding Gains- Nonfinancial assets:  Nonproduced assets:  Subsoil assets </v>
          </cell>
        </row>
        <row r="210">
          <cell r="M210" t="str">
            <v xml:space="preserve">A4143:  Holding Gains- Nonfinancial assets:  Nonproduced assets:  Other naturally occurring assets </v>
          </cell>
          <cell r="O210" t="str">
            <v xml:space="preserve">C4143:  Holding Gains- Nonfinancial assets:  Nonproduced assets:  Other naturally occurring assets </v>
          </cell>
        </row>
        <row r="211">
          <cell r="M211" t="str">
            <v xml:space="preserve">A4144:  Holding Gains- Nonfinancial assets:  Nonproduced assets:  Intangible nonproduced assets </v>
          </cell>
          <cell r="O211" t="str">
            <v xml:space="preserve">C4144:  Holding Gains- Nonfinancial assets:  Nonproduced assets:  Intangible nonproduced assets </v>
          </cell>
        </row>
        <row r="212">
          <cell r="M212" t="str">
            <v xml:space="preserve">A42:  Holding Gains- Financial assets [421+422+423] </v>
          </cell>
          <cell r="O212" t="str">
            <v xml:space="preserve">C42:  Holding Gains- Financial assets [421+422+423] </v>
          </cell>
        </row>
        <row r="213">
          <cell r="M213" t="str">
            <v xml:space="preserve">A4202:  Holding Gains- Financial assets:  Currency and deposits [4212+4222] </v>
          </cell>
          <cell r="O213" t="str">
            <v xml:space="preserve">C4202:  Holding Gains- Financial assets:  Currency and deposits [4212+4222] </v>
          </cell>
        </row>
        <row r="214">
          <cell r="M214" t="str">
            <v xml:space="preserve">A4203:  Holding Gains- Financial assets:  Securities other than shares [4213+4223] </v>
          </cell>
          <cell r="O214" t="str">
            <v xml:space="preserve">C4203:  Holding Gains- Financial assets:  Securities other than shares [4213+4223] </v>
          </cell>
        </row>
        <row r="215">
          <cell r="M215" t="str">
            <v xml:space="preserve">A4204:  Holding Gains- Financial assets:  Loans [4214+4224] </v>
          </cell>
          <cell r="O215" t="str">
            <v xml:space="preserve">C4204:  Holding Gains- Financial assets:  Loans [4214+4224] </v>
          </cell>
        </row>
        <row r="216">
          <cell r="M216" t="str">
            <v xml:space="preserve">A4205:  Holding Gains- Financial assets:  Shares and other equity [4215+4225] </v>
          </cell>
          <cell r="O216" t="str">
            <v xml:space="preserve">C4205:  Holding Gains- Financial assets:  Shares and other equity [4215+4225] </v>
          </cell>
        </row>
        <row r="217">
          <cell r="M217" t="str">
            <v xml:space="preserve">A4206:  Holding Gains- Financial assets:  Insurance technical reserves [4216+4226] </v>
          </cell>
          <cell r="O217" t="str">
            <v xml:space="preserve">C4206:  Holding Gains- Financial assets:  Insurance technical reserves [4216+4226] </v>
          </cell>
        </row>
        <row r="218">
          <cell r="M218" t="str">
            <v xml:space="preserve">A4207:  Holding Gains- Financial assets:  Financial derivatives [4217+4227] </v>
          </cell>
          <cell r="O218" t="str">
            <v xml:space="preserve">C4207:  Holding Gains- Financial assets:  Financial derivatives [4217+4227] </v>
          </cell>
        </row>
        <row r="219">
          <cell r="M219" t="str">
            <v xml:space="preserve">A4208:  Holding Gains- Financial assets:  Other accounts receivable [4218+4228] </v>
          </cell>
          <cell r="O219" t="str">
            <v xml:space="preserve">C4208:  Holding Gains- Financial assets:  Other accounts receivable [4218+4228] </v>
          </cell>
        </row>
        <row r="220">
          <cell r="M220" t="str">
            <v>A421:  Holding Gains- Financial assets:  Domestic [4212 + 4213 + 4214 + 4215 + 4216 + 4217 + 4218]</v>
          </cell>
          <cell r="O220" t="str">
            <v>C421:  Holding Gains- Financial assets:  Domestic [4212 + 4213 + 4214 + 4215 + 4216 + 4217 + 4218]</v>
          </cell>
        </row>
        <row r="221">
          <cell r="M221" t="str">
            <v xml:space="preserve">A4212:  Holding Gains- Financial assets:  Domestic - Currency and deposits </v>
          </cell>
          <cell r="O221" t="str">
            <v xml:space="preserve">C4212:  Holding Gains- Financial assets:  Domestic - Currency and deposits </v>
          </cell>
        </row>
        <row r="222">
          <cell r="M222" t="str">
            <v xml:space="preserve">A4213:  Holding Gains- Financial assets:  Domestic - Securities other than shares </v>
          </cell>
          <cell r="O222" t="str">
            <v xml:space="preserve">C4213:  Holding Gains- Financial assets:  Domestic - Securities other than shares </v>
          </cell>
        </row>
        <row r="223">
          <cell r="M223" t="str">
            <v xml:space="preserve">A4214:  Holding Gains- Financial assets:  Domestic - Loans </v>
          </cell>
          <cell r="O223" t="str">
            <v xml:space="preserve">C4214:  Holding Gains- Financial assets:  Domestic - Loans </v>
          </cell>
        </row>
        <row r="224">
          <cell r="M224" t="str">
            <v xml:space="preserve">A4215:  Holding Gains- Financial assets:  Domestic - Shares and other equity </v>
          </cell>
          <cell r="O224" t="str">
            <v xml:space="preserve">C4215:  Holding Gains- Financial assets:  Domestic - Shares and other equity </v>
          </cell>
        </row>
        <row r="225">
          <cell r="M225" t="str">
            <v xml:space="preserve">A4216:  Holding Gains- Financial assets:  Domestic - Insurance technical reserves </v>
          </cell>
          <cell r="O225" t="str">
            <v xml:space="preserve">C4216:  Holding Gains- Financial assets:  Domestic - Insurance technical reserves </v>
          </cell>
        </row>
        <row r="226">
          <cell r="M226" t="str">
            <v xml:space="preserve">A4217:  Holding Gains- Financial assets:  Domestic - Financial derivatives </v>
          </cell>
          <cell r="O226" t="str">
            <v xml:space="preserve">C4217:  Holding Gains- Financial assets:  Domestic - Financial derivatives </v>
          </cell>
        </row>
        <row r="227">
          <cell r="M227" t="str">
            <v xml:space="preserve">A4218:  Holding Gains- Financial assets:  Domestic - Other accounts receivable </v>
          </cell>
          <cell r="O227" t="str">
            <v xml:space="preserve">C4218:  Holding Gains- Financial assets:  Domestic - Other accounts receivable </v>
          </cell>
        </row>
        <row r="228">
          <cell r="M228" t="str">
            <v>A422:  Holding Gains- Financial assets:  Foreign -  [4222 + 4223 + 4224 + 4225 + 4226 + 4227 + 4228]</v>
          </cell>
          <cell r="O228" t="str">
            <v>C422:  Holding Gains- Financial assets:  Foreign -  [4222 + 4223 + 4224 + 4225 + 4226 + 4227 + 4228]</v>
          </cell>
        </row>
        <row r="229">
          <cell r="M229" t="str">
            <v xml:space="preserve">A4222:  Holding Gains- Financial assets:  Foreign - Currency and deposits </v>
          </cell>
          <cell r="O229" t="str">
            <v xml:space="preserve">C4222:  Holding Gains- Financial assets:  Foreign - Currency and deposits </v>
          </cell>
        </row>
        <row r="230">
          <cell r="M230" t="str">
            <v xml:space="preserve">A4223:  Holding Gains- Financial assets:  Foreign - Securities other than shares </v>
          </cell>
          <cell r="O230" t="str">
            <v xml:space="preserve">C4223:  Holding Gains- Financial assets:  Foreign - Securities other than shares </v>
          </cell>
        </row>
        <row r="231">
          <cell r="M231" t="str">
            <v xml:space="preserve">A4224:  Holding Gains- Financial assets:  Foreign - Loans </v>
          </cell>
          <cell r="O231" t="str">
            <v xml:space="preserve">C4224:  Holding Gains- Financial assets:  Foreign - Loans </v>
          </cell>
        </row>
        <row r="232">
          <cell r="M232" t="str">
            <v xml:space="preserve">A4225:  Holding Gains- Financial assets:  Foreign - Shares and other equity </v>
          </cell>
          <cell r="O232" t="str">
            <v xml:space="preserve">C4225:  Holding Gains- Financial assets:  Foreign - Shares and other equity </v>
          </cell>
        </row>
        <row r="233">
          <cell r="M233" t="str">
            <v xml:space="preserve">A4226:  Holding Gains- Financial assets:  Foreign - Insurance technical reserves </v>
          </cell>
          <cell r="O233" t="str">
            <v xml:space="preserve">C4226:  Holding Gains- Financial assets:  Foreign - Insurance technical reserves </v>
          </cell>
        </row>
        <row r="234">
          <cell r="M234" t="str">
            <v xml:space="preserve">A4227:  Holding Gains- Financial assets:  Foreign - Financial derivatives </v>
          </cell>
          <cell r="O234" t="str">
            <v xml:space="preserve">C4227:  Holding Gains- Financial assets:  Foreign - Financial derivatives </v>
          </cell>
        </row>
        <row r="235">
          <cell r="M235" t="str">
            <v xml:space="preserve">A4228:  Holding Gains- Financial assets:  Foreign - Other accounts receivable </v>
          </cell>
          <cell r="O235" t="str">
            <v xml:space="preserve">C4228:  Holding Gains- Financial assets:  Foreign - Other accounts receivable </v>
          </cell>
        </row>
        <row r="236">
          <cell r="M236" t="str">
            <v xml:space="preserve">A423:  Holding Gains- Financial assets:  Monetary gold and SDRs </v>
          </cell>
          <cell r="O236" t="str">
            <v xml:space="preserve">C423:  Holding Gains- Financial assets:  Monetary gold and SDRs </v>
          </cell>
        </row>
        <row r="237">
          <cell r="M237" t="str">
            <v xml:space="preserve">A43:  Holding Gains- Liabilities [431+432] </v>
          </cell>
          <cell r="O237" t="str">
            <v xml:space="preserve">C43:  Holding Gains- Liabilities [431+432] </v>
          </cell>
        </row>
        <row r="238">
          <cell r="M238" t="str">
            <v xml:space="preserve">A4302:  Holding Gains- Liabilities :  Currency and deposits [4312+4322] </v>
          </cell>
          <cell r="O238" t="str">
            <v xml:space="preserve">C4302:  Holding Gains- Liabilities :  Currency and deposits [4312+4322] </v>
          </cell>
        </row>
        <row r="239">
          <cell r="M239" t="str">
            <v xml:space="preserve">A4303:  Holding Gains- Liabilities :  Securities other than shares [4313+4323] </v>
          </cell>
          <cell r="O239" t="str">
            <v xml:space="preserve">C4303:  Holding Gains- Liabilities :  Securities other than shares [4313+4323] </v>
          </cell>
        </row>
        <row r="240">
          <cell r="M240" t="str">
            <v xml:space="preserve">A4304:  Holding Gains- Liabilities :  Loans [4314+4324] </v>
          </cell>
          <cell r="O240" t="str">
            <v xml:space="preserve">C4304:  Holding Gains- Liabilities :  Loans [4314+4324] </v>
          </cell>
        </row>
        <row r="241">
          <cell r="M241" t="str">
            <v xml:space="preserve">A4305:  Holding Gains- Liabilities :  Shares and other equity [4315+4325] </v>
          </cell>
          <cell r="O241" t="str">
            <v xml:space="preserve">C4305:  Holding Gains- Liabilities :  Shares and other equity [4315+4325] </v>
          </cell>
        </row>
        <row r="242">
          <cell r="M242" t="str">
            <v xml:space="preserve">A4306:  Holding Gains- Liabilities :  Insurance technical reserves [4316+4326] </v>
          </cell>
          <cell r="O242" t="str">
            <v xml:space="preserve">C4306:  Holding Gains- Liabilities :  Insurance technical reserves [4316+4326] </v>
          </cell>
        </row>
        <row r="243">
          <cell r="M243" t="str">
            <v xml:space="preserve">A4307:  Holding Gains- Liabilities :  Financial derivatives [4317+4327] </v>
          </cell>
          <cell r="O243" t="str">
            <v xml:space="preserve">C4307:  Holding Gains- Liabilities :  Financial derivatives [4317+4327] </v>
          </cell>
        </row>
        <row r="244">
          <cell r="M244" t="str">
            <v xml:space="preserve">A4308:  Holding Gains- Liabilities :  Other accounts payable [4318+4328] </v>
          </cell>
          <cell r="O244" t="str">
            <v xml:space="preserve">C4308:  Holding Gains- Liabilities :  Other accounts payable [4318+4328] </v>
          </cell>
        </row>
        <row r="245">
          <cell r="M245" t="str">
            <v>A431:  Holding Gains- Liabilities :  Domestic  [4312 + 4313 + 4314 + 4315 + 4316+ 4317 + 4318]</v>
          </cell>
          <cell r="O245" t="str">
            <v>C431:  Holding Gains- Liabilities :  Domestic  [4312 + 4313 + 4314 + 4315 + 4316+ 4317 + 4318]</v>
          </cell>
        </row>
        <row r="246">
          <cell r="M246" t="str">
            <v xml:space="preserve">A4312:  Holding Gains- Liabilities :  Domestic  - Currency and deposits </v>
          </cell>
          <cell r="O246" t="str">
            <v xml:space="preserve">C4312:  Holding Gains- Liabilities :  Domestic  - Currency and deposits </v>
          </cell>
        </row>
        <row r="247">
          <cell r="M247" t="str">
            <v xml:space="preserve">A4313:  Holding Gains- Liabilities :  Domestic  - Securities other than shares </v>
          </cell>
          <cell r="O247" t="str">
            <v xml:space="preserve">C4313:  Holding Gains- Liabilities :  Domestic  - Securities other than shares </v>
          </cell>
        </row>
        <row r="248">
          <cell r="M248" t="str">
            <v xml:space="preserve">A4314:  Holding Gains- Liabilities :  Domestic  - Loans </v>
          </cell>
          <cell r="O248" t="str">
            <v xml:space="preserve">C4314:  Holding Gains- Liabilities :  Domestic  - Loans </v>
          </cell>
        </row>
        <row r="249">
          <cell r="M249" t="str">
            <v xml:space="preserve">A4315:  Holding Gains- Liabilities :  Domestic  - Shares and other equity </v>
          </cell>
          <cell r="O249" t="str">
            <v xml:space="preserve">C4315:  Holding Gains- Liabilities :  Domestic  - Shares and other equity </v>
          </cell>
        </row>
        <row r="250">
          <cell r="M250" t="str">
            <v xml:space="preserve">A4316:  Holding Gains- Liabilities :  Domestic  - Insurance technical reserves </v>
          </cell>
          <cell r="O250" t="str">
            <v xml:space="preserve">C4316:  Holding Gains- Liabilities :  Domestic  - Insurance technical reserves </v>
          </cell>
        </row>
        <row r="251">
          <cell r="M251" t="str">
            <v xml:space="preserve">A4317:  Holding Gains- Liabilities :  Domestic  - Financial derivatives </v>
          </cell>
          <cell r="O251" t="str">
            <v xml:space="preserve">C4317:  Holding Gains- Liabilities :  Domestic  - Financial derivatives </v>
          </cell>
        </row>
        <row r="252">
          <cell r="M252" t="str">
            <v xml:space="preserve">A4318:  Holding Gains- Liabilities :  Domestic  - Other accounts payable </v>
          </cell>
          <cell r="O252" t="str">
            <v xml:space="preserve">C4318:  Holding Gains- Liabilities :  Domestic  - Other accounts payable </v>
          </cell>
        </row>
        <row r="253">
          <cell r="M253" t="str">
            <v>A432:  Holding Gains- Liabilities :  Foreign [4322 + 4323 + 4324 + 4325 + 4326 + 4327 + 4328]</v>
          </cell>
          <cell r="O253" t="str">
            <v>C432:  Holding Gains- Liabilities :  Foreign [4322 + 4323 + 4324 + 4325 + 4326 + 4327 + 4328]</v>
          </cell>
        </row>
        <row r="254">
          <cell r="M254" t="str">
            <v xml:space="preserve">A4322:  Holding Gains- Liabilities :  Foreign - Currency and deposits </v>
          </cell>
          <cell r="O254" t="str">
            <v xml:space="preserve">C4322:  Holding Gains- Liabilities :  Foreign - Currency and deposits </v>
          </cell>
        </row>
        <row r="255">
          <cell r="M255" t="str">
            <v xml:space="preserve">A4323:  Holding Gains- Liabilities :  Foreign - Securities other than shares </v>
          </cell>
          <cell r="O255" t="str">
            <v xml:space="preserve">C4323:  Holding Gains- Liabilities :  Foreign - Securities other than shares </v>
          </cell>
        </row>
        <row r="256">
          <cell r="M256" t="str">
            <v xml:space="preserve">A4324:  Holding Gains- Liabilities :  Foreign - Loans </v>
          </cell>
          <cell r="O256" t="str">
            <v xml:space="preserve">C4324:  Holding Gains- Liabilities :  Foreign - Loans </v>
          </cell>
        </row>
        <row r="257">
          <cell r="M257" t="str">
            <v xml:space="preserve">A4325:  Holding Gains- Liabilities :  Foreign - Shares and other equity </v>
          </cell>
          <cell r="O257" t="str">
            <v xml:space="preserve">C4325:  Holding Gains- Liabilities :  Foreign - Shares and other equity </v>
          </cell>
        </row>
        <row r="258">
          <cell r="M258" t="str">
            <v xml:space="preserve">A4326:  Holding Gains- Liabilities :  Foreign - Insurance technical reserves </v>
          </cell>
          <cell r="O258" t="str">
            <v xml:space="preserve">C4326:  Holding Gains- Liabilities :  Foreign - Insurance technical reserves </v>
          </cell>
        </row>
        <row r="259">
          <cell r="M259" t="str">
            <v xml:space="preserve">A4327:  Holding Gains- Liabilities :  Foreign - Financial derivatives </v>
          </cell>
          <cell r="O259" t="str">
            <v xml:space="preserve">C4327:  Holding Gains- Liabilities :  Foreign - Financial derivatives </v>
          </cell>
        </row>
        <row r="260">
          <cell r="M260" t="str">
            <v xml:space="preserve">A4328:  Holding Gains- Liabilities :  Foreign - Other accounts payable </v>
          </cell>
          <cell r="O260" t="str">
            <v xml:space="preserve">C4328:  Holding Gains- Liabilities :  Foreign - Other accounts payable </v>
          </cell>
        </row>
        <row r="261">
          <cell r="M261" t="str">
            <v>A5:  CHANGE IN NET WORTH: VOLUME CHANGES [51 + 52 - 53]</v>
          </cell>
          <cell r="O261" t="str">
            <v>Not applicable</v>
          </cell>
        </row>
        <row r="262">
          <cell r="M262" t="str">
            <v>A51:  Volume Changes - Nonfinancial assets [511 + 512 + 513 + 514]</v>
          </cell>
          <cell r="O262" t="str">
            <v>C51:  Volume Changes - Nonfinancial assets [511 + 512 + 513 + 514]</v>
          </cell>
        </row>
        <row r="263">
          <cell r="M263" t="str">
            <v>A511:  Volume Changes - Nonfinancial assets : Fixed assets [5111 + 5112 + 5113]</v>
          </cell>
          <cell r="O263" t="str">
            <v>C511:  Volume Changes - Nonfinancial assets : Fixed assets [5111 + 5112 + 5113]</v>
          </cell>
        </row>
        <row r="264">
          <cell r="M264" t="str">
            <v xml:space="preserve">A5111:  Volume Changes - Nonfinancial assets : Fixed assets:   Buildings and structures </v>
          </cell>
          <cell r="O264" t="str">
            <v xml:space="preserve">C5111:  Volume Changes - Nonfinancial assets : Fixed assets:   Buildings and structures </v>
          </cell>
        </row>
        <row r="265">
          <cell r="M265" t="str">
            <v xml:space="preserve">A5112:  Volume Changes - Nonfinancial assets : Fixed assets:  Machinery and equipment </v>
          </cell>
          <cell r="O265" t="str">
            <v xml:space="preserve">C5112:  Volume Changes - Nonfinancial assets : Fixed assets:  Machinery and equipment </v>
          </cell>
        </row>
        <row r="266">
          <cell r="M266" t="str">
            <v xml:space="preserve">A5113:  Volume Changes - Nonfinancial assets : Fixed assets:  Other fixed assets </v>
          </cell>
          <cell r="O266" t="str">
            <v xml:space="preserve">C5113:  Volume Changes - Nonfinancial assets : Fixed assets:  Other fixed assets </v>
          </cell>
        </row>
        <row r="267">
          <cell r="M267" t="str">
            <v xml:space="preserve">A512:  Volume Changes - Inventories </v>
          </cell>
          <cell r="O267" t="str">
            <v xml:space="preserve">C512:  Volume Changes - Inventories </v>
          </cell>
        </row>
        <row r="268">
          <cell r="M268" t="str">
            <v xml:space="preserve">A513:  Volume Changes - Valuables </v>
          </cell>
          <cell r="O268" t="str">
            <v xml:space="preserve">C513:  Volume Changes - Valuables </v>
          </cell>
        </row>
        <row r="269">
          <cell r="M269" t="str">
            <v>A514:  Volume Changes - Nonfinancial assets : Nonproduced assets [5141 + 5142 + 5143 + 5144]</v>
          </cell>
          <cell r="O269" t="str">
            <v>C514:  Volume Changes - Nonfinancial assets : Nonproduced assets [5141 + 5142 + 5143 + 5144]</v>
          </cell>
        </row>
        <row r="270">
          <cell r="M270" t="str">
            <v xml:space="preserve">A5141:  Volume Changes - Nonfinancial assets : Nonproduced assets:  Land </v>
          </cell>
          <cell r="O270" t="str">
            <v xml:space="preserve">C5141:  Volume Changes - Nonfinancial assets : Nonproduced assets:  Land </v>
          </cell>
        </row>
        <row r="271">
          <cell r="M271" t="str">
            <v xml:space="preserve">A5142:  Volume Changes - Nonfinancial assets : Nonproduced assets:  Subsoil assets </v>
          </cell>
          <cell r="O271" t="str">
            <v xml:space="preserve">C5142:  Volume Changes - Nonfinancial assets : Nonproduced assets:  Subsoil assets </v>
          </cell>
        </row>
        <row r="272">
          <cell r="M272" t="str">
            <v xml:space="preserve">A5143:  Volume Changes - Nonfinancial assets : Nonproduced assets:  Other naturally occurring assets </v>
          </cell>
          <cell r="O272" t="str">
            <v xml:space="preserve">C5143:  Volume Changes - Nonfinancial assets : Nonproduced assets:  Other naturally occurring assets </v>
          </cell>
        </row>
        <row r="273">
          <cell r="M273" t="str">
            <v xml:space="preserve">A5144:  Volume Changes - Nonfinancial assets : Nonproduced assets:  Intangible nonproduced assets </v>
          </cell>
          <cell r="O273" t="str">
            <v xml:space="preserve">C5144:  Volume Changes - Nonfinancial assets : Nonproduced assets:  Intangible nonproduced assets </v>
          </cell>
        </row>
        <row r="274">
          <cell r="M274" t="str">
            <v xml:space="preserve">A52:  Volume Changes - Financial assets [521+522+523] </v>
          </cell>
          <cell r="O274" t="str">
            <v xml:space="preserve">C52:  Volume Changes - Financial assets [521+522+523] </v>
          </cell>
        </row>
        <row r="275">
          <cell r="M275" t="str">
            <v xml:space="preserve">A5202:  Volume Changes - Financial assets:  Currency and deposits [5212+5222] </v>
          </cell>
          <cell r="O275" t="str">
            <v xml:space="preserve">C5202:  Volume Changes - Financial assets:  Currency and deposits [5212+5222] </v>
          </cell>
        </row>
        <row r="276">
          <cell r="M276" t="str">
            <v xml:space="preserve">A5203:  Volume Changes - Financial assets:  Securities other than shares [5213+5223] </v>
          </cell>
          <cell r="O276" t="str">
            <v xml:space="preserve">C5203:  Volume Changes - Financial assets:  Securities other than shares [5213+5223] </v>
          </cell>
        </row>
        <row r="277">
          <cell r="M277" t="str">
            <v xml:space="preserve">A5204:  Volume Changes - Financial assets:  Loans [5214+5224] </v>
          </cell>
          <cell r="O277" t="str">
            <v xml:space="preserve">C5204:  Volume Changes - Financial assets:  Loans [5214+5224] </v>
          </cell>
        </row>
        <row r="278">
          <cell r="M278" t="str">
            <v xml:space="preserve">A5205:  Volume Changes - Financial assets:  Shares and other equity [5215+5225] </v>
          </cell>
          <cell r="O278" t="str">
            <v xml:space="preserve">C5205:  Volume Changes - Financial assets:  Shares and other equity [5215+5225] </v>
          </cell>
        </row>
        <row r="279">
          <cell r="M279" t="str">
            <v xml:space="preserve">A5206:  Volume Changes - Financial assets:  Insurance technical reserves [5216+5226] </v>
          </cell>
          <cell r="O279" t="str">
            <v xml:space="preserve">C5206:  Volume Changes - Financial assets:  Insurance technical reserves [5216+5226] </v>
          </cell>
        </row>
        <row r="280">
          <cell r="M280" t="str">
            <v xml:space="preserve">A5207:  Volume Changes - Financial assets:  Financial derivatives [5217+5227] </v>
          </cell>
          <cell r="O280" t="str">
            <v xml:space="preserve">C5207:  Volume Changes - Financial assets:  Financial derivatives [5217+5227] </v>
          </cell>
        </row>
        <row r="281">
          <cell r="M281" t="str">
            <v xml:space="preserve">A5208:  Volume Changes - Financial assets:  Other accounts receivable [5218+5228] </v>
          </cell>
          <cell r="O281" t="str">
            <v xml:space="preserve">C5208:  Volume Changes - Financial assets:  Other accounts receivable [5218+5228] </v>
          </cell>
        </row>
        <row r="282">
          <cell r="M282" t="str">
            <v>A521:  Volume Changes - Financial assets:  Domestic  [5212 + 5213 + 5214 + 5215 + 5216+ 5217 + 5218]</v>
          </cell>
          <cell r="O282" t="str">
            <v>C521:  Volume Changes - Financial assets:  Domestic  [5212 + 5213 + 5214 + 5215 + 5216+ 5217 + 5218]</v>
          </cell>
        </row>
        <row r="283">
          <cell r="M283" t="str">
            <v xml:space="preserve">A5212:  Volume Changes - Financial assets:  Domestic - Currency and deposits </v>
          </cell>
          <cell r="O283" t="str">
            <v xml:space="preserve">C5212:  Volume Changes - Financial assets:  Domestic - Currency and deposits </v>
          </cell>
        </row>
        <row r="284">
          <cell r="M284" t="str">
            <v xml:space="preserve">A5213:  Volume Changes - Financial assets:  Domestic - Securities other than shares </v>
          </cell>
          <cell r="O284" t="str">
            <v xml:space="preserve">C5213:  Volume Changes - Financial assets:  Domestic - Securities other than shares </v>
          </cell>
        </row>
        <row r="285">
          <cell r="M285" t="str">
            <v xml:space="preserve">A5214:  Volume Changes - Financial assets:  Domestic - Loans </v>
          </cell>
          <cell r="O285" t="str">
            <v xml:space="preserve">C5214:  Volume Changes - Financial assets:  Domestic - Loans </v>
          </cell>
        </row>
        <row r="286">
          <cell r="M286" t="str">
            <v xml:space="preserve">A5215:  Volume Changes - Financial assets:  Domestic - Shares and other equity </v>
          </cell>
          <cell r="O286" t="str">
            <v xml:space="preserve">C5215:  Volume Changes - Financial assets:  Domestic - Shares and other equity </v>
          </cell>
        </row>
        <row r="287">
          <cell r="M287" t="str">
            <v xml:space="preserve">A5216:  Volume Changes - Financial assets:  Domestic - Insurance technical reserves </v>
          </cell>
          <cell r="O287" t="str">
            <v xml:space="preserve">C5216:  Volume Changes - Financial assets:  Domestic - Insurance technical reserves </v>
          </cell>
        </row>
        <row r="288">
          <cell r="M288" t="str">
            <v xml:space="preserve">A5217:  Volume Changes - Financial assets:  Domestic - Financial derivatives </v>
          </cell>
          <cell r="O288" t="str">
            <v xml:space="preserve">C5217:  Volume Changes - Financial assets:  Domestic - Financial derivatives </v>
          </cell>
        </row>
        <row r="289">
          <cell r="M289" t="str">
            <v xml:space="preserve">A5218:  Volume Changes - Financial assets:  Domestic - Other accounts receivable </v>
          </cell>
          <cell r="O289" t="str">
            <v xml:space="preserve">C5218:  Volume Changes - Financial assets:  Domestic - Other accounts receivable </v>
          </cell>
        </row>
        <row r="290">
          <cell r="M290" t="str">
            <v>A522:  Volume Changes - Financial assets:  Foreign  [5222 + 5223 + 5224 + 5225 + 5226+ 5227 + 5228]</v>
          </cell>
          <cell r="O290" t="str">
            <v>C522:  Volume Changes - Financial assets:  Foreign  [5222 + 5223 + 5224 + 5225 + 5226+ 5227 + 5228]</v>
          </cell>
        </row>
        <row r="291">
          <cell r="M291" t="str">
            <v xml:space="preserve">A5222:  Volume Changes - Financial assets:  Foreign  - Currency and deposits </v>
          </cell>
          <cell r="O291" t="str">
            <v xml:space="preserve">C5222:  Volume Changes - Financial assets:  Foreign  - Currency and deposits </v>
          </cell>
        </row>
        <row r="292">
          <cell r="M292" t="str">
            <v xml:space="preserve">A5223:  Volume Changes - Financial assets:  Foreign  - Securities other than shares </v>
          </cell>
          <cell r="O292" t="str">
            <v xml:space="preserve">C5223:  Volume Changes - Financial assets:  Foreign  - Securities other than shares </v>
          </cell>
        </row>
        <row r="293">
          <cell r="M293" t="str">
            <v xml:space="preserve">A5224:  Volume Changes - Financial assets:  Foreign  - Loans </v>
          </cell>
          <cell r="O293" t="str">
            <v xml:space="preserve">C5224:  Volume Changes - Financial assets:  Foreign  - Loans </v>
          </cell>
        </row>
        <row r="294">
          <cell r="M294" t="str">
            <v xml:space="preserve">A5225:  Volume Changes - Financial assets:  Foreign  - Shares and other equity </v>
          </cell>
          <cell r="O294" t="str">
            <v xml:space="preserve">C5225:  Volume Changes - Financial assets:  Foreign  - Shares and other equity </v>
          </cell>
        </row>
        <row r="295">
          <cell r="M295" t="str">
            <v xml:space="preserve">A5226:  Volume Changes - Financial assets:  Foreign  - Insurance technical reserves </v>
          </cell>
          <cell r="O295" t="str">
            <v xml:space="preserve">C5226:  Volume Changes - Financial assets:  Foreign  - Insurance technical reserves </v>
          </cell>
        </row>
        <row r="296">
          <cell r="M296" t="str">
            <v xml:space="preserve">A5227:  Volume Changes - Financial assets:  Foreign  - Financial derivatives </v>
          </cell>
          <cell r="O296" t="str">
            <v xml:space="preserve">C5227:  Volume Changes - Financial assets:  Foreign  - Financial derivatives </v>
          </cell>
        </row>
        <row r="297">
          <cell r="M297" t="str">
            <v xml:space="preserve">A5228:  Volume Changes - Financial assets:  Foreign  - Other accounts receivable </v>
          </cell>
          <cell r="O297" t="str">
            <v xml:space="preserve">C5228:  Volume Changes - Financial assets:  Foreign  - Other accounts receivable </v>
          </cell>
        </row>
        <row r="298">
          <cell r="M298" t="str">
            <v xml:space="preserve">A523:  Volume Changes - Financial assets:  Monetary gold and SDRs </v>
          </cell>
          <cell r="O298" t="str">
            <v xml:space="preserve">C523:  Volume Changes - Financial assets:  Monetary gold and SDRs </v>
          </cell>
        </row>
        <row r="299">
          <cell r="M299" t="str">
            <v xml:space="preserve">A53:  Volume Changes - Liabilities [531+532] </v>
          </cell>
          <cell r="O299" t="str">
            <v xml:space="preserve">C53:  Volume Changes - Liabilities [531+532] </v>
          </cell>
        </row>
        <row r="300">
          <cell r="M300" t="str">
            <v xml:space="preserve">A5302:  Volume Changes - Liabilities:  Currency and deposits [5312+5322] </v>
          </cell>
          <cell r="O300" t="str">
            <v xml:space="preserve">C5302:  Volume Changes - Liabilities:  Currency and deposits [5312+5322] </v>
          </cell>
        </row>
        <row r="301">
          <cell r="M301" t="str">
            <v xml:space="preserve">A5303:  Volume Changes - Liabilities:  Securities other than shares [5313+5323] </v>
          </cell>
          <cell r="O301" t="str">
            <v xml:space="preserve">C5303:  Volume Changes - Liabilities:  Securities other than shares [5313+5323] </v>
          </cell>
        </row>
        <row r="302">
          <cell r="M302" t="str">
            <v xml:space="preserve">A5304:  Volume Changes - Liabilities:  Loans [5314+5324] </v>
          </cell>
          <cell r="O302" t="str">
            <v xml:space="preserve">C5304:  Volume Changes - Liabilities:  Loans [5314+5324] </v>
          </cell>
        </row>
        <row r="303">
          <cell r="M303" t="str">
            <v xml:space="preserve">A5305:  Volume Changes - Liabilities:  Shares and other equity [5315+5325] </v>
          </cell>
          <cell r="O303" t="str">
            <v xml:space="preserve">C5305:  Volume Changes - Liabilities:  Shares and other equity [5315+5325] </v>
          </cell>
        </row>
        <row r="304">
          <cell r="M304" t="str">
            <v xml:space="preserve">A5306:  Volume Changes - Liabilities:  Insurance technical reserves [5316+5326] </v>
          </cell>
          <cell r="O304" t="str">
            <v xml:space="preserve">C5306:  Volume Changes - Liabilities:  Insurance technical reserves [5316+5326] </v>
          </cell>
        </row>
        <row r="305">
          <cell r="M305" t="str">
            <v xml:space="preserve">A5307:  Volume Changes - Liabilities:  Financial derivatives [5317+5327] </v>
          </cell>
          <cell r="O305" t="str">
            <v xml:space="preserve">C5307:  Volume Changes - Liabilities:  Financial derivatives [5317+5327] </v>
          </cell>
        </row>
        <row r="306">
          <cell r="M306" t="str">
            <v xml:space="preserve">A5308:  Volume Changes - Liabilities:  Other accounts payable [5318+5328] </v>
          </cell>
          <cell r="O306" t="str">
            <v xml:space="preserve">C5308:  Volume Changes - Liabilities:  Other accounts payable [5318+5328] </v>
          </cell>
        </row>
        <row r="307">
          <cell r="M307" t="str">
            <v>A531:  Volume Changes - Liabilities:  Domestic  [5312 + 5313 + 5314 + 5315 + 5316+ 5317 + 5318]</v>
          </cell>
          <cell r="O307" t="str">
            <v>C531:  Volume Changes - Liabilities:  Domestic  [5312 + 5313 + 5314 + 5315 + 5316+ 5317 + 5318]</v>
          </cell>
        </row>
        <row r="308">
          <cell r="M308" t="str">
            <v xml:space="preserve">A5312:  Volume Changes - Liabilities:  Domestic - Currency and deposits </v>
          </cell>
          <cell r="O308" t="str">
            <v xml:space="preserve">C5312:  Volume Changes - Liabilities:  Domestic - Currency and deposits </v>
          </cell>
        </row>
        <row r="309">
          <cell r="M309" t="str">
            <v xml:space="preserve">A5313:  Volume Changes - Liabilities:  Domestic - Securities other than shares </v>
          </cell>
          <cell r="O309" t="str">
            <v xml:space="preserve">C5313:  Volume Changes - Liabilities:  Domestic - Securities other than shares </v>
          </cell>
        </row>
        <row r="310">
          <cell r="M310" t="str">
            <v xml:space="preserve">A5314:  Volume Changes - Liabilities:  Domestic - Loans </v>
          </cell>
          <cell r="O310" t="str">
            <v xml:space="preserve">C5314:  Volume Changes - Liabilities:  Domestic - Loans </v>
          </cell>
        </row>
        <row r="311">
          <cell r="M311" t="str">
            <v xml:space="preserve">A5315:  Volume Changes - Liabilities:  Domestic - Shares and other equity </v>
          </cell>
          <cell r="O311" t="str">
            <v xml:space="preserve">C5315:  Volume Changes - Liabilities:  Domestic - Shares and other equity </v>
          </cell>
        </row>
        <row r="312">
          <cell r="M312" t="str">
            <v xml:space="preserve">A5316:  Volume Changes - Liabilities:  Domestic - Insurance technical reserves </v>
          </cell>
          <cell r="O312" t="str">
            <v xml:space="preserve">C5316:  Volume Changes - Liabilities:  Domestic - Insurance technical reserves </v>
          </cell>
        </row>
        <row r="313">
          <cell r="M313" t="str">
            <v xml:space="preserve">A5317:  Volume Changes - Liabilities:  Domestic - Financial derivatives </v>
          </cell>
          <cell r="O313" t="str">
            <v xml:space="preserve">C5317:  Volume Changes - Liabilities:  Domestic - Financial derivatives </v>
          </cell>
        </row>
        <row r="314">
          <cell r="M314" t="str">
            <v xml:space="preserve">A5318:  Volume Changes - Liabilities:  Domestic - Other accounts payable </v>
          </cell>
          <cell r="O314" t="str">
            <v xml:space="preserve">C5318:  Volume Changes - Liabilities:  Domestic - Other accounts payable </v>
          </cell>
        </row>
        <row r="315">
          <cell r="M315" t="str">
            <v>A532:  Volume Changes - Liabilities:  Foreign [5322 + 5323 + 5324 + 5325 + 5326+ 5327 + 5328]</v>
          </cell>
          <cell r="O315" t="str">
            <v>C532:  Volume Changes - Liabilities:  Foreign [5322 + 5323 + 5324 + 5325 + 5326+ 5327 + 5328]</v>
          </cell>
        </row>
        <row r="316">
          <cell r="M316" t="str">
            <v xml:space="preserve">A5322:  Volume Changes - Liabilities:  Foreign  - Currency and deposits </v>
          </cell>
          <cell r="O316" t="str">
            <v xml:space="preserve">C5322:  Volume Changes - Liabilities:  Foreign  - Currency and deposits </v>
          </cell>
        </row>
        <row r="317">
          <cell r="M317" t="str">
            <v xml:space="preserve">A5323:  Volume Changes - Liabilities:  Foreign  - Securities other than shares </v>
          </cell>
          <cell r="O317" t="str">
            <v xml:space="preserve">C5323:  Volume Changes - Liabilities:  Foreign  - Securities other than shares </v>
          </cell>
        </row>
        <row r="318">
          <cell r="M318" t="str">
            <v xml:space="preserve">A5324:  Volume Changes - Liabilities:  Foreign  - Loans </v>
          </cell>
          <cell r="O318" t="str">
            <v xml:space="preserve">C5324:  Volume Changes - Liabilities:  Foreign  - Loans </v>
          </cell>
        </row>
        <row r="319">
          <cell r="M319" t="str">
            <v xml:space="preserve">A5325:  Volume Changes - Liabilities:  Foreign  - Shares and other equity </v>
          </cell>
          <cell r="O319" t="str">
            <v xml:space="preserve">C5325:  Volume Changes - Liabilities:  Foreign  - Shares and other equity </v>
          </cell>
        </row>
        <row r="320">
          <cell r="M320" t="str">
            <v xml:space="preserve">A5326:  Volume Changes - Liabilities:  Foreign  - Insurance technical reserves </v>
          </cell>
          <cell r="O320" t="str">
            <v xml:space="preserve">C5326:  Volume Changes - Liabilities:  Foreign  - Insurance technical reserves </v>
          </cell>
        </row>
        <row r="321">
          <cell r="M321" t="str">
            <v xml:space="preserve">A5327:  Volume Changes - Liabilities:  Foreign  - Financial derivatives </v>
          </cell>
          <cell r="O321" t="str">
            <v xml:space="preserve">C5327:  Volume Changes - Liabilities:  Foreign  - Financial derivatives </v>
          </cell>
        </row>
        <row r="322">
          <cell r="M322" t="str">
            <v xml:space="preserve">A5328:  Volume Changes - Liabilities:  Foreign  - Other accounts payable </v>
          </cell>
          <cell r="O322" t="str">
            <v xml:space="preserve">C5328:  Volume Changes - Liabilities:  Foreign  - Other accounts payable </v>
          </cell>
        </row>
        <row r="323">
          <cell r="M323" t="str">
            <v>A6:  NET WORTH  [Stocks = 61 + 62 - 63]</v>
          </cell>
          <cell r="O323" t="str">
            <v>C6:  NET WORTH  [Stocks = 61 + 62 - 63]</v>
          </cell>
        </row>
        <row r="324">
          <cell r="M324" t="str">
            <v>A61:  Stocks -Nonfinancial assets [611 + 612 + 613 +614]</v>
          </cell>
          <cell r="O324" t="str">
            <v>C61:  Stocks -Nonfinancial assets [611 + 612 + 613 +614]</v>
          </cell>
        </row>
        <row r="325">
          <cell r="M325" t="str">
            <v>A611:  Stocks -Nonfinancial assets:  Fixed assets [6111 + 6112 + 6113]</v>
          </cell>
          <cell r="O325" t="str">
            <v>C611:  Stocks -Nonfinancial assets:  Fixed assets [6111 + 6112 + 6113]</v>
          </cell>
        </row>
        <row r="326">
          <cell r="M326" t="str">
            <v xml:space="preserve">A6111:  Stocks -Nonfinancial assets:  Fixed assets : Buildings and structures </v>
          </cell>
          <cell r="O326" t="str">
            <v xml:space="preserve">C6111:  Stocks -Nonfinancial assets:  Fixed assets : Buildings and structures </v>
          </cell>
        </row>
        <row r="327">
          <cell r="M327" t="str">
            <v xml:space="preserve">A6112:  Stocks -Nonfinancial assets:  Fixed assets : Machinery and equipment </v>
          </cell>
          <cell r="O327" t="str">
            <v xml:space="preserve">C6112:  Stocks -Nonfinancial assets:  Fixed assets : Machinery and equipment </v>
          </cell>
        </row>
        <row r="328">
          <cell r="M328" t="str">
            <v xml:space="preserve">A6113:  Stocks -Nonfinancial assets:  Fixed assets : Other fixed assets </v>
          </cell>
          <cell r="O328" t="str">
            <v xml:space="preserve">C6113:  Stocks -Nonfinancial assets:  Fixed assets : Other fixed assets </v>
          </cell>
        </row>
        <row r="329">
          <cell r="M329" t="str">
            <v xml:space="preserve">A612:  Stocks -Inventories </v>
          </cell>
          <cell r="O329" t="str">
            <v xml:space="preserve">C612:  Stocks -Inventories </v>
          </cell>
        </row>
        <row r="330">
          <cell r="M330" t="str">
            <v xml:space="preserve">A613:  Stocks -Valuables </v>
          </cell>
          <cell r="O330" t="str">
            <v xml:space="preserve">C613:  Stocks -Valuables </v>
          </cell>
        </row>
        <row r="331">
          <cell r="M331" t="str">
            <v>A614:  Stocks -Nonfinancial assets:  Nonproduced assets [6141 + 6142 + 6143 + 6144]</v>
          </cell>
          <cell r="O331" t="str">
            <v>C614:  Stocks -Nonfinancial assets:  Nonproduced assets [6141 + 6142 + 6143 + 6144]</v>
          </cell>
        </row>
        <row r="332">
          <cell r="M332" t="str">
            <v xml:space="preserve">A6141:  Stocks -Nonfinancial assets:  Nonproduced assets:  Land </v>
          </cell>
          <cell r="O332" t="str">
            <v xml:space="preserve">C6141:  Stocks -Nonfinancial assets:  Nonproduced assets:  Land </v>
          </cell>
        </row>
        <row r="333">
          <cell r="M333" t="str">
            <v xml:space="preserve">A6142:  Stocks -Nonfinancial assets:  Nonproduced assets: Subsoil assets </v>
          </cell>
          <cell r="O333" t="str">
            <v xml:space="preserve">C6142:  Stocks -Nonfinancial assets:  Nonproduced assets: Subsoil assets </v>
          </cell>
        </row>
        <row r="334">
          <cell r="M334" t="str">
            <v xml:space="preserve">A6143:  Stocks -Nonfinancial assets:  Nonproduced assets: Other naturally occurring assets </v>
          </cell>
          <cell r="O334" t="str">
            <v xml:space="preserve">C6143:  Stocks -Nonfinancial assets:  Nonproduced assets: Other naturally occurring assets </v>
          </cell>
        </row>
        <row r="335">
          <cell r="M335" t="str">
            <v xml:space="preserve">A6144:  Stocks -Nonfinancial assets:  Nonproduced assets: Intangible nonproduced assets </v>
          </cell>
          <cell r="O335" t="str">
            <v xml:space="preserve">C6144:  Stocks -Nonfinancial assets:  Nonproduced assets: Intangible nonproduced assets </v>
          </cell>
        </row>
        <row r="336">
          <cell r="M336" t="str">
            <v xml:space="preserve">A62:  Stocks -Financial assets [621+622+623] </v>
          </cell>
          <cell r="O336" t="str">
            <v xml:space="preserve">C62:  Stocks -Financial assets [621+622+623] </v>
          </cell>
        </row>
        <row r="337">
          <cell r="M337" t="str">
            <v xml:space="preserve">A6202:  Stocks -Financial assets : Currency and deposits [6212+6222] </v>
          </cell>
          <cell r="O337" t="str">
            <v xml:space="preserve">C6202:  Stocks -Financial assets : Currency and deposits [6212+6222] </v>
          </cell>
        </row>
        <row r="338">
          <cell r="M338" t="str">
            <v xml:space="preserve">A6203:  Stocks -Financial assets : Securities other than shares [6213+6223] </v>
          </cell>
          <cell r="O338" t="str">
            <v xml:space="preserve">C6203:  Stocks -Financial assets : Securities other than shares [6213+6223] </v>
          </cell>
        </row>
        <row r="339">
          <cell r="M339" t="str">
            <v xml:space="preserve">A6204:  Stocks -Financial assets : Loans [6214+6224] </v>
          </cell>
          <cell r="O339" t="str">
            <v xml:space="preserve">C6204:  Stocks -Financial assets : Loans [6214+6224] </v>
          </cell>
        </row>
        <row r="340">
          <cell r="M340" t="str">
            <v xml:space="preserve">A6205:  Stocks -Financial assets : Shares and other equity [6215+6225] </v>
          </cell>
          <cell r="O340" t="str">
            <v xml:space="preserve">C6205:  Stocks -Financial assets : Shares and other equity [6215+6225] </v>
          </cell>
        </row>
        <row r="341">
          <cell r="M341" t="str">
            <v xml:space="preserve">A6206:  Stocks -Financial assets : Insurance technical reserves [6216+6226] </v>
          </cell>
          <cell r="O341" t="str">
            <v xml:space="preserve">C6206:  Stocks -Financial assets : Insurance technical reserves [6216+6226] </v>
          </cell>
        </row>
        <row r="342">
          <cell r="M342" t="str">
            <v xml:space="preserve">A6207:  Stocks -Financial assets : Financial derivatives [6217+6227] </v>
          </cell>
          <cell r="O342" t="str">
            <v xml:space="preserve">C6207:  Stocks -Financial assets : Financial derivatives [6217+6227] </v>
          </cell>
        </row>
        <row r="343">
          <cell r="M343" t="str">
            <v xml:space="preserve">A6208:  Stocks -Financial assets : Other accounts receivable [6218+6228] </v>
          </cell>
          <cell r="O343" t="str">
            <v xml:space="preserve">C6208:  Stocks -Financial assets : Other accounts receivable [6218+6228] </v>
          </cell>
        </row>
        <row r="344">
          <cell r="M344" t="str">
            <v>A621:  Stocks -Financial assets : Domestic [6212 + 6213 + 6214 + 6215 + 6216 + 6217 + 6218]</v>
          </cell>
          <cell r="O344" t="str">
            <v>C621:  Stocks -Financial assets : Domestic [6212 + 6213 + 6214 + 6215 + 6216 + 6217 + 6218]</v>
          </cell>
        </row>
        <row r="345">
          <cell r="M345" t="str">
            <v xml:space="preserve">A6212:  Stocks -Financial assets : Domestic - Currency and deposits </v>
          </cell>
          <cell r="O345" t="str">
            <v xml:space="preserve">C6212:  Stocks -Financial assets : Domestic - Currency and deposits </v>
          </cell>
        </row>
        <row r="346">
          <cell r="M346" t="str">
            <v xml:space="preserve">A6213:  Stocks -Financial assets : Domestic - Securities other than shares </v>
          </cell>
          <cell r="O346" t="str">
            <v xml:space="preserve">C6213:  Stocks -Financial assets : Domestic - Securities other than shares </v>
          </cell>
        </row>
        <row r="347">
          <cell r="M347" t="str">
            <v xml:space="preserve">A6214:  Stocks -Financial assets : Domestic - Loans </v>
          </cell>
          <cell r="O347" t="str">
            <v xml:space="preserve">C6214:  Stocks -Financial assets : Domestic - Loans </v>
          </cell>
        </row>
        <row r="348">
          <cell r="M348" t="str">
            <v xml:space="preserve">A6215:  Stocks -Financial assets : Domestic - Shares and other equity </v>
          </cell>
          <cell r="O348" t="str">
            <v xml:space="preserve">C6215:  Stocks -Financial assets : Domestic - Shares and other equity </v>
          </cell>
        </row>
        <row r="349">
          <cell r="M349" t="str">
            <v xml:space="preserve">A6216:  Stocks -Financial assets : Domestic - Insurance technical reserves </v>
          </cell>
          <cell r="O349" t="str">
            <v xml:space="preserve">C6216:  Stocks -Financial assets : Domestic - Insurance technical reserves </v>
          </cell>
        </row>
        <row r="350">
          <cell r="M350" t="str">
            <v xml:space="preserve">A6217:  Stocks -Financial assets : Domestic - Financial derivatives </v>
          </cell>
          <cell r="O350" t="str">
            <v xml:space="preserve">C6217:  Stocks -Financial assets : Domestic - Financial derivatives </v>
          </cell>
        </row>
        <row r="351">
          <cell r="M351" t="str">
            <v xml:space="preserve">A6218:  Stocks -Financial assets : Domestic - Other accounts receivable </v>
          </cell>
          <cell r="O351" t="str">
            <v xml:space="preserve">C6218:  Stocks -Financial assets : Domestic - Other accounts receivable </v>
          </cell>
        </row>
        <row r="352">
          <cell r="M352" t="str">
            <v>A622:  Stocks -Financial assets : Foreign  [6222 + 6223 + 6224 + 6225 + 6226 + 6227 + 6228]</v>
          </cell>
          <cell r="O352" t="str">
            <v>C622:  Stocks -Financial assets : Foreign  [6222 + 6223 + 6224 + 6225 + 6226 + 6227 + 6228]</v>
          </cell>
        </row>
        <row r="353">
          <cell r="M353" t="str">
            <v xml:space="preserve">A6222:  Stocks -Financial assets : Foreign  - Currency and deposits </v>
          </cell>
          <cell r="O353" t="str">
            <v xml:space="preserve">C6222:  Stocks -Financial assets : Foreign  - Currency and deposits </v>
          </cell>
        </row>
        <row r="354">
          <cell r="M354" t="str">
            <v xml:space="preserve">A6223:  Stocks -Financial assets : Foreign  - Securities other than shares </v>
          </cell>
          <cell r="O354" t="str">
            <v xml:space="preserve">C6223:  Stocks -Financial assets : Foreign  - Securities other than shares </v>
          </cell>
        </row>
        <row r="355">
          <cell r="M355" t="str">
            <v xml:space="preserve">A6224:  Stocks -Financial assets : Foreign  - Loans </v>
          </cell>
          <cell r="O355" t="str">
            <v xml:space="preserve">C6224:  Stocks -Financial assets : Foreign  - Loans </v>
          </cell>
        </row>
        <row r="356">
          <cell r="M356" t="str">
            <v xml:space="preserve">A6225:  Stocks -Financial assets : Foreign  - Shares and other equity </v>
          </cell>
          <cell r="O356" t="str">
            <v xml:space="preserve">C6225:  Stocks -Financial assets : Foreign  - Shares and other equity </v>
          </cell>
        </row>
        <row r="357">
          <cell r="M357" t="str">
            <v xml:space="preserve">A6226:  Stocks -Financial assets : Foreign  - Insurance technical reserves </v>
          </cell>
          <cell r="O357" t="str">
            <v xml:space="preserve">C6226:  Stocks -Financial assets : Foreign  - Insurance technical reserves </v>
          </cell>
        </row>
        <row r="358">
          <cell r="M358" t="str">
            <v xml:space="preserve">A6227:  Stocks -Financial assets : Foreign  - Financial derivatives </v>
          </cell>
          <cell r="O358" t="str">
            <v xml:space="preserve">C6227:  Stocks -Financial assets : Foreign  - Financial derivatives </v>
          </cell>
        </row>
        <row r="359">
          <cell r="M359" t="str">
            <v xml:space="preserve">A6228:  Stocks -Financial assets : Foreign  - Other accounts receivable </v>
          </cell>
          <cell r="O359" t="str">
            <v xml:space="preserve">C6228:  Stocks -Financial assets : Foreign  - Other accounts receivable </v>
          </cell>
        </row>
        <row r="360">
          <cell r="M360" t="str">
            <v xml:space="preserve">A623:  Stocks -Financial assets : Monetary gold and SDRs </v>
          </cell>
          <cell r="O360" t="str">
            <v xml:space="preserve">C623:  Stocks -Financial assets : Monetary gold and SDRs </v>
          </cell>
        </row>
        <row r="361">
          <cell r="M361" t="str">
            <v xml:space="preserve">A63:  Stocks -Liabilities [631+632] </v>
          </cell>
          <cell r="O361" t="str">
            <v xml:space="preserve">C63:  Stocks -Liabilities [631+632] </v>
          </cell>
        </row>
        <row r="362">
          <cell r="M362" t="str">
            <v xml:space="preserve">A6302:  Stocks -Liabilities : Currency and deposits [6312+6322] </v>
          </cell>
          <cell r="O362" t="str">
            <v xml:space="preserve">C6302:  Stocks -Liabilities : Currency and deposits [6312+6322] </v>
          </cell>
        </row>
        <row r="363">
          <cell r="M363" t="str">
            <v xml:space="preserve">A6303:  Stocks -Liabilities : Securities other than shares [6313+6323] </v>
          </cell>
          <cell r="O363" t="str">
            <v xml:space="preserve">C6303:  Stocks -Liabilities : Securities other than shares [6313+6323] </v>
          </cell>
        </row>
        <row r="364">
          <cell r="M364" t="str">
            <v xml:space="preserve">A6304:  Stocks -Liabilities : Loans [6314+6324] </v>
          </cell>
          <cell r="O364" t="str">
            <v xml:space="preserve">C6304:  Stocks -Liabilities : Loans [6314+6324] </v>
          </cell>
        </row>
        <row r="365">
          <cell r="M365" t="str">
            <v xml:space="preserve">A6305:  Stocks -Liabilities : Shares and other equity [6315+6325] </v>
          </cell>
          <cell r="O365" t="str">
            <v xml:space="preserve">C6305:  Stocks -Liabilities : Shares and other equity [6315+6325] </v>
          </cell>
        </row>
        <row r="366">
          <cell r="M366" t="str">
            <v xml:space="preserve">A6306:  Stocks -Liabilities : Insurance technical reserves [6316+6326] </v>
          </cell>
          <cell r="O366" t="str">
            <v xml:space="preserve">C6306:  Stocks -Liabilities : Insurance technical reserves [6316+6326] </v>
          </cell>
        </row>
        <row r="367">
          <cell r="M367" t="str">
            <v xml:space="preserve">A6307:  Stocks -Liabilities : Financial derivatives [6317+6327] </v>
          </cell>
          <cell r="O367" t="str">
            <v xml:space="preserve">C6307:  Stocks -Liabilities : Financial derivatives [6317+6327] </v>
          </cell>
        </row>
        <row r="368">
          <cell r="M368" t="str">
            <v xml:space="preserve">A6308:  Stocks -Liabilities : Other accounts payable [6318+6328] </v>
          </cell>
          <cell r="O368" t="str">
            <v xml:space="preserve">C6308:  Stocks -Liabilities : Other accounts payable [6318+6328] </v>
          </cell>
        </row>
        <row r="369">
          <cell r="M369" t="str">
            <v>A631:  Stocks -Liabilities : Domestic [6312 + 6313 + 6314 + 6315 + 6316 + 6317 + 6318]</v>
          </cell>
          <cell r="O369" t="str">
            <v>C631:  Stocks -Liabilities : Domestic [6312 + 6313 + 6314 + 6315 + 6316 + 6317 + 6318]</v>
          </cell>
        </row>
        <row r="370">
          <cell r="M370" t="str">
            <v xml:space="preserve">A6312:  Stocks -Liabilities : Domestic - Currency and deposits </v>
          </cell>
          <cell r="O370" t="str">
            <v xml:space="preserve">C6312:  Stocks -Liabilities : Domestic - Currency and deposits </v>
          </cell>
        </row>
        <row r="371">
          <cell r="M371" t="str">
            <v xml:space="preserve">A6313:  Stocks -Liabilities : Domestic - Securities other than shares </v>
          </cell>
          <cell r="O371" t="str">
            <v xml:space="preserve">C6313:  Stocks -Liabilities : Domestic - Securities other than shares </v>
          </cell>
        </row>
        <row r="372">
          <cell r="M372" t="str">
            <v xml:space="preserve">A6314:  Stocks -Liabilities : Domestic - Loans </v>
          </cell>
          <cell r="O372" t="str">
            <v xml:space="preserve">C6314:  Stocks -Liabilities : Domestic - Loans </v>
          </cell>
        </row>
        <row r="373">
          <cell r="M373" t="str">
            <v xml:space="preserve">A6315:  Stocks -Liabilities : Domestic - Shares and other equity </v>
          </cell>
          <cell r="O373" t="str">
            <v xml:space="preserve">C6315:  Stocks -Liabilities : Domestic - Shares and other equity </v>
          </cell>
        </row>
        <row r="374">
          <cell r="M374" t="str">
            <v xml:space="preserve">A6316:  Stocks -Liabilities : Domestic - Insurance technical reserves </v>
          </cell>
          <cell r="O374" t="str">
            <v xml:space="preserve">C6316:  Stocks -Liabilities : Domestic - Insurance technical reserves </v>
          </cell>
        </row>
        <row r="375">
          <cell r="M375" t="str">
            <v xml:space="preserve">A6317:  Stocks -Liabilities : Domestic - Financial derivatives </v>
          </cell>
          <cell r="O375" t="str">
            <v xml:space="preserve">C6317:  Stocks -Liabilities : Domestic - Financial derivatives </v>
          </cell>
        </row>
        <row r="376">
          <cell r="M376" t="str">
            <v xml:space="preserve">A6318:  Stocks -Liabilities : Domestic - Other accounts payable </v>
          </cell>
          <cell r="O376" t="str">
            <v xml:space="preserve">C6318:  Stocks -Liabilities : Domestic - Other accounts payable </v>
          </cell>
        </row>
        <row r="377">
          <cell r="M377" t="str">
            <v>A632:  Stocks -Liabilities : Foreign  [6322 + 6323 + 6324 + 6325 + 6326 + 6327 + 6328]</v>
          </cell>
          <cell r="O377" t="str">
            <v>C632:  Stocks -Liabilities : Foreign  [6322 + 6323 + 6324 + 6325 + 6326 + 6327 + 6328]</v>
          </cell>
        </row>
        <row r="378">
          <cell r="M378" t="str">
            <v xml:space="preserve">A6322:  Stocks -Liabilities : Foreign - Currency and deposits </v>
          </cell>
          <cell r="O378" t="str">
            <v xml:space="preserve">C6322:  Stocks -Liabilities : Foreign - Currency and deposits </v>
          </cell>
        </row>
        <row r="379">
          <cell r="M379" t="str">
            <v xml:space="preserve">A6323:  Stocks -Liabilities : Foreign - Securities other than shares </v>
          </cell>
          <cell r="O379" t="str">
            <v xml:space="preserve">C6323:  Stocks -Liabilities : Foreign - Securities other than shares </v>
          </cell>
        </row>
        <row r="380">
          <cell r="M380" t="str">
            <v xml:space="preserve">A6324:  Stocks -Liabilities : Foreign - Loans </v>
          </cell>
          <cell r="O380" t="str">
            <v xml:space="preserve">C6324:  Stocks -Liabilities : Foreign - Loans </v>
          </cell>
        </row>
        <row r="381">
          <cell r="M381" t="str">
            <v xml:space="preserve">A6325:  Stocks -Liabilities : Foreign - Shares and other equity </v>
          </cell>
          <cell r="O381" t="str">
            <v xml:space="preserve">C6325:  Stocks -Liabilities : Foreign - Shares and other equity </v>
          </cell>
        </row>
        <row r="382">
          <cell r="M382" t="str">
            <v xml:space="preserve">A6326:  Stocks -Liabilities : Foreign - Insurance technical reserves </v>
          </cell>
          <cell r="O382" t="str">
            <v xml:space="preserve">C6326:  Stocks -Liabilities : Foreign - Insurance technical reserves </v>
          </cell>
        </row>
        <row r="383">
          <cell r="M383" t="str">
            <v xml:space="preserve">A6327:  Stocks -Liabilities : Foreign - Financial derivatives </v>
          </cell>
          <cell r="O383" t="str">
            <v xml:space="preserve">C6327:  Stocks -Liabilities : Foreign - Financial derivatives </v>
          </cell>
        </row>
        <row r="384">
          <cell r="M384" t="str">
            <v xml:space="preserve">A6328:  Stocks -Liabilities : Foreign - Other accounts payable </v>
          </cell>
          <cell r="O384" t="str">
            <v xml:space="preserve">C6328:  Stocks -Liabilities : Foreign - Other accounts payable </v>
          </cell>
        </row>
        <row r="385">
          <cell r="M385" t="str">
            <v xml:space="preserve">A7:  TOTAL OUTLAYS </v>
          </cell>
          <cell r="O385" t="str">
            <v xml:space="preserve">C7:  TOTAL OUTLAYS </v>
          </cell>
        </row>
        <row r="386">
          <cell r="M386" t="str">
            <v xml:space="preserve">A701:  General public services </v>
          </cell>
          <cell r="O386" t="str">
            <v xml:space="preserve">C701:  General public services </v>
          </cell>
        </row>
        <row r="387">
          <cell r="M387" t="str">
            <v xml:space="preserve">A7017:  Public debt transactions </v>
          </cell>
          <cell r="O387" t="str">
            <v xml:space="preserve">C7017:  Public debt transactions </v>
          </cell>
        </row>
        <row r="388">
          <cell r="M388" t="str">
            <v>A7018:  Transfers of general character betw levels of govtc/</v>
          </cell>
          <cell r="O388" t="str">
            <v>C7018:  Transfers of general character betw levels of govtc/</v>
          </cell>
        </row>
        <row r="389">
          <cell r="M389" t="str">
            <v xml:space="preserve">A702:  Defense </v>
          </cell>
          <cell r="O389" t="str">
            <v xml:space="preserve">C702:  Defense </v>
          </cell>
        </row>
        <row r="390">
          <cell r="M390" t="str">
            <v xml:space="preserve">A703:  Public order and safety </v>
          </cell>
          <cell r="O390" t="str">
            <v xml:space="preserve">C703:  Public order and safety </v>
          </cell>
        </row>
        <row r="391">
          <cell r="M391" t="str">
            <v xml:space="preserve">A704:  Economic affairs </v>
          </cell>
          <cell r="O391" t="str">
            <v xml:space="preserve">C704:  Economic affairs </v>
          </cell>
        </row>
        <row r="392">
          <cell r="M392" t="str">
            <v xml:space="preserve">A7042:  Agriculture, forestry, fishing, and hunting </v>
          </cell>
          <cell r="O392" t="str">
            <v xml:space="preserve">C7042:  Agriculture, forestry, fishing, and hunting </v>
          </cell>
        </row>
        <row r="393">
          <cell r="M393" t="str">
            <v xml:space="preserve">A7043:  Fuel and energy </v>
          </cell>
          <cell r="O393" t="str">
            <v xml:space="preserve">C7043:  Fuel and energy </v>
          </cell>
        </row>
        <row r="394">
          <cell r="M394" t="str">
            <v xml:space="preserve">A7044:  Mining, manufacturing, and construction </v>
          </cell>
          <cell r="O394" t="str">
            <v xml:space="preserve">C7044:  Mining, manufacturing, and construction </v>
          </cell>
        </row>
        <row r="395">
          <cell r="M395" t="str">
            <v xml:space="preserve">A7045:  Transport </v>
          </cell>
          <cell r="O395" t="str">
            <v xml:space="preserve">C7045:  Transport </v>
          </cell>
        </row>
        <row r="396">
          <cell r="M396" t="str">
            <v xml:space="preserve">A7046:  Communication </v>
          </cell>
          <cell r="O396" t="str">
            <v xml:space="preserve">C7046:  Communication </v>
          </cell>
        </row>
        <row r="397">
          <cell r="M397" t="str">
            <v xml:space="preserve">A705:  Environmental protection </v>
          </cell>
          <cell r="O397" t="str">
            <v xml:space="preserve">C705:  Environmental protection </v>
          </cell>
        </row>
        <row r="398">
          <cell r="M398" t="str">
            <v xml:space="preserve">A706:  Housing and community amenities </v>
          </cell>
          <cell r="O398" t="str">
            <v xml:space="preserve">C706:  Housing and community amenities </v>
          </cell>
        </row>
        <row r="399">
          <cell r="M399" t="str">
            <v xml:space="preserve">A707:  Health </v>
          </cell>
          <cell r="O399" t="str">
            <v xml:space="preserve">C707:  Health </v>
          </cell>
        </row>
        <row r="400">
          <cell r="M400" t="str">
            <v xml:space="preserve">A7072:  Outpatient services </v>
          </cell>
          <cell r="O400" t="str">
            <v xml:space="preserve">C7072:  Outpatient services </v>
          </cell>
        </row>
        <row r="401">
          <cell r="M401" t="str">
            <v xml:space="preserve">A7073:  Hospital services </v>
          </cell>
          <cell r="O401" t="str">
            <v xml:space="preserve">C7073:  Hospital services </v>
          </cell>
        </row>
        <row r="402">
          <cell r="M402" t="str">
            <v xml:space="preserve">A7074:  Public health services </v>
          </cell>
          <cell r="O402" t="str">
            <v xml:space="preserve">C7074:  Public health services </v>
          </cell>
        </row>
        <row r="403">
          <cell r="M403" t="str">
            <v xml:space="preserve">A708:  Recreation, culture and religion </v>
          </cell>
          <cell r="O403" t="str">
            <v xml:space="preserve">C708:  Recreation, culture and religion </v>
          </cell>
        </row>
        <row r="404">
          <cell r="M404" t="str">
            <v xml:space="preserve">A709:  Education </v>
          </cell>
          <cell r="O404" t="str">
            <v xml:space="preserve">C709:  Education </v>
          </cell>
        </row>
        <row r="405">
          <cell r="M405" t="str">
            <v xml:space="preserve">A7091:  Pre-primary and primary education </v>
          </cell>
          <cell r="O405" t="str">
            <v xml:space="preserve">C7091:  Pre-primary and primary education </v>
          </cell>
        </row>
        <row r="406">
          <cell r="M406" t="str">
            <v xml:space="preserve">A7092:  Secondary education </v>
          </cell>
          <cell r="O406" t="str">
            <v xml:space="preserve">C7092:  Secondary education </v>
          </cell>
        </row>
        <row r="407">
          <cell r="M407" t="str">
            <v xml:space="preserve">A7094:  Tertiary education </v>
          </cell>
          <cell r="O407" t="str">
            <v xml:space="preserve">C7094:  Tertiary education </v>
          </cell>
        </row>
        <row r="408">
          <cell r="M408" t="str">
            <v xml:space="preserve">A710:  Social protection </v>
          </cell>
          <cell r="O408" t="str">
            <v xml:space="preserve">C710:  Social protection </v>
          </cell>
        </row>
        <row r="409">
          <cell r="M409" t="str">
            <v xml:space="preserve">A82:  Net acquisition of financial assets [=32] </v>
          </cell>
          <cell r="O409" t="str">
            <v xml:space="preserve">C82:  Net acquisition of financial assets [=32] </v>
          </cell>
        </row>
        <row r="410">
          <cell r="M410" t="str">
            <v>A821:  Net acquisition of financial assets : Domestic [=321]</v>
          </cell>
          <cell r="O410" t="str">
            <v>C821:  Net acquisition of financial assets : Domestic [=321]</v>
          </cell>
        </row>
        <row r="411">
          <cell r="M411" t="str">
            <v>A8211:  Net acquisition of financial assets : Domestic : General government</v>
          </cell>
          <cell r="O411" t="str">
            <v>C8211:  Net acquisition of financial assets : Domestic : General government</v>
          </cell>
        </row>
        <row r="412">
          <cell r="M412" t="str">
            <v>A8212:  Net acquisition of financial assets : Domestic :Central bank</v>
          </cell>
          <cell r="O412" t="str">
            <v>C8212:  Net acquisition of financial assets : Domestic :Central bank</v>
          </cell>
        </row>
        <row r="413">
          <cell r="M413" t="str">
            <v>A8213:  Net acquisition of financial assets : Domestic :Other depository corporations</v>
          </cell>
          <cell r="O413" t="str">
            <v>C8213:  Net acquisition of financial assets : Domestic :Other depository corporations</v>
          </cell>
        </row>
        <row r="414">
          <cell r="M414" t="str">
            <v xml:space="preserve">A8214:  Net acquisition of financial assets : Domestic :Financial corporations not elsewhere classified </v>
          </cell>
          <cell r="O414" t="str">
            <v xml:space="preserve">C8214:  Net acquisition of financial assets : Domestic :Financial corporations not elsewhere classified </v>
          </cell>
        </row>
        <row r="415">
          <cell r="M415" t="str">
            <v xml:space="preserve">A8215:  Net acquisition of financial assets : Domestic :Nonfinancial corporations </v>
          </cell>
          <cell r="O415" t="str">
            <v xml:space="preserve">C8215:  Net acquisition of financial assets : Domestic :Nonfinancial corporations </v>
          </cell>
        </row>
        <row r="416">
          <cell r="M416" t="str">
            <v xml:space="preserve">A8216:  Net acquisition of financial assets : Domestic :Households &amp; nonprofit institutions serving h/holds </v>
          </cell>
          <cell r="O416" t="str">
            <v xml:space="preserve">C8216:  Net acquisition of financial assets : Domestic :Households &amp; nonprofit institutions serving h/holds </v>
          </cell>
        </row>
        <row r="417">
          <cell r="M417" t="str">
            <v xml:space="preserve">A822:  Net acquisition of financial assets : Foreign [=322] </v>
          </cell>
          <cell r="O417" t="str">
            <v xml:space="preserve">C822:  Net acquisition of financial assets : Foreign [=322] </v>
          </cell>
        </row>
        <row r="418">
          <cell r="M418" t="str">
            <v xml:space="preserve">A8221:  Net acquisition of financial assets : Foreign : General government </v>
          </cell>
          <cell r="O418" t="str">
            <v xml:space="preserve">C8221:  Net acquisition of financial assets : Foreign : General government </v>
          </cell>
        </row>
        <row r="419">
          <cell r="M419" t="str">
            <v xml:space="preserve">A8227:  Net acquisition of financial assets : Foreign : International organizations </v>
          </cell>
          <cell r="O419" t="str">
            <v xml:space="preserve">C8227:  Net acquisition of financial assets : Foreign : International organizations </v>
          </cell>
        </row>
        <row r="420">
          <cell r="M420" t="str">
            <v>A8228:  Net acquisition of financial assets : Foreign : Financial corporations other than internat'l org's</v>
          </cell>
          <cell r="O420" t="str">
            <v>C8228:  Net acquisition of financial assets : Foreign : Financial corporations other than internat'l org's</v>
          </cell>
        </row>
        <row r="421">
          <cell r="M421" t="str">
            <v xml:space="preserve">A8229:  Net acquisition of financial assets : Foreign : Other nonresidents </v>
          </cell>
          <cell r="O421" t="str">
            <v xml:space="preserve">C8229:  Net acquisition of financial assets : Foreign : Other nonresidents </v>
          </cell>
        </row>
        <row r="422">
          <cell r="M422" t="str">
            <v>A823:  Net acquisition of Monetary gold and SDRs [=323]</v>
          </cell>
          <cell r="O422" t="str">
            <v>C823:  Net acquisition of Monetary gold and SDRs [=323]</v>
          </cell>
        </row>
        <row r="423">
          <cell r="M423" t="str">
            <v xml:space="preserve">A83:  Net incurrence of liabilities [=33] </v>
          </cell>
          <cell r="O423" t="str">
            <v xml:space="preserve">C83:  Net incurrence of liabilities [=33] </v>
          </cell>
        </row>
        <row r="424">
          <cell r="M424" t="str">
            <v xml:space="preserve">A831:  Net incurrence of liabilities : Domestic [=331] </v>
          </cell>
          <cell r="O424" t="str">
            <v xml:space="preserve">C831:  Net incurrence of liabilities : Domestic [=331] </v>
          </cell>
        </row>
        <row r="425">
          <cell r="M425" t="str">
            <v xml:space="preserve">A8311:  Net incurrence of liabilities : Domestic : General government </v>
          </cell>
          <cell r="O425" t="str">
            <v xml:space="preserve">C8311:  Net incurrence of liabilities : Domestic : General government </v>
          </cell>
        </row>
        <row r="426">
          <cell r="M426" t="str">
            <v xml:space="preserve">A8312:  Net incurrence of liabilities : Domestic : Central bank </v>
          </cell>
          <cell r="O426" t="str">
            <v xml:space="preserve">C8312:  Net incurrence of liabilities : Domestic : Central bank </v>
          </cell>
        </row>
        <row r="427">
          <cell r="M427" t="str">
            <v xml:space="preserve">A8313:  Net incurrence of liabilities : Domestic : Other depository corporations </v>
          </cell>
          <cell r="O427" t="str">
            <v xml:space="preserve">C8313:  Net incurrence of liabilities : Domestic : Other depository corporations </v>
          </cell>
        </row>
        <row r="428">
          <cell r="M428" t="str">
            <v>A8314:  Net incurrence of liabilities : Domestic : Financial corporations not elsewhere classified</v>
          </cell>
          <cell r="O428" t="str">
            <v>C8314:  Net incurrence of liabilities : Domestic : Financial corporations not elsewhere classified</v>
          </cell>
        </row>
        <row r="429">
          <cell r="M429" t="str">
            <v xml:space="preserve">A8315:  Net incurrence of liabilities : Domestic : Nonfinancial corporations </v>
          </cell>
          <cell r="O429" t="str">
            <v xml:space="preserve">C8315:  Net incurrence of liabilities : Domestic : Nonfinancial corporations </v>
          </cell>
        </row>
        <row r="430">
          <cell r="M430" t="str">
            <v>A8316:  Net incurrence of liabilities : Domestic : Households &amp; nonprofit institutions serving h/holds</v>
          </cell>
          <cell r="O430" t="str">
            <v>C8316:  Net incurrence of liabilities : Domestic : Households &amp; nonprofit institutions serving h/holds</v>
          </cell>
        </row>
        <row r="431">
          <cell r="M431" t="str">
            <v xml:space="preserve">A832:  Net incurrence of liabities : Foreign [=332] </v>
          </cell>
          <cell r="O431" t="str">
            <v xml:space="preserve">C832:  Net incurrence of liabities : Foreign [=332] </v>
          </cell>
        </row>
        <row r="432">
          <cell r="M432" t="str">
            <v xml:space="preserve">A8321:  Net incurrence of liabities : Foreign : General government </v>
          </cell>
          <cell r="O432" t="str">
            <v xml:space="preserve">C8321:  Net incurrence of liabities : Foreign : General government </v>
          </cell>
        </row>
        <row r="433">
          <cell r="M433" t="str">
            <v>A8327:  Net incurrence of liabities : Foreign : International organizations</v>
          </cell>
          <cell r="O433" t="str">
            <v>C8327:  Net incurrence of liabities : Foreign : International organizations</v>
          </cell>
        </row>
        <row r="434">
          <cell r="M434" t="str">
            <v>A8328:  Net incurrence of liabities : Foreign : Financial corporations other than internat'l org's</v>
          </cell>
          <cell r="O434" t="str">
            <v>C8328:  Net incurrence of liabities : Foreign : Financial corporations other than internat'l org's</v>
          </cell>
        </row>
        <row r="435">
          <cell r="M435" t="str">
            <v xml:space="preserve">A8329:  Net incurrence of liabities : Foreign : Other nonresidents </v>
          </cell>
          <cell r="O435" t="str">
            <v xml:space="preserve">C8329:  Net incurrence of liabities : Foreign : Other nonresidents </v>
          </cell>
        </row>
        <row r="436">
          <cell r="M436" t="str">
            <v>A9:  CHANGE IN NET WORTH: Other Flows [51 + 52 - 53]</v>
          </cell>
          <cell r="O436" t="str">
            <v>Not applicable</v>
          </cell>
        </row>
        <row r="437">
          <cell r="M437" t="str">
            <v>A91:  Other Flows - Nonfinancial assets [511 + 512 + 513 + 514]</v>
          </cell>
          <cell r="O437" t="str">
            <v>C91:  Other Flows - Nonfinancial assets [511 + 512 + 513 + 514]</v>
          </cell>
        </row>
        <row r="438">
          <cell r="M438" t="str">
            <v>A911:  Other Flows - Nonfinancial assets : Fixed assets [5111 + 5112 + 5113]</v>
          </cell>
          <cell r="O438" t="str">
            <v>C911:  Other Flows - Nonfinancial assets : Fixed assets [5111 + 5112 + 5113]</v>
          </cell>
        </row>
        <row r="439">
          <cell r="M439" t="str">
            <v xml:space="preserve">A9111:  Other Flows - Nonfinancial assets : Fixed assets:   Buildings and structures </v>
          </cell>
          <cell r="O439" t="str">
            <v xml:space="preserve">C9111:  Other Flows - Nonfinancial assets : Fixed assets:   Buildings and structures </v>
          </cell>
        </row>
        <row r="440">
          <cell r="M440" t="str">
            <v xml:space="preserve">A9112:  Other Flows - Nonfinancial assets : Fixed assets:  Machinery and equipment </v>
          </cell>
          <cell r="O440" t="str">
            <v xml:space="preserve">C9112:  Other Flows - Nonfinancial assets : Fixed assets:  Machinery and equipment </v>
          </cell>
        </row>
        <row r="441">
          <cell r="M441" t="str">
            <v xml:space="preserve">A9113:  Other Flows - Nonfinancial assets : Fixed assets:  Other fixed assets </v>
          </cell>
          <cell r="O441" t="str">
            <v xml:space="preserve">C9113:  Other Flows - Nonfinancial assets : Fixed assets:  Other fixed assets </v>
          </cell>
        </row>
        <row r="442">
          <cell r="M442" t="str">
            <v xml:space="preserve">A912:  Other Flows - Inventories </v>
          </cell>
          <cell r="O442" t="str">
            <v xml:space="preserve">C912:  Other Flows - Inventories </v>
          </cell>
        </row>
        <row r="443">
          <cell r="M443" t="str">
            <v xml:space="preserve">A913:  Other Flows - Valuables </v>
          </cell>
          <cell r="O443" t="str">
            <v xml:space="preserve">C913:  Other Flows - Valuables </v>
          </cell>
        </row>
        <row r="444">
          <cell r="M444" t="str">
            <v>A914:  Other Flows - Nonfinancial assets : Nonproduced assets [5141 + 5142 + 5143 + 5144]</v>
          </cell>
          <cell r="O444" t="str">
            <v>C914:  Other Flows - Nonfinancial assets : Nonproduced assets [5141 + 5142 + 5143 + 5144]</v>
          </cell>
        </row>
        <row r="445">
          <cell r="M445" t="str">
            <v xml:space="preserve">A9141:  Other Flows - Nonfinancial assets : Nonproduced assets:  Land </v>
          </cell>
          <cell r="O445" t="str">
            <v xml:space="preserve">C9141:  Other Flows - Nonfinancial assets : Nonproduced assets:  Land </v>
          </cell>
        </row>
        <row r="446">
          <cell r="M446" t="str">
            <v xml:space="preserve">A9142:  Other Flows - Nonfinancial assets : Nonproduced assets:  Subsoil assets </v>
          </cell>
          <cell r="O446" t="str">
            <v xml:space="preserve">C9142:  Other Flows - Nonfinancial assets : Nonproduced assets:  Subsoil assets </v>
          </cell>
        </row>
        <row r="447">
          <cell r="M447" t="str">
            <v xml:space="preserve">A9143:  Other Flows - Nonfinancial assets : Nonproduced assets:  Other naturally occurring assets </v>
          </cell>
          <cell r="O447" t="str">
            <v xml:space="preserve">C9143:  Other Flows - Nonfinancial assets : Nonproduced assets:  Other naturally occurring assets </v>
          </cell>
        </row>
        <row r="448">
          <cell r="M448" t="str">
            <v xml:space="preserve">A9144:  Other Flows - Nonfinancial assets : Nonproduced assets:  Intangible nonproduced assets </v>
          </cell>
          <cell r="O448" t="str">
            <v xml:space="preserve">C9144:  Other Flows - Nonfinancial assets : Nonproduced assets:  Intangible nonproduced assets </v>
          </cell>
        </row>
        <row r="449">
          <cell r="M449" t="str">
            <v xml:space="preserve">A92:  Other Flows - Financial assets [521+522+523] </v>
          </cell>
          <cell r="O449" t="str">
            <v xml:space="preserve">C92:  Other Flows - Financial assets [521+522+523] </v>
          </cell>
        </row>
        <row r="450">
          <cell r="M450" t="str">
            <v xml:space="preserve">A9202:  Other Flows - Financial assets:  Currency and deposits [5212+5222] </v>
          </cell>
          <cell r="O450" t="str">
            <v xml:space="preserve">C9202:  Other Flows - Financial assets:  Currency and deposits [5212+5222] </v>
          </cell>
        </row>
        <row r="451">
          <cell r="M451" t="str">
            <v xml:space="preserve">A9203:  Other Flows - Financial assets:  Securities other than shares [5213+5223] </v>
          </cell>
          <cell r="O451" t="str">
            <v xml:space="preserve">C9203:  Other Flows - Financial assets:  Securities other than shares [5213+5223] </v>
          </cell>
        </row>
        <row r="452">
          <cell r="M452" t="str">
            <v xml:space="preserve">A9204:  Other Flows - Financial assets:  Loans [5214+5224] </v>
          </cell>
          <cell r="O452" t="str">
            <v xml:space="preserve">C9204:  Other Flows - Financial assets:  Loans [5214+5224] </v>
          </cell>
        </row>
        <row r="453">
          <cell r="M453" t="str">
            <v xml:space="preserve">A9205:  Other Flows - Financial assets:  Shares and other equity [5215+5225] </v>
          </cell>
          <cell r="O453" t="str">
            <v xml:space="preserve">C9205:  Other Flows - Financial assets:  Shares and other equity [5215+5225] </v>
          </cell>
        </row>
        <row r="454">
          <cell r="M454" t="str">
            <v xml:space="preserve">A9206:  Other Flows - Financial assets:  Insurance technical reserves [5216+5226] </v>
          </cell>
          <cell r="O454" t="str">
            <v xml:space="preserve">C9206:  Other Flows - Financial assets:  Insurance technical reserves [5216+5226] </v>
          </cell>
        </row>
        <row r="455">
          <cell r="M455" t="str">
            <v xml:space="preserve">A9207:  Other Flows - Financial assets:  Financial derivatives [5217+5227] </v>
          </cell>
          <cell r="O455" t="str">
            <v xml:space="preserve">C9207:  Other Flows - Financial assets:  Financial derivatives [5217+5227] </v>
          </cell>
        </row>
        <row r="456">
          <cell r="M456" t="str">
            <v xml:space="preserve">A9208:  Other Flows - Financial assets:  Other accounts receivable [5218+5228] </v>
          </cell>
          <cell r="O456" t="str">
            <v xml:space="preserve">C9208:  Other Flows - Financial assets:  Other accounts receivable [5218+5228] </v>
          </cell>
        </row>
        <row r="457">
          <cell r="M457" t="str">
            <v>A921:  Other Flows - Financial assets:  Domestic  [5212 + 5213 + 5214 + 5215 + 5216+ 5217 + 5218]</v>
          </cell>
          <cell r="O457" t="str">
            <v>C921:  Other Flows - Financial assets:  Domestic  [5212 + 5213 + 5214 + 5215 + 5216+ 5217 + 5218]</v>
          </cell>
        </row>
        <row r="458">
          <cell r="M458" t="str">
            <v xml:space="preserve">A9212:  Other Flows - Financial assets:  Domestic - Currency and deposits </v>
          </cell>
          <cell r="O458" t="str">
            <v xml:space="preserve">C9212:  Other Flows - Financial assets:  Domestic - Currency and deposits </v>
          </cell>
        </row>
        <row r="459">
          <cell r="M459" t="str">
            <v xml:space="preserve">A9213:  Other Flows - Financial assets:  Domestic - Securities other than shares </v>
          </cell>
          <cell r="O459" t="str">
            <v xml:space="preserve">C9213:  Other Flows - Financial assets:  Domestic - Securities other than shares </v>
          </cell>
        </row>
        <row r="460">
          <cell r="M460" t="str">
            <v xml:space="preserve">A9214:  Other Flows - Financial assets:  Domestic - Loans </v>
          </cell>
          <cell r="O460" t="str">
            <v xml:space="preserve">C9214:  Other Flows - Financial assets:  Domestic - Loans </v>
          </cell>
        </row>
        <row r="461">
          <cell r="M461" t="str">
            <v xml:space="preserve">A9215:  Other Flows - Financial assets:  Domestic - Shares and other equity </v>
          </cell>
          <cell r="O461" t="str">
            <v xml:space="preserve">C9215:  Other Flows - Financial assets:  Domestic - Shares and other equity </v>
          </cell>
        </row>
        <row r="462">
          <cell r="M462" t="str">
            <v xml:space="preserve">A9216:  Other Flows - Financial assets:  Domestic - Insurance technical reserves </v>
          </cell>
          <cell r="O462" t="str">
            <v xml:space="preserve">C9216:  Other Flows - Financial assets:  Domestic - Insurance technical reserves </v>
          </cell>
        </row>
        <row r="463">
          <cell r="M463" t="str">
            <v xml:space="preserve">A9217:  Other Flows - Financial assets:  Domestic - Financial derivatives </v>
          </cell>
          <cell r="O463" t="str">
            <v xml:space="preserve">C9217:  Other Flows - Financial assets:  Domestic - Financial derivatives </v>
          </cell>
        </row>
        <row r="464">
          <cell r="M464" t="str">
            <v xml:space="preserve">A9218:  Other Flows - Financial assets:  Domestic - Other accounts receivable </v>
          </cell>
          <cell r="O464" t="str">
            <v xml:space="preserve">C9218:  Other Flows - Financial assets:  Domestic - Other accounts receivable </v>
          </cell>
        </row>
        <row r="465">
          <cell r="M465" t="str">
            <v>A922:  Other Flows - Financial assets:  Foreign  [5222 + 5223 + 5224 + 5225 + 5226+ 5227 + 5228]</v>
          </cell>
          <cell r="O465" t="str">
            <v>C922:  Other Flows - Financial assets:  Foreign  [5222 + 5223 + 5224 + 5225 + 5226+ 5227 + 5228]</v>
          </cell>
        </row>
        <row r="466">
          <cell r="M466" t="str">
            <v xml:space="preserve">A9222:  Other Flows - Financial assets:  Foreign  - Currency and deposits </v>
          </cell>
          <cell r="O466" t="str">
            <v xml:space="preserve">C9222:  Other Flows - Financial assets:  Foreign  - Currency and deposits </v>
          </cell>
        </row>
        <row r="467">
          <cell r="M467" t="str">
            <v xml:space="preserve">A9223:  Other Flows - Financial assets:  Foreign  - Securities other than shares </v>
          </cell>
          <cell r="O467" t="str">
            <v xml:space="preserve">C9223:  Other Flows - Financial assets:  Foreign  - Securities other than shares </v>
          </cell>
        </row>
        <row r="468">
          <cell r="M468" t="str">
            <v xml:space="preserve">A9224:  Other Flows - Financial assets:  Foreign  - Loans </v>
          </cell>
          <cell r="O468" t="str">
            <v xml:space="preserve">C9224:  Other Flows - Financial assets:  Foreign  - Loans </v>
          </cell>
        </row>
        <row r="469">
          <cell r="M469" t="str">
            <v xml:space="preserve">A9225:  Other Flows - Financial assets:  Foreign  - Shares and other equity </v>
          </cell>
          <cell r="O469" t="str">
            <v xml:space="preserve">C9225:  Other Flows - Financial assets:  Foreign  - Shares and other equity </v>
          </cell>
        </row>
        <row r="470">
          <cell r="M470" t="str">
            <v xml:space="preserve">A9226:  Other Flows - Financial assets:  Foreign  - Insurance technical reserves </v>
          </cell>
          <cell r="O470" t="str">
            <v xml:space="preserve">C9226:  Other Flows - Financial assets:  Foreign  - Insurance technical reserves </v>
          </cell>
        </row>
        <row r="471">
          <cell r="M471" t="str">
            <v xml:space="preserve">A9227:  Other Flows - Financial assets:  Foreign  - Financial derivatives </v>
          </cell>
          <cell r="O471" t="str">
            <v xml:space="preserve">C9227:  Other Flows - Financial assets:  Foreign  - Financial derivatives </v>
          </cell>
        </row>
        <row r="472">
          <cell r="M472" t="str">
            <v xml:space="preserve">A9228:  Other Flows - Financial assets:  Foreign  - Other accounts receivable </v>
          </cell>
          <cell r="O472" t="str">
            <v xml:space="preserve">C9228:  Other Flows - Financial assets:  Foreign  - Other accounts receivable </v>
          </cell>
        </row>
        <row r="473">
          <cell r="M473" t="str">
            <v xml:space="preserve">A923:  Other Flows - Financial assets:  Monetary gold and SDRs </v>
          </cell>
          <cell r="O473" t="str">
            <v xml:space="preserve">C923:  Other Flows - Financial assets:  Monetary gold and SDRs </v>
          </cell>
        </row>
        <row r="474">
          <cell r="M474" t="str">
            <v xml:space="preserve">A93:  Other Flows - Liabilities [531+532] </v>
          </cell>
          <cell r="O474" t="str">
            <v xml:space="preserve">C93:  Other Flows - Liabilities [531+532] </v>
          </cell>
        </row>
        <row r="475">
          <cell r="M475" t="str">
            <v xml:space="preserve">A9302:  Other Flows - Liabilities:  Currency and deposits [5312+5322] </v>
          </cell>
          <cell r="O475" t="str">
            <v xml:space="preserve">C9302:  Other Flows - Liabilities:  Currency and deposits [5312+5322] </v>
          </cell>
        </row>
        <row r="476">
          <cell r="M476" t="str">
            <v xml:space="preserve">A9303:  Other Flows - Liabilities:  Securities other than shares [5313+5323] </v>
          </cell>
          <cell r="O476" t="str">
            <v xml:space="preserve">C9303:  Other Flows - Liabilities:  Securities other than shares [5313+5323] </v>
          </cell>
        </row>
        <row r="477">
          <cell r="M477" t="str">
            <v xml:space="preserve">A9304:  Other Flows - Liabilities:  Loans [5314+5324] </v>
          </cell>
          <cell r="O477" t="str">
            <v xml:space="preserve">C9304:  Other Flows - Liabilities:  Loans [5314+5324] </v>
          </cell>
        </row>
        <row r="478">
          <cell r="M478" t="str">
            <v xml:space="preserve">A9305:  Other Flows - Liabilities:  Shares and other equity [5315+5325] </v>
          </cell>
          <cell r="O478" t="str">
            <v xml:space="preserve">C9305:  Other Flows - Liabilities:  Shares and other equity [5315+5325] </v>
          </cell>
        </row>
        <row r="479">
          <cell r="M479" t="str">
            <v xml:space="preserve">A9306:  Other Flows - Liabilities:  Insurance technical reserves [5316+5326] </v>
          </cell>
          <cell r="O479" t="str">
            <v xml:space="preserve">C9306:  Other Flows - Liabilities:  Insurance technical reserves [5316+5326] </v>
          </cell>
        </row>
        <row r="480">
          <cell r="M480" t="str">
            <v xml:space="preserve">A9307:  Other Flows - Liabilities:  Financial derivatives [5317+5327] </v>
          </cell>
          <cell r="O480" t="str">
            <v xml:space="preserve">C9307:  Other Flows - Liabilities:  Financial derivatives [5317+5327] </v>
          </cell>
        </row>
        <row r="481">
          <cell r="M481" t="str">
            <v xml:space="preserve">A9308:  Other Flows - Liabilities:  Other accounts payable [5318+5328] </v>
          </cell>
          <cell r="O481" t="str">
            <v xml:space="preserve">C9308:  Other Flows - Liabilities:  Other accounts payable [5318+5328] </v>
          </cell>
        </row>
        <row r="482">
          <cell r="M482" t="str">
            <v>A931:  Other Flows - Liabilities:  Domestic  [5312 + 5313 + 5314 + 5315 + 5316+ 5317 + 5318]</v>
          </cell>
          <cell r="O482" t="str">
            <v>C931:  Other Flows - Liabilities:  Domestic  [5312 + 5313 + 5314 + 5315 + 5316+ 5317 + 5318]</v>
          </cell>
        </row>
        <row r="483">
          <cell r="M483" t="str">
            <v xml:space="preserve">A9312:  Other Flows - Liabilities:  Domestic - Currency and deposits </v>
          </cell>
          <cell r="O483" t="str">
            <v xml:space="preserve">C9312:  Other Flows - Liabilities:  Domestic - Currency and deposits </v>
          </cell>
        </row>
        <row r="484">
          <cell r="M484" t="str">
            <v xml:space="preserve">A9313:  Other Flows - Liabilities:  Domestic - Securities other than shares </v>
          </cell>
          <cell r="O484" t="str">
            <v xml:space="preserve">C9313:  Other Flows - Liabilities:  Domestic - Securities other than shares </v>
          </cell>
        </row>
        <row r="485">
          <cell r="M485" t="str">
            <v xml:space="preserve">A9314:  Other Flows - Liabilities:  Domestic - Loans </v>
          </cell>
          <cell r="O485" t="str">
            <v xml:space="preserve">C9314:  Other Flows - Liabilities:  Domestic - Loans </v>
          </cell>
        </row>
        <row r="486">
          <cell r="M486" t="str">
            <v xml:space="preserve">A9315:  Other Flows - Liabilities:  Domestic - Shares and other equity </v>
          </cell>
          <cell r="O486" t="str">
            <v xml:space="preserve">C9315:  Other Flows - Liabilities:  Domestic - Shares and other equity </v>
          </cell>
        </row>
        <row r="487">
          <cell r="M487" t="str">
            <v xml:space="preserve">A9316:  Other Flows - Liabilities:  Domestic - Insurance technical reserves </v>
          </cell>
          <cell r="O487" t="str">
            <v xml:space="preserve">C9316:  Other Flows - Liabilities:  Domestic - Insurance technical reserves </v>
          </cell>
        </row>
        <row r="488">
          <cell r="M488" t="str">
            <v xml:space="preserve">A9317:  Other Flows - Liabilities:  Domestic - Financial derivatives </v>
          </cell>
          <cell r="O488" t="str">
            <v xml:space="preserve">C9317:  Other Flows - Liabilities:  Domestic - Financial derivatives </v>
          </cell>
        </row>
        <row r="489">
          <cell r="M489" t="str">
            <v xml:space="preserve">A9318:  Other Flows - Liabilities:  Domestic - Other accounts payable </v>
          </cell>
          <cell r="O489" t="str">
            <v xml:space="preserve">C9318:  Other Flows - Liabilities:  Domestic - Other accounts payable </v>
          </cell>
        </row>
        <row r="490">
          <cell r="M490" t="str">
            <v>A932:  Other Flows - Liabilities:  Foreign [5322 + 5323 + 5324 + 5325 + 5326+ 5327 + 5328]</v>
          </cell>
          <cell r="O490" t="str">
            <v>C932:  Other Flows - Liabilities:  Foreign [5322 + 5323 + 5324 + 5325 + 5326+ 5327 + 5328]</v>
          </cell>
        </row>
        <row r="491">
          <cell r="M491" t="str">
            <v xml:space="preserve">A9322:  Other Flows - Liabilities:  Foreign  - Currency and deposits </v>
          </cell>
          <cell r="O491" t="str">
            <v xml:space="preserve">C9322:  Other Flows - Liabilities:  Foreign  - Currency and deposits </v>
          </cell>
        </row>
        <row r="492">
          <cell r="M492" t="str">
            <v xml:space="preserve">A9323:  Other Flows - Liabilities:  Foreign  - Securities other than shares </v>
          </cell>
          <cell r="O492" t="str">
            <v xml:space="preserve">C9323:  Other Flows - Liabilities:  Foreign  - Securities other than shares </v>
          </cell>
        </row>
        <row r="493">
          <cell r="M493" t="str">
            <v xml:space="preserve">A9324:  Other Flows - Liabilities:  Foreign  - Loans </v>
          </cell>
          <cell r="O493" t="str">
            <v xml:space="preserve">C9324:  Other Flows - Liabilities:  Foreign  - Loans </v>
          </cell>
        </row>
        <row r="494">
          <cell r="M494" t="str">
            <v xml:space="preserve">A9325:  Other Flows - Liabilities:  Foreign  - Shares and other equity </v>
          </cell>
          <cell r="O494" t="str">
            <v xml:space="preserve">C9325:  Other Flows - Liabilities:  Foreign  - Shares and other equity </v>
          </cell>
        </row>
        <row r="495">
          <cell r="M495" t="str">
            <v xml:space="preserve">A9326:  Other Flows - Liabilities:  Foreign  - Insurance technical reserves </v>
          </cell>
          <cell r="O495" t="str">
            <v xml:space="preserve">C9326:  Other Flows - Liabilities:  Foreign  - Insurance technical reserves </v>
          </cell>
        </row>
        <row r="496">
          <cell r="M496" t="str">
            <v xml:space="preserve">A9327:  Other Flows - Liabilities:  Foreign  - Financial derivatives </v>
          </cell>
          <cell r="O496" t="str">
            <v xml:space="preserve">C9327:  Other Flows - Liabilities:  Foreign  - Financial derivatives </v>
          </cell>
        </row>
        <row r="497">
          <cell r="M497" t="str">
            <v xml:space="preserve">A9328:  Other Flows - Liabilities:  Foreign  - Other accounts payable </v>
          </cell>
          <cell r="O497" t="str">
            <v xml:space="preserve">C9328:  Other Flows - Liabilities:  Foreign  - Other accounts payable </v>
          </cell>
        </row>
        <row r="512">
          <cell r="E512" t="str">
            <v>Budgetary central government</v>
          </cell>
        </row>
        <row r="513">
          <cell r="E513" t="str">
            <v>Extra- budgetary units</v>
          </cell>
        </row>
        <row r="514">
          <cell r="E514" t="str">
            <v>Social security funds</v>
          </cell>
        </row>
        <row r="515">
          <cell r="E515" t="str">
            <v>Central government</v>
          </cell>
        </row>
        <row r="516">
          <cell r="E516" t="str">
            <v>State governments</v>
          </cell>
        </row>
        <row r="517">
          <cell r="E517" t="str">
            <v>Local governments</v>
          </cell>
        </row>
        <row r="518">
          <cell r="E518" t="str">
            <v>General government</v>
          </cell>
        </row>
        <row r="519">
          <cell r="E519" t="str">
            <v xml:space="preserve">NFPCs </v>
          </cell>
        </row>
        <row r="520">
          <cell r="E520" t="str">
            <v>NFPS</v>
          </cell>
        </row>
      </sheetData>
      <sheetData sheetId="19" refreshError="1"/>
      <sheetData sheetId="20" refreshError="1"/>
      <sheetData sheetId="21" refreshError="1"/>
      <sheetData sheetId="2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ses"/>
      <sheetName val="Info"/>
      <sheetName val="Ext.Fin (FY)"/>
      <sheetName val="Table fy"/>
      <sheetName val="Table"/>
      <sheetName val="BOP"/>
      <sheetName val="Output"/>
      <sheetName val="weo"/>
      <sheetName val="Macro"/>
      <sheetName val="Exp"/>
      <sheetName val="Imp"/>
      <sheetName val="serv"/>
      <sheetName val="KA"/>
      <sheetName val="IN"/>
      <sheetName val="Ind"/>
      <sheetName val="DSA output"/>
      <sheetName val="Sheet1"/>
      <sheetName val="WETA"/>
      <sheetName val="OutSATable"/>
      <sheetName val="1.1 INDIC ACC"/>
      <sheetName val="Fiscal Table"/>
      <sheetName val="PV_Base"/>
      <sheetName val="18"/>
      <sheetName val="13"/>
      <sheetName val="NPV_base"/>
      <sheetName val="7"/>
      <sheetName val="9"/>
      <sheetName val="5"/>
      <sheetName val="10"/>
      <sheetName val="6"/>
      <sheetName val="19"/>
      <sheetName val="22"/>
      <sheetName val="23"/>
      <sheetName val="8"/>
      <sheetName val="4"/>
      <sheetName val="28"/>
      <sheetName val="17"/>
      <sheetName val="Fis-Debt (cy)"/>
      <sheetName val="Imp:DSA outp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Imports (values in millions of USD)</v>
          </cell>
        </row>
        <row r="10">
          <cell r="I10">
            <v>2666.3</v>
          </cell>
          <cell r="O10">
            <v>3176.0428440583428</v>
          </cell>
          <cell r="P10">
            <v>3242.5263215912155</v>
          </cell>
          <cell r="Q10">
            <v>3833.0527811932766</v>
          </cell>
          <cell r="R10">
            <v>4058.7633541650707</v>
          </cell>
          <cell r="S10">
            <v>4393.9389874371036</v>
          </cell>
          <cell r="T10">
            <v>4764.4762647781563</v>
          </cell>
          <cell r="U10">
            <v>5010.6029387566268</v>
          </cell>
          <cell r="V10">
            <v>5482.756871596398</v>
          </cell>
          <cell r="W10">
            <v>5874.2749434691741</v>
          </cell>
          <cell r="X10">
            <v>6293.0292569447074</v>
          </cell>
          <cell r="Y10">
            <v>6743.6926272308083</v>
          </cell>
          <cell r="Z10">
            <v>7229.0824152886498</v>
          </cell>
          <cell r="AA10">
            <v>7751.9458278073898</v>
          </cell>
          <cell r="AB10">
            <v>8314.1913225158423</v>
          </cell>
          <cell r="AC10">
            <v>8918.8361457422816</v>
          </cell>
          <cell r="AD10">
            <v>9570.5700486902642</v>
          </cell>
          <cell r="AE10">
            <v>10271.608608612269</v>
          </cell>
          <cell r="AF10">
            <v>11025.726857776393</v>
          </cell>
          <cell r="AG10">
            <v>11836.991508222838</v>
          </cell>
          <cell r="AH10">
            <v>12709.783684865357</v>
          </cell>
          <cell r="AI10">
            <v>13648.823445553911</v>
          </cell>
          <cell r="AJ10">
            <v>14659.196229747231</v>
          </cell>
        </row>
        <row r="11">
          <cell r="C11">
            <v>1965.0946977722251</v>
          </cell>
          <cell r="D11">
            <v>2311.1257680618096</v>
          </cell>
          <cell r="E11">
            <v>1956.283844021649</v>
          </cell>
          <cell r="F11">
            <v>1865.8579310455389</v>
          </cell>
          <cell r="G11">
            <v>1605.87329292142</v>
          </cell>
          <cell r="H11">
            <v>2041.7985350715403</v>
          </cell>
          <cell r="I11">
            <v>3097.304963348296</v>
          </cell>
          <cell r="O11">
            <v>3461.92</v>
          </cell>
          <cell r="P11">
            <v>3534.3876875726601</v>
          </cell>
          <cell r="Q11">
            <v>4178.0677200539894</v>
          </cell>
          <cell r="R11">
            <v>4424.0946111094172</v>
          </cell>
          <cell r="S11">
            <v>4779.8261700436078</v>
          </cell>
          <cell r="T11">
            <v>5182.9049975547114</v>
          </cell>
          <cell r="U11">
            <v>5450.6471580152229</v>
          </cell>
          <cell r="V11">
            <v>5964.2668807580976</v>
          </cell>
          <cell r="W11">
            <v>6390.1690909009949</v>
          </cell>
          <cell r="X11">
            <v>6845.6995004246091</v>
          </cell>
          <cell r="Y11">
            <v>7335.9413033564242</v>
          </cell>
          <cell r="Z11">
            <v>7863.9592886457576</v>
          </cell>
          <cell r="AA11">
            <v>8432.7419298387595</v>
          </cell>
          <cell r="AB11">
            <v>9044.3652903998263</v>
          </cell>
          <cell r="AC11">
            <v>9702.1115990996805</v>
          </cell>
          <cell r="AD11">
            <v>10411.08247332487</v>
          </cell>
          <cell r="AE11">
            <v>11173.688068101086</v>
          </cell>
          <cell r="AF11">
            <v>11994.034948876646</v>
          </cell>
          <cell r="AG11">
            <v>12876.546976950342</v>
          </cell>
          <cell r="AH11">
            <v>13825.990039053158</v>
          </cell>
          <cell r="AI11">
            <v>14847.49872082679</v>
          </cell>
          <cell r="AJ11">
            <v>15946.605078287603</v>
          </cell>
        </row>
        <row r="12">
          <cell r="C12">
            <v>1965.0946977722251</v>
          </cell>
          <cell r="D12">
            <v>2091.057280123131</v>
          </cell>
          <cell r="E12">
            <v>1845.6008217419037</v>
          </cell>
          <cell r="F12">
            <v>1716.5490693788722</v>
          </cell>
          <cell r="G12">
            <v>1576.8276529214199</v>
          </cell>
          <cell r="H12">
            <v>1815.8118400715402</v>
          </cell>
          <cell r="I12">
            <v>2939.7763880149628</v>
          </cell>
          <cell r="O12">
            <v>3312.6200000000003</v>
          </cell>
          <cell r="P12">
            <v>3473.8876875726601</v>
          </cell>
          <cell r="Q12">
            <v>4004.4940361159115</v>
          </cell>
          <cell r="R12">
            <v>4350.0206788505438</v>
          </cell>
          <cell r="S12">
            <v>4700.1289299572463</v>
          </cell>
          <cell r="T12">
            <v>5096.4296330146972</v>
          </cell>
          <cell r="U12">
            <v>5356.3071748480643</v>
          </cell>
          <cell r="V12">
            <v>5862.1213992431294</v>
          </cell>
          <cell r="W12">
            <v>6279.1572776952326</v>
          </cell>
          <cell r="X12">
            <v>6728.069163983203</v>
          </cell>
          <cell r="Y12">
            <v>7211.1060516212119</v>
          </cell>
          <cell r="Z12">
            <v>7731.2691138177852</v>
          </cell>
          <cell r="AA12">
            <v>8291.522970504413</v>
          </cell>
          <cell r="AB12">
            <v>8893.850031457283</v>
          </cell>
          <cell r="AC12">
            <v>9541.4474376939379</v>
          </cell>
          <cell r="AD12">
            <v>10239.373746692117</v>
          </cell>
          <cell r="AE12">
            <v>10989.957189452947</v>
          </cell>
          <cell r="AF12">
            <v>11797.214884033679</v>
          </cell>
          <cell r="AG12">
            <v>12665.473029777608</v>
          </cell>
          <cell r="AH12">
            <v>13599.390882192096</v>
          </cell>
          <cell r="AI12">
            <v>14603.986602382793</v>
          </cell>
          <cell r="AJ12">
            <v>15684.665128761832</v>
          </cell>
        </row>
        <row r="13">
          <cell r="B13">
            <v>5.1415753937940289</v>
          </cell>
          <cell r="D13">
            <v>17.608875067541049</v>
          </cell>
          <cell r="E13">
            <v>-15.35363972587885</v>
          </cell>
          <cell r="F13">
            <v>-4.6223309185141659</v>
          </cell>
          <cell r="G13">
            <v>-13.933785300493682</v>
          </cell>
          <cell r="H13">
            <v>27.145681049161794</v>
          </cell>
          <cell r="I13">
            <v>51.694935134223357</v>
          </cell>
          <cell r="O13">
            <v>4.716906938335967</v>
          </cell>
          <cell r="P13">
            <v>2.0932802483205819</v>
          </cell>
          <cell r="Q13">
            <v>18.211924932417219</v>
          </cell>
          <cell r="R13">
            <v>5.8885328706986115</v>
          </cell>
          <cell r="S13">
            <v>8.0407764798001296</v>
          </cell>
          <cell r="T13">
            <v>8.4329181265482305</v>
          </cell>
          <cell r="U13">
            <v>5.1658705028711154</v>
          </cell>
          <cell r="V13">
            <v>9.4230961545106311</v>
          </cell>
          <cell r="W13">
            <v>7.1408979285776439</v>
          </cell>
          <cell r="X13">
            <v>7.1286127650713809</v>
          </cell>
          <cell r="Y13">
            <v>7.1613105848629175</v>
          </cell>
          <cell r="Z13">
            <v>7.1976855246612956</v>
          </cell>
          <cell r="AA13">
            <v>7.2327770314659148</v>
          </cell>
          <cell r="AB13">
            <v>7.2529595432877301</v>
          </cell>
          <cell r="AC13">
            <v>7.2724429805817437</v>
          </cell>
          <cell r="AD13">
            <v>7.307387335051672</v>
          </cell>
          <cell r="AE13">
            <v>7.3249404827034397</v>
          </cell>
          <cell r="AF13">
            <v>7.3417736004060004</v>
          </cell>
          <cell r="AG13">
            <v>7.3579244335648042</v>
          </cell>
          <cell r="AH13">
            <v>7.373429101779891</v>
          </cell>
          <cell r="AI13">
            <v>7.3883221301929183</v>
          </cell>
          <cell r="AJ13">
            <v>7.4026364852894773</v>
          </cell>
        </row>
        <row r="14">
          <cell r="C14">
            <v>89.346179652324906</v>
          </cell>
          <cell r="D14">
            <v>100</v>
          </cell>
          <cell r="E14">
            <v>92.045721682069598</v>
          </cell>
          <cell r="F14">
            <v>88.426659143820686</v>
          </cell>
          <cell r="G14">
            <v>86.734628996534454</v>
          </cell>
          <cell r="H14">
            <v>87.750386650708137</v>
          </cell>
          <cell r="I14">
            <v>100.79042639883897</v>
          </cell>
          <cell r="O14">
            <v>105.65808953270059</v>
          </cell>
          <cell r="P14">
            <v>110.13878914601868</v>
          </cell>
          <cell r="Q14">
            <v>121.23922199490165</v>
          </cell>
          <cell r="R14">
            <v>116.34827125579444</v>
          </cell>
          <cell r="S14">
            <v>114.05407143861352</v>
          </cell>
          <cell r="T14">
            <v>114.13609210232285</v>
          </cell>
          <cell r="U14">
            <v>115.05334347361146</v>
          </cell>
          <cell r="V14">
            <v>115.96381528654804</v>
          </cell>
          <cell r="W14">
            <v>116.88655849021987</v>
          </cell>
          <cell r="X14">
            <v>117.82048278446045</v>
          </cell>
          <cell r="Y14">
            <v>118.76559429252443</v>
          </cell>
          <cell r="Z14">
            <v>119.72190595345417</v>
          </cell>
          <cell r="AA14">
            <v>120.68943086074468</v>
          </cell>
          <cell r="AB14">
            <v>121.66818563721637</v>
          </cell>
          <cell r="AC14">
            <v>122.65820242331417</v>
          </cell>
          <cell r="AD14">
            <v>123.67912646743331</v>
          </cell>
          <cell r="AE14">
            <v>124.71182256167144</v>
          </cell>
          <cell r="AF14">
            <v>125.75633948813086</v>
          </cell>
          <cell r="AG14">
            <v>126.81272994075955</v>
          </cell>
          <cell r="AH14">
            <v>127.88105044430853</v>
          </cell>
          <cell r="AI14">
            <v>128.96136127335583</v>
          </cell>
          <cell r="AJ14">
            <v>130.05372637182825</v>
          </cell>
        </row>
        <row r="15">
          <cell r="B15">
            <v>0.47949446250898919</v>
          </cell>
          <cell r="D15">
            <v>12.276151583527861</v>
          </cell>
          <cell r="E15">
            <v>-7.9542783179303926</v>
          </cell>
          <cell r="F15">
            <v>-3.9318096182127054</v>
          </cell>
          <cell r="G15">
            <v>-1.9134841954554056</v>
          </cell>
          <cell r="H15">
            <v>1.171109700848856</v>
          </cell>
          <cell r="I15">
            <v>14.860378678485979</v>
          </cell>
          <cell r="O15">
            <v>-2.4401808828580274</v>
          </cell>
          <cell r="P15">
            <v>4.2407539575390061</v>
          </cell>
          <cell r="Q15">
            <v>10.078586241007566</v>
          </cell>
          <cell r="R15">
            <v>-4.0341324025593632</v>
          </cell>
          <cell r="S15">
            <v>-1.9718383371052099</v>
          </cell>
          <cell r="T15">
            <v>7.1913841106031134E-2</v>
          </cell>
          <cell r="U15">
            <v>0.80364707989677775</v>
          </cell>
          <cell r="V15">
            <v>0.79134754840515509</v>
          </cell>
          <cell r="W15">
            <v>0.79571649259014265</v>
          </cell>
          <cell r="X15">
            <v>0.79900059194464002</v>
          </cell>
          <cell r="Y15">
            <v>0.80216231144879935</v>
          </cell>
          <cell r="Z15">
            <v>0.80520934250901666</v>
          </cell>
          <cell r="AA15">
            <v>0.80814358874862968</v>
          </cell>
          <cell r="AB15">
            <v>0.81096975061636312</v>
          </cell>
          <cell r="AC15">
            <v>0.81370226810956847</v>
          </cell>
          <cell r="AD15">
            <v>0.83233246855825982</v>
          </cell>
          <cell r="AE15">
            <v>0.83498010030823966</v>
          </cell>
          <cell r="AF15">
            <v>0.83754443243974452</v>
          </cell>
          <cell r="AG15">
            <v>0.84002958175193776</v>
          </cell>
          <cell r="AH15">
            <v>0.84243948067993379</v>
          </cell>
          <cell r="AI15">
            <v>0.84477788170638068</v>
          </cell>
          <cell r="AJ15">
            <v>0.84704836215007373</v>
          </cell>
        </row>
        <row r="16">
          <cell r="C16">
            <v>95.465713381791403</v>
          </cell>
          <cell r="D16">
            <v>100</v>
          </cell>
          <cell r="E16">
            <v>91.96121093655367</v>
          </cell>
          <cell r="F16">
            <v>91.300209884063307</v>
          </cell>
          <cell r="G16">
            <v>80.111556634859156</v>
          </cell>
          <cell r="H16">
            <v>100.67931901079268</v>
          </cell>
          <cell r="I16">
            <v>132.96615371128505</v>
          </cell>
          <cell r="O16">
            <v>141.77207449349683</v>
          </cell>
          <cell r="P16">
            <v>138.85141447217586</v>
          </cell>
          <cell r="Q16">
            <v>149.11068124010964</v>
          </cell>
          <cell r="R16">
            <v>164.52840647570721</v>
          </cell>
          <cell r="S16">
            <v>181.33336876955835</v>
          </cell>
          <cell r="T16">
            <v>196.48376427196928</v>
          </cell>
          <cell r="U16">
            <v>204.986493127226</v>
          </cell>
          <cell r="V16">
            <v>222.5414908463668</v>
          </cell>
          <cell r="W16">
            <v>236.55067879195926</v>
          </cell>
          <cell r="X16">
            <v>251.40473535254219</v>
          </cell>
          <cell r="Y16">
            <v>267.26471248086688</v>
          </cell>
          <cell r="Z16">
            <v>284.21307576493837</v>
          </cell>
          <cell r="AA16">
            <v>302.32634287226722</v>
          </cell>
          <cell r="AB16">
            <v>321.64550248016195</v>
          </cell>
          <cell r="AC16">
            <v>342.25207534787961</v>
          </cell>
          <cell r="AD16">
            <v>364.2301543211077</v>
          </cell>
          <cell r="AE16">
            <v>387.67280556441818</v>
          </cell>
          <cell r="AF16">
            <v>412.67849946317017</v>
          </cell>
          <cell r="AG16">
            <v>439.35238163338721</v>
          </cell>
          <cell r="AH16">
            <v>467.80672941821001</v>
          </cell>
          <cell r="AI16">
            <v>498.16143987509247</v>
          </cell>
          <cell r="AJ16">
            <v>530.54455144543442</v>
          </cell>
        </row>
        <row r="17">
          <cell r="B17">
            <v>4.6398331880785681</v>
          </cell>
          <cell r="D17">
            <v>4.7496493322946698</v>
          </cell>
          <cell r="E17">
            <v>-8.0387890634463268</v>
          </cell>
          <cell r="F17">
            <v>-0.71878245812400099</v>
          </cell>
          <cell r="G17">
            <v>-12.254794664121761</v>
          </cell>
          <cell r="H17">
            <v>25.67390179381912</v>
          </cell>
          <cell r="I17">
            <v>32.068983995641908</v>
          </cell>
          <cell r="O17">
            <v>7.3361019792383297</v>
          </cell>
          <cell r="P17">
            <v>-2.0601095326815866</v>
          </cell>
          <cell r="Q17">
            <v>7.3886656516485294</v>
          </cell>
          <cell r="R17">
            <v>10.339785927723554</v>
          </cell>
          <cell r="S17">
            <v>10.214018754464993</v>
          </cell>
          <cell r="T17">
            <v>8.3549958869756136</v>
          </cell>
          <cell r="U17">
            <v>4.3274460293255546</v>
          </cell>
          <cell r="V17">
            <v>8.5639777779139781</v>
          </cell>
          <cell r="W17">
            <v>6.2950903637397637</v>
          </cell>
          <cell r="X17">
            <v>6.2794394150298416</v>
          </cell>
          <cell r="Y17">
            <v>6.3085435149359492</v>
          </cell>
          <cell r="Z17">
            <v>6.3414145199901073</v>
          </cell>
          <cell r="AA17">
            <v>6.373129406019884</v>
          </cell>
          <cell r="AB17">
            <v>6.3901674674962328</v>
          </cell>
          <cell r="AC17">
            <v>6.4066099817418065</v>
          </cell>
          <cell r="AD17">
            <v>6.4216057567769713</v>
          </cell>
          <cell r="AE17">
            <v>6.4362192325908563</v>
          </cell>
          <cell r="AF17">
            <v>6.4502058281714847</v>
          </cell>
          <cell r="AG17">
            <v>6.4635987105980952</v>
          </cell>
          <cell r="AH17">
            <v>6.4764296210339412</v>
          </cell>
          <cell r="AI17">
            <v>6.4887289019192274</v>
          </cell>
          <cell r="AJ17">
            <v>6.5005255281222807</v>
          </cell>
        </row>
        <row r="19">
          <cell r="O19">
            <v>0.9174223679514093</v>
          </cell>
        </row>
        <row r="21">
          <cell r="C21">
            <v>1965.0946977722251</v>
          </cell>
          <cell r="D21">
            <v>2073.4071909564641</v>
          </cell>
          <cell r="E21">
            <v>1832.0822462217563</v>
          </cell>
          <cell r="F21">
            <v>1702.8858999622055</v>
          </cell>
          <cell r="G21">
            <v>1576.8276529214199</v>
          </cell>
          <cell r="H21">
            <v>1781.1548184048736</v>
          </cell>
          <cell r="I21">
            <v>2929.6103160982962</v>
          </cell>
          <cell r="O21">
            <v>3187.7200000000003</v>
          </cell>
          <cell r="P21">
            <v>3376.7527508637995</v>
          </cell>
          <cell r="Q21">
            <v>3859.529985483</v>
          </cell>
          <cell r="R21">
            <v>4213.0738434075065</v>
          </cell>
          <cell r="S21">
            <v>4450.1289299572463</v>
          </cell>
          <cell r="T21">
            <v>4844.1796330146981</v>
          </cell>
          <cell r="U21">
            <v>5101.7869248480647</v>
          </cell>
          <cell r="V21">
            <v>5605.3104669931299</v>
          </cell>
          <cell r="W21">
            <v>6020.035047054982</v>
          </cell>
          <cell r="X21">
            <v>6466.614833267191</v>
          </cell>
          <cell r="Y21">
            <v>6947.2986319287556</v>
          </cell>
          <cell r="Z21">
            <v>7465.0874273480968</v>
          </cell>
          <cell r="AA21">
            <v>8022.9456488564983</v>
          </cell>
          <cell r="AB21">
            <v>8622.8555139145374</v>
          </cell>
          <cell r="AC21">
            <v>9268.0139694933059</v>
          </cell>
          <cell r="AD21">
            <v>9963.4793772776811</v>
          </cell>
          <cell r="AE21">
            <v>10711.579770713781</v>
          </cell>
          <cell r="AF21">
            <v>11516.332068525859</v>
          </cell>
          <cell r="AG21">
            <v>12382.062268930218</v>
          </cell>
          <cell r="AH21">
            <v>13313.429424497079</v>
          </cell>
          <cell r="AI21">
            <v>14315.451491568521</v>
          </cell>
          <cell r="AJ21">
            <v>15393.533201950231</v>
          </cell>
        </row>
        <row r="22">
          <cell r="D22">
            <v>5.5118205401006861</v>
          </cell>
          <cell r="E22">
            <v>-11.639052173991189</v>
          </cell>
          <cell r="F22">
            <v>-7.0518857177939651</v>
          </cell>
          <cell r="G22">
            <v>-7.4026243944813501</v>
          </cell>
          <cell r="H22">
            <v>12.958116576969744</v>
          </cell>
          <cell r="I22">
            <v>64.478140014910679</v>
          </cell>
          <cell r="O22">
            <v>4.5431737609004301</v>
          </cell>
          <cell r="P22">
            <v>5.9300299544439099</v>
          </cell>
          <cell r="Q22">
            <v>14.297085698551726</v>
          </cell>
          <cell r="R22">
            <v>9.1602827094051378</v>
          </cell>
          <cell r="S22">
            <v>5.6266539671664333</v>
          </cell>
          <cell r="T22">
            <v>8.8548154280383358</v>
          </cell>
          <cell r="U22">
            <v>5.3178724025361674</v>
          </cell>
          <cell r="V22">
            <v>9.8695525619204574</v>
          </cell>
          <cell r="W22">
            <v>7.3987798268081235</v>
          </cell>
          <cell r="X22">
            <v>7.4182256867537149</v>
          </cell>
          <cell r="Y22">
            <v>7.4333142000155874</v>
          </cell>
          <cell r="Z22">
            <v>7.4530954094827564</v>
          </cell>
          <cell r="AA22">
            <v>7.4728960234907333</v>
          </cell>
          <cell r="AB22">
            <v>7.4774265128362742</v>
          </cell>
          <cell r="AC22">
            <v>7.4819583203926925</v>
          </cell>
          <cell r="AD22">
            <v>7.5039313716355593</v>
          </cell>
          <cell r="AE22">
            <v>7.5084251706505967</v>
          </cell>
          <cell r="AF22">
            <v>7.5129188694680522</v>
          </cell>
          <cell r="AG22">
            <v>7.5174126210757635</v>
          </cell>
          <cell r="AH22">
            <v>7.5219065720893781</v>
          </cell>
          <cell r="AI22">
            <v>7.5264008627836603</v>
          </cell>
          <cell r="AJ22">
            <v>7.5308956271248348</v>
          </cell>
        </row>
        <row r="23">
          <cell r="C23">
            <v>89.066109400450003</v>
          </cell>
          <cell r="D23">
            <v>100</v>
          </cell>
          <cell r="E23">
            <v>92.045721682069598</v>
          </cell>
          <cell r="F23">
            <v>88.426659143820686</v>
          </cell>
          <cell r="G23">
            <v>86.734628996534454</v>
          </cell>
          <cell r="H23">
            <v>87.750386650708137</v>
          </cell>
          <cell r="I23">
            <v>100.79042639883897</v>
          </cell>
          <cell r="O23">
            <v>106.05518658904005</v>
          </cell>
          <cell r="P23">
            <v>110.49103098256739</v>
          </cell>
          <cell r="Q23">
            <v>121.5635168407196</v>
          </cell>
          <cell r="R23">
            <v>116.63589024353925</v>
          </cell>
          <cell r="S23">
            <v>114.33281577325296</v>
          </cell>
          <cell r="T23">
            <v>114.41503689272018</v>
          </cell>
          <cell r="U23">
            <v>115.33452999567135</v>
          </cell>
          <cell r="V23">
            <v>116.24722697125669</v>
          </cell>
          <cell r="W23">
            <v>117.17222532844568</v>
          </cell>
          <cell r="X23">
            <v>118.10843210241467</v>
          </cell>
          <cell r="Y23">
            <v>119.05585343138334</v>
          </cell>
          <cell r="Z23">
            <v>120.01450228601666</v>
          </cell>
          <cell r="AA23">
            <v>120.98439179180968</v>
          </cell>
          <cell r="AB23">
            <v>121.96553861220845</v>
          </cell>
          <cell r="AC23">
            <v>122.95797496620804</v>
          </cell>
          <cell r="AD23">
            <v>123.98139411453351</v>
          </cell>
          <cell r="AE23">
            <v>125.01661408347461</v>
          </cell>
          <cell r="AF23">
            <v>126.06368377435544</v>
          </cell>
          <cell r="AG23">
            <v>127.12265600990624</v>
          </cell>
          <cell r="AH23">
            <v>128.19358745302262</v>
          </cell>
          <cell r="AI23">
            <v>129.27653852559169</v>
          </cell>
          <cell r="AJ23">
            <v>130.37157332781703</v>
          </cell>
        </row>
        <row r="24">
          <cell r="D24">
            <v>12.276151583527861</v>
          </cell>
          <cell r="E24">
            <v>-7.9542783179303926</v>
          </cell>
          <cell r="F24">
            <v>-3.9318096182127054</v>
          </cell>
          <cell r="G24">
            <v>-1.9134841954554056</v>
          </cell>
          <cell r="H24">
            <v>1.171109700848856</v>
          </cell>
          <cell r="I24">
            <v>14.860378678485979</v>
          </cell>
          <cell r="O24">
            <v>-2.4676114373060831</v>
          </cell>
          <cell r="P24">
            <v>4.18258129205514</v>
          </cell>
          <cell r="Q24">
            <v>10.02116258639958</v>
          </cell>
          <cell r="R24">
            <v>-4.0535406717764273</v>
          </cell>
          <cell r="S24">
            <v>-1.9745847230019764</v>
          </cell>
          <cell r="T24">
            <v>7.1913841106031134E-2</v>
          </cell>
          <cell r="U24">
            <v>0.80364707989677775</v>
          </cell>
          <cell r="V24">
            <v>0.79134754840515509</v>
          </cell>
          <cell r="W24">
            <v>0.79571649259014265</v>
          </cell>
          <cell r="X24">
            <v>0.79900059194464002</v>
          </cell>
          <cell r="Y24">
            <v>0.80216231144879935</v>
          </cell>
          <cell r="Z24">
            <v>0.80520934250901666</v>
          </cell>
          <cell r="AA24">
            <v>0.80814358874862968</v>
          </cell>
          <cell r="AB24">
            <v>0.81096975061636312</v>
          </cell>
          <cell r="AC24">
            <v>0.81370226810956847</v>
          </cell>
          <cell r="AD24">
            <v>0.83233246855825982</v>
          </cell>
          <cell r="AE24">
            <v>0.83498010030823966</v>
          </cell>
          <cell r="AF24">
            <v>0.83754443243974452</v>
          </cell>
          <cell r="AG24">
            <v>0.84002958175193776</v>
          </cell>
          <cell r="AH24">
            <v>0.84243948067993379</v>
          </cell>
          <cell r="AI24">
            <v>0.84477788170638068</v>
          </cell>
          <cell r="AJ24">
            <v>0.84704836215007373</v>
          </cell>
        </row>
        <row r="25">
          <cell r="C25">
            <v>106.41096988830395</v>
          </cell>
          <cell r="D25">
            <v>100</v>
          </cell>
          <cell r="E25">
            <v>95.996800515304571</v>
          </cell>
          <cell r="F25">
            <v>92.879042996049222</v>
          </cell>
          <cell r="G25">
            <v>87.6813245902635</v>
          </cell>
          <cell r="H25">
            <v>97.896695153152095</v>
          </cell>
          <cell r="I25">
            <v>140.18642910336456</v>
          </cell>
          <cell r="O25">
            <v>144.96516508424045</v>
          </cell>
          <cell r="P25">
            <v>147.39665776447356</v>
          </cell>
          <cell r="Q25">
            <v>153.12516272454567</v>
          </cell>
          <cell r="R25">
            <v>174.21368302663504</v>
          </cell>
          <cell r="S25">
            <v>187.72283046596789</v>
          </cell>
          <cell r="T25">
            <v>204.19849363976167</v>
          </cell>
          <cell r="U25">
            <v>213.34298431580649</v>
          </cell>
          <cell r="V25">
            <v>232.55863523151567</v>
          </cell>
          <cell r="W25">
            <v>247.79340364020976</v>
          </cell>
          <cell r="X25">
            <v>264.06539350192782</v>
          </cell>
          <cell r="Y25">
            <v>281.43662535522066</v>
          </cell>
          <cell r="Z25">
            <v>299.9967635925023</v>
          </cell>
          <cell r="AA25">
            <v>319.83051996762748</v>
          </cell>
          <cell r="AB25">
            <v>340.98036445257708</v>
          </cell>
          <cell r="AC25">
            <v>363.53428646730157</v>
          </cell>
          <cell r="AD25">
            <v>387.58763212984019</v>
          </cell>
          <cell r="AE25">
            <v>413.23889690313126</v>
          </cell>
          <cell r="AF25">
            <v>440.59502089741517</v>
          </cell>
          <cell r="AG25">
            <v>469.7701583101408</v>
          </cell>
          <cell r="AH25">
            <v>500.88616789021398</v>
          </cell>
          <cell r="AI25">
            <v>534.07313701820192</v>
          </cell>
          <cell r="AJ25">
            <v>569.46994172523341</v>
          </cell>
        </row>
        <row r="26">
          <cell r="D26">
            <v>-6.0247264873474364</v>
          </cell>
          <cell r="E26">
            <v>-4.0031994846954291</v>
          </cell>
          <cell r="F26">
            <v>-3.2477723242018754</v>
          </cell>
          <cell r="G26">
            <v>-5.5962230424863577</v>
          </cell>
          <cell r="H26">
            <v>11.650565967867394</v>
          </cell>
          <cell r="I26">
            <v>43.198326444067703</v>
          </cell>
          <cell r="O26">
            <v>7.1881610832282377</v>
          </cell>
          <cell r="P26">
            <v>1.6772944581687312</v>
          </cell>
          <cell r="Q26">
            <v>3.8864551252076183</v>
          </cell>
          <cell r="R26">
            <v>13.772080255695897</v>
          </cell>
          <cell r="S26">
            <v>7.7543549993529979</v>
          </cell>
          <cell r="T26">
            <v>8.7765900039423457</v>
          </cell>
          <cell r="U26">
            <v>4.4782361089191767</v>
          </cell>
          <cell r="V26">
            <v>9.0069289024591086</v>
          </cell>
          <cell r="W26">
            <v>6.550936452446777</v>
          </cell>
          <cell r="X26">
            <v>6.5667566701430786</v>
          </cell>
          <cell r="Y26">
            <v>6.5783825827847551</v>
          </cell>
          <cell r="Z26">
            <v>6.5947842480898089</v>
          </cell>
          <cell r="AA26">
            <v>6.6113234481643133</v>
          </cell>
          <cell r="AB26">
            <v>6.6128287216274231</v>
          </cell>
          <cell r="AC26">
            <v>6.6144342507620451</v>
          </cell>
          <cell r="AD26">
            <v>6.6165273972588921</v>
          </cell>
          <cell r="AE26">
            <v>6.6181845463784157</v>
          </cell>
          <cell r="AF26">
            <v>6.6199295853547397</v>
          </cell>
          <cell r="AG26">
            <v>6.6217583106819973</v>
          </cell>
          <cell r="AH26">
            <v>6.6236667079926548</v>
          </cell>
          <cell r="AI26">
            <v>6.6256509473549698</v>
          </cell>
          <cell r="AJ26">
            <v>6.627707378179764</v>
          </cell>
        </row>
        <row r="27">
          <cell r="D27">
            <v>1651.7980642220291</v>
          </cell>
          <cell r="E27">
            <v>1420.1749829380985</v>
          </cell>
          <cell r="F27">
            <v>1362.9029141369188</v>
          </cell>
          <cell r="G27">
            <v>1123.7197987784707</v>
          </cell>
          <cell r="H27">
            <v>1631.1519238214535</v>
          </cell>
          <cell r="I27">
            <v>2484.0096883239426</v>
          </cell>
          <cell r="O27">
            <v>2650.2200000000003</v>
          </cell>
          <cell r="P27">
            <v>2655.099999999999</v>
          </cell>
          <cell r="Q27">
            <v>2997.2658383965245</v>
          </cell>
          <cell r="R27">
            <v>3449.7326546694403</v>
          </cell>
          <cell r="S27">
            <v>3879.5786818682527</v>
          </cell>
          <cell r="T27">
            <v>4242.6156913736959</v>
          </cell>
          <cell r="U27">
            <v>4454.1278072830746</v>
          </cell>
          <cell r="V27">
            <v>4878.6406421981146</v>
          </cell>
          <cell r="W27">
            <v>5229.5500672611925</v>
          </cell>
          <cell r="X27">
            <v>5607.7577902486892</v>
          </cell>
          <cell r="Y27">
            <v>6015.2570384931596</v>
          </cell>
          <cell r="Z27">
            <v>6454.6224339922164</v>
          </cell>
          <cell r="AA27">
            <v>6928.4361794847118</v>
          </cell>
          <cell r="AB27">
            <v>7438.5856195083707</v>
          </cell>
          <cell r="AC27">
            <v>7987.8870905203548</v>
          </cell>
          <cell r="AD27">
            <v>8580.9930150625623</v>
          </cell>
          <cell r="AE27">
            <v>9219.7984704714672</v>
          </cell>
          <cell r="AF27">
            <v>9907.8586013432359</v>
          </cell>
          <cell r="AG27">
            <v>10649.006892447778</v>
          </cell>
          <cell r="AH27">
            <v>11447.377094004598</v>
          </cell>
          <cell r="AI27">
            <v>12307.426884652799</v>
          </cell>
          <cell r="AJ27">
            <v>13233.963410683311</v>
          </cell>
        </row>
        <row r="28">
          <cell r="E28">
            <v>-14.022481700450555</v>
          </cell>
          <cell r="F28">
            <v>-4.032747336718586</v>
          </cell>
          <cell r="G28">
            <v>-17.549534370899394</v>
          </cell>
          <cell r="H28">
            <v>45.156463879570538</v>
          </cell>
          <cell r="I28">
            <v>52.28561190697792</v>
          </cell>
          <cell r="O28">
            <v>12.204746078452104</v>
          </cell>
          <cell r="P28">
            <v>0.18413565666241993</v>
          </cell>
          <cell r="Q28">
            <v>12.887116809028882</v>
          </cell>
          <cell r="R28">
            <v>15.095985497068099</v>
          </cell>
          <cell r="S28">
            <v>12.460270700020402</v>
          </cell>
          <cell r="T28">
            <v>9.3576400757676765</v>
          </cell>
          <cell r="U28">
            <v>4.9854177539444748</v>
          </cell>
          <cell r="V28">
            <v>9.5307735494456693</v>
          </cell>
          <cell r="W28">
            <v>7.1927705030754794</v>
          </cell>
          <cell r="X28">
            <v>7.2321273938117372</v>
          </cell>
          <cell r="Y28">
            <v>7.266705579778602</v>
          </cell>
          <cell r="Z28">
            <v>7.3041832242154641</v>
          </cell>
          <cell r="AA28">
            <v>7.3406887906755287</v>
          </cell>
          <cell r="AB28">
            <v>7.363125340379483</v>
          </cell>
          <cell r="AC28">
            <v>7.3844881152055279</v>
          </cell>
          <cell r="AD28">
            <v>7.4250664515035112</v>
          </cell>
          <cell r="AE28">
            <v>7.444423440126144</v>
          </cell>
          <cell r="AF28">
            <v>7.462854346279272</v>
          </cell>
          <cell r="AG28">
            <v>7.4804084406701463</v>
          </cell>
          <cell r="AH28">
            <v>7.4971329215968439</v>
          </cell>
          <cell r="AI28">
            <v>7.513072938766399</v>
          </cell>
          <cell r="AJ28">
            <v>7.528271625857812</v>
          </cell>
        </row>
        <row r="30">
          <cell r="B30" t="str">
            <v>weo prices</v>
          </cell>
          <cell r="C30">
            <v>137</v>
          </cell>
          <cell r="D30">
            <v>193.20059141666667</v>
          </cell>
          <cell r="E30">
            <v>151.26302287946851</v>
          </cell>
          <cell r="F30">
            <v>91.023775024879498</v>
          </cell>
          <cell r="G30">
            <v>75.255184802382217</v>
          </cell>
          <cell r="H30">
            <v>78.146611250086892</v>
          </cell>
          <cell r="I30">
            <v>212.39527502435351</v>
          </cell>
          <cell r="O30">
            <v>90.9</v>
          </cell>
          <cell r="P30">
            <v>93.800000000000011</v>
          </cell>
          <cell r="Q30">
            <v>204.60851545771948</v>
          </cell>
          <cell r="R30">
            <v>107.4413190374576</v>
          </cell>
          <cell r="S30">
            <v>114.83993265680493</v>
          </cell>
          <cell r="T30">
            <v>123.14350233810745</v>
          </cell>
          <cell r="U30">
            <v>133.43297720504208</v>
          </cell>
          <cell r="V30">
            <v>144.90245051021611</v>
          </cell>
          <cell r="W30">
            <v>157.63435837680481</v>
          </cell>
          <cell r="X30">
            <v>168.3303890768866</v>
          </cell>
          <cell r="Y30">
            <v>179.83559552321771</v>
          </cell>
          <cell r="Z30">
            <v>192.22499452758677</v>
          </cell>
          <cell r="AA30">
            <v>205.53441711736048</v>
          </cell>
          <cell r="AB30">
            <v>219.87009980006715</v>
          </cell>
          <cell r="AC30">
            <v>235.33034908475457</v>
          </cell>
          <cell r="AD30">
            <v>251.97211164147677</v>
          </cell>
          <cell r="AE30">
            <v>269.89189994670022</v>
          </cell>
          <cell r="AF30">
            <v>289.19448691722891</v>
          </cell>
          <cell r="AG30">
            <v>309.99363427481217</v>
          </cell>
          <cell r="AH30">
            <v>332.41288628991197</v>
          </cell>
          <cell r="AI30">
            <v>356.58643483385606</v>
          </cell>
          <cell r="AJ30">
            <v>382.66006220945121</v>
          </cell>
        </row>
        <row r="31">
          <cell r="C31">
            <v>137</v>
          </cell>
          <cell r="D31">
            <v>122.32869491666666</v>
          </cell>
          <cell r="E31">
            <v>95.195153849723326</v>
          </cell>
          <cell r="F31">
            <v>75.106886941546165</v>
          </cell>
          <cell r="G31">
            <v>67.435204802382216</v>
          </cell>
          <cell r="H31">
            <v>70.556437083420221</v>
          </cell>
          <cell r="I31">
            <v>76.260970441020149</v>
          </cell>
          <cell r="O31">
            <v>61.2</v>
          </cell>
          <cell r="P31">
            <v>63.7</v>
          </cell>
          <cell r="Q31">
            <v>67.717431782594119</v>
          </cell>
          <cell r="R31">
            <v>71.268678080173984</v>
          </cell>
          <cell r="S31">
            <v>74.140805806805005</v>
          </cell>
          <cell r="T31">
            <v>77.128680280819225</v>
          </cell>
          <cell r="U31">
            <v>81.015965766972528</v>
          </cell>
          <cell r="V31">
            <v>85.099170441627948</v>
          </cell>
          <cell r="W31">
            <v>89.388168631885989</v>
          </cell>
          <cell r="X31">
            <v>93.893332330933049</v>
          </cell>
          <cell r="Y31">
            <v>98.62555628041207</v>
          </cell>
          <cell r="Z31">
            <v>103.59628431694483</v>
          </cell>
          <cell r="AA31">
            <v>108.81753704651885</v>
          </cell>
          <cell r="AB31">
            <v>114.30194091366342</v>
          </cell>
          <cell r="AC31">
            <v>120.06275873571207</v>
          </cell>
          <cell r="AD31">
            <v>126.11392177599195</v>
          </cell>
          <cell r="AE31">
            <v>132.47006343350196</v>
          </cell>
          <cell r="AF31">
            <v>139.14655463055047</v>
          </cell>
          <cell r="AG31">
            <v>146.15954098393021</v>
          </cell>
          <cell r="AH31">
            <v>153.52598184952029</v>
          </cell>
          <cell r="AI31">
            <v>161.26369133473614</v>
          </cell>
          <cell r="AJ31">
            <v>169.39138137800686</v>
          </cell>
        </row>
        <row r="32">
          <cell r="D32">
            <v>5.0482566909975546</v>
          </cell>
          <cell r="E32">
            <v>-7.2477322234491108</v>
          </cell>
          <cell r="F32">
            <v>-7.1790528327410623</v>
          </cell>
          <cell r="G32">
            <v>1.9133343469666997</v>
          </cell>
          <cell r="H32">
            <v>1.5810590734673502</v>
          </cell>
          <cell r="I32">
            <v>24.809543156069424</v>
          </cell>
          <cell r="O32">
            <v>-3.4029926131700305</v>
          </cell>
          <cell r="P32">
            <v>2.1435365421041581</v>
          </cell>
          <cell r="Q32">
            <v>3.2104857151912256</v>
          </cell>
          <cell r="R32">
            <v>1.1963585640654628</v>
          </cell>
          <cell r="S32">
            <v>1</v>
          </cell>
          <cell r="T32">
            <v>0.99999999999997158</v>
          </cell>
          <cell r="U32">
            <v>1.0000000000000284</v>
          </cell>
          <cell r="V32">
            <v>1</v>
          </cell>
          <cell r="W32">
            <v>1</v>
          </cell>
          <cell r="X32">
            <v>1</v>
          </cell>
          <cell r="Y32">
            <v>1</v>
          </cell>
          <cell r="Z32">
            <v>1</v>
          </cell>
          <cell r="AA32">
            <v>1</v>
          </cell>
          <cell r="AB32">
            <v>1</v>
          </cell>
          <cell r="AC32">
            <v>1</v>
          </cell>
          <cell r="AD32">
            <v>1</v>
          </cell>
          <cell r="AE32">
            <v>1</v>
          </cell>
          <cell r="AF32">
            <v>1</v>
          </cell>
          <cell r="AG32">
            <v>1</v>
          </cell>
          <cell r="AH32">
            <v>1</v>
          </cell>
          <cell r="AI32">
            <v>1</v>
          </cell>
          <cell r="AJ32">
            <v>1</v>
          </cell>
        </row>
        <row r="33">
          <cell r="B33">
            <v>-3.5089801536964504</v>
          </cell>
          <cell r="D33">
            <v>-15</v>
          </cell>
          <cell r="E33">
            <v>-16.100000000000001</v>
          </cell>
          <cell r="F33">
            <v>-15</v>
          </cell>
          <cell r="G33">
            <v>-11.9</v>
          </cell>
          <cell r="H33">
            <v>3</v>
          </cell>
          <cell r="I33">
            <v>-13.4</v>
          </cell>
          <cell r="O33">
            <v>-6</v>
          </cell>
          <cell r="P33">
            <v>3</v>
          </cell>
          <cell r="Q33">
            <v>3</v>
          </cell>
          <cell r="R33">
            <v>4</v>
          </cell>
          <cell r="S33">
            <v>3</v>
          </cell>
          <cell r="T33">
            <v>3</v>
          </cell>
          <cell r="U33">
            <v>4</v>
          </cell>
          <cell r="V33">
            <v>4</v>
          </cell>
          <cell r="W33">
            <v>4</v>
          </cell>
          <cell r="X33">
            <v>4</v>
          </cell>
          <cell r="Y33">
            <v>4</v>
          </cell>
          <cell r="Z33">
            <v>4</v>
          </cell>
          <cell r="AA33">
            <v>4</v>
          </cell>
          <cell r="AB33">
            <v>4</v>
          </cell>
          <cell r="AC33">
            <v>4</v>
          </cell>
          <cell r="AD33">
            <v>4</v>
          </cell>
          <cell r="AE33">
            <v>4</v>
          </cell>
          <cell r="AF33">
            <v>4</v>
          </cell>
          <cell r="AG33">
            <v>4</v>
          </cell>
          <cell r="AH33">
            <v>4</v>
          </cell>
          <cell r="AI33">
            <v>4</v>
          </cell>
          <cell r="AJ33">
            <v>4</v>
          </cell>
        </row>
        <row r="34">
          <cell r="D34">
            <v>70.871896500000005</v>
          </cell>
          <cell r="E34">
            <v>56.067869029745196</v>
          </cell>
          <cell r="F34">
            <v>15.916888083333333</v>
          </cell>
          <cell r="G34">
            <v>7.8199800000000002</v>
          </cell>
          <cell r="H34">
            <v>7.5901741666666664</v>
          </cell>
          <cell r="I34">
            <v>136.13430458333335</v>
          </cell>
          <cell r="O34">
            <v>29.7</v>
          </cell>
          <cell r="P34">
            <v>30.1</v>
          </cell>
          <cell r="Q34">
            <v>136.89108367512534</v>
          </cell>
          <cell r="R34">
            <v>36.172640957283619</v>
          </cell>
          <cell r="S34">
            <v>40.699126849999928</v>
          </cell>
          <cell r="T34">
            <v>46.014822057288221</v>
          </cell>
          <cell r="U34">
            <v>52.417011438069551</v>
          </cell>
          <cell r="V34">
            <v>59.803280068588151</v>
          </cell>
          <cell r="W34">
            <v>68.246189744918809</v>
          </cell>
          <cell r="X34">
            <v>74.437056745953541</v>
          </cell>
          <cell r="Y34">
            <v>81.210039242805621</v>
          </cell>
          <cell r="Z34">
            <v>88.628710210641941</v>
          </cell>
          <cell r="AA34">
            <v>96.716880070841611</v>
          </cell>
          <cell r="AB34">
            <v>105.56815888640374</v>
          </cell>
          <cell r="AC34">
            <v>115.26759034904249</v>
          </cell>
          <cell r="AD34">
            <v>125.85818986548483</v>
          </cell>
          <cell r="AE34">
            <v>137.42183651319826</v>
          </cell>
          <cell r="AF34">
            <v>150.04793228667847</v>
          </cell>
          <cell r="AG34">
            <v>163.83409329088195</v>
          </cell>
          <cell r="AH34">
            <v>178.88690444039165</v>
          </cell>
          <cell r="AI34">
            <v>195.32274349911989</v>
          </cell>
          <cell r="AJ34">
            <v>213.26868083144439</v>
          </cell>
        </row>
        <row r="35">
          <cell r="D35">
            <v>60.281843000000016</v>
          </cell>
          <cell r="E35" t="str">
            <v>...</v>
          </cell>
          <cell r="F35">
            <v>15.916888083333333</v>
          </cell>
          <cell r="G35">
            <v>7.8199800000000002</v>
          </cell>
          <cell r="H35">
            <v>7.5901741666666664</v>
          </cell>
          <cell r="I35">
            <v>59.947659208937196</v>
          </cell>
          <cell r="O35" t="str">
            <v>...</v>
          </cell>
          <cell r="Q35">
            <v>103.95099999999999</v>
          </cell>
          <cell r="R35" t="str">
            <v>...</v>
          </cell>
          <cell r="S35" t="str">
            <v>...</v>
          </cell>
          <cell r="T35" t="str">
            <v>...</v>
          </cell>
          <cell r="U35" t="str">
            <v>...</v>
          </cell>
          <cell r="V35" t="str">
            <v>...</v>
          </cell>
          <cell r="W35" t="str">
            <v>...</v>
          </cell>
          <cell r="X35" t="str">
            <v>...</v>
          </cell>
          <cell r="Y35" t="str">
            <v>...</v>
          </cell>
          <cell r="Z35" t="str">
            <v>...</v>
          </cell>
          <cell r="AA35" t="str">
            <v>...</v>
          </cell>
          <cell r="AB35" t="str">
            <v>...</v>
          </cell>
          <cell r="AC35" t="str">
            <v>...</v>
          </cell>
          <cell r="AD35" t="str">
            <v>...</v>
          </cell>
          <cell r="AE35" t="str">
            <v>...</v>
          </cell>
          <cell r="AF35" t="str">
            <v>...</v>
          </cell>
          <cell r="AG35" t="str">
            <v>...</v>
          </cell>
          <cell r="AH35" t="str">
            <v>...</v>
          </cell>
          <cell r="AI35" t="str">
            <v>...</v>
          </cell>
          <cell r="AJ35" t="str">
            <v>...</v>
          </cell>
        </row>
        <row r="36">
          <cell r="D36">
            <v>10.590053499999989</v>
          </cell>
          <cell r="E36" t="str">
            <v>...</v>
          </cell>
          <cell r="F36">
            <v>0</v>
          </cell>
          <cell r="G36">
            <v>0</v>
          </cell>
          <cell r="H36">
            <v>0</v>
          </cell>
          <cell r="I36">
            <v>76.18664537439615</v>
          </cell>
          <cell r="O36" t="str">
            <v>...</v>
          </cell>
          <cell r="P36" t="str">
            <v>...</v>
          </cell>
          <cell r="Q36" t="str">
            <v>...</v>
          </cell>
          <cell r="R36" t="str">
            <v>...</v>
          </cell>
          <cell r="S36" t="str">
            <v>...</v>
          </cell>
          <cell r="T36" t="str">
            <v>...</v>
          </cell>
          <cell r="U36" t="str">
            <v>...</v>
          </cell>
          <cell r="V36" t="str">
            <v>...</v>
          </cell>
          <cell r="W36" t="str">
            <v>...</v>
          </cell>
          <cell r="X36" t="str">
            <v>...</v>
          </cell>
          <cell r="Y36" t="str">
            <v>...</v>
          </cell>
          <cell r="Z36" t="str">
            <v>...</v>
          </cell>
          <cell r="AA36" t="str">
            <v>...</v>
          </cell>
          <cell r="AB36" t="str">
            <v>...</v>
          </cell>
          <cell r="AC36" t="str">
            <v>...</v>
          </cell>
          <cell r="AD36" t="str">
            <v>...</v>
          </cell>
          <cell r="AE36" t="str">
            <v>...</v>
          </cell>
          <cell r="AF36" t="str">
            <v>...</v>
          </cell>
          <cell r="AG36" t="str">
            <v>...</v>
          </cell>
          <cell r="AH36" t="str">
            <v>...</v>
          </cell>
          <cell r="AI36" t="str">
            <v>...</v>
          </cell>
          <cell r="AJ36" t="str">
            <v>...</v>
          </cell>
        </row>
        <row r="38">
          <cell r="I38">
            <v>117.19116352877285</v>
          </cell>
          <cell r="O38">
            <v>326.10000000000002</v>
          </cell>
        </row>
        <row r="39">
          <cell r="C39">
            <v>51.42354959755604</v>
          </cell>
          <cell r="D39">
            <v>58.652604000000004</v>
          </cell>
          <cell r="E39">
            <v>68.972089075379998</v>
          </cell>
          <cell r="F39">
            <v>56.869195817934681</v>
          </cell>
          <cell r="G39">
            <v>74.923783989319631</v>
          </cell>
          <cell r="H39">
            <v>78.633141542954405</v>
          </cell>
          <cell r="I39">
            <v>95.796892778772843</v>
          </cell>
          <cell r="O39">
            <v>206.5</v>
          </cell>
          <cell r="P39">
            <v>166.6</v>
          </cell>
          <cell r="Q39">
            <v>183.95220595586341</v>
          </cell>
          <cell r="R39">
            <v>194.36548439720599</v>
          </cell>
          <cell r="S39">
            <v>213.79864135370013</v>
          </cell>
          <cell r="T39">
            <v>245.03165358910906</v>
          </cell>
          <cell r="U39">
            <v>261.61047391179005</v>
          </cell>
          <cell r="V39">
            <v>279.75496095824269</v>
          </cell>
          <cell r="W39">
            <v>300.93109234514242</v>
          </cell>
          <cell r="X39">
            <v>323.78315383660043</v>
          </cell>
          <cell r="Y39">
            <v>348.42607704299536</v>
          </cell>
          <cell r="Z39">
            <v>375.029850301316</v>
          </cell>
          <cell r="AA39">
            <v>403.75615564968251</v>
          </cell>
          <cell r="AB39">
            <v>434.68282083155185</v>
          </cell>
          <cell r="AC39">
            <v>467.97838765340339</v>
          </cell>
          <cell r="AD39">
            <v>503.8243077831396</v>
          </cell>
          <cell r="AE39">
            <v>542.4159316116951</v>
          </cell>
          <cell r="AF39">
            <v>583.9635728588579</v>
          </cell>
          <cell r="AG39">
            <v>628.6936547251114</v>
          </cell>
          <cell r="AH39">
            <v>676.84994383570836</v>
          </cell>
          <cell r="AI39">
            <v>728.69487870163334</v>
          </cell>
          <cell r="AJ39">
            <v>784.51099993719822</v>
          </cell>
        </row>
        <row r="40">
          <cell r="B40" t="str">
            <v>food index</v>
          </cell>
          <cell r="D40">
            <v>-1.248599674479145</v>
          </cell>
          <cell r="E40">
            <v>-10.574715741521047</v>
          </cell>
          <cell r="F40">
            <v>17.621222408178451</v>
          </cell>
          <cell r="G40">
            <v>1.8141968621933735</v>
          </cell>
          <cell r="H40">
            <v>7.4215365230700936</v>
          </cell>
          <cell r="I40">
            <v>17.254696875822773</v>
          </cell>
          <cell r="O40">
            <v>4.3</v>
          </cell>
          <cell r="P40">
            <v>9.6136915565077032</v>
          </cell>
          <cell r="Q40">
            <v>7.9139469408908099</v>
          </cell>
          <cell r="R40">
            <v>-1.569956671714138</v>
          </cell>
          <cell r="S40">
            <v>-1.7861408957325864</v>
          </cell>
          <cell r="T40">
            <v>0.78777396102445607</v>
          </cell>
          <cell r="U40">
            <v>0.8397223640928928</v>
          </cell>
          <cell r="V40">
            <v>1</v>
          </cell>
          <cell r="W40">
            <v>1</v>
          </cell>
          <cell r="X40">
            <v>1</v>
          </cell>
          <cell r="Y40">
            <v>1</v>
          </cell>
          <cell r="Z40">
            <v>1</v>
          </cell>
          <cell r="AA40">
            <v>1</v>
          </cell>
          <cell r="AB40">
            <v>1</v>
          </cell>
          <cell r="AC40">
            <v>1</v>
          </cell>
          <cell r="AD40">
            <v>1</v>
          </cell>
          <cell r="AE40">
            <v>1</v>
          </cell>
          <cell r="AF40">
            <v>1</v>
          </cell>
          <cell r="AG40">
            <v>1</v>
          </cell>
          <cell r="AH40">
            <v>1</v>
          </cell>
          <cell r="AI40">
            <v>1</v>
          </cell>
          <cell r="AJ40">
            <v>1</v>
          </cell>
        </row>
        <row r="41">
          <cell r="B41">
            <v>12.280085938772034</v>
          </cell>
          <cell r="D41">
            <v>15.5</v>
          </cell>
          <cell r="E41">
            <v>31.5</v>
          </cell>
          <cell r="F41">
            <v>-29.9</v>
          </cell>
          <cell r="G41">
            <v>29.4</v>
          </cell>
          <cell r="H41">
            <v>-2.2999999999999998</v>
          </cell>
          <cell r="I41">
            <v>3.9</v>
          </cell>
          <cell r="O41">
            <v>8.5333719883828874</v>
          </cell>
          <cell r="P41">
            <v>-26.397911651297633</v>
          </cell>
          <cell r="Q41">
            <v>2.3180903853931158</v>
          </cell>
          <cell r="R41">
            <v>7.3461488936028543</v>
          </cell>
          <cell r="S41">
            <v>11.998709859551328</v>
          </cell>
          <cell r="T41">
            <v>13.712811268058658</v>
          </cell>
          <cell r="U41">
            <v>5.8769191148822824</v>
          </cell>
          <cell r="V41">
            <v>5.8769191148822824</v>
          </cell>
          <cell r="W41">
            <v>6.5044836233743686</v>
          </cell>
          <cell r="X41">
            <v>6.5285004410787106</v>
          </cell>
          <cell r="Y41">
            <v>6.5454795335184945</v>
          </cell>
          <cell r="Z41">
            <v>6.5697167726138677</v>
          </cell>
          <cell r="AA41">
            <v>6.5938003678897932</v>
          </cell>
          <cell r="AB41">
            <v>6.5938003678897932</v>
          </cell>
          <cell r="AC41">
            <v>6.5938003678897932</v>
          </cell>
          <cell r="AD41">
            <v>6.5938003678897932</v>
          </cell>
          <cell r="AE41">
            <v>6.5938003678897932</v>
          </cell>
          <cell r="AF41">
            <v>6.5938003678897932</v>
          </cell>
          <cell r="AG41">
            <v>6.5938003678897932</v>
          </cell>
          <cell r="AH41">
            <v>6.5938003678897932</v>
          </cell>
          <cell r="AI41">
            <v>6.5938003678897932</v>
          </cell>
          <cell r="AJ41">
            <v>6.5938003678897932</v>
          </cell>
        </row>
        <row r="42">
          <cell r="P42">
            <v>0.4</v>
          </cell>
          <cell r="Q42">
            <v>0.28999999999999998</v>
          </cell>
          <cell r="R42">
            <v>0.5</v>
          </cell>
          <cell r="S42">
            <v>0.7</v>
          </cell>
          <cell r="T42">
            <v>0.7</v>
          </cell>
          <cell r="U42">
            <v>0.3</v>
          </cell>
          <cell r="V42">
            <v>0.3</v>
          </cell>
        </row>
        <row r="44">
          <cell r="C44">
            <v>5.1451171601533323</v>
          </cell>
          <cell r="D44">
            <v>5.7115368371671238</v>
          </cell>
          <cell r="E44">
            <v>8.5474436970260541</v>
          </cell>
          <cell r="F44">
            <v>6.682139634008041</v>
          </cell>
          <cell r="G44">
            <v>5.6031588298043573</v>
          </cell>
          <cell r="H44">
            <v>7.9587360015192594</v>
          </cell>
          <cell r="I44">
            <v>12.669209585203886</v>
          </cell>
          <cell r="O44">
            <v>11.7</v>
          </cell>
          <cell r="P44">
            <v>20.22</v>
          </cell>
          <cell r="Q44">
            <v>23.283184816050948</v>
          </cell>
          <cell r="R44">
            <v>24.356140096361965</v>
          </cell>
          <cell r="S44">
            <v>25.57051569060561</v>
          </cell>
          <cell r="T44">
            <v>27.166744417284374</v>
          </cell>
          <cell r="U44">
            <v>28.724907978053274</v>
          </cell>
          <cell r="V44">
            <v>30.129450047606934</v>
          </cell>
          <cell r="W44">
            <v>32.199473632932005</v>
          </cell>
          <cell r="X44">
            <v>34.418696250521471</v>
          </cell>
          <cell r="Y44">
            <v>36.796144412273648</v>
          </cell>
          <cell r="Z44">
            <v>39.345862212872795</v>
          </cell>
          <cell r="AA44">
            <v>42.08080998340948</v>
          </cell>
          <cell r="AB44">
            <v>45.005865147376639</v>
          </cell>
          <cell r="AC44">
            <v>48.134242151289939</v>
          </cell>
          <cell r="AD44">
            <v>51.989777686321375</v>
          </cell>
          <cell r="AE44">
            <v>56.15414023508594</v>
          </cell>
          <cell r="AF44">
            <v>60.652066730636058</v>
          </cell>
          <cell r="AG44">
            <v>65.510275525490812</v>
          </cell>
          <cell r="AH44">
            <v>70.757625102624672</v>
          </cell>
          <cell r="AI44">
            <v>76.425285499149496</v>
          </cell>
          <cell r="AJ44">
            <v>82.54692346097201</v>
          </cell>
        </row>
        <row r="45">
          <cell r="B45" t="str">
            <v>beverages</v>
          </cell>
          <cell r="D45">
            <v>11.904111002604157</v>
          </cell>
          <cell r="E45">
            <v>6.3626548959360596</v>
          </cell>
          <cell r="F45">
            <v>-19.321926187216178</v>
          </cell>
          <cell r="G45">
            <v>7.3658960094989512</v>
          </cell>
          <cell r="H45">
            <v>1.5297814060905468</v>
          </cell>
          <cell r="I45">
            <v>4.0432694221224086</v>
          </cell>
          <cell r="O45">
            <v>-13.3</v>
          </cell>
          <cell r="P45">
            <v>13.032991138876483</v>
          </cell>
          <cell r="Q45">
            <v>12.912098497737915</v>
          </cell>
          <cell r="R45">
            <v>1.4240751402375054</v>
          </cell>
          <cell r="S45">
            <v>0.5657452874706479</v>
          </cell>
          <cell r="T45">
            <v>2.3026598757731875</v>
          </cell>
          <cell r="U45">
            <v>1.8145542870264535</v>
          </cell>
          <cell r="V45">
            <v>1</v>
          </cell>
          <cell r="W45">
            <v>1</v>
          </cell>
          <cell r="X45">
            <v>1</v>
          </cell>
          <cell r="Y45">
            <v>1</v>
          </cell>
          <cell r="Z45">
            <v>1</v>
          </cell>
          <cell r="AA45">
            <v>1</v>
          </cell>
          <cell r="AB45">
            <v>1</v>
          </cell>
          <cell r="AC45">
            <v>1</v>
          </cell>
          <cell r="AD45">
            <v>2</v>
          </cell>
          <cell r="AE45">
            <v>2</v>
          </cell>
          <cell r="AF45">
            <v>2</v>
          </cell>
          <cell r="AG45">
            <v>2</v>
          </cell>
          <cell r="AH45">
            <v>2</v>
          </cell>
          <cell r="AI45">
            <v>2</v>
          </cell>
          <cell r="AJ45">
            <v>2</v>
          </cell>
        </row>
        <row r="46">
          <cell r="B46">
            <v>10.496201642742919</v>
          </cell>
          <cell r="D46">
            <v>-0.8</v>
          </cell>
          <cell r="E46">
            <v>40.700000000000003</v>
          </cell>
          <cell r="F46">
            <v>-3.1</v>
          </cell>
          <cell r="G46">
            <v>-21.9</v>
          </cell>
          <cell r="H46">
            <v>39.9</v>
          </cell>
          <cell r="I46">
            <v>53</v>
          </cell>
          <cell r="O46">
            <v>-25.893411924320088</v>
          </cell>
          <cell r="P46">
            <v>52.893868488518713</v>
          </cell>
          <cell r="Q46">
            <v>1.9813496609473096</v>
          </cell>
          <cell r="R46">
            <v>3.1395000193532341</v>
          </cell>
          <cell r="S46">
            <v>4.3953000270945273</v>
          </cell>
          <cell r="T46">
            <v>3.8511200237399676</v>
          </cell>
          <cell r="U46">
            <v>3.8511200237399676</v>
          </cell>
          <cell r="V46">
            <v>3.8511200237399676</v>
          </cell>
          <cell r="W46">
            <v>5.8123095938525937</v>
          </cell>
          <cell r="X46">
            <v>5.8337706640988358</v>
          </cell>
          <cell r="Y46">
            <v>5.8489429279704863</v>
          </cell>
          <cell r="Z46">
            <v>5.8706009634856029</v>
          </cell>
          <cell r="AA46">
            <v>5.8921217051742572</v>
          </cell>
          <cell r="AB46">
            <v>5.8921217051742572</v>
          </cell>
          <cell r="AC46">
            <v>5.8921217051742572</v>
          </cell>
          <cell r="AD46">
            <v>5.8921217051742572</v>
          </cell>
          <cell r="AE46">
            <v>5.8921217051742572</v>
          </cell>
          <cell r="AF46">
            <v>5.8921217051742572</v>
          </cell>
          <cell r="AG46">
            <v>5.8921217051742572</v>
          </cell>
          <cell r="AH46">
            <v>5.8921217051742572</v>
          </cell>
          <cell r="AI46">
            <v>5.8921217051742572</v>
          </cell>
          <cell r="AJ46">
            <v>5.8921217051742572</v>
          </cell>
        </row>
        <row r="48">
          <cell r="C48">
            <v>57.225141860473862</v>
          </cell>
          <cell r="D48">
            <v>55.820604403867314</v>
          </cell>
          <cell r="E48">
            <v>57.448502499769482</v>
          </cell>
          <cell r="F48">
            <v>59.544381263309866</v>
          </cell>
          <cell r="G48">
            <v>47.153214256313227</v>
          </cell>
          <cell r="H48">
            <v>50.799601470531591</v>
          </cell>
          <cell r="I48">
            <v>73.8</v>
          </cell>
          <cell r="O48">
            <v>101.6</v>
          </cell>
          <cell r="P48">
            <v>91.48</v>
          </cell>
          <cell r="Q48">
            <v>98.203454606621918</v>
          </cell>
          <cell r="R48">
            <v>105.18808080241044</v>
          </cell>
          <cell r="S48">
            <v>111.45116506793843</v>
          </cell>
          <cell r="T48">
            <v>116.53055147085375</v>
          </cell>
          <cell r="U48">
            <v>122.70896327554534</v>
          </cell>
          <cell r="V48">
            <v>129.70374069977697</v>
          </cell>
          <cell r="W48">
            <v>138.79606803321104</v>
          </cell>
          <cell r="X48">
            <v>148.54259938575336</v>
          </cell>
          <cell r="Y48">
            <v>158.98628137406612</v>
          </cell>
          <cell r="Z48">
            <v>170.18368375840171</v>
          </cell>
          <cell r="AA48">
            <v>182.19040654493702</v>
          </cell>
          <cell r="AB48">
            <v>195.04422224243177</v>
          </cell>
          <cell r="AC48">
            <v>208.80489456930903</v>
          </cell>
          <cell r="AD48">
            <v>224.64301952673742</v>
          </cell>
          <cell r="AE48">
            <v>241.68248702302017</v>
          </cell>
          <cell r="AF48">
            <v>260.0144204644659</v>
          </cell>
          <cell r="AG48">
            <v>279.7368550871974</v>
          </cell>
          <cell r="AH48">
            <v>300.95526222850339</v>
          </cell>
          <cell r="AI48">
            <v>323.78311336485922</v>
          </cell>
          <cell r="AJ48">
            <v>348.34248693297093</v>
          </cell>
        </row>
        <row r="49">
          <cell r="B49" t="str">
            <v>agr rw 40%/fert 60%</v>
          </cell>
          <cell r="D49">
            <v>19.541168815104172</v>
          </cell>
          <cell r="E49">
            <v>-7.4493675881807553</v>
          </cell>
          <cell r="F49">
            <v>-2.0337675130482236</v>
          </cell>
          <cell r="G49">
            <v>4.8874588901661298</v>
          </cell>
          <cell r="H49">
            <v>8.821274577782523</v>
          </cell>
          <cell r="I49">
            <v>8.0928052507803994</v>
          </cell>
          <cell r="O49">
            <v>14.5</v>
          </cell>
          <cell r="P49">
            <v>1.668981466185693</v>
          </cell>
          <cell r="Q49">
            <v>5.3699297851999628</v>
          </cell>
          <cell r="R49">
            <v>4.3824673685824251</v>
          </cell>
          <cell r="S49">
            <v>1.9922462015331777</v>
          </cell>
          <cell r="T49">
            <v>0.87188203648568963</v>
          </cell>
          <cell r="U49">
            <v>1.1024146142427327</v>
          </cell>
          <cell r="V49">
            <v>1</v>
          </cell>
          <cell r="W49">
            <v>1</v>
          </cell>
          <cell r="X49">
            <v>1</v>
          </cell>
          <cell r="Y49">
            <v>1</v>
          </cell>
          <cell r="Z49">
            <v>1</v>
          </cell>
          <cell r="AA49">
            <v>1</v>
          </cell>
          <cell r="AB49">
            <v>1</v>
          </cell>
          <cell r="AC49">
            <v>1</v>
          </cell>
          <cell r="AD49">
            <v>1.5</v>
          </cell>
          <cell r="AE49">
            <v>1.5</v>
          </cell>
          <cell r="AF49">
            <v>1.5</v>
          </cell>
          <cell r="AG49">
            <v>1.5</v>
          </cell>
          <cell r="AH49">
            <v>1.5</v>
          </cell>
          <cell r="AI49">
            <v>1.5</v>
          </cell>
          <cell r="AJ49">
            <v>1.5</v>
          </cell>
        </row>
        <row r="50">
          <cell r="B50">
            <v>1.3501140959393032</v>
          </cell>
          <cell r="D50">
            <v>-18.399999999999999</v>
          </cell>
          <cell r="E50">
            <v>11.2</v>
          </cell>
          <cell r="F50">
            <v>5.8</v>
          </cell>
          <cell r="G50">
            <v>-24.5</v>
          </cell>
          <cell r="H50">
            <v>-1</v>
          </cell>
          <cell r="I50">
            <v>34.4</v>
          </cell>
          <cell r="O50">
            <v>5.9885624153708461</v>
          </cell>
          <cell r="P50">
            <v>0.98104913153127149</v>
          </cell>
          <cell r="Q50">
            <v>1.87882303794747</v>
          </cell>
          <cell r="R50">
            <v>2.6153208082701589</v>
          </cell>
          <cell r="S50">
            <v>3.884540942981852</v>
          </cell>
          <cell r="T50">
            <v>3.6537610776935456</v>
          </cell>
          <cell r="U50">
            <v>4.1537610776935452</v>
          </cell>
          <cell r="V50">
            <v>4.6537610776935452</v>
          </cell>
          <cell r="W50">
            <v>5.9505676524169928</v>
          </cell>
          <cell r="X50">
            <v>5.962569879690375</v>
          </cell>
          <cell r="Y50">
            <v>5.9710550557393738</v>
          </cell>
          <cell r="Z50">
            <v>5.9831674369750178</v>
          </cell>
          <cell r="AA50">
            <v>5.9952030358466182</v>
          </cell>
          <cell r="AB50">
            <v>5.9952030358466182</v>
          </cell>
          <cell r="AC50">
            <v>5.9952030358466182</v>
          </cell>
          <cell r="AD50">
            <v>5.9952030358466182</v>
          </cell>
          <cell r="AE50">
            <v>5.9952030358466182</v>
          </cell>
          <cell r="AF50">
            <v>5.9952030358466182</v>
          </cell>
          <cell r="AG50">
            <v>5.9952030358466182</v>
          </cell>
          <cell r="AH50">
            <v>5.9952030358466182</v>
          </cell>
          <cell r="AI50">
            <v>5.9952030358466182</v>
          </cell>
          <cell r="AJ50">
            <v>5.9952030358466182</v>
          </cell>
        </row>
        <row r="52">
          <cell r="C52">
            <v>342.72025200800158</v>
          </cell>
          <cell r="D52">
            <v>466.127112423114</v>
          </cell>
          <cell r="E52">
            <v>384.84583820408193</v>
          </cell>
          <cell r="F52">
            <v>411.9312418837406</v>
          </cell>
          <cell r="G52">
            <v>406.89830934056704</v>
          </cell>
          <cell r="H52">
            <v>332.5</v>
          </cell>
          <cell r="I52">
            <v>400.9</v>
          </cell>
          <cell r="O52">
            <v>720.8</v>
          </cell>
          <cell r="P52">
            <v>785.48768757266089</v>
          </cell>
          <cell r="Q52">
            <v>976.1933661997457</v>
          </cell>
          <cell r="R52">
            <v>866.92063740251911</v>
          </cell>
          <cell r="S52">
            <v>785.40755551855</v>
          </cell>
          <cell r="T52">
            <v>817.14580384290821</v>
          </cell>
          <cell r="U52">
            <v>863.08637352710559</v>
          </cell>
          <cell r="V52">
            <v>940.72378804976699</v>
          </cell>
          <cell r="W52">
            <v>1002.9846652629975</v>
          </cell>
          <cell r="X52">
            <v>1069.6113210990336</v>
          </cell>
          <cell r="Y52">
            <v>1140.8486693400471</v>
          </cell>
          <cell r="Z52">
            <v>1217.1118601259539</v>
          </cell>
          <cell r="AA52">
            <v>1298.7713332366873</v>
          </cell>
          <cell r="AB52">
            <v>1385.909571091388</v>
          </cell>
          <cell r="AC52">
            <v>1478.8941594945718</v>
          </cell>
          <cell r="AD52">
            <v>1578.1173466208315</v>
          </cell>
          <cell r="AE52">
            <v>1683.9976976829187</v>
          </cell>
          <cell r="AF52">
            <v>1796.9818606161798</v>
          </cell>
          <cell r="AG52">
            <v>1917.5464502277518</v>
          </cell>
          <cell r="AH52">
            <v>2046.2000587586481</v>
          </cell>
          <cell r="AI52">
            <v>2183.4854013401355</v>
          </cell>
          <cell r="AJ52">
            <v>2329.9816053948407</v>
          </cell>
        </row>
        <row r="53">
          <cell r="B53" t="str">
            <v>crude</v>
          </cell>
          <cell r="D53">
            <v>24.208259700520852</v>
          </cell>
          <cell r="E53">
            <v>-14.708240718519505</v>
          </cell>
          <cell r="F53">
            <v>-0.79889903632195391</v>
          </cell>
          <cell r="G53">
            <v>-8.1986890999113164</v>
          </cell>
          <cell r="H53">
            <v>-4.2019358518619709</v>
          </cell>
          <cell r="I53">
            <v>11.074554188326658</v>
          </cell>
          <cell r="O53">
            <v>-12.5</v>
          </cell>
          <cell r="P53">
            <v>2.7411504196331435</v>
          </cell>
          <cell r="Q53">
            <v>24.278633725807921</v>
          </cell>
          <cell r="R53">
            <v>-19.354838709677423</v>
          </cell>
          <cell r="S53">
            <v>-12</v>
          </cell>
          <cell r="T53">
            <v>-4.5454545454545467</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row>
        <row r="54">
          <cell r="B54">
            <v>7.0485496695589234</v>
          </cell>
          <cell r="D54">
            <v>9.5</v>
          </cell>
          <cell r="E54">
            <v>-3.2</v>
          </cell>
          <cell r="F54">
            <v>7.9</v>
          </cell>
          <cell r="G54">
            <v>7.6</v>
          </cell>
          <cell r="H54">
            <v>-14.7</v>
          </cell>
          <cell r="I54">
            <v>8.5500000000000007</v>
          </cell>
          <cell r="O54">
            <v>-3.134716723136699</v>
          </cell>
          <cell r="P54">
            <v>6.0669741562884418</v>
          </cell>
          <cell r="Q54">
            <v>0</v>
          </cell>
          <cell r="R54">
            <v>10.119739346719166</v>
          </cell>
          <cell r="S54">
            <v>2.9515906427930898</v>
          </cell>
          <cell r="T54">
            <v>8.9953238637503699</v>
          </cell>
          <cell r="U54">
            <v>5.6220774148439805</v>
          </cell>
          <cell r="V54">
            <v>8.9953238637503699</v>
          </cell>
          <cell r="W54">
            <v>6.6184014908674627</v>
          </cell>
          <cell r="X54">
            <v>6.6428389329926301</v>
          </cell>
          <cell r="Y54">
            <v>6.6601153929276231</v>
          </cell>
          <cell r="Z54">
            <v>6.6847771168478554</v>
          </cell>
          <cell r="AA54">
            <v>6.7092825060699655</v>
          </cell>
          <cell r="AB54">
            <v>6.7092825060699655</v>
          </cell>
          <cell r="AC54">
            <v>6.7092825060699655</v>
          </cell>
          <cell r="AD54">
            <v>6.7092825060699655</v>
          </cell>
          <cell r="AE54">
            <v>6.7092825060699655</v>
          </cell>
          <cell r="AF54">
            <v>6.7092825060699655</v>
          </cell>
          <cell r="AG54">
            <v>6.7092825060699655</v>
          </cell>
          <cell r="AH54">
            <v>6.7092825060699655</v>
          </cell>
          <cell r="AI54">
            <v>6.7092825060699655</v>
          </cell>
          <cell r="AJ54">
            <v>6.7092825060699655</v>
          </cell>
        </row>
        <row r="55">
          <cell r="P55">
            <v>2</v>
          </cell>
          <cell r="Q55">
            <v>0</v>
          </cell>
          <cell r="R55">
            <v>1.2</v>
          </cell>
          <cell r="S55">
            <v>0.3</v>
          </cell>
          <cell r="T55">
            <v>0.8</v>
          </cell>
          <cell r="U55">
            <v>0.5</v>
          </cell>
          <cell r="V55">
            <v>0.8</v>
          </cell>
        </row>
        <row r="57">
          <cell r="C57">
            <v>68.966564184919946</v>
          </cell>
          <cell r="D57">
            <v>60.96812862564903</v>
          </cell>
          <cell r="E57">
            <v>71.489652772798692</v>
          </cell>
          <cell r="F57">
            <v>93.105500136277058</v>
          </cell>
          <cell r="G57">
            <v>60.7078758510333</v>
          </cell>
          <cell r="H57">
            <v>93.123106592494125</v>
          </cell>
          <cell r="I57">
            <v>146.3761346286949</v>
          </cell>
          <cell r="O57">
            <v>121.6</v>
          </cell>
          <cell r="P57">
            <v>212.1</v>
          </cell>
          <cell r="Q57">
            <v>221.61393989073653</v>
          </cell>
          <cell r="R57">
            <v>220.14001232913546</v>
          </cell>
          <cell r="S57">
            <v>219.57248297388662</v>
          </cell>
          <cell r="T57">
            <v>231.85548008208946</v>
          </cell>
          <cell r="U57">
            <v>243.64380048729438</v>
          </cell>
          <cell r="V57">
            <v>256.94424266747387</v>
          </cell>
          <cell r="W57">
            <v>276.80528325943294</v>
          </cell>
          <cell r="X57">
            <v>298.27030612077743</v>
          </cell>
          <cell r="Y57">
            <v>321.45224354754396</v>
          </cell>
          <cell r="Z57">
            <v>346.51651875457475</v>
          </cell>
          <cell r="AA57">
            <v>373.62144900384203</v>
          </cell>
          <cell r="AB57">
            <v>402.84655882335937</v>
          </cell>
          <cell r="AC57">
            <v>434.35769115641307</v>
          </cell>
          <cell r="AD57">
            <v>468.33366137665502</v>
          </cell>
          <cell r="AE57">
            <v>504.96727200688582</v>
          </cell>
          <cell r="AF57">
            <v>544.46640681033648</v>
          </cell>
          <cell r="AG57">
            <v>587.05521046305853</v>
          </cell>
          <cell r="AH57">
            <v>632.97536050167787</v>
          </cell>
          <cell r="AI57">
            <v>682.48743876440062</v>
          </cell>
          <cell r="AJ57">
            <v>735.87241010774994</v>
          </cell>
        </row>
        <row r="58">
          <cell r="B58" t="str">
            <v>palm oil</v>
          </cell>
          <cell r="D58">
            <v>-16.522715299479163</v>
          </cell>
          <cell r="E58">
            <v>13.621528026274854</v>
          </cell>
          <cell r="F58">
            <v>15.151485454725888</v>
          </cell>
          <cell r="G58">
            <v>-14.543488125403403</v>
          </cell>
          <cell r="H58">
            <v>40.087149762684923</v>
          </cell>
          <cell r="I58">
            <v>19.532792644961816</v>
          </cell>
          <cell r="O58">
            <v>-5</v>
          </cell>
          <cell r="P58">
            <v>36.172794584031891</v>
          </cell>
          <cell r="Q58">
            <v>17.929561682293766</v>
          </cell>
          <cell r="R58">
            <v>-4.3478260869565162</v>
          </cell>
          <cell r="S58">
            <v>-4.5454545454545467</v>
          </cell>
          <cell r="T58">
            <v>1.4285714285714164</v>
          </cell>
          <cell r="U58">
            <v>0.9389671361502252</v>
          </cell>
          <cell r="V58">
            <v>1</v>
          </cell>
          <cell r="W58">
            <v>1</v>
          </cell>
          <cell r="X58">
            <v>1</v>
          </cell>
          <cell r="Y58">
            <v>1</v>
          </cell>
          <cell r="Z58">
            <v>1</v>
          </cell>
          <cell r="AA58">
            <v>1</v>
          </cell>
          <cell r="AB58">
            <v>1</v>
          </cell>
          <cell r="AC58">
            <v>1</v>
          </cell>
          <cell r="AD58">
            <v>1</v>
          </cell>
          <cell r="AE58">
            <v>1</v>
          </cell>
          <cell r="AF58">
            <v>1</v>
          </cell>
          <cell r="AG58">
            <v>1</v>
          </cell>
          <cell r="AH58">
            <v>1</v>
          </cell>
          <cell r="AI58">
            <v>1</v>
          </cell>
          <cell r="AJ58">
            <v>1</v>
          </cell>
        </row>
        <row r="59">
          <cell r="B59">
            <v>6.4360243211118773</v>
          </cell>
          <cell r="D59">
            <v>5.9</v>
          </cell>
          <cell r="E59">
            <v>3.2</v>
          </cell>
          <cell r="F59">
            <v>13.1</v>
          </cell>
          <cell r="G59">
            <v>-23.7</v>
          </cell>
          <cell r="H59">
            <v>9.5</v>
          </cell>
          <cell r="I59">
            <v>31.5</v>
          </cell>
          <cell r="O59">
            <v>22.230710466004577</v>
          </cell>
          <cell r="P59">
            <v>28.090447609655488</v>
          </cell>
          <cell r="Q59">
            <v>-11.4</v>
          </cell>
          <cell r="R59">
            <v>3.850135347706281</v>
          </cell>
          <cell r="S59">
            <v>4.4918245723239938</v>
          </cell>
          <cell r="T59">
            <v>4.1068110375533662</v>
          </cell>
          <cell r="U59">
            <v>4.1068110375533662</v>
          </cell>
          <cell r="V59">
            <v>4.414821865369869</v>
          </cell>
          <cell r="W59">
            <v>6.6630775787454688</v>
          </cell>
          <cell r="X59">
            <v>6.687679980538527</v>
          </cell>
          <cell r="Y59">
            <v>6.705073061479867</v>
          </cell>
          <cell r="Z59">
            <v>6.729901259033741</v>
          </cell>
          <cell r="AA59">
            <v>6.7545720665859239</v>
          </cell>
          <cell r="AB59">
            <v>6.7545720665859239</v>
          </cell>
          <cell r="AC59">
            <v>6.7545720665859239</v>
          </cell>
          <cell r="AD59">
            <v>6.7545720665859239</v>
          </cell>
          <cell r="AE59">
            <v>6.7545720665859239</v>
          </cell>
          <cell r="AF59">
            <v>6.7545720665859239</v>
          </cell>
          <cell r="AG59">
            <v>6.7545720665859239</v>
          </cell>
          <cell r="AH59">
            <v>6.7545720665859239</v>
          </cell>
          <cell r="AI59">
            <v>6.7545720665859239</v>
          </cell>
          <cell r="AJ59">
            <v>6.7545720665859239</v>
          </cell>
        </row>
        <row r="61">
          <cell r="C61">
            <v>322.22967741935486</v>
          </cell>
          <cell r="D61">
            <v>264.88710741666665</v>
          </cell>
          <cell r="E61">
            <v>288.99839341066132</v>
          </cell>
          <cell r="F61">
            <v>291.26264383481345</v>
          </cell>
          <cell r="G61">
            <v>306.73095027535845</v>
          </cell>
          <cell r="H61">
            <v>293.73583752314187</v>
          </cell>
          <cell r="I61">
            <v>515.60710866460397</v>
          </cell>
          <cell r="O61">
            <v>479.2</v>
          </cell>
          <cell r="P61">
            <v>517.1</v>
          </cell>
          <cell r="Q61">
            <v>575.05999403473197</v>
          </cell>
          <cell r="R61">
            <v>646.38913018223104</v>
          </cell>
          <cell r="S61">
            <v>754.78236819460574</v>
          </cell>
          <cell r="T61">
            <v>864.76635353724782</v>
          </cell>
          <cell r="U61">
            <v>908.85530443593552</v>
          </cell>
          <cell r="V61">
            <v>958.2618115309524</v>
          </cell>
          <cell r="W61">
            <v>1032.0022506217458</v>
          </cell>
          <cell r="X61">
            <v>1111.6723077003226</v>
          </cell>
          <cell r="Y61">
            <v>1197.6871403512837</v>
          </cell>
          <cell r="Z61">
            <v>1290.656106834168</v>
          </cell>
          <cell r="AA61">
            <v>1391.1616248048824</v>
          </cell>
          <cell r="AB61">
            <v>1499.4936730876404</v>
          </cell>
          <cell r="AC61">
            <v>1616.2617164955398</v>
          </cell>
          <cell r="AD61">
            <v>1742.1226798710395</v>
          </cell>
          <cell r="AE61">
            <v>1877.7846438766576</v>
          </cell>
          <cell r="AF61">
            <v>2024.0108285829808</v>
          </cell>
          <cell r="AG61">
            <v>2181.623887265238</v>
          </cell>
          <cell r="AH61">
            <v>2351.5105345648885</v>
          </cell>
          <cell r="AI61">
            <v>2534.6265350537797</v>
          </cell>
          <cell r="AJ61">
            <v>2732.0020802660169</v>
          </cell>
        </row>
        <row r="62">
          <cell r="B62" t="str">
            <v>non-fuel  index</v>
          </cell>
          <cell r="D62">
            <v>6.0702473958333281</v>
          </cell>
          <cell r="E62">
            <v>-7.8526383176440007</v>
          </cell>
          <cell r="F62">
            <v>-3.3715416961683564</v>
          </cell>
          <cell r="G62">
            <v>-5.125427071938593</v>
          </cell>
          <cell r="H62">
            <v>-9.4436394125475331</v>
          </cell>
          <cell r="I62">
            <v>29.833052667105008</v>
          </cell>
          <cell r="O62">
            <v>-3.1</v>
          </cell>
          <cell r="P62">
            <v>3.8793700966260189</v>
          </cell>
          <cell r="Q62">
            <v>9.2506728831800729</v>
          </cell>
          <cell r="R62">
            <v>2.2945583892315398</v>
          </cell>
          <cell r="S62">
            <v>1.2102764589868968</v>
          </cell>
          <cell r="T62">
            <v>1.2325937367758257</v>
          </cell>
          <cell r="U62">
            <v>1.1018282469500917</v>
          </cell>
          <cell r="V62">
            <v>1</v>
          </cell>
          <cell r="W62">
            <v>1</v>
          </cell>
          <cell r="X62">
            <v>1</v>
          </cell>
          <cell r="Y62">
            <v>1</v>
          </cell>
          <cell r="Z62">
            <v>1</v>
          </cell>
          <cell r="AA62">
            <v>1</v>
          </cell>
          <cell r="AB62">
            <v>1</v>
          </cell>
          <cell r="AC62">
            <v>1</v>
          </cell>
          <cell r="AD62">
            <v>1</v>
          </cell>
          <cell r="AE62">
            <v>1</v>
          </cell>
          <cell r="AF62">
            <v>1</v>
          </cell>
          <cell r="AG62">
            <v>1</v>
          </cell>
          <cell r="AH62">
            <v>1</v>
          </cell>
          <cell r="AI62">
            <v>1</v>
          </cell>
          <cell r="AJ62">
            <v>1</v>
          </cell>
        </row>
        <row r="63">
          <cell r="B63">
            <v>2.7533112725717457</v>
          </cell>
          <cell r="D63">
            <v>-22.5</v>
          </cell>
          <cell r="E63">
            <v>18.399999999999999</v>
          </cell>
          <cell r="F63">
            <v>4.3</v>
          </cell>
          <cell r="G63">
            <v>11</v>
          </cell>
          <cell r="H63">
            <v>5.75</v>
          </cell>
          <cell r="I63">
            <v>35.200000000000003</v>
          </cell>
          <cell r="O63">
            <v>14.737580046042996</v>
          </cell>
          <cell r="P63">
            <v>3.8791580317318664</v>
          </cell>
          <cell r="Q63">
            <v>1.7921991809833657</v>
          </cell>
          <cell r="R63">
            <v>9.8824558685961854</v>
          </cell>
          <cell r="S63">
            <v>15.372709128927399</v>
          </cell>
          <cell r="T63">
            <v>13.176607824794914</v>
          </cell>
          <cell r="U63">
            <v>3.952982347438474</v>
          </cell>
          <cell r="V63">
            <v>4.392202608264971</v>
          </cell>
          <cell r="W63">
            <v>6.6289394256195795</v>
          </cell>
          <cell r="X63">
            <v>6.6534157774680365</v>
          </cell>
          <cell r="Y63">
            <v>6.6707197452850746</v>
          </cell>
          <cell r="Z63">
            <v>6.6954207360339977</v>
          </cell>
          <cell r="AA63">
            <v>6.7199651431659531</v>
          </cell>
          <cell r="AB63">
            <v>6.7199651431659531</v>
          </cell>
          <cell r="AC63">
            <v>6.7199651431659531</v>
          </cell>
          <cell r="AD63">
            <v>6.7199651431659531</v>
          </cell>
          <cell r="AE63">
            <v>6.7199651431659531</v>
          </cell>
          <cell r="AF63">
            <v>6.7199651431659531</v>
          </cell>
          <cell r="AG63">
            <v>6.7199651431659531</v>
          </cell>
          <cell r="AH63">
            <v>6.7199651431659531</v>
          </cell>
          <cell r="AI63">
            <v>6.7199651431659531</v>
          </cell>
          <cell r="AJ63">
            <v>6.7199651431659531</v>
          </cell>
        </row>
        <row r="64">
          <cell r="P64">
            <v>-1</v>
          </cell>
          <cell r="Q64">
            <v>1</v>
          </cell>
          <cell r="R64">
            <v>3</v>
          </cell>
          <cell r="S64">
            <v>4</v>
          </cell>
          <cell r="T64">
            <v>3</v>
          </cell>
          <cell r="U64">
            <v>0.9</v>
          </cell>
          <cell r="V64">
            <v>1</v>
          </cell>
        </row>
        <row r="66">
          <cell r="C66">
            <v>332.42119113727853</v>
          </cell>
          <cell r="D66">
            <v>316.20813591666666</v>
          </cell>
          <cell r="E66">
            <v>268.77179240651748</v>
          </cell>
          <cell r="F66">
            <v>235.05528683572345</v>
          </cell>
          <cell r="G66">
            <v>229.39033368919081</v>
          </cell>
          <cell r="H66">
            <v>268.26695009095187</v>
          </cell>
          <cell r="I66">
            <v>487.3</v>
          </cell>
          <cell r="O66">
            <v>437.3</v>
          </cell>
          <cell r="P66">
            <v>386.2</v>
          </cell>
          <cell r="Q66">
            <v>406.57087374870986</v>
          </cell>
          <cell r="R66">
            <v>450.52123654129912</v>
          </cell>
          <cell r="S66">
            <v>486.87830033018201</v>
          </cell>
          <cell r="T66">
            <v>545.83926250016702</v>
          </cell>
          <cell r="U66">
            <v>609.1839089133116</v>
          </cell>
          <cell r="V66">
            <v>689.10883776273818</v>
          </cell>
          <cell r="W66">
            <v>737.7599217087876</v>
          </cell>
          <cell r="X66">
            <v>789.84577218142806</v>
          </cell>
          <cell r="Y66">
            <v>845.60888369743702</v>
          </cell>
          <cell r="Z66">
            <v>905.30887088647614</v>
          </cell>
          <cell r="AA66">
            <v>969.22367717106135</v>
          </cell>
          <cell r="AB66">
            <v>1037.6508687793385</v>
          </cell>
          <cell r="AC66">
            <v>1110.9090201151598</v>
          </cell>
          <cell r="AD66">
            <v>1189.3391969352901</v>
          </cell>
          <cell r="AE66">
            <v>1273.3065442389218</v>
          </cell>
          <cell r="AF66">
            <v>1363.2019862621898</v>
          </cell>
          <cell r="AG66">
            <v>1459.4440464923007</v>
          </cell>
          <cell r="AH66">
            <v>1562.4807961746574</v>
          </cell>
          <cell r="AI66">
            <v>1672.7919403845883</v>
          </cell>
          <cell r="AJ66">
            <v>1790.8910513757403</v>
          </cell>
        </row>
        <row r="67">
          <cell r="B67" t="str">
            <v>manu exp</v>
          </cell>
          <cell r="D67">
            <v>13.919445703125</v>
          </cell>
          <cell r="E67">
            <v>-5.0297432114011613</v>
          </cell>
          <cell r="F67">
            <v>-6.6645243007717792</v>
          </cell>
          <cell r="G67">
            <v>3.5986715881130449</v>
          </cell>
          <cell r="H67">
            <v>3.1285719778321397</v>
          </cell>
          <cell r="I67">
            <v>10.323366172632763</v>
          </cell>
          <cell r="O67">
            <v>8.3000000000000007</v>
          </cell>
          <cell r="P67">
            <v>2.1435365421041581</v>
          </cell>
          <cell r="Q67">
            <v>3.2104857151912256</v>
          </cell>
          <cell r="R67">
            <v>1.1963585640654628</v>
          </cell>
          <cell r="S67">
            <v>1</v>
          </cell>
          <cell r="T67">
            <v>0.99999999999997158</v>
          </cell>
          <cell r="U67">
            <v>1.0000000000000284</v>
          </cell>
          <cell r="V67">
            <v>1</v>
          </cell>
          <cell r="W67">
            <v>1</v>
          </cell>
          <cell r="X67">
            <v>1</v>
          </cell>
          <cell r="Y67">
            <v>1</v>
          </cell>
          <cell r="Z67">
            <v>1</v>
          </cell>
          <cell r="AA67">
            <v>1</v>
          </cell>
          <cell r="AB67">
            <v>1</v>
          </cell>
          <cell r="AC67">
            <v>1</v>
          </cell>
          <cell r="AD67">
            <v>1</v>
          </cell>
          <cell r="AE67">
            <v>1</v>
          </cell>
          <cell r="AF67">
            <v>1</v>
          </cell>
          <cell r="AG67">
            <v>1</v>
          </cell>
          <cell r="AH67">
            <v>1</v>
          </cell>
          <cell r="AI67">
            <v>1</v>
          </cell>
          <cell r="AJ67">
            <v>1</v>
          </cell>
        </row>
        <row r="68">
          <cell r="B68">
            <v>-2.5734164305159735</v>
          </cell>
          <cell r="D68">
            <v>-16.5</v>
          </cell>
          <cell r="E68">
            <v>-10.5</v>
          </cell>
          <cell r="F68">
            <v>-6.3</v>
          </cell>
          <cell r="G68">
            <v>-5.8</v>
          </cell>
          <cell r="H68">
            <v>13.4</v>
          </cell>
          <cell r="I68">
            <v>64.650000000000006</v>
          </cell>
          <cell r="O68">
            <v>11.703491269246946</v>
          </cell>
          <cell r="P68">
            <v>-13.538672030386589</v>
          </cell>
          <cell r="Q68">
            <v>2</v>
          </cell>
          <cell r="R68">
            <v>9.5</v>
          </cell>
          <cell r="S68">
            <v>7</v>
          </cell>
          <cell r="T68">
            <v>11</v>
          </cell>
          <cell r="U68">
            <v>10.5</v>
          </cell>
          <cell r="V68">
            <v>12</v>
          </cell>
          <cell r="W68">
            <v>6</v>
          </cell>
          <cell r="X68">
            <v>6</v>
          </cell>
          <cell r="Y68">
            <v>6</v>
          </cell>
          <cell r="Z68">
            <v>6</v>
          </cell>
          <cell r="AA68">
            <v>6</v>
          </cell>
          <cell r="AB68">
            <v>6</v>
          </cell>
          <cell r="AC68">
            <v>6</v>
          </cell>
          <cell r="AD68">
            <v>6</v>
          </cell>
          <cell r="AE68">
            <v>6</v>
          </cell>
          <cell r="AF68">
            <v>6</v>
          </cell>
          <cell r="AG68">
            <v>6</v>
          </cell>
          <cell r="AH68">
            <v>6</v>
          </cell>
          <cell r="AI68">
            <v>6</v>
          </cell>
          <cell r="AJ68">
            <v>6</v>
          </cell>
        </row>
        <row r="69">
          <cell r="P69">
            <v>2.6</v>
          </cell>
          <cell r="Q69">
            <v>2</v>
          </cell>
          <cell r="R69">
            <v>5.5</v>
          </cell>
          <cell r="S69">
            <v>6</v>
          </cell>
          <cell r="T69">
            <v>6</v>
          </cell>
          <cell r="U69">
            <v>6</v>
          </cell>
          <cell r="V69">
            <v>6</v>
          </cell>
        </row>
        <row r="70">
          <cell r="R70">
            <v>4</v>
          </cell>
          <cell r="S70">
            <v>1</v>
          </cell>
          <cell r="T70">
            <v>5</v>
          </cell>
          <cell r="U70">
            <v>4.5</v>
          </cell>
          <cell r="V70">
            <v>6</v>
          </cell>
        </row>
        <row r="71">
          <cell r="O71" t="str">
            <v>Needs checking</v>
          </cell>
        </row>
        <row r="72">
          <cell r="C72">
            <v>593.05139746283965</v>
          </cell>
          <cell r="D72">
            <v>671.11069808333332</v>
          </cell>
          <cell r="E72">
            <v>522.7066561164728</v>
          </cell>
          <cell r="F72">
            <v>411.31645510339513</v>
          </cell>
          <cell r="G72">
            <v>328.53727368654518</v>
          </cell>
          <cell r="H72">
            <v>503.48027696900448</v>
          </cell>
          <cell r="I72">
            <v>994.6</v>
          </cell>
          <cell r="O72">
            <v>604.42000000000007</v>
          </cell>
          <cell r="P72">
            <v>690.46506329113913</v>
          </cell>
          <cell r="Q72">
            <v>729.73552180888294</v>
          </cell>
          <cell r="R72">
            <v>823.38933936926446</v>
          </cell>
          <cell r="S72">
            <v>990.46327022068192</v>
          </cell>
          <cell r="T72">
            <v>1145.4212488467074</v>
          </cell>
          <cell r="U72">
            <v>1228.6017399379557</v>
          </cell>
          <cell r="V72">
            <v>1358.7720942843821</v>
          </cell>
          <cell r="W72">
            <v>1457.0258557088525</v>
          </cell>
          <cell r="X72">
            <v>1562.3664504888322</v>
          </cell>
          <cell r="Y72">
            <v>1675.3093797570136</v>
          </cell>
          <cell r="Z72">
            <v>1796.396068336086</v>
          </cell>
          <cell r="AA72">
            <v>1926.2123540933278</v>
          </cell>
          <cell r="AB72">
            <v>2065.4097937869701</v>
          </cell>
          <cell r="AC72">
            <v>2214.6663150642653</v>
          </cell>
          <cell r="AD72">
            <v>2374.708835909692</v>
          </cell>
          <cell r="AE72">
            <v>2546.3168049241422</v>
          </cell>
          <cell r="AF72">
            <v>2730.3259974418452</v>
          </cell>
          <cell r="AG72">
            <v>2927.632585973091</v>
          </cell>
          <cell r="AH72">
            <v>3139.1975047968785</v>
          </cell>
          <cell r="AI72">
            <v>3366.051129960174</v>
          </cell>
          <cell r="AJ72">
            <v>3609.2982974765996</v>
          </cell>
        </row>
        <row r="73">
          <cell r="B73" t="str">
            <v>manu exp</v>
          </cell>
          <cell r="D73">
            <v>13.389094466145824</v>
          </cell>
          <cell r="E73">
            <v>-6.9452791763516375</v>
          </cell>
          <cell r="F73">
            <v>-9.1342612542243522</v>
          </cell>
          <cell r="G73">
            <v>3.5986715881130449</v>
          </cell>
          <cell r="H73">
            <v>3.1285719778321397</v>
          </cell>
          <cell r="I73">
            <v>10.329504344444862</v>
          </cell>
          <cell r="O73">
            <v>1</v>
          </cell>
          <cell r="P73">
            <v>2.1435365421041581</v>
          </cell>
          <cell r="Q73">
            <v>3.2104857151912256</v>
          </cell>
          <cell r="R73">
            <v>1.1963585640654628</v>
          </cell>
          <cell r="S73">
            <v>1</v>
          </cell>
          <cell r="T73">
            <v>0.99999999999997158</v>
          </cell>
          <cell r="U73">
            <v>1.0000000000000284</v>
          </cell>
          <cell r="V73">
            <v>1</v>
          </cell>
          <cell r="W73">
            <v>1</v>
          </cell>
          <cell r="X73">
            <v>1</v>
          </cell>
          <cell r="Y73">
            <v>1</v>
          </cell>
          <cell r="Z73">
            <v>1</v>
          </cell>
          <cell r="AA73">
            <v>1</v>
          </cell>
          <cell r="AB73">
            <v>1</v>
          </cell>
          <cell r="AC73">
            <v>1</v>
          </cell>
          <cell r="AD73">
            <v>1</v>
          </cell>
          <cell r="AE73">
            <v>1</v>
          </cell>
          <cell r="AF73">
            <v>1</v>
          </cell>
          <cell r="AG73">
            <v>1</v>
          </cell>
          <cell r="AH73">
            <v>1</v>
          </cell>
          <cell r="AI73">
            <v>1</v>
          </cell>
          <cell r="AJ73">
            <v>1</v>
          </cell>
        </row>
        <row r="74">
          <cell r="B74">
            <v>-0.13732364170664368</v>
          </cell>
          <cell r="D74">
            <v>-0.2</v>
          </cell>
          <cell r="E74">
            <v>-16.3</v>
          </cell>
          <cell r="F74">
            <v>-13.4</v>
          </cell>
          <cell r="G74">
            <v>-22.9</v>
          </cell>
          <cell r="H74">
            <v>48.6</v>
          </cell>
          <cell r="I74">
            <v>79.05</v>
          </cell>
          <cell r="O74">
            <v>-17.320303458917309</v>
          </cell>
          <cell r="P74">
            <v>11.838669471512087</v>
          </cell>
          <cell r="Q74">
            <v>2.4000000000000004</v>
          </cell>
          <cell r="R74">
            <v>11.5</v>
          </cell>
          <cell r="S74">
            <v>19.100000000000001</v>
          </cell>
          <cell r="T74">
            <v>14.5</v>
          </cell>
          <cell r="U74">
            <v>6.2</v>
          </cell>
          <cell r="V74">
            <v>9.5</v>
          </cell>
          <cell r="W74">
            <v>6.1693762482842898</v>
          </cell>
          <cell r="X74">
            <v>6.1681554703050585</v>
          </cell>
          <cell r="Y74">
            <v>6.1672924208197788</v>
          </cell>
          <cell r="Z74">
            <v>6.1660604387924662</v>
          </cell>
          <cell r="AA74">
            <v>6.1648362665005543</v>
          </cell>
          <cell r="AB74">
            <v>6.1648362665005543</v>
          </cell>
          <cell r="AC74">
            <v>6.1648362665005543</v>
          </cell>
          <cell r="AD74">
            <v>6.1648362665005543</v>
          </cell>
          <cell r="AE74">
            <v>6.1648362665005543</v>
          </cell>
          <cell r="AF74">
            <v>6.1648362665005543</v>
          </cell>
          <cell r="AG74">
            <v>6.1648362665005543</v>
          </cell>
          <cell r="AH74">
            <v>6.1648362665005543</v>
          </cell>
          <cell r="AI74">
            <v>6.1648362665005543</v>
          </cell>
          <cell r="AJ74">
            <v>6.1648362665005543</v>
          </cell>
        </row>
        <row r="75">
          <cell r="P75">
            <v>0.5</v>
          </cell>
          <cell r="Q75">
            <v>0.8</v>
          </cell>
          <cell r="R75">
            <v>6.5</v>
          </cell>
          <cell r="S75">
            <v>6.5</v>
          </cell>
          <cell r="T75">
            <v>6.5</v>
          </cell>
          <cell r="U75">
            <v>6.5</v>
          </cell>
          <cell r="V75">
            <v>6.5</v>
          </cell>
        </row>
        <row r="76">
          <cell r="Q76">
            <v>1.6</v>
          </cell>
          <cell r="R76">
            <v>5</v>
          </cell>
          <cell r="S76">
            <v>12.6</v>
          </cell>
          <cell r="T76">
            <v>8</v>
          </cell>
          <cell r="U76">
            <v>-0.3</v>
          </cell>
          <cell r="V76">
            <v>3</v>
          </cell>
        </row>
        <row r="78">
          <cell r="C78">
            <v>54.911806941647171</v>
          </cell>
          <cell r="D78">
            <v>51.592568333333332</v>
          </cell>
          <cell r="E78">
            <v>65.106724189324993</v>
          </cell>
          <cell r="F78">
            <v>62.012168511456856</v>
          </cell>
          <cell r="G78">
            <v>49.447548200905672</v>
          </cell>
          <cell r="H78">
            <v>82.100731130855749</v>
          </cell>
          <cell r="I78">
            <v>126.3</v>
          </cell>
          <cell r="O78">
            <v>443.4</v>
          </cell>
          <cell r="P78">
            <v>443.4</v>
          </cell>
          <cell r="Q78">
            <v>577.20001263906306</v>
          </cell>
          <cell r="R78">
            <v>810.53510420690452</v>
          </cell>
          <cell r="S78">
            <v>788.06382480029151</v>
          </cell>
          <cell r="T78">
            <v>773.29385444751119</v>
          </cell>
          <cell r="U78">
            <v>754.35548661409985</v>
          </cell>
          <cell r="V78">
            <v>876.81237055056079</v>
          </cell>
          <cell r="W78">
            <v>952.14226784999437</v>
          </cell>
          <cell r="X78">
            <v>1034.2108938729884</v>
          </cell>
          <cell r="Y78">
            <v>1123.558256125682</v>
          </cell>
          <cell r="Z78">
            <v>1220.9423218213033</v>
          </cell>
          <cell r="AA78">
            <v>1327.1103013221486</v>
          </cell>
          <cell r="AB78">
            <v>1442.5101992108159</v>
          </cell>
          <cell r="AC78">
            <v>1567.9447840576413</v>
          </cell>
          <cell r="AD78">
            <v>1704.2866297919829</v>
          </cell>
          <cell r="AE78">
            <v>1852.4841856809517</v>
          </cell>
          <cell r="AF78">
            <v>2013.5683741278165</v>
          </cell>
          <cell r="AG78">
            <v>2188.6597621870478</v>
          </cell>
          <cell r="AH78">
            <v>2378.9763566839729</v>
          </cell>
          <cell r="AI78">
            <v>2585.8420771650635</v>
          </cell>
          <cell r="AJ78">
            <v>2810.6959656201357</v>
          </cell>
        </row>
        <row r="79">
          <cell r="D79">
            <v>11.585900260416683</v>
          </cell>
          <cell r="E79">
            <v>-7.5501852705465611</v>
          </cell>
          <cell r="F79">
            <v>-11.398186794889186</v>
          </cell>
          <cell r="G79">
            <v>0.42627207536698464</v>
          </cell>
          <cell r="H79">
            <v>24</v>
          </cell>
          <cell r="I79">
            <v>14.600320504278596</v>
          </cell>
          <cell r="O79">
            <v>-2.2000000000000002</v>
          </cell>
          <cell r="P79">
            <v>2.1435365421041581</v>
          </cell>
          <cell r="Q79">
            <v>3.2104857151912256</v>
          </cell>
          <cell r="R79">
            <v>1.1963585640654628</v>
          </cell>
          <cell r="S79">
            <v>1</v>
          </cell>
          <cell r="T79">
            <v>0.99999999999997158</v>
          </cell>
          <cell r="U79">
            <v>1.0000000000000284</v>
          </cell>
          <cell r="V79">
            <v>1</v>
          </cell>
          <cell r="W79">
            <v>1</v>
          </cell>
          <cell r="X79">
            <v>1</v>
          </cell>
          <cell r="Y79">
            <v>1</v>
          </cell>
          <cell r="Z79">
            <v>1</v>
          </cell>
          <cell r="AA79">
            <v>1</v>
          </cell>
          <cell r="AB79">
            <v>1</v>
          </cell>
          <cell r="AC79">
            <v>1</v>
          </cell>
          <cell r="AD79">
            <v>1</v>
          </cell>
          <cell r="AE79">
            <v>1</v>
          </cell>
          <cell r="AF79">
            <v>1</v>
          </cell>
          <cell r="AG79">
            <v>1</v>
          </cell>
          <cell r="AH79">
            <v>1</v>
          </cell>
          <cell r="AI79">
            <v>1</v>
          </cell>
          <cell r="AJ79">
            <v>1</v>
          </cell>
        </row>
        <row r="80">
          <cell r="B80">
            <v>8.9194907888437527</v>
          </cell>
          <cell r="D80">
            <v>-15.8</v>
          </cell>
          <cell r="E80">
            <v>36.5</v>
          </cell>
          <cell r="F80">
            <v>7.5</v>
          </cell>
          <cell r="G80">
            <v>-20.6</v>
          </cell>
          <cell r="H80">
            <v>33.9</v>
          </cell>
          <cell r="I80">
            <v>34.236460920079722</v>
          </cell>
          <cell r="O80">
            <v>100.60806775612141</v>
          </cell>
          <cell r="P80">
            <v>-39</v>
          </cell>
          <cell r="Q80">
            <v>26.126638533791329</v>
          </cell>
          <cell r="R80">
            <v>28.493095830679803</v>
          </cell>
          <cell r="S80">
            <v>-3.7350500152576513</v>
          </cell>
          <cell r="T80">
            <v>-2.8457523925772588</v>
          </cell>
          <cell r="U80">
            <v>-3.4149028710927101</v>
          </cell>
          <cell r="V80">
            <v>15.082487680659471</v>
          </cell>
          <cell r="W80">
            <v>7.5161743089027002</v>
          </cell>
          <cell r="X80">
            <v>7.5439266407807128</v>
          </cell>
          <cell r="Y80">
            <v>7.5635466176726194</v>
          </cell>
          <cell r="Z80">
            <v>7.5915536547189939</v>
          </cell>
          <cell r="AA80">
            <v>7.6193831505806511</v>
          </cell>
          <cell r="AB80">
            <v>7.6193831505806511</v>
          </cell>
          <cell r="AC80">
            <v>7.6193831505806511</v>
          </cell>
          <cell r="AD80">
            <v>7.6193831505806511</v>
          </cell>
          <cell r="AE80">
            <v>7.6193831505806511</v>
          </cell>
          <cell r="AF80">
            <v>7.6193831505806511</v>
          </cell>
          <cell r="AG80">
            <v>7.6193831505806511</v>
          </cell>
          <cell r="AH80">
            <v>7.6193831505806511</v>
          </cell>
          <cell r="AI80">
            <v>7.6193831505806511</v>
          </cell>
          <cell r="AJ80">
            <v>7.6193831505806511</v>
          </cell>
        </row>
        <row r="81">
          <cell r="Q81">
            <v>4.5</v>
          </cell>
          <cell r="R81">
            <v>2.67</v>
          </cell>
          <cell r="S81">
            <v>-0.3</v>
          </cell>
          <cell r="T81">
            <v>-0.2</v>
          </cell>
          <cell r="U81">
            <v>-0.24</v>
          </cell>
          <cell r="V81">
            <v>1.06</v>
          </cell>
          <cell r="W81">
            <v>0.35</v>
          </cell>
          <cell r="X81">
            <v>0.35</v>
          </cell>
          <cell r="Y81">
            <v>0.35</v>
          </cell>
          <cell r="Z81">
            <v>0.35</v>
          </cell>
        </row>
        <row r="83">
          <cell r="D83">
            <v>75.352303750000004</v>
          </cell>
          <cell r="E83">
            <v>11.7716871666667</v>
          </cell>
          <cell r="F83">
            <v>117.89765774999999</v>
          </cell>
          <cell r="G83">
            <v>21.225660000000001</v>
          </cell>
          <cell r="H83">
            <v>218.39652083333334</v>
          </cell>
          <cell r="I83">
            <v>21.39427075</v>
          </cell>
          <cell r="O83">
            <v>119.6</v>
          </cell>
          <cell r="P83">
            <v>30.4</v>
          </cell>
          <cell r="Q83">
            <v>36.682600262952931</v>
          </cell>
          <cell r="R83">
            <v>37.901291301589239</v>
          </cell>
          <cell r="S83">
            <v>38.998113236361917</v>
          </cell>
          <cell r="T83">
            <v>40.460542482725494</v>
          </cell>
          <cell r="U83">
            <v>41.922971729089056</v>
          </cell>
          <cell r="V83">
            <v>42.342201446379946</v>
          </cell>
          <cell r="W83">
            <v>42.765623460843749</v>
          </cell>
          <cell r="X83">
            <v>43.193279695452183</v>
          </cell>
          <cell r="Y83">
            <v>43.625212492406703</v>
          </cell>
          <cell r="Z83">
            <v>44.06146461733077</v>
          </cell>
          <cell r="AA83">
            <v>44.502079263504079</v>
          </cell>
          <cell r="AB83">
            <v>44.947100056139121</v>
          </cell>
          <cell r="AC83">
            <v>45.396571056700509</v>
          </cell>
          <cell r="AD83">
            <v>45.850536767267513</v>
          </cell>
          <cell r="AE83">
            <v>46.309042134940192</v>
          </cell>
          <cell r="AF83">
            <v>46.772132556289591</v>
          </cell>
          <cell r="AG83">
            <v>47.23985388185249</v>
          </cell>
          <cell r="AH83">
            <v>47.712252420671014</v>
          </cell>
          <cell r="AI83">
            <v>48.189374944877727</v>
          </cell>
          <cell r="AJ83">
            <v>48.671268694326507</v>
          </cell>
        </row>
        <row r="85">
          <cell r="D85">
            <v>17.650089166666667</v>
          </cell>
          <cell r="E85">
            <v>13.518575520147486</v>
          </cell>
          <cell r="F85">
            <v>13.663169416666667</v>
          </cell>
          <cell r="G85">
            <v>0</v>
          </cell>
          <cell r="H85">
            <v>34.657021666666665</v>
          </cell>
          <cell r="I85">
            <v>10.166071916666667</v>
          </cell>
          <cell r="O85">
            <v>35</v>
          </cell>
          <cell r="P85">
            <v>35</v>
          </cell>
          <cell r="Q85">
            <v>80</v>
          </cell>
          <cell r="R85">
            <v>125</v>
          </cell>
          <cell r="S85">
            <v>250</v>
          </cell>
          <cell r="T85">
            <v>252.24999999999997</v>
          </cell>
          <cell r="U85">
            <v>254.52024999999995</v>
          </cell>
          <cell r="V85">
            <v>256.81093224999989</v>
          </cell>
          <cell r="W85">
            <v>259.12223064024988</v>
          </cell>
          <cell r="X85">
            <v>261.45433071601212</v>
          </cell>
          <cell r="Y85">
            <v>263.80741969245622</v>
          </cell>
          <cell r="Z85">
            <v>266.18168646968832</v>
          </cell>
          <cell r="AA85">
            <v>268.57732164791548</v>
          </cell>
          <cell r="AB85">
            <v>270.99451754274668</v>
          </cell>
          <cell r="AC85">
            <v>273.43346820063135</v>
          </cell>
          <cell r="AD85">
            <v>275.89436941443699</v>
          </cell>
          <cell r="AE85">
            <v>278.3774187391669</v>
          </cell>
          <cell r="AF85">
            <v>280.88281550781937</v>
          </cell>
          <cell r="AG85">
            <v>283.41076084738972</v>
          </cell>
          <cell r="AH85">
            <v>285.96145769501618</v>
          </cell>
          <cell r="AI85">
            <v>288.53511081427132</v>
          </cell>
          <cell r="AJ85">
            <v>291.13192681159973</v>
          </cell>
        </row>
        <row r="86">
          <cell r="B86" t="str">
            <v>manu exp</v>
          </cell>
        </row>
        <row r="89">
          <cell r="O89">
            <v>89.9</v>
          </cell>
          <cell r="P89">
            <v>62.134936708860756</v>
          </cell>
          <cell r="Q89">
            <v>64.964050632911395</v>
          </cell>
          <cell r="R89">
            <v>11.946835443037973</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row>
        <row r="90">
          <cell r="B90" t="str">
            <v>manu exp</v>
          </cell>
          <cell r="E90">
            <v>-6.9452791763516375</v>
          </cell>
          <cell r="F90">
            <v>-9.1342612542243522</v>
          </cell>
          <cell r="G90">
            <v>3.5986715881130449</v>
          </cell>
          <cell r="H90">
            <v>3.1285719778321397</v>
          </cell>
          <cell r="I90">
            <v>10.329504344444862</v>
          </cell>
          <cell r="O90">
            <v>1</v>
          </cell>
          <cell r="P90">
            <v>2.1435365421041581</v>
          </cell>
          <cell r="Q90">
            <v>3.2104857151912256</v>
          </cell>
          <cell r="R90">
            <v>1.1963585640654628</v>
          </cell>
          <cell r="S90">
            <v>1</v>
          </cell>
          <cell r="T90">
            <v>0.99999999999997158</v>
          </cell>
          <cell r="U90">
            <v>1.0000000000000284</v>
          </cell>
          <cell r="V90">
            <v>1</v>
          </cell>
          <cell r="W90">
            <v>1</v>
          </cell>
          <cell r="X90">
            <v>1</v>
          </cell>
          <cell r="Y90">
            <v>1</v>
          </cell>
          <cell r="Z90">
            <v>1</v>
          </cell>
          <cell r="AA90">
            <v>1</v>
          </cell>
          <cell r="AB90">
            <v>1</v>
          </cell>
          <cell r="AC90">
            <v>1</v>
          </cell>
          <cell r="AD90">
            <v>1</v>
          </cell>
          <cell r="AE90">
            <v>1</v>
          </cell>
          <cell r="AF90">
            <v>1</v>
          </cell>
          <cell r="AG90">
            <v>1</v>
          </cell>
          <cell r="AH90">
            <v>1</v>
          </cell>
          <cell r="AI90">
            <v>1</v>
          </cell>
          <cell r="AJ90">
            <v>1</v>
          </cell>
        </row>
        <row r="91">
          <cell r="O91">
            <v>3.4998848722081588</v>
          </cell>
          <cell r="P91">
            <v>-32.334814290246236</v>
          </cell>
          <cell r="Q91">
            <v>1.3009256967259297</v>
          </cell>
          <cell r="R91">
            <v>-81.827490676128491</v>
          </cell>
          <cell r="S91">
            <v>-100</v>
          </cell>
          <cell r="T91" t="e">
            <v>#DIV/0!</v>
          </cell>
          <cell r="U91" t="e">
            <v>#DIV/0!</v>
          </cell>
          <cell r="V91" t="e">
            <v>#DIV/0!</v>
          </cell>
          <cell r="W91" t="e">
            <v>#DIV/0!</v>
          </cell>
          <cell r="X91" t="e">
            <v>#DIV/0!</v>
          </cell>
          <cell r="Y91" t="e">
            <v>#DIV/0!</v>
          </cell>
          <cell r="Z91" t="e">
            <v>#DIV/0!</v>
          </cell>
          <cell r="AA91" t="e">
            <v>#DIV/0!</v>
          </cell>
          <cell r="AB91" t="e">
            <v>#DIV/0!</v>
          </cell>
          <cell r="AC91" t="e">
            <v>#DIV/0!</v>
          </cell>
          <cell r="AD91" t="e">
            <v>#DIV/0!</v>
          </cell>
          <cell r="AE91" t="e">
            <v>#DIV/0!</v>
          </cell>
          <cell r="AF91" t="e">
            <v>#DIV/0!</v>
          </cell>
          <cell r="AG91" t="e">
            <v>#DIV/0!</v>
          </cell>
          <cell r="AH91" t="e">
            <v>#DIV/0!</v>
          </cell>
          <cell r="AI91" t="e">
            <v>#DIV/0!</v>
          </cell>
          <cell r="AJ91" t="e">
            <v>#DIV/0!</v>
          </cell>
        </row>
        <row r="93">
          <cell r="D93">
            <v>73.844287688678804</v>
          </cell>
          <cell r="E93">
            <v>42.843466083333333</v>
          </cell>
          <cell r="F93">
            <v>15.494315833333333</v>
          </cell>
          <cell r="G93">
            <v>0</v>
          </cell>
          <cell r="H93">
            <v>0</v>
          </cell>
          <cell r="I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row>
        <row r="98">
          <cell r="B98">
            <v>2.2567084138164883</v>
          </cell>
          <cell r="C98">
            <v>4.4000000000000004</v>
          </cell>
          <cell r="D98">
            <v>4.5</v>
          </cell>
          <cell r="E98">
            <v>2.1</v>
          </cell>
          <cell r="F98">
            <v>0.5</v>
          </cell>
          <cell r="G98">
            <v>0.2</v>
          </cell>
          <cell r="H98">
            <v>3</v>
          </cell>
          <cell r="I98">
            <v>4.8</v>
          </cell>
          <cell r="O98">
            <v>1.1997382459579597</v>
          </cell>
          <cell r="P98">
            <v>1.2140256033834618</v>
          </cell>
          <cell r="Q98">
            <v>1.8361849472174008</v>
          </cell>
          <cell r="R98">
            <v>2.7</v>
          </cell>
          <cell r="S98">
            <v>3.5</v>
          </cell>
          <cell r="T98">
            <v>4</v>
          </cell>
          <cell r="U98">
            <v>4</v>
          </cell>
          <cell r="V98">
            <v>4</v>
          </cell>
          <cell r="W98">
            <v>6.0370069569610996</v>
          </cell>
          <cell r="X98">
            <v>6.0592976880875726</v>
          </cell>
          <cell r="Y98">
            <v>6.0750564946457919</v>
          </cell>
          <cell r="Z98">
            <v>6.0975518054972921</v>
          </cell>
          <cell r="AA98">
            <v>6.1199045148971454</v>
          </cell>
          <cell r="AB98">
            <v>6.1199045148971454</v>
          </cell>
          <cell r="AC98">
            <v>6.1199045148971454</v>
          </cell>
          <cell r="AD98">
            <v>6.1199045148971454</v>
          </cell>
          <cell r="AE98">
            <v>6.1199045148971454</v>
          </cell>
          <cell r="AF98">
            <v>6.1199045148971454</v>
          </cell>
          <cell r="AG98">
            <v>6.1199045148971454</v>
          </cell>
          <cell r="AH98">
            <v>6.1199045148971454</v>
          </cell>
          <cell r="AI98">
            <v>6.1199045148971454</v>
          </cell>
          <cell r="AJ98">
            <v>6.1199045148971454</v>
          </cell>
        </row>
        <row r="99">
          <cell r="B99">
            <v>2.995428848510806</v>
          </cell>
          <cell r="C99" t="str">
            <v xml:space="preserve"> </v>
          </cell>
          <cell r="D99">
            <v>4.7496493322946698</v>
          </cell>
          <cell r="E99">
            <v>-8.0387890634463268</v>
          </cell>
          <cell r="F99">
            <v>-0.71878245812400099</v>
          </cell>
          <cell r="G99">
            <v>-12.254794664121761</v>
          </cell>
          <cell r="H99">
            <v>25.67390179381912</v>
          </cell>
          <cell r="I99">
            <v>32.068983995641908</v>
          </cell>
          <cell r="O99">
            <v>7.3361019792383297</v>
          </cell>
          <cell r="P99">
            <v>-2.0601095326815866</v>
          </cell>
          <cell r="Q99">
            <v>7.3886656516485294</v>
          </cell>
          <cell r="R99">
            <v>10.339785927723554</v>
          </cell>
          <cell r="S99">
            <v>10.214018754464993</v>
          </cell>
          <cell r="T99">
            <v>8.3549958869756136</v>
          </cell>
          <cell r="U99">
            <v>4.3274460293255546</v>
          </cell>
          <cell r="V99">
            <v>8.5639777779139781</v>
          </cell>
          <cell r="W99">
            <v>6.2950903637397637</v>
          </cell>
          <cell r="X99">
            <v>6.2794394150298416</v>
          </cell>
          <cell r="Y99">
            <v>6.3085435149359492</v>
          </cell>
          <cell r="Z99">
            <v>6.3414145199901073</v>
          </cell>
          <cell r="AA99">
            <v>6.373129406019884</v>
          </cell>
          <cell r="AB99">
            <v>6.3901674674962328</v>
          </cell>
          <cell r="AC99">
            <v>6.4066099817418065</v>
          </cell>
          <cell r="AD99">
            <v>6.4216057567769713</v>
          </cell>
          <cell r="AE99">
            <v>6.4362192325908563</v>
          </cell>
          <cell r="AF99">
            <v>6.4502058281714847</v>
          </cell>
          <cell r="AG99">
            <v>6.4635987105980952</v>
          </cell>
          <cell r="AH99">
            <v>6.4764296210339412</v>
          </cell>
          <cell r="AI99">
            <v>6.4887289019192274</v>
          </cell>
          <cell r="AJ99">
            <v>6.5005255281222807</v>
          </cell>
        </row>
        <row r="100">
          <cell r="B100">
            <v>2.2036492761651427</v>
          </cell>
          <cell r="D100">
            <v>-6.0247264873474364</v>
          </cell>
          <cell r="E100">
            <v>-4.0031994846954291</v>
          </cell>
          <cell r="F100">
            <v>-3.2477723242018754</v>
          </cell>
          <cell r="G100">
            <v>-5.5962230424863577</v>
          </cell>
          <cell r="H100">
            <v>11.650565967867394</v>
          </cell>
          <cell r="I100">
            <v>43.198326444067703</v>
          </cell>
          <cell r="O100">
            <v>7.1881610832282377</v>
          </cell>
          <cell r="P100">
            <v>1.6772944581687312</v>
          </cell>
          <cell r="Q100">
            <v>3.8864551252076183</v>
          </cell>
          <cell r="R100">
            <v>13.772080255695897</v>
          </cell>
          <cell r="S100">
            <v>7.7543549993529979</v>
          </cell>
          <cell r="T100">
            <v>8.7765900039423457</v>
          </cell>
          <cell r="U100">
            <v>4.4782361089191767</v>
          </cell>
          <cell r="V100">
            <v>9.0069289024591086</v>
          </cell>
          <cell r="W100">
            <v>6.550936452446777</v>
          </cell>
          <cell r="X100">
            <v>6.5667566701430786</v>
          </cell>
          <cell r="Y100">
            <v>6.5783825827847551</v>
          </cell>
          <cell r="Z100">
            <v>6.5947842480898089</v>
          </cell>
          <cell r="AA100">
            <v>6.6113234481643133</v>
          </cell>
          <cell r="AB100">
            <v>6.6128287216274231</v>
          </cell>
          <cell r="AC100">
            <v>6.6144342507620451</v>
          </cell>
          <cell r="AD100">
            <v>6.6165273972588921</v>
          </cell>
          <cell r="AE100">
            <v>6.6181845463784157</v>
          </cell>
          <cell r="AF100">
            <v>6.6199295853547397</v>
          </cell>
          <cell r="AG100">
            <v>6.6217583106819973</v>
          </cell>
          <cell r="AH100">
            <v>6.6236667079926548</v>
          </cell>
          <cell r="AI100">
            <v>6.6256509473549698</v>
          </cell>
          <cell r="AJ100">
            <v>6.627707378179764</v>
          </cell>
        </row>
        <row r="101">
          <cell r="D101">
            <v>27.026485037671478</v>
          </cell>
          <cell r="E101">
            <v>23.997291933881556</v>
          </cell>
          <cell r="F101">
            <v>22.697179545962211</v>
          </cell>
          <cell r="G101">
            <v>27.919413258426061</v>
          </cell>
          <cell r="H101">
            <v>28.561035363452763</v>
          </cell>
          <cell r="I101">
            <v>34.957814481517808</v>
          </cell>
          <cell r="O101">
            <v>30.378081203999134</v>
          </cell>
          <cell r="P101">
            <v>30.050326615835644</v>
          </cell>
          <cell r="Q101">
            <v>32.46028163532803</v>
          </cell>
          <cell r="R101">
            <v>31.300097830393899</v>
          </cell>
          <cell r="S101">
            <v>30.055815584332024</v>
          </cell>
          <cell r="T101">
            <v>28.825510544604199</v>
          </cell>
          <cell r="U101">
            <v>27.02285766472669</v>
          </cell>
          <cell r="V101">
            <v>26.241187256836067</v>
          </cell>
          <cell r="W101">
            <v>22.332887518476106</v>
          </cell>
          <cell r="X101">
            <v>21.9721946467644</v>
          </cell>
          <cell r="Y101">
            <v>21.619109944084013</v>
          </cell>
          <cell r="Z101">
            <v>21.271662603153942</v>
          </cell>
          <cell r="AA101">
            <v>20.927062759995163</v>
          </cell>
          <cell r="AB101">
            <v>20.582759833240456</v>
          </cell>
          <cell r="AC101">
            <v>20.234228203166893</v>
          </cell>
          <cell r="AD101">
            <v>19.885751033768369</v>
          </cell>
          <cell r="AE101">
            <v>19.546472248381281</v>
          </cell>
          <cell r="AF101">
            <v>19.215995447780713</v>
          </cell>
          <cell r="AG101">
            <v>18.893948485369044</v>
          </cell>
          <cell r="AH101">
            <v>18.579981750000073</v>
          </cell>
          <cell r="AI101">
            <v>18.273766576187285</v>
          </cell>
          <cell r="AJ101">
            <v>17.974993772111596</v>
          </cell>
        </row>
        <row r="102">
          <cell r="D102">
            <v>19.316255430525516</v>
          </cell>
          <cell r="E102">
            <v>17.420965657365855</v>
          </cell>
          <cell r="F102">
            <v>16.578996520140617</v>
          </cell>
          <cell r="G102">
            <v>19.536782626041653</v>
          </cell>
          <cell r="H102">
            <v>22.816838673946943</v>
          </cell>
          <cell r="I102">
            <v>28.035841120678334</v>
          </cell>
          <cell r="O102">
            <v>23.255476258394935</v>
          </cell>
          <cell r="P102">
            <v>22.574383245574538</v>
          </cell>
          <cell r="Q102">
            <v>23.286384943765718</v>
          </cell>
          <cell r="R102">
            <v>24.406568817202771</v>
          </cell>
          <cell r="S102">
            <v>24.39500878461325</v>
          </cell>
          <cell r="T102">
            <v>23.595949261291615</v>
          </cell>
          <cell r="U102">
            <v>22.082379994037318</v>
          </cell>
          <cell r="V102">
            <v>21.464720679041669</v>
          </cell>
          <cell r="W102">
            <v>18.276660877516182</v>
          </cell>
          <cell r="X102">
            <v>17.998853980022222</v>
          </cell>
          <cell r="Y102">
            <v>17.727037046712653</v>
          </cell>
          <cell r="Z102">
            <v>17.45946864766578</v>
          </cell>
          <cell r="AA102">
            <v>17.193911537082936</v>
          </cell>
          <cell r="AB102">
            <v>16.928398664730242</v>
          </cell>
          <cell r="AC102">
            <v>16.659129159647907</v>
          </cell>
          <cell r="AD102">
            <v>16.390177597502433</v>
          </cell>
          <cell r="AE102">
            <v>16.128473771629579</v>
          </cell>
          <cell r="AF102">
            <v>15.873671086684501</v>
          </cell>
          <cell r="AG102">
            <v>15.625445859546772</v>
          </cell>
          <cell r="AH102">
            <v>15.383495640543659</v>
          </cell>
          <cell r="AI102">
            <v>15.147537660883078</v>
          </cell>
          <cell r="AJ102">
            <v>14.917307396749655</v>
          </cell>
        </row>
        <row r="103">
          <cell r="D103">
            <v>6.7274303906381006</v>
          </cell>
          <cell r="E103">
            <v>-10.978102834023328</v>
          </cell>
          <cell r="F103">
            <v>-6.2818176167321766</v>
          </cell>
          <cell r="G103">
            <v>-7.2728892530646627</v>
          </cell>
          <cell r="H103">
            <v>13.330259698407332</v>
          </cell>
          <cell r="I103">
            <v>66.804164952677937</v>
          </cell>
          <cell r="O103">
            <v>4.8537958742902676</v>
          </cell>
          <cell r="P103">
            <v>5.9661460941813571</v>
          </cell>
          <cell r="Q103">
            <v>14.450714758821182</v>
          </cell>
          <cell r="R103">
            <v>9.2302192334209785</v>
          </cell>
          <cell r="S103">
            <v>5.6541278373871018</v>
          </cell>
          <cell r="T103">
            <v>8.9365605547514715</v>
          </cell>
          <cell r="U103">
            <v>5.3223682495297631</v>
          </cell>
          <cell r="V103">
            <v>9.9474829969502956</v>
          </cell>
          <cell r="W103">
            <v>7.4351426027477574</v>
          </cell>
          <cell r="X103">
            <v>7.4540708893243934</v>
          </cell>
          <cell r="Y103">
            <v>7.4685764102849994</v>
          </cell>
          <cell r="Z103">
            <v>7.48784562671303</v>
          </cell>
          <cell r="AA103">
            <v>7.507133514681863</v>
          </cell>
          <cell r="AB103">
            <v>7.5109405962717757</v>
          </cell>
          <cell r="AC103">
            <v>7.5147630237134777</v>
          </cell>
          <cell r="AD103">
            <v>7.5362693663404645</v>
          </cell>
          <cell r="AE103">
            <v>7.5400701044786134</v>
          </cell>
          <cell r="AF103">
            <v>7.543884397623879</v>
          </cell>
          <cell r="AG103">
            <v>7.5477121560705962</v>
          </cell>
          <cell r="AH103">
            <v>7.5515532874488533</v>
          </cell>
          <cell r="AI103">
            <v>7.5554076967162986</v>
          </cell>
          <cell r="AJ103">
            <v>7.5592752861507684</v>
          </cell>
        </row>
        <row r="104">
          <cell r="D104">
            <v>11.924203574380655</v>
          </cell>
          <cell r="E104">
            <v>-7.5302795913398937</v>
          </cell>
          <cell r="F104">
            <v>-3.5615177160542175</v>
          </cell>
          <cell r="G104">
            <v>-1.9972013399533513</v>
          </cell>
          <cell r="H104">
            <v>1.1034935335230229</v>
          </cell>
          <cell r="I104">
            <v>13.896361960382276</v>
          </cell>
          <cell r="O104">
            <v>-2.3944542436024601</v>
          </cell>
          <cell r="P104">
            <v>4.1429798779548888</v>
          </cell>
          <cell r="Q104">
            <v>9.9622925369189126</v>
          </cell>
          <cell r="R104">
            <v>-4.0737715245930302</v>
          </cell>
          <cell r="S104">
            <v>-1.9909682492750072</v>
          </cell>
          <cell r="T104">
            <v>5.6139634289224166E-2</v>
          </cell>
          <cell r="U104">
            <v>0.7885132144586714</v>
          </cell>
          <cell r="V104">
            <v>0.77622220866597735</v>
          </cell>
          <cell r="W104">
            <v>0.78119970512603187</v>
          </cell>
          <cell r="X104">
            <v>0.78476489682207784</v>
          </cell>
          <cell r="Y104">
            <v>0.78820684665756857</v>
          </cell>
          <cell r="Z104">
            <v>0.79153244529319511</v>
          </cell>
          <cell r="AA104">
            <v>0.79474394080055988</v>
          </cell>
          <cell r="AB104">
            <v>0.79784580011491513</v>
          </cell>
          <cell r="AC104">
            <v>0.80085047271057019</v>
          </cell>
          <cell r="AD104">
            <v>0.81974918289644316</v>
          </cell>
          <cell r="AE104">
            <v>0.82266353438381157</v>
          </cell>
          <cell r="AF104">
            <v>0.82549069454523905</v>
          </cell>
          <cell r="AG104">
            <v>0.82823471694712103</v>
          </cell>
          <cell r="AH104">
            <v>0.83089948208372677</v>
          </cell>
          <cell r="AI104">
            <v>0.83348870094972227</v>
          </cell>
          <cell r="AJ104">
            <v>0.83600591903331378</v>
          </cell>
        </row>
        <row r="105">
          <cell r="D105">
            <v>-4.6431183048704749</v>
          </cell>
          <cell r="E105">
            <v>-3.7285970233781884</v>
          </cell>
          <cell r="F105">
            <v>-2.820761833091201</v>
          </cell>
          <cell r="G105">
            <v>-5.3832012812324752</v>
          </cell>
          <cell r="H105">
            <v>12.093317191685649</v>
          </cell>
          <cell r="I105">
            <v>46.45258380658295</v>
          </cell>
          <cell r="O105">
            <v>7.4260638181183003</v>
          </cell>
          <cell r="P105">
            <v>1.7506376506251753</v>
          </cell>
          <cell r="Q105">
            <v>4.0817830534001676</v>
          </cell>
          <cell r="R105">
            <v>13.868981371893296</v>
          </cell>
          <cell r="S105">
            <v>7.8003995653243008</v>
          </cell>
          <cell r="T105">
            <v>8.8754382818692292</v>
          </cell>
          <cell r="U105">
            <v>4.498384677452183</v>
          </cell>
          <cell r="V105">
            <v>9.1006197566072977</v>
          </cell>
          <cell r="W105">
            <v>6.6023652398367938</v>
          </cell>
          <cell r="X105">
            <v>6.6173751551933169</v>
          </cell>
          <cell r="Y105">
            <v>6.6281262189644474</v>
          </cell>
          <cell r="Z105">
            <v>6.6437259350674127</v>
          </cell>
          <cell r="AA105">
            <v>6.6594638881404933</v>
          </cell>
          <cell r="AB105">
            <v>6.6599585962076269</v>
          </cell>
          <cell r="AC105">
            <v>6.660571333989429</v>
          </cell>
          <cell r="AD105">
            <v>6.661909236909147</v>
          </cell>
          <cell r="AE105">
            <v>6.6625958238089478</v>
          </cell>
          <cell r="AF105">
            <v>6.6633880547452673</v>
          </cell>
          <cell r="AG105">
            <v>6.6642815457266469</v>
          </cell>
          <cell r="AH105">
            <v>6.6652720940561405</v>
          </cell>
          <cell r="AI105">
            <v>6.6663556744548824</v>
          </cell>
          <cell r="AJ105">
            <v>6.6675284347497144</v>
          </cell>
        </row>
        <row r="108">
          <cell r="B108" t="str">
            <v xml:space="preserve"> </v>
          </cell>
          <cell r="O108">
            <v>-1</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row>
        <row r="109">
          <cell r="B109" t="str">
            <v xml:space="preserve"> </v>
          </cell>
          <cell r="O109">
            <v>0.8</v>
          </cell>
          <cell r="P109">
            <v>0.8</v>
          </cell>
          <cell r="Q109">
            <v>0.8</v>
          </cell>
          <cell r="R109">
            <v>1</v>
          </cell>
          <cell r="S109">
            <v>0.9</v>
          </cell>
          <cell r="T109">
            <v>0.9</v>
          </cell>
          <cell r="U109">
            <v>0.9</v>
          </cell>
          <cell r="V109">
            <v>0.9</v>
          </cell>
          <cell r="W109">
            <v>0.9</v>
          </cell>
          <cell r="X109">
            <v>0.9</v>
          </cell>
          <cell r="Y109">
            <v>0.9</v>
          </cell>
          <cell r="Z109">
            <v>0.9</v>
          </cell>
          <cell r="AA109">
            <v>0.9</v>
          </cell>
          <cell r="AB109">
            <v>0.9</v>
          </cell>
          <cell r="AC109">
            <v>0.9</v>
          </cell>
          <cell r="AD109">
            <v>0.9</v>
          </cell>
          <cell r="AE109">
            <v>0.9</v>
          </cell>
          <cell r="AF109">
            <v>0.9</v>
          </cell>
          <cell r="AG109">
            <v>0.9</v>
          </cell>
          <cell r="AH109">
            <v>0.9</v>
          </cell>
          <cell r="AI109">
            <v>0.9</v>
          </cell>
          <cell r="AJ109">
            <v>0.9</v>
          </cell>
          <cell r="IA109">
            <v>1.3</v>
          </cell>
        </row>
        <row r="110">
          <cell r="B110" t="str">
            <v xml:space="preserve"> </v>
          </cell>
          <cell r="O110">
            <v>0.6</v>
          </cell>
          <cell r="P110">
            <v>0.7</v>
          </cell>
          <cell r="Q110">
            <v>0.7</v>
          </cell>
          <cell r="R110">
            <v>0.7</v>
          </cell>
          <cell r="S110">
            <v>0.7</v>
          </cell>
          <cell r="T110">
            <v>0.7</v>
          </cell>
          <cell r="U110">
            <v>0.7</v>
          </cell>
          <cell r="V110">
            <v>0.7</v>
          </cell>
          <cell r="W110">
            <v>0.7</v>
          </cell>
          <cell r="X110">
            <v>0.7</v>
          </cell>
          <cell r="Y110">
            <v>0.7</v>
          </cell>
          <cell r="Z110">
            <v>0.7</v>
          </cell>
          <cell r="AA110">
            <v>0.7</v>
          </cell>
          <cell r="AB110">
            <v>0.7</v>
          </cell>
          <cell r="AC110">
            <v>0.7</v>
          </cell>
          <cell r="AD110">
            <v>0.7</v>
          </cell>
          <cell r="AE110">
            <v>0.7</v>
          </cell>
          <cell r="AF110">
            <v>0.7</v>
          </cell>
          <cell r="AG110">
            <v>0.7</v>
          </cell>
          <cell r="AH110">
            <v>0.7</v>
          </cell>
          <cell r="AI110">
            <v>0.7</v>
          </cell>
          <cell r="AJ110">
            <v>0.7</v>
          </cell>
        </row>
        <row r="111">
          <cell r="H111">
            <v>0</v>
          </cell>
        </row>
        <row r="114">
          <cell r="C114" t="str">
            <v xml:space="preserve"> </v>
          </cell>
          <cell r="D114">
            <v>12.276151583527861</v>
          </cell>
          <cell r="E114">
            <v>-7.9542783179303926</v>
          </cell>
          <cell r="F114">
            <v>-3.9318096182127054</v>
          </cell>
          <cell r="G114">
            <v>-1.9134841954554056</v>
          </cell>
          <cell r="H114">
            <v>1.171109700848856</v>
          </cell>
          <cell r="I114">
            <v>14.860378678485979</v>
          </cell>
          <cell r="O114">
            <v>-2.4401808828580274</v>
          </cell>
          <cell r="P114">
            <v>4.2407539575390061</v>
          </cell>
          <cell r="Q114">
            <v>10.078586241007566</v>
          </cell>
          <cell r="R114">
            <v>-4.0341324025593632</v>
          </cell>
        </row>
        <row r="117">
          <cell r="E117">
            <v>-14.708240718519505</v>
          </cell>
          <cell r="F117">
            <v>-0.79889903632195391</v>
          </cell>
          <cell r="G117">
            <v>-8.1986890999113164</v>
          </cell>
          <cell r="H117">
            <v>-4.2019358518619709</v>
          </cell>
          <cell r="I117">
            <v>11.074554188326658</v>
          </cell>
          <cell r="O117">
            <v>-12.5</v>
          </cell>
          <cell r="P117">
            <v>2.7411504196331435</v>
          </cell>
          <cell r="Q117">
            <v>24.278633725807921</v>
          </cell>
          <cell r="R117">
            <v>-19.354838709677423</v>
          </cell>
        </row>
        <row r="118">
          <cell r="E118">
            <v>-3.2</v>
          </cell>
          <cell r="F118">
            <v>7.9</v>
          </cell>
          <cell r="G118">
            <v>7.6</v>
          </cell>
          <cell r="H118">
            <v>-14.7</v>
          </cell>
          <cell r="I118">
            <v>8.5500000000000007</v>
          </cell>
          <cell r="O118">
            <v>-3.134716723136699</v>
          </cell>
          <cell r="P118">
            <v>6.0669741562884418</v>
          </cell>
          <cell r="Q118">
            <v>0</v>
          </cell>
          <cell r="R118">
            <v>10.119739346719166</v>
          </cell>
        </row>
        <row r="119">
          <cell r="D119">
            <v>100</v>
          </cell>
          <cell r="E119">
            <v>85.291759281480495</v>
          </cell>
          <cell r="F119">
            <v>84.610364238518713</v>
          </cell>
          <cell r="G119">
            <v>77.67342352830002</v>
          </cell>
          <cell r="H119">
            <v>74.409636097695795</v>
          </cell>
          <cell r="I119">
            <v>82.650171568671794</v>
          </cell>
          <cell r="O119">
            <v>82.635700898856228</v>
          </cell>
          <cell r="P119">
            <v>84.900869760812014</v>
          </cell>
          <cell r="Q119">
            <v>105.51364096006478</v>
          </cell>
          <cell r="R119">
            <v>85.091645935536107</v>
          </cell>
        </row>
        <row r="120">
          <cell r="E120">
            <v>0.19672290367277759</v>
          </cell>
          <cell r="F120">
            <v>0.22077310122583327</v>
          </cell>
          <cell r="G120">
            <v>0.25338132910868316</v>
          </cell>
          <cell r="H120">
            <v>0.16284662482057757</v>
          </cell>
          <cell r="I120">
            <v>0.1294351072122433</v>
          </cell>
          <cell r="O120">
            <v>0.20820816194481673</v>
          </cell>
          <cell r="P120">
            <v>0.22224151875996281</v>
          </cell>
          <cell r="Q120">
            <v>0.23364709037964831</v>
          </cell>
          <cell r="R120">
            <v>0.19595436210283124</v>
          </cell>
        </row>
      </sheetData>
      <sheetData sheetId="11" refreshError="1">
        <row r="1">
          <cell r="A1" t="str">
            <v>Services (in millions of USD)</v>
          </cell>
        </row>
        <row r="9">
          <cell r="D9">
            <v>463.42970197450001</v>
          </cell>
          <cell r="E9">
            <v>405.4456508374999</v>
          </cell>
          <cell r="F9">
            <v>464.51620810533331</v>
          </cell>
          <cell r="G9">
            <v>427.49174659649981</v>
          </cell>
          <cell r="H9">
            <v>396.69400833333322</v>
          </cell>
          <cell r="I9">
            <v>-171.37368908333337</v>
          </cell>
          <cell r="M9">
            <v>125.33683543718666</v>
          </cell>
          <cell r="N9">
            <v>115.22068590114463</v>
          </cell>
          <cell r="O9">
            <v>113.93047126389956</v>
          </cell>
          <cell r="P9">
            <v>127.92565694702799</v>
          </cell>
          <cell r="Q9">
            <v>97.245045827615556</v>
          </cell>
          <cell r="R9">
            <v>37.27430395670109</v>
          </cell>
          <cell r="S9">
            <v>-19.444855546827569</v>
          </cell>
          <cell r="T9">
            <v>-67.933936274356142</v>
          </cell>
          <cell r="U9">
            <v>-85.965115099494355</v>
          </cell>
          <cell r="V9">
            <v>-120.85702105151842</v>
          </cell>
          <cell r="W9">
            <v>-277.89270837700633</v>
          </cell>
          <cell r="X9">
            <v>-322.61506499783633</v>
          </cell>
          <cell r="Y9">
            <v>-372.24557370307718</v>
          </cell>
          <cell r="Z9">
            <v>-424.06667611758286</v>
          </cell>
          <cell r="AA9">
            <v>-482.63423706812364</v>
          </cell>
          <cell r="AB9">
            <v>-541.34225196466161</v>
          </cell>
          <cell r="AC9">
            <v>-606.06631780206953</v>
          </cell>
          <cell r="AD9">
            <v>-636.4642933576082</v>
          </cell>
          <cell r="AE9">
            <v>-671.57530256479356</v>
          </cell>
          <cell r="AF9">
            <v>-710.24458568442458</v>
          </cell>
          <cell r="AG9">
            <v>-752.48500073295543</v>
          </cell>
          <cell r="AH9">
            <v>-797.57606959104783</v>
          </cell>
          <cell r="AI9">
            <v>-845.66552653487815</v>
          </cell>
          <cell r="AJ9">
            <v>-1056.2019399535652</v>
          </cell>
        </row>
        <row r="10">
          <cell r="D10">
            <v>829.9615005833333</v>
          </cell>
          <cell r="E10">
            <v>777.75263349999989</v>
          </cell>
          <cell r="F10">
            <v>819.50845016666665</v>
          </cell>
          <cell r="G10">
            <v>787.66608907499983</v>
          </cell>
          <cell r="H10">
            <v>759.01741666666658</v>
          </cell>
          <cell r="I10">
            <v>148.78171008333328</v>
          </cell>
          <cell r="O10">
            <v>261.43047126389956</v>
          </cell>
          <cell r="P10">
            <v>250.88600827411835</v>
          </cell>
          <cell r="Q10">
            <v>223.02821595938047</v>
          </cell>
          <cell r="R10">
            <v>170.48485103971598</v>
          </cell>
          <cell r="S10">
            <v>117.28810529548821</v>
          </cell>
          <cell r="T10">
            <v>64.135165822251224</v>
          </cell>
          <cell r="U10">
            <v>38.346058295745991</v>
          </cell>
          <cell r="V10">
            <v>-2.5147463227924618</v>
          </cell>
          <cell r="W10">
            <v>-164.28268628850503</v>
          </cell>
          <cell r="X10">
            <v>-205.67449306711342</v>
          </cell>
          <cell r="Y10">
            <v>-252.19047261031096</v>
          </cell>
          <cell r="Z10">
            <v>-304.16936957616997</v>
          </cell>
          <cell r="AA10">
            <v>-362.40042854056628</v>
          </cell>
          <cell r="AB10">
            <v>-421.65863150695725</v>
          </cell>
          <cell r="AC10">
            <v>-487.96419049364602</v>
          </cell>
          <cell r="AD10">
            <v>-518.9699251078606</v>
          </cell>
          <cell r="AE10">
            <v>-552.50402909812578</v>
          </cell>
          <cell r="AF10">
            <v>-588.77981128761564</v>
          </cell>
          <cell r="AG10">
            <v>-628.02859135784888</v>
          </cell>
          <cell r="AH10">
            <v>-670.50122327917325</v>
          </cell>
          <cell r="AI10">
            <v>-716.46974820242531</v>
          </cell>
          <cell r="AJ10">
            <v>-766.22918787433264</v>
          </cell>
        </row>
        <row r="11">
          <cell r="D11">
            <v>1210.1172672499999</v>
          </cell>
          <cell r="E11">
            <v>1141.4430149166665</v>
          </cell>
          <cell r="F11">
            <v>1146.1567994166667</v>
          </cell>
          <cell r="G11">
            <v>1134.8033798249999</v>
          </cell>
          <cell r="H11">
            <v>1163.7312316666666</v>
          </cell>
          <cell r="I11">
            <v>1024.4861680000001</v>
          </cell>
          <cell r="O11">
            <v>1086.8999999999999</v>
          </cell>
          <cell r="P11">
            <v>1109.9596903369832</v>
          </cell>
          <cell r="Q11">
            <v>1189.5307364198677</v>
          </cell>
          <cell r="R11">
            <v>1230.573178689903</v>
          </cell>
          <cell r="S11">
            <v>1287.2204770797396</v>
          </cell>
          <cell r="T11">
            <v>1371.8715348467938</v>
          </cell>
          <cell r="U11">
            <v>1477.1093046764852</v>
          </cell>
          <cell r="V11">
            <v>1598.2390074651721</v>
          </cell>
          <cell r="W11">
            <v>1709.6420041163208</v>
          </cell>
          <cell r="X11">
            <v>1817.7749797504684</v>
          </cell>
          <cell r="Y11">
            <v>1933.6582986546287</v>
          </cell>
          <cell r="Z11">
            <v>2058.3184947772393</v>
          </cell>
          <cell r="AA11">
            <v>2192.4677861504838</v>
          </cell>
          <cell r="AB11">
            <v>2342.6805645905988</v>
          </cell>
          <cell r="AC11">
            <v>2504.9769587193487</v>
          </cell>
          <cell r="AD11">
            <v>2680.3892862076605</v>
          </cell>
          <cell r="AE11">
            <v>2870.0402055883956</v>
          </cell>
          <cell r="AF11">
            <v>3075.1507180699145</v>
          </cell>
          <cell r="AG11">
            <v>3297.0488834952812</v>
          </cell>
          <cell r="AH11">
            <v>3537.1793145393503</v>
          </cell>
          <cell r="AI11">
            <v>3797.1135190138962</v>
          </cell>
          <cell r="AJ11">
            <v>4078.5611664517587</v>
          </cell>
        </row>
        <row r="12">
          <cell r="D12">
            <v>-380.15576666666664</v>
          </cell>
          <cell r="E12">
            <v>-363.6903814166667</v>
          </cell>
          <cell r="F12">
            <v>-326.64834925000002</v>
          </cell>
          <cell r="G12">
            <v>-347.13729075000003</v>
          </cell>
          <cell r="H12">
            <v>-404.71381500000001</v>
          </cell>
          <cell r="I12">
            <v>-875.70445791666657</v>
          </cell>
          <cell r="O12">
            <v>-825.4695287361003</v>
          </cell>
          <cell r="P12">
            <v>-859.0736820628648</v>
          </cell>
          <cell r="Q12">
            <v>-966.50252046048718</v>
          </cell>
          <cell r="R12">
            <v>-1060.088327650187</v>
          </cell>
          <cell r="S12">
            <v>-1169.9323717842512</v>
          </cell>
          <cell r="T12">
            <v>-1307.7363690245427</v>
          </cell>
          <cell r="U12">
            <v>-1438.7632463807392</v>
          </cell>
          <cell r="V12">
            <v>-1600.7537537879648</v>
          </cell>
          <cell r="W12">
            <v>-1873.9246904048257</v>
          </cell>
          <cell r="X12">
            <v>-2023.4494728175819</v>
          </cell>
          <cell r="Y12">
            <v>-2185.8487712649394</v>
          </cell>
          <cell r="Z12">
            <v>-2362.4878643534093</v>
          </cell>
          <cell r="AA12">
            <v>-2554.8682146910505</v>
          </cell>
          <cell r="AB12">
            <v>-2764.3391960975559</v>
          </cell>
          <cell r="AC12">
            <v>-2992.9411492129948</v>
          </cell>
          <cell r="AD12">
            <v>-3199.359211315521</v>
          </cell>
          <cell r="AE12">
            <v>-3422.5442346865211</v>
          </cell>
          <cell r="AF12">
            <v>-3663.9305293575298</v>
          </cell>
          <cell r="AG12">
            <v>-3925.0774748531298</v>
          </cell>
          <cell r="AH12">
            <v>-4207.6805378185236</v>
          </cell>
          <cell r="AI12">
            <v>-4513.5832672163215</v>
          </cell>
          <cell r="AJ12">
            <v>-4844.7903543260909</v>
          </cell>
        </row>
        <row r="14">
          <cell r="D14">
            <v>50.506408999999998</v>
          </cell>
          <cell r="E14">
            <v>48.455549499999996</v>
          </cell>
          <cell r="F14">
            <v>54.934392500000001</v>
          </cell>
          <cell r="G14">
            <v>60.325560000000003</v>
          </cell>
          <cell r="H14">
            <v>54.420116666666665</v>
          </cell>
          <cell r="I14">
            <v>115.01317183333333</v>
          </cell>
          <cell r="O14">
            <v>140.94457085477265</v>
          </cell>
          <cell r="P14">
            <v>154.08098544785946</v>
          </cell>
          <cell r="Q14">
            <v>167.97543207183656</v>
          </cell>
          <cell r="R14">
            <v>176.65299545934818</v>
          </cell>
          <cell r="S14">
            <v>188.34281865340554</v>
          </cell>
          <cell r="T14">
            <v>208.08898202223511</v>
          </cell>
          <cell r="U14">
            <v>233.89518402995634</v>
          </cell>
          <cell r="V14">
            <v>263.52827039391997</v>
          </cell>
          <cell r="W14">
            <v>289.54454660433061</v>
          </cell>
          <cell r="X14">
            <v>313.95406805277901</v>
          </cell>
          <cell r="Y14">
            <v>340.38550784206103</v>
          </cell>
          <cell r="Z14">
            <v>369.15838834362847</v>
          </cell>
          <cell r="AA14">
            <v>400.48709943157206</v>
          </cell>
          <cell r="AB14">
            <v>434.60609527677394</v>
          </cell>
          <cell r="AC14">
            <v>471.77180132619731</v>
          </cell>
          <cell r="AD14">
            <v>512.26470465675357</v>
          </cell>
          <cell r="AE14">
            <v>556.39164550146859</v>
          </cell>
          <cell r="AF14">
            <v>604.48832948630138</v>
          </cell>
          <cell r="AG14">
            <v>656.92208202797087</v>
          </cell>
          <cell r="AH14">
            <v>714.09486844343428</v>
          </cell>
          <cell r="AI14">
            <v>776.44660562893125</v>
          </cell>
          <cell r="AJ14" t="e">
            <v>#REF!</v>
          </cell>
        </row>
        <row r="15">
          <cell r="B15">
            <v>5</v>
          </cell>
          <cell r="D15">
            <v>50.506408999999998</v>
          </cell>
          <cell r="E15">
            <v>48.455549499999996</v>
          </cell>
          <cell r="F15">
            <v>54.934392500000001</v>
          </cell>
          <cell r="G15">
            <v>60.325560000000003</v>
          </cell>
          <cell r="H15">
            <v>54.420116666666665</v>
          </cell>
          <cell r="I15">
            <v>115.01317183333333</v>
          </cell>
          <cell r="O15">
            <v>140.94457085477265</v>
          </cell>
          <cell r="P15">
            <v>154.08098544785946</v>
          </cell>
          <cell r="Q15">
            <v>167.97543207183656</v>
          </cell>
          <cell r="R15">
            <v>176.65299545934818</v>
          </cell>
          <cell r="S15">
            <v>188.34281865340554</v>
          </cell>
          <cell r="T15">
            <v>208.08898202223511</v>
          </cell>
          <cell r="U15">
            <v>233.89518402995634</v>
          </cell>
          <cell r="V15">
            <v>263.52827039391997</v>
          </cell>
          <cell r="W15">
            <v>289.54454660433061</v>
          </cell>
          <cell r="X15">
            <v>313.95406805277901</v>
          </cell>
          <cell r="Y15">
            <v>340.38550784206103</v>
          </cell>
          <cell r="Z15">
            <v>369.15838834362847</v>
          </cell>
          <cell r="AA15">
            <v>400.48709943157206</v>
          </cell>
          <cell r="AB15">
            <v>434.60609527677394</v>
          </cell>
          <cell r="AC15">
            <v>471.77180132619731</v>
          </cell>
          <cell r="AD15">
            <v>512.26470465675357</v>
          </cell>
          <cell r="AE15">
            <v>556.39164550146859</v>
          </cell>
          <cell r="AF15">
            <v>604.48832948630138</v>
          </cell>
          <cell r="AG15">
            <v>656.92208202797087</v>
          </cell>
          <cell r="AH15">
            <v>714.09486844343428</v>
          </cell>
          <cell r="AI15">
            <v>776.44660562893125</v>
          </cell>
          <cell r="AJ15" t="e">
            <v>#REF!</v>
          </cell>
        </row>
        <row r="16">
          <cell r="B16">
            <v>3</v>
          </cell>
          <cell r="D16">
            <v>0</v>
          </cell>
          <cell r="E16">
            <v>0</v>
          </cell>
          <cell r="F16">
            <v>0</v>
          </cell>
          <cell r="G16">
            <v>0</v>
          </cell>
          <cell r="H16">
            <v>0</v>
          </cell>
          <cell r="I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row>
        <row r="18">
          <cell r="D18">
            <v>173.92126324999998</v>
          </cell>
          <cell r="E18">
            <v>202.44564324999999</v>
          </cell>
          <cell r="F18">
            <v>190.1575125</v>
          </cell>
          <cell r="G18">
            <v>158.91316499999996</v>
          </cell>
          <cell r="H18">
            <v>139.6305625</v>
          </cell>
          <cell r="I18">
            <v>139.8972881666667</v>
          </cell>
          <cell r="O18">
            <v>184.37328000000008</v>
          </cell>
          <cell r="P18">
            <v>188.06074560000005</v>
          </cell>
          <cell r="Q18">
            <v>191.82196051200003</v>
          </cell>
          <cell r="R18">
            <v>195.65839972224006</v>
          </cell>
          <cell r="S18">
            <v>199.57156771668488</v>
          </cell>
          <cell r="T18">
            <v>203.5629990710186</v>
          </cell>
          <cell r="U18">
            <v>207.63425905243898</v>
          </cell>
          <cell r="V18">
            <v>211.78694423348773</v>
          </cell>
          <cell r="W18">
            <v>216.02268311815749</v>
          </cell>
          <cell r="X18">
            <v>220.34313678052064</v>
          </cell>
          <cell r="Y18">
            <v>224.74999951613106</v>
          </cell>
          <cell r="Z18">
            <v>229.24499950645369</v>
          </cell>
          <cell r="AA18">
            <v>233.82989949658278</v>
          </cell>
          <cell r="AB18">
            <v>238.50649748651446</v>
          </cell>
          <cell r="AC18">
            <v>243.27662743624475</v>
          </cell>
          <cell r="AD18">
            <v>248.14215998496968</v>
          </cell>
          <cell r="AE18">
            <v>253.1050031846691</v>
          </cell>
          <cell r="AF18">
            <v>258.16710324836254</v>
          </cell>
          <cell r="AG18">
            <v>263.33044531332973</v>
          </cell>
          <cell r="AH18">
            <v>268.59705421959632</v>
          </cell>
          <cell r="AI18">
            <v>273.96899530398827</v>
          </cell>
          <cell r="AJ18">
            <v>279.44837521006804</v>
          </cell>
        </row>
        <row r="19">
          <cell r="B19">
            <v>3</v>
          </cell>
          <cell r="D19">
            <v>279.82179824999997</v>
          </cell>
          <cell r="E19">
            <v>320.57315516666665</v>
          </cell>
          <cell r="F19">
            <v>294.53285825</v>
          </cell>
          <cell r="G19">
            <v>275.79393749999997</v>
          </cell>
          <cell r="H19">
            <v>239.30530249999998</v>
          </cell>
          <cell r="I19">
            <v>247.02037433333336</v>
          </cell>
          <cell r="O19">
            <v>310.61394000000007</v>
          </cell>
          <cell r="P19">
            <v>316.82621880000005</v>
          </cell>
          <cell r="Q19">
            <v>323.16274317600005</v>
          </cell>
          <cell r="R19">
            <v>329.62599803952008</v>
          </cell>
          <cell r="S19">
            <v>336.2185180003105</v>
          </cell>
          <cell r="T19">
            <v>342.94288836031672</v>
          </cell>
          <cell r="U19">
            <v>349.80174612752307</v>
          </cell>
          <cell r="V19">
            <v>356.79778105007352</v>
          </cell>
          <cell r="W19">
            <v>363.933736671075</v>
          </cell>
          <cell r="X19">
            <v>371.21241140449649</v>
          </cell>
          <cell r="Y19">
            <v>378.63665963258643</v>
          </cell>
          <cell r="Z19">
            <v>386.20939282523818</v>
          </cell>
          <cell r="AA19">
            <v>393.93358068174297</v>
          </cell>
          <cell r="AB19">
            <v>401.81225229537785</v>
          </cell>
          <cell r="AC19">
            <v>409.84849734128539</v>
          </cell>
          <cell r="AD19">
            <v>418.04546728811113</v>
          </cell>
          <cell r="AE19">
            <v>426.40637663387338</v>
          </cell>
          <cell r="AF19">
            <v>434.93450416655088</v>
          </cell>
          <cell r="AG19">
            <v>443.63319424988191</v>
          </cell>
          <cell r="AH19">
            <v>452.50585813487953</v>
          </cell>
          <cell r="AI19">
            <v>461.55597529757711</v>
          </cell>
          <cell r="AJ19">
            <v>470.78709480352865</v>
          </cell>
        </row>
        <row r="20">
          <cell r="B20">
            <v>3</v>
          </cell>
          <cell r="D20">
            <v>-105.900535</v>
          </cell>
          <cell r="E20">
            <v>-118.12751191666666</v>
          </cell>
          <cell r="F20">
            <v>-104.37534574999999</v>
          </cell>
          <cell r="G20">
            <v>-116.88077250000001</v>
          </cell>
          <cell r="H20">
            <v>-99.67474</v>
          </cell>
          <cell r="I20">
            <v>-107.12308616666667</v>
          </cell>
          <cell r="O20">
            <v>-126.24066000000001</v>
          </cell>
          <cell r="P20">
            <v>-128.7654732</v>
          </cell>
          <cell r="Q20">
            <v>-131.34078266400002</v>
          </cell>
          <cell r="R20">
            <v>-133.96759831728002</v>
          </cell>
          <cell r="S20">
            <v>-136.64695028362561</v>
          </cell>
          <cell r="T20">
            <v>-139.37988928929812</v>
          </cell>
          <cell r="U20">
            <v>-142.1674870750841</v>
          </cell>
          <cell r="V20">
            <v>-145.01083681658579</v>
          </cell>
          <cell r="W20">
            <v>-147.91105355291751</v>
          </cell>
          <cell r="X20">
            <v>-150.86927462397585</v>
          </cell>
          <cell r="Y20">
            <v>-153.88666011645537</v>
          </cell>
          <cell r="Z20">
            <v>-156.96439331878449</v>
          </cell>
          <cell r="AA20">
            <v>-160.10368118516018</v>
          </cell>
          <cell r="AB20">
            <v>-163.30575480886338</v>
          </cell>
          <cell r="AC20">
            <v>-166.57186990504064</v>
          </cell>
          <cell r="AD20">
            <v>-169.90330730314145</v>
          </cell>
          <cell r="AE20">
            <v>-173.30137344920428</v>
          </cell>
          <cell r="AF20">
            <v>-176.76740091818837</v>
          </cell>
          <cell r="AG20">
            <v>-180.30274893655215</v>
          </cell>
          <cell r="AH20">
            <v>-183.90880391528319</v>
          </cell>
          <cell r="AI20">
            <v>-187.58697999358884</v>
          </cell>
          <cell r="AJ20">
            <v>-191.33871959346061</v>
          </cell>
        </row>
        <row r="22">
          <cell r="I22">
            <v>-148.10000000000002</v>
          </cell>
          <cell r="O22">
            <v>55.099999999999966</v>
          </cell>
          <cell r="P22">
            <v>78.204941571243921</v>
          </cell>
          <cell r="Q22">
            <v>86.58794863894633</v>
          </cell>
          <cell r="R22">
            <v>76.020727755427913</v>
          </cell>
          <cell r="S22">
            <v>79.537592667816398</v>
          </cell>
          <cell r="T22">
            <v>94.153970338456134</v>
          </cell>
          <cell r="U22">
            <v>138.84370018221205</v>
          </cell>
          <cell r="V22">
            <v>168.02053090964671</v>
          </cell>
          <cell r="W22">
            <v>194.17323162154389</v>
          </cell>
          <cell r="X22">
            <v>211.21271718428193</v>
          </cell>
          <cell r="Y22">
            <v>229.41746380522954</v>
          </cell>
          <cell r="Z22">
            <v>249.26832985492513</v>
          </cell>
          <cell r="AA22">
            <v>270.92231085465858</v>
          </cell>
          <cell r="AB22">
            <v>294.67300466293204</v>
          </cell>
          <cell r="AC22">
            <v>320.73111289228643</v>
          </cell>
          <cell r="AD22">
            <v>349.16373910549896</v>
          </cell>
          <cell r="AE22">
            <v>380.3734898800858</v>
          </cell>
          <cell r="AF22">
            <v>414.64109312837195</v>
          </cell>
          <cell r="AG22">
            <v>452.27556889266953</v>
          </cell>
          <cell r="AH22">
            <v>493.61704585229336</v>
          </cell>
          <cell r="AI22">
            <v>539.03985481848167</v>
          </cell>
          <cell r="AJ22">
            <v>588.9559261890854</v>
          </cell>
        </row>
        <row r="23">
          <cell r="I23">
            <v>282.89999999999998</v>
          </cell>
          <cell r="O23">
            <v>427.9</v>
          </cell>
          <cell r="P23">
            <v>458.80869033698309</v>
          </cell>
          <cell r="Q23">
            <v>536.50696641986769</v>
          </cell>
          <cell r="R23">
            <v>552.43337478990316</v>
          </cell>
          <cell r="S23">
            <v>582.75633080673958</v>
          </cell>
          <cell r="T23">
            <v>639.8087326620838</v>
          </cell>
          <cell r="U23">
            <v>712.68628092022755</v>
          </cell>
          <cell r="V23">
            <v>795.93684980613068</v>
          </cell>
          <cell r="W23">
            <v>866.92841392730782</v>
          </cell>
          <cell r="X23">
            <v>931.92601129357377</v>
          </cell>
          <cell r="Y23">
            <v>1001.7432753320843</v>
          </cell>
          <cell r="Z23">
            <v>1077.1837245212712</v>
          </cell>
          <cell r="AA23">
            <v>1158.7189800264025</v>
          </cell>
          <cell r="AB23">
            <v>1246.8612070763586</v>
          </cell>
          <cell r="AC23">
            <v>1342.1666593940556</v>
          </cell>
          <cell r="AD23">
            <v>1445.2395373680542</v>
          </cell>
          <cell r="AE23">
            <v>1556.7361880106901</v>
          </cell>
          <cell r="AF23">
            <v>1677.3696772753526</v>
          </cell>
          <cell r="AG23">
            <v>1807.9147680622077</v>
          </cell>
          <cell r="AH23">
            <v>1949.2133402485342</v>
          </cell>
          <cell r="AI23">
            <v>2102.180292359868</v>
          </cell>
          <cell r="AJ23">
            <v>2267.8099680762239</v>
          </cell>
        </row>
        <row r="24">
          <cell r="I24">
            <v>-431</v>
          </cell>
          <cell r="O24">
            <v>-372.8</v>
          </cell>
          <cell r="P24">
            <v>-380.60374876573917</v>
          </cell>
          <cell r="Q24">
            <v>-449.91901778092137</v>
          </cell>
          <cell r="R24">
            <v>-476.41264703447524</v>
          </cell>
          <cell r="S24">
            <v>-503.21873813892319</v>
          </cell>
          <cell r="T24">
            <v>-545.65476232362766</v>
          </cell>
          <cell r="U24">
            <v>-573.8425807380155</v>
          </cell>
          <cell r="V24">
            <v>-627.91631889648397</v>
          </cell>
          <cell r="W24">
            <v>-672.75518230576392</v>
          </cell>
          <cell r="X24">
            <v>-720.71329410929184</v>
          </cell>
          <cell r="Y24">
            <v>-772.32581152685475</v>
          </cell>
          <cell r="Z24">
            <v>-827.91539466634606</v>
          </cell>
          <cell r="AA24">
            <v>-887.79666917174393</v>
          </cell>
          <cell r="AB24">
            <v>-952.18820241342655</v>
          </cell>
          <cell r="AC24">
            <v>-1021.4355465017692</v>
          </cell>
          <cell r="AD24">
            <v>-1096.0757982625553</v>
          </cell>
          <cell r="AE24">
            <v>-1176.3626981306043</v>
          </cell>
          <cell r="AF24">
            <v>-1262.7285841469807</v>
          </cell>
          <cell r="AG24">
            <v>-1355.6391991695382</v>
          </cell>
          <cell r="AH24">
            <v>-1455.5962943962409</v>
          </cell>
          <cell r="AI24">
            <v>-1563.1404375413863</v>
          </cell>
          <cell r="AJ24">
            <v>-1678.8540418871385</v>
          </cell>
        </row>
        <row r="25">
          <cell r="O25">
            <v>-285.87715594165724</v>
          </cell>
          <cell r="P25">
            <v>-291.86136598144458</v>
          </cell>
          <cell r="Q25">
            <v>-345.01493886071273</v>
          </cell>
          <cell r="R25">
            <v>-365.33125694434653</v>
          </cell>
          <cell r="S25">
            <v>-385.88718260650461</v>
          </cell>
          <cell r="T25">
            <v>-418.4287327765548</v>
          </cell>
          <cell r="U25">
            <v>-440.04421925859623</v>
          </cell>
          <cell r="V25">
            <v>-481.51000916169932</v>
          </cell>
          <cell r="W25">
            <v>-515.89414743182112</v>
          </cell>
          <cell r="X25">
            <v>-552.67024347990207</v>
          </cell>
          <cell r="Y25">
            <v>-592.24867612561593</v>
          </cell>
          <cell r="Z25">
            <v>-634.87687335710757</v>
          </cell>
          <cell r="AA25">
            <v>-680.7961020313694</v>
          </cell>
          <cell r="AB25">
            <v>-730.17396788398446</v>
          </cell>
          <cell r="AC25">
            <v>-783.27545335739842</v>
          </cell>
          <cell r="AD25">
            <v>-840.51242463460551</v>
          </cell>
          <cell r="AE25">
            <v>-902.07945948881797</v>
          </cell>
          <cell r="AF25">
            <v>-968.30809110025314</v>
          </cell>
          <cell r="AG25">
            <v>-1039.5554687275035</v>
          </cell>
          <cell r="AH25">
            <v>-1116.2063541878015</v>
          </cell>
          <cell r="AI25">
            <v>-1198.6752752728783</v>
          </cell>
          <cell r="AJ25">
            <v>-1287.4088485403724</v>
          </cell>
        </row>
        <row r="27">
          <cell r="D27">
            <v>424.68829933333336</v>
          </cell>
          <cell r="E27">
            <v>406.94448775000001</v>
          </cell>
          <cell r="F27">
            <v>413.69823274999999</v>
          </cell>
          <cell r="G27">
            <v>373.20714907499996</v>
          </cell>
          <cell r="H27">
            <v>387.38530416666663</v>
          </cell>
          <cell r="I27">
            <v>341.09447266666666</v>
          </cell>
          <cell r="O27">
            <v>165.13047126389961</v>
          </cell>
          <cell r="P27">
            <v>145.13252195885337</v>
          </cell>
          <cell r="Q27">
            <v>125.34450957032044</v>
          </cell>
          <cell r="R27">
            <v>126.70304476277781</v>
          </cell>
          <cell r="S27">
            <v>122.74709339416262</v>
          </cell>
          <cell r="T27">
            <v>116.01456608768828</v>
          </cell>
          <cell r="U27">
            <v>112.43985613738451</v>
          </cell>
          <cell r="V27">
            <v>109.57755625873563</v>
          </cell>
          <cell r="W27">
            <v>67.294079593489641</v>
          </cell>
          <cell r="X27">
            <v>69.490542332025655</v>
          </cell>
          <cell r="Y27">
            <v>71.484616812641491</v>
          </cell>
          <cell r="Z27">
            <v>73.162222481398715</v>
          </cell>
          <cell r="AA27">
            <v>74.380739743870322</v>
          </cell>
          <cell r="AB27">
            <v>80.836944890129757</v>
          </cell>
          <cell r="AC27">
            <v>87.449211268412341</v>
          </cell>
          <cell r="AD27">
            <v>137.45707762154177</v>
          </cell>
          <cell r="AE27">
            <v>192.80840069323244</v>
          </cell>
          <cell r="AF27">
            <v>254.00094656309022</v>
          </cell>
          <cell r="AG27">
            <v>321.5776173573845</v>
          </cell>
          <cell r="AH27">
            <v>396.13052023523767</v>
          </cell>
          <cell r="AI27">
            <v>478.30540271841141</v>
          </cell>
          <cell r="AJ27">
            <v>568.80648733831072</v>
          </cell>
        </row>
        <row r="28">
          <cell r="B28">
            <v>3</v>
          </cell>
          <cell r="D28">
            <v>462.70387600000004</v>
          </cell>
          <cell r="E28">
            <v>430.89850233333334</v>
          </cell>
          <cell r="F28">
            <v>442.29228833333332</v>
          </cell>
          <cell r="G28">
            <v>421.09056232499995</v>
          </cell>
          <cell r="H28">
            <v>501.23791666666665</v>
          </cell>
          <cell r="I28">
            <v>485.99893058333333</v>
          </cell>
          <cell r="O28">
            <v>308.2</v>
          </cell>
          <cell r="P28">
            <v>292.78999999999996</v>
          </cell>
          <cell r="Q28">
            <v>286.93419999999998</v>
          </cell>
          <cell r="R28">
            <v>304.15025199999997</v>
          </cell>
          <cell r="S28">
            <v>322.39926711999999</v>
          </cell>
          <cell r="T28">
            <v>341.74322314720001</v>
          </cell>
          <cell r="U28">
            <v>365.66524876750401</v>
          </cell>
          <cell r="V28">
            <v>394.91846866890438</v>
          </cell>
          <cell r="W28">
            <v>426.51194616241673</v>
          </cell>
          <cell r="X28">
            <v>460.63290185541013</v>
          </cell>
          <cell r="Y28">
            <v>497.48353400384298</v>
          </cell>
          <cell r="Z28">
            <v>537.28221672415043</v>
          </cell>
          <cell r="AA28">
            <v>580.2647940620825</v>
          </cell>
          <cell r="AB28">
            <v>632.48862552767002</v>
          </cell>
          <cell r="AC28">
            <v>689.41260182516032</v>
          </cell>
          <cell r="AD28">
            <v>751.45973598942476</v>
          </cell>
          <cell r="AE28">
            <v>819.09111222847309</v>
          </cell>
          <cell r="AF28">
            <v>892.80931232903572</v>
          </cell>
          <cell r="AG28">
            <v>973.16215043864895</v>
          </cell>
          <cell r="AH28">
            <v>1060.7467439781274</v>
          </cell>
          <cell r="AI28">
            <v>1156.2139509361589</v>
          </cell>
          <cell r="AJ28">
            <v>1260.2732065204132</v>
          </cell>
        </row>
        <row r="29">
          <cell r="B29">
            <v>3</v>
          </cell>
          <cell r="D29">
            <v>-38.015576666666668</v>
          </cell>
          <cell r="E29">
            <v>-23.954014583333333</v>
          </cell>
          <cell r="F29">
            <v>-28.594055583333333</v>
          </cell>
          <cell r="G29">
            <v>-47.883413249999997</v>
          </cell>
          <cell r="H29">
            <v>-113.85261250000001</v>
          </cell>
          <cell r="I29">
            <v>-144.90445791666667</v>
          </cell>
          <cell r="O29">
            <v>-143.06952873610038</v>
          </cell>
          <cell r="P29">
            <v>-147.65747804114659</v>
          </cell>
          <cell r="Q29">
            <v>-161.58969042967954</v>
          </cell>
          <cell r="R29">
            <v>-177.44720723722216</v>
          </cell>
          <cell r="S29">
            <v>-199.65217372583737</v>
          </cell>
          <cell r="T29">
            <v>-225.72865705951173</v>
          </cell>
          <cell r="U29">
            <v>-253.2253926301195</v>
          </cell>
          <cell r="V29">
            <v>-285.34091241016876</v>
          </cell>
          <cell r="W29">
            <v>-359.21786656892709</v>
          </cell>
          <cell r="X29">
            <v>-391.14235952338447</v>
          </cell>
          <cell r="Y29">
            <v>-425.99891719120149</v>
          </cell>
          <cell r="Z29">
            <v>-464.11999424275172</v>
          </cell>
          <cell r="AA29">
            <v>-505.88405431821218</v>
          </cell>
          <cell r="AB29">
            <v>-551.65168063754027</v>
          </cell>
          <cell r="AC29">
            <v>-601.96339055674798</v>
          </cell>
          <cell r="AD29">
            <v>-614.00265836788299</v>
          </cell>
          <cell r="AE29">
            <v>-626.28271153524065</v>
          </cell>
          <cell r="AF29">
            <v>-638.8083657659455</v>
          </cell>
          <cell r="AG29">
            <v>-651.58453308126445</v>
          </cell>
          <cell r="AH29">
            <v>-664.6162237428897</v>
          </cell>
          <cell r="AI29">
            <v>-677.90854821774747</v>
          </cell>
          <cell r="AJ29">
            <v>-691.46671918210245</v>
          </cell>
        </row>
        <row r="30">
          <cell r="E30">
            <v>-6.8738074860359877</v>
          </cell>
          <cell r="F30">
            <v>2.6441925275446865</v>
          </cell>
          <cell r="G30">
            <v>-4.793600649974417</v>
          </cell>
          <cell r="H30">
            <v>19.033282033000898</v>
          </cell>
          <cell r="I30">
            <v>-3.0402700148216333</v>
          </cell>
          <cell r="O30">
            <v>18.858465098341682</v>
          </cell>
          <cell r="P30">
            <v>-5</v>
          </cell>
          <cell r="Q30">
            <v>-2</v>
          </cell>
          <cell r="R30">
            <v>6</v>
          </cell>
          <cell r="S30">
            <v>6</v>
          </cell>
          <cell r="T30">
            <v>6</v>
          </cell>
          <cell r="U30">
            <v>7</v>
          </cell>
          <cell r="V30">
            <v>8</v>
          </cell>
          <cell r="W30">
            <v>8</v>
          </cell>
          <cell r="X30">
            <v>8</v>
          </cell>
          <cell r="Y30">
            <v>8</v>
          </cell>
          <cell r="Z30">
            <v>8</v>
          </cell>
          <cell r="AA30">
            <v>8</v>
          </cell>
          <cell r="AB30">
            <v>9</v>
          </cell>
          <cell r="AC30">
            <v>9</v>
          </cell>
          <cell r="AD30">
            <v>9</v>
          </cell>
          <cell r="AE30">
            <v>9</v>
          </cell>
          <cell r="AF30">
            <v>9</v>
          </cell>
          <cell r="AG30">
            <v>9</v>
          </cell>
          <cell r="AH30">
            <v>9</v>
          </cell>
          <cell r="AI30">
            <v>9</v>
          </cell>
          <cell r="AJ30">
            <v>9</v>
          </cell>
        </row>
        <row r="31">
          <cell r="Q31">
            <v>-10</v>
          </cell>
        </row>
        <row r="33">
          <cell r="D33">
            <v>260.81400991666663</v>
          </cell>
          <cell r="E33">
            <v>183.96683199999995</v>
          </cell>
          <cell r="F33">
            <v>216.21613458333331</v>
          </cell>
          <cell r="G33">
            <v>232.36511999999999</v>
          </cell>
          <cell r="H33">
            <v>216.82120166666664</v>
          </cell>
          <cell r="I33">
            <v>30.5</v>
          </cell>
          <cell r="O33">
            <v>234.5</v>
          </cell>
          <cell r="P33">
            <v>239.19</v>
          </cell>
          <cell r="Q33">
            <v>243.97379999999998</v>
          </cell>
          <cell r="R33">
            <v>248.21030879999995</v>
          </cell>
          <cell r="S33">
            <v>251.18774632799995</v>
          </cell>
          <cell r="T33">
            <v>256.21150125455995</v>
          </cell>
          <cell r="U33">
            <v>261.33573127965116</v>
          </cell>
          <cell r="V33">
            <v>266.5624459052442</v>
          </cell>
          <cell r="W33">
            <v>271.89369482334905</v>
          </cell>
          <cell r="X33">
            <v>277.331568719816</v>
          </cell>
          <cell r="Y33">
            <v>282.87820009421239</v>
          </cell>
          <cell r="Z33">
            <v>288.53576409609661</v>
          </cell>
          <cell r="AA33">
            <v>294.30647937801859</v>
          </cell>
          <cell r="AB33">
            <v>300.19260896557898</v>
          </cell>
          <cell r="AC33">
            <v>306.19646114489058</v>
          </cell>
          <cell r="AD33">
            <v>312.32039036778838</v>
          </cell>
          <cell r="AE33">
            <v>318.56679817514413</v>
          </cell>
          <cell r="AF33">
            <v>324.938134138647</v>
          </cell>
          <cell r="AG33">
            <v>331.43689682141996</v>
          </cell>
          <cell r="AH33">
            <v>338.06563475784839</v>
          </cell>
          <cell r="AI33">
            <v>344.82694745300535</v>
          </cell>
          <cell r="AJ33">
            <v>351.72348640206548</v>
          </cell>
        </row>
        <row r="34">
          <cell r="B34">
            <v>3</v>
          </cell>
          <cell r="D34">
            <v>362.09836774999997</v>
          </cell>
          <cell r="E34">
            <v>274.58144716666663</v>
          </cell>
          <cell r="F34">
            <v>293.68771375</v>
          </cell>
          <cell r="G34">
            <v>302.46565499999997</v>
          </cell>
          <cell r="H34">
            <v>303.0341233333333</v>
          </cell>
          <cell r="I34">
            <v>173.5</v>
          </cell>
          <cell r="O34">
            <v>296.3</v>
          </cell>
          <cell r="P34">
            <v>302.226</v>
          </cell>
          <cell r="Q34">
            <v>308.27051999999998</v>
          </cell>
          <cell r="R34">
            <v>314.43593039999996</v>
          </cell>
          <cell r="S34">
            <v>320.72464900799997</v>
          </cell>
          <cell r="T34">
            <v>327.13914198815996</v>
          </cell>
          <cell r="U34">
            <v>333.68192482792318</v>
          </cell>
          <cell r="V34">
            <v>340.35556332448164</v>
          </cell>
          <cell r="W34">
            <v>347.16267459097128</v>
          </cell>
          <cell r="X34">
            <v>354.10592808279068</v>
          </cell>
          <cell r="Y34">
            <v>361.1880466444465</v>
          </cell>
          <cell r="Z34">
            <v>368.41180757733542</v>
          </cell>
          <cell r="AA34">
            <v>375.78004372888216</v>
          </cell>
          <cell r="AB34">
            <v>383.29564460345983</v>
          </cell>
          <cell r="AC34">
            <v>390.96155749552906</v>
          </cell>
          <cell r="AD34">
            <v>398.78078864543966</v>
          </cell>
          <cell r="AE34">
            <v>406.75640441834844</v>
          </cell>
          <cell r="AF34">
            <v>414.89153250671541</v>
          </cell>
          <cell r="AG34">
            <v>423.18936315684971</v>
          </cell>
          <cell r="AH34">
            <v>431.65315041998673</v>
          </cell>
          <cell r="AI34">
            <v>440.28621342838647</v>
          </cell>
          <cell r="AJ34">
            <v>449.09193769695423</v>
          </cell>
        </row>
        <row r="35">
          <cell r="B35">
            <v>3</v>
          </cell>
          <cell r="D35">
            <v>-101.28435783333333</v>
          </cell>
          <cell r="E35">
            <v>-90.614615166666667</v>
          </cell>
          <cell r="F35">
            <v>-77.471579166666672</v>
          </cell>
          <cell r="G35">
            <v>-70.100534999999994</v>
          </cell>
          <cell r="H35">
            <v>-86.212921666666674</v>
          </cell>
          <cell r="I35">
            <v>-143</v>
          </cell>
          <cell r="O35">
            <v>-61.8</v>
          </cell>
          <cell r="P35">
            <v>-63.036000000000001</v>
          </cell>
          <cell r="Q35">
            <v>-64.296720000000008</v>
          </cell>
          <cell r="R35">
            <v>-66.225621600000011</v>
          </cell>
          <cell r="S35">
            <v>-69.536902680000011</v>
          </cell>
          <cell r="T35">
            <v>-70.927640733600015</v>
          </cell>
          <cell r="U35">
            <v>-72.346193548272012</v>
          </cell>
          <cell r="V35">
            <v>-73.793117419237447</v>
          </cell>
          <cell r="W35">
            <v>-75.268979767622199</v>
          </cell>
          <cell r="X35">
            <v>-76.77435936297465</v>
          </cell>
          <cell r="Y35">
            <v>-78.309846550234141</v>
          </cell>
          <cell r="Z35">
            <v>-79.876043481238824</v>
          </cell>
          <cell r="AA35">
            <v>-81.473564350863597</v>
          </cell>
          <cell r="AB35">
            <v>-83.103035637880865</v>
          </cell>
          <cell r="AC35">
            <v>-84.765096350638487</v>
          </cell>
          <cell r="AD35">
            <v>-86.460398277651265</v>
          </cell>
          <cell r="AE35">
            <v>-88.189606243204295</v>
          </cell>
          <cell r="AF35">
            <v>-89.953398368068378</v>
          </cell>
          <cell r="AG35">
            <v>-91.752466335429745</v>
          </cell>
          <cell r="AH35">
            <v>-93.587515662138344</v>
          </cell>
          <cell r="AI35">
            <v>-95.459265975381115</v>
          </cell>
          <cell r="AJ35">
            <v>-97.368451294888743</v>
          </cell>
        </row>
        <row r="37">
          <cell r="D37">
            <v>-79.968480916666664</v>
          </cell>
          <cell r="E37">
            <v>-64.059878999999995</v>
          </cell>
          <cell r="F37">
            <v>-55.497822166666666</v>
          </cell>
          <cell r="G37">
            <v>-37.144905000000008</v>
          </cell>
          <cell r="H37">
            <v>-39.23976833333333</v>
          </cell>
          <cell r="I37">
            <v>-74.712762583333344</v>
          </cell>
          <cell r="O37">
            <v>-193.3</v>
          </cell>
          <cell r="P37">
            <v>-211.64145525597894</v>
          </cell>
          <cell r="Q37">
            <v>-232.87804224988628</v>
          </cell>
          <cell r="R37">
            <v>-280.44923027848972</v>
          </cell>
          <cell r="S37">
            <v>-336.18432709449075</v>
          </cell>
          <cell r="T37">
            <v>-402.24487185845317</v>
          </cell>
          <cell r="U37">
            <v>-474.27322930350175</v>
          </cell>
          <cell r="V37">
            <v>-546.675279396419</v>
          </cell>
          <cell r="W37">
            <v>-697.64369232688762</v>
          </cell>
          <cell r="X37">
            <v>-763.70932130323695</v>
          </cell>
          <cell r="Y37">
            <v>-835.97075332239433</v>
          </cell>
          <cell r="Z37">
            <v>-915.13568600859037</v>
          </cell>
          <cell r="AA37">
            <v>-1002.0099585171138</v>
          </cell>
          <cell r="AB37">
            <v>-1097.361190025598</v>
          </cell>
          <cell r="AC37">
            <v>-1202.3409757992354</v>
          </cell>
          <cell r="AD37">
            <v>-1317.9111322026897</v>
          </cell>
          <cell r="AE37">
            <v>-1444.2527178465882</v>
          </cell>
          <cell r="AF37">
            <v>-1582.3599851177248</v>
          </cell>
          <cell r="AG37">
            <v>-1733.3186744293228</v>
          </cell>
          <cell r="AH37">
            <v>-1898.3144241245527</v>
          </cell>
          <cell r="AI37">
            <v>-2078.6419531923239</v>
          </cell>
          <cell r="AJ37">
            <v>-2275.7150878037942</v>
          </cell>
        </row>
        <row r="38">
          <cell r="B38">
            <v>3</v>
          </cell>
          <cell r="D38">
            <v>54.986816250000004</v>
          </cell>
          <cell r="E38">
            <v>66.934360749999996</v>
          </cell>
          <cell r="F38">
            <v>60.709546583333335</v>
          </cell>
          <cell r="G38">
            <v>75.127664999999993</v>
          </cell>
          <cell r="H38">
            <v>65.733772500000001</v>
          </cell>
          <cell r="I38">
            <v>82.087237416666667</v>
          </cell>
          <cell r="O38">
            <v>54.5</v>
          </cell>
          <cell r="P38">
            <v>56.134999999999998</v>
          </cell>
          <cell r="Q38">
            <v>57.819049999999997</v>
          </cell>
          <cell r="R38">
            <v>59.553621499999998</v>
          </cell>
          <cell r="S38">
            <v>61.340230145</v>
          </cell>
          <cell r="T38">
            <v>63.180437049350004</v>
          </cell>
          <cell r="U38">
            <v>65.075850160830512</v>
          </cell>
          <cell r="V38">
            <v>67.028125665655423</v>
          </cell>
          <cell r="W38">
            <v>69.038969435625091</v>
          </cell>
          <cell r="X38">
            <v>71.110138518693844</v>
          </cell>
          <cell r="Y38">
            <v>73.243442674254666</v>
          </cell>
          <cell r="Z38">
            <v>75.44074595448231</v>
          </cell>
          <cell r="AA38">
            <v>77.703968333116777</v>
          </cell>
          <cell r="AB38">
            <v>80.03508738311028</v>
          </cell>
          <cell r="AC38">
            <v>82.436140004603587</v>
          </cell>
          <cell r="AD38">
            <v>84.90922420474169</v>
          </cell>
          <cell r="AE38">
            <v>87.456500930883948</v>
          </cell>
          <cell r="AF38">
            <v>90.080195958810464</v>
          </cell>
          <cell r="AG38">
            <v>92.782601837574774</v>
          </cell>
          <cell r="AH38">
            <v>95.566079892702021</v>
          </cell>
          <cell r="AI38">
            <v>98.43306228948309</v>
          </cell>
          <cell r="AJ38">
            <v>101.38605415816758</v>
          </cell>
        </row>
        <row r="39">
          <cell r="B39">
            <v>3</v>
          </cell>
          <cell r="D39">
            <v>-134.95529716666667</v>
          </cell>
          <cell r="E39">
            <v>-130.99423974999999</v>
          </cell>
          <cell r="F39">
            <v>-116.20736875</v>
          </cell>
          <cell r="G39">
            <v>-112.27257</v>
          </cell>
          <cell r="H39">
            <v>-104.97354083333333</v>
          </cell>
          <cell r="I39">
            <v>-156.80000000000001</v>
          </cell>
          <cell r="O39">
            <v>-247.8</v>
          </cell>
          <cell r="P39">
            <v>-267.77645525597893</v>
          </cell>
          <cell r="Q39">
            <v>-290.69709224988628</v>
          </cell>
          <cell r="R39">
            <v>-340.00285177848974</v>
          </cell>
          <cell r="S39">
            <v>-397.52455723949078</v>
          </cell>
          <cell r="T39">
            <v>-465.42530890780318</v>
          </cell>
          <cell r="U39">
            <v>-539.34907946433225</v>
          </cell>
          <cell r="V39">
            <v>-613.70340506207447</v>
          </cell>
          <cell r="W39">
            <v>-766.68266176251268</v>
          </cell>
          <cell r="X39">
            <v>-834.81945982193076</v>
          </cell>
          <cell r="Y39">
            <v>-909.21419599664898</v>
          </cell>
          <cell r="Z39">
            <v>-990.57643196307265</v>
          </cell>
          <cell r="AA39">
            <v>-1079.7139268502306</v>
          </cell>
          <cell r="AB39">
            <v>-1177.3962774087083</v>
          </cell>
          <cell r="AC39">
            <v>-1284.777115803839</v>
          </cell>
          <cell r="AD39">
            <v>-1402.8203564074315</v>
          </cell>
          <cell r="AE39">
            <v>-1531.7092187774722</v>
          </cell>
          <cell r="AF39">
            <v>-1672.4401810765353</v>
          </cell>
          <cell r="AG39">
            <v>-1826.1012762668975</v>
          </cell>
          <cell r="AH39">
            <v>-1993.8805040172547</v>
          </cell>
          <cell r="AI39">
            <v>-2177.075015481807</v>
          </cell>
          <cell r="AJ39">
            <v>-2377.1011419619617</v>
          </cell>
        </row>
        <row r="40">
          <cell r="O40">
            <v>-12.428571428571429</v>
          </cell>
          <cell r="P40">
            <v>-24.857142857142858</v>
          </cell>
          <cell r="Q40">
            <v>-3.7142857142857144</v>
          </cell>
          <cell r="R40">
            <v>-8.7828571428571429</v>
          </cell>
          <cell r="S40">
            <v>-7.8514285714285714</v>
          </cell>
          <cell r="T40">
            <v>-6.7999999999999989</v>
          </cell>
          <cell r="U40">
            <v>-5.7485714285714291</v>
          </cell>
          <cell r="V40">
            <v>-4.6971428571428566</v>
          </cell>
          <cell r="W40">
            <v>-3.6457142857142855</v>
          </cell>
          <cell r="X40">
            <v>-2.88</v>
          </cell>
          <cell r="Y40">
            <v>-2.4</v>
          </cell>
          <cell r="Z40">
            <v>-1.92</v>
          </cell>
          <cell r="AA40">
            <v>-1.44</v>
          </cell>
          <cell r="AB40">
            <v>-0.96</v>
          </cell>
          <cell r="AC40">
            <v>-0.48</v>
          </cell>
          <cell r="AD40">
            <v>-0.12</v>
          </cell>
          <cell r="AE40">
            <v>0</v>
          </cell>
          <cell r="AF40">
            <v>0</v>
          </cell>
          <cell r="AG40">
            <v>0</v>
          </cell>
          <cell r="AH40">
            <v>0</v>
          </cell>
          <cell r="AI40">
            <v>0</v>
          </cell>
          <cell r="AJ40">
            <v>0</v>
          </cell>
        </row>
        <row r="42">
          <cell r="D42">
            <v>-366.5317986088333</v>
          </cell>
          <cell r="E42">
            <v>-372.30698266249999</v>
          </cell>
          <cell r="F42">
            <v>-354.99224206133334</v>
          </cell>
          <cell r="G42">
            <v>-360.17434247850002</v>
          </cell>
          <cell r="H42">
            <v>-362.32340833333336</v>
          </cell>
          <cell r="I42">
            <v>-320.15539916666665</v>
          </cell>
          <cell r="O42">
            <v>-147.5</v>
          </cell>
          <cell r="P42">
            <v>-122.96035132709036</v>
          </cell>
          <cell r="Q42">
            <v>-125.78317013176492</v>
          </cell>
          <cell r="R42">
            <v>-133.21054708301489</v>
          </cell>
          <cell r="S42">
            <v>-136.73296084231578</v>
          </cell>
          <cell r="T42">
            <v>-132.06910209660737</v>
          </cell>
          <cell r="U42">
            <v>-124.31117339524035</v>
          </cell>
          <cell r="V42">
            <v>-118.34227472872595</v>
          </cell>
          <cell r="W42">
            <v>-113.61002208850128</v>
          </cell>
          <cell r="X42">
            <v>-116.94057193072292</v>
          </cell>
          <cell r="Y42">
            <v>-120.05510109276619</v>
          </cell>
          <cell r="Z42">
            <v>-119.89730654141289</v>
          </cell>
          <cell r="AA42">
            <v>-120.23380852755733</v>
          </cell>
          <cell r="AB42">
            <v>-119.68362045770434</v>
          </cell>
          <cell r="AC42">
            <v>-118.10212730842346</v>
          </cell>
          <cell r="AD42">
            <v>-117.49436824974757</v>
          </cell>
          <cell r="AE42">
            <v>-119.07127346666778</v>
          </cell>
          <cell r="AF42">
            <v>-121.46477439680893</v>
          </cell>
          <cell r="AG42">
            <v>-124.45640937510655</v>
          </cell>
          <cell r="AH42">
            <v>-127.07484631187452</v>
          </cell>
          <cell r="AI42">
            <v>-129.19577833245285</v>
          </cell>
          <cell r="AJ42">
            <v>-289.97275207923246</v>
          </cell>
        </row>
        <row r="43">
          <cell r="D43">
            <v>21.362853307833333</v>
          </cell>
          <cell r="E43">
            <v>5.6271402258333332</v>
          </cell>
          <cell r="F43">
            <v>7.4338910220000001</v>
          </cell>
          <cell r="G43">
            <v>11.2747075215</v>
          </cell>
          <cell r="H43">
            <v>20.049516666666666</v>
          </cell>
          <cell r="I43">
            <v>25.794510833333334</v>
          </cell>
          <cell r="O43">
            <v>42.8</v>
          </cell>
          <cell r="P43">
            <v>42.621600000000001</v>
          </cell>
          <cell r="Q43">
            <v>42.92742244542147</v>
          </cell>
          <cell r="R43">
            <v>45.647728032202977</v>
          </cell>
          <cell r="S43">
            <v>53.885905586781504</v>
          </cell>
          <cell r="T43">
            <v>68.28</v>
          </cell>
          <cell r="U43">
            <v>83.64</v>
          </cell>
          <cell r="V43">
            <v>100.5</v>
          </cell>
          <cell r="W43">
            <v>114.971938267456</v>
          </cell>
          <cell r="X43">
            <v>122.90285650680089</v>
          </cell>
          <cell r="Y43">
            <v>132.78980276674983</v>
          </cell>
          <cell r="Z43">
            <v>145.98108867593504</v>
          </cell>
          <cell r="AA43">
            <v>160.63903608999195</v>
          </cell>
          <cell r="AB43">
            <v>177.10869484211295</v>
          </cell>
          <cell r="AC43">
            <v>195.70979344369772</v>
          </cell>
          <cell r="AD43">
            <v>215.08998385809664</v>
          </cell>
          <cell r="AE43">
            <v>233.97138200514274</v>
          </cell>
          <cell r="AF43">
            <v>253.0299035490591</v>
          </cell>
          <cell r="AG43">
            <v>273.45727432951105</v>
          </cell>
          <cell r="AH43">
            <v>295.88174297199924</v>
          </cell>
          <cell r="AI43">
            <v>320.20906235221366</v>
          </cell>
          <cell r="AJ43">
            <v>166.43401885075903</v>
          </cell>
        </row>
        <row r="44">
          <cell r="D44">
            <v>-387.89465191666665</v>
          </cell>
          <cell r="E44">
            <v>-377.93412288833332</v>
          </cell>
          <cell r="F44">
            <v>-362.42613308333335</v>
          </cell>
          <cell r="G44">
            <v>-371.44905</v>
          </cell>
          <cell r="H44">
            <v>-382.37292500000001</v>
          </cell>
          <cell r="I44">
            <v>-345.94990999999999</v>
          </cell>
          <cell r="O44">
            <v>-190.3</v>
          </cell>
          <cell r="P44">
            <v>-165.58195132709037</v>
          </cell>
          <cell r="Q44">
            <v>-168.71059257718639</v>
          </cell>
          <cell r="R44">
            <v>-178.85827511521785</v>
          </cell>
          <cell r="S44">
            <v>-190.61886642909727</v>
          </cell>
          <cell r="T44">
            <v>-200.34910209660737</v>
          </cell>
          <cell r="U44">
            <v>-207.95117339524035</v>
          </cell>
          <cell r="V44">
            <v>-218.84227472872595</v>
          </cell>
          <cell r="W44">
            <v>-228.58196035595728</v>
          </cell>
          <cell r="X44">
            <v>-239.84342843752381</v>
          </cell>
          <cell r="Y44">
            <v>-252.84490385951602</v>
          </cell>
          <cell r="Z44">
            <v>-265.87839521734793</v>
          </cell>
          <cell r="AA44">
            <v>-280.87284461754928</v>
          </cell>
          <cell r="AB44">
            <v>-296.79231529981729</v>
          </cell>
          <cell r="AC44">
            <v>-313.81192075212118</v>
          </cell>
          <cell r="AD44">
            <v>-332.58435210784421</v>
          </cell>
          <cell r="AE44">
            <v>-353.04265547181052</v>
          </cell>
          <cell r="AF44">
            <v>-374.49467794586803</v>
          </cell>
          <cell r="AG44">
            <v>-397.9136837046176</v>
          </cell>
          <cell r="AH44">
            <v>-422.95658928387377</v>
          </cell>
          <cell r="AI44">
            <v>-449.40484068466651</v>
          </cell>
          <cell r="AJ44">
            <v>-456.40677092999152</v>
          </cell>
        </row>
        <row r="45">
          <cell r="D45">
            <v>-294.62071916666667</v>
          </cell>
          <cell r="E45">
            <v>-249.26684455500006</v>
          </cell>
          <cell r="F45">
            <v>-223.11814800000002</v>
          </cell>
          <cell r="G45">
            <v>-175.111695</v>
          </cell>
          <cell r="H45">
            <v>-219.9</v>
          </cell>
          <cell r="I45">
            <v>-256.80248937917003</v>
          </cell>
          <cell r="O45">
            <v>-111.78119430872916</v>
          </cell>
          <cell r="P45">
            <v>-82.136152893652806</v>
          </cell>
          <cell r="Q45">
            <v>-79.798427567024675</v>
          </cell>
          <cell r="R45">
            <v>-81.546002725628227</v>
          </cell>
          <cell r="S45">
            <v>-86.957910951387021</v>
          </cell>
          <cell r="T45">
            <v>-93.260608426893143</v>
          </cell>
          <cell r="U45">
            <v>-97.201086052493338</v>
          </cell>
          <cell r="V45">
            <v>-104.07769260072314</v>
          </cell>
          <cell r="W45">
            <v>-109.33055156057867</v>
          </cell>
          <cell r="X45">
            <v>-115.72710164140067</v>
          </cell>
          <cell r="Y45">
            <v>-123.57916316261112</v>
          </cell>
          <cell r="Z45">
            <v>-131.16451992462217</v>
          </cell>
          <cell r="AA45">
            <v>-140.39717799921164</v>
          </cell>
          <cell r="AB45">
            <v>-150.22551778958714</v>
          </cell>
          <cell r="AC45">
            <v>-160.72769800052581</v>
          </cell>
          <cell r="AD45">
            <v>-172.33286943818132</v>
          </cell>
          <cell r="AE45">
            <v>-184.91064897354249</v>
          </cell>
          <cell r="AF45">
            <v>-197.95607112268658</v>
          </cell>
          <cell r="AG45">
            <v>-212.54814654027709</v>
          </cell>
          <cell r="AH45">
            <v>-228.3227752613162</v>
          </cell>
          <cell r="AI45">
            <v>-245.03933596098111</v>
          </cell>
          <cell r="AJ45">
            <v>-241.82299097012182</v>
          </cell>
        </row>
        <row r="46">
          <cell r="D46">
            <v>-93.273932749999972</v>
          </cell>
          <cell r="E46">
            <v>-128.66727833333326</v>
          </cell>
          <cell r="F46">
            <v>-139.30798508333334</v>
          </cell>
          <cell r="G46">
            <v>-196.337355</v>
          </cell>
          <cell r="H46">
            <v>-162.472925</v>
          </cell>
          <cell r="I46">
            <v>-89.147420620829962</v>
          </cell>
          <cell r="O46">
            <v>-78.518805691270856</v>
          </cell>
          <cell r="P46">
            <v>-83.44579843343756</v>
          </cell>
          <cell r="Q46">
            <v>-88.912165010161701</v>
          </cell>
          <cell r="R46">
            <v>-97.312272389589637</v>
          </cell>
          <cell r="S46">
            <v>-103.66095547771025</v>
          </cell>
          <cell r="T46">
            <v>-107.08849366971423</v>
          </cell>
          <cell r="U46">
            <v>-110.75008734274699</v>
          </cell>
          <cell r="V46">
            <v>-114.76458212800283</v>
          </cell>
          <cell r="W46">
            <v>-119.25140879537859</v>
          </cell>
          <cell r="X46">
            <v>-124.11632679612313</v>
          </cell>
          <cell r="Y46">
            <v>-129.26574069690491</v>
          </cell>
          <cell r="Z46">
            <v>-134.71387529272576</v>
          </cell>
          <cell r="AA46">
            <v>-140.47566661833767</v>
          </cell>
          <cell r="AB46">
            <v>-146.56679751023015</v>
          </cell>
          <cell r="AC46">
            <v>-153.08422275159535</v>
          </cell>
          <cell r="AD46">
            <v>-160.25148266966292</v>
          </cell>
          <cell r="AE46">
            <v>-168.13200649826803</v>
          </cell>
          <cell r="AF46">
            <v>-176.53860682318142</v>
          </cell>
          <cell r="AG46">
            <v>-185.36553716434051</v>
          </cell>
          <cell r="AH46">
            <v>-194.63381402255754</v>
          </cell>
          <cell r="AI46">
            <v>-204.36550472368543</v>
          </cell>
          <cell r="AJ46">
            <v>-214.5837799598697</v>
          </cell>
        </row>
        <row r="47">
          <cell r="O47">
            <v>-2.8928571428571428</v>
          </cell>
          <cell r="P47">
            <v>-2.5714285714285716</v>
          </cell>
          <cell r="Q47">
            <v>-3.9940766550522646</v>
          </cell>
          <cell r="R47">
            <v>-8.1482796167247376</v>
          </cell>
          <cell r="S47">
            <v>-10.038763066202089</v>
          </cell>
          <cell r="T47">
            <v>-8.7851916376306605</v>
          </cell>
          <cell r="U47">
            <v>-7.5316202090592332</v>
          </cell>
          <cell r="V47">
            <v>-6.385191637630661</v>
          </cell>
          <cell r="W47">
            <v>-5.4530487804878041</v>
          </cell>
          <cell r="X47">
            <v>-4.6280487804878039</v>
          </cell>
          <cell r="Y47">
            <v>-3.8030487804878041</v>
          </cell>
          <cell r="Z47">
            <v>-2.978048780487804</v>
          </cell>
          <cell r="AA47">
            <v>-2.1530487804878038</v>
          </cell>
          <cell r="AB47">
            <v>-1.3280487804878038</v>
          </cell>
          <cell r="AC47">
            <v>-0.58353658536585262</v>
          </cell>
          <cell r="AD47">
            <v>-0.12576219512195019</v>
          </cell>
          <cell r="AE47">
            <v>0</v>
          </cell>
          <cell r="AF47">
            <v>0</v>
          </cell>
          <cell r="AG47">
            <v>0</v>
          </cell>
          <cell r="AH47">
            <v>0</v>
          </cell>
          <cell r="AI47">
            <v>0</v>
          </cell>
          <cell r="AJ47">
            <v>0</v>
          </cell>
        </row>
        <row r="48">
          <cell r="B48" t="str">
            <v>adj</v>
          </cell>
          <cell r="G48">
            <v>-33.300000000000004</v>
          </cell>
        </row>
        <row r="49">
          <cell r="D49">
            <v>371.88291087024277</v>
          </cell>
          <cell r="E49">
            <v>347.92247968911079</v>
          </cell>
          <cell r="F49">
            <v>282.37846818642686</v>
          </cell>
          <cell r="G49">
            <v>240.86796267818409</v>
          </cell>
          <cell r="H49">
            <v>227.64825996035177</v>
          </cell>
          <cell r="I49">
            <v>515.5</v>
          </cell>
          <cell r="O49">
            <v>851.83042071490172</v>
          </cell>
          <cell r="P49">
            <v>685.59085592396434</v>
          </cell>
          <cell r="Q49">
            <v>700.60719915489835</v>
          </cell>
          <cell r="R49">
            <v>692.37244555582311</v>
          </cell>
          <cell r="S49">
            <v>718.99179577693701</v>
          </cell>
          <cell r="T49">
            <v>1126.774481004074</v>
          </cell>
          <cell r="U49">
            <v>1189.3519399605652</v>
          </cell>
          <cell r="V49">
            <v>1271.4748312108859</v>
          </cell>
          <cell r="W49">
            <v>988.27767347226563</v>
          </cell>
          <cell r="X49">
            <v>1009.87824973529</v>
          </cell>
          <cell r="Y49">
            <v>967.15390014648665</v>
          </cell>
          <cell r="Z49">
            <v>990.43342387113285</v>
          </cell>
          <cell r="AA49">
            <v>1014.6105570399618</v>
          </cell>
          <cell r="AB49">
            <v>1039.7265357575548</v>
          </cell>
          <cell r="AC49">
            <v>1065.8245674378716</v>
          </cell>
          <cell r="AD49">
            <v>1092.9499256609006</v>
          </cell>
          <cell r="AE49">
            <v>1121.150049594185</v>
          </cell>
          <cell r="AF49">
            <v>1150.4746481987431</v>
          </cell>
          <cell r="AG49">
            <v>1180.9758094494448</v>
          </cell>
          <cell r="AH49">
            <v>1212.7081148109628</v>
          </cell>
          <cell r="AI49">
            <v>1245.7287592220064</v>
          </cell>
          <cell r="AJ49">
            <v>1280.0976768526871</v>
          </cell>
        </row>
        <row r="50">
          <cell r="D50">
            <v>166.60788564343599</v>
          </cell>
          <cell r="E50">
            <v>143.93018035113823</v>
          </cell>
          <cell r="F50">
            <v>68.165176360214758</v>
          </cell>
          <cell r="G50">
            <v>146.89454883330416</v>
          </cell>
          <cell r="H50">
            <v>147.321941697266</v>
          </cell>
          <cell r="I50">
            <v>408.7</v>
          </cell>
          <cell r="O50">
            <v>694.32089215268252</v>
          </cell>
          <cell r="P50">
            <v>600.41777617283378</v>
          </cell>
          <cell r="Q50">
            <v>574.66775872592041</v>
          </cell>
          <cell r="R50">
            <v>561.89918527140196</v>
          </cell>
          <cell r="S50">
            <v>561.11110037436197</v>
          </cell>
          <cell r="T50">
            <v>566.18105974880473</v>
          </cell>
          <cell r="U50">
            <v>571.28548416811293</v>
          </cell>
          <cell r="V50">
            <v>576.42423124626885</v>
          </cell>
          <cell r="W50">
            <v>581.59714256230052</v>
          </cell>
          <cell r="X50">
            <v>586.8040430615996</v>
          </cell>
          <cell r="Y50">
            <v>592.04474043810205</v>
          </cell>
          <cell r="Z50">
            <v>597.3190244967459</v>
          </cell>
          <cell r="AA50">
            <v>602.62666649560424</v>
          </cell>
          <cell r="AB50">
            <v>607.96741846706789</v>
          </cell>
          <cell r="AC50">
            <v>613.34101251744141</v>
          </cell>
          <cell r="AD50">
            <v>618.74716010428972</v>
          </cell>
          <cell r="AE50">
            <v>624.18555129085667</v>
          </cell>
          <cell r="AF50">
            <v>629.65585397685504</v>
          </cell>
          <cell r="AG50">
            <v>635.15771310490618</v>
          </cell>
          <cell r="AH50">
            <v>640.69074984188626</v>
          </cell>
          <cell r="AI50">
            <v>646.25456073441399</v>
          </cell>
          <cell r="AJ50">
            <v>651.8487168376904</v>
          </cell>
        </row>
        <row r="51">
          <cell r="B51">
            <v>1.03</v>
          </cell>
          <cell r="D51">
            <v>216.94300418880633</v>
          </cell>
          <cell r="E51">
            <v>190.72117054133719</v>
          </cell>
          <cell r="F51">
            <v>257.45029418692678</v>
          </cell>
          <cell r="G51">
            <v>207.63516550867232</v>
          </cell>
          <cell r="H51">
            <v>208.31236653986593</v>
          </cell>
          <cell r="I51">
            <v>451.9</v>
          </cell>
          <cell r="O51">
            <v>718.59689215268247</v>
          </cell>
          <cell r="P51">
            <v>625.1792961728338</v>
          </cell>
          <cell r="Q51">
            <v>600.17212432592044</v>
          </cell>
          <cell r="R51">
            <v>588.16868183940198</v>
          </cell>
          <cell r="S51">
            <v>588.16868183940198</v>
          </cell>
          <cell r="T51">
            <v>594.05036865779596</v>
          </cell>
          <cell r="U51">
            <v>599.99087234437388</v>
          </cell>
          <cell r="V51">
            <v>605.99078106781758</v>
          </cell>
          <cell r="W51">
            <v>612.05068887849575</v>
          </cell>
          <cell r="X51">
            <v>618.17119576728066</v>
          </cell>
          <cell r="Y51">
            <v>624.35290772495352</v>
          </cell>
          <cell r="Z51">
            <v>630.59643680220302</v>
          </cell>
          <cell r="AA51">
            <v>636.90240117022506</v>
          </cell>
          <cell r="AB51">
            <v>643.27142518192727</v>
          </cell>
          <cell r="AC51">
            <v>649.7041394337466</v>
          </cell>
          <cell r="AD51">
            <v>656.20118082808403</v>
          </cell>
          <cell r="AE51">
            <v>662.76319263636492</v>
          </cell>
          <cell r="AF51">
            <v>669.39082456272854</v>
          </cell>
          <cell r="AG51">
            <v>676.08473280835585</v>
          </cell>
          <cell r="AH51">
            <v>682.84558013643937</v>
          </cell>
          <cell r="AI51">
            <v>689.67403593780375</v>
          </cell>
          <cell r="AJ51">
            <v>696.57077629718185</v>
          </cell>
        </row>
        <row r="52">
          <cell r="B52">
            <v>1.01</v>
          </cell>
          <cell r="D52">
            <v>-50.335118545370328</v>
          </cell>
          <cell r="E52">
            <v>-46.79099019019894</v>
          </cell>
          <cell r="F52">
            <v>-189.28511782671202</v>
          </cell>
          <cell r="G52">
            <v>-60.740616675368166</v>
          </cell>
          <cell r="H52">
            <v>-60.990424842599928</v>
          </cell>
          <cell r="I52">
            <v>-43.2</v>
          </cell>
          <cell r="O52">
            <v>-24.276</v>
          </cell>
          <cell r="P52">
            <v>-24.761520000000001</v>
          </cell>
          <cell r="Q52">
            <v>-25.5043656</v>
          </cell>
          <cell r="R52">
            <v>-26.269496568000001</v>
          </cell>
          <cell r="S52">
            <v>-27.057581465040002</v>
          </cell>
          <cell r="T52">
            <v>-27.869308908991204</v>
          </cell>
          <cell r="U52">
            <v>-28.705388176260943</v>
          </cell>
          <cell r="V52">
            <v>-29.566549821548772</v>
          </cell>
          <cell r="W52">
            <v>-30.453546316195236</v>
          </cell>
          <cell r="X52">
            <v>-31.367152705681093</v>
          </cell>
          <cell r="Y52">
            <v>-32.308167286851528</v>
          </cell>
          <cell r="Z52">
            <v>-33.277412305457077</v>
          </cell>
          <cell r="AA52">
            <v>-34.275734674620793</v>
          </cell>
          <cell r="AB52">
            <v>-35.304006714859419</v>
          </cell>
          <cell r="AC52">
            <v>-36.363126916305205</v>
          </cell>
          <cell r="AD52">
            <v>-37.454020723794365</v>
          </cell>
          <cell r="AE52">
            <v>-38.577641345508198</v>
          </cell>
          <cell r="AF52">
            <v>-39.734970585873448</v>
          </cell>
          <cell r="AG52">
            <v>-40.927019703449652</v>
          </cell>
          <cell r="AH52">
            <v>-42.154830294553143</v>
          </cell>
          <cell r="AI52">
            <v>-43.419475203389737</v>
          </cell>
          <cell r="AJ52">
            <v>-44.722059459491433</v>
          </cell>
        </row>
        <row r="53">
          <cell r="B53">
            <v>1.03</v>
          </cell>
          <cell r="C53">
            <v>153.68710091734567</v>
          </cell>
          <cell r="D53">
            <v>205.27502522680675</v>
          </cell>
          <cell r="E53">
            <v>203.99229933797255</v>
          </cell>
          <cell r="F53">
            <v>214.21329182621207</v>
          </cell>
          <cell r="G53">
            <v>93.973413844879943</v>
          </cell>
          <cell r="H53">
            <v>80.326318263085753</v>
          </cell>
          <cell r="I53">
            <v>106.79999999999998</v>
          </cell>
          <cell r="O53">
            <v>157.50952856221915</v>
          </cell>
          <cell r="P53">
            <v>85.17307975113053</v>
          </cell>
          <cell r="Q53">
            <v>125.93944042897795</v>
          </cell>
          <cell r="R53">
            <v>130.47326028442114</v>
          </cell>
          <cell r="S53">
            <v>157.88069540257501</v>
          </cell>
          <cell r="T53">
            <v>560.59342125526928</v>
          </cell>
          <cell r="U53">
            <v>618.06645579245242</v>
          </cell>
          <cell r="V53">
            <v>695.05059996461694</v>
          </cell>
          <cell r="W53">
            <v>406.68053090996511</v>
          </cell>
          <cell r="X53">
            <v>423.07420667369036</v>
          </cell>
          <cell r="Y53">
            <v>375.10915970838454</v>
          </cell>
          <cell r="Z53">
            <v>393.11439937438701</v>
          </cell>
          <cell r="AA53">
            <v>411.98389054435756</v>
          </cell>
          <cell r="AB53">
            <v>431.75911729048676</v>
          </cell>
          <cell r="AC53">
            <v>452.48355492043015</v>
          </cell>
          <cell r="AD53">
            <v>474.20276555661087</v>
          </cell>
          <cell r="AE53">
            <v>496.96449830332824</v>
          </cell>
          <cell r="AF53">
            <v>520.81879422188797</v>
          </cell>
          <cell r="AG53">
            <v>545.81809634453862</v>
          </cell>
          <cell r="AH53">
            <v>572.01736496907654</v>
          </cell>
          <cell r="AI53">
            <v>599.47419848759228</v>
          </cell>
          <cell r="AJ53">
            <v>628.24896001499667</v>
          </cell>
        </row>
        <row r="54">
          <cell r="B54">
            <v>1.03</v>
          </cell>
          <cell r="C54">
            <v>9</v>
          </cell>
          <cell r="D54">
            <v>105.8</v>
          </cell>
          <cell r="E54">
            <v>97.2</v>
          </cell>
          <cell r="F54">
            <v>114.4</v>
          </cell>
          <cell r="G54">
            <v>64.5</v>
          </cell>
          <cell r="H54">
            <v>81.691366960923432</v>
          </cell>
          <cell r="I54">
            <v>111.1</v>
          </cell>
          <cell r="O54">
            <v>68.928237422978654</v>
          </cell>
          <cell r="P54">
            <v>85.17307975113053</v>
          </cell>
          <cell r="Q54">
            <v>125.93944042897795</v>
          </cell>
          <cell r="R54">
            <v>130.47326028442114</v>
          </cell>
          <cell r="S54">
            <v>157.88069540257501</v>
          </cell>
          <cell r="T54">
            <v>260.69633944999555</v>
          </cell>
          <cell r="U54">
            <v>285.3891096423128</v>
          </cell>
          <cell r="V54">
            <v>325.89209135904127</v>
          </cell>
          <cell r="W54">
            <v>341.53491174427529</v>
          </cell>
          <cell r="X54">
            <v>357.92858750800053</v>
          </cell>
          <cell r="Y54">
            <v>375.10915970838454</v>
          </cell>
          <cell r="Z54">
            <v>393.11439937438701</v>
          </cell>
          <cell r="AA54">
            <v>411.98389054435756</v>
          </cell>
          <cell r="AB54">
            <v>431.75911729048676</v>
          </cell>
          <cell r="AC54">
            <v>452.48355492043015</v>
          </cell>
          <cell r="AD54">
            <v>474.20276555661087</v>
          </cell>
          <cell r="AE54">
            <v>496.96449830332824</v>
          </cell>
          <cell r="AF54">
            <v>520.81879422188797</v>
          </cell>
          <cell r="AG54">
            <v>545.81809634453862</v>
          </cell>
          <cell r="AH54">
            <v>572.01736496907654</v>
          </cell>
          <cell r="AI54">
            <v>599.47419848759228</v>
          </cell>
          <cell r="AJ54">
            <v>628.24896001499667</v>
          </cell>
        </row>
        <row r="55">
          <cell r="C55">
            <v>100.38302552239372</v>
          </cell>
          <cell r="D55">
            <v>45.5</v>
          </cell>
          <cell r="E55">
            <v>51.9</v>
          </cell>
          <cell r="F55">
            <v>37.700000000000003</v>
          </cell>
          <cell r="G55">
            <v>2.8</v>
          </cell>
          <cell r="H55">
            <v>5.0776018137045602</v>
          </cell>
          <cell r="I55">
            <v>0.6</v>
          </cell>
          <cell r="O55">
            <v>24.178000000000001</v>
          </cell>
          <cell r="P55">
            <v>0</v>
          </cell>
          <cell r="Q55">
            <v>0</v>
          </cell>
          <cell r="R55">
            <v>0</v>
          </cell>
          <cell r="S55">
            <v>0</v>
          </cell>
          <cell r="T55">
            <v>299.89708180527367</v>
          </cell>
          <cell r="U55">
            <v>332.67734615013967</v>
          </cell>
          <cell r="V55">
            <v>369.15850860557566</v>
          </cell>
          <cell r="W55">
            <v>65.145619165689823</v>
          </cell>
          <cell r="X55">
            <v>65.145619165689823</v>
          </cell>
          <cell r="Y55">
            <v>0</v>
          </cell>
          <cell r="Z55">
            <v>0</v>
          </cell>
          <cell r="AA55">
            <v>0</v>
          </cell>
          <cell r="AB55">
            <v>0</v>
          </cell>
          <cell r="AC55">
            <v>0</v>
          </cell>
          <cell r="AD55">
            <v>0</v>
          </cell>
          <cell r="AE55">
            <v>0</v>
          </cell>
          <cell r="AF55">
            <v>0</v>
          </cell>
          <cell r="AG55">
            <v>0</v>
          </cell>
          <cell r="AH55">
            <v>0</v>
          </cell>
          <cell r="AI55">
            <v>0</v>
          </cell>
          <cell r="AJ55">
            <v>0</v>
          </cell>
        </row>
        <row r="56">
          <cell r="C56">
            <v>17.52057340058402</v>
          </cell>
          <cell r="H56">
            <v>0</v>
          </cell>
          <cell r="I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row>
        <row r="57">
          <cell r="H57">
            <v>-6.4426505115422454</v>
          </cell>
          <cell r="I57">
            <v>-4.9000000000000004</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row>
        <row r="58">
          <cell r="H58">
            <v>0</v>
          </cell>
          <cell r="I58">
            <v>0</v>
          </cell>
          <cell r="O58">
            <v>64.403291139240508</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row>
        <row r="59">
          <cell r="C59">
            <v>-7</v>
          </cell>
          <cell r="G59">
            <v>0</v>
          </cell>
          <cell r="H59">
            <v>0</v>
          </cell>
          <cell r="I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HM59">
            <v>1</v>
          </cell>
        </row>
        <row r="62">
          <cell r="HL62" t="str">
            <v xml:space="preserve"> </v>
          </cell>
        </row>
        <row r="65">
          <cell r="E65">
            <v>-9.810037710200703</v>
          </cell>
          <cell r="F65">
            <v>-0.85926839383630238</v>
          </cell>
          <cell r="G65">
            <v>-10.514865015103965</v>
          </cell>
          <cell r="H65">
            <v>-6.5858908564023722</v>
          </cell>
          <cell r="I65">
            <v>-44.881785457653386</v>
          </cell>
          <cell r="O65">
            <v>-7.0135722798476365</v>
          </cell>
          <cell r="P65">
            <v>-15.764189704955541</v>
          </cell>
          <cell r="Q65">
            <v>-1.9255009137057897</v>
          </cell>
          <cell r="R65">
            <v>-8.5486374073541072</v>
          </cell>
          <cell r="S65">
            <v>-4.1252577774826449</v>
          </cell>
          <cell r="T65">
            <v>51.360900010715795</v>
          </cell>
          <cell r="U65">
            <v>4.2070810711847315</v>
          </cell>
          <cell r="V65">
            <v>4.2805464261587218</v>
          </cell>
          <cell r="W65">
            <v>-38.260562384579579</v>
          </cell>
          <cell r="X65">
            <v>-3.2548240030256181</v>
          </cell>
          <cell r="Y65">
            <v>-13.43806278948658</v>
          </cell>
          <cell r="Z65">
            <v>-4.7976431697454984</v>
          </cell>
          <cell r="AA65">
            <v>-6.0721127993687531</v>
          </cell>
          <cell r="AB65">
            <v>-6.314573584915081</v>
          </cell>
          <cell r="AC65">
            <v>-7.7502512445080214</v>
          </cell>
          <cell r="AD65">
            <v>-0.71181263959962848</v>
          </cell>
          <cell r="AE65">
            <v>-1.5139327034304699</v>
          </cell>
          <cell r="AF65">
            <v>-2.0785608125943043</v>
          </cell>
          <cell r="AG65">
            <v>-2.6666179339915885</v>
          </cell>
          <cell r="AH65">
            <v>-3.1176312828248456</v>
          </cell>
          <cell r="AI65">
            <v>-3.6298842034235435</v>
          </cell>
          <cell r="AJ65">
            <v>-44.034912832336978</v>
          </cell>
        </row>
        <row r="66">
          <cell r="E66">
            <v>-12.511941053832288</v>
          </cell>
          <cell r="F66">
            <v>14.569291135770143</v>
          </cell>
          <cell r="G66">
            <v>-7.9705424402409335</v>
          </cell>
          <cell r="H66">
            <v>-7.204288388808564</v>
          </cell>
          <cell r="I66">
            <v>-143.2004732825034</v>
          </cell>
          <cell r="O66">
            <v>-1.1197769108509164</v>
          </cell>
          <cell r="P66">
            <v>12.283970677792681</v>
          </cell>
          <cell r="Q66">
            <v>-23.983156976959506</v>
          </cell>
          <cell r="R66">
            <v>-61.669714236366815</v>
          </cell>
          <cell r="S66">
            <v>-152.16691791056724</v>
          </cell>
          <cell r="T66">
            <v>249.36714294820035</v>
          </cell>
          <cell r="U66">
            <v>26.542225894754552</v>
          </cell>
          <cell r="V66">
            <v>40.588447897313756</v>
          </cell>
          <cell r="W66">
            <v>129.93509682697493</v>
          </cell>
          <cell r="X66">
            <v>16.093389740963232</v>
          </cell>
          <cell r="Y66">
            <v>15.383816222461192</v>
          </cell>
          <cell r="Z66">
            <v>13.921213864007129</v>
          </cell>
          <cell r="AA66">
            <v>13.810932159711015</v>
          </cell>
          <cell r="AB66">
            <v>12.164080039819353</v>
          </cell>
          <cell r="AC66">
            <v>11.95621912062262</v>
          </cell>
          <cell r="AD66">
            <v>5.0156186976003596</v>
          </cell>
          <cell r="AE66">
            <v>5.516571718730745</v>
          </cell>
          <cell r="AF66">
            <v>5.7579966046920248</v>
          </cell>
          <cell r="AG66">
            <v>5.9473054634870692</v>
          </cell>
          <cell r="AH66">
            <v>5.9922880607814903</v>
          </cell>
          <cell r="AI66">
            <v>6.0294508294974207</v>
          </cell>
          <cell r="AJ66">
            <v>24.895943704996682</v>
          </cell>
        </row>
        <row r="67">
          <cell r="E67">
            <v>-6.2905167344074044</v>
          </cell>
          <cell r="F67">
            <v>5.3687785637908547</v>
          </cell>
          <cell r="G67">
            <v>-3.8855439605523117</v>
          </cell>
          <cell r="H67">
            <v>-3.6371595534824905</v>
          </cell>
          <cell r="I67">
            <v>-80.398116457362804</v>
          </cell>
          <cell r="O67">
            <v>6.7063148015916454</v>
          </cell>
          <cell r="P67">
            <v>-4.0333718325960461</v>
          </cell>
          <cell r="Q67">
            <v>-11.103764815892163</v>
          </cell>
          <cell r="R67">
            <v>-23.559066144901635</v>
          </cell>
          <cell r="S67">
            <v>-31.203209798291766</v>
          </cell>
          <cell r="T67">
            <v>-45.3182693499284</v>
          </cell>
          <cell r="U67">
            <v>-40.210557181654458</v>
          </cell>
          <cell r="V67">
            <v>-106.55803082391768</v>
          </cell>
          <cell r="W67">
            <v>6432.7736956815515</v>
          </cell>
          <cell r="X67">
            <v>25.195477206842213</v>
          </cell>
          <cell r="Y67">
            <v>22.616309319415208</v>
          </cell>
          <cell r="Z67">
            <v>20.610967745073253</v>
          </cell>
          <cell r="AA67">
            <v>19.144287620260897</v>
          </cell>
          <cell r="AB67">
            <v>16.351581924180252</v>
          </cell>
          <cell r="AC67">
            <v>15.724938144802266</v>
          </cell>
          <cell r="AD67">
            <v>6.3541004070089286</v>
          </cell>
          <cell r="AE67">
            <v>6.4616661520984167</v>
          </cell>
          <cell r="AF67">
            <v>6.5657045521829502</v>
          </cell>
          <cell r="AG67">
            <v>6.6661219216058498</v>
          </cell>
          <cell r="AH67">
            <v>6.7628500526536754</v>
          </cell>
          <cell r="AI67">
            <v>6.8558450495342953</v>
          </cell>
          <cell r="AJ67">
            <v>6.9450859295525618</v>
          </cell>
        </row>
        <row r="68">
          <cell r="E68">
            <v>-5.6750080502029618</v>
          </cell>
          <cell r="F68">
            <v>0.41296713356683767</v>
          </cell>
          <cell r="G68">
            <v>-0.99056425765175504</v>
          </cell>
          <cell r="H68">
            <v>2.5491510120570666</v>
          </cell>
          <cell r="I68">
            <v>-11.965397153365316</v>
          </cell>
          <cell r="O68">
            <v>12.13246672856701</v>
          </cell>
          <cell r="P68">
            <v>2.1216018342978344</v>
          </cell>
          <cell r="Q68">
            <v>7.1688230460627693</v>
          </cell>
          <cell r="R68">
            <v>3.4503053190168629</v>
          </cell>
          <cell r="S68">
            <v>4.6033262686697469</v>
          </cell>
          <cell r="T68">
            <v>6.5762671798927954</v>
          </cell>
          <cell r="U68">
            <v>7.6711096598009192</v>
          </cell>
          <cell r="V68">
            <v>8.2004562834445522</v>
          </cell>
          <cell r="W68">
            <v>6.9703590095598713</v>
          </cell>
          <cell r="X68">
            <v>6.3248899695839782</v>
          </cell>
          <cell r="Y68">
            <v>6.3750090189968347</v>
          </cell>
          <cell r="Z68">
            <v>6.4468575554090819</v>
          </cell>
          <cell r="AA68">
            <v>6.5174214638615808</v>
          </cell>
          <cell r="AB68">
            <v>6.8513106276401459</v>
          </cell>
          <cell r="AC68">
            <v>6.9278072555791255</v>
          </cell>
          <cell r="AD68">
            <v>7.0025525335766048</v>
          </cell>
          <cell r="AE68">
            <v>7.0754990835328186</v>
          </cell>
          <cell r="AF68">
            <v>7.1466076357445445</v>
          </cell>
          <cell r="AG68">
            <v>7.2158468240749727</v>
          </cell>
          <cell r="AH68">
            <v>7.2831929258355643</v>
          </cell>
          <cell r="AI68">
            <v>7.3486295536701505</v>
          </cell>
          <cell r="AJ68">
            <v>7.4121473068562409</v>
          </cell>
        </row>
        <row r="69">
          <cell r="E69">
            <v>-4.3312206978665557</v>
          </cell>
          <cell r="F69">
            <v>-10.185045868515559</v>
          </cell>
          <cell r="G69">
            <v>6.2724766701082615</v>
          </cell>
          <cell r="H69">
            <v>16.586095986865672</v>
          </cell>
          <cell r="I69">
            <v>116.3762207911451</v>
          </cell>
          <cell r="O69">
            <v>13.96790400884997</v>
          </cell>
          <cell r="P69">
            <v>4.0709138444173334</v>
          </cell>
          <cell r="Q69">
            <v>12.505194914091319</v>
          </cell>
          <cell r="R69">
            <v>9.6829346233997455</v>
          </cell>
          <cell r="S69">
            <v>10.361782246725298</v>
          </cell>
          <cell r="T69">
            <v>11.778800259208836</v>
          </cell>
          <cell r="U69">
            <v>10.019364793986057</v>
          </cell>
          <cell r="V69">
            <v>11.2590106686919</v>
          </cell>
          <cell r="W69">
            <v>17.065144215369756</v>
          </cell>
          <cell r="X69">
            <v>7.9792311387099772</v>
          </cell>
          <cell r="Y69">
            <v>8.0258637850354688</v>
          </cell>
          <cell r="Z69">
            <v>8.0810299143544881</v>
          </cell>
          <cell r="AA69">
            <v>8.1431254416324208</v>
          </cell>
          <cell r="AB69">
            <v>8.1988957474206074</v>
          </cell>
          <cell r="AC69">
            <v>8.2696781002186128</v>
          </cell>
          <cell r="AD69">
            <v>6.8968299679666103</v>
          </cell>
          <cell r="AE69">
            <v>6.9759288854354793</v>
          </cell>
          <cell r="AF69">
            <v>7.0528319904422716</v>
          </cell>
          <cell r="AG69">
            <v>7.1275081064758012</v>
          </cell>
          <cell r="AH69">
            <v>7.1999359191239591</v>
          </cell>
          <cell r="AI69">
            <v>7.2701034845291161</v>
          </cell>
          <cell r="AJ69">
            <v>7.3380076870507338</v>
          </cell>
        </row>
        <row r="71">
          <cell r="E71">
            <v>-4.0605925873684754</v>
          </cell>
          <cell r="F71">
            <v>13.370693484757638</v>
          </cell>
          <cell r="G71">
            <v>9.8138292873630917</v>
          </cell>
          <cell r="H71">
            <v>-9.7892888741245514</v>
          </cell>
          <cell r="I71">
            <v>111.34311882830096</v>
          </cell>
          <cell r="O71">
            <v>14.847126072604055</v>
          </cell>
          <cell r="P71">
            <v>9.3202700277277017</v>
          </cell>
          <cell r="Q71">
            <v>9.0176257528408144</v>
          </cell>
          <cell r="R71">
            <v>5.1659717617517771</v>
          </cell>
          <cell r="S71">
            <v>6.617393134863363</v>
          </cell>
          <cell r="T71">
            <v>10.484160484593303</v>
          </cell>
          <cell r="U71">
            <v>12.401522539508477</v>
          </cell>
          <cell r="V71">
            <v>12.669387138885384</v>
          </cell>
          <cell r="W71">
            <v>9.8722904269518068</v>
          </cell>
          <cell r="X71">
            <v>8.4303164175302499</v>
          </cell>
          <cell r="Y71">
            <v>8.4188874994410412</v>
          </cell>
          <cell r="Z71">
            <v>8.4530274758107566</v>
          </cell>
          <cell r="AA71">
            <v>8.4865228793830028</v>
          </cell>
          <cell r="AB71">
            <v>8.5193745051035137</v>
          </cell>
          <cell r="AC71">
            <v>8.5515841708926814</v>
          </cell>
          <cell r="AD71">
            <v>8.5831546558583511</v>
          </cell>
          <cell r="AE71">
            <v>8.6140896383409</v>
          </cell>
          <cell r="AF71">
            <v>8.6443936341790106</v>
          </cell>
          <cell r="AG71">
            <v>8.6740719355538261</v>
          </cell>
          <cell r="AH71">
            <v>8.7031305507293126</v>
          </cell>
          <cell r="AI71">
            <v>8.7315761449749232</v>
          </cell>
          <cell r="AJ71" t="e">
            <v>#REF!</v>
          </cell>
        </row>
        <row r="72">
          <cell r="E72">
            <v>-4.0605925873684754</v>
          </cell>
          <cell r="F72">
            <v>13.370693484757638</v>
          </cell>
          <cell r="G72">
            <v>9.8138292873630917</v>
          </cell>
          <cell r="H72">
            <v>-9.7892888741245514</v>
          </cell>
          <cell r="I72">
            <v>111.34311882830096</v>
          </cell>
          <cell r="O72">
            <v>14.847126072604055</v>
          </cell>
          <cell r="P72">
            <v>9.3202700277277017</v>
          </cell>
          <cell r="Q72">
            <v>9.0176257528408144</v>
          </cell>
          <cell r="R72">
            <v>5.1659717617517771</v>
          </cell>
          <cell r="S72">
            <v>6.617393134863363</v>
          </cell>
          <cell r="T72">
            <v>10.484160484593303</v>
          </cell>
          <cell r="U72">
            <v>12.401522539508477</v>
          </cell>
          <cell r="V72">
            <v>12.669387138885384</v>
          </cell>
          <cell r="W72">
            <v>9.8722904269518068</v>
          </cell>
          <cell r="X72">
            <v>8.4303164175302499</v>
          </cell>
          <cell r="Y72">
            <v>8.4188874994410412</v>
          </cell>
          <cell r="Z72">
            <v>8.4530274758107566</v>
          </cell>
          <cell r="AA72">
            <v>8.4865228793830028</v>
          </cell>
          <cell r="AB72">
            <v>8.5193745051035137</v>
          </cell>
          <cell r="AC72">
            <v>8.5515841708926814</v>
          </cell>
          <cell r="AD72">
            <v>8.5831546558583511</v>
          </cell>
          <cell r="AE72">
            <v>8.6140896383409</v>
          </cell>
          <cell r="AF72">
            <v>8.6443936341790106</v>
          </cell>
          <cell r="AG72">
            <v>8.6740719355538261</v>
          </cell>
          <cell r="AH72">
            <v>8.7031305507293126</v>
          </cell>
          <cell r="AI72">
            <v>8.7315761449749232</v>
          </cell>
          <cell r="AJ72" t="e">
            <v>#REF!</v>
          </cell>
        </row>
        <row r="75">
          <cell r="E75">
            <v>16.400743340391983</v>
          </cell>
          <cell r="F75">
            <v>-6.06984203400485</v>
          </cell>
          <cell r="G75">
            <v>-16.430772094791706</v>
          </cell>
          <cell r="H75">
            <v>-12.134049749748527</v>
          </cell>
          <cell r="I75">
            <v>0.19102241077536064</v>
          </cell>
          <cell r="O75">
            <v>5.0000000000000284</v>
          </cell>
          <cell r="P75">
            <v>1.9999999999999858</v>
          </cell>
          <cell r="Q75">
            <v>2</v>
          </cell>
          <cell r="R75">
            <v>2.0000000000000284</v>
          </cell>
          <cell r="S75">
            <v>2</v>
          </cell>
          <cell r="T75">
            <v>2</v>
          </cell>
          <cell r="U75">
            <v>2</v>
          </cell>
          <cell r="V75">
            <v>1.9999999999999858</v>
          </cell>
          <cell r="W75">
            <v>2</v>
          </cell>
          <cell r="X75">
            <v>2</v>
          </cell>
          <cell r="Y75">
            <v>2</v>
          </cell>
          <cell r="Z75">
            <v>2</v>
          </cell>
          <cell r="AA75">
            <v>2</v>
          </cell>
          <cell r="AB75">
            <v>2</v>
          </cell>
          <cell r="AC75">
            <v>2</v>
          </cell>
          <cell r="AD75">
            <v>2.0000000000000284</v>
          </cell>
          <cell r="AE75">
            <v>2</v>
          </cell>
          <cell r="AF75">
            <v>2.0000000000000284</v>
          </cell>
          <cell r="AG75">
            <v>1.9999999999999858</v>
          </cell>
          <cell r="AH75">
            <v>2</v>
          </cell>
          <cell r="AI75">
            <v>2</v>
          </cell>
          <cell r="AJ75">
            <v>2</v>
          </cell>
        </row>
        <row r="76">
          <cell r="E76">
            <v>14.563324648588804</v>
          </cell>
          <cell r="F76">
            <v>-8.1230435228203106</v>
          </cell>
          <cell r="G76">
            <v>-6.3622513499306876</v>
          </cell>
          <cell r="H76">
            <v>-13.230397785665602</v>
          </cell>
          <cell r="I76">
            <v>3.2239452083738769</v>
          </cell>
          <cell r="O76">
            <v>5</v>
          </cell>
          <cell r="P76">
            <v>2</v>
          </cell>
          <cell r="Q76">
            <v>2</v>
          </cell>
          <cell r="R76">
            <v>2</v>
          </cell>
          <cell r="S76">
            <v>2</v>
          </cell>
          <cell r="T76">
            <v>2</v>
          </cell>
          <cell r="U76">
            <v>2</v>
          </cell>
          <cell r="V76">
            <v>2</v>
          </cell>
          <cell r="W76">
            <v>2</v>
          </cell>
          <cell r="X76">
            <v>2</v>
          </cell>
          <cell r="Y76">
            <v>2</v>
          </cell>
          <cell r="Z76">
            <v>2</v>
          </cell>
          <cell r="AA76">
            <v>2</v>
          </cell>
          <cell r="AB76">
            <v>2</v>
          </cell>
          <cell r="AC76">
            <v>2</v>
          </cell>
          <cell r="AD76">
            <v>2</v>
          </cell>
          <cell r="AE76">
            <v>2</v>
          </cell>
          <cell r="AF76">
            <v>2</v>
          </cell>
          <cell r="AG76">
            <v>2</v>
          </cell>
          <cell r="AH76">
            <v>2</v>
          </cell>
          <cell r="AI76">
            <v>2</v>
          </cell>
          <cell r="AJ76">
            <v>2</v>
          </cell>
        </row>
        <row r="77">
          <cell r="E77">
            <v>11.545717797050472</v>
          </cell>
          <cell r="F77">
            <v>-11.641797870396331</v>
          </cell>
          <cell r="G77">
            <v>11.981207496982123</v>
          </cell>
          <cell r="H77">
            <v>-14.721011961141855</v>
          </cell>
          <cell r="I77">
            <v>7.4726517136304267</v>
          </cell>
          <cell r="O77">
            <v>5</v>
          </cell>
          <cell r="P77">
            <v>2</v>
          </cell>
          <cell r="Q77">
            <v>2</v>
          </cell>
          <cell r="R77">
            <v>2</v>
          </cell>
          <cell r="S77">
            <v>2</v>
          </cell>
          <cell r="T77">
            <v>2</v>
          </cell>
          <cell r="U77">
            <v>2</v>
          </cell>
          <cell r="V77">
            <v>2</v>
          </cell>
          <cell r="W77">
            <v>2</v>
          </cell>
          <cell r="X77">
            <v>2</v>
          </cell>
          <cell r="Y77">
            <v>2</v>
          </cell>
          <cell r="Z77">
            <v>2</v>
          </cell>
          <cell r="AA77">
            <v>2</v>
          </cell>
          <cell r="AB77">
            <v>2</v>
          </cell>
          <cell r="AC77">
            <v>2</v>
          </cell>
          <cell r="AD77">
            <v>2</v>
          </cell>
          <cell r="AE77">
            <v>2</v>
          </cell>
          <cell r="AF77">
            <v>2</v>
          </cell>
          <cell r="AG77">
            <v>2</v>
          </cell>
          <cell r="AH77">
            <v>2</v>
          </cell>
          <cell r="AI77">
            <v>2</v>
          </cell>
          <cell r="AJ77">
            <v>2</v>
          </cell>
        </row>
        <row r="79">
          <cell r="E79">
            <v>-4.1780787488582121</v>
          </cell>
          <cell r="F79">
            <v>1.6596231680988041</v>
          </cell>
          <cell r="G79">
            <v>-9.7875892304014229</v>
          </cell>
          <cell r="H79">
            <v>3.7990041527359466</v>
          </cell>
          <cell r="I79">
            <v>-11.949557972928176</v>
          </cell>
          <cell r="O79">
            <v>28.706524757521123</v>
          </cell>
          <cell r="P79">
            <v>-12.110393164861108</v>
          </cell>
          <cell r="Q79">
            <v>-13.634443969865728</v>
          </cell>
          <cell r="R79">
            <v>1.08384100517398</v>
          </cell>
          <cell r="S79">
            <v>-3.1222228132100582</v>
          </cell>
          <cell r="T79">
            <v>-5.4848771733070691</v>
          </cell>
          <cell r="U79">
            <v>-3.0812595959733784</v>
          </cell>
          <cell r="V79">
            <v>-2.5456274820839297</v>
          </cell>
          <cell r="W79">
            <v>-38.587716416494835</v>
          </cell>
          <cell r="X79">
            <v>3.2639761949407813</v>
          </cell>
          <cell r="Y79">
            <v>2.8695624090659066</v>
          </cell>
          <cell r="Z79">
            <v>2.3468065488189751</v>
          </cell>
          <cell r="AA79">
            <v>1.6655006110310779</v>
          </cell>
          <cell r="AB79">
            <v>8.6799421039523708</v>
          </cell>
          <cell r="AC79">
            <v>8.1797578907388129</v>
          </cell>
          <cell r="AD79">
            <v>57.185039896629519</v>
          </cell>
          <cell r="AE79">
            <v>40.268077882528928</v>
          </cell>
          <cell r="AF79">
            <v>31.737489471331742</v>
          </cell>
          <cell r="AG79">
            <v>26.604889355209238</v>
          </cell>
          <cell r="AH79">
            <v>23.18348630433411</v>
          </cell>
          <cell r="AI79">
            <v>20.744395668976765</v>
          </cell>
          <cell r="AJ79">
            <v>18.921192214334908</v>
          </cell>
        </row>
        <row r="80">
          <cell r="E80">
            <v>-6.8738074860359859</v>
          </cell>
          <cell r="F80">
            <v>2.6441925275446891</v>
          </cell>
          <cell r="G80">
            <v>-4.7936006499744224</v>
          </cell>
          <cell r="H80">
            <v>19.033282033000901</v>
          </cell>
          <cell r="I80">
            <v>-3.0402700148216297</v>
          </cell>
          <cell r="O80">
            <v>18.858465098341682</v>
          </cell>
          <cell r="P80">
            <v>-5</v>
          </cell>
          <cell r="Q80">
            <v>-1.9999999999999858</v>
          </cell>
          <cell r="R80">
            <v>6</v>
          </cell>
          <cell r="S80">
            <v>6</v>
          </cell>
          <cell r="T80">
            <v>6</v>
          </cell>
          <cell r="U80">
            <v>7</v>
          </cell>
          <cell r="V80">
            <v>8</v>
          </cell>
          <cell r="W80">
            <v>8</v>
          </cell>
          <cell r="X80">
            <v>8</v>
          </cell>
          <cell r="Y80">
            <v>8</v>
          </cell>
          <cell r="Z80">
            <v>8</v>
          </cell>
          <cell r="AA80">
            <v>8</v>
          </cell>
          <cell r="AB80">
            <v>9.0000000000000142</v>
          </cell>
          <cell r="AC80">
            <v>9.0000000000000142</v>
          </cell>
          <cell r="AD80">
            <v>9.0000000000000142</v>
          </cell>
          <cell r="AE80">
            <v>9.0000000000000142</v>
          </cell>
          <cell r="AF80">
            <v>9.0000000000000142</v>
          </cell>
          <cell r="AG80">
            <v>9.0000000000000142</v>
          </cell>
          <cell r="AH80">
            <v>9.0000000000000142</v>
          </cell>
          <cell r="AI80">
            <v>9.0000000000000142</v>
          </cell>
          <cell r="AJ80">
            <v>9.0000000000000142</v>
          </cell>
        </row>
        <row r="81">
          <cell r="E81">
            <v>-36.988948521364883</v>
          </cell>
          <cell r="F81">
            <v>19.370619416874007</v>
          </cell>
          <cell r="G81">
            <v>67.459327727927786</v>
          </cell>
          <cell r="H81">
            <v>137.77046115232818</v>
          </cell>
          <cell r="I81">
            <v>27.273722345779873</v>
          </cell>
          <cell r="O81">
            <v>9.2133807145804383</v>
          </cell>
          <cell r="P81">
            <v>3.2067969647883103</v>
          </cell>
          <cell r="Q81">
            <v>9.4354939372935434</v>
          </cell>
          <cell r="R81">
            <v>9.813445873543202</v>
          </cell>
          <cell r="S81">
            <v>12.51356210916876</v>
          </cell>
          <cell r="T81">
            <v>13.060956385820589</v>
          </cell>
          <cell r="U81">
            <v>12.181322446515267</v>
          </cell>
          <cell r="V81">
            <v>12.682582677227657</v>
          </cell>
          <cell r="W81">
            <v>25.890768181382455</v>
          </cell>
          <cell r="X81">
            <v>8.8872230269013244</v>
          </cell>
          <cell r="Y81">
            <v>8.9114760442439547</v>
          </cell>
          <cell r="Z81">
            <v>8.9486323821898992</v>
          </cell>
          <cell r="AA81">
            <v>8.9985479172475209</v>
          </cell>
          <cell r="AB81">
            <v>9.0470584966371206</v>
          </cell>
          <cell r="AC81">
            <v>9.1201951675489852</v>
          </cell>
          <cell r="AD81">
            <v>2</v>
          </cell>
          <cell r="AE81">
            <v>2</v>
          </cell>
          <cell r="AF81">
            <v>2</v>
          </cell>
          <cell r="AG81">
            <v>2</v>
          </cell>
          <cell r="AH81">
            <v>2</v>
          </cell>
          <cell r="AI81">
            <v>2</v>
          </cell>
          <cell r="AJ81">
            <v>2</v>
          </cell>
        </row>
        <row r="83">
          <cell r="E83">
            <v>-29.464359656607527</v>
          </cell>
          <cell r="F83">
            <v>17.529954847150591</v>
          </cell>
          <cell r="G83">
            <v>7.4689085751103335</v>
          </cell>
          <cell r="H83">
            <v>-6.6894370090198407</v>
          </cell>
          <cell r="I83">
            <v>-85.933109970080494</v>
          </cell>
          <cell r="O83">
            <v>13.285024154589365</v>
          </cell>
          <cell r="P83">
            <v>2</v>
          </cell>
          <cell r="Q83">
            <v>2</v>
          </cell>
          <cell r="R83">
            <v>1.736460554371007</v>
          </cell>
          <cell r="S83">
            <v>1.1995623962577326</v>
          </cell>
          <cell r="T83">
            <v>2</v>
          </cell>
          <cell r="U83">
            <v>2</v>
          </cell>
          <cell r="V83">
            <v>2</v>
          </cell>
          <cell r="W83">
            <v>1.9999999999999858</v>
          </cell>
          <cell r="X83">
            <v>1.9999999999999858</v>
          </cell>
          <cell r="Y83">
            <v>2.0000000000000284</v>
          </cell>
          <cell r="Z83">
            <v>2</v>
          </cell>
          <cell r="AA83">
            <v>2.0000000000000284</v>
          </cell>
          <cell r="AB83">
            <v>2</v>
          </cell>
          <cell r="AC83">
            <v>2</v>
          </cell>
          <cell r="AD83">
            <v>2</v>
          </cell>
          <cell r="AE83">
            <v>2</v>
          </cell>
          <cell r="AF83">
            <v>2</v>
          </cell>
          <cell r="AG83">
            <v>2</v>
          </cell>
          <cell r="AH83">
            <v>2</v>
          </cell>
          <cell r="AI83">
            <v>2</v>
          </cell>
          <cell r="AJ83">
            <v>2</v>
          </cell>
        </row>
        <row r="84">
          <cell r="E84">
            <v>-24.169377268156254</v>
          </cell>
          <cell r="F84">
            <v>6.9583239437645403</v>
          </cell>
          <cell r="G84">
            <v>2.9888690738599166</v>
          </cell>
          <cell r="H84">
            <v>0.18794475469729832</v>
          </cell>
          <cell r="I84">
            <v>-42.745721804685196</v>
          </cell>
          <cell r="O84">
            <v>11.390977443609017</v>
          </cell>
          <cell r="P84">
            <v>2</v>
          </cell>
          <cell r="Q84">
            <v>2</v>
          </cell>
          <cell r="R84">
            <v>2</v>
          </cell>
          <cell r="S84">
            <v>2</v>
          </cell>
          <cell r="T84">
            <v>2</v>
          </cell>
          <cell r="U84">
            <v>2</v>
          </cell>
          <cell r="V84">
            <v>2</v>
          </cell>
          <cell r="W84">
            <v>2</v>
          </cell>
          <cell r="X84">
            <v>2</v>
          </cell>
          <cell r="Y84">
            <v>2</v>
          </cell>
          <cell r="Z84">
            <v>2</v>
          </cell>
          <cell r="AA84">
            <v>2</v>
          </cell>
          <cell r="AB84">
            <v>2</v>
          </cell>
          <cell r="AC84">
            <v>2</v>
          </cell>
          <cell r="AD84">
            <v>2</v>
          </cell>
          <cell r="AE84">
            <v>2</v>
          </cell>
          <cell r="AF84">
            <v>2</v>
          </cell>
          <cell r="AG84">
            <v>2</v>
          </cell>
          <cell r="AH84">
            <v>2</v>
          </cell>
          <cell r="AI84">
            <v>2</v>
          </cell>
          <cell r="AJ84">
            <v>2</v>
          </cell>
        </row>
        <row r="85">
          <cell r="E85">
            <v>-10.534442726313245</v>
          </cell>
          <cell r="F85">
            <v>-14.504322482445161</v>
          </cell>
          <cell r="G85">
            <v>-9.5145138978116819</v>
          </cell>
          <cell r="H85">
            <v>22.984684306142157</v>
          </cell>
          <cell r="I85">
            <v>65.868407235860417</v>
          </cell>
          <cell r="O85">
            <v>4.7457627118644012</v>
          </cell>
          <cell r="P85">
            <v>2</v>
          </cell>
          <cell r="Q85">
            <v>2</v>
          </cell>
          <cell r="R85">
            <v>3</v>
          </cell>
          <cell r="S85">
            <v>5</v>
          </cell>
          <cell r="T85">
            <v>2</v>
          </cell>
          <cell r="U85">
            <v>2</v>
          </cell>
          <cell r="V85">
            <v>2</v>
          </cell>
          <cell r="W85">
            <v>2</v>
          </cell>
          <cell r="X85">
            <v>2</v>
          </cell>
          <cell r="Y85">
            <v>2</v>
          </cell>
          <cell r="Z85">
            <v>2</v>
          </cell>
          <cell r="AA85">
            <v>2</v>
          </cell>
          <cell r="AB85">
            <v>2</v>
          </cell>
          <cell r="AC85">
            <v>2</v>
          </cell>
          <cell r="AD85">
            <v>2</v>
          </cell>
          <cell r="AE85">
            <v>2</v>
          </cell>
          <cell r="AF85">
            <v>2</v>
          </cell>
          <cell r="AG85">
            <v>2</v>
          </cell>
          <cell r="AH85">
            <v>2</v>
          </cell>
          <cell r="AI85">
            <v>2</v>
          </cell>
          <cell r="AJ85">
            <v>2</v>
          </cell>
        </row>
        <row r="87">
          <cell r="E87">
            <v>-19.893590242441476</v>
          </cell>
          <cell r="F87">
            <v>-13.365708719701658</v>
          </cell>
          <cell r="G87">
            <v>-33.069616878930191</v>
          </cell>
          <cell r="H87">
            <v>5.6397057236606827</v>
          </cell>
          <cell r="I87">
            <v>90.400620994152177</v>
          </cell>
          <cell r="O87">
            <v>21.343377275580664</v>
          </cell>
          <cell r="P87">
            <v>9.4885955799166766</v>
          </cell>
          <cell r="Q87">
            <v>10.034228392647293</v>
          </cell>
          <cell r="R87">
            <v>20.427511142316249</v>
          </cell>
          <cell r="S87">
            <v>19.873506787897171</v>
          </cell>
          <cell r="T87">
            <v>19.650096521422583</v>
          </cell>
          <cell r="U87">
            <v>17.906594336992512</v>
          </cell>
          <cell r="V87">
            <v>15.265894345173976</v>
          </cell>
          <cell r="W87">
            <v>27.615738011265464</v>
          </cell>
          <cell r="X87">
            <v>9.4698238804391934</v>
          </cell>
          <cell r="Y87">
            <v>9.461902585639038</v>
          </cell>
          <cell r="Z87">
            <v>9.4698208485848596</v>
          </cell>
          <cell r="AA87">
            <v>9.493048280898094</v>
          </cell>
          <cell r="AB87">
            <v>9.5159963928497859</v>
          </cell>
          <cell r="AC87">
            <v>9.5665662981199802</v>
          </cell>
          <cell r="AD87">
            <v>9.6120949655426244</v>
          </cell>
          <cell r="AE87">
            <v>9.5865026523250947</v>
          </cell>
          <cell r="AF87">
            <v>9.5625416220131711</v>
          </cell>
          <cell r="AG87">
            <v>9.5400977483873106</v>
          </cell>
          <cell r="AH87">
            <v>9.5190660626530956</v>
          </cell>
          <cell r="AI87">
            <v>9.4993498851452216</v>
          </cell>
          <cell r="AJ87">
            <v>9.4808600542681631</v>
          </cell>
        </row>
        <row r="88">
          <cell r="E88">
            <v>21.728016486133612</v>
          </cell>
          <cell r="F88">
            <v>-9.2998784135944135</v>
          </cell>
          <cell r="G88">
            <v>23.749342942094856</v>
          </cell>
          <cell r="H88">
            <v>-12.503905851459635</v>
          </cell>
          <cell r="I88">
            <v>24.878330110548077</v>
          </cell>
          <cell r="O88">
            <v>65.151515151515156</v>
          </cell>
          <cell r="P88">
            <v>3</v>
          </cell>
          <cell r="Q88">
            <v>3</v>
          </cell>
          <cell r="R88">
            <v>3</v>
          </cell>
          <cell r="S88">
            <v>3</v>
          </cell>
          <cell r="T88">
            <v>3</v>
          </cell>
          <cell r="U88">
            <v>3</v>
          </cell>
          <cell r="V88">
            <v>3</v>
          </cell>
          <cell r="W88">
            <v>3</v>
          </cell>
          <cell r="X88">
            <v>3</v>
          </cell>
          <cell r="Y88">
            <v>3</v>
          </cell>
          <cell r="Z88">
            <v>3</v>
          </cell>
          <cell r="AA88">
            <v>3</v>
          </cell>
          <cell r="AB88">
            <v>3</v>
          </cell>
          <cell r="AC88">
            <v>3</v>
          </cell>
          <cell r="AD88">
            <v>3</v>
          </cell>
          <cell r="AE88">
            <v>3</v>
          </cell>
          <cell r="AF88">
            <v>3</v>
          </cell>
          <cell r="AG88">
            <v>3</v>
          </cell>
          <cell r="AH88">
            <v>3</v>
          </cell>
          <cell r="AI88">
            <v>3</v>
          </cell>
          <cell r="AJ88">
            <v>3</v>
          </cell>
        </row>
        <row r="89">
          <cell r="E89">
            <v>-2.9350885069556512</v>
          </cell>
          <cell r="F89">
            <v>-11.2881841432268</v>
          </cell>
          <cell r="G89">
            <v>-3.3860148390977116</v>
          </cell>
          <cell r="H89">
            <v>-6.5011686885466986</v>
          </cell>
          <cell r="I89">
            <v>49.370973633204983</v>
          </cell>
          <cell r="O89">
            <v>28.861154446177864</v>
          </cell>
          <cell r="P89">
            <v>8.0615235092731581</v>
          </cell>
          <cell r="Q89">
            <v>8.5596162560283915</v>
          </cell>
          <cell r="R89">
            <v>16.961215245393561</v>
          </cell>
          <cell r="S89">
            <v>16.918006763800946</v>
          </cell>
          <cell r="T89">
            <v>17.080894860894148</v>
          </cell>
          <cell r="U89">
            <v>15.883057741316932</v>
          </cell>
          <cell r="V89">
            <v>13.785937239679555</v>
          </cell>
          <cell r="W89">
            <v>24.927229576796094</v>
          </cell>
          <cell r="X89">
            <v>8.8872230269013244</v>
          </cell>
          <cell r="Y89">
            <v>8.9114760442439547</v>
          </cell>
          <cell r="Z89">
            <v>8.9486323821898992</v>
          </cell>
          <cell r="AA89">
            <v>8.9985479172475209</v>
          </cell>
          <cell r="AB89">
            <v>9.0470584966370922</v>
          </cell>
          <cell r="AC89">
            <v>9.1201951675489852</v>
          </cell>
          <cell r="AD89">
            <v>9.1878380422223671</v>
          </cell>
          <cell r="AE89">
            <v>9.1878380422223245</v>
          </cell>
          <cell r="AF89">
            <v>9.1878380422223387</v>
          </cell>
          <cell r="AG89">
            <v>9.1878380422223387</v>
          </cell>
          <cell r="AH89">
            <v>9.1878380422223245</v>
          </cell>
          <cell r="AI89">
            <v>9.1878380422223671</v>
          </cell>
          <cell r="AJ89">
            <v>9.1878380422223245</v>
          </cell>
        </row>
        <row r="92">
          <cell r="H92">
            <v>1</v>
          </cell>
          <cell r="I92">
            <v>0</v>
          </cell>
          <cell r="O92">
            <v>5</v>
          </cell>
          <cell r="P92">
            <v>2</v>
          </cell>
          <cell r="Q92">
            <v>2</v>
          </cell>
          <cell r="R92">
            <v>2</v>
          </cell>
          <cell r="S92">
            <v>2</v>
          </cell>
          <cell r="T92">
            <v>2</v>
          </cell>
          <cell r="U92">
            <v>2</v>
          </cell>
          <cell r="V92">
            <v>2</v>
          </cell>
          <cell r="W92">
            <v>2</v>
          </cell>
          <cell r="X92">
            <v>2</v>
          </cell>
          <cell r="Y92">
            <v>2</v>
          </cell>
          <cell r="Z92">
            <v>2</v>
          </cell>
          <cell r="AA92">
            <v>2</v>
          </cell>
          <cell r="AB92">
            <v>2</v>
          </cell>
          <cell r="AC92">
            <v>2</v>
          </cell>
          <cell r="AD92">
            <v>2</v>
          </cell>
          <cell r="AE92">
            <v>2</v>
          </cell>
          <cell r="AF92">
            <v>2</v>
          </cell>
          <cell r="AG92">
            <v>2</v>
          </cell>
          <cell r="AH92">
            <v>2</v>
          </cell>
          <cell r="AI92">
            <v>2</v>
          </cell>
          <cell r="AJ92">
            <v>2</v>
          </cell>
        </row>
        <row r="93">
          <cell r="O93">
            <v>0</v>
          </cell>
          <cell r="P93">
            <v>2</v>
          </cell>
          <cell r="Q93">
            <v>2</v>
          </cell>
          <cell r="R93">
            <v>3</v>
          </cell>
          <cell r="S93">
            <v>5</v>
          </cell>
          <cell r="T93">
            <v>2</v>
          </cell>
          <cell r="U93">
            <v>2</v>
          </cell>
          <cell r="V93">
            <v>2</v>
          </cell>
          <cell r="W93">
            <v>2</v>
          </cell>
          <cell r="X93">
            <v>2</v>
          </cell>
          <cell r="Y93">
            <v>2</v>
          </cell>
          <cell r="Z93">
            <v>2</v>
          </cell>
          <cell r="AA93">
            <v>2</v>
          </cell>
          <cell r="AB93">
            <v>2</v>
          </cell>
          <cell r="AC93">
            <v>2</v>
          </cell>
          <cell r="AD93">
            <v>2</v>
          </cell>
          <cell r="AE93">
            <v>2</v>
          </cell>
          <cell r="AF93">
            <v>2</v>
          </cell>
          <cell r="AG93">
            <v>2</v>
          </cell>
          <cell r="AH93">
            <v>2</v>
          </cell>
          <cell r="AI93">
            <v>2</v>
          </cell>
          <cell r="AJ93">
            <v>2</v>
          </cell>
        </row>
        <row r="94">
          <cell r="H94" t="e">
            <v>#REF!</v>
          </cell>
        </row>
        <row r="99">
          <cell r="G99" t="str">
            <v>pr.grants</v>
          </cell>
          <cell r="H99" t="e">
            <v>#REF!</v>
          </cell>
        </row>
        <row r="100">
          <cell r="G100" t="str">
            <v>cr</v>
          </cell>
          <cell r="H100" t="e">
            <v>#REF!</v>
          </cell>
        </row>
        <row r="101">
          <cell r="G101" t="str">
            <v>db</v>
          </cell>
          <cell r="H101" t="e">
            <v>#REF!</v>
          </cell>
        </row>
        <row r="102">
          <cell r="G102" t="str">
            <v>off. grants</v>
          </cell>
          <cell r="H102" t="e">
            <v>#REF!</v>
          </cell>
        </row>
        <row r="103">
          <cell r="G103" t="str">
            <v>cr</v>
          </cell>
          <cell r="H103" t="e">
            <v>#REF!</v>
          </cell>
        </row>
        <row r="104">
          <cell r="G104" t="str">
            <v>db</v>
          </cell>
          <cell r="H104" t="e">
            <v>#REF!</v>
          </cell>
        </row>
      </sheetData>
      <sheetData sheetId="12" refreshError="1">
        <row r="1">
          <cell r="A1" t="str">
            <v>KENYA AIRWAYS</v>
          </cell>
        </row>
        <row r="12">
          <cell r="B12">
            <v>125</v>
          </cell>
          <cell r="F12">
            <v>1</v>
          </cell>
          <cell r="G12">
            <v>2</v>
          </cell>
        </row>
        <row r="13">
          <cell r="B13">
            <v>40</v>
          </cell>
          <cell r="E13">
            <v>2</v>
          </cell>
        </row>
        <row r="23">
          <cell r="C23">
            <v>12.428571428571429</v>
          </cell>
          <cell r="D23">
            <v>24.857142857142858</v>
          </cell>
          <cell r="E23">
            <v>24.857142857142858</v>
          </cell>
          <cell r="F23">
            <v>24.857142857142858</v>
          </cell>
          <cell r="G23">
            <v>24.857142857142858</v>
          </cell>
          <cell r="H23">
            <v>24.857142857142858</v>
          </cell>
          <cell r="I23">
            <v>24.857142857142858</v>
          </cell>
        </row>
        <row r="24">
          <cell r="B24">
            <v>174</v>
          </cell>
          <cell r="C24">
            <v>161.57142857142858</v>
          </cell>
          <cell r="D24">
            <v>136.71428571428572</v>
          </cell>
          <cell r="E24">
            <v>111.85714285714286</v>
          </cell>
          <cell r="F24">
            <v>87</v>
          </cell>
          <cell r="G24">
            <v>62.142857142857139</v>
          </cell>
          <cell r="H24">
            <v>37.285714285714278</v>
          </cell>
          <cell r="I24">
            <v>12.42857142857142</v>
          </cell>
        </row>
        <row r="31">
          <cell r="C31">
            <v>35</v>
          </cell>
          <cell r="D31">
            <v>35</v>
          </cell>
        </row>
        <row r="32">
          <cell r="C32">
            <v>35</v>
          </cell>
          <cell r="D32">
            <v>35</v>
          </cell>
        </row>
        <row r="34">
          <cell r="C34">
            <v>2.8928571428571428</v>
          </cell>
          <cell r="D34">
            <v>2.5714285714285716</v>
          </cell>
          <cell r="E34">
            <v>2.1428571428571423</v>
          </cell>
          <cell r="F34">
            <v>1.7142857142857142</v>
          </cell>
          <cell r="G34">
            <v>1.2857142857142854</v>
          </cell>
          <cell r="H34">
            <v>0.85714285714285698</v>
          </cell>
          <cell r="I34">
            <v>0.42857142857142844</v>
          </cell>
        </row>
        <row r="35">
          <cell r="C35">
            <v>3.5714285714285716</v>
          </cell>
          <cell r="D35">
            <v>7.1428571428571432</v>
          </cell>
          <cell r="E35">
            <v>7.1428571428571432</v>
          </cell>
          <cell r="F35">
            <v>7.1428571428571432</v>
          </cell>
          <cell r="G35">
            <v>7.1428571428571432</v>
          </cell>
          <cell r="H35">
            <v>7.1428571428571432</v>
          </cell>
          <cell r="I35">
            <v>7.1428571428571432</v>
          </cell>
        </row>
        <row r="36">
          <cell r="C36">
            <v>3.5714285714285716</v>
          </cell>
          <cell r="D36">
            <v>3.5714285714285716</v>
          </cell>
          <cell r="E36">
            <v>3.5714285714285716</v>
          </cell>
          <cell r="F36">
            <v>3.5714285714285716</v>
          </cell>
          <cell r="G36">
            <v>3.5714285714285716</v>
          </cell>
          <cell r="H36">
            <v>3.5714285714285716</v>
          </cell>
          <cell r="I36">
            <v>3.5714285714285716</v>
          </cell>
        </row>
        <row r="37">
          <cell r="D37">
            <v>3.5714285714285716</v>
          </cell>
          <cell r="E37">
            <v>3.5714285714285716</v>
          </cell>
          <cell r="F37">
            <v>3.5714285714285716</v>
          </cell>
          <cell r="G37">
            <v>3.5714285714285716</v>
          </cell>
          <cell r="H37">
            <v>3.5714285714285716</v>
          </cell>
          <cell r="I37">
            <v>3.5714285714285716</v>
          </cell>
        </row>
        <row r="38">
          <cell r="B38">
            <v>50</v>
          </cell>
          <cell r="C38">
            <v>46.428571428571431</v>
          </cell>
          <cell r="D38">
            <v>39.285714285714285</v>
          </cell>
          <cell r="E38">
            <v>32.142857142857139</v>
          </cell>
          <cell r="F38">
            <v>24.999999999999996</v>
          </cell>
          <cell r="G38">
            <v>17.857142857142854</v>
          </cell>
          <cell r="H38">
            <v>10.714285714285712</v>
          </cell>
          <cell r="I38">
            <v>3.5714285714285685</v>
          </cell>
        </row>
        <row r="42">
          <cell r="E42">
            <v>80</v>
          </cell>
        </row>
        <row r="43">
          <cell r="E43">
            <v>80</v>
          </cell>
        </row>
        <row r="45">
          <cell r="E45">
            <v>3.7142857142857144</v>
          </cell>
          <cell r="F45">
            <v>3.1428571428571423</v>
          </cell>
          <cell r="G45">
            <v>2.5714285714285712</v>
          </cell>
          <cell r="H45">
            <v>1.9999999999999996</v>
          </cell>
          <cell r="I45">
            <v>1.4285714285714284</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cell r="BZ45">
            <v>0</v>
          </cell>
          <cell r="CA45">
            <v>0</v>
          </cell>
          <cell r="CB45">
            <v>0</v>
          </cell>
          <cell r="CC45">
            <v>0</v>
          </cell>
          <cell r="CD45">
            <v>0</v>
          </cell>
          <cell r="CE45">
            <v>0</v>
          </cell>
          <cell r="CF45">
            <v>0</v>
          </cell>
          <cell r="CG45">
            <v>0</v>
          </cell>
          <cell r="CH45">
            <v>0</v>
          </cell>
          <cell r="CI45">
            <v>0</v>
          </cell>
          <cell r="CJ45">
            <v>0</v>
          </cell>
          <cell r="CK45">
            <v>0</v>
          </cell>
          <cell r="CL45">
            <v>0</v>
          </cell>
          <cell r="CM45">
            <v>0</v>
          </cell>
          <cell r="CN45">
            <v>0</v>
          </cell>
          <cell r="CO45">
            <v>0</v>
          </cell>
          <cell r="CP45">
            <v>0</v>
          </cell>
          <cell r="CQ45">
            <v>0</v>
          </cell>
          <cell r="CR45">
            <v>0</v>
          </cell>
          <cell r="CS45">
            <v>0</v>
          </cell>
          <cell r="CT45">
            <v>0</v>
          </cell>
          <cell r="CU45">
            <v>0</v>
          </cell>
        </row>
        <row r="46">
          <cell r="E46">
            <v>7.1428571428571432</v>
          </cell>
          <cell r="F46">
            <v>7.1428571428571432</v>
          </cell>
          <cell r="G46">
            <v>7.1428571428571432</v>
          </cell>
          <cell r="H46">
            <v>7.1428571428571432</v>
          </cell>
          <cell r="I46">
            <v>7.1428571428571432</v>
          </cell>
        </row>
        <row r="47">
          <cell r="E47">
            <v>7.1428571428571432</v>
          </cell>
          <cell r="F47">
            <v>7.1428571428571432</v>
          </cell>
          <cell r="G47">
            <v>7.1428571428571432</v>
          </cell>
          <cell r="H47">
            <v>7.1428571428571432</v>
          </cell>
          <cell r="I47">
            <v>7.1428571428571432</v>
          </cell>
        </row>
        <row r="48">
          <cell r="B48">
            <v>50</v>
          </cell>
          <cell r="E48">
            <v>42.857142857142854</v>
          </cell>
          <cell r="F48">
            <v>35.714285714285708</v>
          </cell>
          <cell r="G48">
            <v>28.571428571428566</v>
          </cell>
          <cell r="H48">
            <v>21.428571428571423</v>
          </cell>
          <cell r="I48">
            <v>14.285714285714281</v>
          </cell>
        </row>
        <row r="52">
          <cell r="F52">
            <v>125</v>
          </cell>
          <cell r="G52">
            <v>250</v>
          </cell>
        </row>
        <row r="53">
          <cell r="F53">
            <v>125</v>
          </cell>
          <cell r="G53">
            <v>250</v>
          </cell>
        </row>
        <row r="55">
          <cell r="F55">
            <v>5.64</v>
          </cell>
          <cell r="G55">
            <v>5.28</v>
          </cell>
          <cell r="H55">
            <v>4.8</v>
          </cell>
          <cell r="I55">
            <v>4.32</v>
          </cell>
          <cell r="O55">
            <v>1.44</v>
          </cell>
          <cell r="P55">
            <v>0.96</v>
          </cell>
          <cell r="Q55">
            <v>0.48</v>
          </cell>
          <cell r="R55">
            <v>0.12</v>
          </cell>
        </row>
        <row r="56">
          <cell r="F56">
            <v>6</v>
          </cell>
          <cell r="G56">
            <v>12</v>
          </cell>
          <cell r="H56">
            <v>12</v>
          </cell>
          <cell r="I56">
            <v>12</v>
          </cell>
          <cell r="O56">
            <v>12</v>
          </cell>
          <cell r="P56">
            <v>12</v>
          </cell>
          <cell r="Q56">
            <v>12</v>
          </cell>
          <cell r="R56">
            <v>6</v>
          </cell>
        </row>
        <row r="57">
          <cell r="F57">
            <v>6</v>
          </cell>
          <cell r="G57">
            <v>6</v>
          </cell>
          <cell r="H57">
            <v>6</v>
          </cell>
          <cell r="I57">
            <v>6</v>
          </cell>
          <cell r="O57">
            <v>6</v>
          </cell>
          <cell r="P57">
            <v>6</v>
          </cell>
          <cell r="Q57">
            <v>6</v>
          </cell>
        </row>
        <row r="58">
          <cell r="G58">
            <v>6</v>
          </cell>
          <cell r="H58">
            <v>6</v>
          </cell>
          <cell r="I58">
            <v>6</v>
          </cell>
          <cell r="O58">
            <v>6</v>
          </cell>
          <cell r="P58">
            <v>6</v>
          </cell>
          <cell r="Q58">
            <v>6</v>
          </cell>
          <cell r="R58">
            <v>6</v>
          </cell>
        </row>
        <row r="59">
          <cell r="B59">
            <v>144</v>
          </cell>
          <cell r="F59">
            <v>138</v>
          </cell>
          <cell r="G59">
            <v>126</v>
          </cell>
          <cell r="H59">
            <v>114</v>
          </cell>
          <cell r="I59">
            <v>102</v>
          </cell>
          <cell r="O59">
            <v>30</v>
          </cell>
          <cell r="P59">
            <v>18</v>
          </cell>
          <cell r="Q59">
            <v>6</v>
          </cell>
          <cell r="R59">
            <v>0</v>
          </cell>
        </row>
        <row r="63">
          <cell r="B63">
            <v>205</v>
          </cell>
          <cell r="D63">
            <v>0</v>
          </cell>
          <cell r="E63">
            <v>80</v>
          </cell>
          <cell r="F63">
            <v>125</v>
          </cell>
        </row>
        <row r="64">
          <cell r="B64">
            <v>165</v>
          </cell>
          <cell r="D64">
            <v>0</v>
          </cell>
          <cell r="E64">
            <v>64.390243902439025</v>
          </cell>
          <cell r="F64">
            <v>100.60975609756098</v>
          </cell>
        </row>
        <row r="65">
          <cell r="B65">
            <v>40</v>
          </cell>
          <cell r="D65">
            <v>0</v>
          </cell>
          <cell r="E65">
            <v>15.609756097560975</v>
          </cell>
          <cell r="F65">
            <v>24.390243902439025</v>
          </cell>
        </row>
        <row r="67">
          <cell r="D67">
            <v>0</v>
          </cell>
          <cell r="E67">
            <v>1.851219512195122</v>
          </cell>
          <cell r="F67">
            <v>6.433993902439024</v>
          </cell>
          <cell r="G67">
            <v>8.7530487804878039</v>
          </cell>
          <cell r="H67">
            <v>7.9280487804878037</v>
          </cell>
          <cell r="I67">
            <v>7.1030487804878044</v>
          </cell>
          <cell r="O67">
            <v>2.1530487804878038</v>
          </cell>
          <cell r="P67">
            <v>1.3280487804878038</v>
          </cell>
          <cell r="Q67">
            <v>0.58353658536585262</v>
          </cell>
          <cell r="R67">
            <v>0.12576219512195019</v>
          </cell>
        </row>
        <row r="68">
          <cell r="E68">
            <v>2.6829268292682928</v>
          </cell>
          <cell r="F68">
            <v>9.5579268292682933</v>
          </cell>
          <cell r="G68">
            <v>13.75</v>
          </cell>
          <cell r="H68">
            <v>13.75</v>
          </cell>
          <cell r="I68">
            <v>13.75</v>
          </cell>
          <cell r="O68">
            <v>13.75</v>
          </cell>
          <cell r="P68">
            <v>13.75</v>
          </cell>
          <cell r="Q68">
            <v>11.067073170731708</v>
          </cell>
          <cell r="R68">
            <v>4.1920731707317076</v>
          </cell>
        </row>
        <row r="69">
          <cell r="D69">
            <v>0</v>
          </cell>
          <cell r="E69">
            <v>0</v>
          </cell>
          <cell r="F69">
            <v>0</v>
          </cell>
          <cell r="G69">
            <v>0</v>
          </cell>
          <cell r="H69">
            <v>0</v>
          </cell>
          <cell r="I69">
            <v>0</v>
          </cell>
          <cell r="O69">
            <v>0</v>
          </cell>
        </row>
        <row r="70">
          <cell r="E70">
            <v>0</v>
          </cell>
          <cell r="F70">
            <v>0</v>
          </cell>
          <cell r="G70">
            <v>0</v>
          </cell>
          <cell r="H70">
            <v>0</v>
          </cell>
          <cell r="I70">
            <v>0</v>
          </cell>
          <cell r="O70">
            <v>0</v>
          </cell>
          <cell r="P70">
            <v>0</v>
          </cell>
        </row>
        <row r="71">
          <cell r="E71">
            <v>2.6829268292682928</v>
          </cell>
          <cell r="F71">
            <v>5.3658536585365857</v>
          </cell>
          <cell r="G71">
            <v>5.3658536585365857</v>
          </cell>
          <cell r="H71">
            <v>5.3658536585365857</v>
          </cell>
          <cell r="I71">
            <v>5.3658536585365857</v>
          </cell>
          <cell r="O71">
            <v>5.3658536585365857</v>
          </cell>
          <cell r="P71">
            <v>5.3658536585365857</v>
          </cell>
          <cell r="Q71">
            <v>2.6829268292682928</v>
          </cell>
        </row>
        <row r="72">
          <cell r="F72">
            <v>4.1920731707317076</v>
          </cell>
          <cell r="G72">
            <v>8.3841463414634152</v>
          </cell>
          <cell r="H72">
            <v>8.3841463414634152</v>
          </cell>
          <cell r="I72">
            <v>8.3841463414634152</v>
          </cell>
          <cell r="O72">
            <v>8.3841463414634152</v>
          </cell>
          <cell r="P72">
            <v>8.3841463414634152</v>
          </cell>
          <cell r="Q72">
            <v>8.3841463414634152</v>
          </cell>
          <cell r="R72">
            <v>4.1920731707317076</v>
          </cell>
        </row>
        <row r="73">
          <cell r="D73">
            <v>0</v>
          </cell>
          <cell r="E73">
            <v>61.707317073170735</v>
          </cell>
          <cell r="F73">
            <v>152.75914634146341</v>
          </cell>
          <cell r="G73">
            <v>139.00914634146341</v>
          </cell>
          <cell r="H73">
            <v>125.25914634146341</v>
          </cell>
          <cell r="I73">
            <v>111.50914634146341</v>
          </cell>
          <cell r="O73">
            <v>29.009146341463399</v>
          </cell>
          <cell r="P73">
            <v>15.259146341463399</v>
          </cell>
          <cell r="Q73">
            <v>4.1920731707316907</v>
          </cell>
          <cell r="R73">
            <v>-1.7319479184152442E-14</v>
          </cell>
        </row>
        <row r="74">
          <cell r="C74">
            <v>0</v>
          </cell>
          <cell r="D74">
            <v>0</v>
          </cell>
          <cell r="E74">
            <v>0</v>
          </cell>
          <cell r="F74">
            <v>0</v>
          </cell>
          <cell r="G74">
            <v>0</v>
          </cell>
          <cell r="H74">
            <v>0</v>
          </cell>
          <cell r="I74">
            <v>0</v>
          </cell>
          <cell r="O74">
            <v>0</v>
          </cell>
          <cell r="P74">
            <v>0</v>
          </cell>
          <cell r="Q74">
            <v>0</v>
          </cell>
          <cell r="R74">
            <v>0</v>
          </cell>
        </row>
        <row r="75">
          <cell r="C75">
            <v>0</v>
          </cell>
          <cell r="E75">
            <v>0</v>
          </cell>
          <cell r="F75">
            <v>0</v>
          </cell>
          <cell r="G75">
            <v>0</v>
          </cell>
          <cell r="H75">
            <v>0</v>
          </cell>
          <cell r="I75">
            <v>0</v>
          </cell>
          <cell r="O75">
            <v>0</v>
          </cell>
          <cell r="P75">
            <v>0</v>
          </cell>
          <cell r="Q75">
            <v>0</v>
          </cell>
          <cell r="R75">
            <v>0</v>
          </cell>
        </row>
        <row r="76">
          <cell r="C76">
            <v>64.390243902439025</v>
          </cell>
          <cell r="E76">
            <v>61.707317073170735</v>
          </cell>
          <cell r="F76">
            <v>56.341463414634148</v>
          </cell>
          <cell r="G76">
            <v>50.975609756097562</v>
          </cell>
          <cell r="H76">
            <v>45.609756097560975</v>
          </cell>
          <cell r="I76">
            <v>40.243902439024389</v>
          </cell>
          <cell r="O76">
            <v>8.0487804878048692</v>
          </cell>
          <cell r="P76">
            <v>2.6829268292682835</v>
          </cell>
          <cell r="Q76">
            <v>-9.3258734068513149E-15</v>
          </cell>
          <cell r="R76">
            <v>-9.3258734068513149E-15</v>
          </cell>
        </row>
        <row r="77">
          <cell r="C77">
            <v>100.60975609756098</v>
          </cell>
          <cell r="F77">
            <v>96.417682926829272</v>
          </cell>
          <cell r="G77">
            <v>88.033536585365852</v>
          </cell>
          <cell r="H77">
            <v>79.649390243902431</v>
          </cell>
          <cell r="I77">
            <v>71.265243902439011</v>
          </cell>
          <cell r="O77">
            <v>20.96036585365853</v>
          </cell>
          <cell r="P77">
            <v>12.576219512195115</v>
          </cell>
          <cell r="Q77">
            <v>4.1920731707316996</v>
          </cell>
          <cell r="R77">
            <v>-7.9936057773011271E-15</v>
          </cell>
        </row>
      </sheetData>
      <sheetData sheetId="13" refreshError="1">
        <row r="1">
          <cell r="A1">
            <v>37893.607382060189</v>
          </cell>
        </row>
        <row r="9">
          <cell r="I9">
            <v>478.52908405219171</v>
          </cell>
          <cell r="M9">
            <v>569.99682027001381</v>
          </cell>
          <cell r="N9">
            <v>516.36029163366197</v>
          </cell>
          <cell r="O9">
            <v>475.34933695051421</v>
          </cell>
          <cell r="P9">
            <v>270.31174187016069</v>
          </cell>
          <cell r="Q9">
            <v>247.65140117683296</v>
          </cell>
          <cell r="R9">
            <v>195.00956270535917</v>
          </cell>
          <cell r="S9">
            <v>192.55857072647674</v>
          </cell>
          <cell r="T9">
            <v>203.39751082172731</v>
          </cell>
          <cell r="U9">
            <v>198.14871540477094</v>
          </cell>
          <cell r="V9">
            <v>196.22593038310362</v>
          </cell>
          <cell r="W9">
            <v>198.90379626742413</v>
          </cell>
          <cell r="X9">
            <v>196.61973816153682</v>
          </cell>
          <cell r="Y9">
            <v>220.097490431474</v>
          </cell>
          <cell r="Z9">
            <v>228.39544754716394</v>
          </cell>
          <cell r="AA9">
            <v>229.14929233323807</v>
          </cell>
          <cell r="AB9">
            <v>226.77938309376924</v>
          </cell>
          <cell r="AC9">
            <v>228.20542334986749</v>
          </cell>
          <cell r="AD9">
            <v>219.70865610863106</v>
          </cell>
          <cell r="AE9">
            <v>232.18224752846297</v>
          </cell>
          <cell r="AF9">
            <v>245.23284280443289</v>
          </cell>
          <cell r="AG9">
            <v>230.9097977551823</v>
          </cell>
          <cell r="AH9">
            <v>229.88044014745023</v>
          </cell>
          <cell r="AI9">
            <v>227.07060842586827</v>
          </cell>
          <cell r="AJ9">
            <v>238.29982102208581</v>
          </cell>
        </row>
        <row r="10">
          <cell r="I10">
            <v>328.67200000000003</v>
          </cell>
          <cell r="O10">
            <v>388.5</v>
          </cell>
          <cell r="P10">
            <v>220.70456302686239</v>
          </cell>
          <cell r="Q10">
            <v>198.85985338389179</v>
          </cell>
          <cell r="R10">
            <v>160.82702944671624</v>
          </cell>
          <cell r="S10">
            <v>168.21159413912835</v>
          </cell>
          <cell r="T10">
            <v>176.02512858877631</v>
          </cell>
          <cell r="U10">
            <v>172.77467320112112</v>
          </cell>
          <cell r="V10">
            <v>170.85188817945377</v>
          </cell>
          <cell r="W10">
            <v>168.53692118082103</v>
          </cell>
          <cell r="X10">
            <v>166.25286307493369</v>
          </cell>
          <cell r="Y10">
            <v>182.16384094487088</v>
          </cell>
          <cell r="Z10">
            <v>182.45379806056087</v>
          </cell>
          <cell r="AA10">
            <v>181.86903525169828</v>
          </cell>
          <cell r="AB10">
            <v>186.80091655736607</v>
          </cell>
          <cell r="AC10">
            <v>188.52530691718584</v>
          </cell>
          <cell r="AD10">
            <v>195.17809241856546</v>
          </cell>
          <cell r="AE10">
            <v>214.79723658101338</v>
          </cell>
          <cell r="AF10">
            <v>226.98538459959934</v>
          </cell>
          <cell r="AG10">
            <v>214.6574567846188</v>
          </cell>
          <cell r="AH10">
            <v>217.59936475415955</v>
          </cell>
          <cell r="AI10">
            <v>215.90323411819637</v>
          </cell>
          <cell r="AJ10">
            <v>226.26999945702994</v>
          </cell>
        </row>
        <row r="11">
          <cell r="I11">
            <v>110.7</v>
          </cell>
          <cell r="O11">
            <v>63.191279999999992</v>
          </cell>
          <cell r="P11">
            <v>31.974000213298268</v>
          </cell>
          <cell r="Q11">
            <v>31.15836916294117</v>
          </cell>
          <cell r="R11">
            <v>22.233544418642936</v>
          </cell>
          <cell r="S11">
            <v>18.0821775373484</v>
          </cell>
          <cell r="T11">
            <v>15.794757107951</v>
          </cell>
          <cell r="U11">
            <v>16.928816603649835</v>
          </cell>
          <cell r="V11">
            <v>16.928816603649835</v>
          </cell>
          <cell r="W11">
            <v>13.890003916982835</v>
          </cell>
          <cell r="X11">
            <v>13.890003916982891</v>
          </cell>
          <cell r="Y11">
            <v>13.890003916982849</v>
          </cell>
          <cell r="Z11">
            <v>13.890003916982849</v>
          </cell>
          <cell r="AA11">
            <v>15.228611511919558</v>
          </cell>
          <cell r="AB11">
            <v>15.958466536403174</v>
          </cell>
          <cell r="AC11">
            <v>15.660116432681644</v>
          </cell>
          <cell r="AD11">
            <v>16.522563690065603</v>
          </cell>
          <cell r="AE11">
            <v>17.385010947449576</v>
          </cell>
          <cell r="AF11">
            <v>18.247458204833542</v>
          </cell>
          <cell r="AG11">
            <v>16.252340970563484</v>
          </cell>
          <cell r="AH11">
            <v>12.28107539329069</v>
          </cell>
          <cell r="AI11">
            <v>11.167374307671906</v>
          </cell>
          <cell r="AJ11">
            <v>12.029821565055876</v>
          </cell>
        </row>
        <row r="12">
          <cell r="E12">
            <v>29</v>
          </cell>
          <cell r="F12">
            <v>58.8</v>
          </cell>
          <cell r="G12">
            <v>44.4</v>
          </cell>
          <cell r="H12">
            <v>9.7029999999999994</v>
          </cell>
          <cell r="I12">
            <v>39.157084052191699</v>
          </cell>
          <cell r="O12">
            <v>23.658056950514222</v>
          </cell>
          <cell r="P12">
            <v>17.698752387372057</v>
          </cell>
          <cell r="Q12">
            <v>17.70181448033528</v>
          </cell>
          <cell r="R12">
            <v>12.02956436693122</v>
          </cell>
          <cell r="S12">
            <v>6.3434776014214922</v>
          </cell>
          <cell r="T12">
            <v>11.692754004364815</v>
          </cell>
          <cell r="U12">
            <v>8.5562689708653483</v>
          </cell>
          <cell r="V12">
            <v>20.563057124921926</v>
          </cell>
          <cell r="W12">
            <v>38.452280196448434</v>
          </cell>
          <cell r="X12">
            <v>48.383663823345714</v>
          </cell>
          <cell r="Y12">
            <v>39.827394852480367</v>
          </cell>
          <cell r="Z12">
            <v>39.827394852480367</v>
          </cell>
          <cell r="AA12">
            <v>27.820606698423788</v>
          </cell>
          <cell r="AB12">
            <v>9.9313836268972775</v>
          </cell>
          <cell r="AC12">
            <v>0</v>
          </cell>
          <cell r="AD12">
            <v>0</v>
          </cell>
          <cell r="AE12">
            <v>0</v>
          </cell>
          <cell r="AF12">
            <v>0</v>
          </cell>
          <cell r="AG12">
            <v>0</v>
          </cell>
          <cell r="AH12">
            <v>0</v>
          </cell>
          <cell r="AI12">
            <v>0</v>
          </cell>
          <cell r="AJ12">
            <v>0</v>
          </cell>
        </row>
        <row r="13">
          <cell r="O13">
            <v>111.78119430872916</v>
          </cell>
          <cell r="P13">
            <v>82.136152893652806</v>
          </cell>
          <cell r="Q13">
            <v>78.082909632911495</v>
          </cell>
          <cell r="R13">
            <v>78.296095979321407</v>
          </cell>
          <cell r="S13">
            <v>82.308035217666685</v>
          </cell>
          <cell r="T13">
            <v>88.562678793293117</v>
          </cell>
          <cell r="U13">
            <v>92.97683607936105</v>
          </cell>
          <cell r="V13">
            <v>100.33310464072603</v>
          </cell>
          <cell r="W13">
            <v>106.07188318287547</v>
          </cell>
          <cell r="X13">
            <v>112.96121458746374</v>
          </cell>
          <cell r="Y13">
            <v>121.31271942343115</v>
          </cell>
          <cell r="Z13">
            <v>129.40479231698995</v>
          </cell>
          <cell r="AA13">
            <v>139.15180756802428</v>
          </cell>
          <cell r="AB13">
            <v>149.50260852442094</v>
          </cell>
          <cell r="AC13">
            <v>160.48288397470694</v>
          </cell>
          <cell r="AD13">
            <v>172.33286943818132</v>
          </cell>
          <cell r="AE13">
            <v>184.91064897354249</v>
          </cell>
          <cell r="AF13">
            <v>197.95607112268658</v>
          </cell>
          <cell r="AG13">
            <v>212.54814654027709</v>
          </cell>
          <cell r="AH13">
            <v>228.3227752613162</v>
          </cell>
          <cell r="AI13">
            <v>245.03933596098111</v>
          </cell>
          <cell r="AJ13">
            <v>241.82299097012182</v>
          </cell>
        </row>
        <row r="14">
          <cell r="I14">
            <v>55.975269275000002</v>
          </cell>
          <cell r="O14">
            <v>17.208359999999999</v>
          </cell>
          <cell r="P14">
            <v>9.495990114412292</v>
          </cell>
          <cell r="Q14">
            <v>8.3766522348932604</v>
          </cell>
          <cell r="R14">
            <v>7.4672676151066719</v>
          </cell>
          <cell r="S14">
            <v>6.9530605804499235</v>
          </cell>
          <cell r="T14">
            <v>6.6186248022481742</v>
          </cell>
          <cell r="U14">
            <v>6.3644705523581653</v>
          </cell>
          <cell r="V14">
            <v>6.1028211520359577</v>
          </cell>
          <cell r="W14">
            <v>5.8582650730762502</v>
          </cell>
          <cell r="X14">
            <v>5.6421978630540472</v>
          </cell>
          <cell r="Y14">
            <v>5.4261306530318443</v>
          </cell>
          <cell r="Z14">
            <v>5.2100634430096395</v>
          </cell>
          <cell r="AA14">
            <v>4.9889764545064237</v>
          </cell>
          <cell r="AB14">
            <v>4.7725859204493197</v>
          </cell>
          <cell r="AC14">
            <v>4.6034353476604704</v>
          </cell>
          <cell r="AD14">
            <v>4.482885223433458</v>
          </cell>
          <cell r="AE14">
            <v>4.3558667447760637</v>
          </cell>
          <cell r="AF14">
            <v>4.2223799116882903</v>
          </cell>
          <cell r="AG14">
            <v>4.1032611319217809</v>
          </cell>
          <cell r="AH14">
            <v>4.0758734521610718</v>
          </cell>
          <cell r="AI14">
            <v>4.1420238310847575</v>
          </cell>
          <cell r="AJ14">
            <v>4.0302985890969119</v>
          </cell>
        </row>
        <row r="15">
          <cell r="I15">
            <v>5753.8643782671916</v>
          </cell>
          <cell r="O15">
            <v>3429.5216475764373</v>
          </cell>
          <cell r="P15">
            <v>3328.4109254684408</v>
          </cell>
          <cell r="Q15">
            <v>3414.7483205715648</v>
          </cell>
          <cell r="R15">
            <v>3450.8650852607443</v>
          </cell>
          <cell r="S15">
            <v>3617.0161269081236</v>
          </cell>
          <cell r="T15">
            <v>3880.5262706054073</v>
          </cell>
          <cell r="U15">
            <v>4038.8903143745283</v>
          </cell>
          <cell r="V15">
            <v>4277.795472073758</v>
          </cell>
          <cell r="W15">
            <v>4445.188965771099</v>
          </cell>
          <cell r="X15">
            <v>4636.0707868789632</v>
          </cell>
          <cell r="Y15">
            <v>4853.0115485721308</v>
          </cell>
          <cell r="Z15">
            <v>5086.9637113272111</v>
          </cell>
          <cell r="AA15">
            <v>5337.9908020091789</v>
          </cell>
          <cell r="AB15">
            <v>5610.1466719776372</v>
          </cell>
          <cell r="AC15">
            <v>5900.7241299824509</v>
          </cell>
          <cell r="AD15">
            <v>6220.5231118706361</v>
          </cell>
          <cell r="AE15">
            <v>6550.1056941255765</v>
          </cell>
          <cell r="AF15">
            <v>6889.7259467956928</v>
          </cell>
          <cell r="AG15">
            <v>7266.5570780902635</v>
          </cell>
          <cell r="AH15">
            <v>7668.7577523312511</v>
          </cell>
          <cell r="AI15">
            <v>8098.9450597172345</v>
          </cell>
          <cell r="AJ15">
            <v>8056.6122353549817</v>
          </cell>
        </row>
        <row r="17">
          <cell r="I17">
            <v>6279</v>
          </cell>
          <cell r="O17">
            <v>4713.390279034993</v>
          </cell>
          <cell r="P17">
            <v>4650.5322569626569</v>
          </cell>
          <cell r="Q17">
            <v>4867.6106655570338</v>
          </cell>
          <cell r="R17">
            <v>5051.094728209644</v>
          </cell>
          <cell r="S17">
            <v>5451.7517299739511</v>
          </cell>
          <cell r="T17">
            <v>6100.4240621867821</v>
          </cell>
          <cell r="U17">
            <v>6439.1588915038592</v>
          </cell>
          <cell r="V17">
            <v>6920.0495834128824</v>
          </cell>
          <cell r="W17">
            <v>7208.8494743713309</v>
          </cell>
          <cell r="X17">
            <v>7527.3252763718765</v>
          </cell>
          <cell r="Y17">
            <v>7911.551607145323</v>
          </cell>
          <cell r="Z17">
            <v>8319.2866104503282</v>
          </cell>
          <cell r="AA17">
            <v>8742.833116839578</v>
          </cell>
          <cell r="AB17">
            <v>9186.1100170363879</v>
          </cell>
          <cell r="AC17">
            <v>9646.1546648044641</v>
          </cell>
          <cell r="AD17">
            <v>10133.76316945685</v>
          </cell>
          <cell r="AE17">
            <v>10628.880392635348</v>
          </cell>
          <cell r="AF17">
            <v>11131.888481361224</v>
          </cell>
          <cell r="AG17">
            <v>11671.166266079221</v>
          </cell>
          <cell r="AH17">
            <v>12234.473498593074</v>
          </cell>
          <cell r="AI17">
            <v>12824.694657345666</v>
          </cell>
          <cell r="AJ17">
            <v>12586.394836323581</v>
          </cell>
        </row>
        <row r="18">
          <cell r="I18">
            <v>70.868099759916092</v>
          </cell>
          <cell r="O18">
            <v>41.35963645684047</v>
          </cell>
          <cell r="P18">
            <v>39.540091696953702</v>
          </cell>
          <cell r="Q18">
            <v>37.817484943238775</v>
          </cell>
          <cell r="R18">
            <v>35.736071002196049</v>
          </cell>
          <cell r="S18">
            <v>34.280921267257291</v>
          </cell>
          <cell r="T18">
            <v>33.92843168296951</v>
          </cell>
          <cell r="U18">
            <v>31.923635700173648</v>
          </cell>
          <cell r="V18">
            <v>30.446376825592182</v>
          </cell>
          <cell r="W18">
            <v>25.194078929460815</v>
          </cell>
          <cell r="X18">
            <v>24.159964388108762</v>
          </cell>
          <cell r="Y18">
            <v>23.315440643576686</v>
          </cell>
          <cell r="Z18">
            <v>22.503302901369736</v>
          </cell>
          <cell r="AA18">
            <v>21.696598669629193</v>
          </cell>
          <cell r="AB18">
            <v>20.90533610833689</v>
          </cell>
          <cell r="AC18">
            <v>20.117527280227179</v>
          </cell>
          <cell r="AD18">
            <v>19.356055620471327</v>
          </cell>
          <cell r="AE18">
            <v>18.593423618037168</v>
          </cell>
          <cell r="AF18">
            <v>17.834725285928453</v>
          </cell>
          <cell r="AG18">
            <v>17.125275478760692</v>
          </cell>
          <cell r="AH18">
            <v>16.441230876243718</v>
          </cell>
          <cell r="AI18">
            <v>15.784172202047559</v>
          </cell>
          <cell r="AJ18" t="e">
            <v>#DIV/0!</v>
          </cell>
        </row>
        <row r="20">
          <cell r="I20">
            <v>0</v>
          </cell>
          <cell r="O20">
            <v>0</v>
          </cell>
          <cell r="P20">
            <v>0</v>
          </cell>
          <cell r="S20">
            <v>0</v>
          </cell>
          <cell r="T20">
            <v>0</v>
          </cell>
          <cell r="U20">
            <v>0</v>
          </cell>
          <cell r="V20">
            <v>0</v>
          </cell>
          <cell r="W20">
            <v>0</v>
          </cell>
          <cell r="X20">
            <v>0</v>
          </cell>
          <cell r="Y20">
            <v>0</v>
          </cell>
          <cell r="Z20">
            <v>0</v>
          </cell>
          <cell r="AA20">
            <v>0</v>
          </cell>
          <cell r="AB20">
            <v>0</v>
          </cell>
          <cell r="AC20">
            <v>0</v>
          </cell>
        </row>
        <row r="21">
          <cell r="H21">
            <v>15.431793451379958</v>
          </cell>
          <cell r="I21">
            <v>111.16200803212851</v>
          </cell>
          <cell r="O21">
            <v>3.1139240506329116</v>
          </cell>
          <cell r="P21">
            <v>0</v>
          </cell>
          <cell r="Q21">
            <v>95</v>
          </cell>
          <cell r="R21">
            <v>185.04349695568834</v>
          </cell>
          <cell r="S21">
            <v>284.17594494328364</v>
          </cell>
          <cell r="T21">
            <v>405.74311067772322</v>
          </cell>
          <cell r="U21">
            <v>450.09288008548305</v>
          </cell>
          <cell r="V21">
            <v>499.44974693695531</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row>
        <row r="22">
          <cell r="H22">
            <v>0</v>
          </cell>
          <cell r="I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row>
        <row r="23">
          <cell r="H23">
            <v>0</v>
          </cell>
          <cell r="I23">
            <v>23.3</v>
          </cell>
          <cell r="O23">
            <v>0</v>
          </cell>
          <cell r="P23">
            <v>0</v>
          </cell>
          <cell r="Q23">
            <v>20</v>
          </cell>
          <cell r="R23">
            <v>42.702345451312695</v>
          </cell>
          <cell r="S23">
            <v>47.362657490547278</v>
          </cell>
          <cell r="T23">
            <v>52.923014436224769</v>
          </cell>
          <cell r="U23">
            <v>58.707766967671702</v>
          </cell>
          <cell r="V23">
            <v>65.145619165689823</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row>
        <row r="24">
          <cell r="I24">
            <v>0</v>
          </cell>
          <cell r="O24">
            <v>0</v>
          </cell>
          <cell r="P24">
            <v>0</v>
          </cell>
          <cell r="Q24">
            <v>25</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row>
        <row r="25">
          <cell r="H25">
            <v>15.431793451379958</v>
          </cell>
          <cell r="I25">
            <v>80.7</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row>
        <row r="26">
          <cell r="H26">
            <v>0</v>
          </cell>
          <cell r="I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row>
        <row r="27">
          <cell r="I27">
            <v>0</v>
          </cell>
          <cell r="O27">
            <v>3.1139240506329116</v>
          </cell>
          <cell r="P27">
            <v>0</v>
          </cell>
          <cell r="Q27">
            <v>50</v>
          </cell>
          <cell r="R27">
            <v>142.34115150437566</v>
          </cell>
          <cell r="S27">
            <v>236.81328745273638</v>
          </cell>
          <cell r="T27">
            <v>352.82009624149845</v>
          </cell>
          <cell r="U27">
            <v>391.38511311781133</v>
          </cell>
          <cell r="V27">
            <v>434.30412777126548</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row>
        <row r="28">
          <cell r="H28">
            <v>0</v>
          </cell>
          <cell r="I28">
            <v>6.6770080321285139</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row>
        <row r="29">
          <cell r="H29">
            <v>0</v>
          </cell>
          <cell r="I29">
            <v>0.48499999999999999</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row>
        <row r="30">
          <cell r="H30">
            <v>119.49513485165348</v>
          </cell>
          <cell r="I30">
            <v>191.84499546185677</v>
          </cell>
          <cell r="O30">
            <v>132.42968497503085</v>
          </cell>
          <cell r="P30">
            <v>137.29549194972225</v>
          </cell>
          <cell r="Q30">
            <v>162.83574373290463</v>
          </cell>
          <cell r="R30">
            <v>157.57671068076311</v>
          </cell>
          <cell r="S30">
            <v>203.10620982598061</v>
          </cell>
          <cell r="T30">
            <v>230.41331463531611</v>
          </cell>
          <cell r="U30">
            <v>252.30236003265716</v>
          </cell>
          <cell r="V30">
            <v>286.09758540491822</v>
          </cell>
          <cell r="W30">
            <v>299.83026950435431</v>
          </cell>
          <cell r="X30">
            <v>314.22212244056334</v>
          </cell>
          <cell r="Y30">
            <v>329.30478431771041</v>
          </cell>
          <cell r="Z30">
            <v>345.11141396496049</v>
          </cell>
          <cell r="AA30">
            <v>361.67676183527863</v>
          </cell>
          <cell r="AB30">
            <v>379.03724640337202</v>
          </cell>
          <cell r="AC30">
            <v>397.23103423073394</v>
          </cell>
          <cell r="AD30">
            <v>416.29812387380912</v>
          </cell>
          <cell r="AE30">
            <v>436.28043381975203</v>
          </cell>
          <cell r="AF30">
            <v>457.22189464310014</v>
          </cell>
          <cell r="AG30">
            <v>479.16854558596896</v>
          </cell>
          <cell r="AH30">
            <v>502.16863577409549</v>
          </cell>
          <cell r="AI30">
            <v>526.27273029125217</v>
          </cell>
          <cell r="AJ30">
            <v>551.53382134523224</v>
          </cell>
        </row>
        <row r="31">
          <cell r="I31">
            <v>77</v>
          </cell>
          <cell r="O31">
            <v>104.17302798982189</v>
          </cell>
          <cell r="P31">
            <v>106.25648854961833</v>
          </cell>
          <cell r="Q31">
            <v>108.3816183206107</v>
          </cell>
          <cell r="R31">
            <v>110.54925068702292</v>
          </cell>
          <cell r="S31">
            <v>112.76023570076337</v>
          </cell>
          <cell r="T31">
            <v>126.94304277178628</v>
          </cell>
          <cell r="U31">
            <v>129.48190362722201</v>
          </cell>
          <cell r="V31">
            <v>132.07154169976644</v>
          </cell>
          <cell r="W31">
            <v>134.71297253376179</v>
          </cell>
          <cell r="X31">
            <v>137.40723198443703</v>
          </cell>
          <cell r="Y31">
            <v>140.15537662412578</v>
          </cell>
          <cell r="Z31">
            <v>142.95848415660831</v>
          </cell>
          <cell r="AA31">
            <v>145.81765383974047</v>
          </cell>
          <cell r="AB31">
            <v>148.73400691653529</v>
          </cell>
          <cell r="AC31">
            <v>151.708687054866</v>
          </cell>
          <cell r="AD31">
            <v>154.74286079596334</v>
          </cell>
          <cell r="AE31">
            <v>157.8377180118826</v>
          </cell>
          <cell r="AF31">
            <v>160.99447237212024</v>
          </cell>
          <cell r="AG31">
            <v>164.21436181956264</v>
          </cell>
          <cell r="AH31">
            <v>167.4986490559539</v>
          </cell>
          <cell r="AI31">
            <v>170.848622037073</v>
          </cell>
          <cell r="AJ31">
            <v>174.26559447781446</v>
          </cell>
        </row>
        <row r="32">
          <cell r="I32">
            <v>16.400000000000002</v>
          </cell>
          <cell r="O32">
            <v>6.4575063613231558</v>
          </cell>
          <cell r="P32">
            <v>6.4575063613231558</v>
          </cell>
          <cell r="Q32">
            <v>6.4575063613231558</v>
          </cell>
          <cell r="R32">
            <v>6.4575063613231558</v>
          </cell>
          <cell r="S32">
            <v>6.4575063613231558</v>
          </cell>
          <cell r="T32">
            <v>6.4575063613231558</v>
          </cell>
          <cell r="U32">
            <v>6.4575063613231558</v>
          </cell>
          <cell r="V32">
            <v>6.4575063613231558</v>
          </cell>
          <cell r="W32">
            <v>6.4575063613231558</v>
          </cell>
          <cell r="X32">
            <v>6.4575063613231558</v>
          </cell>
          <cell r="Y32">
            <v>6.4575063613231558</v>
          </cell>
          <cell r="Z32">
            <v>6.4575063613231558</v>
          </cell>
          <cell r="AA32">
            <v>6.4575063613231558</v>
          </cell>
          <cell r="AB32">
            <v>6.4575063613231558</v>
          </cell>
          <cell r="AC32">
            <v>6.4575063613231558</v>
          </cell>
          <cell r="AD32">
            <v>6.4575063613231558</v>
          </cell>
          <cell r="AE32">
            <v>6.4575063613231558</v>
          </cell>
          <cell r="AF32">
            <v>6.4575063613231558</v>
          </cell>
          <cell r="AG32">
            <v>6.4575063613231558</v>
          </cell>
          <cell r="AH32">
            <v>6.4575063613231558</v>
          </cell>
          <cell r="AI32">
            <v>6.4575063613231558</v>
          </cell>
          <cell r="AJ32">
            <v>6.4575063613231558</v>
          </cell>
        </row>
        <row r="33">
          <cell r="I33">
            <v>98.444995461856763</v>
          </cell>
          <cell r="O33">
            <v>21.799150623885808</v>
          </cell>
          <cell r="P33">
            <v>24.581497038780768</v>
          </cell>
          <cell r="Q33">
            <v>47.996619050970779</v>
          </cell>
          <cell r="R33">
            <v>40.56995363241704</v>
          </cell>
          <cell r="S33">
            <v>83.888467763894084</v>
          </cell>
          <cell r="T33">
            <v>97.012765502206676</v>
          </cell>
          <cell r="U33">
            <v>116.362950044112</v>
          </cell>
          <cell r="V33">
            <v>147.56853734382861</v>
          </cell>
          <cell r="W33">
            <v>158.65979060926935</v>
          </cell>
          <cell r="X33">
            <v>170.35738409480314</v>
          </cell>
          <cell r="Y33">
            <v>182.69190133226147</v>
          </cell>
          <cell r="Z33">
            <v>195.69542344702901</v>
          </cell>
          <cell r="AA33">
            <v>209.40160163421498</v>
          </cell>
          <cell r="AB33">
            <v>223.84573312551356</v>
          </cell>
          <cell r="AC33">
            <v>239.06484081454477</v>
          </cell>
          <cell r="AD33">
            <v>255.09775671652261</v>
          </cell>
          <cell r="AE33">
            <v>271.98520944654626</v>
          </cell>
          <cell r="AF33">
            <v>289.76991590965673</v>
          </cell>
          <cell r="AG33">
            <v>308.49667740508318</v>
          </cell>
          <cell r="AH33">
            <v>328.21248035681839</v>
          </cell>
          <cell r="AI33">
            <v>348.96660189285598</v>
          </cell>
          <cell r="AJ33">
            <v>370.81072050609458</v>
          </cell>
        </row>
        <row r="34">
          <cell r="H34">
            <v>11.172339150320331</v>
          </cell>
          <cell r="I34">
            <v>16</v>
          </cell>
          <cell r="O34">
            <v>0</v>
          </cell>
          <cell r="P34">
            <v>30</v>
          </cell>
          <cell r="Q34">
            <v>33.211328357562834</v>
          </cell>
          <cell r="R34">
            <v>32.400793578029337</v>
          </cell>
          <cell r="S34">
            <v>20.850672969676921</v>
          </cell>
          <cell r="T34">
            <v>20.850672969676921</v>
          </cell>
          <cell r="U34">
            <v>20.850672969676921</v>
          </cell>
          <cell r="V34">
            <v>20.850672969676921</v>
          </cell>
          <cell r="W34">
            <v>20.850672969676921</v>
          </cell>
          <cell r="X34">
            <v>20.850672969676921</v>
          </cell>
          <cell r="Y34">
            <v>20.850672969676921</v>
          </cell>
          <cell r="Z34">
            <v>20.850672969676921</v>
          </cell>
          <cell r="AA34">
            <v>20.850672969676921</v>
          </cell>
          <cell r="AB34">
            <v>20.850672969676921</v>
          </cell>
          <cell r="AC34">
            <v>20.850672969676921</v>
          </cell>
          <cell r="AD34">
            <v>20.850672969676921</v>
          </cell>
          <cell r="AE34">
            <v>20.850672969676921</v>
          </cell>
          <cell r="AF34">
            <v>20.850672969676921</v>
          </cell>
          <cell r="AG34">
            <v>20.850672969676921</v>
          </cell>
          <cell r="AH34">
            <v>20.850672969676921</v>
          </cell>
          <cell r="AI34">
            <v>20.850672969676921</v>
          </cell>
          <cell r="AJ34">
            <v>20.850672969676921</v>
          </cell>
        </row>
        <row r="35">
          <cell r="H35">
            <v>30</v>
          </cell>
          <cell r="I35">
            <v>59.175642500000002</v>
          </cell>
          <cell r="O35">
            <v>32.448717948717949</v>
          </cell>
          <cell r="P35">
            <v>40.158227848101262</v>
          </cell>
          <cell r="Q35">
            <v>55.87341772151899</v>
          </cell>
          <cell r="R35">
            <v>35.87341772151899</v>
          </cell>
          <cell r="S35">
            <v>25.87341772151899</v>
          </cell>
          <cell r="T35">
            <v>25.87341772151899</v>
          </cell>
          <cell r="U35">
            <v>25.87341772151899</v>
          </cell>
          <cell r="V35">
            <v>25.87341772151899</v>
          </cell>
          <cell r="W35">
            <v>25.87341772151899</v>
          </cell>
          <cell r="X35">
            <v>25.87341772151899</v>
          </cell>
          <cell r="Y35">
            <v>25.87341772151899</v>
          </cell>
          <cell r="Z35">
            <v>25.87341772151899</v>
          </cell>
          <cell r="AA35">
            <v>25.87341772151899</v>
          </cell>
          <cell r="AB35">
            <v>25.87341772151899</v>
          </cell>
          <cell r="AC35">
            <v>25.87341772151899</v>
          </cell>
          <cell r="AD35">
            <v>25.87341772151899</v>
          </cell>
          <cell r="AE35">
            <v>25.87341772151899</v>
          </cell>
          <cell r="AF35">
            <v>25.87341772151899</v>
          </cell>
          <cell r="AG35">
            <v>25.87341772151899</v>
          </cell>
          <cell r="AH35">
            <v>25.87341772151899</v>
          </cell>
          <cell r="AI35">
            <v>25.87341772151899</v>
          </cell>
          <cell r="AJ35">
            <v>25.87341772151899</v>
          </cell>
        </row>
        <row r="36">
          <cell r="I36">
            <v>0</v>
          </cell>
          <cell r="O36">
            <v>0</v>
          </cell>
          <cell r="P36">
            <v>35.851966319640965</v>
          </cell>
          <cell r="Q36">
            <v>40.04</v>
          </cell>
          <cell r="R36">
            <v>80.06</v>
          </cell>
          <cell r="S36">
            <v>80.06</v>
          </cell>
          <cell r="T36">
            <v>40.04</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row>
        <row r="37">
          <cell r="H37">
            <v>3.5465540340478383</v>
          </cell>
          <cell r="I37">
            <v>0.60370699999956745</v>
          </cell>
          <cell r="O37">
            <v>24.178000000000001</v>
          </cell>
          <cell r="P37">
            <v>0</v>
          </cell>
          <cell r="Q37">
            <v>50</v>
          </cell>
          <cell r="R37">
            <v>241.97995755743858</v>
          </cell>
          <cell r="S37">
            <v>268.38839244643458</v>
          </cell>
          <cell r="T37">
            <v>299.89708180527367</v>
          </cell>
          <cell r="U37">
            <v>332.67734615013967</v>
          </cell>
          <cell r="V37">
            <v>369.15850860557566</v>
          </cell>
          <cell r="W37">
            <v>65.145619165689823</v>
          </cell>
          <cell r="X37">
            <v>65.145619165689823</v>
          </cell>
          <cell r="Y37">
            <v>0</v>
          </cell>
          <cell r="Z37">
            <v>0</v>
          </cell>
          <cell r="AA37">
            <v>0</v>
          </cell>
          <cell r="AB37">
            <v>0</v>
          </cell>
          <cell r="AC37">
            <v>0</v>
          </cell>
          <cell r="AD37">
            <v>0</v>
          </cell>
          <cell r="AE37">
            <v>0</v>
          </cell>
          <cell r="AF37">
            <v>0</v>
          </cell>
          <cell r="AG37">
            <v>0</v>
          </cell>
          <cell r="AH37">
            <v>0</v>
          </cell>
          <cell r="AI37">
            <v>0</v>
          </cell>
          <cell r="AJ37">
            <v>0</v>
          </cell>
        </row>
        <row r="38">
          <cell r="H38">
            <v>6.962514041767294E-2</v>
          </cell>
          <cell r="I38">
            <v>3.6363636363636364E-3</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row>
        <row r="39">
          <cell r="H39">
            <v>0</v>
          </cell>
          <cell r="I39">
            <v>0.28674646982802798</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row>
        <row r="40">
          <cell r="H40">
            <v>3.4769288936301654</v>
          </cell>
          <cell r="I40">
            <v>0.31332416653517586</v>
          </cell>
          <cell r="O40">
            <v>0</v>
          </cell>
          <cell r="P40">
            <v>0</v>
          </cell>
          <cell r="Q40">
            <v>0</v>
          </cell>
          <cell r="R40">
            <v>99.63880605306295</v>
          </cell>
          <cell r="S40">
            <v>110.51286747794364</v>
          </cell>
          <cell r="T40">
            <v>123.48703368452446</v>
          </cell>
          <cell r="U40">
            <v>136.98478959123398</v>
          </cell>
          <cell r="V40">
            <v>152.00644471994292</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row>
        <row r="41">
          <cell r="H41">
            <v>0</v>
          </cell>
          <cell r="I41">
            <v>0</v>
          </cell>
          <cell r="O41">
            <v>24.178000000000001</v>
          </cell>
          <cell r="P41">
            <v>0</v>
          </cell>
          <cell r="Q41">
            <v>50</v>
          </cell>
          <cell r="R41">
            <v>99.63880605306295</v>
          </cell>
          <cell r="S41">
            <v>110.51286747794364</v>
          </cell>
          <cell r="T41">
            <v>123.48703368452446</v>
          </cell>
          <cell r="U41">
            <v>136.98478959123398</v>
          </cell>
          <cell r="V41">
            <v>152.00644471994292</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row>
        <row r="42">
          <cell r="I42">
            <v>0</v>
          </cell>
          <cell r="O42">
            <v>0</v>
          </cell>
          <cell r="P42">
            <v>0</v>
          </cell>
          <cell r="Q42">
            <v>0</v>
          </cell>
          <cell r="R42">
            <v>42.702345451312695</v>
          </cell>
          <cell r="S42">
            <v>47.362657490547278</v>
          </cell>
          <cell r="T42">
            <v>52.923014436224769</v>
          </cell>
          <cell r="U42">
            <v>58.707766967671702</v>
          </cell>
          <cell r="V42">
            <v>65.145619165689823</v>
          </cell>
          <cell r="W42">
            <v>65.145619165689823</v>
          </cell>
          <cell r="X42">
            <v>65.145619165689823</v>
          </cell>
          <cell r="Y42">
            <v>65.145619165689823</v>
          </cell>
          <cell r="Z42">
            <v>65.145619165689823</v>
          </cell>
          <cell r="AA42">
            <v>65.145619165689823</v>
          </cell>
          <cell r="AB42">
            <v>65.145619165689823</v>
          </cell>
          <cell r="AC42">
            <v>65.145619165689823</v>
          </cell>
          <cell r="AD42">
            <v>65.145619165689823</v>
          </cell>
          <cell r="AE42">
            <v>65.145619165689823</v>
          </cell>
          <cell r="AF42">
            <v>65.145619165689823</v>
          </cell>
          <cell r="AG42">
            <v>65.145619165689823</v>
          </cell>
          <cell r="AH42">
            <v>65.145619165689823</v>
          </cell>
          <cell r="AI42">
            <v>65.145619165689823</v>
          </cell>
          <cell r="AJ42">
            <v>65.145619165689823</v>
          </cell>
        </row>
        <row r="43">
          <cell r="H43">
            <v>57.05899313730685</v>
          </cell>
          <cell r="I43">
            <v>94.329716243324853</v>
          </cell>
          <cell r="O43">
            <v>68.928237422978654</v>
          </cell>
          <cell r="P43">
            <v>85.17307975113053</v>
          </cell>
          <cell r="Q43">
            <v>125.93944042897795</v>
          </cell>
          <cell r="R43">
            <v>130.47326028442114</v>
          </cell>
          <cell r="S43">
            <v>157.88069540257501</v>
          </cell>
          <cell r="T43">
            <v>260.69633944999555</v>
          </cell>
          <cell r="U43">
            <v>285.3891096423128</v>
          </cell>
          <cell r="V43">
            <v>325.89209135904127</v>
          </cell>
          <cell r="W43">
            <v>341.53491174427529</v>
          </cell>
          <cell r="X43">
            <v>357.92858750800053</v>
          </cell>
          <cell r="Y43">
            <v>375.10915970838454</v>
          </cell>
          <cell r="Z43">
            <v>393.11439937438701</v>
          </cell>
          <cell r="AA43">
            <v>411.98389054435756</v>
          </cell>
          <cell r="AB43">
            <v>431.75911729048676</v>
          </cell>
          <cell r="AC43">
            <v>452.48355492043015</v>
          </cell>
          <cell r="AD43">
            <v>474.20276555661087</v>
          </cell>
          <cell r="AE43">
            <v>496.96449830332824</v>
          </cell>
          <cell r="AF43">
            <v>520.81879422188797</v>
          </cell>
          <cell r="AG43">
            <v>545.81809634453862</v>
          </cell>
          <cell r="AH43">
            <v>572.01736496907654</v>
          </cell>
          <cell r="AI43">
            <v>599.47419848759228</v>
          </cell>
          <cell r="AJ43">
            <v>628.24896001499667</v>
          </cell>
        </row>
        <row r="45">
          <cell r="O45">
            <v>67.5</v>
          </cell>
          <cell r="P45">
            <v>56.6</v>
          </cell>
          <cell r="Q45">
            <v>47.1</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row>
        <row r="46">
          <cell r="O46">
            <v>89.933230769230775</v>
          </cell>
          <cell r="P46">
            <v>62.134936708860756</v>
          </cell>
          <cell r="Q46">
            <v>64.964050632911395</v>
          </cell>
          <cell r="R46">
            <v>11.946835443037973</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row>
        <row r="47">
          <cell r="O47">
            <v>64.403291139240508</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row>
        <row r="48">
          <cell r="O48">
            <v>475.25393695051423</v>
          </cell>
          <cell r="P48">
            <v>270.31174187016069</v>
          </cell>
          <cell r="Q48">
            <v>247.65140117683299</v>
          </cell>
          <cell r="R48">
            <v>195.00956270535912</v>
          </cell>
          <cell r="S48">
            <v>192.55857072647677</v>
          </cell>
          <cell r="T48">
            <v>203.39751082172734</v>
          </cell>
          <cell r="U48">
            <v>198.148715404771</v>
          </cell>
          <cell r="V48">
            <v>196.22593038310362</v>
          </cell>
          <cell r="W48">
            <v>198.90379626742413</v>
          </cell>
          <cell r="X48">
            <v>196.61973816153684</v>
          </cell>
          <cell r="Y48">
            <v>220.09749043147397</v>
          </cell>
          <cell r="Z48">
            <v>228.39544754716391</v>
          </cell>
          <cell r="AA48">
            <v>229.14929233323809</v>
          </cell>
          <cell r="AB48">
            <v>226.7793830937693</v>
          </cell>
          <cell r="AC48">
            <v>228.20542334986752</v>
          </cell>
          <cell r="AD48">
            <v>219.70865610863103</v>
          </cell>
          <cell r="AE48">
            <v>232.18224752846299</v>
          </cell>
          <cell r="AF48">
            <v>245.23284280443289</v>
          </cell>
          <cell r="AG48">
            <v>230.9097977551823</v>
          </cell>
          <cell r="AH48">
            <v>229.88044014745026</v>
          </cell>
          <cell r="AI48">
            <v>227.07060842586824</v>
          </cell>
          <cell r="AJ48">
            <v>238.29982102208581</v>
          </cell>
        </row>
        <row r="49">
          <cell r="O49">
            <v>128.03335695051422</v>
          </cell>
          <cell r="P49">
            <v>102.13918844472043</v>
          </cell>
          <cell r="Q49">
            <v>102.69021979392677</v>
          </cell>
          <cell r="R49">
            <v>91.25292353436727</v>
          </cell>
          <cell r="S49">
            <v>85.036811678182616</v>
          </cell>
          <cell r="T49">
            <v>95.768151361199017</v>
          </cell>
          <cell r="U49">
            <v>89.436134564225753</v>
          </cell>
          <cell r="V49">
            <v>93.64209934728234</v>
          </cell>
          <cell r="W49">
            <v>108.68673702688685</v>
          </cell>
          <cell r="X49">
            <v>108.06732067532353</v>
          </cell>
          <cell r="Y49">
            <v>122.52286939948981</v>
          </cell>
          <cell r="Z49">
            <v>134.53348191631241</v>
          </cell>
          <cell r="AA49">
            <v>136.97460827867687</v>
          </cell>
          <cell r="AB49">
            <v>134.32575476398563</v>
          </cell>
          <cell r="AC49">
            <v>140.95364806340476</v>
          </cell>
          <cell r="AD49">
            <v>137.17670480025561</v>
          </cell>
          <cell r="AE49">
            <v>145.54742773487894</v>
          </cell>
          <cell r="AF49">
            <v>154.50950479817575</v>
          </cell>
          <cell r="AG49">
            <v>165.39914555279739</v>
          </cell>
          <cell r="AH49">
            <v>173.19022473011813</v>
          </cell>
          <cell r="AI49">
            <v>180.10867663787053</v>
          </cell>
          <cell r="AJ49">
            <v>186.33863308314116</v>
          </cell>
        </row>
        <row r="50">
          <cell r="O50">
            <v>252.55240000000003</v>
          </cell>
          <cell r="P50">
            <v>117.56111996317112</v>
          </cell>
          <cell r="Q50">
            <v>106.08082057149491</v>
          </cell>
          <cell r="R50">
            <v>90.145251633509204</v>
          </cell>
          <cell r="S50">
            <v>91.626033048224997</v>
          </cell>
          <cell r="T50">
            <v>90.853049113812546</v>
          </cell>
          <cell r="U50">
            <v>90.524376596835396</v>
          </cell>
          <cell r="V50">
            <v>88.584434877397328</v>
          </cell>
          <cell r="W50">
            <v>80.394537398240487</v>
          </cell>
          <cell r="X50">
            <v>78.598300760150252</v>
          </cell>
          <cell r="Y50">
            <v>87.476844221164143</v>
          </cell>
          <cell r="Z50">
            <v>83.613254308483747</v>
          </cell>
          <cell r="AA50">
            <v>81.765893525748581</v>
          </cell>
          <cell r="AB50">
            <v>81.879665704949872</v>
          </cell>
          <cell r="AC50">
            <v>80.734161712281633</v>
          </cell>
          <cell r="AD50">
            <v>82.531951308375426</v>
          </cell>
          <cell r="AE50">
            <v>86.634819793584043</v>
          </cell>
          <cell r="AF50">
            <v>90.723338006257137</v>
          </cell>
          <cell r="AG50">
            <v>65.51065220238489</v>
          </cell>
          <cell r="AH50">
            <v>56.690215417332119</v>
          </cell>
          <cell r="AI50">
            <v>46.96193178799772</v>
          </cell>
          <cell r="AJ50">
            <v>51.961187938944647</v>
          </cell>
        </row>
      </sheetData>
      <sheetData sheetId="14" refreshError="1">
        <row r="9">
          <cell r="C9">
            <v>-8.0590328594759697</v>
          </cell>
          <cell r="D9">
            <v>-7.999486713194508</v>
          </cell>
          <cell r="E9">
            <v>-4.3107121907449653</v>
          </cell>
          <cell r="F9">
            <v>-3.8992248972623331</v>
          </cell>
          <cell r="G9">
            <v>1.2407109710061683</v>
          </cell>
          <cell r="H9">
            <v>-0.19333786606366682</v>
          </cell>
          <cell r="I9">
            <v>-5.7008965887577849</v>
          </cell>
          <cell r="M9">
            <v>-2.2073311801851254</v>
          </cell>
          <cell r="N9">
            <v>-3.5942403334183597</v>
          </cell>
          <cell r="O9">
            <v>-4.2680477584313845</v>
          </cell>
          <cell r="P9">
            <v>-4.2246336305677401</v>
          </cell>
          <cell r="Q9">
            <v>-6.2325722590599293</v>
          </cell>
          <cell r="R9">
            <v>-7.2916831098563009</v>
          </cell>
          <cell r="S9">
            <v>-8.1115740673201877</v>
          </cell>
          <cell r="T9">
            <v>-8.08165909242115</v>
          </cell>
          <cell r="U9">
            <v>-6.8998173148318855</v>
          </cell>
          <cell r="V9">
            <v>-6.7210214622024127</v>
          </cell>
          <cell r="W9">
            <v>-6.1469414152484063</v>
          </cell>
          <cell r="X9">
            <v>-6.198856660045263</v>
          </cell>
          <cell r="Y9">
            <v>-6.2459184097127363</v>
          </cell>
          <cell r="Z9">
            <v>-6.2745381163712048</v>
          </cell>
          <cell r="AA9">
            <v>-6.2966072701549578</v>
          </cell>
          <cell r="AB9">
            <v>-6.2932358770499714</v>
          </cell>
          <cell r="AC9">
            <v>-6.2781152975807952</v>
          </cell>
          <cell r="AD9">
            <v>-6.1767901299225718</v>
          </cell>
          <cell r="AE9">
            <v>-6.0777107359237945</v>
          </cell>
          <cell r="AF9">
            <v>-5.977897427174268</v>
          </cell>
          <cell r="AG9">
            <v>-5.8769479997720477</v>
          </cell>
          <cell r="AH9">
            <v>-5.7735937515311235</v>
          </cell>
          <cell r="AI9">
            <v>-5.6680650499717959</v>
          </cell>
        </row>
        <row r="10">
          <cell r="C10">
            <v>-5.7350746418444096</v>
          </cell>
          <cell r="D10">
            <v>-5.5989845533520519</v>
          </cell>
          <cell r="E10">
            <v>-1.8083847424879687</v>
          </cell>
          <cell r="F10">
            <v>-1.2934329637968094</v>
          </cell>
          <cell r="G10">
            <v>2.8745151995248901</v>
          </cell>
          <cell r="H10">
            <v>-0.21243240622622572</v>
          </cell>
          <cell r="I10">
            <v>-5.7494286526163032</v>
          </cell>
          <cell r="O10">
            <v>-3.4907537552819932</v>
          </cell>
          <cell r="P10">
            <v>-4.2246336305677401</v>
          </cell>
          <cell r="Q10">
            <v>-6.2325722590599293</v>
          </cell>
          <cell r="R10">
            <v>-7.2916831098563009</v>
          </cell>
          <cell r="S10">
            <v>-8.1115740673201877</v>
          </cell>
          <cell r="T10">
            <v>-8.08165909242115</v>
          </cell>
          <cell r="U10">
            <v>-6.8998173148318855</v>
          </cell>
          <cell r="V10">
            <v>-6.7210214622024127</v>
          </cell>
          <cell r="W10">
            <v>-6.1469414152484063</v>
          </cell>
          <cell r="X10">
            <v>-6.198856660045263</v>
          </cell>
          <cell r="Y10">
            <v>-6.2459184097127363</v>
          </cell>
          <cell r="Z10">
            <v>-6.2745381163712048</v>
          </cell>
          <cell r="AA10">
            <v>-6.2966072701549578</v>
          </cell>
          <cell r="AB10">
            <v>-6.2932358770499714</v>
          </cell>
          <cell r="AC10">
            <v>-6.2781152975807952</v>
          </cell>
          <cell r="AD10">
            <v>-6.1767901299225718</v>
          </cell>
          <cell r="AE10">
            <v>-6.0777107359237945</v>
          </cell>
          <cell r="AF10">
            <v>-5.977897427174268</v>
          </cell>
          <cell r="AG10">
            <v>-5.8769479997720477</v>
          </cell>
          <cell r="AH10">
            <v>-5.7735937515311235</v>
          </cell>
          <cell r="AI10">
            <v>-5.6680650499717959</v>
          </cell>
        </row>
        <row r="11">
          <cell r="C11">
            <v>-496.94078543449996</v>
          </cell>
          <cell r="D11">
            <v>-389.44233410726935</v>
          </cell>
          <cell r="E11">
            <v>-102.14683321399443</v>
          </cell>
          <cell r="F11">
            <v>-97.423868454261651</v>
          </cell>
          <cell r="G11">
            <v>246.4751077669963</v>
          </cell>
          <cell r="H11">
            <v>206.07847824215116</v>
          </cell>
          <cell r="I11">
            <v>-248.30389561038157</v>
          </cell>
          <cell r="O11">
            <v>-375.18312064176064</v>
          </cell>
          <cell r="P11">
            <v>-414.74673557770063</v>
          </cell>
          <cell r="Q11">
            <v>-724.13160165899308</v>
          </cell>
          <cell r="R11">
            <v>-952.3427258874807</v>
          </cell>
          <cell r="S11">
            <v>-1207.6890336835593</v>
          </cell>
          <cell r="T11">
            <v>-1364.5415510113619</v>
          </cell>
          <cell r="U11">
            <v>-1298.751237410198</v>
          </cell>
          <cell r="V11">
            <v>-1427.2641538040289</v>
          </cell>
          <cell r="W11">
            <v>-1652.7689744000527</v>
          </cell>
          <cell r="X11">
            <v>-1818.3665668694796</v>
          </cell>
          <cell r="Y11">
            <v>-1998.0941829751719</v>
          </cell>
          <cell r="Z11">
            <v>-2190.2405133998827</v>
          </cell>
          <cell r="AA11">
            <v>-2398.1208499339386</v>
          </cell>
          <cell r="AB11">
            <v>-2615.837151150009</v>
          </cell>
          <cell r="AC11">
            <v>-2849.8110910438463</v>
          </cell>
          <cell r="AD11">
            <v>-3061.493771247498</v>
          </cell>
          <cell r="AE11">
            <v>-3289.3962780467791</v>
          </cell>
          <cell r="AF11">
            <v>-3533.2641436806316</v>
          </cell>
          <cell r="AG11">
            <v>-3792.6917882864536</v>
          </cell>
          <cell r="AH11">
            <v>-4068.002741754251</v>
          </cell>
          <cell r="AI11">
            <v>-4360.2831753096025</v>
          </cell>
        </row>
        <row r="12">
          <cell r="C12">
            <v>-5.9224083178809668</v>
          </cell>
          <cell r="D12">
            <v>-4.5541690379804889</v>
          </cell>
          <cell r="E12">
            <v>-1.2530121251313706</v>
          </cell>
          <cell r="F12">
            <v>-1.1851100759474769</v>
          </cell>
          <cell r="G12">
            <v>4.285170207384847</v>
          </cell>
          <cell r="H12">
            <v>2.882661831528047</v>
          </cell>
          <cell r="I12">
            <v>-2.8024884925772118</v>
          </cell>
          <cell r="O12">
            <v>-3.2922029698043884</v>
          </cell>
          <cell r="P12">
            <v>-3.5262896910782953</v>
          </cell>
          <cell r="Q12">
            <v>-5.6259298091483174</v>
          </cell>
          <cell r="R12">
            <v>-6.7377448062457175</v>
          </cell>
          <cell r="S12">
            <v>-7.5940165161449888</v>
          </cell>
          <cell r="T12">
            <v>-7.5891043508970606</v>
          </cell>
          <cell r="U12">
            <v>-6.4388629116846285</v>
          </cell>
          <cell r="V12">
            <v>-6.2795824991957199</v>
          </cell>
          <cell r="W12">
            <v>-5.7762326902838081</v>
          </cell>
          <cell r="X12">
            <v>-5.8362924262081322</v>
          </cell>
          <cell r="Y12">
            <v>-5.8884083219982921</v>
          </cell>
          <cell r="Z12">
            <v>-5.924503867672513</v>
          </cell>
          <cell r="AA12">
            <v>-5.9512820326021831</v>
          </cell>
          <cell r="AB12">
            <v>-5.953004563198971</v>
          </cell>
          <cell r="AC12">
            <v>-5.9434203949424971</v>
          </cell>
          <cell r="AD12">
            <v>-5.8476246905589795</v>
          </cell>
          <cell r="AE12">
            <v>-5.7542409158820256</v>
          </cell>
          <cell r="AF12">
            <v>-5.6607461951019973</v>
          </cell>
          <cell r="AG12">
            <v>-5.5650729498396956</v>
          </cell>
          <cell r="AH12">
            <v>-5.4667634279534321</v>
          </cell>
          <cell r="AI12">
            <v>-5.3664794622893508</v>
          </cell>
        </row>
        <row r="13">
          <cell r="C13">
            <v>1780.42199447551</v>
          </cell>
          <cell r="D13">
            <v>2691.2815347284763</v>
          </cell>
          <cell r="E13">
            <v>2319.9742254383154</v>
          </cell>
          <cell r="F13">
            <v>2192.506280295539</v>
          </cell>
          <cell r="G13">
            <v>1953.0105836714201</v>
          </cell>
          <cell r="H13">
            <v>2446.5123500715404</v>
          </cell>
          <cell r="I13">
            <v>3542.004457916667</v>
          </cell>
          <cell r="O13">
            <v>4001.5123727944429</v>
          </cell>
          <cell r="P13">
            <v>4101.60000365408</v>
          </cell>
          <cell r="Q13">
            <v>4799.5553016537633</v>
          </cell>
          <cell r="R13">
            <v>5118.8516818152575</v>
          </cell>
          <cell r="S13">
            <v>5563.8713592213553</v>
          </cell>
          <cell r="T13">
            <v>6072.2126338026992</v>
          </cell>
          <cell r="U13">
            <v>6449.3661851373663</v>
          </cell>
          <cell r="V13">
            <v>7083.5106253843624</v>
          </cell>
          <cell r="W13">
            <v>7748.199633874</v>
          </cell>
          <cell r="X13">
            <v>8316.4787297622897</v>
          </cell>
          <cell r="Y13">
            <v>8929.5413984957486</v>
          </cell>
          <cell r="Z13">
            <v>9591.5702796420592</v>
          </cell>
          <cell r="AA13">
            <v>10306.814042498441</v>
          </cell>
          <cell r="AB13">
            <v>11078.530518613399</v>
          </cell>
          <cell r="AC13">
            <v>11911.777294955276</v>
          </cell>
          <cell r="AD13">
            <v>12769.929260005785</v>
          </cell>
          <cell r="AE13">
            <v>13694.152843298791</v>
          </cell>
          <cell r="AF13">
            <v>14689.657387133924</v>
          </cell>
          <cell r="AG13">
            <v>15762.068983075967</v>
          </cell>
          <cell r="AH13">
            <v>16917.464222683881</v>
          </cell>
          <cell r="AI13">
            <v>18162.406712770233</v>
          </cell>
        </row>
        <row r="14">
          <cell r="C14">
            <v>913.28000000000009</v>
          </cell>
          <cell r="D14">
            <v>2207.1423944199378</v>
          </cell>
          <cell r="E14">
            <v>2196.9373499806829</v>
          </cell>
          <cell r="F14">
            <v>2158.7913295423959</v>
          </cell>
          <cell r="G14">
            <v>2237.653790083612</v>
          </cell>
          <cell r="H14">
            <v>2647.6922949497589</v>
          </cell>
          <cell r="I14">
            <v>2948.3534720937819</v>
          </cell>
          <cell r="O14">
            <v>2968.3</v>
          </cell>
          <cell r="P14">
            <v>3127.2596903369831</v>
          </cell>
          <cell r="Q14">
            <v>3548.4562017677035</v>
          </cell>
          <cell r="R14">
            <v>3659.5242217600689</v>
          </cell>
          <cell r="S14">
            <v>3849.4961507880826</v>
          </cell>
          <cell r="T14">
            <v>4184.9964463458464</v>
          </cell>
          <cell r="U14">
            <v>4610.6638008749342</v>
          </cell>
          <cell r="V14">
            <v>5097.8314104220644</v>
          </cell>
          <cell r="W14">
            <v>5521.3716558172728</v>
          </cell>
          <cell r="X14">
            <v>5915.2874771744691</v>
          </cell>
          <cell r="Y14">
            <v>6338.1448567518091</v>
          </cell>
          <cell r="Z14">
            <v>6794.5032559698539</v>
          </cell>
          <cell r="AA14">
            <v>7287.1485270284302</v>
          </cell>
          <cell r="AB14">
            <v>7824.9069609296048</v>
          </cell>
          <cell r="AC14">
            <v>8406.2444347277051</v>
          </cell>
          <cell r="AD14">
            <v>9034.8498274655631</v>
          </cell>
          <cell r="AE14">
            <v>9714.7316384542792</v>
          </cell>
          <cell r="AF14">
            <v>10450.24609275056</v>
          </cell>
          <cell r="AG14">
            <v>11246.127744519439</v>
          </cell>
          <cell r="AH14">
            <v>12107.522802138301</v>
          </cell>
          <cell r="AI14">
            <v>13040.025419097688</v>
          </cell>
        </row>
        <row r="16">
          <cell r="D16">
            <v>-9.6163661282811432</v>
          </cell>
          <cell r="E16">
            <v>7.9877630966546036</v>
          </cell>
          <cell r="F16">
            <v>5.1088187873699695</v>
          </cell>
          <cell r="G16">
            <v>-0.57468437644773473</v>
          </cell>
          <cell r="H16">
            <v>11.659007462018181</v>
          </cell>
          <cell r="I16">
            <v>-3.1990492332164706</v>
          </cell>
          <cell r="O16">
            <v>-2.5922133283987705</v>
          </cell>
          <cell r="P16">
            <v>-4.984932761350052</v>
          </cell>
          <cell r="Q16">
            <v>-0.22439883501871805</v>
          </cell>
          <cell r="R16">
            <v>3.2357434670131795</v>
          </cell>
          <cell r="S16">
            <v>2.7163342921714388</v>
          </cell>
          <cell r="T16">
            <v>1.0381429626312979</v>
          </cell>
          <cell r="U16">
            <v>3.0908704942092413E-2</v>
          </cell>
          <cell r="V16">
            <v>6.5748289764428591E-2</v>
          </cell>
          <cell r="W16">
            <v>7.1126585456312341E-2</v>
          </cell>
          <cell r="X16">
            <v>7.5014774865039158E-2</v>
          </cell>
          <cell r="Y16">
            <v>7.7079962537141E-2</v>
          </cell>
          <cell r="Z16">
            <v>7.9035062624654984E-2</v>
          </cell>
          <cell r="AA16">
            <v>8.0933808521848505E-2</v>
          </cell>
          <cell r="AB16">
            <v>8.2774389325578568E-2</v>
          </cell>
          <cell r="AC16">
            <v>8.4545488794589119E-2</v>
          </cell>
          <cell r="AD16">
            <v>7.0377268264138593E-2</v>
          </cell>
          <cell r="AE16">
            <v>7.1917540014766246E-2</v>
          </cell>
          <cell r="AF16">
            <v>7.3387921745478479E-2</v>
          </cell>
          <cell r="AG16">
            <v>7.4787824942973202E-2</v>
          </cell>
          <cell r="AH16">
            <v>7.6116922591211278E-2</v>
          </cell>
          <cell r="AI16">
            <v>7.7375129804664766E-2</v>
          </cell>
        </row>
        <row r="17">
          <cell r="C17">
            <v>110.63949933892856</v>
          </cell>
          <cell r="D17">
            <v>100</v>
          </cell>
          <cell r="E17">
            <v>107.9877630966546</v>
          </cell>
          <cell r="F17">
            <v>113.50466222579708</v>
          </cell>
          <cell r="G17">
            <v>112.85236866544565</v>
          </cell>
          <cell r="H17">
            <v>126.00983474921424</v>
          </cell>
          <cell r="I17">
            <v>121.97871809689215</v>
          </cell>
          <cell r="O17">
            <v>115.75370874414352</v>
          </cell>
          <cell r="P17">
            <v>109.983464194479</v>
          </cell>
          <cell r="Q17">
            <v>109.73666258211337</v>
          </cell>
          <cell r="R17">
            <v>113.2874594725324</v>
          </cell>
          <cell r="S17">
            <v>116.36472558291462</v>
          </cell>
          <cell r="T17">
            <v>117.57275779253887</v>
          </cell>
          <cell r="U17">
            <v>117.60909800933723</v>
          </cell>
          <cell r="V17">
            <v>117.68642397988573</v>
          </cell>
          <cell r="W17">
            <v>117.77013031480827</v>
          </cell>
          <cell r="X17">
            <v>117.8584753129222</v>
          </cell>
          <cell r="Y17">
            <v>117.94932058154023</v>
          </cell>
          <cell r="Z17">
            <v>118.0425419009272</v>
          </cell>
          <cell r="AA17">
            <v>118.13807822576364</v>
          </cell>
          <cell r="AB17">
            <v>118.23586629857598</v>
          </cell>
          <cell r="AC17">
            <v>118.33582938966865</v>
          </cell>
          <cell r="AD17">
            <v>118.41911091377079</v>
          </cell>
          <cell r="AE17">
            <v>118.50427502524732</v>
          </cell>
          <cell r="AF17">
            <v>118.59124284986788</v>
          </cell>
          <cell r="AG17">
            <v>118.67993466096813</v>
          </cell>
          <cell r="AH17">
            <v>118.77027017496533</v>
          </cell>
          <cell r="AI17">
            <v>118.86216882568255</v>
          </cell>
        </row>
        <row r="19">
          <cell r="C19">
            <v>0</v>
          </cell>
          <cell r="D19">
            <v>9.1697099651736096</v>
          </cell>
          <cell r="E19">
            <v>5.8643665340756286</v>
          </cell>
          <cell r="F19">
            <v>-4.0606380834519342</v>
          </cell>
          <cell r="G19">
            <v>8.9090266477168285</v>
          </cell>
          <cell r="H19">
            <v>34.556876388622072</v>
          </cell>
          <cell r="I19">
            <v>29.64405547389822</v>
          </cell>
          <cell r="O19">
            <v>6.0864073618801768</v>
          </cell>
          <cell r="P19">
            <v>7.2233443180610237</v>
          </cell>
          <cell r="Q19">
            <v>16.934787356755862</v>
          </cell>
          <cell r="R19">
            <v>2.9685371051774183</v>
          </cell>
          <cell r="S19">
            <v>5.4889797395692597</v>
          </cell>
          <cell r="T19">
            <v>9.7900955921600428</v>
          </cell>
          <cell r="U19">
            <v>11.390521031952545</v>
          </cell>
          <cell r="V19">
            <v>11.681236346855044</v>
          </cell>
          <cell r="W19">
            <v>8.9192458093212821</v>
          </cell>
          <cell r="X19">
            <v>7.4974584201038681</v>
          </cell>
          <cell r="Y19">
            <v>7.4917174960702653</v>
          </cell>
          <cell r="Z19">
            <v>7.5309164580294095</v>
          </cell>
          <cell r="AA19">
            <v>7.5692988715892113</v>
          </cell>
          <cell r="AB19">
            <v>7.6068683234952914</v>
          </cell>
          <cell r="AC19">
            <v>7.6436296018198533</v>
          </cell>
          <cell r="AD19">
            <v>7.6795886153611264</v>
          </cell>
          <cell r="AE19">
            <v>7.7147523133558735</v>
          </cell>
          <cell r="AF19">
            <v>7.7491286059725155</v>
          </cell>
          <cell r="AG19">
            <v>7.7827262860091082</v>
          </cell>
          <cell r="AH19">
            <v>7.8155549521715386</v>
          </cell>
          <cell r="AI19">
            <v>7.8476249342634787</v>
          </cell>
        </row>
        <row r="20">
          <cell r="C20">
            <v>0</v>
          </cell>
          <cell r="D20">
            <v>7.9166227481434674</v>
          </cell>
          <cell r="E20">
            <v>6.5054056677006855</v>
          </cell>
          <cell r="F20">
            <v>-4.9880874998115274</v>
          </cell>
          <cell r="G20">
            <v>11.675418942849646</v>
          </cell>
          <cell r="H20">
            <v>19.112028314399026</v>
          </cell>
          <cell r="I20">
            <v>16.601125186066227</v>
          </cell>
          <cell r="O20">
            <v>11.633638612640439</v>
          </cell>
          <cell r="P20">
            <v>8.2578318413628864</v>
          </cell>
          <cell r="Q20">
            <v>6.4673719084866121</v>
          </cell>
          <cell r="R20">
            <v>3.9340040895741879</v>
          </cell>
          <cell r="S20">
            <v>4.7651216486714247</v>
          </cell>
          <cell r="T20">
            <v>8.5839415081998141</v>
          </cell>
          <cell r="U20">
            <v>10.468326820155752</v>
          </cell>
          <cell r="V20">
            <v>10.731584411680956</v>
          </cell>
          <cell r="W20">
            <v>7.9825950142032411</v>
          </cell>
          <cell r="X20">
            <v>6.5654215405702701</v>
          </cell>
          <cell r="Y20">
            <v>6.5541891886398389</v>
          </cell>
          <cell r="Z20">
            <v>6.5877419909688086</v>
          </cell>
          <cell r="AA20">
            <v>6.6206613065189259</v>
          </cell>
          <cell r="AB20">
            <v>6.6529479165636332</v>
          </cell>
          <cell r="AC20">
            <v>6.6846036077569408</v>
          </cell>
          <cell r="AD20">
            <v>6.7156311114086691</v>
          </cell>
          <cell r="AE20">
            <v>6.7460340425954541</v>
          </cell>
          <cell r="AF20">
            <v>6.7758168394879874</v>
          </cell>
          <cell r="AG20">
            <v>6.8049847032470012</v>
          </cell>
          <cell r="AH20">
            <v>6.8335435388002992</v>
          </cell>
          <cell r="AI20">
            <v>6.8614998967812397</v>
          </cell>
        </row>
        <row r="21">
          <cell r="C21">
            <v>92.664130375336768</v>
          </cell>
          <cell r="D21">
            <v>100</v>
          </cell>
          <cell r="E21">
            <v>106.50540566770069</v>
          </cell>
          <cell r="F21">
            <v>101.19282284096656</v>
          </cell>
          <cell r="G21">
            <v>113.00750884774504</v>
          </cell>
          <cell r="H21">
            <v>134.60553593612306</v>
          </cell>
          <cell r="I21">
            <v>156.95156946425422</v>
          </cell>
          <cell r="O21">
            <v>154.28985386981083</v>
          </cell>
          <cell r="P21">
            <v>167.03085055066433</v>
          </cell>
          <cell r="Q21">
            <v>177.83335685768424</v>
          </cell>
          <cell r="R21">
            <v>184.82932838909258</v>
          </cell>
          <cell r="S21">
            <v>193.63667072925523</v>
          </cell>
          <cell r="T21">
            <v>210.25832928307997</v>
          </cell>
          <cell r="U21">
            <v>232.26885835903201</v>
          </cell>
          <cell r="V21">
            <v>257.19498695587924</v>
          </cell>
          <cell r="W21">
            <v>277.72582116139995</v>
          </cell>
          <cell r="X21">
            <v>295.95969204765618</v>
          </cell>
          <cell r="Y21">
            <v>315.35745018657542</v>
          </cell>
          <cell r="Z21">
            <v>336.13238535416502</v>
          </cell>
          <cell r="AA21">
            <v>358.38657212998731</v>
          </cell>
          <cell r="AB21">
            <v>382.22984411375313</v>
          </cell>
          <cell r="AC21">
            <v>407.78039406330475</v>
          </cell>
          <cell r="AD21">
            <v>435.16542107324494</v>
          </cell>
          <cell r="AE21">
            <v>464.52182852044996</v>
          </cell>
          <cell r="AF21">
            <v>495.99697680043607</v>
          </cell>
          <cell r="AG21">
            <v>529.74949520027326</v>
          </cell>
          <cell r="AH21">
            <v>565.9501576013588</v>
          </cell>
          <cell r="AI21">
            <v>604.78282708100926</v>
          </cell>
        </row>
        <row r="22">
          <cell r="C22">
            <v>0</v>
          </cell>
          <cell r="D22">
            <v>17.500000000000004</v>
          </cell>
          <cell r="E22">
            <v>-26.400000000000002</v>
          </cell>
          <cell r="F22">
            <v>-7.1999999999999957</v>
          </cell>
          <cell r="G22">
            <v>13.100000000000001</v>
          </cell>
          <cell r="H22">
            <v>-9.8000000000000078</v>
          </cell>
          <cell r="I22">
            <v>12.5</v>
          </cell>
          <cell r="O22">
            <v>-29.989787813457379</v>
          </cell>
          <cell r="P22">
            <v>-9.4</v>
          </cell>
          <cell r="Q22">
            <v>5</v>
          </cell>
          <cell r="R22">
            <v>4</v>
          </cell>
          <cell r="S22">
            <v>5.2</v>
          </cell>
          <cell r="T22">
            <v>8</v>
          </cell>
          <cell r="U22">
            <v>8</v>
          </cell>
          <cell r="V22">
            <v>9</v>
          </cell>
          <cell r="W22">
            <v>9</v>
          </cell>
          <cell r="X22">
            <v>9</v>
          </cell>
          <cell r="Y22">
            <v>9</v>
          </cell>
          <cell r="Z22">
            <v>9</v>
          </cell>
          <cell r="AA22">
            <v>9</v>
          </cell>
          <cell r="AB22">
            <v>9</v>
          </cell>
          <cell r="AC22">
            <v>9</v>
          </cell>
          <cell r="AD22">
            <v>9</v>
          </cell>
          <cell r="AE22">
            <v>9</v>
          </cell>
          <cell r="AF22">
            <v>9</v>
          </cell>
          <cell r="AG22">
            <v>9</v>
          </cell>
          <cell r="AH22">
            <v>9</v>
          </cell>
          <cell r="AI22">
            <v>9</v>
          </cell>
        </row>
        <row r="23">
          <cell r="C23">
            <v>0</v>
          </cell>
          <cell r="D23">
            <v>9.0000000000000071</v>
          </cell>
          <cell r="E23">
            <v>9.9999999999988987E-2</v>
          </cell>
          <cell r="F23">
            <v>-5.2000000000000153</v>
          </cell>
          <cell r="G23">
            <v>13.200000000000012</v>
          </cell>
          <cell r="H23">
            <v>-7.1450000000000014</v>
          </cell>
          <cell r="I23">
            <v>27</v>
          </cell>
          <cell r="O23">
            <v>23.573269513991168</v>
          </cell>
          <cell r="P23">
            <v>2.0856610800744857</v>
          </cell>
          <cell r="Q23">
            <v>3</v>
          </cell>
          <cell r="R23">
            <v>3</v>
          </cell>
          <cell r="S23">
            <v>4</v>
          </cell>
          <cell r="T23">
            <v>6</v>
          </cell>
          <cell r="U23">
            <v>7</v>
          </cell>
          <cell r="V23">
            <v>7</v>
          </cell>
          <cell r="W23">
            <v>5</v>
          </cell>
          <cell r="X23">
            <v>5</v>
          </cell>
          <cell r="Y23">
            <v>5</v>
          </cell>
          <cell r="Z23">
            <v>5</v>
          </cell>
          <cell r="AA23">
            <v>5</v>
          </cell>
          <cell r="AB23">
            <v>5</v>
          </cell>
          <cell r="AC23">
            <v>5</v>
          </cell>
          <cell r="AD23">
            <v>5</v>
          </cell>
          <cell r="AE23">
            <v>5</v>
          </cell>
          <cell r="AF23">
            <v>5</v>
          </cell>
          <cell r="AG23">
            <v>5</v>
          </cell>
          <cell r="AH23">
            <v>5</v>
          </cell>
          <cell r="AI23">
            <v>5</v>
          </cell>
        </row>
        <row r="24">
          <cell r="C24">
            <v>0</v>
          </cell>
          <cell r="D24">
            <v>-1.2376427308265221</v>
          </cell>
          <cell r="E24">
            <v>2.1363398718885662</v>
          </cell>
          <cell r="F24">
            <v>-2.7429857983900661</v>
          </cell>
          <cell r="G24">
            <v>15.433096758261982</v>
          </cell>
          <cell r="H24">
            <v>37.345613772058385</v>
          </cell>
          <cell r="I24">
            <v>7.0112644097173984</v>
          </cell>
          <cell r="O24">
            <v>-0.89427082913852018</v>
          </cell>
          <cell r="P24">
            <v>18.047983647823472</v>
          </cell>
          <cell r="Q24">
            <v>8.0103185584219432</v>
          </cell>
          <cell r="R24">
            <v>5.9486216611796578</v>
          </cell>
          <cell r="S24">
            <v>7.2929712294897797</v>
          </cell>
          <cell r="T24">
            <v>10.654527223074851</v>
          </cell>
          <cell r="U24">
            <v>12.43792846085779</v>
          </cell>
          <cell r="V24">
            <v>12.616754287491204</v>
          </cell>
          <cell r="W24">
            <v>8.9234422691894224</v>
          </cell>
          <cell r="X24">
            <v>6.6218870909714411</v>
          </cell>
          <cell r="Y24">
            <v>6.5592969191454813</v>
          </cell>
          <cell r="Z24">
            <v>6.5675452789520676</v>
          </cell>
          <cell r="AA24">
            <v>6.5757746972733315</v>
          </cell>
          <cell r="AB24">
            <v>6.58398484423968</v>
          </cell>
          <cell r="AC24">
            <v>6.5921753952650022</v>
          </cell>
          <cell r="AD24">
            <v>6.6003460310140696</v>
          </cell>
          <cell r="AE24">
            <v>6.6084964373695527</v>
          </cell>
          <cell r="AF24">
            <v>6.6166263053994498</v>
          </cell>
          <cell r="AG24">
            <v>6.6247353313236204</v>
          </cell>
          <cell r="AH24">
            <v>6.6328232164813556</v>
          </cell>
          <cell r="AI24">
            <v>6.6408896672979267</v>
          </cell>
        </row>
        <row r="25">
          <cell r="C25">
            <v>0</v>
          </cell>
          <cell r="D25">
            <v>1.1611623725055082</v>
          </cell>
          <cell r="E25">
            <v>-0.60188412936064317</v>
          </cell>
          <cell r="F25">
            <v>0.97614014069839561</v>
          </cell>
          <cell r="G25">
            <v>-2.4771720771860544</v>
          </cell>
          <cell r="H25">
            <v>12.966656930277425</v>
          </cell>
          <cell r="I25">
            <v>11.185938615102332</v>
          </cell>
          <cell r="O25">
            <v>-4.9691395171743071</v>
          </cell>
          <cell r="P25">
            <v>-0.95557753716864835</v>
          </cell>
          <cell r="Q25">
            <v>9.8315711758776789</v>
          </cell>
          <cell r="R25">
            <v>-0.92892311121266058</v>
          </cell>
          <cell r="S25">
            <v>0.69093423412925359</v>
          </cell>
          <cell r="T25">
            <v>1.1108033722179318</v>
          </cell>
          <cell r="U25">
            <v>0.83480418174355364</v>
          </cell>
          <cell r="V25">
            <v>0.85761613564873607</v>
          </cell>
          <cell r="W25">
            <v>0.86740904401755003</v>
          </cell>
          <cell r="X25">
            <v>0.87461473530490064</v>
          </cell>
          <cell r="Y25">
            <v>0.87986058039508064</v>
          </cell>
          <cell r="Z25">
            <v>0.88488080284177173</v>
          </cell>
          <cell r="AA25">
            <v>0.88973145865519021</v>
          </cell>
          <cell r="AB25">
            <v>0.89441541520063605</v>
          </cell>
          <cell r="AC25">
            <v>0.89893570546407275</v>
          </cell>
          <cell r="AD25">
            <v>0.90329550967664018</v>
          </cell>
          <cell r="AE25">
            <v>0.90749813747073405</v>
          </cell>
          <cell r="AF25">
            <v>0.91154701063790089</v>
          </cell>
          <cell r="AG25">
            <v>0.91544564654798322</v>
          </cell>
          <cell r="AH25">
            <v>0.91919764227852685</v>
          </cell>
          <cell r="AI25">
            <v>0.92280665949357887</v>
          </cell>
        </row>
        <row r="26">
          <cell r="C26">
            <v>98.85216584579193</v>
          </cell>
          <cell r="D26">
            <v>100</v>
          </cell>
          <cell r="E26">
            <v>99.398115870639359</v>
          </cell>
          <cell r="F26">
            <v>100.36838077875058</v>
          </cell>
          <cell r="G26">
            <v>97.882083275775599</v>
          </cell>
          <cell r="H26">
            <v>110.57411721035388</v>
          </cell>
          <cell r="I26">
            <v>122.94287008569536</v>
          </cell>
          <cell r="O26">
            <v>122.30315722230863</v>
          </cell>
          <cell r="P26">
            <v>121.13445572464418</v>
          </cell>
          <cell r="Q26">
            <v>133.04387595772459</v>
          </cell>
          <cell r="R26">
            <v>131.80800064590019</v>
          </cell>
          <cell r="S26">
            <v>132.71870724568402</v>
          </cell>
          <cell r="T26">
            <v>134.19295112133312</v>
          </cell>
          <cell r="U26">
            <v>135.3131994888991</v>
          </cell>
          <cell r="V26">
            <v>136.47366732137849</v>
          </cell>
          <cell r="W26">
            <v>137.65745225442654</v>
          </cell>
          <cell r="X26">
            <v>138.86142461608907</v>
          </cell>
          <cell r="Y26">
            <v>140.08321155266108</v>
          </cell>
          <cell r="Z26">
            <v>141.3227809996948</v>
          </cell>
          <cell r="AA26">
            <v>142.58017424049547</v>
          </cell>
          <cell r="AB26">
            <v>143.85543329792239</v>
          </cell>
          <cell r="AC26">
            <v>145.14860115208745</v>
          </cell>
          <cell r="AD26">
            <v>146.45972194865271</v>
          </cell>
          <cell r="AE26">
            <v>147.78884119748156</v>
          </cell>
          <cell r="AF26">
            <v>149.13600596147359</v>
          </cell>
          <cell r="AG26">
            <v>150.50126503548341</v>
          </cell>
          <cell r="AH26">
            <v>151.88466911528894</v>
          </cell>
          <cell r="AI26">
            <v>153.28627095663461</v>
          </cell>
        </row>
        <row r="27">
          <cell r="C27">
            <v>89.762788748959011</v>
          </cell>
          <cell r="D27">
            <v>75.407596779572685</v>
          </cell>
          <cell r="E27">
            <v>84.842997603432352</v>
          </cell>
          <cell r="F27">
            <v>73.775501678057182</v>
          </cell>
          <cell r="G27">
            <v>89.961187393299454</v>
          </cell>
          <cell r="H27">
            <v>131.83953554085667</v>
          </cell>
          <cell r="I27">
            <v>141.64006665172647</v>
          </cell>
          <cell r="O27">
            <v>68.81147728390512</v>
          </cell>
          <cell r="P27">
            <v>67.082573641109406</v>
          </cell>
          <cell r="Q27">
            <v>72.246601262996549</v>
          </cell>
          <cell r="R27">
            <v>80.027004475934646</v>
          </cell>
          <cell r="S27">
            <v>83.361462995765265</v>
          </cell>
          <cell r="T27">
            <v>86.695921515595884</v>
          </cell>
          <cell r="U27">
            <v>90.030380035426504</v>
          </cell>
          <cell r="V27">
            <v>90.930683835780769</v>
          </cell>
          <cell r="W27">
            <v>91.839990674138576</v>
          </cell>
          <cell r="X27">
            <v>92.758390580879961</v>
          </cell>
          <cell r="Y27">
            <v>93.685974486688764</v>
          </cell>
          <cell r="Z27">
            <v>94.622834231555657</v>
          </cell>
          <cell r="AA27">
            <v>95.569062573871221</v>
          </cell>
          <cell r="AB27">
            <v>96.524753199609933</v>
          </cell>
          <cell r="AC27">
            <v>97.490000731606031</v>
          </cell>
          <cell r="AD27">
            <v>98.464900738922097</v>
          </cell>
          <cell r="AE27">
            <v>99.44954974631132</v>
          </cell>
          <cell r="AF27">
            <v>100.44404524377444</v>
          </cell>
          <cell r="AG27">
            <v>101.44848569621219</v>
          </cell>
          <cell r="AH27">
            <v>102.46297055317432</v>
          </cell>
          <cell r="AI27">
            <v>103.48760025870605</v>
          </cell>
        </row>
        <row r="29">
          <cell r="C29">
            <v>17.608875067541049</v>
          </cell>
          <cell r="D29">
            <v>-15.35363972587885</v>
          </cell>
          <cell r="E29">
            <v>-4.6223309185141659</v>
          </cell>
          <cell r="F29">
            <v>-13.933785300493682</v>
          </cell>
          <cell r="G29">
            <v>27.145681049161794</v>
          </cell>
          <cell r="H29">
            <v>27.145681049161794</v>
          </cell>
          <cell r="I29">
            <v>51.694935134223357</v>
          </cell>
          <cell r="O29">
            <v>4.716906938335967</v>
          </cell>
          <cell r="P29">
            <v>2.0932802483205819</v>
          </cell>
          <cell r="Q29">
            <v>18.211924932417219</v>
          </cell>
          <cell r="R29">
            <v>5.8885328706986115</v>
          </cell>
          <cell r="S29">
            <v>8.0407764798001296</v>
          </cell>
          <cell r="T29">
            <v>8.4329181265482305</v>
          </cell>
          <cell r="U29">
            <v>5.1658705028711154</v>
          </cell>
          <cell r="V29">
            <v>9.4230961545106311</v>
          </cell>
          <cell r="W29">
            <v>7.1408979285776439</v>
          </cell>
          <cell r="X29">
            <v>7.1286127650713809</v>
          </cell>
          <cell r="Y29">
            <v>7.1613105848629175</v>
          </cell>
          <cell r="Z29">
            <v>7.1976855246612956</v>
          </cell>
          <cell r="AA29">
            <v>7.2327770314659148</v>
          </cell>
          <cell r="AB29">
            <v>7.2529595432877301</v>
          </cell>
          <cell r="AC29">
            <v>7.2724429805817437</v>
          </cell>
          <cell r="AD29">
            <v>7.307387335051672</v>
          </cell>
          <cell r="AE29">
            <v>7.3249404827034397</v>
          </cell>
          <cell r="AF29">
            <v>7.3417736004060004</v>
          </cell>
          <cell r="AG29">
            <v>7.3579244335648042</v>
          </cell>
          <cell r="AH29">
            <v>7.373429101779891</v>
          </cell>
          <cell r="AI29">
            <v>7.3883221301929183</v>
          </cell>
        </row>
        <row r="30">
          <cell r="C30">
            <v>0</v>
          </cell>
          <cell r="D30">
            <v>4.7496493322946698</v>
          </cell>
          <cell r="E30">
            <v>-8.0387890634463268</v>
          </cell>
          <cell r="F30">
            <v>-0.71878245812400099</v>
          </cell>
          <cell r="G30">
            <v>-12.254794664121761</v>
          </cell>
          <cell r="H30">
            <v>25.67390179381912</v>
          </cell>
          <cell r="I30">
            <v>32.068983995641908</v>
          </cell>
          <cell r="O30">
            <v>7.3361019792383297</v>
          </cell>
          <cell r="P30">
            <v>-2.0601095326815866</v>
          </cell>
          <cell r="Q30">
            <v>7.3886656516485294</v>
          </cell>
          <cell r="R30">
            <v>10.339785927723554</v>
          </cell>
          <cell r="S30">
            <v>10.214018754464993</v>
          </cell>
          <cell r="T30">
            <v>8.3549958869756136</v>
          </cell>
          <cell r="U30">
            <v>4.3274460293255546</v>
          </cell>
          <cell r="V30">
            <v>8.5639777779139781</v>
          </cell>
          <cell r="W30">
            <v>6.2950903637397637</v>
          </cell>
          <cell r="X30">
            <v>6.2794394150298416</v>
          </cell>
          <cell r="Y30">
            <v>6.3085435149359492</v>
          </cell>
          <cell r="Z30">
            <v>6.3414145199901073</v>
          </cell>
          <cell r="AA30">
            <v>6.373129406019884</v>
          </cell>
          <cell r="AB30">
            <v>6.3901674674962328</v>
          </cell>
          <cell r="AC30">
            <v>6.4066099817418065</v>
          </cell>
          <cell r="AD30">
            <v>6.4216057567769713</v>
          </cell>
          <cell r="AE30">
            <v>6.4362192325908563</v>
          </cell>
          <cell r="AF30">
            <v>6.4502058281714847</v>
          </cell>
          <cell r="AG30">
            <v>6.4635987105980952</v>
          </cell>
          <cell r="AH30">
            <v>6.4764296210339412</v>
          </cell>
          <cell r="AI30">
            <v>6.4887289019192274</v>
          </cell>
        </row>
        <row r="31">
          <cell r="C31">
            <v>95.465713381791403</v>
          </cell>
          <cell r="D31">
            <v>100</v>
          </cell>
          <cell r="E31">
            <v>91.96121093655367</v>
          </cell>
          <cell r="F31">
            <v>91.300209884063307</v>
          </cell>
          <cell r="G31">
            <v>80.111556634859156</v>
          </cell>
          <cell r="H31">
            <v>100.67931901079268</v>
          </cell>
          <cell r="I31">
            <v>132.96615371128505</v>
          </cell>
          <cell r="O31">
            <v>141.77207449349683</v>
          </cell>
          <cell r="P31">
            <v>138.85141447217586</v>
          </cell>
          <cell r="Q31">
            <v>149.11068124010964</v>
          </cell>
          <cell r="R31">
            <v>164.52840647570721</v>
          </cell>
          <cell r="S31">
            <v>181.33336876955835</v>
          </cell>
          <cell r="T31">
            <v>196.48376427196928</v>
          </cell>
          <cell r="U31">
            <v>204.986493127226</v>
          </cell>
          <cell r="V31">
            <v>222.5414908463668</v>
          </cell>
          <cell r="W31">
            <v>236.55067879195926</v>
          </cell>
          <cell r="X31">
            <v>251.40473535254219</v>
          </cell>
          <cell r="Y31">
            <v>267.26471248086688</v>
          </cell>
          <cell r="Z31">
            <v>284.21307576493837</v>
          </cell>
          <cell r="AA31">
            <v>302.32634287226722</v>
          </cell>
          <cell r="AB31">
            <v>321.64550248016195</v>
          </cell>
          <cell r="AC31">
            <v>342.25207534787961</v>
          </cell>
          <cell r="AD31">
            <v>364.2301543211077</v>
          </cell>
          <cell r="AE31">
            <v>387.67280556441818</v>
          </cell>
          <cell r="AF31">
            <v>412.67849946317017</v>
          </cell>
          <cell r="AG31">
            <v>439.35238163338721</v>
          </cell>
          <cell r="AH31">
            <v>467.80672941821001</v>
          </cell>
          <cell r="AI31">
            <v>498.16143987509247</v>
          </cell>
        </row>
        <row r="32">
          <cell r="C32">
            <v>0</v>
          </cell>
          <cell r="D32">
            <v>11.924203574380655</v>
          </cell>
          <cell r="E32">
            <v>-7.9542783179303926</v>
          </cell>
          <cell r="F32">
            <v>-3.9318096182127054</v>
          </cell>
          <cell r="G32">
            <v>-1.9134841954554056</v>
          </cell>
          <cell r="H32">
            <v>1.171109700848856</v>
          </cell>
          <cell r="I32">
            <v>14.860378678485979</v>
          </cell>
          <cell r="O32">
            <v>-2.4401808828580274</v>
          </cell>
          <cell r="P32">
            <v>4.2407539575390061</v>
          </cell>
          <cell r="Q32">
            <v>10.078586241007566</v>
          </cell>
          <cell r="R32">
            <v>-4.0341324025593632</v>
          </cell>
          <cell r="S32">
            <v>-1.9718383371052099</v>
          </cell>
          <cell r="T32">
            <v>7.1913841106031134E-2</v>
          </cell>
          <cell r="U32">
            <v>0.80364707989677775</v>
          </cell>
          <cell r="V32">
            <v>0.79134754840515509</v>
          </cell>
          <cell r="W32">
            <v>0.79571649259014265</v>
          </cell>
          <cell r="X32">
            <v>0.79900059194464002</v>
          </cell>
          <cell r="Y32">
            <v>0.80216231144879935</v>
          </cell>
          <cell r="Z32">
            <v>0.80520934250901666</v>
          </cell>
          <cell r="AA32">
            <v>0.80814358874862968</v>
          </cell>
          <cell r="AB32">
            <v>0.81096975061636312</v>
          </cell>
          <cell r="AC32">
            <v>0.81370226810956847</v>
          </cell>
          <cell r="AD32">
            <v>0.83233246855825982</v>
          </cell>
          <cell r="AE32">
            <v>0.83498010030823966</v>
          </cell>
          <cell r="AF32">
            <v>0.83754443243974452</v>
          </cell>
          <cell r="AG32">
            <v>0.84002958175193776</v>
          </cell>
          <cell r="AH32">
            <v>0.84243948067993379</v>
          </cell>
          <cell r="AI32">
            <v>0.84477788170638068</v>
          </cell>
        </row>
        <row r="33">
          <cell r="C33">
            <v>95.465713381791403</v>
          </cell>
          <cell r="D33">
            <v>100</v>
          </cell>
          <cell r="E33">
            <v>91.96121093655367</v>
          </cell>
          <cell r="F33">
            <v>91.300209884063307</v>
          </cell>
          <cell r="G33">
            <v>80.111556634859156</v>
          </cell>
          <cell r="H33">
            <v>100.67931901079268</v>
          </cell>
          <cell r="I33">
            <v>132.96615371128505</v>
          </cell>
          <cell r="O33">
            <v>141.77207449349683</v>
          </cell>
          <cell r="P33">
            <v>138.85141447217586</v>
          </cell>
          <cell r="Q33">
            <v>149.11068124010964</v>
          </cell>
          <cell r="R33">
            <v>164.52840647570721</v>
          </cell>
          <cell r="S33">
            <v>181.33336876955835</v>
          </cell>
          <cell r="T33">
            <v>196.48376427196928</v>
          </cell>
          <cell r="U33">
            <v>204.986493127226</v>
          </cell>
          <cell r="V33">
            <v>222.5414908463668</v>
          </cell>
          <cell r="W33">
            <v>236.55067879195926</v>
          </cell>
          <cell r="X33">
            <v>251.40473535254219</v>
          </cell>
          <cell r="Y33">
            <v>267.26471248086688</v>
          </cell>
          <cell r="Z33">
            <v>284.21307576493837</v>
          </cell>
          <cell r="AA33">
            <v>302.32634287226722</v>
          </cell>
          <cell r="AB33">
            <v>321.64550248016195</v>
          </cell>
          <cell r="AC33">
            <v>342.25207534787961</v>
          </cell>
          <cell r="AD33">
            <v>364.2301543211077</v>
          </cell>
          <cell r="AE33">
            <v>387.67280556441818</v>
          </cell>
          <cell r="AF33">
            <v>412.67849946317017</v>
          </cell>
          <cell r="AG33">
            <v>439.35238163338721</v>
          </cell>
          <cell r="AH33">
            <v>467.80672941821001</v>
          </cell>
          <cell r="AI33">
            <v>498.16143987509247</v>
          </cell>
        </row>
        <row r="34">
          <cell r="C34">
            <v>0</v>
          </cell>
          <cell r="D34">
            <v>-6.0247264873474364</v>
          </cell>
          <cell r="E34">
            <v>-4.0031994846954291</v>
          </cell>
          <cell r="F34">
            <v>-3.2477723242018754</v>
          </cell>
          <cell r="G34">
            <v>-5.5962230424863577</v>
          </cell>
          <cell r="H34">
            <v>11.650565967867394</v>
          </cell>
          <cell r="I34">
            <v>43.198326444067703</v>
          </cell>
          <cell r="O34">
            <v>7.1881610832282377</v>
          </cell>
          <cell r="P34">
            <v>1.6772944581687312</v>
          </cell>
          <cell r="Q34">
            <v>3.8864551252076183</v>
          </cell>
          <cell r="R34">
            <v>13.772080255695897</v>
          </cell>
          <cell r="S34">
            <v>7.7543549993529979</v>
          </cell>
          <cell r="T34">
            <v>8.7765900039423457</v>
          </cell>
          <cell r="U34">
            <v>4.4782361089191767</v>
          </cell>
          <cell r="V34">
            <v>9.0069289024591086</v>
          </cell>
          <cell r="W34">
            <v>6.550936452446777</v>
          </cell>
          <cell r="X34">
            <v>6.5667566701430786</v>
          </cell>
          <cell r="Y34">
            <v>6.5783825827847551</v>
          </cell>
          <cell r="Z34">
            <v>6.5947842480898089</v>
          </cell>
          <cell r="AA34">
            <v>6.6113234481643133</v>
          </cell>
          <cell r="AB34">
            <v>6.6128287216274231</v>
          </cell>
          <cell r="AC34">
            <v>6.6144342507620451</v>
          </cell>
          <cell r="AD34">
            <v>6.6165273972588921</v>
          </cell>
          <cell r="AE34">
            <v>6.6181845463784157</v>
          </cell>
          <cell r="AF34">
            <v>6.6199295853547397</v>
          </cell>
          <cell r="AG34">
            <v>6.6217583106819973</v>
          </cell>
          <cell r="AH34">
            <v>6.6236667079926548</v>
          </cell>
          <cell r="AI34">
            <v>6.6256509473549698</v>
          </cell>
        </row>
        <row r="36">
          <cell r="C36">
            <v>0</v>
          </cell>
          <cell r="D36">
            <v>0</v>
          </cell>
          <cell r="E36">
            <v>-6.8738074860359859</v>
          </cell>
          <cell r="F36">
            <v>2.6441925275446891</v>
          </cell>
          <cell r="G36">
            <v>-4.7936006499744224</v>
          </cell>
          <cell r="H36">
            <v>19.033282033000901</v>
          </cell>
          <cell r="I36">
            <v>-3.0402700148216297</v>
          </cell>
          <cell r="O36">
            <v>18.858465098341682</v>
          </cell>
          <cell r="P36">
            <v>-5</v>
          </cell>
          <cell r="Q36">
            <v>-1.9999999999999858</v>
          </cell>
          <cell r="R36">
            <v>6</v>
          </cell>
          <cell r="S36">
            <v>6</v>
          </cell>
          <cell r="T36">
            <v>6</v>
          </cell>
          <cell r="U36">
            <v>7</v>
          </cell>
          <cell r="V36">
            <v>8</v>
          </cell>
          <cell r="W36">
            <v>8</v>
          </cell>
          <cell r="X36">
            <v>8</v>
          </cell>
          <cell r="Y36">
            <v>8</v>
          </cell>
          <cell r="Z36">
            <v>8</v>
          </cell>
          <cell r="AA36">
            <v>8</v>
          </cell>
          <cell r="AB36">
            <v>9.0000000000000142</v>
          </cell>
          <cell r="AC36">
            <v>9.0000000000000142</v>
          </cell>
          <cell r="AD36">
            <v>9.0000000000000142</v>
          </cell>
          <cell r="AE36">
            <v>9.0000000000000142</v>
          </cell>
          <cell r="AF36">
            <v>9.0000000000000142</v>
          </cell>
          <cell r="AG36">
            <v>9.0000000000000142</v>
          </cell>
          <cell r="AH36">
            <v>9.0000000000000142</v>
          </cell>
          <cell r="AI36">
            <v>9.0000000000000142</v>
          </cell>
        </row>
        <row r="38">
          <cell r="D38">
            <v>100</v>
          </cell>
          <cell r="E38">
            <v>90.069746264988908</v>
          </cell>
          <cell r="F38">
            <v>88.9774534614521</v>
          </cell>
          <cell r="G38">
            <v>77.917614014357952</v>
          </cell>
          <cell r="H38">
            <v>95.070005549991507</v>
          </cell>
          <cell r="I38">
            <v>119.80724276190283</v>
          </cell>
          <cell r="O38">
            <v>114.5295877294475</v>
          </cell>
          <cell r="P38">
            <v>110.82471239158235</v>
          </cell>
          <cell r="Q38">
            <v>116.86728043797305</v>
          </cell>
          <cell r="R38">
            <v>125.56096110497741</v>
          </cell>
          <cell r="S38">
            <v>133.70606881210273</v>
          </cell>
          <cell r="T38">
            <v>139.30500515576028</v>
          </cell>
          <cell r="U38">
            <v>139.74360968271634</v>
          </cell>
          <cell r="V38">
            <v>145.87617438653749</v>
          </cell>
          <cell r="W38">
            <v>146.23122231870704</v>
          </cell>
          <cell r="X38">
            <v>146.53474680468651</v>
          </cell>
          <cell r="Y38">
            <v>146.85729163785496</v>
          </cell>
          <cell r="Z38">
            <v>147.19483965072072</v>
          </cell>
          <cell r="AA38">
            <v>147.54607816167461</v>
          </cell>
          <cell r="AB38">
            <v>147.9218440362358</v>
          </cell>
          <cell r="AC38">
            <v>148.32148632337129</v>
          </cell>
          <cell r="AD38">
            <v>148.74316759820644</v>
          </cell>
          <cell r="AE38">
            <v>149.18653072864618</v>
          </cell>
          <cell r="AF38">
            <v>149.6508781783331</v>
          </cell>
          <cell r="AG38">
            <v>150.13555764017926</v>
          </cell>
          <cell r="AH38">
            <v>150.63995967358909</v>
          </cell>
          <cell r="AI38">
            <v>151.16351546683657</v>
          </cell>
        </row>
        <row r="41">
          <cell r="C41">
            <v>7.3425161942707939</v>
          </cell>
          <cell r="D41">
            <v>4.2104847173281614</v>
          </cell>
          <cell r="E41">
            <v>3.5987647665472653</v>
          </cell>
          <cell r="F41">
            <v>1.0161902894486585</v>
          </cell>
          <cell r="G41">
            <v>2.4106997274351305</v>
          </cell>
          <cell r="H41">
            <v>-2.920396261022824</v>
          </cell>
          <cell r="I41">
            <v>-0.73914732806349204</v>
          </cell>
          <cell r="O41">
            <v>-1.7121424461335997</v>
          </cell>
          <cell r="P41">
            <v>-0.38395640878259168</v>
          </cell>
          <cell r="Q41">
            <v>0.14324761621816234</v>
          </cell>
          <cell r="R41">
            <v>0.29515801221019755</v>
          </cell>
          <cell r="S41">
            <v>0.33802617088438097</v>
          </cell>
          <cell r="T41">
            <v>0.4226156671045822</v>
          </cell>
          <cell r="U41">
            <v>0.4951319974229299</v>
          </cell>
          <cell r="V41">
            <v>0.64883677445011867</v>
          </cell>
          <cell r="W41">
            <v>0.6160789414565776</v>
          </cell>
          <cell r="X41">
            <v>0.6507727636006454</v>
          </cell>
          <cell r="Y41">
            <v>0.54714527583727834</v>
          </cell>
          <cell r="Z41">
            <v>0.52210716971651305</v>
          </cell>
          <cell r="AA41">
            <v>0.4880484727245239</v>
          </cell>
          <cell r="AB41">
            <v>0.45137183097770017</v>
          </cell>
          <cell r="AC41">
            <v>0.43636375161537949</v>
          </cell>
          <cell r="AD41">
            <v>0.46474253364150808</v>
          </cell>
          <cell r="AE41">
            <v>0.43877103481260277</v>
          </cell>
          <cell r="AF41">
            <v>0.41449191955210329</v>
          </cell>
          <cell r="AG41">
            <v>0.4328326969240216</v>
          </cell>
          <cell r="AH41">
            <v>0.42870293129599285</v>
          </cell>
          <cell r="AI41">
            <v>0.42575352116221482</v>
          </cell>
        </row>
        <row r="43">
          <cell r="C43">
            <v>0</v>
          </cell>
          <cell r="D43">
            <v>0</v>
          </cell>
          <cell r="E43">
            <v>0</v>
          </cell>
          <cell r="F43">
            <v>0</v>
          </cell>
          <cell r="G43">
            <v>0</v>
          </cell>
          <cell r="H43">
            <v>625.29999999999995</v>
          </cell>
          <cell r="I43">
            <v>453.3</v>
          </cell>
          <cell r="O43">
            <v>1063.8</v>
          </cell>
          <cell r="P43">
            <v>1067.28</v>
          </cell>
          <cell r="Q43">
            <v>1079.0911222710738</v>
          </cell>
          <cell r="R43">
            <v>1203.2952793390753</v>
          </cell>
          <cell r="S43">
            <v>1491</v>
          </cell>
          <cell r="T43">
            <v>1923</v>
          </cell>
          <cell r="U43">
            <v>2259</v>
          </cell>
          <cell r="V43">
            <v>2766</v>
          </cell>
          <cell r="W43">
            <v>2982.5969133727995</v>
          </cell>
          <cell r="X43">
            <v>3162.5459119672446</v>
          </cell>
          <cell r="Y43">
            <v>3476.9442263702463</v>
          </cell>
          <cell r="Z43">
            <v>3822.1102074265054</v>
          </cell>
          <cell r="AA43">
            <v>4209.8415970730912</v>
          </cell>
          <cell r="AB43">
            <v>4645.5931450325579</v>
          </cell>
          <cell r="AC43">
            <v>5139.8965271523284</v>
          </cell>
          <cell r="AD43">
            <v>5614.6026657525035</v>
          </cell>
          <cell r="AE43">
            <v>6083.9664345046331</v>
          </cell>
          <cell r="AF43">
            <v>6567.5287429483205</v>
          </cell>
          <cell r="AG43">
            <v>7105.3349735272304</v>
          </cell>
          <cell r="AH43">
            <v>7688.7521750727319</v>
          </cell>
          <cell r="AI43">
            <v>8321.7009425379511</v>
          </cell>
        </row>
        <row r="44">
          <cell r="C44">
            <v>0</v>
          </cell>
          <cell r="D44">
            <v>0</v>
          </cell>
          <cell r="E44">
            <v>0</v>
          </cell>
          <cell r="F44">
            <v>0</v>
          </cell>
          <cell r="G44">
            <v>0</v>
          </cell>
          <cell r="H44">
            <v>436.75347513556477</v>
          </cell>
          <cell r="I44">
            <v>298.8240117609501</v>
          </cell>
          <cell r="O44">
            <v>835.68667711615558</v>
          </cell>
          <cell r="P44">
            <v>845.44182959902821</v>
          </cell>
          <cell r="Q44">
            <v>853.43091402169614</v>
          </cell>
          <cell r="R44">
            <v>950.26759116443191</v>
          </cell>
          <cell r="S44">
            <v>1175.2228774843361</v>
          </cell>
          <cell r="T44">
            <v>1513.0396135415026</v>
          </cell>
          <cell r="U44">
            <v>1774.193874887585</v>
          </cell>
          <cell r="V44">
            <v>2172.3861256923683</v>
          </cell>
          <cell r="W44">
            <v>2342.4989707678787</v>
          </cell>
          <cell r="X44">
            <v>2483.8289446936951</v>
          </cell>
          <cell r="Y44">
            <v>2730.7539396865177</v>
          </cell>
          <cell r="Z44">
            <v>3001.8435233118298</v>
          </cell>
          <cell r="AA44">
            <v>3306.3635129588524</v>
          </cell>
          <cell r="AB44">
            <v>3648.5980093565813</v>
          </cell>
          <cell r="AC44">
            <v>4036.8184754447238</v>
          </cell>
          <cell r="AD44">
            <v>4409.6474809675074</v>
          </cell>
          <cell r="AE44">
            <v>4778.280647684719</v>
          </cell>
          <cell r="AF44">
            <v>5158.0651920704167</v>
          </cell>
          <cell r="AG44">
            <v>5580.4523191928083</v>
          </cell>
          <cell r="AH44">
            <v>6038.6618036930668</v>
          </cell>
          <cell r="AI44">
            <v>6535.7728379358459</v>
          </cell>
        </row>
        <row r="45">
          <cell r="C45">
            <v>1.456257901459354</v>
          </cell>
          <cell r="D45">
            <v>1.3655324120687014</v>
          </cell>
          <cell r="E45">
            <v>1.0070666706151339</v>
          </cell>
          <cell r="F45">
            <v>1.1201168177427798</v>
          </cell>
          <cell r="G45">
            <v>2.3278852444106661</v>
          </cell>
          <cell r="H45">
            <v>1.8886438979575679</v>
          </cell>
          <cell r="I45">
            <v>1.59076557657214</v>
          </cell>
          <cell r="O45">
            <v>3.1123463986315674</v>
          </cell>
          <cell r="P45">
            <v>2.6684472195969948</v>
          </cell>
          <cell r="Q45">
            <v>2.5296871783284121</v>
          </cell>
          <cell r="R45">
            <v>2.5952331425019985</v>
          </cell>
          <cell r="S45">
            <v>2.9465371321812897</v>
          </cell>
          <cell r="T45">
            <v>3.5780260164446691</v>
          </cell>
          <cell r="U45">
            <v>3.8269159790423943</v>
          </cell>
          <cell r="V45">
            <v>4.2838338670172371</v>
          </cell>
          <cell r="W45">
            <v>4.3036439006796581</v>
          </cell>
          <cell r="X45">
            <v>4.25</v>
          </cell>
          <cell r="Y45">
            <v>4.3499999999999996</v>
          </cell>
          <cell r="Z45">
            <v>4.45</v>
          </cell>
          <cell r="AA45">
            <v>4.5599999999999996</v>
          </cell>
          <cell r="AB45">
            <v>4.68</v>
          </cell>
          <cell r="AC45">
            <v>4.83</v>
          </cell>
          <cell r="AD45">
            <v>4.92</v>
          </cell>
          <cell r="AE45">
            <v>4.97</v>
          </cell>
          <cell r="AF45">
            <v>5</v>
          </cell>
          <cell r="AG45">
            <v>5.04</v>
          </cell>
          <cell r="AH45">
            <v>5.08</v>
          </cell>
          <cell r="AI45">
            <v>5.12</v>
          </cell>
        </row>
        <row r="46">
          <cell r="C46">
            <v>0</v>
          </cell>
          <cell r="D46">
            <v>0</v>
          </cell>
          <cell r="E46">
            <v>0</v>
          </cell>
          <cell r="F46">
            <v>0</v>
          </cell>
          <cell r="G46">
            <v>0</v>
          </cell>
          <cell r="H46">
            <v>2.1184614782821192</v>
          </cell>
          <cell r="I46">
            <v>1.5756452220258956</v>
          </cell>
          <cell r="O46">
            <v>3.1123463986315674</v>
          </cell>
          <cell r="P46">
            <v>2.6684472195969948</v>
          </cell>
          <cell r="Q46">
            <v>2.5296871783284121</v>
          </cell>
          <cell r="R46">
            <v>2.5952331425019985</v>
          </cell>
          <cell r="S46">
            <v>2.9465371321812897</v>
          </cell>
          <cell r="T46">
            <v>3.5780260164446691</v>
          </cell>
          <cell r="U46">
            <v>3.8269159790423943</v>
          </cell>
          <cell r="V46">
            <v>4.2838338670172371</v>
          </cell>
          <cell r="W46">
            <v>4.3036439006796581</v>
          </cell>
          <cell r="X46">
            <v>4.25</v>
          </cell>
          <cell r="Y46">
            <v>4.3499999999999996</v>
          </cell>
          <cell r="Z46">
            <v>4.45</v>
          </cell>
          <cell r="AA46">
            <v>4.5599999999999996</v>
          </cell>
          <cell r="AB46">
            <v>4.68</v>
          </cell>
          <cell r="AC46">
            <v>4.83</v>
          </cell>
          <cell r="AD46">
            <v>4.92</v>
          </cell>
          <cell r="AE46">
            <v>4.97</v>
          </cell>
          <cell r="AF46">
            <v>5.0000000000000009</v>
          </cell>
          <cell r="AG46">
            <v>5.0400000000000009</v>
          </cell>
          <cell r="AH46">
            <v>5.08</v>
          </cell>
          <cell r="AI46" t="e">
            <v>#DIV/0!</v>
          </cell>
        </row>
        <row r="48">
          <cell r="C48">
            <v>410.58109999999999</v>
          </cell>
          <cell r="D48">
            <v>794.52555233333328</v>
          </cell>
          <cell r="E48">
            <v>707.81512372166674</v>
          </cell>
          <cell r="F48">
            <v>713.02024316666666</v>
          </cell>
          <cell r="G48">
            <v>616.94056499999999</v>
          </cell>
          <cell r="H48">
            <v>693.4</v>
          </cell>
          <cell r="I48">
            <v>735.33157343136179</v>
          </cell>
          <cell r="O48">
            <v>586.55769695051424</v>
          </cell>
          <cell r="P48">
            <v>352.44789476381351</v>
          </cell>
          <cell r="Q48">
            <v>329.26735044581062</v>
          </cell>
          <cell r="R48">
            <v>274.45764015837375</v>
          </cell>
          <cell r="S48">
            <v>284.72495110042314</v>
          </cell>
          <cell r="T48">
            <v>301.40539465142041</v>
          </cell>
          <cell r="U48">
            <v>300.6889259509997</v>
          </cell>
          <cell r="V48">
            <v>306.24601629383255</v>
          </cell>
          <cell r="W48">
            <v>314.79820129259639</v>
          </cell>
          <cell r="X48">
            <v>319.53506947506361</v>
          </cell>
          <cell r="Y48">
            <v>351.50798666572518</v>
          </cell>
          <cell r="Z48">
            <v>368.04895118652172</v>
          </cell>
          <cell r="AA48">
            <v>378.70989043007495</v>
          </cell>
          <cell r="AB48">
            <v>386.85595424302392</v>
          </cell>
          <cell r="AC48">
            <v>395.20592089875555</v>
          </cell>
          <cell r="AD48">
            <v>392.04152554681241</v>
          </cell>
          <cell r="AE48">
            <v>417.09289650200549</v>
          </cell>
          <cell r="AF48">
            <v>443.18891392711947</v>
          </cell>
          <cell r="AG48">
            <v>443.45794429545936</v>
          </cell>
          <cell r="AH48">
            <v>458.20321540876643</v>
          </cell>
          <cell r="AI48">
            <v>472.10994438684941</v>
          </cell>
        </row>
        <row r="49">
          <cell r="C49">
            <v>-44.956760248773648</v>
          </cell>
          <cell r="D49">
            <v>-35.997929011831772</v>
          </cell>
          <cell r="E49">
            <v>-32.218266202624775</v>
          </cell>
          <cell r="F49">
            <v>-33.028678289059428</v>
          </cell>
          <cell r="G49">
            <v>-27.570867653165749</v>
          </cell>
          <cell r="H49">
            <v>-26.188843821564905</v>
          </cell>
          <cell r="I49">
            <v>-24.940414383529255</v>
          </cell>
          <cell r="O49">
            <v>-19.760728260300986</v>
          </cell>
          <cell r="P49">
            <v>-11.2701831527728</v>
          </cell>
          <cell r="Q49">
            <v>-9.279171891195455</v>
          </cell>
          <cell r="R49">
            <v>-7.4998175589714169</v>
          </cell>
          <cell r="S49">
            <v>-7.3964212444304751</v>
          </cell>
          <cell r="T49">
            <v>-7.2020466090143103</v>
          </cell>
          <cell r="U49">
            <v>-6.5215973000230463</v>
          </cell>
          <cell r="V49">
            <v>-6.0073782680953265</v>
          </cell>
          <cell r="W49">
            <v>-5.7014492216065102</v>
          </cell>
          <cell r="X49">
            <v>-5.401851908433275</v>
          </cell>
          <cell r="Y49">
            <v>-5.5459127964119617</v>
          </cell>
          <cell r="Z49">
            <v>-5.4168632690424117</v>
          </cell>
          <cell r="AA49">
            <v>-5.1969558329354664</v>
          </cell>
          <cell r="AB49">
            <v>-4.9439048435288377</v>
          </cell>
          <cell r="AC49">
            <v>-4.7013374874764393</v>
          </cell>
          <cell r="AD49">
            <v>-4.3392146303862482</v>
          </cell>
          <cell r="AE49">
            <v>-4.2934062620011755</v>
          </cell>
          <cell r="AF49">
            <v>-4.240942366271776</v>
          </cell>
          <cell r="AG49">
            <v>-3.9432056470421042</v>
          </cell>
          <cell r="AH49">
            <v>-3.7844505676077973</v>
          </cell>
          <cell r="AI49">
            <v>-3.620467976200596</v>
          </cell>
        </row>
        <row r="51">
          <cell r="C51" t="str">
            <v>...</v>
          </cell>
          <cell r="D51" t="str">
            <v>...</v>
          </cell>
          <cell r="E51" t="str">
            <v>...</v>
          </cell>
          <cell r="F51" t="str">
            <v>...</v>
          </cell>
          <cell r="G51" t="str">
            <v>...</v>
          </cell>
          <cell r="H51" t="str">
            <v>...</v>
          </cell>
          <cell r="I51">
            <v>6371.2411484137156</v>
          </cell>
          <cell r="O51">
            <v>4820.3914274487088</v>
          </cell>
          <cell r="P51">
            <v>4704.9334053763723</v>
          </cell>
          <cell r="Q51">
            <v>4868.0118139707492</v>
          </cell>
          <cell r="R51">
            <v>5051.4958766233594</v>
          </cell>
          <cell r="S51">
            <v>5452.1528783876665</v>
          </cell>
          <cell r="T51">
            <v>6100.8252106004975</v>
          </cell>
          <cell r="U51">
            <v>6439.5600399175746</v>
          </cell>
          <cell r="V51">
            <v>6920.4507318265978</v>
          </cell>
          <cell r="W51">
            <v>7209.2506227850463</v>
          </cell>
          <cell r="X51">
            <v>7527.7264247855919</v>
          </cell>
          <cell r="Y51">
            <v>7911.9527555590385</v>
          </cell>
          <cell r="Z51">
            <v>8319.6877588640436</v>
          </cell>
          <cell r="AA51">
            <v>8743.2342652532934</v>
          </cell>
          <cell r="AB51">
            <v>9186.5111654501034</v>
          </cell>
          <cell r="AC51">
            <v>9646.5558132181795</v>
          </cell>
          <cell r="AD51">
            <v>10134.164317870565</v>
          </cell>
          <cell r="AE51">
            <v>10629.281541049064</v>
          </cell>
          <cell r="AF51">
            <v>11132.289629774939</v>
          </cell>
          <cell r="AG51">
            <v>11671.567414492936</v>
          </cell>
          <cell r="AH51">
            <v>12234.874647006789</v>
          </cell>
          <cell r="AI51">
            <v>12825.095805759382</v>
          </cell>
        </row>
        <row r="52">
          <cell r="C52" t="str">
            <v>...</v>
          </cell>
          <cell r="D52" t="str">
            <v>...</v>
          </cell>
          <cell r="E52" t="str">
            <v>...</v>
          </cell>
          <cell r="F52" t="str">
            <v>...</v>
          </cell>
          <cell r="G52" t="str">
            <v>...</v>
          </cell>
          <cell r="H52" t="str">
            <v>...</v>
          </cell>
          <cell r="I52">
            <v>243.99357297091325</v>
          </cell>
          <cell r="O52">
            <v>172.20480803397763</v>
          </cell>
          <cell r="P52">
            <v>159.70004153120826</v>
          </cell>
          <cell r="Q52">
            <v>151.43105948081447</v>
          </cell>
          <cell r="R52">
            <v>146.62927482004301</v>
          </cell>
          <cell r="S52">
            <v>147.92216402389261</v>
          </cell>
          <cell r="T52">
            <v>156.51145295284871</v>
          </cell>
          <cell r="U52">
            <v>152.77533556480719</v>
          </cell>
          <cell r="V52">
            <v>149.4322140688005</v>
          </cell>
          <cell r="W52">
            <v>142.0088045224858</v>
          </cell>
          <cell r="X52">
            <v>136.5822503878255</v>
          </cell>
          <cell r="Y52">
            <v>133.53654015185325</v>
          </cell>
          <cell r="Z52">
            <v>131.03290463577338</v>
          </cell>
          <cell r="AA52">
            <v>128.45232133556101</v>
          </cell>
          <cell r="AB52">
            <v>125.80494188293872</v>
          </cell>
          <cell r="AC52">
            <v>123.05169818733093</v>
          </cell>
          <cell r="AD52">
            <v>120.32965836235306</v>
          </cell>
          <cell r="AE52">
            <v>117.42542738273633</v>
          </cell>
          <cell r="AF52">
            <v>114.37351409771657</v>
          </cell>
          <cell r="AG52">
            <v>111.47236530894951</v>
          </cell>
          <cell r="AH52">
            <v>108.58104416941812</v>
          </cell>
          <cell r="AI52">
            <v>105.71970650472737</v>
          </cell>
        </row>
        <row r="53">
          <cell r="C53" t="str">
            <v>...</v>
          </cell>
          <cell r="D53" t="str">
            <v>...</v>
          </cell>
          <cell r="E53" t="str">
            <v>...</v>
          </cell>
          <cell r="F53" t="str">
            <v>...</v>
          </cell>
          <cell r="G53" t="str">
            <v>...</v>
          </cell>
          <cell r="H53" t="str">
            <v>...</v>
          </cell>
          <cell r="I53">
            <v>71.909181923915526</v>
          </cell>
          <cell r="O53">
            <v>42.298563288030394</v>
          </cell>
          <cell r="P53">
            <v>40.002625075466973</v>
          </cell>
          <cell r="Q53">
            <v>37.820601549166057</v>
          </cell>
          <cell r="R53">
            <v>35.738909093649148</v>
          </cell>
          <cell r="S53">
            <v>34.283443711282438</v>
          </cell>
          <cell r="T53">
            <v>33.930662731020931</v>
          </cell>
          <cell r="U53">
            <v>31.92562448777543</v>
          </cell>
          <cell r="V53">
            <v>30.448141772704723</v>
          </cell>
          <cell r="W53">
            <v>25.195480895868013</v>
          </cell>
          <cell r="X53">
            <v>24.161251927976362</v>
          </cell>
          <cell r="Y53">
            <v>23.316622832923819</v>
          </cell>
          <cell r="Z53">
            <v>22.504387990114115</v>
          </cell>
          <cell r="AA53">
            <v>21.697594177152101</v>
          </cell>
          <cell r="AB53">
            <v>20.906249023858532</v>
          </cell>
          <cell r="AC53">
            <v>20.118363894861378</v>
          </cell>
          <cell r="AD53">
            <v>19.356821836424682</v>
          </cell>
          <cell r="AE53">
            <v>18.594125359153292</v>
          </cell>
          <cell r="AF53">
            <v>17.835367977576816</v>
          </cell>
          <cell r="AG53">
            <v>17.125864089781743</v>
          </cell>
          <cell r="AH53">
            <v>16.441769957364478</v>
          </cell>
          <cell r="AI53">
            <v>15.784665921064644</v>
          </cell>
        </row>
        <row r="55">
          <cell r="C55" t="str">
            <v>...</v>
          </cell>
          <cell r="D55" t="str">
            <v>...</v>
          </cell>
          <cell r="E55" t="str">
            <v>...</v>
          </cell>
          <cell r="F55" t="str">
            <v>...</v>
          </cell>
          <cell r="G55" t="str">
            <v>...</v>
          </cell>
          <cell r="H55" t="str">
            <v>...</v>
          </cell>
          <cell r="I55">
            <v>5753.8643782671916</v>
          </cell>
          <cell r="O55">
            <v>3429.5216475764373</v>
          </cell>
          <cell r="P55">
            <v>3328.4109254684408</v>
          </cell>
          <cell r="Q55">
            <v>3414.7483205715648</v>
          </cell>
          <cell r="R55">
            <v>3450.8650852607443</v>
          </cell>
          <cell r="S55">
            <v>3617.0161269081236</v>
          </cell>
          <cell r="T55">
            <v>3880.5262706054073</v>
          </cell>
          <cell r="U55">
            <v>4038.8903143745283</v>
          </cell>
          <cell r="V55">
            <v>4277.795472073758</v>
          </cell>
          <cell r="W55">
            <v>4445.188965771099</v>
          </cell>
          <cell r="X55">
            <v>4636.0707868789632</v>
          </cell>
          <cell r="Y55">
            <v>4853.0115485721308</v>
          </cell>
          <cell r="Z55">
            <v>5086.9637113272111</v>
          </cell>
          <cell r="AA55">
            <v>5337.9908020091789</v>
          </cell>
          <cell r="AB55">
            <v>5610.1466719776372</v>
          </cell>
          <cell r="AC55">
            <v>5900.7241299824509</v>
          </cell>
          <cell r="AD55">
            <v>6220.5231118706361</v>
          </cell>
          <cell r="AE55">
            <v>6550.1056941255765</v>
          </cell>
          <cell r="AF55">
            <v>6889.7259467956928</v>
          </cell>
          <cell r="AG55">
            <v>7266.5570780902635</v>
          </cell>
          <cell r="AH55">
            <v>7668.7577523312511</v>
          </cell>
          <cell r="AI55">
            <v>8098.9450597172345</v>
          </cell>
        </row>
        <row r="56">
          <cell r="C56" t="str">
            <v>...</v>
          </cell>
          <cell r="D56" t="str">
            <v>...</v>
          </cell>
          <cell r="E56" t="str">
            <v>...</v>
          </cell>
          <cell r="F56" t="str">
            <v>...</v>
          </cell>
          <cell r="G56" t="str">
            <v>...</v>
          </cell>
          <cell r="H56" t="str">
            <v>...</v>
          </cell>
          <cell r="I56">
            <v>220.35046160401777</v>
          </cell>
          <cell r="O56">
            <v>122.51704573332705</v>
          </cell>
          <cell r="P56">
            <v>112.97659652798338</v>
          </cell>
          <cell r="Q56">
            <v>106.22384986011275</v>
          </cell>
          <cell r="R56">
            <v>100.16792200013039</v>
          </cell>
          <cell r="S56">
            <v>98.133134696654281</v>
          </cell>
          <cell r="T56">
            <v>99.55158259227872</v>
          </cell>
          <cell r="U56">
            <v>95.820649122469575</v>
          </cell>
          <cell r="V56">
            <v>92.369770914726075</v>
          </cell>
          <cell r="W56">
            <v>87.561940059428096</v>
          </cell>
          <cell r="X56">
            <v>84.116364662816636</v>
          </cell>
          <cell r="Y56">
            <v>81.908271135463835</v>
          </cell>
          <cell r="Z56">
            <v>80.118347009093654</v>
          </cell>
          <cell r="AA56">
            <v>78.42376047396094</v>
          </cell>
          <cell r="AB56">
            <v>76.828315266988298</v>
          </cell>
          <cell r="AC56">
            <v>75.269779057761937</v>
          </cell>
          <cell r="AD56">
            <v>73.86039908259508</v>
          </cell>
          <cell r="AE56">
            <v>72.361331061222316</v>
          </cell>
          <cell r="AF56">
            <v>70.785273641966114</v>
          </cell>
          <cell r="AG56">
            <v>69.401158934436168</v>
          </cell>
          <cell r="AH56">
            <v>68.058051124713344</v>
          </cell>
          <cell r="AI56">
            <v>66.761146090364079</v>
          </cell>
        </row>
        <row r="58">
          <cell r="C58">
            <v>0</v>
          </cell>
          <cell r="D58">
            <v>0</v>
          </cell>
          <cell r="E58">
            <v>223</v>
          </cell>
          <cell r="F58">
            <v>536</v>
          </cell>
          <cell r="G58">
            <v>585</v>
          </cell>
          <cell r="H58">
            <v>85.991040611967207</v>
          </cell>
          <cell r="I58">
            <v>92.241148413715621</v>
          </cell>
          <cell r="O58">
            <v>107.00114841371561</v>
          </cell>
          <cell r="P58">
            <v>54.40114841371561</v>
          </cell>
          <cell r="Q58">
            <v>0.40114841371561027</v>
          </cell>
          <cell r="R58">
            <v>0.40114841371561027</v>
          </cell>
          <cell r="S58">
            <v>0.40114841371561027</v>
          </cell>
          <cell r="T58">
            <v>0.40114841371561027</v>
          </cell>
          <cell r="U58">
            <v>0.40114841371561027</v>
          </cell>
          <cell r="V58">
            <v>0.40114841371561027</v>
          </cell>
          <cell r="W58">
            <v>0.40114841371561027</v>
          </cell>
          <cell r="X58">
            <v>0.40114841371561027</v>
          </cell>
          <cell r="Y58">
            <v>0.40114841371561027</v>
          </cell>
          <cell r="Z58">
            <v>0.40114841371561027</v>
          </cell>
          <cell r="AA58">
            <v>0.40114841371561027</v>
          </cell>
          <cell r="AB58">
            <v>0.40114841371561027</v>
          </cell>
          <cell r="AC58">
            <v>0.40114841371561027</v>
          </cell>
          <cell r="AD58">
            <v>0.40114841371561027</v>
          </cell>
          <cell r="AE58">
            <v>0.40114841371561027</v>
          </cell>
          <cell r="AF58">
            <v>0.40114841371561027</v>
          </cell>
          <cell r="AG58">
            <v>0.40114841371561027</v>
          </cell>
          <cell r="AH58">
            <v>0.40114841371561027</v>
          </cell>
          <cell r="AI58">
            <v>0.40114841371561027</v>
          </cell>
        </row>
        <row r="60">
          <cell r="C60">
            <v>-17.5733</v>
          </cell>
          <cell r="D60">
            <v>32.946878367750017</v>
          </cell>
          <cell r="E60">
            <v>8.4865651666666722</v>
          </cell>
          <cell r="F60">
            <v>-82.824161000000004</v>
          </cell>
          <cell r="G60">
            <v>-30.421118624999998</v>
          </cell>
          <cell r="H60">
            <v>18.469901175000004</v>
          </cell>
          <cell r="I60">
            <v>-39.157084052191699</v>
          </cell>
          <cell r="O60">
            <v>-23.658056950514222</v>
          </cell>
          <cell r="P60">
            <v>18.153213932268908</v>
          </cell>
          <cell r="Q60">
            <v>22.338185519664719</v>
          </cell>
          <cell r="R60">
            <v>68.030435633068777</v>
          </cell>
          <cell r="S60">
            <v>73.716522398578505</v>
          </cell>
          <cell r="T60">
            <v>28.347245995635184</v>
          </cell>
          <cell r="U60">
            <v>-8.5562689708653483</v>
          </cell>
          <cell r="V60">
            <v>-20.563057124921926</v>
          </cell>
          <cell r="W60">
            <v>-38.452280196448434</v>
          </cell>
          <cell r="X60">
            <v>-48.383663823345714</v>
          </cell>
          <cell r="Y60">
            <v>-39.827394852480367</v>
          </cell>
          <cell r="Z60">
            <v>-39.827394852480367</v>
          </cell>
          <cell r="AA60">
            <v>-27.820606698423788</v>
          </cell>
          <cell r="AB60">
            <v>-9.9313836268972775</v>
          </cell>
          <cell r="AC60">
            <v>0</v>
          </cell>
          <cell r="AD60">
            <v>0</v>
          </cell>
          <cell r="AE60">
            <v>0</v>
          </cell>
          <cell r="AF60">
            <v>0</v>
          </cell>
          <cell r="AG60">
            <v>0</v>
          </cell>
          <cell r="AH60">
            <v>0</v>
          </cell>
          <cell r="AI60">
            <v>0</v>
          </cell>
        </row>
      </sheetData>
      <sheetData sheetId="15" refreshError="1">
        <row r="1">
          <cell r="A1" t="str">
            <v>Output for DSA</v>
          </cell>
        </row>
        <row r="9">
          <cell r="B9">
            <v>2541.3478497260658</v>
          </cell>
          <cell r="C9">
            <v>2315.3735010868431</v>
          </cell>
          <cell r="D9">
            <v>2462.1411673814951</v>
          </cell>
          <cell r="E9">
            <v>2592.8626266193173</v>
          </cell>
          <cell r="F9">
            <v>2819.3750500355663</v>
          </cell>
          <cell r="G9">
            <v>3097.1689914768535</v>
          </cell>
          <cell r="H9">
            <v>3486.061664333849</v>
          </cell>
          <cell r="I9">
            <v>3942.9613626690134</v>
          </cell>
          <cell r="M9">
            <v>6685.6393214285681</v>
          </cell>
          <cell r="N9">
            <v>7281.4284679622306</v>
          </cell>
          <cell r="O9">
            <v>7933.0167337322928</v>
          </cell>
          <cell r="P9">
            <v>8646.8730458004557</v>
          </cell>
          <cell r="Q9">
            <v>9429.1607083839699</v>
          </cell>
          <cell r="R9">
            <v>10289.118567650432</v>
          </cell>
          <cell r="S9">
            <v>11234.466117618382</v>
          </cell>
          <cell r="T9">
            <v>12266.670669413501</v>
          </cell>
          <cell r="U9">
            <v>13393.712503692004</v>
          </cell>
          <cell r="V9">
            <v>14624.305116372107</v>
          </cell>
          <cell r="W9">
            <v>15967.962585264811</v>
          </cell>
          <cell r="X9">
            <v>17435.073126241601</v>
          </cell>
        </row>
        <row r="10">
          <cell r="B10">
            <v>0</v>
          </cell>
          <cell r="C10">
            <v>0</v>
          </cell>
          <cell r="D10">
            <v>0</v>
          </cell>
          <cell r="E10">
            <v>243.30568611746446</v>
          </cell>
          <cell r="F10">
            <v>386.96048981198646</v>
          </cell>
          <cell r="G10">
            <v>490.9544189359998</v>
          </cell>
          <cell r="H10">
            <v>614.0662454604601</v>
          </cell>
          <cell r="I10">
            <v>872.9205160042352</v>
          </cell>
          <cell r="O10">
            <v>1002.0925377868067</v>
          </cell>
          <cell r="P10">
            <v>1035.223233527443</v>
          </cell>
          <cell r="Q10">
            <v>1069.9442026636298</v>
          </cell>
          <cell r="R10">
            <v>1106.3317783183536</v>
          </cell>
          <cell r="S10">
            <v>1144.465957604504</v>
          </cell>
          <cell r="T10">
            <v>1184.4305774963896</v>
          </cell>
          <cell r="U10">
            <v>1226.3134991430859</v>
          </cell>
          <cell r="V10">
            <v>1270.2068010288235</v>
          </cell>
          <cell r="W10">
            <v>1316.2069814050767</v>
          </cell>
          <cell r="X10">
            <v>1364.4151704393901</v>
          </cell>
        </row>
        <row r="11">
          <cell r="B11" t="str">
            <v>…</v>
          </cell>
          <cell r="C11" t="str">
            <v>…</v>
          </cell>
          <cell r="D11" t="str">
            <v>…</v>
          </cell>
          <cell r="E11">
            <v>137.29549194972225</v>
          </cell>
          <cell r="F11">
            <v>162.83574373290463</v>
          </cell>
          <cell r="G11">
            <v>157.57671068076311</v>
          </cell>
          <cell r="H11">
            <v>203.10620982598061</v>
          </cell>
          <cell r="I11">
            <v>230.41331463531611</v>
          </cell>
          <cell r="O11">
            <v>345.11141396496049</v>
          </cell>
          <cell r="P11">
            <v>361.67676183527863</v>
          </cell>
          <cell r="Q11">
            <v>379.03724640337202</v>
          </cell>
          <cell r="R11">
            <v>397.23103423073394</v>
          </cell>
          <cell r="S11">
            <v>416.29812387380912</v>
          </cell>
          <cell r="T11">
            <v>436.28043381975203</v>
          </cell>
          <cell r="U11">
            <v>457.22189464310014</v>
          </cell>
          <cell r="V11">
            <v>479.16854558596896</v>
          </cell>
          <cell r="W11">
            <v>502.16863577409549</v>
          </cell>
          <cell r="X11">
            <v>526.27273029125217</v>
          </cell>
        </row>
        <row r="12">
          <cell r="B12" t="str">
            <v>…</v>
          </cell>
          <cell r="C12" t="str">
            <v>…</v>
          </cell>
          <cell r="D12" t="str">
            <v>…</v>
          </cell>
          <cell r="E12">
            <v>106.25648854961833</v>
          </cell>
          <cell r="F12">
            <v>108.3816183206107</v>
          </cell>
          <cell r="G12">
            <v>110.54925068702292</v>
          </cell>
          <cell r="H12">
            <v>112.76023570076337</v>
          </cell>
          <cell r="I12">
            <v>126.94304277178628</v>
          </cell>
          <cell r="O12">
            <v>142.95848415660831</v>
          </cell>
          <cell r="P12">
            <v>145.81765383974047</v>
          </cell>
          <cell r="Q12">
            <v>148.73400691653529</v>
          </cell>
          <cell r="R12">
            <v>151.708687054866</v>
          </cell>
          <cell r="S12">
            <v>154.74286079596334</v>
          </cell>
          <cell r="T12">
            <v>157.8377180118826</v>
          </cell>
          <cell r="U12">
            <v>160.99447237212024</v>
          </cell>
          <cell r="V12">
            <v>164.21436181956264</v>
          </cell>
          <cell r="W12">
            <v>167.4986490559539</v>
          </cell>
          <cell r="X12">
            <v>170.848622037073</v>
          </cell>
        </row>
        <row r="13">
          <cell r="B13" t="str">
            <v>…</v>
          </cell>
          <cell r="C13" t="str">
            <v>…</v>
          </cell>
          <cell r="D13" t="str">
            <v>…</v>
          </cell>
          <cell r="E13">
            <v>6.4575063613231558</v>
          </cell>
          <cell r="F13">
            <v>6.4575063613231558</v>
          </cell>
          <cell r="G13">
            <v>6.4575063613231558</v>
          </cell>
          <cell r="H13">
            <v>6.4575063613231558</v>
          </cell>
          <cell r="I13">
            <v>6.4575063613231558</v>
          </cell>
          <cell r="O13">
            <v>6.4575063613231558</v>
          </cell>
          <cell r="P13">
            <v>6.4575063613231558</v>
          </cell>
          <cell r="Q13">
            <v>6.4575063613231558</v>
          </cell>
          <cell r="R13">
            <v>6.4575063613231558</v>
          </cell>
          <cell r="S13">
            <v>6.4575063613231558</v>
          </cell>
          <cell r="T13">
            <v>6.4575063613231558</v>
          </cell>
          <cell r="U13">
            <v>6.4575063613231558</v>
          </cell>
          <cell r="V13">
            <v>6.4575063613231558</v>
          </cell>
          <cell r="W13">
            <v>6.4575063613231558</v>
          </cell>
          <cell r="X13">
            <v>6.4575063613231558</v>
          </cell>
        </row>
        <row r="14">
          <cell r="B14" t="str">
            <v>…</v>
          </cell>
          <cell r="C14" t="str">
            <v>…</v>
          </cell>
          <cell r="D14" t="str">
            <v>…</v>
          </cell>
          <cell r="E14">
            <v>24.581497038780768</v>
          </cell>
          <cell r="F14">
            <v>47.996619050970779</v>
          </cell>
          <cell r="G14">
            <v>40.56995363241704</v>
          </cell>
          <cell r="H14">
            <v>83.888467763894084</v>
          </cell>
          <cell r="I14">
            <v>97.012765502206676</v>
          </cell>
          <cell r="O14">
            <v>195.69542344702901</v>
          </cell>
          <cell r="P14">
            <v>209.40160163421498</v>
          </cell>
          <cell r="Q14">
            <v>223.84573312551356</v>
          </cell>
          <cell r="R14">
            <v>239.06484081454477</v>
          </cell>
          <cell r="S14">
            <v>255.09775671652261</v>
          </cell>
          <cell r="T14">
            <v>271.98520944654626</v>
          </cell>
          <cell r="U14">
            <v>289.76991590965673</v>
          </cell>
          <cell r="V14">
            <v>308.49667740508318</v>
          </cell>
          <cell r="W14">
            <v>328.21248035681839</v>
          </cell>
          <cell r="X14">
            <v>348.96660189285598</v>
          </cell>
        </row>
        <row r="15">
          <cell r="B15" t="str">
            <v>…</v>
          </cell>
          <cell r="C15" t="str">
            <v>…</v>
          </cell>
          <cell r="D15" t="str">
            <v>…</v>
          </cell>
          <cell r="E15">
            <v>0</v>
          </cell>
          <cell r="F15">
            <v>95</v>
          </cell>
          <cell r="G15">
            <v>185.04349695568834</v>
          </cell>
          <cell r="H15">
            <v>284.17594494328364</v>
          </cell>
          <cell r="I15">
            <v>405.74311067772322</v>
          </cell>
          <cell r="O15">
            <v>0</v>
          </cell>
          <cell r="P15">
            <v>0</v>
          </cell>
          <cell r="Q15">
            <v>0</v>
          </cell>
          <cell r="R15">
            <v>0</v>
          </cell>
          <cell r="S15">
            <v>0</v>
          </cell>
          <cell r="T15">
            <v>0</v>
          </cell>
          <cell r="U15">
            <v>0</v>
          </cell>
          <cell r="V15">
            <v>0</v>
          </cell>
          <cell r="W15">
            <v>0</v>
          </cell>
          <cell r="X15">
            <v>0</v>
          </cell>
        </row>
        <row r="16">
          <cell r="B16" t="str">
            <v>…</v>
          </cell>
          <cell r="C16" t="str">
            <v>…</v>
          </cell>
          <cell r="D16" t="str">
            <v>…</v>
          </cell>
          <cell r="E16">
            <v>0</v>
          </cell>
          <cell r="F16">
            <v>75</v>
          </cell>
          <cell r="G16">
            <v>142.34115150437566</v>
          </cell>
          <cell r="H16">
            <v>236.81328745273638</v>
          </cell>
          <cell r="I16">
            <v>352.82009624149845</v>
          </cell>
          <cell r="O16">
            <v>0</v>
          </cell>
          <cell r="P16">
            <v>0</v>
          </cell>
          <cell r="Q16">
            <v>0</v>
          </cell>
          <cell r="R16">
            <v>0</v>
          </cell>
          <cell r="S16">
            <v>0</v>
          </cell>
          <cell r="T16">
            <v>0</v>
          </cell>
          <cell r="U16">
            <v>0</v>
          </cell>
          <cell r="V16">
            <v>0</v>
          </cell>
          <cell r="W16">
            <v>0</v>
          </cell>
          <cell r="X16">
            <v>0</v>
          </cell>
        </row>
        <row r="17">
          <cell r="B17" t="str">
            <v>…</v>
          </cell>
          <cell r="C17" t="str">
            <v>…</v>
          </cell>
          <cell r="D17" t="str">
            <v>…</v>
          </cell>
          <cell r="E17">
            <v>0</v>
          </cell>
          <cell r="F17">
            <v>20</v>
          </cell>
          <cell r="G17">
            <v>42.702345451312695</v>
          </cell>
          <cell r="H17">
            <v>47.362657490547278</v>
          </cell>
          <cell r="I17">
            <v>52.923014436224769</v>
          </cell>
          <cell r="O17">
            <v>0</v>
          </cell>
          <cell r="P17">
            <v>0</v>
          </cell>
          <cell r="Q17">
            <v>0</v>
          </cell>
          <cell r="R17">
            <v>0</v>
          </cell>
          <cell r="S17">
            <v>0</v>
          </cell>
          <cell r="T17">
            <v>0</v>
          </cell>
          <cell r="U17">
            <v>0</v>
          </cell>
          <cell r="V17">
            <v>0</v>
          </cell>
          <cell r="W17">
            <v>0</v>
          </cell>
          <cell r="X17">
            <v>0</v>
          </cell>
        </row>
        <row r="18">
          <cell r="B18" t="str">
            <v>…</v>
          </cell>
          <cell r="C18" t="str">
            <v>…</v>
          </cell>
          <cell r="D18" t="str">
            <v>…</v>
          </cell>
          <cell r="E18">
            <v>30</v>
          </cell>
          <cell r="F18">
            <v>33.211328357562834</v>
          </cell>
          <cell r="G18">
            <v>32.400793578029337</v>
          </cell>
          <cell r="H18">
            <v>20.850672969676921</v>
          </cell>
          <cell r="I18">
            <v>20.850672969676921</v>
          </cell>
          <cell r="O18">
            <v>20.850672969676921</v>
          </cell>
          <cell r="P18">
            <v>20.850672969676921</v>
          </cell>
          <cell r="Q18">
            <v>20.850672969676921</v>
          </cell>
          <cell r="R18">
            <v>20.850672969676921</v>
          </cell>
          <cell r="S18">
            <v>20.850672969676921</v>
          </cell>
          <cell r="T18">
            <v>20.850672969676921</v>
          </cell>
          <cell r="U18">
            <v>20.850672969676921</v>
          </cell>
          <cell r="V18">
            <v>20.850672969676921</v>
          </cell>
          <cell r="W18">
            <v>20.850672969676921</v>
          </cell>
          <cell r="X18">
            <v>20.850672969676921</v>
          </cell>
        </row>
        <row r="19">
          <cell r="B19" t="str">
            <v>…</v>
          </cell>
          <cell r="C19" t="str">
            <v>…</v>
          </cell>
          <cell r="D19" t="str">
            <v>…</v>
          </cell>
          <cell r="E19">
            <v>40.158227848101262</v>
          </cell>
          <cell r="F19">
            <v>55.87341772151899</v>
          </cell>
          <cell r="G19">
            <v>35.87341772151899</v>
          </cell>
          <cell r="H19">
            <v>25.87341772151899</v>
          </cell>
          <cell r="I19">
            <v>25.87341772151899</v>
          </cell>
          <cell r="O19">
            <v>25.87341772151899</v>
          </cell>
          <cell r="P19">
            <v>25.87341772151899</v>
          </cell>
          <cell r="Q19">
            <v>25.87341772151899</v>
          </cell>
          <cell r="R19">
            <v>25.87341772151899</v>
          </cell>
          <cell r="S19">
            <v>25.87341772151899</v>
          </cell>
          <cell r="T19">
            <v>25.87341772151899</v>
          </cell>
          <cell r="U19">
            <v>25.87341772151899</v>
          </cell>
          <cell r="V19">
            <v>25.87341772151899</v>
          </cell>
          <cell r="W19">
            <v>25.87341772151899</v>
          </cell>
          <cell r="X19">
            <v>25.87341772151899</v>
          </cell>
        </row>
        <row r="20">
          <cell r="B20" t="str">
            <v>…</v>
          </cell>
          <cell r="C20" t="str">
            <v>…</v>
          </cell>
          <cell r="D20" t="str">
            <v>…</v>
          </cell>
          <cell r="E20">
            <v>35.851966319640965</v>
          </cell>
          <cell r="F20">
            <v>40.04</v>
          </cell>
          <cell r="G20">
            <v>80.06</v>
          </cell>
          <cell r="H20">
            <v>80.06</v>
          </cell>
          <cell r="I20">
            <v>40.04</v>
          </cell>
          <cell r="O20">
            <v>0</v>
          </cell>
          <cell r="P20">
            <v>0</v>
          </cell>
          <cell r="Q20">
            <v>0</v>
          </cell>
          <cell r="R20">
            <v>0</v>
          </cell>
          <cell r="S20">
            <v>0</v>
          </cell>
          <cell r="T20">
            <v>0</v>
          </cell>
          <cell r="U20">
            <v>0</v>
          </cell>
          <cell r="V20">
            <v>0</v>
          </cell>
          <cell r="W20">
            <v>0</v>
          </cell>
          <cell r="X20">
            <v>0</v>
          </cell>
        </row>
        <row r="21">
          <cell r="B21" t="str">
            <v>…</v>
          </cell>
          <cell r="C21" t="str">
            <v>…</v>
          </cell>
          <cell r="D21" t="str">
            <v>…</v>
          </cell>
          <cell r="E21">
            <v>0</v>
          </cell>
          <cell r="F21">
            <v>0</v>
          </cell>
          <cell r="G21">
            <v>0</v>
          </cell>
          <cell r="H21">
            <v>0</v>
          </cell>
          <cell r="I21">
            <v>150</v>
          </cell>
          <cell r="O21">
            <v>265.14561916568982</v>
          </cell>
          <cell r="P21">
            <v>265.14561916568982</v>
          </cell>
          <cell r="Q21">
            <v>265.14561916568982</v>
          </cell>
          <cell r="R21">
            <v>265.14561916568982</v>
          </cell>
          <cell r="S21">
            <v>265.14561916568982</v>
          </cell>
          <cell r="T21">
            <v>265.14561916568982</v>
          </cell>
          <cell r="U21">
            <v>265.14561916568982</v>
          </cell>
          <cell r="V21">
            <v>265.14561916568982</v>
          </cell>
          <cell r="W21">
            <v>265.14561916568982</v>
          </cell>
          <cell r="X21">
            <v>265.14561916568982</v>
          </cell>
        </row>
        <row r="22">
          <cell r="B22">
            <v>72.67</v>
          </cell>
          <cell r="C22">
            <v>78.959999999999994</v>
          </cell>
          <cell r="D22">
            <v>78.599999999999994</v>
          </cell>
          <cell r="E22">
            <v>77.069999999999993</v>
          </cell>
          <cell r="F22">
            <v>75</v>
          </cell>
          <cell r="G22">
            <v>73</v>
          </cell>
          <cell r="H22">
            <v>71</v>
          </cell>
          <cell r="I22">
            <v>69</v>
          </cell>
          <cell r="O22">
            <v>67.353808110155597</v>
          </cell>
          <cell r="P22">
            <v>68.343406461394835</v>
          </cell>
          <cell r="Q22">
            <v>69.347544523516831</v>
          </cell>
          <cell r="R22">
            <v>70.366435921768954</v>
          </cell>
          <cell r="S22">
            <v>71.400297420095484</v>
          </cell>
          <cell r="T22">
            <v>72.44934896725313</v>
          </cell>
          <cell r="U22">
            <v>73.51381374360389</v>
          </cell>
          <cell r="V22">
            <v>74.593918208595667</v>
          </cell>
          <cell r="W22">
            <v>75.689892148940245</v>
          </cell>
          <cell r="X22">
            <v>76.801968727499315</v>
          </cell>
        </row>
        <row r="25">
          <cell r="B25" t="str">
            <v>…</v>
          </cell>
          <cell r="C25" t="str">
            <v>…</v>
          </cell>
          <cell r="D25">
            <v>10561.141594003644</v>
          </cell>
          <cell r="E25">
            <v>11155.35646960898</v>
          </cell>
          <cell r="F25">
            <v>12142.768593322931</v>
          </cell>
          <cell r="G25">
            <v>13122.019918543489</v>
          </cell>
          <cell r="H25">
            <v>14499.386875044491</v>
          </cell>
          <cell r="I25">
            <v>16232.024948365759</v>
          </cell>
          <cell r="O25">
            <v>33771.255333986846</v>
          </cell>
          <cell r="P25">
            <v>36795.596395568457</v>
          </cell>
          <cell r="Q25">
            <v>40107.529452435701</v>
          </cell>
          <cell r="R25">
            <v>43740.781029255515</v>
          </cell>
          <cell r="S25">
            <v>47731.006100604078</v>
          </cell>
          <cell r="T25">
            <v>52106.618135593337</v>
          </cell>
          <cell r="U25">
            <v>56894.089819170906</v>
          </cell>
          <cell r="V25">
            <v>62121.426647352833</v>
          </cell>
          <cell r="W25">
            <v>67829.04271722956</v>
          </cell>
          <cell r="X25">
            <v>74061.065307678422</v>
          </cell>
        </row>
        <row r="26">
          <cell r="B26" t="str">
            <v>…</v>
          </cell>
          <cell r="C26" t="str">
            <v>…</v>
          </cell>
          <cell r="D26">
            <v>2799.22</v>
          </cell>
          <cell r="E26">
            <v>2946.1065634456609</v>
          </cell>
          <cell r="F26">
            <v>3214.6719640348952</v>
          </cell>
          <cell r="G26">
            <v>3445.0800379549182</v>
          </cell>
          <cell r="H26">
            <v>3685.8255247719517</v>
          </cell>
          <cell r="I26">
            <v>3898.0056062979988</v>
          </cell>
          <cell r="O26">
            <v>6349.3118632987098</v>
          </cell>
          <cell r="P26">
            <v>6806.598879916698</v>
          </cell>
          <cell r="Q26">
            <v>7302.1862479759629</v>
          </cell>
          <cell r="R26">
            <v>7839.4333075619134</v>
          </cell>
          <cell r="S26">
            <v>8422.0004077076246</v>
          </cell>
          <cell r="T26">
            <v>9051.9419668825158</v>
          </cell>
          <cell r="U26">
            <v>9733.275852890134</v>
          </cell>
          <cell r="V26">
            <v>10470.368491908093</v>
          </cell>
          <cell r="W26">
            <v>11267.965546469432</v>
          </cell>
          <cell r="X26">
            <v>12131.225321918477</v>
          </cell>
        </row>
        <row r="27">
          <cell r="B27" t="str">
            <v>…</v>
          </cell>
          <cell r="C27" t="str">
            <v>…</v>
          </cell>
          <cell r="D27">
            <v>2439.6208393981346</v>
          </cell>
          <cell r="E27">
            <v>2456.7924316958852</v>
          </cell>
          <cell r="F27">
            <v>2624.7929480121261</v>
          </cell>
          <cell r="G27">
            <v>2836.4688893772459</v>
          </cell>
          <cell r="H27">
            <v>3134.2019019487561</v>
          </cell>
          <cell r="I27">
            <v>3508.7306728265721</v>
          </cell>
          <cell r="O27">
            <v>7300.0281743743644</v>
          </cell>
          <cell r="P27">
            <v>7953.772749164993</v>
          </cell>
          <cell r="Q27">
            <v>8669.6834959722401</v>
          </cell>
          <cell r="R27">
            <v>9455.0507739449531</v>
          </cell>
          <cell r="S27">
            <v>10317.581797884261</v>
          </cell>
          <cell r="T27">
            <v>11263.41845156077</v>
          </cell>
          <cell r="U27">
            <v>12298.28309690796</v>
          </cell>
          <cell r="V27">
            <v>13428.229429825869</v>
          </cell>
          <cell r="W27">
            <v>14661.993401776308</v>
          </cell>
          <cell r="X27">
            <v>16009.113609292841</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K-input"/>
      <sheetName val="NFA-input"/>
      <sheetName val="Bud97-working"/>
      <sheetName val="Survey"/>
      <sheetName val="WETA-output"/>
      <sheetName val="Imp"/>
      <sheetName val="DSA output"/>
      <sheetName val="in-out"/>
      <sheetName val="Assumptions"/>
      <sheetName val="WEO"/>
      <sheetName val="C"/>
    </sheetNames>
    <sheetDataSet>
      <sheetData sheetId="0" refreshError="1">
        <row r="1">
          <cell r="B1" t="str">
            <v>Kenya: Central Bank of Kenya Balance Sheet</v>
          </cell>
        </row>
        <row r="2">
          <cell r="AC2" t="str">
            <v xml:space="preserve"> </v>
          </cell>
        </row>
        <row r="3">
          <cell r="D3" t="str">
            <v>1990</v>
          </cell>
          <cell r="E3" t="str">
            <v>1991</v>
          </cell>
          <cell r="F3" t="str">
            <v>1991</v>
          </cell>
          <cell r="G3" t="str">
            <v>1992</v>
          </cell>
          <cell r="H3" t="str">
            <v>1992</v>
          </cell>
          <cell r="I3" t="str">
            <v>1993</v>
          </cell>
          <cell r="J3" t="str">
            <v>1993</v>
          </cell>
          <cell r="K3" t="str">
            <v>1993</v>
          </cell>
          <cell r="L3" t="str">
            <v>1993</v>
          </cell>
          <cell r="M3" t="str">
            <v>1994</v>
          </cell>
          <cell r="N3" t="str">
            <v>1994</v>
          </cell>
          <cell r="O3" t="str">
            <v>1994</v>
          </cell>
          <cell r="P3" t="str">
            <v>1994</v>
          </cell>
          <cell r="Q3" t="str">
            <v>1995</v>
          </cell>
          <cell r="R3" t="str">
            <v>1995</v>
          </cell>
          <cell r="S3" t="str">
            <v>1995</v>
          </cell>
          <cell r="T3" t="str">
            <v>1995</v>
          </cell>
          <cell r="U3" t="str">
            <v>1995</v>
          </cell>
          <cell r="V3" t="str">
            <v>1995</v>
          </cell>
          <cell r="W3" t="str">
            <v>1995</v>
          </cell>
          <cell r="X3" t="str">
            <v>1995</v>
          </cell>
          <cell r="Y3" t="str">
            <v>1995</v>
          </cell>
          <cell r="Z3" t="str">
            <v>1995</v>
          </cell>
          <cell r="AA3" t="str">
            <v>1995</v>
          </cell>
          <cell r="AB3" t="str">
            <v>1995</v>
          </cell>
          <cell r="AC3" t="str">
            <v>1996</v>
          </cell>
          <cell r="AD3" t="str">
            <v>1996</v>
          </cell>
          <cell r="AE3" t="str">
            <v>1996</v>
          </cell>
          <cell r="AF3" t="str">
            <v>1996</v>
          </cell>
          <cell r="AG3" t="str">
            <v>1996</v>
          </cell>
          <cell r="AI3" t="str">
            <v>1996</v>
          </cell>
          <cell r="AJ3" t="str">
            <v>1996</v>
          </cell>
          <cell r="AK3" t="str">
            <v>1996</v>
          </cell>
          <cell r="AL3" t="str">
            <v>1996</v>
          </cell>
          <cell r="AM3" t="str">
            <v>1996</v>
          </cell>
          <cell r="AN3" t="str">
            <v>1996</v>
          </cell>
          <cell r="AO3" t="str">
            <v>1996</v>
          </cell>
          <cell r="AP3" t="str">
            <v>1996</v>
          </cell>
          <cell r="AQ3" t="str">
            <v>1996</v>
          </cell>
        </row>
        <row r="4">
          <cell r="B4">
            <v>0</v>
          </cell>
          <cell r="D4" t="str">
            <v>Dec.</v>
          </cell>
          <cell r="E4" t="str">
            <v>Jun.</v>
          </cell>
          <cell r="F4" t="str">
            <v>Dec.</v>
          </cell>
          <cell r="G4" t="str">
            <v>Jun.</v>
          </cell>
          <cell r="H4" t="str">
            <v>Dec.</v>
          </cell>
          <cell r="I4" t="str">
            <v>Mar.</v>
          </cell>
          <cell r="J4" t="str">
            <v>Jun.</v>
          </cell>
          <cell r="K4" t="str">
            <v>Sep.</v>
          </cell>
          <cell r="L4" t="str">
            <v>Dec.</v>
          </cell>
          <cell r="M4" t="str">
            <v>Mar.</v>
          </cell>
          <cell r="N4" t="str">
            <v>Jun.</v>
          </cell>
          <cell r="O4" t="str">
            <v>Sep.</v>
          </cell>
          <cell r="P4" t="str">
            <v>Dec.</v>
          </cell>
          <cell r="Q4" t="str">
            <v>Jan.</v>
          </cell>
          <cell r="R4" t="str">
            <v>Feb.</v>
          </cell>
          <cell r="S4" t="str">
            <v>Mar.</v>
          </cell>
          <cell r="T4" t="str">
            <v>Apr.</v>
          </cell>
          <cell r="U4" t="str">
            <v>May.</v>
          </cell>
          <cell r="V4" t="str">
            <v>June</v>
          </cell>
          <cell r="W4" t="str">
            <v>July</v>
          </cell>
          <cell r="X4" t="str">
            <v>Aug.</v>
          </cell>
          <cell r="Y4" t="str">
            <v>Sept.</v>
          </cell>
          <cell r="Z4" t="str">
            <v>Oct.</v>
          </cell>
          <cell r="AA4" t="str">
            <v>Nov.</v>
          </cell>
          <cell r="AB4" t="str">
            <v>Dec.</v>
          </cell>
          <cell r="AC4" t="str">
            <v>Jan</v>
          </cell>
          <cell r="AD4" t="str">
            <v>Feb</v>
          </cell>
          <cell r="AE4" t="str">
            <v>Mar</v>
          </cell>
          <cell r="AF4" t="str">
            <v>Apr</v>
          </cell>
          <cell r="AG4" t="str">
            <v>May</v>
          </cell>
          <cell r="AI4" t="str">
            <v>June</v>
          </cell>
          <cell r="AJ4" t="str">
            <v>July</v>
          </cell>
          <cell r="AK4" t="str">
            <v>Aug</v>
          </cell>
          <cell r="AL4" t="str">
            <v>Sep.</v>
          </cell>
          <cell r="AM4" t="str">
            <v>Sep.</v>
          </cell>
          <cell r="AN4" t="str">
            <v>Oct.</v>
          </cell>
          <cell r="AO4" t="str">
            <v>Nov.</v>
          </cell>
          <cell r="AP4" t="str">
            <v>Dec.</v>
          </cell>
          <cell r="AQ4" t="str">
            <v>Dec.</v>
          </cell>
        </row>
        <row r="5">
          <cell r="B5">
            <v>0.78819444444444453</v>
          </cell>
          <cell r="D5" t="str">
            <v>Act.</v>
          </cell>
          <cell r="E5" t="str">
            <v>Act.</v>
          </cell>
          <cell r="F5" t="str">
            <v>Act.</v>
          </cell>
          <cell r="G5" t="str">
            <v>Act.</v>
          </cell>
          <cell r="H5" t="str">
            <v>Act.</v>
          </cell>
          <cell r="I5" t="str">
            <v>Act.</v>
          </cell>
          <cell r="J5" t="str">
            <v>Act.</v>
          </cell>
          <cell r="K5" t="str">
            <v>Act.</v>
          </cell>
          <cell r="L5" t="str">
            <v>Act.</v>
          </cell>
          <cell r="M5" t="str">
            <v>Act.</v>
          </cell>
          <cell r="N5" t="str">
            <v>Act.</v>
          </cell>
          <cell r="O5" t="str">
            <v>Act.</v>
          </cell>
          <cell r="P5" t="str">
            <v>Act.</v>
          </cell>
          <cell r="Q5" t="str">
            <v>Act.</v>
          </cell>
          <cell r="R5" t="str">
            <v>Act.</v>
          </cell>
          <cell r="S5" t="str">
            <v>Act.</v>
          </cell>
          <cell r="T5" t="str">
            <v>Act.</v>
          </cell>
          <cell r="U5" t="str">
            <v>Act.</v>
          </cell>
          <cell r="V5" t="str">
            <v>Act.</v>
          </cell>
          <cell r="W5" t="str">
            <v>Act.</v>
          </cell>
          <cell r="X5" t="str">
            <v>Act.</v>
          </cell>
          <cell r="Y5" t="str">
            <v>Act.</v>
          </cell>
          <cell r="Z5" t="str">
            <v>Act.</v>
          </cell>
          <cell r="AA5" t="str">
            <v>Act.</v>
          </cell>
          <cell r="AB5" t="str">
            <v>Act.</v>
          </cell>
          <cell r="AC5" t="str">
            <v>Act.</v>
          </cell>
          <cell r="AD5" t="str">
            <v>Act.</v>
          </cell>
          <cell r="AE5" t="str">
            <v>Act.</v>
          </cell>
          <cell r="AF5" t="str">
            <v>Act.</v>
          </cell>
          <cell r="AG5" t="str">
            <v>Act.</v>
          </cell>
          <cell r="AI5" t="str">
            <v>Act.</v>
          </cell>
          <cell r="AJ5" t="str">
            <v>Act.</v>
          </cell>
          <cell r="AK5" t="str">
            <v>Act.</v>
          </cell>
          <cell r="AL5" t="str">
            <v>Program</v>
          </cell>
          <cell r="AM5" t="str">
            <v>Act.</v>
          </cell>
          <cell r="AN5" t="str">
            <v>Act.</v>
          </cell>
          <cell r="AO5" t="str">
            <v>Act.</v>
          </cell>
          <cell r="AP5" t="str">
            <v>Program</v>
          </cell>
          <cell r="AQ5" t="str">
            <v>Act.</v>
          </cell>
        </row>
        <row r="6">
          <cell r="B6" t="str">
            <v>All historical data obtained from CBK Research Department</v>
          </cell>
          <cell r="S6" t="str">
            <v>|--at constant exchange rate (Kshs. 55.75/US$)--&gt;</v>
          </cell>
        </row>
        <row r="7">
          <cell r="B7" t="str">
            <v>(Contact: J Kinyua)</v>
          </cell>
          <cell r="C7" t="str">
            <v xml:space="preserve">                             (In millions of Ksh)</v>
          </cell>
        </row>
        <row r="9">
          <cell r="B9" t="str">
            <v>Total NFA of CBK 1/</v>
          </cell>
          <cell r="D9">
            <v>-6087.4287999999997</v>
          </cell>
          <cell r="E9">
            <v>-8473.197830000001</v>
          </cell>
          <cell r="F9">
            <v>-9305.1742399999966</v>
          </cell>
          <cell r="G9">
            <v>-10291.84016</v>
          </cell>
          <cell r="H9">
            <v>-8801.7941999999985</v>
          </cell>
          <cell r="I9">
            <v>-11295.686360000003</v>
          </cell>
          <cell r="J9">
            <v>-10649.446270000004</v>
          </cell>
          <cell r="K9">
            <v>-12228.762419999999</v>
          </cell>
          <cell r="L9">
            <v>8140.3139500000034</v>
          </cell>
          <cell r="M9">
            <v>19097.919719999994</v>
          </cell>
          <cell r="N9">
            <v>19517.9113</v>
          </cell>
          <cell r="O9">
            <v>21386.412240000001</v>
          </cell>
          <cell r="P9">
            <v>7854</v>
          </cell>
          <cell r="Q9">
            <v>6764</v>
          </cell>
          <cell r="R9">
            <v>5688</v>
          </cell>
          <cell r="S9">
            <v>13650.575632000004</v>
          </cell>
          <cell r="V9">
            <v>5303.6629119999961</v>
          </cell>
          <cell r="Y9">
            <v>4996.9961120000007</v>
          </cell>
          <cell r="AB9">
            <v>3004.0433097967507</v>
          </cell>
          <cell r="AC9">
            <v>4474.8653841703308</v>
          </cell>
          <cell r="AD9">
            <v>3616.8447877798535</v>
          </cell>
          <cell r="AE9">
            <v>9749.3275738396587</v>
          </cell>
          <cell r="AF9">
            <v>12548.978917129687</v>
          </cell>
          <cell r="AG9">
            <v>16023.656205170977</v>
          </cell>
          <cell r="AI9">
            <v>22294.620898998426</v>
          </cell>
          <cell r="AJ9">
            <v>21971.169796113034</v>
          </cell>
          <cell r="AK9">
            <v>24583</v>
          </cell>
          <cell r="AL9">
            <v>9143.5217119999998</v>
          </cell>
          <cell r="AM9">
            <v>20556.355443288754</v>
          </cell>
          <cell r="AN9">
            <v>22879.159662321537</v>
          </cell>
          <cell r="AO9">
            <v>24214.497603398722</v>
          </cell>
          <cell r="AP9">
            <v>11357.098432000001</v>
          </cell>
          <cell r="AQ9">
            <v>25615.801041735125</v>
          </cell>
        </row>
        <row r="11">
          <cell r="B11" t="str">
            <v>Total NDA of CBK</v>
          </cell>
          <cell r="D11">
            <v>21823.128799999999</v>
          </cell>
          <cell r="E11">
            <v>24462.187830000003</v>
          </cell>
          <cell r="F11">
            <v>27310.174239999997</v>
          </cell>
          <cell r="G11">
            <v>28416.84016</v>
          </cell>
          <cell r="H11">
            <v>34534.794199999997</v>
          </cell>
          <cell r="J11">
            <v>37418.44627</v>
          </cell>
          <cell r="L11">
            <v>33991.686049999997</v>
          </cell>
          <cell r="M11">
            <v>26446.080280000009</v>
          </cell>
          <cell r="N11">
            <v>21267.0887</v>
          </cell>
          <cell r="O11">
            <v>23821.587759999995</v>
          </cell>
          <cell r="P11">
            <v>47462</v>
          </cell>
          <cell r="S11">
            <v>38064.424367999993</v>
          </cell>
          <cell r="V11">
            <v>47628.337088</v>
          </cell>
          <cell r="Y11">
            <v>54000.516887999998</v>
          </cell>
          <cell r="AB11">
            <v>68197.101690203242</v>
          </cell>
          <cell r="AC11">
            <v>64134.954615829673</v>
          </cell>
          <cell r="AD11">
            <v>66170.155212220154</v>
          </cell>
          <cell r="AE11">
            <v>58621.672426160338</v>
          </cell>
          <cell r="AF11">
            <v>59943.021082870313</v>
          </cell>
          <cell r="AG11">
            <v>53246.343794829023</v>
          </cell>
          <cell r="AI11">
            <v>46513.279101001564</v>
          </cell>
          <cell r="AJ11">
            <v>52278.830203886959</v>
          </cell>
          <cell r="AK11">
            <v>48306</v>
          </cell>
          <cell r="AL11">
            <v>61283.658860426178</v>
          </cell>
          <cell r="AM11">
            <v>53174.644556711253</v>
          </cell>
          <cell r="AN11">
            <v>50571.840337678463</v>
          </cell>
          <cell r="AO11">
            <v>52734.017396601281</v>
          </cell>
          <cell r="AP11">
            <v>40083</v>
          </cell>
          <cell r="AQ11">
            <v>51376.198958264868</v>
          </cell>
        </row>
        <row r="13">
          <cell r="B13" t="str">
            <v xml:space="preserve">  Domestic credit</v>
          </cell>
          <cell r="D13">
            <v>23567</v>
          </cell>
          <cell r="E13">
            <v>25293</v>
          </cell>
          <cell r="F13">
            <v>28855</v>
          </cell>
          <cell r="G13">
            <v>29455</v>
          </cell>
          <cell r="H13">
            <v>32840</v>
          </cell>
          <cell r="J13">
            <v>29950</v>
          </cell>
          <cell r="L13">
            <v>26956</v>
          </cell>
          <cell r="M13">
            <v>19204</v>
          </cell>
          <cell r="N13">
            <v>11818</v>
          </cell>
          <cell r="O13">
            <v>14160</v>
          </cell>
          <cell r="P13">
            <v>31849</v>
          </cell>
          <cell r="S13">
            <v>31101</v>
          </cell>
          <cell r="V13">
            <v>37911</v>
          </cell>
          <cell r="Y13">
            <v>45337</v>
          </cell>
          <cell r="AB13">
            <v>59893</v>
          </cell>
          <cell r="AC13">
            <v>55419</v>
          </cell>
          <cell r="AD13">
            <v>57376</v>
          </cell>
          <cell r="AE13">
            <v>50621</v>
          </cell>
          <cell r="AF13">
            <v>52155</v>
          </cell>
          <cell r="AG13">
            <v>44961</v>
          </cell>
          <cell r="AI13">
            <v>37138</v>
          </cell>
          <cell r="AJ13">
            <v>43718</v>
          </cell>
          <cell r="AK13">
            <v>41953</v>
          </cell>
          <cell r="AL13">
            <v>51066</v>
          </cell>
          <cell r="AM13">
            <v>46360</v>
          </cell>
          <cell r="AN13">
            <v>39977</v>
          </cell>
          <cell r="AO13">
            <v>42142</v>
          </cell>
          <cell r="AP13">
            <v>40083</v>
          </cell>
          <cell r="AQ13">
            <v>41650</v>
          </cell>
        </row>
        <row r="15">
          <cell r="B15" t="str">
            <v xml:space="preserve">    Government (net) 2/</v>
          </cell>
          <cell r="D15">
            <v>23359</v>
          </cell>
          <cell r="E15">
            <v>25202</v>
          </cell>
          <cell r="F15">
            <v>27991</v>
          </cell>
          <cell r="G15">
            <v>22947</v>
          </cell>
          <cell r="H15">
            <v>20124</v>
          </cell>
          <cell r="J15">
            <v>10708</v>
          </cell>
          <cell r="L15">
            <v>15472</v>
          </cell>
          <cell r="M15">
            <v>4514</v>
          </cell>
          <cell r="N15">
            <v>-456</v>
          </cell>
          <cell r="O15">
            <v>3122</v>
          </cell>
          <cell r="P15">
            <v>21777</v>
          </cell>
          <cell r="S15">
            <v>19304</v>
          </cell>
          <cell r="V15">
            <v>24298</v>
          </cell>
          <cell r="Y15">
            <v>35559</v>
          </cell>
          <cell r="AB15">
            <v>50127</v>
          </cell>
          <cell r="AC15">
            <v>45853</v>
          </cell>
          <cell r="AD15">
            <v>47807</v>
          </cell>
          <cell r="AE15">
            <v>40659</v>
          </cell>
          <cell r="AF15">
            <v>42634</v>
          </cell>
          <cell r="AG15">
            <v>35677</v>
          </cell>
          <cell r="AI15">
            <v>27822</v>
          </cell>
          <cell r="AJ15">
            <v>34573</v>
          </cell>
          <cell r="AK15">
            <v>32827</v>
          </cell>
          <cell r="AL15">
            <v>41299</v>
          </cell>
          <cell r="AM15">
            <v>37156</v>
          </cell>
          <cell r="AN15">
            <v>30849</v>
          </cell>
          <cell r="AO15">
            <v>33039</v>
          </cell>
          <cell r="AP15">
            <v>40083</v>
          </cell>
          <cell r="AQ15">
            <v>32594</v>
          </cell>
        </row>
        <row r="16">
          <cell r="B16" t="str">
            <v xml:space="preserve">      Securities</v>
          </cell>
          <cell r="D16">
            <v>5150.2</v>
          </cell>
          <cell r="F16">
            <v>6497.38</v>
          </cell>
          <cell r="H16">
            <v>7304.130000000001</v>
          </cell>
          <cell r="J16">
            <v>30954</v>
          </cell>
          <cell r="L16">
            <v>52368</v>
          </cell>
          <cell r="M16">
            <v>52651</v>
          </cell>
          <cell r="N16">
            <v>5019</v>
          </cell>
          <cell r="O16">
            <v>525</v>
          </cell>
          <cell r="P16">
            <v>547</v>
          </cell>
          <cell r="S16">
            <v>523</v>
          </cell>
          <cell r="V16">
            <v>544</v>
          </cell>
          <cell r="Y16">
            <v>623</v>
          </cell>
          <cell r="AB16">
            <v>524</v>
          </cell>
          <cell r="AC16">
            <v>522</v>
          </cell>
          <cell r="AD16">
            <v>4422</v>
          </cell>
          <cell r="AE16">
            <v>522</v>
          </cell>
          <cell r="AF16">
            <v>478</v>
          </cell>
          <cell r="AG16">
            <v>480</v>
          </cell>
          <cell r="AI16">
            <v>3154</v>
          </cell>
          <cell r="AJ16">
            <v>3428</v>
          </cell>
          <cell r="AK16">
            <v>752</v>
          </cell>
          <cell r="AL16">
            <v>200</v>
          </cell>
          <cell r="AM16">
            <v>3507</v>
          </cell>
          <cell r="AN16">
            <v>1282</v>
          </cell>
          <cell r="AO16">
            <v>791</v>
          </cell>
          <cell r="AP16">
            <v>524</v>
          </cell>
          <cell r="AQ16">
            <v>2197</v>
          </cell>
        </row>
        <row r="17">
          <cell r="B17" t="str">
            <v xml:space="preserve">      Advances</v>
          </cell>
          <cell r="D17">
            <v>18208.8</v>
          </cell>
          <cell r="E17">
            <v>25202</v>
          </cell>
          <cell r="F17">
            <v>21493.62</v>
          </cell>
          <cell r="G17">
            <v>22947</v>
          </cell>
          <cell r="H17">
            <v>12819.869999999999</v>
          </cell>
          <cell r="I17">
            <v>0</v>
          </cell>
          <cell r="J17">
            <v>-20246</v>
          </cell>
          <cell r="L17">
            <v>-36896</v>
          </cell>
          <cell r="M17">
            <v>-48137</v>
          </cell>
          <cell r="N17">
            <v>-5475</v>
          </cell>
          <cell r="O17">
            <v>2597</v>
          </cell>
          <cell r="P17">
            <v>21230</v>
          </cell>
          <cell r="S17">
            <v>18781</v>
          </cell>
          <cell r="V17">
            <v>23754</v>
          </cell>
          <cell r="Y17">
            <v>34936</v>
          </cell>
          <cell r="AB17">
            <v>49603</v>
          </cell>
          <cell r="AC17">
            <v>45331</v>
          </cell>
          <cell r="AD17">
            <v>43385</v>
          </cell>
          <cell r="AE17">
            <v>40137</v>
          </cell>
          <cell r="AF17">
            <v>42156</v>
          </cell>
          <cell r="AG17">
            <v>35197</v>
          </cell>
          <cell r="AI17">
            <v>24668</v>
          </cell>
          <cell r="AJ17">
            <v>31145</v>
          </cell>
          <cell r="AK17">
            <v>32075</v>
          </cell>
          <cell r="AL17">
            <v>41099</v>
          </cell>
          <cell r="AM17">
            <v>33649</v>
          </cell>
          <cell r="AN17">
            <v>29567</v>
          </cell>
          <cell r="AO17">
            <v>32248</v>
          </cell>
          <cell r="AP17">
            <v>39559</v>
          </cell>
          <cell r="AQ17">
            <v>30397</v>
          </cell>
        </row>
        <row r="18">
          <cell r="B18" t="str">
            <v xml:space="preserve">        A/c No 1</v>
          </cell>
          <cell r="N18">
            <v>78135</v>
          </cell>
          <cell r="O18">
            <v>97538</v>
          </cell>
          <cell r="P18">
            <v>104148</v>
          </cell>
          <cell r="S18">
            <v>103241.7</v>
          </cell>
          <cell r="V18">
            <v>99153</v>
          </cell>
          <cell r="Y18">
            <v>100985</v>
          </cell>
          <cell r="AB18">
            <v>108970</v>
          </cell>
          <cell r="AC18">
            <v>104410</v>
          </cell>
          <cell r="AD18">
            <v>106568</v>
          </cell>
          <cell r="AE18">
            <v>108210</v>
          </cell>
          <cell r="AF18">
            <v>111277</v>
          </cell>
          <cell r="AG18">
            <v>114718</v>
          </cell>
          <cell r="AI18">
            <v>105808</v>
          </cell>
          <cell r="AJ18">
            <v>115033</v>
          </cell>
          <cell r="AK18">
            <v>114990</v>
          </cell>
          <cell r="AM18">
            <v>116216</v>
          </cell>
          <cell r="AN18">
            <v>114274</v>
          </cell>
          <cell r="AO18">
            <v>115737</v>
          </cell>
          <cell r="AQ18">
            <v>112976</v>
          </cell>
        </row>
        <row r="19">
          <cell r="B19" t="str">
            <v xml:space="preserve">        A/c No 2</v>
          </cell>
          <cell r="N19">
            <v>-83610</v>
          </cell>
          <cell r="O19">
            <v>-94941</v>
          </cell>
          <cell r="P19">
            <v>-82918</v>
          </cell>
          <cell r="S19">
            <v>-84460.7</v>
          </cell>
          <cell r="V19">
            <v>-75399</v>
          </cell>
          <cell r="Y19">
            <v>-66049</v>
          </cell>
          <cell r="AB19">
            <v>-59367</v>
          </cell>
          <cell r="AC19">
            <v>-59079</v>
          </cell>
          <cell r="AD19">
            <v>-63183</v>
          </cell>
          <cell r="AE19">
            <v>-68073</v>
          </cell>
          <cell r="AF19">
            <v>-69121</v>
          </cell>
          <cell r="AG19">
            <v>-79521</v>
          </cell>
          <cell r="AI19">
            <v>-81140</v>
          </cell>
          <cell r="AJ19">
            <v>-83888</v>
          </cell>
          <cell r="AK19">
            <v>-82915</v>
          </cell>
          <cell r="AM19">
            <v>-82567</v>
          </cell>
          <cell r="AN19">
            <v>-84707</v>
          </cell>
          <cell r="AO19">
            <v>-83489</v>
          </cell>
          <cell r="AQ19">
            <v>-82579</v>
          </cell>
        </row>
        <row r="21">
          <cell r="B21" t="str">
            <v xml:space="preserve">    Advances and discounts</v>
          </cell>
        </row>
        <row r="22">
          <cell r="B22" t="str">
            <v xml:space="preserve">    to commercial banks 4/</v>
          </cell>
          <cell r="D22">
            <v>208</v>
          </cell>
          <cell r="E22">
            <v>91</v>
          </cell>
          <cell r="F22">
            <v>864</v>
          </cell>
          <cell r="G22">
            <v>6508</v>
          </cell>
          <cell r="H22">
            <v>12716</v>
          </cell>
          <cell r="J22">
            <v>19242</v>
          </cell>
          <cell r="L22">
            <v>11484</v>
          </cell>
          <cell r="M22">
            <v>14690</v>
          </cell>
          <cell r="N22">
            <v>12274</v>
          </cell>
          <cell r="O22">
            <v>11038</v>
          </cell>
          <cell r="P22">
            <v>10072</v>
          </cell>
          <cell r="S22">
            <v>11797</v>
          </cell>
          <cell r="V22">
            <v>13613</v>
          </cell>
          <cell r="Y22">
            <v>9778</v>
          </cell>
          <cell r="AB22">
            <v>9766</v>
          </cell>
          <cell r="AC22">
            <v>9566</v>
          </cell>
          <cell r="AD22">
            <v>9569</v>
          </cell>
          <cell r="AE22">
            <v>9962</v>
          </cell>
          <cell r="AF22">
            <v>9521</v>
          </cell>
          <cell r="AG22">
            <v>9284</v>
          </cell>
          <cell r="AI22">
            <v>9316</v>
          </cell>
          <cell r="AJ22">
            <v>9145</v>
          </cell>
          <cell r="AK22">
            <v>9126</v>
          </cell>
          <cell r="AL22">
            <v>9767</v>
          </cell>
          <cell r="AM22">
            <v>9204</v>
          </cell>
          <cell r="AN22">
            <v>9128</v>
          </cell>
          <cell r="AO22">
            <v>9103</v>
          </cell>
          <cell r="AQ22">
            <v>9056</v>
          </cell>
        </row>
        <row r="23">
          <cell r="B23" t="str">
            <v xml:space="preserve">              Repo Sales and Tap sales</v>
          </cell>
        </row>
        <row r="24">
          <cell r="B24" t="str">
            <v xml:space="preserve">              Overnight Advances</v>
          </cell>
        </row>
        <row r="25">
          <cell r="B25" t="str">
            <v xml:space="preserve">              Advances to NBK</v>
          </cell>
        </row>
        <row r="26">
          <cell r="B26" t="str">
            <v xml:space="preserve">              Repo purchases </v>
          </cell>
        </row>
        <row r="29">
          <cell r="B29" t="str">
            <v xml:space="preserve">    Other domestic assets (net)</v>
          </cell>
          <cell r="D29">
            <v>-1743.8712000000014</v>
          </cell>
          <cell r="E29">
            <v>-830.81216999999742</v>
          </cell>
          <cell r="F29">
            <v>-1544.8257600000034</v>
          </cell>
          <cell r="G29">
            <v>-1038.1598400000003</v>
          </cell>
          <cell r="H29">
            <v>1694.7941999999966</v>
          </cell>
          <cell r="J29">
            <v>7468.446270000004</v>
          </cell>
          <cell r="L29">
            <v>7035.6860499999966</v>
          </cell>
          <cell r="M29">
            <v>7242.0802800000092</v>
          </cell>
          <cell r="N29">
            <v>9449.0887000000002</v>
          </cell>
          <cell r="O29">
            <v>9661.5877599999949</v>
          </cell>
          <cell r="P29">
            <v>15613</v>
          </cell>
          <cell r="S29">
            <v>6963.4243679999927</v>
          </cell>
          <cell r="V29">
            <v>9717.3370880000002</v>
          </cell>
          <cell r="Y29">
            <v>8663.5168879999983</v>
          </cell>
          <cell r="AB29">
            <v>8304.1016902032425</v>
          </cell>
          <cell r="AC29">
            <v>8715.9546158296725</v>
          </cell>
          <cell r="AD29">
            <v>8794.1552122201465</v>
          </cell>
          <cell r="AE29">
            <v>8000.6724261603376</v>
          </cell>
          <cell r="AF29">
            <v>7788.021082870313</v>
          </cell>
          <cell r="AG29">
            <v>8285.343794829023</v>
          </cell>
          <cell r="AI29">
            <v>9375.2791010015644</v>
          </cell>
          <cell r="AJ29">
            <v>8560.8302038869588</v>
          </cell>
          <cell r="AK29">
            <v>6353</v>
          </cell>
          <cell r="AL29">
            <v>10217.658860426178</v>
          </cell>
          <cell r="AM29">
            <v>6814.6445567112532</v>
          </cell>
          <cell r="AN29">
            <v>10594.840337678463</v>
          </cell>
          <cell r="AO29">
            <v>10592.017396601281</v>
          </cell>
          <cell r="AQ29">
            <v>9726.1989582648675</v>
          </cell>
        </row>
        <row r="30">
          <cell r="B30" t="str">
            <v xml:space="preserve">      Revaluation Account</v>
          </cell>
          <cell r="C30" t="str">
            <v xml:space="preserve">   </v>
          </cell>
          <cell r="L30">
            <v>20237</v>
          </cell>
          <cell r="M30">
            <v>20237</v>
          </cell>
          <cell r="N30">
            <v>20237</v>
          </cell>
          <cell r="O30">
            <v>20237</v>
          </cell>
          <cell r="P30">
            <v>20237</v>
          </cell>
          <cell r="S30">
            <v>20237</v>
          </cell>
          <cell r="V30">
            <v>20237</v>
          </cell>
          <cell r="Y30">
            <v>20237</v>
          </cell>
          <cell r="AB30">
            <v>20237</v>
          </cell>
          <cell r="AC30">
            <v>20237</v>
          </cell>
          <cell r="AD30">
            <v>20237</v>
          </cell>
          <cell r="AE30">
            <v>20237</v>
          </cell>
          <cell r="AF30">
            <v>20237</v>
          </cell>
          <cell r="AG30">
            <v>20237</v>
          </cell>
          <cell r="AI30">
            <v>20237</v>
          </cell>
          <cell r="AJ30">
            <v>20237</v>
          </cell>
          <cell r="AK30">
            <v>20237</v>
          </cell>
          <cell r="AM30">
            <v>20237</v>
          </cell>
          <cell r="AN30">
            <v>20237</v>
          </cell>
          <cell r="AO30">
            <v>20237</v>
          </cell>
          <cell r="AQ30">
            <v>20237</v>
          </cell>
        </row>
        <row r="31">
          <cell r="B31" t="str">
            <v xml:space="preserve">      Fixed assets</v>
          </cell>
          <cell r="P31">
            <v>1242</v>
          </cell>
          <cell r="Q31">
            <v>1269</v>
          </cell>
          <cell r="R31">
            <v>1289</v>
          </cell>
          <cell r="S31">
            <v>1315</v>
          </cell>
          <cell r="T31">
            <v>1356</v>
          </cell>
          <cell r="U31">
            <v>1385</v>
          </cell>
          <cell r="V31">
            <v>1457</v>
          </cell>
          <cell r="W31">
            <v>1478</v>
          </cell>
          <cell r="X31">
            <v>1543</v>
          </cell>
          <cell r="Y31">
            <v>1504</v>
          </cell>
          <cell r="Z31">
            <v>1555</v>
          </cell>
          <cell r="AA31">
            <v>1698</v>
          </cell>
          <cell r="AB31">
            <v>1785</v>
          </cell>
          <cell r="AC31">
            <v>1837</v>
          </cell>
          <cell r="AD31">
            <v>1880</v>
          </cell>
          <cell r="AE31">
            <v>2004</v>
          </cell>
          <cell r="AF31">
            <v>2045</v>
          </cell>
          <cell r="AG31">
            <v>2146</v>
          </cell>
          <cell r="AI31">
            <v>2126</v>
          </cell>
          <cell r="AJ31">
            <v>2229</v>
          </cell>
          <cell r="AK31">
            <v>2254</v>
          </cell>
          <cell r="AM31">
            <v>2327</v>
          </cell>
          <cell r="AN31">
            <v>2381</v>
          </cell>
          <cell r="AO31">
            <v>2381</v>
          </cell>
          <cell r="AQ31">
            <v>2642</v>
          </cell>
        </row>
        <row r="32">
          <cell r="B32" t="str">
            <v xml:space="preserve">      Valuation adjustment</v>
          </cell>
          <cell r="L32" t="str">
            <v>...</v>
          </cell>
          <cell r="M32" t="str">
            <v>...</v>
          </cell>
          <cell r="N32" t="str">
            <v>...</v>
          </cell>
          <cell r="O32" t="str">
            <v>...</v>
          </cell>
          <cell r="P32" t="str">
            <v>...</v>
          </cell>
          <cell r="S32">
            <v>-1321</v>
          </cell>
          <cell r="V32">
            <v>-1047</v>
          </cell>
          <cell r="Y32">
            <v>-849</v>
          </cell>
          <cell r="AB32">
            <v>-739</v>
          </cell>
          <cell r="AC32">
            <v>-500</v>
          </cell>
          <cell r="AD32">
            <v>-616</v>
          </cell>
          <cell r="AE32">
            <v>-327</v>
          </cell>
          <cell r="AF32">
            <v>-169</v>
          </cell>
          <cell r="AG32">
            <v>164</v>
          </cell>
          <cell r="AI32">
            <v>361</v>
          </cell>
          <cell r="AJ32">
            <v>622</v>
          </cell>
          <cell r="AK32">
            <v>300</v>
          </cell>
          <cell r="AM32">
            <v>-269</v>
          </cell>
          <cell r="AN32">
            <v>231</v>
          </cell>
          <cell r="AO32">
            <v>231</v>
          </cell>
          <cell r="AQ32">
            <v>78</v>
          </cell>
        </row>
        <row r="33">
          <cell r="B33" t="str">
            <v xml:space="preserve">      General Reserve Fund</v>
          </cell>
          <cell r="L33">
            <v>0</v>
          </cell>
          <cell r="M33">
            <v>0</v>
          </cell>
          <cell r="N33">
            <v>-93</v>
          </cell>
          <cell r="O33">
            <v>-93</v>
          </cell>
          <cell r="P33">
            <v>-93</v>
          </cell>
          <cell r="S33">
            <v>-94</v>
          </cell>
          <cell r="V33">
            <v>-359</v>
          </cell>
          <cell r="Y33">
            <v>-359</v>
          </cell>
          <cell r="AB33">
            <v>-359</v>
          </cell>
          <cell r="AC33">
            <v>-359</v>
          </cell>
          <cell r="AD33">
            <v>-359</v>
          </cell>
          <cell r="AE33">
            <v>-359</v>
          </cell>
          <cell r="AF33">
            <v>-359</v>
          </cell>
          <cell r="AG33">
            <v>-359</v>
          </cell>
          <cell r="AI33">
            <v>-359</v>
          </cell>
          <cell r="AJ33">
            <v>-359</v>
          </cell>
          <cell r="AK33">
            <v>-359</v>
          </cell>
          <cell r="AM33">
            <v>-359</v>
          </cell>
          <cell r="AN33">
            <v>-172</v>
          </cell>
          <cell r="AO33">
            <v>-172</v>
          </cell>
          <cell r="AQ33">
            <v>-172</v>
          </cell>
        </row>
        <row r="34">
          <cell r="B34" t="str">
            <v xml:space="preserve">      Share Capital</v>
          </cell>
          <cell r="AB34">
            <v>-500</v>
          </cell>
          <cell r="AC34">
            <v>-500</v>
          </cell>
          <cell r="AD34">
            <v>-500</v>
          </cell>
          <cell r="AE34">
            <v>-500</v>
          </cell>
          <cell r="AF34">
            <v>-500</v>
          </cell>
          <cell r="AG34">
            <v>-500</v>
          </cell>
          <cell r="AI34">
            <v>-500</v>
          </cell>
          <cell r="AJ34">
            <v>-500</v>
          </cell>
          <cell r="AK34">
            <v>-500</v>
          </cell>
          <cell r="AM34">
            <v>-500</v>
          </cell>
          <cell r="AN34">
            <v>-1500</v>
          </cell>
          <cell r="AO34">
            <v>-1500</v>
          </cell>
          <cell r="AQ34">
            <v>-1500</v>
          </cell>
        </row>
        <row r="35">
          <cell r="B35" t="str">
            <v xml:space="preserve">      Year's surplus</v>
          </cell>
          <cell r="W35">
            <v>-558</v>
          </cell>
          <cell r="X35">
            <v>-1160</v>
          </cell>
          <cell r="Y35">
            <v>-1825</v>
          </cell>
          <cell r="Z35">
            <v>-2530</v>
          </cell>
          <cell r="AA35">
            <v>-3411</v>
          </cell>
          <cell r="AB35">
            <v>-4085</v>
          </cell>
          <cell r="AC35">
            <v>-4909</v>
          </cell>
          <cell r="AD35">
            <v>-5686</v>
          </cell>
          <cell r="AE35">
            <v>-6558</v>
          </cell>
          <cell r="AF35">
            <v>-7253</v>
          </cell>
          <cell r="AG35">
            <v>-8194</v>
          </cell>
          <cell r="AI35">
            <v>-8125</v>
          </cell>
          <cell r="AJ35">
            <v>-462</v>
          </cell>
          <cell r="AK35">
            <v>-1101</v>
          </cell>
          <cell r="AM35">
            <v>-1737</v>
          </cell>
          <cell r="AN35">
            <v>-2735</v>
          </cell>
          <cell r="AO35">
            <v>-2735</v>
          </cell>
          <cell r="AQ35">
            <v>-3344</v>
          </cell>
        </row>
        <row r="36">
          <cell r="B36" t="str">
            <v xml:space="preserve">      Past Year's surplus</v>
          </cell>
          <cell r="AJ36">
            <v>-8125</v>
          </cell>
          <cell r="AK36">
            <v>-8125</v>
          </cell>
          <cell r="AM36">
            <v>-8125</v>
          </cell>
          <cell r="AN36">
            <v>0</v>
          </cell>
          <cell r="AO36">
            <v>0</v>
          </cell>
        </row>
        <row r="37">
          <cell r="B37" t="str">
            <v xml:space="preserve">      o/w Dividend to GOK</v>
          </cell>
          <cell r="V37">
            <v>-2383</v>
          </cell>
          <cell r="AJ37">
            <v>-7312</v>
          </cell>
          <cell r="AK37">
            <v>-7312</v>
          </cell>
          <cell r="AM37">
            <v>-7312</v>
          </cell>
          <cell r="AN37">
            <v>0</v>
          </cell>
          <cell r="AO37">
            <v>0</v>
          </cell>
        </row>
        <row r="38">
          <cell r="B38" t="str">
            <v xml:space="preserve">      Interim Dividend</v>
          </cell>
          <cell r="AC38">
            <v>2000</v>
          </cell>
          <cell r="AD38">
            <v>2000</v>
          </cell>
          <cell r="AE38">
            <v>2000</v>
          </cell>
          <cell r="AF38">
            <v>2000</v>
          </cell>
          <cell r="AG38">
            <v>2000</v>
          </cell>
          <cell r="AI38">
            <v>3500</v>
          </cell>
          <cell r="AJ38">
            <v>3500</v>
          </cell>
          <cell r="AK38">
            <v>3500</v>
          </cell>
          <cell r="AM38">
            <v>3500</v>
          </cell>
          <cell r="AN38">
            <v>0</v>
          </cell>
          <cell r="AO38">
            <v>0</v>
          </cell>
        </row>
        <row r="39">
          <cell r="B39" t="str">
            <v xml:space="preserve">      Other deposits</v>
          </cell>
          <cell r="D39">
            <v>-1888.61</v>
          </cell>
          <cell r="F39">
            <v>-2423.64</v>
          </cell>
          <cell r="H39">
            <v>-5576.88</v>
          </cell>
          <cell r="I39">
            <v>-5065.3500000000004</v>
          </cell>
          <cell r="J39">
            <v>-6281.62</v>
          </cell>
          <cell r="K39">
            <v>-6497.74</v>
          </cell>
          <cell r="L39">
            <v>-5559</v>
          </cell>
          <cell r="M39">
            <v>-5267</v>
          </cell>
          <cell r="N39">
            <v>-4371</v>
          </cell>
          <cell r="O39">
            <v>-4779</v>
          </cell>
          <cell r="P39">
            <v>-3175</v>
          </cell>
          <cell r="Q39">
            <v>-3297</v>
          </cell>
          <cell r="R39">
            <v>-3392</v>
          </cell>
          <cell r="S39">
            <v>-3252</v>
          </cell>
          <cell r="T39">
            <v>-2996</v>
          </cell>
          <cell r="U39">
            <v>-3100</v>
          </cell>
          <cell r="V39">
            <v>-4647</v>
          </cell>
          <cell r="W39">
            <v>-5315</v>
          </cell>
          <cell r="X39">
            <v>-5598</v>
          </cell>
          <cell r="Y39">
            <v>-5460</v>
          </cell>
          <cell r="Z39">
            <v>-5658</v>
          </cell>
          <cell r="AA39">
            <v>-7251</v>
          </cell>
          <cell r="AB39">
            <v>-5435</v>
          </cell>
          <cell r="AC39">
            <v>-6127</v>
          </cell>
          <cell r="AD39">
            <v>-5708</v>
          </cell>
          <cell r="AE39">
            <v>-5996</v>
          </cell>
          <cell r="AF39">
            <v>-5774</v>
          </cell>
          <cell r="AG39">
            <v>-5386</v>
          </cell>
          <cell r="AI39">
            <v>-5700</v>
          </cell>
          <cell r="AJ39">
            <v>-6086</v>
          </cell>
          <cell r="AK39">
            <v>-5963</v>
          </cell>
          <cell r="AM39">
            <v>-6214</v>
          </cell>
          <cell r="AN39">
            <v>-5707</v>
          </cell>
          <cell r="AO39">
            <v>-5583</v>
          </cell>
          <cell r="AQ39">
            <v>-5883</v>
          </cell>
        </row>
        <row r="40">
          <cell r="B40" t="str">
            <v xml:space="preserve">      Other </v>
          </cell>
          <cell r="L40">
            <v>-7642.3139500000034</v>
          </cell>
          <cell r="M40">
            <v>-6509</v>
          </cell>
          <cell r="N40">
            <v>-8454</v>
          </cell>
          <cell r="O40">
            <v>-10616</v>
          </cell>
          <cell r="P40">
            <v>-2691</v>
          </cell>
          <cell r="S40">
            <v>-10015.575632000007</v>
          </cell>
          <cell r="V40">
            <v>-3899.6629119999998</v>
          </cell>
          <cell r="Y40">
            <v>-6768.4831120000017</v>
          </cell>
          <cell r="AB40">
            <v>-2599.8983097967575</v>
          </cell>
          <cell r="AC40">
            <v>-2963.0453841703275</v>
          </cell>
          <cell r="AD40">
            <v>-2453.8447877798535</v>
          </cell>
          <cell r="AE40">
            <v>-2500.3275738396624</v>
          </cell>
          <cell r="AF40">
            <v>-2438.978917129687</v>
          </cell>
          <cell r="AG40">
            <v>-1822.656205170977</v>
          </cell>
          <cell r="AI40">
            <v>-2164.7208989984356</v>
          </cell>
          <cell r="AJ40">
            <v>-2495.1697961130412</v>
          </cell>
          <cell r="AK40">
            <v>-3890</v>
          </cell>
          <cell r="AM40">
            <v>-2045.3554432887468</v>
          </cell>
          <cell r="AN40">
            <v>-2140.1596623215373</v>
          </cell>
          <cell r="AO40">
            <v>-2266.9826033987192</v>
          </cell>
          <cell r="AQ40">
            <v>-2331.8010417351325</v>
          </cell>
        </row>
        <row r="42">
          <cell r="B42" t="str">
            <v xml:space="preserve">   Reserve money </v>
          </cell>
          <cell r="D42">
            <v>15735.7</v>
          </cell>
          <cell r="E42">
            <v>15988.99</v>
          </cell>
          <cell r="F42">
            <v>18005</v>
          </cell>
          <cell r="G42">
            <v>18125</v>
          </cell>
          <cell r="H42">
            <v>25733</v>
          </cell>
          <cell r="I42">
            <v>25454.940000000002</v>
          </cell>
          <cell r="J42">
            <v>26769</v>
          </cell>
          <cell r="K42">
            <v>30789.71</v>
          </cell>
          <cell r="L42">
            <v>42132</v>
          </cell>
          <cell r="M42">
            <v>45544</v>
          </cell>
          <cell r="N42">
            <v>40785</v>
          </cell>
          <cell r="O42">
            <v>45208</v>
          </cell>
          <cell r="P42">
            <v>55316</v>
          </cell>
          <cell r="Q42">
            <v>51800</v>
          </cell>
          <cell r="R42">
            <v>52194</v>
          </cell>
          <cell r="S42">
            <v>51715</v>
          </cell>
          <cell r="T42">
            <v>54970</v>
          </cell>
          <cell r="U42">
            <v>52765</v>
          </cell>
          <cell r="V42">
            <v>52932</v>
          </cell>
          <cell r="W42">
            <v>55538.161</v>
          </cell>
          <cell r="X42">
            <v>57613.240000000005</v>
          </cell>
          <cell r="Y42">
            <v>58997.512999999999</v>
          </cell>
          <cell r="Z42">
            <v>60736</v>
          </cell>
          <cell r="AA42">
            <v>66312</v>
          </cell>
          <cell r="AB42">
            <v>71201.14499999999</v>
          </cell>
          <cell r="AC42">
            <v>68609.820000000007</v>
          </cell>
          <cell r="AD42">
            <v>69787</v>
          </cell>
          <cell r="AE42">
            <v>68371</v>
          </cell>
          <cell r="AF42">
            <v>72492</v>
          </cell>
          <cell r="AG42">
            <v>69270</v>
          </cell>
          <cell r="AI42">
            <v>68807.899999999994</v>
          </cell>
          <cell r="AJ42">
            <v>74250</v>
          </cell>
          <cell r="AK42">
            <v>72889</v>
          </cell>
          <cell r="AL42">
            <v>70427.180572426179</v>
          </cell>
          <cell r="AM42">
            <v>73731</v>
          </cell>
          <cell r="AN42">
            <v>73451</v>
          </cell>
          <cell r="AO42">
            <v>76948.514999999999</v>
          </cell>
          <cell r="AQ42">
            <v>76992</v>
          </cell>
        </row>
        <row r="43">
          <cell r="B43" t="str">
            <v xml:space="preserve">  - monthly average</v>
          </cell>
          <cell r="S43">
            <v>54170</v>
          </cell>
          <cell r="T43">
            <v>53030</v>
          </cell>
          <cell r="U43">
            <v>53027.5</v>
          </cell>
          <cell r="V43">
            <v>54250</v>
          </cell>
          <cell r="W43">
            <v>55234</v>
          </cell>
          <cell r="X43">
            <v>57640</v>
          </cell>
          <cell r="Y43">
            <v>59295</v>
          </cell>
          <cell r="Z43">
            <v>61282</v>
          </cell>
          <cell r="AA43">
            <v>64010</v>
          </cell>
          <cell r="AB43">
            <v>67810</v>
          </cell>
          <cell r="AC43">
            <v>71070</v>
          </cell>
          <cell r="AD43">
            <v>69712.5</v>
          </cell>
          <cell r="AE43">
            <v>71365</v>
          </cell>
          <cell r="AF43">
            <v>73374.8</v>
          </cell>
          <cell r="AG43">
            <v>71457.75</v>
          </cell>
          <cell r="AI43">
            <v>72179</v>
          </cell>
          <cell r="AJ43">
            <v>72029.899999999994</v>
          </cell>
          <cell r="AK43">
            <v>73328</v>
          </cell>
          <cell r="AM43">
            <v>73129</v>
          </cell>
          <cell r="AO43">
            <v>73213</v>
          </cell>
          <cell r="AQ43">
            <v>76893</v>
          </cell>
        </row>
        <row r="44">
          <cell r="B44" t="str">
            <v xml:space="preserve">   (excl required reserves)</v>
          </cell>
          <cell r="AQ44">
            <v>37056</v>
          </cell>
        </row>
        <row r="46">
          <cell r="B46" t="str">
            <v xml:space="preserve">   Currency outside banks</v>
          </cell>
          <cell r="D46">
            <v>10794</v>
          </cell>
          <cell r="E46">
            <v>10702</v>
          </cell>
          <cell r="F46">
            <v>12723</v>
          </cell>
          <cell r="G46">
            <v>12725</v>
          </cell>
          <cell r="H46">
            <v>17152</v>
          </cell>
          <cell r="I46">
            <v>17249.48</v>
          </cell>
          <cell r="J46">
            <v>17717</v>
          </cell>
          <cell r="K46">
            <v>18750.349999999999</v>
          </cell>
          <cell r="L46">
            <v>21194</v>
          </cell>
          <cell r="M46">
            <v>21832.951000000001</v>
          </cell>
          <cell r="N46">
            <v>20367</v>
          </cell>
          <cell r="O46">
            <v>21625.052</v>
          </cell>
          <cell r="P46">
            <v>24724.526000000002</v>
          </cell>
          <cell r="Q46">
            <v>24092.804</v>
          </cell>
          <cell r="R46">
            <v>24746.094000000001</v>
          </cell>
          <cell r="S46">
            <v>24824.322</v>
          </cell>
          <cell r="T46">
            <v>25026.739000000001</v>
          </cell>
          <cell r="U46">
            <v>24895.733</v>
          </cell>
          <cell r="V46">
            <v>25825.493999999999</v>
          </cell>
          <cell r="W46">
            <v>25912.121999999999</v>
          </cell>
          <cell r="X46">
            <v>26606.969000000001</v>
          </cell>
          <cell r="Y46">
            <v>26429.806</v>
          </cell>
          <cell r="Z46">
            <v>26390.998</v>
          </cell>
          <cell r="AA46">
            <v>28084.042000000001</v>
          </cell>
          <cell r="AB46">
            <v>28795</v>
          </cell>
          <cell r="AC46">
            <v>27887</v>
          </cell>
          <cell r="AD46">
            <v>28482</v>
          </cell>
          <cell r="AE46">
            <v>28750</v>
          </cell>
          <cell r="AF46">
            <v>28380</v>
          </cell>
          <cell r="AG46">
            <v>28474</v>
          </cell>
          <cell r="AI46">
            <v>28747</v>
          </cell>
          <cell r="AJ46">
            <v>28814.97</v>
          </cell>
          <cell r="AK46">
            <v>29354.92</v>
          </cell>
          <cell r="AL46">
            <v>27977.383222526711</v>
          </cell>
          <cell r="AM46">
            <v>27757.901999999998</v>
          </cell>
          <cell r="AN46">
            <v>28424.301000000003</v>
          </cell>
          <cell r="AO46">
            <v>30282.515000000003</v>
          </cell>
          <cell r="AQ46">
            <v>30394</v>
          </cell>
        </row>
        <row r="47">
          <cell r="B47" t="str">
            <v xml:space="preserve">   Bank reserves</v>
          </cell>
          <cell r="D47">
            <v>4941.7</v>
          </cell>
          <cell r="E47">
            <v>5286.99</v>
          </cell>
          <cell r="F47">
            <v>5282</v>
          </cell>
          <cell r="G47">
            <v>5400</v>
          </cell>
          <cell r="H47">
            <v>8581</v>
          </cell>
          <cell r="I47">
            <v>8205.4600000000028</v>
          </cell>
          <cell r="J47">
            <v>9052</v>
          </cell>
          <cell r="K47">
            <v>12039.36</v>
          </cell>
          <cell r="L47">
            <v>20938</v>
          </cell>
          <cell r="M47">
            <v>23711.048999999999</v>
          </cell>
          <cell r="N47">
            <v>20418</v>
          </cell>
          <cell r="O47">
            <v>23582.948</v>
          </cell>
          <cell r="P47">
            <v>30591.473999999998</v>
          </cell>
          <cell r="Q47">
            <v>27707.196</v>
          </cell>
          <cell r="R47">
            <v>27447.905999999999</v>
          </cell>
          <cell r="S47">
            <v>26890.678</v>
          </cell>
          <cell r="T47">
            <v>29943.260999999999</v>
          </cell>
          <cell r="U47">
            <v>27869.267</v>
          </cell>
          <cell r="V47">
            <v>27106.506000000001</v>
          </cell>
          <cell r="W47">
            <v>29626.039000000001</v>
          </cell>
          <cell r="X47">
            <v>31006.271000000001</v>
          </cell>
          <cell r="Y47">
            <v>32567.706999999999</v>
          </cell>
          <cell r="Z47">
            <v>34345.002</v>
          </cell>
          <cell r="AA47">
            <v>38227.957999999999</v>
          </cell>
          <cell r="AB47">
            <v>42406.144999999997</v>
          </cell>
          <cell r="AC47">
            <v>40722.82</v>
          </cell>
          <cell r="AD47">
            <v>41305</v>
          </cell>
          <cell r="AE47">
            <v>39621</v>
          </cell>
          <cell r="AF47">
            <v>44112</v>
          </cell>
          <cell r="AG47">
            <v>40796</v>
          </cell>
          <cell r="AI47">
            <v>40060.9</v>
          </cell>
          <cell r="AJ47">
            <v>45435.03</v>
          </cell>
          <cell r="AK47">
            <v>43534.080000000002</v>
          </cell>
          <cell r="AL47">
            <v>42449.797349899469</v>
          </cell>
          <cell r="AM47">
            <v>45973.097999999998</v>
          </cell>
          <cell r="AN47">
            <v>45026.699000000001</v>
          </cell>
          <cell r="AO47">
            <v>46666</v>
          </cell>
          <cell r="AQ47">
            <v>46598</v>
          </cell>
        </row>
        <row r="48">
          <cell r="B48" t="str">
            <v xml:space="preserve">     Bank + NBFI deposits with CBK</v>
          </cell>
          <cell r="D48">
            <v>2981.7</v>
          </cell>
          <cell r="E48">
            <v>3847.49</v>
          </cell>
          <cell r="F48">
            <v>3024</v>
          </cell>
          <cell r="G48">
            <v>3430</v>
          </cell>
          <cell r="H48">
            <v>5675</v>
          </cell>
          <cell r="I48">
            <v>5743.36</v>
          </cell>
          <cell r="J48">
            <v>6594</v>
          </cell>
          <cell r="K48">
            <v>9395.27</v>
          </cell>
          <cell r="L48">
            <v>17355</v>
          </cell>
          <cell r="M48">
            <v>21341</v>
          </cell>
          <cell r="N48">
            <v>17474</v>
          </cell>
          <cell r="O48">
            <v>20813</v>
          </cell>
          <cell r="P48">
            <v>26152</v>
          </cell>
          <cell r="Q48">
            <v>24559</v>
          </cell>
          <cell r="R48">
            <v>23952</v>
          </cell>
          <cell r="S48">
            <v>23610</v>
          </cell>
          <cell r="T48">
            <v>26868</v>
          </cell>
          <cell r="U48">
            <v>24514</v>
          </cell>
          <cell r="V48">
            <v>23900</v>
          </cell>
          <cell r="W48">
            <v>26123.161</v>
          </cell>
          <cell r="X48">
            <v>27394.240000000002</v>
          </cell>
          <cell r="Y48">
            <v>29352</v>
          </cell>
          <cell r="Z48">
            <v>30229</v>
          </cell>
          <cell r="AA48">
            <v>34315</v>
          </cell>
          <cell r="AB48">
            <v>37206</v>
          </cell>
          <cell r="AC48">
            <v>36621</v>
          </cell>
          <cell r="AD48">
            <v>37379</v>
          </cell>
          <cell r="AE48">
            <v>35951</v>
          </cell>
          <cell r="AF48">
            <v>40114</v>
          </cell>
          <cell r="AG48">
            <v>37231</v>
          </cell>
          <cell r="AI48">
            <v>36542.9</v>
          </cell>
          <cell r="AJ48">
            <v>41178</v>
          </cell>
          <cell r="AK48">
            <v>39580</v>
          </cell>
          <cell r="AL48">
            <v>37249.797349899469</v>
          </cell>
          <cell r="AM48">
            <v>41292</v>
          </cell>
          <cell r="AN48">
            <v>40699</v>
          </cell>
          <cell r="AO48">
            <v>42226</v>
          </cell>
          <cell r="AQ48">
            <v>40654</v>
          </cell>
        </row>
        <row r="49">
          <cell r="B49" t="str">
            <v xml:space="preserve">        Required reserves</v>
          </cell>
          <cell r="G49">
            <v>3610</v>
          </cell>
          <cell r="H49">
            <v>4380</v>
          </cell>
          <cell r="I49">
            <v>4802</v>
          </cell>
          <cell r="J49">
            <v>6461.3040000000001</v>
          </cell>
          <cell r="K49">
            <v>8044</v>
          </cell>
          <cell r="L49">
            <v>12693</v>
          </cell>
          <cell r="M49">
            <v>21090</v>
          </cell>
          <cell r="N49">
            <v>20407</v>
          </cell>
          <cell r="O49">
            <v>19331.523000000001</v>
          </cell>
          <cell r="P49">
            <v>23292</v>
          </cell>
          <cell r="Q49">
            <v>24252.06438</v>
          </cell>
          <cell r="R49">
            <v>23497.786619999999</v>
          </cell>
          <cell r="S49">
            <v>23663</v>
          </cell>
          <cell r="T49">
            <v>24128.635859999999</v>
          </cell>
          <cell r="U49">
            <v>24787.776239999999</v>
          </cell>
          <cell r="V49">
            <v>24889</v>
          </cell>
          <cell r="W49">
            <v>26644</v>
          </cell>
          <cell r="X49">
            <v>25558</v>
          </cell>
          <cell r="Y49">
            <v>27695</v>
          </cell>
          <cell r="Z49">
            <v>29538</v>
          </cell>
          <cell r="AA49">
            <v>31720</v>
          </cell>
          <cell r="AB49">
            <v>35722</v>
          </cell>
          <cell r="AC49">
            <v>36125</v>
          </cell>
          <cell r="AD49">
            <v>36611</v>
          </cell>
          <cell r="AE49">
            <v>35354</v>
          </cell>
          <cell r="AF49">
            <v>37261</v>
          </cell>
          <cell r="AG49">
            <v>37950</v>
          </cell>
          <cell r="AI49">
            <v>37865.4</v>
          </cell>
          <cell r="AJ49">
            <v>39321</v>
          </cell>
          <cell r="AK49">
            <v>39756</v>
          </cell>
          <cell r="AL49">
            <v>37049.797349899469</v>
          </cell>
          <cell r="AM49">
            <v>39662</v>
          </cell>
          <cell r="AN49">
            <v>39119</v>
          </cell>
          <cell r="AO49">
            <v>39777</v>
          </cell>
          <cell r="AQ49">
            <v>39936</v>
          </cell>
        </row>
        <row r="50">
          <cell r="B50" t="str">
            <v xml:space="preserve">        Excess (Deficiency) reserves</v>
          </cell>
          <cell r="G50">
            <v>-180</v>
          </cell>
          <cell r="H50">
            <v>1295</v>
          </cell>
          <cell r="I50">
            <v>941.35999999999967</v>
          </cell>
          <cell r="J50">
            <v>132.696</v>
          </cell>
          <cell r="K50">
            <v>1351.2700000000004</v>
          </cell>
          <cell r="L50">
            <v>4662</v>
          </cell>
          <cell r="M50">
            <v>251</v>
          </cell>
          <cell r="N50">
            <v>-2933</v>
          </cell>
          <cell r="O50">
            <v>1481.4770000000001</v>
          </cell>
          <cell r="P50">
            <v>2860</v>
          </cell>
          <cell r="Q50">
            <v>306.93562000000003</v>
          </cell>
          <cell r="R50">
            <v>454.21338000000003</v>
          </cell>
          <cell r="S50">
            <v>-53</v>
          </cell>
          <cell r="T50">
            <v>2739.3641400000001</v>
          </cell>
          <cell r="U50">
            <v>-273.77623999999997</v>
          </cell>
          <cell r="V50">
            <v>-989</v>
          </cell>
          <cell r="W50">
            <v>-520.83900000000006</v>
          </cell>
          <cell r="X50">
            <v>1836.24</v>
          </cell>
          <cell r="Y50">
            <v>1657</v>
          </cell>
          <cell r="Z50">
            <v>691</v>
          </cell>
          <cell r="AA50">
            <v>2595</v>
          </cell>
          <cell r="AB50">
            <v>1484</v>
          </cell>
          <cell r="AC50">
            <v>496</v>
          </cell>
          <cell r="AD50">
            <v>768</v>
          </cell>
          <cell r="AE50">
            <v>597</v>
          </cell>
          <cell r="AF50">
            <v>2853</v>
          </cell>
          <cell r="AG50">
            <v>-719</v>
          </cell>
          <cell r="AI50">
            <v>-1322.5</v>
          </cell>
          <cell r="AJ50">
            <v>1857</v>
          </cell>
          <cell r="AK50">
            <v>-176</v>
          </cell>
          <cell r="AL50">
            <v>200</v>
          </cell>
          <cell r="AM50">
            <v>1630</v>
          </cell>
          <cell r="AN50">
            <v>1580</v>
          </cell>
          <cell r="AO50">
            <v>2449</v>
          </cell>
          <cell r="AQ50">
            <v>718</v>
          </cell>
        </row>
        <row r="51">
          <cell r="B51" t="str">
            <v xml:space="preserve">     Cash in till 3/</v>
          </cell>
          <cell r="D51">
            <v>1960</v>
          </cell>
          <cell r="E51">
            <v>1439.5</v>
          </cell>
          <cell r="F51">
            <v>2258</v>
          </cell>
          <cell r="G51">
            <v>1970</v>
          </cell>
          <cell r="H51">
            <v>2906</v>
          </cell>
          <cell r="I51">
            <v>2462.1000000000022</v>
          </cell>
          <cell r="J51">
            <v>2458</v>
          </cell>
          <cell r="K51">
            <v>2644.09</v>
          </cell>
          <cell r="L51">
            <v>3583</v>
          </cell>
          <cell r="M51">
            <v>2370.049</v>
          </cell>
          <cell r="N51">
            <v>2944</v>
          </cell>
          <cell r="O51">
            <v>2769.9479999999999</v>
          </cell>
          <cell r="P51">
            <v>4439.4739999999983</v>
          </cell>
          <cell r="Q51">
            <v>3148.1959999999999</v>
          </cell>
          <cell r="R51">
            <v>3495.9059999999999</v>
          </cell>
          <cell r="S51">
            <v>3280.6779999999999</v>
          </cell>
          <cell r="T51">
            <v>3075.261</v>
          </cell>
          <cell r="U51">
            <v>3355.2670000000003</v>
          </cell>
          <cell r="V51">
            <v>3206.5059999999999</v>
          </cell>
          <cell r="W51">
            <v>3502.8780000000002</v>
          </cell>
          <cell r="X51">
            <v>3612.0309999999999</v>
          </cell>
          <cell r="Y51">
            <v>3215.7069999999999</v>
          </cell>
          <cell r="Z51">
            <v>4116.0020000000004</v>
          </cell>
          <cell r="AA51">
            <v>3912.9580000000001</v>
          </cell>
          <cell r="AB51">
            <v>5200.1449999999995</v>
          </cell>
          <cell r="AC51">
            <v>4101.82</v>
          </cell>
          <cell r="AD51">
            <v>3926</v>
          </cell>
          <cell r="AE51">
            <v>3670</v>
          </cell>
          <cell r="AF51">
            <v>3998</v>
          </cell>
          <cell r="AG51">
            <v>3565</v>
          </cell>
          <cell r="AI51">
            <v>3518</v>
          </cell>
          <cell r="AJ51">
            <v>4257.03</v>
          </cell>
          <cell r="AK51">
            <v>3954.08</v>
          </cell>
          <cell r="AL51">
            <v>5200</v>
          </cell>
          <cell r="AM51">
            <v>4681.098</v>
          </cell>
          <cell r="AN51">
            <v>4327.6990000000005</v>
          </cell>
          <cell r="AO51">
            <v>4440</v>
          </cell>
          <cell r="AQ51">
            <v>5944</v>
          </cell>
        </row>
        <row r="53">
          <cell r="B53" t="str">
            <v>Program figures</v>
          </cell>
        </row>
        <row r="54">
          <cell r="B54" t="str">
            <v>Average reserve money</v>
          </cell>
          <cell r="C54" t="str">
            <v xml:space="preserve">                           (Annual change in percent, unless indicated otherwise)</v>
          </cell>
        </row>
        <row r="55">
          <cell r="B55" t="str">
            <v xml:space="preserve">  Average currency outside banks</v>
          </cell>
        </row>
        <row r="56">
          <cell r="B56" t="str">
            <v xml:space="preserve">  Average bank reserves</v>
          </cell>
        </row>
        <row r="57">
          <cell r="B57" t="str">
            <v>Average NFA</v>
          </cell>
        </row>
        <row r="58">
          <cell r="B58" t="str">
            <v>Average NDA</v>
          </cell>
        </row>
        <row r="60">
          <cell r="B60" t="str">
            <v xml:space="preserve">  Reserve money</v>
          </cell>
          <cell r="AB60">
            <v>28.717089088148072</v>
          </cell>
          <cell r="AE60">
            <v>32.207289954558632</v>
          </cell>
          <cell r="AI60">
            <v>29.993009899493671</v>
          </cell>
          <cell r="AM60">
            <v>24.973064542568096</v>
          </cell>
          <cell r="AQ60">
            <v>8.133092522599199</v>
          </cell>
        </row>
        <row r="61">
          <cell r="B61" t="str">
            <v xml:space="preserve">  (excluding required reserves)</v>
          </cell>
          <cell r="AB61">
            <v>10.789236197851565</v>
          </cell>
          <cell r="AE61">
            <v>17.699272779124485</v>
          </cell>
          <cell r="AI61">
            <v>10.33947865777553</v>
          </cell>
          <cell r="AM61">
            <v>8.837907039604147</v>
          </cell>
          <cell r="AQ61">
            <v>4.4444560318463573</v>
          </cell>
        </row>
        <row r="62">
          <cell r="B62" t="str">
            <v xml:space="preserve">  Currency-in-circulation</v>
          </cell>
          <cell r="AB62">
            <v>16.56544026882456</v>
          </cell>
          <cell r="AE62">
            <v>15.353140010674252</v>
          </cell>
          <cell r="AI62">
            <v>11.135987875447782</v>
          </cell>
          <cell r="AM62">
            <v>9.4229673138056285</v>
          </cell>
          <cell r="AQ62">
            <v>6.8917340990897458</v>
          </cell>
        </row>
        <row r="63">
          <cell r="B63" t="str">
            <v xml:space="preserve">  Bank reserves/deposits (in percent)</v>
          </cell>
          <cell r="AB63">
            <v>21.480716234918969</v>
          </cell>
          <cell r="AQ63">
            <v>20.067007734311751</v>
          </cell>
        </row>
        <row r="64">
          <cell r="B64" t="str">
            <v xml:space="preserve">  Statutory Reserve Requirement (in percent)</v>
          </cell>
          <cell r="AB64">
            <v>18</v>
          </cell>
          <cell r="AC64">
            <v>18</v>
          </cell>
          <cell r="AD64">
            <v>18</v>
          </cell>
          <cell r="AE64">
            <v>18</v>
          </cell>
          <cell r="AF64">
            <v>18</v>
          </cell>
          <cell r="AG64">
            <v>18</v>
          </cell>
          <cell r="AH64">
            <v>0</v>
          </cell>
          <cell r="AI64">
            <v>18</v>
          </cell>
          <cell r="AJ64">
            <v>18</v>
          </cell>
          <cell r="AK64">
            <v>18</v>
          </cell>
          <cell r="AL64">
            <v>0</v>
          </cell>
          <cell r="AM64">
            <v>18</v>
          </cell>
          <cell r="AN64">
            <v>18</v>
          </cell>
          <cell r="AO64">
            <v>18</v>
          </cell>
          <cell r="AP64">
            <v>0</v>
          </cell>
          <cell r="AQ64">
            <v>18</v>
          </cell>
        </row>
        <row r="66">
          <cell r="B66" t="str">
            <v xml:space="preserve">  Gross international reserves (US$m)</v>
          </cell>
          <cell r="AB66">
            <v>440.99034680014302</v>
          </cell>
          <cell r="AQ66">
            <v>823.03058237800769</v>
          </cell>
        </row>
        <row r="67">
          <cell r="B67" t="str">
            <v xml:space="preserve">   (in months of imports)</v>
          </cell>
          <cell r="AB67">
            <v>1.7254268541251112</v>
          </cell>
          <cell r="AQ67">
            <v>3.373076157286917</v>
          </cell>
        </row>
        <row r="68">
          <cell r="B68" t="str">
            <v xml:space="preserve">   (as a percent of govt. ST debt) /5</v>
          </cell>
          <cell r="AB68" t="str">
            <v>...</v>
          </cell>
          <cell r="AQ68" t="e">
            <v>#REF!</v>
          </cell>
        </row>
        <row r="70">
          <cell r="B70" t="str">
            <v xml:space="preserve">  Government domestic debt (KSh bn)</v>
          </cell>
          <cell r="AB70" t="str">
            <v>...</v>
          </cell>
          <cell r="AI70" t="e">
            <v>#REF!</v>
          </cell>
          <cell r="AM70" t="e">
            <v>#REF!</v>
          </cell>
          <cell r="AQ70" t="e">
            <v>#REF!</v>
          </cell>
        </row>
        <row r="71">
          <cell r="B71" t="str">
            <v xml:space="preserve">     CBK</v>
          </cell>
          <cell r="AB71" t="str">
            <v>...</v>
          </cell>
          <cell r="AQ71">
            <v>32.594000000000001</v>
          </cell>
        </row>
        <row r="72">
          <cell r="B72" t="str">
            <v xml:space="preserve">     Short term debt (excl CBK)</v>
          </cell>
          <cell r="D72">
            <v>15335</v>
          </cell>
          <cell r="F72">
            <v>11962</v>
          </cell>
          <cell r="H72">
            <v>13561</v>
          </cell>
          <cell r="J72" t="e">
            <v>#VALUE!</v>
          </cell>
          <cell r="L72">
            <v>58683</v>
          </cell>
          <cell r="M72">
            <v>0</v>
          </cell>
          <cell r="N72">
            <v>83610</v>
          </cell>
          <cell r="O72">
            <v>94941</v>
          </cell>
          <cell r="P72">
            <v>82918</v>
          </cell>
          <cell r="Q72">
            <v>0</v>
          </cell>
          <cell r="R72">
            <v>0</v>
          </cell>
          <cell r="S72">
            <v>84460.7</v>
          </cell>
          <cell r="T72">
            <v>0</v>
          </cell>
          <cell r="U72">
            <v>0</v>
          </cell>
          <cell r="V72">
            <v>75399</v>
          </cell>
          <cell r="W72">
            <v>0</v>
          </cell>
          <cell r="X72">
            <v>0</v>
          </cell>
          <cell r="Y72">
            <v>66049</v>
          </cell>
          <cell r="Z72">
            <v>0</v>
          </cell>
          <cell r="AA72">
            <v>0</v>
          </cell>
          <cell r="AB72" t="str">
            <v>...</v>
          </cell>
          <cell r="AF72" t="e">
            <v>#REF!</v>
          </cell>
          <cell r="AG72" t="e">
            <v>#REF!</v>
          </cell>
          <cell r="AH72" t="e">
            <v>#REF!</v>
          </cell>
          <cell r="AI72" t="e">
            <v>#REF!</v>
          </cell>
          <cell r="AJ72" t="e">
            <v>#REF!</v>
          </cell>
          <cell r="AK72" t="e">
            <v>#REF!</v>
          </cell>
          <cell r="AL72" t="e">
            <v>#REF!</v>
          </cell>
          <cell r="AM72" t="e">
            <v>#REF!</v>
          </cell>
          <cell r="AN72" t="e">
            <v>#REF!</v>
          </cell>
          <cell r="AO72" t="e">
            <v>#REF!</v>
          </cell>
          <cell r="AP72" t="e">
            <v>#REF!</v>
          </cell>
          <cell r="AQ72" t="e">
            <v>#REF!</v>
          </cell>
        </row>
        <row r="73">
          <cell r="B73" t="str">
            <v xml:space="preserve">     Other</v>
          </cell>
          <cell r="AB73" t="str">
            <v>...</v>
          </cell>
          <cell r="AI73" t="e">
            <v>#REF!</v>
          </cell>
          <cell r="AM73" t="e">
            <v>#REF!</v>
          </cell>
          <cell r="AQ73" t="e">
            <v>#REF!</v>
          </cell>
        </row>
        <row r="75">
          <cell r="B75" t="str">
            <v xml:space="preserve">  Reserve Money</v>
          </cell>
        </row>
        <row r="76">
          <cell r="B76" t="str">
            <v xml:space="preserve">  - 3 month</v>
          </cell>
          <cell r="Y76" t="e">
            <v>#REF!</v>
          </cell>
          <cell r="AB76" t="e">
            <v>#REF!</v>
          </cell>
          <cell r="AE76" t="e">
            <v>#REF!</v>
          </cell>
          <cell r="AI76" t="e">
            <v>#REF!</v>
          </cell>
          <cell r="AM76" t="e">
            <v>#REF!</v>
          </cell>
          <cell r="AN76">
            <v>-1.0760942760942749E-2</v>
          </cell>
          <cell r="AO76">
            <v>5.5694480648657452E-2</v>
          </cell>
          <cell r="AQ76" t="e">
            <v>#REF!</v>
          </cell>
        </row>
        <row r="77">
          <cell r="B77" t="str">
            <v xml:space="preserve">  - 6 month</v>
          </cell>
          <cell r="Y77" t="e">
            <v>#REF!</v>
          </cell>
          <cell r="AB77" t="e">
            <v>#REF!</v>
          </cell>
          <cell r="AE77" t="e">
            <v>#REF!</v>
          </cell>
          <cell r="AI77" t="e">
            <v>#REF!</v>
          </cell>
          <cell r="AM77" t="e">
            <v>#REF!</v>
          </cell>
          <cell r="AN77">
            <v>1.3229045963692565E-2</v>
          </cell>
          <cell r="AO77">
            <v>0.11084906886097867</v>
          </cell>
          <cell r="AQ77" t="e">
            <v>#REF!</v>
          </cell>
        </row>
        <row r="78">
          <cell r="B78" t="str">
            <v xml:space="preserve">  - 12 month</v>
          </cell>
          <cell r="J78" t="e">
            <v>#REF!</v>
          </cell>
          <cell r="L78" t="e">
            <v>#REF!</v>
          </cell>
          <cell r="M78" t="e">
            <v>#REF!</v>
          </cell>
          <cell r="N78" t="e">
            <v>#REF!</v>
          </cell>
          <cell r="O78" t="e">
            <v>#REF!</v>
          </cell>
          <cell r="P78" t="e">
            <v>#REF!</v>
          </cell>
          <cell r="S78" t="e">
            <v>#REF!</v>
          </cell>
          <cell r="V78" t="e">
            <v>#REF!</v>
          </cell>
          <cell r="Y78" t="e">
            <v>#REF!</v>
          </cell>
          <cell r="AB78" t="e">
            <v>#REF!</v>
          </cell>
          <cell r="AE78" t="e">
            <v>#REF!</v>
          </cell>
          <cell r="AI78" t="e">
            <v>#REF!</v>
          </cell>
          <cell r="AM78" t="e">
            <v>#REF!</v>
          </cell>
          <cell r="AQ78" t="e">
            <v>#REF!</v>
          </cell>
        </row>
        <row r="79">
          <cell r="B79" t="str">
            <v xml:space="preserve">  Reserve Money (excl RR)</v>
          </cell>
        </row>
        <row r="80">
          <cell r="B80" t="str">
            <v xml:space="preserve">  - 3 month</v>
          </cell>
          <cell r="Y80" t="e">
            <v>#REF!</v>
          </cell>
          <cell r="AB80" t="e">
            <v>#REF!</v>
          </cell>
          <cell r="AE80" t="e">
            <v>#REF!</v>
          </cell>
          <cell r="AI80" t="e">
            <v>#REF!</v>
          </cell>
          <cell r="AM80" t="e">
            <v>#REF!</v>
          </cell>
          <cell r="AN80">
            <v>-1.7091814824357954E-2</v>
          </cell>
          <cell r="AO80">
            <v>0.12188799686113549</v>
          </cell>
          <cell r="AQ80" t="e">
            <v>#REF!</v>
          </cell>
        </row>
        <row r="81">
          <cell r="B81" t="str">
            <v xml:space="preserve">  - 6 month</v>
          </cell>
          <cell r="Y81" t="e">
            <v>#REF!</v>
          </cell>
          <cell r="AB81" t="e">
            <v>#REF!</v>
          </cell>
          <cell r="AE81" t="e">
            <v>#REF!</v>
          </cell>
          <cell r="AI81" t="e">
            <v>#REF!</v>
          </cell>
          <cell r="AM81" t="e">
            <v>#REF!</v>
          </cell>
          <cell r="AN81">
            <v>-2.5517300105021179E-2</v>
          </cell>
          <cell r="AO81">
            <v>0.18682998084291191</v>
          </cell>
          <cell r="AQ81" t="e">
            <v>#REF!</v>
          </cell>
        </row>
        <row r="82">
          <cell r="B82" t="str">
            <v xml:space="preserve">  - 12 month</v>
          </cell>
          <cell r="J82" t="e">
            <v>#REF!</v>
          </cell>
          <cell r="L82" t="e">
            <v>#REF!</v>
          </cell>
          <cell r="M82" t="e">
            <v>#REF!</v>
          </cell>
          <cell r="N82" t="e">
            <v>#REF!</v>
          </cell>
          <cell r="O82" t="e">
            <v>#REF!</v>
          </cell>
          <cell r="P82" t="e">
            <v>#REF!</v>
          </cell>
          <cell r="S82" t="e">
            <v>#REF!</v>
          </cell>
          <cell r="V82" t="e">
            <v>#REF!</v>
          </cell>
          <cell r="Y82" t="e">
            <v>#REF!</v>
          </cell>
          <cell r="AB82" t="e">
            <v>#REF!</v>
          </cell>
          <cell r="AE82" t="e">
            <v>#REF!</v>
          </cell>
          <cell r="AI82" t="e">
            <v>#REF!</v>
          </cell>
          <cell r="AM82" t="e">
            <v>#REF!</v>
          </cell>
          <cell r="AN82" t="e">
            <v>#REF!</v>
          </cell>
          <cell r="AO82" t="e">
            <v>#REF!</v>
          </cell>
          <cell r="AQ82" t="e">
            <v>#REF!</v>
          </cell>
        </row>
        <row r="84">
          <cell r="B84" t="str">
            <v>1/  At constant exchange rates (using the March 31, 2000 rates; K Sh 74.8/US$).</v>
          </cell>
        </row>
        <row r="85">
          <cell r="B85" t="str">
            <v>2/  includes items-in-transit</v>
          </cell>
        </row>
        <row r="86">
          <cell r="B86" t="str">
            <v>3/  includes finance houses</v>
          </cell>
        </row>
        <row r="87">
          <cell r="B87" t="str">
            <v>4/  includes forex not delivered</v>
          </cell>
        </row>
      </sheetData>
      <sheetData sheetId="1" refreshError="1">
        <row r="2">
          <cell r="B2" t="str">
            <v>Table 2: Kenya--Net Foreign Assets</v>
          </cell>
        </row>
        <row r="4">
          <cell r="B4">
            <v>0</v>
          </cell>
          <cell r="D4" t="str">
            <v>1990</v>
          </cell>
          <cell r="E4" t="str">
            <v>1991</v>
          </cell>
          <cell r="F4" t="str">
            <v>1991</v>
          </cell>
          <cell r="G4" t="str">
            <v>1992</v>
          </cell>
          <cell r="H4" t="str">
            <v>1992</v>
          </cell>
          <cell r="I4" t="str">
            <v>1993</v>
          </cell>
          <cell r="J4" t="str">
            <v>1993</v>
          </cell>
          <cell r="K4" t="str">
            <v>1993</v>
          </cell>
          <cell r="L4" t="str">
            <v>1993</v>
          </cell>
          <cell r="M4" t="str">
            <v>1994</v>
          </cell>
          <cell r="N4" t="str">
            <v>1994</v>
          </cell>
          <cell r="O4" t="str">
            <v>1994</v>
          </cell>
          <cell r="P4" t="str">
            <v>1994</v>
          </cell>
          <cell r="Q4" t="str">
            <v>1995</v>
          </cell>
          <cell r="R4" t="str">
            <v>1995</v>
          </cell>
          <cell r="S4" t="str">
            <v>1995</v>
          </cell>
          <cell r="T4" t="str">
            <v>1995</v>
          </cell>
          <cell r="U4" t="str">
            <v>1995</v>
          </cell>
          <cell r="V4" t="str">
            <v>1995</v>
          </cell>
          <cell r="W4" t="str">
            <v>1995</v>
          </cell>
          <cell r="X4" t="str">
            <v>1995</v>
          </cell>
          <cell r="Y4" t="str">
            <v>1995</v>
          </cell>
          <cell r="Z4" t="str">
            <v>1995</v>
          </cell>
          <cell r="AA4" t="str">
            <v>1995</v>
          </cell>
          <cell r="AB4" t="str">
            <v>1995</v>
          </cell>
          <cell r="AC4" t="str">
            <v>1996</v>
          </cell>
          <cell r="AD4" t="str">
            <v>1996</v>
          </cell>
          <cell r="AE4" t="str">
            <v>1996</v>
          </cell>
          <cell r="AF4" t="str">
            <v>1996</v>
          </cell>
          <cell r="AG4" t="str">
            <v>1996</v>
          </cell>
          <cell r="AI4" t="str">
            <v>1996</v>
          </cell>
          <cell r="AJ4" t="str">
            <v>1996</v>
          </cell>
          <cell r="AK4" t="str">
            <v>1996</v>
          </cell>
          <cell r="AM4" t="str">
            <v>1996</v>
          </cell>
          <cell r="AN4" t="str">
            <v>1996</v>
          </cell>
          <cell r="AO4" t="str">
            <v>1996</v>
          </cell>
        </row>
        <row r="5">
          <cell r="D5" t="str">
            <v>Dec.</v>
          </cell>
          <cell r="E5" t="str">
            <v>Jun.</v>
          </cell>
          <cell r="F5" t="str">
            <v>Dec.</v>
          </cell>
          <cell r="G5" t="str">
            <v>Jun.</v>
          </cell>
          <cell r="H5" t="str">
            <v>Dec.</v>
          </cell>
          <cell r="I5" t="str">
            <v>Mar.</v>
          </cell>
          <cell r="J5" t="str">
            <v>Jun.</v>
          </cell>
          <cell r="K5" t="str">
            <v>Sep.</v>
          </cell>
          <cell r="L5" t="str">
            <v>Dec.</v>
          </cell>
          <cell r="M5" t="str">
            <v>Mar.</v>
          </cell>
          <cell r="N5" t="str">
            <v>Jun.</v>
          </cell>
          <cell r="O5" t="str">
            <v>Sep.</v>
          </cell>
          <cell r="P5" t="str">
            <v>Dec.</v>
          </cell>
          <cell r="Q5" t="str">
            <v>Jan.</v>
          </cell>
          <cell r="R5" t="str">
            <v>Feb.</v>
          </cell>
          <cell r="S5" t="str">
            <v>Mar.</v>
          </cell>
          <cell r="T5" t="str">
            <v>Apr.</v>
          </cell>
          <cell r="U5" t="str">
            <v>May.</v>
          </cell>
          <cell r="V5" t="str">
            <v>June</v>
          </cell>
          <cell r="W5" t="str">
            <v>July</v>
          </cell>
          <cell r="X5" t="str">
            <v>Aug.</v>
          </cell>
          <cell r="Y5" t="str">
            <v>Sept.</v>
          </cell>
          <cell r="Z5" t="str">
            <v>Oct.</v>
          </cell>
          <cell r="AA5" t="str">
            <v>Nov.</v>
          </cell>
          <cell r="AB5" t="str">
            <v>Dec.</v>
          </cell>
          <cell r="AC5" t="str">
            <v>Jan</v>
          </cell>
          <cell r="AD5" t="str">
            <v>Feb</v>
          </cell>
          <cell r="AE5" t="str">
            <v>Mar</v>
          </cell>
          <cell r="AF5" t="str">
            <v>Apr</v>
          </cell>
          <cell r="AG5" t="str">
            <v>May</v>
          </cell>
          <cell r="AI5" t="str">
            <v>June</v>
          </cell>
          <cell r="AJ5" t="str">
            <v>July</v>
          </cell>
          <cell r="AK5" t="str">
            <v>Aug</v>
          </cell>
          <cell r="AM5" t="str">
            <v>Sep.</v>
          </cell>
          <cell r="AN5" t="str">
            <v>Oct.</v>
          </cell>
          <cell r="AO5" t="str">
            <v>Nov.</v>
          </cell>
        </row>
        <row r="6">
          <cell r="D6" t="str">
            <v>Act.</v>
          </cell>
          <cell r="E6" t="str">
            <v>Act.</v>
          </cell>
          <cell r="F6" t="str">
            <v>Act.</v>
          </cell>
          <cell r="G6" t="str">
            <v>Act.</v>
          </cell>
          <cell r="H6" t="str">
            <v>Act.</v>
          </cell>
          <cell r="I6" t="str">
            <v>Act.</v>
          </cell>
          <cell r="J6" t="str">
            <v>Act.</v>
          </cell>
          <cell r="K6" t="str">
            <v>Act.</v>
          </cell>
          <cell r="L6" t="str">
            <v>Act.</v>
          </cell>
          <cell r="M6" t="str">
            <v>Act.</v>
          </cell>
          <cell r="N6" t="str">
            <v>Act.</v>
          </cell>
          <cell r="O6" t="str">
            <v>Act.</v>
          </cell>
          <cell r="P6" t="str">
            <v>Act.</v>
          </cell>
          <cell r="Q6" t="str">
            <v>Act.</v>
          </cell>
          <cell r="R6" t="str">
            <v>Act.</v>
          </cell>
          <cell r="S6" t="str">
            <v>Act.</v>
          </cell>
          <cell r="T6" t="str">
            <v>Act.</v>
          </cell>
          <cell r="U6" t="str">
            <v>Act.</v>
          </cell>
          <cell r="V6" t="str">
            <v>Act.</v>
          </cell>
          <cell r="W6" t="str">
            <v>Act.</v>
          </cell>
          <cell r="X6" t="str">
            <v>Act.</v>
          </cell>
          <cell r="Y6" t="str">
            <v>Act.</v>
          </cell>
          <cell r="Z6" t="str">
            <v>Act.</v>
          </cell>
          <cell r="AA6" t="str">
            <v>Act.</v>
          </cell>
          <cell r="AB6" t="str">
            <v>Act.</v>
          </cell>
          <cell r="AC6" t="str">
            <v>Act.</v>
          </cell>
          <cell r="AD6" t="str">
            <v>Act.</v>
          </cell>
          <cell r="AE6" t="str">
            <v>Act.</v>
          </cell>
          <cell r="AF6" t="str">
            <v>Act.</v>
          </cell>
          <cell r="AG6" t="str">
            <v>Act.</v>
          </cell>
          <cell r="AI6" t="str">
            <v>Act.</v>
          </cell>
          <cell r="AJ6" t="str">
            <v>Act.</v>
          </cell>
          <cell r="AK6" t="str">
            <v>Act.</v>
          </cell>
          <cell r="AM6" t="str">
            <v>Act.</v>
          </cell>
          <cell r="AN6" t="str">
            <v>Act.</v>
          </cell>
          <cell r="AO6" t="str">
            <v>Act.</v>
          </cell>
        </row>
        <row r="7">
          <cell r="B7" t="str">
            <v>All historical data obtained from CBK Reseacrch Department</v>
          </cell>
        </row>
        <row r="8">
          <cell r="B8" t="str">
            <v>a) CBK</v>
          </cell>
        </row>
        <row r="10">
          <cell r="B10" t="str">
            <v>NFA (Kshm, constant exchange rate)</v>
          </cell>
          <cell r="S10">
            <v>13650.575632000004</v>
          </cell>
          <cell r="V10">
            <v>5303.6629119999961</v>
          </cell>
          <cell r="Y10">
            <v>4996.9961120000007</v>
          </cell>
          <cell r="Z10">
            <v>2830.8133519999974</v>
          </cell>
          <cell r="AB10">
            <v>3004.0433097967507</v>
          </cell>
          <cell r="AC10">
            <v>4474.8653841703308</v>
          </cell>
          <cell r="AD10">
            <v>3616.8447877798535</v>
          </cell>
          <cell r="AE10">
            <v>9749.3275738396587</v>
          </cell>
          <cell r="AF10">
            <v>12548.978917129687</v>
          </cell>
          <cell r="AG10">
            <v>16023.656205170977</v>
          </cell>
          <cell r="AI10">
            <v>22294.620898998426</v>
          </cell>
          <cell r="AJ10">
            <v>21971.169796113034</v>
          </cell>
          <cell r="AK10">
            <v>24583</v>
          </cell>
          <cell r="AM10">
            <v>20556.355443288754</v>
          </cell>
          <cell r="AN10">
            <v>22879.159662321537</v>
          </cell>
          <cell r="AO10">
            <v>24214.497603398722</v>
          </cell>
        </row>
        <row r="11">
          <cell r="B11" t="str">
            <v xml:space="preserve">  Assets </v>
          </cell>
          <cell r="S11">
            <v>35674.827632</v>
          </cell>
          <cell r="V11">
            <v>26380.593287999996</v>
          </cell>
          <cell r="Y11">
            <v>25849.780935999999</v>
          </cell>
          <cell r="Z11">
            <v>23669.101199999997</v>
          </cell>
          <cell r="AB11">
            <v>24301.392383999999</v>
          </cell>
          <cell r="AC11">
            <v>25388.13</v>
          </cell>
          <cell r="AD11">
            <v>24781.93</v>
          </cell>
          <cell r="AE11">
            <v>30841.33</v>
          </cell>
          <cell r="AF11">
            <v>33521.89</v>
          </cell>
          <cell r="AG11">
            <v>38248.36</v>
          </cell>
          <cell r="AI11">
            <v>44054.42</v>
          </cell>
          <cell r="AJ11">
            <v>43740.87</v>
          </cell>
          <cell r="AK11">
            <v>45412.19</v>
          </cell>
          <cell r="AM11">
            <v>42310.34</v>
          </cell>
          <cell r="AN11">
            <v>44566.39</v>
          </cell>
          <cell r="AO11">
            <v>45035.03</v>
          </cell>
          <cell r="AP11">
            <v>0</v>
          </cell>
        </row>
        <row r="12">
          <cell r="B12" t="str">
            <v xml:space="preserve">    Gross reserves</v>
          </cell>
          <cell r="S12">
            <v>35674.827632</v>
          </cell>
          <cell r="V12">
            <v>26380.593287999996</v>
          </cell>
          <cell r="Y12">
            <v>25849.780935999999</v>
          </cell>
          <cell r="Z12">
            <v>23669.101199999997</v>
          </cell>
          <cell r="AB12">
            <v>24301.392383999999</v>
          </cell>
          <cell r="AC12">
            <v>25388.13</v>
          </cell>
          <cell r="AD12">
            <v>24781.93</v>
          </cell>
          <cell r="AE12">
            <v>30841.33</v>
          </cell>
          <cell r="AF12">
            <v>33521.89</v>
          </cell>
          <cell r="AG12">
            <v>38248.36</v>
          </cell>
          <cell r="AI12">
            <v>44054.42</v>
          </cell>
          <cell r="AJ12">
            <v>43740.87</v>
          </cell>
          <cell r="AK12">
            <v>45412.19</v>
          </cell>
          <cell r="AM12">
            <v>42310.34</v>
          </cell>
          <cell r="AN12">
            <v>44566.39</v>
          </cell>
          <cell r="AO12">
            <v>45035.03</v>
          </cell>
        </row>
        <row r="13">
          <cell r="B13" t="str">
            <v xml:space="preserve">  Liabilities</v>
          </cell>
          <cell r="S13">
            <v>-22024.251999999997</v>
          </cell>
          <cell r="V13">
            <v>-21076.930376</v>
          </cell>
          <cell r="Y13">
            <v>-20852.784823999998</v>
          </cell>
          <cell r="Z13">
            <v>-20838.287848</v>
          </cell>
          <cell r="AB13">
            <v>-21297.349074203248</v>
          </cell>
          <cell r="AC13">
            <v>-20913.26461582967</v>
          </cell>
          <cell r="AD13">
            <v>-21165.085212220147</v>
          </cell>
          <cell r="AE13">
            <v>-21092.002426160343</v>
          </cell>
          <cell r="AF13">
            <v>-20972.911082870312</v>
          </cell>
          <cell r="AG13">
            <v>-22224.703794829024</v>
          </cell>
          <cell r="AI13">
            <v>-21759.799101001572</v>
          </cell>
          <cell r="AJ13">
            <v>-21769.700203886969</v>
          </cell>
          <cell r="AK13">
            <v>-21626.860652042909</v>
          </cell>
          <cell r="AM13">
            <v>-21753.984556711242</v>
          </cell>
          <cell r="AN13">
            <v>-21687.230337678462</v>
          </cell>
          <cell r="AO13">
            <v>-20820.532396601273</v>
          </cell>
        </row>
        <row r="14">
          <cell r="B14" t="str">
            <v xml:space="preserve">    IMF (net)</v>
          </cell>
          <cell r="S14">
            <v>-21700.857919999999</v>
          </cell>
          <cell r="V14">
            <v>-21064.663703999999</v>
          </cell>
          <cell r="Y14">
            <v>-20809.851471999998</v>
          </cell>
          <cell r="Z14">
            <v>-20809.851471999998</v>
          </cell>
          <cell r="AB14">
            <v>-21269.47027420325</v>
          </cell>
          <cell r="AC14">
            <v>-20852.60461582967</v>
          </cell>
          <cell r="AD14">
            <v>-21096.985212220148</v>
          </cell>
          <cell r="AE14">
            <v>-21035.262426160341</v>
          </cell>
          <cell r="AF14">
            <v>-20954.131082870314</v>
          </cell>
          <cell r="AG14">
            <v>-22206.083794829025</v>
          </cell>
          <cell r="AI14">
            <v>-21738.259101001571</v>
          </cell>
          <cell r="AJ14">
            <v>-21738.33020388697</v>
          </cell>
          <cell r="AK14">
            <v>-21604.370652042908</v>
          </cell>
          <cell r="AM14">
            <v>-21731.494556711241</v>
          </cell>
          <cell r="AN14">
            <v>-21667.410337678462</v>
          </cell>
          <cell r="AO14">
            <v>-20800.432396601274</v>
          </cell>
        </row>
        <row r="15">
          <cell r="B15" t="str">
            <v xml:space="preserve">    External banks</v>
          </cell>
          <cell r="S15">
            <v>-323.39407999999997</v>
          </cell>
          <cell r="V15">
            <v>-12.266672</v>
          </cell>
          <cell r="Y15">
            <v>-42.933351999999999</v>
          </cell>
          <cell r="Z15">
            <v>-28.436375999999999</v>
          </cell>
          <cell r="AB15">
            <v>-27.878799999999998</v>
          </cell>
          <cell r="AC15">
            <v>-60.66</v>
          </cell>
          <cell r="AD15">
            <v>-68.099999999999994</v>
          </cell>
          <cell r="AE15">
            <v>-56.74</v>
          </cell>
          <cell r="AF15">
            <v>-18.78</v>
          </cell>
          <cell r="AG15">
            <v>-18.62</v>
          </cell>
          <cell r="AI15">
            <v>-21.54</v>
          </cell>
          <cell r="AJ15">
            <v>-31.37</v>
          </cell>
          <cell r="AK15">
            <v>-22.49</v>
          </cell>
          <cell r="AM15">
            <v>-22.49</v>
          </cell>
          <cell r="AN15">
            <v>-19.82</v>
          </cell>
          <cell r="AO15">
            <v>-20.100000000000001</v>
          </cell>
        </row>
        <row r="17">
          <cell r="B17" t="str">
            <v>NFA (US$m, constant exchange rate)</v>
          </cell>
          <cell r="S17">
            <v>244.82000000000005</v>
          </cell>
          <cell r="V17">
            <v>95.119999999999891</v>
          </cell>
          <cell r="Y17">
            <v>89.620000000000061</v>
          </cell>
          <cell r="AB17">
            <v>53.876840283598142</v>
          </cell>
          <cell r="AC17">
            <v>80.255702974488315</v>
          </cell>
          <cell r="AD17">
            <v>64.867296795053051</v>
          </cell>
          <cell r="AE17">
            <v>174.85199459517014</v>
          </cell>
          <cell r="AF17">
            <v>225.06311098629942</v>
          </cell>
          <cell r="AG17">
            <v>287.38066568810308</v>
          </cell>
          <cell r="AH17" t="e">
            <v>#DIV/0!</v>
          </cell>
          <cell r="AI17">
            <v>399.84900531942606</v>
          </cell>
          <cell r="AJ17">
            <v>394.04798262681749</v>
          </cell>
          <cell r="AK17">
            <v>426.58452566030627</v>
          </cell>
          <cell r="AL17" t="e">
            <v>#DIV/0!</v>
          </cell>
          <cell r="AM17">
            <v>368.67360580958928</v>
          </cell>
          <cell r="AN17">
            <v>410.33257640790742</v>
          </cell>
          <cell r="AO17">
            <v>434.2815616776677</v>
          </cell>
          <cell r="AP17" t="e">
            <v>#DIV/0!</v>
          </cell>
        </row>
        <row r="18">
          <cell r="B18" t="str">
            <v xml:space="preserve">  Assets </v>
          </cell>
          <cell r="S18">
            <v>639.82000000000005</v>
          </cell>
          <cell r="V18">
            <v>473.12999999999994</v>
          </cell>
          <cell r="Y18">
            <v>463.61</v>
          </cell>
          <cell r="AB18">
            <v>435.84000000000003</v>
          </cell>
          <cell r="AC18">
            <v>455.33039442156769</v>
          </cell>
          <cell r="AD18">
            <v>444.45833393115919</v>
          </cell>
          <cell r="AE18">
            <v>553.13230842073551</v>
          </cell>
          <cell r="AF18">
            <v>601.20754838802247</v>
          </cell>
          <cell r="AG18">
            <v>685.9757234888159</v>
          </cell>
          <cell r="AH18" t="e">
            <v>#DIV/0!</v>
          </cell>
          <cell r="AI18">
            <v>790.1061021277817</v>
          </cell>
          <cell r="AJ18">
            <v>784.48265348580298</v>
          </cell>
          <cell r="AK18">
            <v>814.45740132286903</v>
          </cell>
          <cell r="AL18" t="e">
            <v>#DIV/0!</v>
          </cell>
          <cell r="AM18">
            <v>758.82642007546951</v>
          </cell>
          <cell r="AN18">
            <v>799.28816878775274</v>
          </cell>
          <cell r="AO18">
            <v>807.69312165516453</v>
          </cell>
          <cell r="AP18" t="e">
            <v>#DIV/0!</v>
          </cell>
        </row>
        <row r="19">
          <cell r="B19" t="str">
            <v xml:space="preserve">    Gross reserves</v>
          </cell>
          <cell r="S19">
            <v>639.82000000000005</v>
          </cell>
          <cell r="V19">
            <v>473.12999999999994</v>
          </cell>
          <cell r="Y19">
            <v>463.61</v>
          </cell>
          <cell r="AB19">
            <v>435.84000000000003</v>
          </cell>
          <cell r="AC19">
            <v>455.33039442156769</v>
          </cell>
          <cell r="AD19">
            <v>444.45833393115919</v>
          </cell>
          <cell r="AE19">
            <v>553.13230842073551</v>
          </cell>
          <cell r="AF19">
            <v>601.20754838802247</v>
          </cell>
          <cell r="AG19">
            <v>685.9757234888159</v>
          </cell>
          <cell r="AH19" t="e">
            <v>#DIV/0!</v>
          </cell>
          <cell r="AI19">
            <v>790.1061021277817</v>
          </cell>
          <cell r="AJ19">
            <v>784.48265348580298</v>
          </cell>
          <cell r="AK19">
            <v>814.45740132286903</v>
          </cell>
          <cell r="AL19" t="e">
            <v>#DIV/0!</v>
          </cell>
          <cell r="AM19">
            <v>758.82642007546951</v>
          </cell>
          <cell r="AN19">
            <v>799.28816878775274</v>
          </cell>
          <cell r="AO19">
            <v>807.69312165516453</v>
          </cell>
          <cell r="AP19" t="e">
            <v>#DIV/0!</v>
          </cell>
        </row>
        <row r="20">
          <cell r="B20" t="str">
            <v xml:space="preserve">  Liabilities</v>
          </cell>
          <cell r="S20">
            <v>-395</v>
          </cell>
          <cell r="V20">
            <v>-378.01000000000005</v>
          </cell>
          <cell r="Y20">
            <v>-373.98999999999995</v>
          </cell>
          <cell r="AB20">
            <v>-381.96315971640189</v>
          </cell>
          <cell r="AC20">
            <v>-375.07469144707937</v>
          </cell>
          <cell r="AD20">
            <v>-379.59103713610614</v>
          </cell>
          <cell r="AE20">
            <v>-378.28031382556537</v>
          </cell>
          <cell r="AF20">
            <v>-376.14443740172305</v>
          </cell>
          <cell r="AG20">
            <v>-398.59505780071282</v>
          </cell>
          <cell r="AH20" t="e">
            <v>#DIV/0!</v>
          </cell>
          <cell r="AI20">
            <v>-390.25709680835564</v>
          </cell>
          <cell r="AJ20">
            <v>-390.4346708589855</v>
          </cell>
          <cell r="AK20">
            <v>-387.87287566256276</v>
          </cell>
          <cell r="AL20" t="e">
            <v>#DIV/0!</v>
          </cell>
          <cell r="AM20">
            <v>-390.15281426588024</v>
          </cell>
          <cell r="AN20">
            <v>-388.95559237984531</v>
          </cell>
          <cell r="AO20">
            <v>-373.41155997749684</v>
          </cell>
          <cell r="AP20" t="e">
            <v>#DIV/0!</v>
          </cell>
        </row>
        <row r="21">
          <cell r="B21" t="str">
            <v xml:space="preserve">    IMF (net)</v>
          </cell>
          <cell r="S21">
            <v>-389.2</v>
          </cell>
          <cell r="V21">
            <v>-377.79</v>
          </cell>
          <cell r="Y21">
            <v>-373.21999999999997</v>
          </cell>
          <cell r="AB21">
            <v>-381.46315971640189</v>
          </cell>
          <cell r="AC21">
            <v>-373.98676800704607</v>
          </cell>
          <cell r="AD21">
            <v>-378.36967897147923</v>
          </cell>
          <cell r="AE21">
            <v>-377.26269470279107</v>
          </cell>
          <cell r="AF21">
            <v>-375.80762233077309</v>
          </cell>
          <cell r="AG21">
            <v>-398.26111229373259</v>
          </cell>
          <cell r="AH21" t="e">
            <v>#DIV/0!</v>
          </cell>
          <cell r="AI21">
            <v>-389.87078175892742</v>
          </cell>
          <cell r="AJ21">
            <v>-389.87205697316546</v>
          </cell>
          <cell r="AK21">
            <v>-387.46952257706408</v>
          </cell>
          <cell r="AL21" t="e">
            <v>#DIV/0!</v>
          </cell>
          <cell r="AM21">
            <v>-389.74946118038156</v>
          </cell>
          <cell r="AN21">
            <v>-388.60012514309193</v>
          </cell>
          <cell r="AO21">
            <v>-373.05107100379638</v>
          </cell>
          <cell r="AP21" t="e">
            <v>#DIV/0!</v>
          </cell>
        </row>
        <row r="22">
          <cell r="B22" t="str">
            <v xml:space="preserve">    External banks</v>
          </cell>
          <cell r="S22">
            <v>-5.8</v>
          </cell>
          <cell r="V22">
            <v>-0.22</v>
          </cell>
          <cell r="Y22">
            <v>-0.77</v>
          </cell>
          <cell r="AB22">
            <v>-0.5</v>
          </cell>
          <cell r="AC22">
            <v>-1.0879234400332869</v>
          </cell>
          <cell r="AD22">
            <v>-1.221358164626885</v>
          </cell>
          <cell r="AE22">
            <v>-1.0176191227742946</v>
          </cell>
          <cell r="AF22">
            <v>-0.33681507094996921</v>
          </cell>
          <cell r="AG22">
            <v>-0.33394550698021441</v>
          </cell>
          <cell r="AH22" t="e">
            <v>#DIV/0!</v>
          </cell>
          <cell r="AI22">
            <v>-0.38631504942823941</v>
          </cell>
          <cell r="AJ22">
            <v>-0.56261388582004968</v>
          </cell>
          <cell r="AK22">
            <v>-0.4033530854986585</v>
          </cell>
          <cell r="AL22" t="e">
            <v>#DIV/0!</v>
          </cell>
          <cell r="AM22">
            <v>-0.4033530854986585</v>
          </cell>
          <cell r="AN22">
            <v>-0.35546723675337533</v>
          </cell>
          <cell r="AO22">
            <v>-0.36048897370044625</v>
          </cell>
          <cell r="AP22" t="e">
            <v>#DIV/0!</v>
          </cell>
        </row>
        <row r="24">
          <cell r="B24" t="str">
            <v>NFA (Kshm, current exchange rate)</v>
          </cell>
          <cell r="C24" t="str">
            <v>|</v>
          </cell>
          <cell r="D24">
            <v>-6087.4287999999997</v>
          </cell>
          <cell r="E24">
            <v>-8473.197830000001</v>
          </cell>
          <cell r="F24">
            <v>-9305.1742399999966</v>
          </cell>
          <cell r="G24">
            <v>-10291.84016</v>
          </cell>
          <cell r="H24">
            <v>-8801.7941999999985</v>
          </cell>
          <cell r="I24">
            <v>-11295.686360000003</v>
          </cell>
          <cell r="J24">
            <v>-10649.446270000004</v>
          </cell>
          <cell r="K24">
            <v>-12228.762419999999</v>
          </cell>
          <cell r="L24">
            <v>8140.3139500000034</v>
          </cell>
          <cell r="M24">
            <v>19097.919719999994</v>
          </cell>
          <cell r="N24">
            <v>19517.9113</v>
          </cell>
          <cell r="O24">
            <v>21386.412240000001</v>
          </cell>
          <cell r="P24">
            <v>7854</v>
          </cell>
          <cell r="Q24">
            <v>6764</v>
          </cell>
          <cell r="R24">
            <v>5688</v>
          </cell>
          <cell r="S24">
            <v>8217</v>
          </cell>
          <cell r="T24">
            <v>5227</v>
          </cell>
          <cell r="U24">
            <v>3700</v>
          </cell>
          <cell r="V24">
            <v>2497</v>
          </cell>
          <cell r="W24">
            <v>56</v>
          </cell>
          <cell r="X24">
            <v>3261</v>
          </cell>
          <cell r="Y24">
            <v>2596</v>
          </cell>
          <cell r="Z24">
            <v>1062</v>
          </cell>
          <cell r="AA24">
            <v>592</v>
          </cell>
          <cell r="AB24">
            <v>2275</v>
          </cell>
          <cell r="AC24">
            <v>3381</v>
          </cell>
          <cell r="AD24">
            <v>2878</v>
          </cell>
          <cell r="AE24">
            <v>9321</v>
          </cell>
          <cell r="AF24">
            <v>12145</v>
          </cell>
          <cell r="AG24">
            <v>15961</v>
          </cell>
          <cell r="AI24">
            <v>22592</v>
          </cell>
          <cell r="AJ24">
            <v>22439.845924000001</v>
          </cell>
          <cell r="AK24">
            <v>23168</v>
          </cell>
          <cell r="AL24">
            <v>0</v>
          </cell>
          <cell r="AM24">
            <v>20338</v>
          </cell>
          <cell r="AN24">
            <v>23205</v>
          </cell>
          <cell r="AO24">
            <v>24819.89</v>
          </cell>
          <cell r="AP24">
            <v>0</v>
          </cell>
        </row>
        <row r="25">
          <cell r="B25" t="str">
            <v xml:space="preserve">  Assets </v>
          </cell>
          <cell r="D25">
            <v>6015.52</v>
          </cell>
          <cell r="E25">
            <v>4327</v>
          </cell>
          <cell r="F25">
            <v>4672.88</v>
          </cell>
          <cell r="G25">
            <v>4376</v>
          </cell>
          <cell r="H25">
            <v>5570.57</v>
          </cell>
          <cell r="I25">
            <v>6220.37</v>
          </cell>
          <cell r="J25">
            <v>13546.18</v>
          </cell>
          <cell r="K25">
            <v>11880.95</v>
          </cell>
          <cell r="L25">
            <v>33035</v>
          </cell>
          <cell r="M25">
            <v>43154</v>
          </cell>
          <cell r="N25">
            <v>40809</v>
          </cell>
          <cell r="O25">
            <v>39834</v>
          </cell>
          <cell r="P25">
            <v>27207</v>
          </cell>
          <cell r="Q25">
            <v>26131</v>
          </cell>
          <cell r="R25">
            <v>26252</v>
          </cell>
          <cell r="S25">
            <v>28188</v>
          </cell>
          <cell r="T25">
            <v>25724</v>
          </cell>
          <cell r="U25">
            <v>27125</v>
          </cell>
          <cell r="V25">
            <v>26933</v>
          </cell>
          <cell r="W25">
            <v>24512</v>
          </cell>
          <cell r="X25">
            <v>26545</v>
          </cell>
          <cell r="Y25">
            <v>26037</v>
          </cell>
          <cell r="Z25">
            <v>24443</v>
          </cell>
          <cell r="AA25">
            <v>23033</v>
          </cell>
          <cell r="AB25">
            <v>24669</v>
          </cell>
          <cell r="AC25">
            <v>26237</v>
          </cell>
          <cell r="AD25">
            <v>25834</v>
          </cell>
          <cell r="AE25">
            <v>32080</v>
          </cell>
          <cell r="AF25">
            <v>34582</v>
          </cell>
          <cell r="AG25">
            <v>39552</v>
          </cell>
          <cell r="AI25">
            <v>45397</v>
          </cell>
          <cell r="AJ25">
            <v>45531</v>
          </cell>
          <cell r="AK25">
            <v>45855</v>
          </cell>
          <cell r="AM25">
            <v>42557</v>
          </cell>
          <cell r="AN25">
            <v>45297</v>
          </cell>
          <cell r="AO25">
            <v>45893</v>
          </cell>
        </row>
        <row r="26">
          <cell r="B26" t="str">
            <v xml:space="preserve">    Gross reserves</v>
          </cell>
          <cell r="D26">
            <v>6015.52</v>
          </cell>
          <cell r="E26">
            <v>4327</v>
          </cell>
          <cell r="F26">
            <v>4672.88</v>
          </cell>
          <cell r="G26">
            <v>4376</v>
          </cell>
          <cell r="H26">
            <v>5570.57</v>
          </cell>
          <cell r="I26">
            <v>6220.37</v>
          </cell>
          <cell r="J26">
            <v>13546.18</v>
          </cell>
          <cell r="K26">
            <v>11880.95</v>
          </cell>
          <cell r="L26">
            <v>33035</v>
          </cell>
          <cell r="M26">
            <v>43154</v>
          </cell>
          <cell r="N26">
            <v>40809</v>
          </cell>
          <cell r="O26">
            <v>39834</v>
          </cell>
          <cell r="P26">
            <v>27207</v>
          </cell>
          <cell r="Q26">
            <v>26131</v>
          </cell>
          <cell r="R26">
            <v>26252</v>
          </cell>
          <cell r="S26">
            <v>28188</v>
          </cell>
          <cell r="T26">
            <v>25724</v>
          </cell>
          <cell r="U26">
            <v>27125</v>
          </cell>
          <cell r="V26">
            <v>26933</v>
          </cell>
          <cell r="W26">
            <v>24512</v>
          </cell>
          <cell r="X26">
            <v>26545</v>
          </cell>
          <cell r="Y26">
            <v>26037</v>
          </cell>
          <cell r="Z26">
            <v>24443</v>
          </cell>
          <cell r="AA26">
            <v>23033</v>
          </cell>
          <cell r="AB26">
            <v>24669</v>
          </cell>
          <cell r="AC26">
            <v>26237</v>
          </cell>
          <cell r="AD26">
            <v>25834</v>
          </cell>
          <cell r="AE26">
            <v>32080</v>
          </cell>
          <cell r="AF26">
            <v>34582</v>
          </cell>
          <cell r="AG26">
            <v>39552</v>
          </cell>
          <cell r="AI26">
            <v>45397</v>
          </cell>
          <cell r="AJ26">
            <v>45531</v>
          </cell>
          <cell r="AK26">
            <v>45855</v>
          </cell>
          <cell r="AM26">
            <v>42557</v>
          </cell>
          <cell r="AN26">
            <v>45297</v>
          </cell>
          <cell r="AO26">
            <v>45893</v>
          </cell>
        </row>
        <row r="27">
          <cell r="B27" t="str">
            <v xml:space="preserve">  Liabilities</v>
          </cell>
          <cell r="D27">
            <v>-12102.9488</v>
          </cell>
          <cell r="E27">
            <v>-12800.197830000001</v>
          </cell>
          <cell r="F27">
            <v>-13978.054239999998</v>
          </cell>
          <cell r="G27">
            <v>-14667.84016</v>
          </cell>
          <cell r="H27">
            <v>-14372.364199999998</v>
          </cell>
          <cell r="I27">
            <v>-17516.056360000002</v>
          </cell>
          <cell r="J27">
            <v>-24195.626270000004</v>
          </cell>
          <cell r="K27">
            <v>-24109.71242</v>
          </cell>
          <cell r="L27">
            <v>-24894.686049999997</v>
          </cell>
          <cell r="M27">
            <v>-24056.080280000006</v>
          </cell>
          <cell r="N27">
            <v>-21291.0887</v>
          </cell>
          <cell r="O27">
            <v>-18447.587759999999</v>
          </cell>
          <cell r="P27">
            <v>-19353</v>
          </cell>
          <cell r="Q27">
            <v>-19367</v>
          </cell>
          <cell r="R27">
            <v>-20564</v>
          </cell>
          <cell r="S27">
            <v>-19971</v>
          </cell>
          <cell r="T27">
            <v>-20497</v>
          </cell>
          <cell r="U27">
            <v>-23425</v>
          </cell>
          <cell r="V27">
            <v>-24436</v>
          </cell>
          <cell r="W27">
            <v>-24456</v>
          </cell>
          <cell r="X27">
            <v>-23284</v>
          </cell>
          <cell r="Y27">
            <v>-23441</v>
          </cell>
          <cell r="Z27">
            <v>-23381</v>
          </cell>
          <cell r="AA27">
            <v>-22441</v>
          </cell>
          <cell r="AB27">
            <v>-22394</v>
          </cell>
          <cell r="AC27">
            <v>-22856</v>
          </cell>
          <cell r="AD27">
            <v>-22956</v>
          </cell>
          <cell r="AE27">
            <v>-22759</v>
          </cell>
          <cell r="AF27">
            <v>-22437</v>
          </cell>
          <cell r="AG27">
            <v>-23591</v>
          </cell>
          <cell r="AI27">
            <v>-22805</v>
          </cell>
          <cell r="AJ27">
            <v>-23091.154075999999</v>
          </cell>
          <cell r="AK27">
            <v>-22687</v>
          </cell>
          <cell r="AM27">
            <v>-22219</v>
          </cell>
          <cell r="AN27">
            <v>-22092</v>
          </cell>
          <cell r="AO27">
            <v>-21073.11</v>
          </cell>
        </row>
        <row r="28">
          <cell r="B28" t="str">
            <v xml:space="preserve">    IMF (net)</v>
          </cell>
          <cell r="D28">
            <v>-11610.0288</v>
          </cell>
          <cell r="E28">
            <v>-12267.197830000001</v>
          </cell>
          <cell r="F28">
            <v>-13848.734239999998</v>
          </cell>
          <cell r="G28">
            <v>-14512.84016</v>
          </cell>
          <cell r="H28">
            <v>-14246.734199999999</v>
          </cell>
          <cell r="I28">
            <v>-17389.566360000001</v>
          </cell>
          <cell r="J28">
            <v>-23990.226270000003</v>
          </cell>
          <cell r="K28">
            <v>-23804.742419999999</v>
          </cell>
          <cell r="L28">
            <v>-24749.686049999997</v>
          </cell>
          <cell r="M28">
            <v>-23958.080280000006</v>
          </cell>
          <cell r="N28">
            <v>-21194.0887</v>
          </cell>
          <cell r="O28">
            <v>-18219.587759999999</v>
          </cell>
          <cell r="P28">
            <v>-19112</v>
          </cell>
          <cell r="Q28">
            <v>-19112</v>
          </cell>
          <cell r="R28">
            <v>-20331</v>
          </cell>
          <cell r="S28">
            <v>-19727</v>
          </cell>
          <cell r="T28">
            <v>-20248</v>
          </cell>
          <cell r="U28">
            <v>-23379</v>
          </cell>
          <cell r="V28">
            <v>-24423</v>
          </cell>
          <cell r="W28">
            <v>-24435</v>
          </cell>
          <cell r="X28">
            <v>-23226</v>
          </cell>
          <cell r="Y28">
            <v>-23396</v>
          </cell>
          <cell r="Z28">
            <v>-23351</v>
          </cell>
          <cell r="AA28">
            <v>-22412</v>
          </cell>
          <cell r="AB28">
            <v>-22367</v>
          </cell>
          <cell r="AC28">
            <v>-22791</v>
          </cell>
          <cell r="AD28">
            <v>-22882</v>
          </cell>
          <cell r="AE28">
            <v>-22698</v>
          </cell>
          <cell r="AF28">
            <v>-22417</v>
          </cell>
          <cell r="AG28">
            <v>-23571</v>
          </cell>
          <cell r="AI28">
            <v>-22783</v>
          </cell>
          <cell r="AJ28">
            <v>-23058</v>
          </cell>
          <cell r="AK28">
            <v>-22670</v>
          </cell>
          <cell r="AM28">
            <v>-22196</v>
          </cell>
          <cell r="AN28">
            <v>-22073</v>
          </cell>
          <cell r="AO28">
            <v>-21053</v>
          </cell>
        </row>
        <row r="29">
          <cell r="B29" t="str">
            <v xml:space="preserve">    External banks</v>
          </cell>
          <cell r="D29">
            <v>-492.92</v>
          </cell>
          <cell r="E29">
            <v>-533</v>
          </cell>
          <cell r="F29">
            <v>-129.32</v>
          </cell>
          <cell r="G29">
            <v>-155</v>
          </cell>
          <cell r="H29">
            <v>-125.63</v>
          </cell>
          <cell r="I29">
            <v>-126.49</v>
          </cell>
          <cell r="J29">
            <v>-205.4</v>
          </cell>
          <cell r="K29">
            <v>-304.97000000000003</v>
          </cell>
          <cell r="L29">
            <v>-145</v>
          </cell>
          <cell r="M29">
            <v>-98</v>
          </cell>
          <cell r="N29">
            <v>-97</v>
          </cell>
          <cell r="O29">
            <v>-228</v>
          </cell>
          <cell r="P29">
            <v>-241</v>
          </cell>
          <cell r="Q29">
            <v>-255</v>
          </cell>
          <cell r="R29">
            <v>-233</v>
          </cell>
          <cell r="S29">
            <v>-244</v>
          </cell>
          <cell r="T29">
            <v>-249</v>
          </cell>
          <cell r="U29">
            <v>-46</v>
          </cell>
          <cell r="V29">
            <v>-13</v>
          </cell>
          <cell r="W29">
            <v>-21</v>
          </cell>
          <cell r="X29">
            <v>-58</v>
          </cell>
          <cell r="Y29">
            <v>-45</v>
          </cell>
          <cell r="Z29">
            <v>-30</v>
          </cell>
          <cell r="AA29">
            <v>-29</v>
          </cell>
          <cell r="AB29">
            <v>-27</v>
          </cell>
          <cell r="AC29">
            <v>-65</v>
          </cell>
          <cell r="AD29">
            <v>-74</v>
          </cell>
          <cell r="AE29">
            <v>-61</v>
          </cell>
          <cell r="AF29">
            <v>-20</v>
          </cell>
          <cell r="AG29">
            <v>-20</v>
          </cell>
          <cell r="AI29">
            <v>-22</v>
          </cell>
          <cell r="AJ29">
            <v>-33.154076000000003</v>
          </cell>
          <cell r="AK29">
            <v>-17</v>
          </cell>
          <cell r="AM29">
            <v>-23</v>
          </cell>
          <cell r="AN29">
            <v>-19</v>
          </cell>
          <cell r="AO29">
            <v>-20.11</v>
          </cell>
        </row>
        <row r="31">
          <cell r="B31" t="str">
            <v>NFA (US$m, current exchange rates)</v>
          </cell>
          <cell r="D31">
            <v>-252.75821292144161</v>
          </cell>
          <cell r="E31">
            <v>-295.64542323796229</v>
          </cell>
          <cell r="F31">
            <v>-331.45167200968865</v>
          </cell>
          <cell r="G31">
            <v>-318.53420489012683</v>
          </cell>
          <cell r="H31">
            <v>-243.00922694643842</v>
          </cell>
          <cell r="I31">
            <v>-248.63936517719569</v>
          </cell>
          <cell r="J31">
            <v>-163.4855122812404</v>
          </cell>
          <cell r="K31">
            <v>-182.62787365591399</v>
          </cell>
          <cell r="L31">
            <v>119.42948870305167</v>
          </cell>
          <cell r="M31">
            <v>294.44834597594809</v>
          </cell>
          <cell r="N31">
            <v>348.78326125804142</v>
          </cell>
          <cell r="O31">
            <v>445.45745136429917</v>
          </cell>
          <cell r="P31">
            <v>175.15611061552187</v>
          </cell>
          <cell r="Q31">
            <v>152.11382900012825</v>
          </cell>
          <cell r="R31">
            <v>128.00403275715013</v>
          </cell>
          <cell r="S31">
            <v>188.67967853042484</v>
          </cell>
          <cell r="T31">
            <v>113.90281106994985</v>
          </cell>
          <cell r="U31">
            <v>68.467801628423331</v>
          </cell>
          <cell r="V31">
            <v>45.707486728903518</v>
          </cell>
          <cell r="W31">
            <v>1.0030449579079459</v>
          </cell>
          <cell r="X31">
            <v>58.947939262472914</v>
          </cell>
          <cell r="Y31">
            <v>46.800072111051009</v>
          </cell>
          <cell r="Z31">
            <v>19.135135135135158</v>
          </cell>
          <cell r="AA31">
            <v>10.651313422094233</v>
          </cell>
          <cell r="AB31">
            <v>40.668573471576678</v>
          </cell>
          <cell r="AC31">
            <v>56.794893331093533</v>
          </cell>
          <cell r="AD31">
            <v>49.289261859907583</v>
          </cell>
          <cell r="AE31">
            <v>159.63349888679568</v>
          </cell>
          <cell r="AF31">
            <v>208.21189782273274</v>
          </cell>
          <cell r="AG31">
            <v>274.24398625429552</v>
          </cell>
          <cell r="AI31">
            <v>393.45175896900031</v>
          </cell>
          <cell r="AJ31">
            <v>392.09935215795912</v>
          </cell>
          <cell r="AK31">
            <v>407.02740688685867</v>
          </cell>
          <cell r="AM31">
            <v>362.46658349670292</v>
          </cell>
          <cell r="AN31">
            <v>416.6816304543006</v>
          </cell>
          <cell r="AO31">
            <v>448.01245487364622</v>
          </cell>
        </row>
        <row r="32">
          <cell r="B32" t="str">
            <v xml:space="preserve">  Assets </v>
          </cell>
          <cell r="D32">
            <v>249.77246304600567</v>
          </cell>
          <cell r="E32">
            <v>150.97697138869503</v>
          </cell>
          <cell r="F32">
            <v>166.44867136852602</v>
          </cell>
          <cell r="G32">
            <v>135.43794490869698</v>
          </cell>
          <cell r="H32">
            <v>153.79817780231915</v>
          </cell>
          <cell r="I32">
            <v>136.92207792207793</v>
          </cell>
          <cell r="J32">
            <v>207.9548664415106</v>
          </cell>
          <cell r="K32">
            <v>177.43354241338116</v>
          </cell>
          <cell r="L32">
            <v>484.66842723004697</v>
          </cell>
          <cell r="M32">
            <v>665.34073388837498</v>
          </cell>
          <cell r="N32">
            <v>729.25303788420297</v>
          </cell>
          <cell r="O32">
            <v>829.70214538637788</v>
          </cell>
          <cell r="P32">
            <v>606.757359500446</v>
          </cell>
          <cell r="Q32">
            <v>587.65323264375365</v>
          </cell>
          <cell r="R32">
            <v>590.78091911756428</v>
          </cell>
          <cell r="S32">
            <v>647.25602755453508</v>
          </cell>
          <cell r="T32">
            <v>560.55785574199172</v>
          </cell>
          <cell r="U32">
            <v>501.94300518134713</v>
          </cell>
          <cell r="V32">
            <v>493.00750503386416</v>
          </cell>
          <cell r="W32">
            <v>439.04710728998748</v>
          </cell>
          <cell r="X32">
            <v>479.84454085321767</v>
          </cell>
          <cell r="Y32">
            <v>469.38885884261765</v>
          </cell>
          <cell r="Z32">
            <v>440.41441441441441</v>
          </cell>
          <cell r="AA32">
            <v>414.41165887009714</v>
          </cell>
          <cell r="AB32">
            <v>440.99034680014302</v>
          </cell>
          <cell r="AC32">
            <v>440.735763480598</v>
          </cell>
          <cell r="AD32">
            <v>442.4387737626306</v>
          </cell>
          <cell r="AE32">
            <v>549.40914540160986</v>
          </cell>
          <cell r="AF32">
            <v>592.86816389507976</v>
          </cell>
          <cell r="AG32">
            <v>679.58762886597935</v>
          </cell>
          <cell r="AI32">
            <v>790.61302681992333</v>
          </cell>
          <cell r="AJ32">
            <v>795.57924165647387</v>
          </cell>
          <cell r="AK32">
            <v>805.6043569922698</v>
          </cell>
          <cell r="AM32">
            <v>758.45660310105154</v>
          </cell>
          <cell r="AN32">
            <v>813.37762614472979</v>
          </cell>
          <cell r="AO32">
            <v>828.39350180505414</v>
          </cell>
        </row>
        <row r="33">
          <cell r="B33" t="str">
            <v xml:space="preserve">    Gross reserves (MS)</v>
          </cell>
          <cell r="D33">
            <v>249.77246304600567</v>
          </cell>
          <cell r="E33">
            <v>150.97697138869503</v>
          </cell>
          <cell r="F33">
            <v>166.44867136852602</v>
          </cell>
          <cell r="G33">
            <v>135.43794490869698</v>
          </cell>
          <cell r="H33">
            <v>153.79817780231915</v>
          </cell>
          <cell r="I33">
            <v>136.92207792207793</v>
          </cell>
          <cell r="J33">
            <v>207.9548664415106</v>
          </cell>
          <cell r="K33">
            <v>177.43354241338116</v>
          </cell>
          <cell r="L33">
            <v>484.66842723004697</v>
          </cell>
          <cell r="M33">
            <v>665.34073388837498</v>
          </cell>
          <cell r="N33">
            <v>729.25303788420297</v>
          </cell>
          <cell r="O33">
            <v>829.70214538637788</v>
          </cell>
          <cell r="P33">
            <v>606.757359500446</v>
          </cell>
          <cell r="Q33">
            <v>587.65323264375365</v>
          </cell>
          <cell r="R33">
            <v>590.78091911756428</v>
          </cell>
          <cell r="S33">
            <v>647.25602755453508</v>
          </cell>
          <cell r="T33">
            <v>560.55785574199172</v>
          </cell>
          <cell r="U33">
            <v>501.94300518134713</v>
          </cell>
          <cell r="V33">
            <v>493.00750503386416</v>
          </cell>
          <cell r="W33">
            <v>439.04710728998748</v>
          </cell>
          <cell r="X33">
            <v>479.84454085321767</v>
          </cell>
          <cell r="Y33">
            <v>469.38885884261765</v>
          </cell>
          <cell r="Z33">
            <v>440.41441441441441</v>
          </cell>
          <cell r="AA33">
            <v>414.41165887009714</v>
          </cell>
          <cell r="AB33">
            <v>440.99034680014302</v>
          </cell>
          <cell r="AC33">
            <v>440.735763480598</v>
          </cell>
          <cell r="AD33">
            <v>442.4387737626306</v>
          </cell>
          <cell r="AE33">
            <v>549.40914540160986</v>
          </cell>
          <cell r="AF33">
            <v>592.86816389507976</v>
          </cell>
          <cell r="AG33">
            <v>679.58762886597935</v>
          </cell>
          <cell r="AI33">
            <v>790.61302681992333</v>
          </cell>
          <cell r="AJ33">
            <v>795.57924165647387</v>
          </cell>
          <cell r="AK33">
            <v>805.6043569922698</v>
          </cell>
          <cell r="AM33">
            <v>758.45660310105154</v>
          </cell>
          <cell r="AN33">
            <v>813.37762614472979</v>
          </cell>
          <cell r="AO33">
            <v>828.39350180505414</v>
          </cell>
        </row>
        <row r="34">
          <cell r="B34" t="str">
            <v xml:space="preserve">  Liabilities</v>
          </cell>
          <cell r="D34">
            <v>-502.53067596744728</v>
          </cell>
          <cell r="E34">
            <v>-446.62239462665735</v>
          </cell>
          <cell r="F34">
            <v>-497.90034337821464</v>
          </cell>
          <cell r="G34">
            <v>-453.97214979882381</v>
          </cell>
          <cell r="H34">
            <v>-396.80740474875756</v>
          </cell>
          <cell r="I34">
            <v>-385.56144309927362</v>
          </cell>
          <cell r="J34">
            <v>-371.44037872275101</v>
          </cell>
          <cell r="K34">
            <v>-360.06141606929515</v>
          </cell>
          <cell r="L34">
            <v>-365.2389385269953</v>
          </cell>
          <cell r="M34">
            <v>-370.8923879124269</v>
          </cell>
          <cell r="N34">
            <v>-380.46977662616155</v>
          </cell>
          <cell r="O34">
            <v>-384.2446940220787</v>
          </cell>
          <cell r="P34">
            <v>-431.60124888492413</v>
          </cell>
          <cell r="Q34">
            <v>-435.53940364362541</v>
          </cell>
          <cell r="R34">
            <v>-462.77688636041415</v>
          </cell>
          <cell r="S34">
            <v>-458.57634902411024</v>
          </cell>
          <cell r="T34">
            <v>-446.65504467204187</v>
          </cell>
          <cell r="U34">
            <v>-433.4752035529238</v>
          </cell>
          <cell r="V34">
            <v>-447.30001830496064</v>
          </cell>
          <cell r="W34">
            <v>-438.04406233207953</v>
          </cell>
          <cell r="X34">
            <v>-420.89660159074475</v>
          </cell>
          <cell r="Y34">
            <v>-422.58878673156664</v>
          </cell>
          <cell r="Z34">
            <v>-421.27927927927925</v>
          </cell>
          <cell r="AA34">
            <v>-403.76034544800291</v>
          </cell>
          <cell r="AB34">
            <v>-400.32177332856634</v>
          </cell>
          <cell r="AC34">
            <v>-383.94087014950446</v>
          </cell>
          <cell r="AD34">
            <v>-393.14951190272302</v>
          </cell>
          <cell r="AE34">
            <v>-389.77564651481418</v>
          </cell>
          <cell r="AF34">
            <v>-384.65626607234702</v>
          </cell>
          <cell r="AG34">
            <v>-405.34364261168383</v>
          </cell>
          <cell r="AI34">
            <v>-397.16126785092302</v>
          </cell>
          <cell r="AJ34">
            <v>-403.47988949851475</v>
          </cell>
          <cell r="AK34">
            <v>-398.57695010541113</v>
          </cell>
          <cell r="AM34">
            <v>-395.99001960434862</v>
          </cell>
          <cell r="AN34">
            <v>-396.69599569042919</v>
          </cell>
          <cell r="AO34">
            <v>-380.38104693140792</v>
          </cell>
        </row>
        <row r="35">
          <cell r="B35" t="str">
            <v xml:space="preserve">    IMF (net)</v>
          </cell>
          <cell r="D35">
            <v>-482.06397608370702</v>
          </cell>
          <cell r="E35">
            <v>-428.02504640614097</v>
          </cell>
          <cell r="F35">
            <v>-493.29394599985744</v>
          </cell>
          <cell r="G35">
            <v>-449.17487341380371</v>
          </cell>
          <cell r="H35">
            <v>-393.33887907233571</v>
          </cell>
          <cell r="I35">
            <v>-382.77715958617654</v>
          </cell>
          <cell r="J35">
            <v>-368.28717024869513</v>
          </cell>
          <cell r="K35">
            <v>-355.50690591397853</v>
          </cell>
          <cell r="L35">
            <v>-363.11159110915492</v>
          </cell>
          <cell r="M35">
            <v>-369.38144125809447</v>
          </cell>
          <cell r="N35">
            <v>-378.73639563974268</v>
          </cell>
          <cell r="O35">
            <v>-379.49568339929181</v>
          </cell>
          <cell r="P35">
            <v>-426.22658340767168</v>
          </cell>
          <cell r="Q35">
            <v>-429.80477525878911</v>
          </cell>
          <cell r="R35">
            <v>-457.53340189620599</v>
          </cell>
          <cell r="S35">
            <v>-452.9735935706085</v>
          </cell>
          <cell r="T35">
            <v>-441.22902593157551</v>
          </cell>
          <cell r="U35">
            <v>-432.62398223538122</v>
          </cell>
          <cell r="V35">
            <v>-447.0620538165843</v>
          </cell>
          <cell r="W35">
            <v>-437.66792047286407</v>
          </cell>
          <cell r="X35">
            <v>-419.84815618221256</v>
          </cell>
          <cell r="Y35">
            <v>-421.77753740760772</v>
          </cell>
          <cell r="Z35">
            <v>-420.73873873873873</v>
          </cell>
          <cell r="AA35">
            <v>-403.23857502698814</v>
          </cell>
          <cell r="AB35">
            <v>-399.83911333571683</v>
          </cell>
          <cell r="AC35">
            <v>-382.84898370569459</v>
          </cell>
          <cell r="AD35">
            <v>-391.88217160472681</v>
          </cell>
          <cell r="AE35">
            <v>-388.73094707997944</v>
          </cell>
          <cell r="AF35">
            <v>-384.31338933653353</v>
          </cell>
          <cell r="AG35">
            <v>-405</v>
          </cell>
          <cell r="AI35">
            <v>-396.77812608847091</v>
          </cell>
          <cell r="AJ35">
            <v>-402.90057662065351</v>
          </cell>
          <cell r="AK35">
            <v>-398.27828531271962</v>
          </cell>
          <cell r="AM35">
            <v>-395.58011049723757</v>
          </cell>
          <cell r="AN35">
            <v>-396.35482133237565</v>
          </cell>
          <cell r="AO35">
            <v>-380.01805054151623</v>
          </cell>
        </row>
        <row r="36">
          <cell r="B36" t="str">
            <v xml:space="preserve">    External banks</v>
          </cell>
          <cell r="D36">
            <v>-20.466699883740244</v>
          </cell>
          <cell r="E36">
            <v>-18.597348220516398</v>
          </cell>
          <cell r="F36">
            <v>-4.6063973783571983</v>
          </cell>
          <cell r="G36">
            <v>-4.7972763850201172</v>
          </cell>
          <cell r="H36">
            <v>-3.4685256764218662</v>
          </cell>
          <cell r="I36">
            <v>-2.7842835130970722</v>
          </cell>
          <cell r="J36">
            <v>-3.1532084740558797</v>
          </cell>
          <cell r="K36">
            <v>-4.5545101553166081</v>
          </cell>
          <cell r="L36">
            <v>-2.1273474178403755</v>
          </cell>
          <cell r="M36">
            <v>-1.5109466543324084</v>
          </cell>
          <cell r="N36">
            <v>-1.7333809864188705</v>
          </cell>
          <cell r="O36">
            <v>-4.74901062278692</v>
          </cell>
          <cell r="P36">
            <v>-5.3746654772524529</v>
          </cell>
          <cell r="Q36">
            <v>-5.7346283848362924</v>
          </cell>
          <cell r="R36">
            <v>-5.2434844642081551</v>
          </cell>
          <cell r="S36">
            <v>-5.6027554535017225</v>
          </cell>
          <cell r="T36">
            <v>-5.4260187404663327</v>
          </cell>
          <cell r="U36">
            <v>-0.85122131754256103</v>
          </cell>
          <cell r="V36">
            <v>-0.23796448837634998</v>
          </cell>
          <cell r="W36">
            <v>-0.37614185921547555</v>
          </cell>
          <cell r="X36">
            <v>-1.0484454085321764</v>
          </cell>
          <cell r="Y36">
            <v>-0.81124932395889671</v>
          </cell>
          <cell r="Z36">
            <v>-0.54054054054054057</v>
          </cell>
          <cell r="AA36">
            <v>-0.52177042101475357</v>
          </cell>
          <cell r="AB36">
            <v>-0.48265999284948163</v>
          </cell>
          <cell r="AC36">
            <v>-1.0918864438098437</v>
          </cell>
          <cell r="AD36">
            <v>-1.2673402979962323</v>
          </cell>
          <cell r="AE36">
            <v>-1.044699434834732</v>
          </cell>
          <cell r="AF36">
            <v>-0.34287673581347505</v>
          </cell>
          <cell r="AG36">
            <v>-0.3436426116838488</v>
          </cell>
          <cell r="AI36">
            <v>-0.38314176245210729</v>
          </cell>
          <cell r="AJ36">
            <v>-0.57931287786126162</v>
          </cell>
          <cell r="AK36">
            <v>-0.29866479269149682</v>
          </cell>
          <cell r="AM36">
            <v>-0.4099091071110319</v>
          </cell>
          <cell r="AN36">
            <v>-0.34117435805351054</v>
          </cell>
          <cell r="AO36">
            <v>-0.36299638989169675</v>
          </cell>
        </row>
        <row r="38">
          <cell r="B38" t="str">
            <v>NIR (US$m, current exchange rates)</v>
          </cell>
          <cell r="AC38">
            <v>75.394893331093527</v>
          </cell>
          <cell r="AD38">
            <v>67.889261859907577</v>
          </cell>
          <cell r="AE38">
            <v>178.23349888679567</v>
          </cell>
          <cell r="AF38">
            <v>226.81189782273273</v>
          </cell>
          <cell r="AG38">
            <v>292.74398625429552</v>
          </cell>
          <cell r="AI38">
            <v>411.95175896900031</v>
          </cell>
          <cell r="AJ38">
            <v>410.75935215795909</v>
          </cell>
          <cell r="AK38">
            <v>425.68740688685864</v>
          </cell>
          <cell r="AM38">
            <v>381.12658349670289</v>
          </cell>
          <cell r="AN38">
            <v>435.34163045430057</v>
          </cell>
          <cell r="AO38">
            <v>466.67245487364619</v>
          </cell>
        </row>
        <row r="39">
          <cell r="B39" t="str">
            <v>NFA plus:</v>
          </cell>
          <cell r="AC39">
            <v>56.794893331093533</v>
          </cell>
          <cell r="AD39">
            <v>49.289261859907583</v>
          </cell>
          <cell r="AE39">
            <v>159.63349888679568</v>
          </cell>
          <cell r="AF39">
            <v>208.21189782273274</v>
          </cell>
          <cell r="AG39">
            <v>274.24398625429552</v>
          </cell>
          <cell r="AI39">
            <v>393.45175896900031</v>
          </cell>
          <cell r="AJ39">
            <v>392.09935215795912</v>
          </cell>
          <cell r="AK39">
            <v>407.02740688685867</v>
          </cell>
          <cell r="AM39">
            <v>362.46658349670292</v>
          </cell>
          <cell r="AN39">
            <v>416.6816304543006</v>
          </cell>
          <cell r="AO39">
            <v>448.01245487364622</v>
          </cell>
        </row>
        <row r="40">
          <cell r="B40" t="str">
            <v xml:space="preserve">  Crown Agents</v>
          </cell>
          <cell r="AC40">
            <v>0.7</v>
          </cell>
          <cell r="AD40">
            <v>0.7</v>
          </cell>
          <cell r="AE40">
            <v>0.7</v>
          </cell>
          <cell r="AF40">
            <v>0.7</v>
          </cell>
          <cell r="AG40">
            <v>0.69</v>
          </cell>
          <cell r="AI40">
            <v>0.69</v>
          </cell>
          <cell r="AJ40">
            <v>0.7</v>
          </cell>
          <cell r="AK40">
            <v>0.7</v>
          </cell>
          <cell r="AM40">
            <v>0.7</v>
          </cell>
          <cell r="AN40">
            <v>0.7</v>
          </cell>
          <cell r="AO40">
            <v>0.7</v>
          </cell>
        </row>
        <row r="41">
          <cell r="B41" t="str">
            <v xml:space="preserve">  IMF Reserve Tranche</v>
          </cell>
          <cell r="AC41">
            <v>17.899999999999999</v>
          </cell>
          <cell r="AD41">
            <v>17.899999999999999</v>
          </cell>
          <cell r="AE41">
            <v>17.899999999999999</v>
          </cell>
          <cell r="AF41">
            <v>17.899999999999999</v>
          </cell>
          <cell r="AG41">
            <v>17.809999999999999</v>
          </cell>
          <cell r="AI41">
            <v>17.809999999999999</v>
          </cell>
          <cell r="AJ41">
            <v>17.96</v>
          </cell>
          <cell r="AK41">
            <v>17.96</v>
          </cell>
          <cell r="AM41">
            <v>17.96</v>
          </cell>
          <cell r="AN41">
            <v>17.96</v>
          </cell>
          <cell r="AO41">
            <v>17.96</v>
          </cell>
        </row>
        <row r="42">
          <cell r="B42" t="str">
            <v>BOP gross reserves figure (includes everything)</v>
          </cell>
        </row>
        <row r="44">
          <cell r="B44" t="str">
            <v>Memorandum:</v>
          </cell>
        </row>
        <row r="45">
          <cell r="B45" t="str">
            <v>IMF Credit (SDR million) /1</v>
          </cell>
          <cell r="D45">
            <v>338.88</v>
          </cell>
          <cell r="E45">
            <v>325.649</v>
          </cell>
          <cell r="F45">
            <v>344.839</v>
          </cell>
          <cell r="G45">
            <v>313.85899999999998</v>
          </cell>
          <cell r="H45">
            <v>286.07900000000001</v>
          </cell>
          <cell r="I45">
            <v>273.24900000000002</v>
          </cell>
          <cell r="J45">
            <v>262.38900000000001</v>
          </cell>
          <cell r="K45">
            <v>250.62899999999999</v>
          </cell>
          <cell r="L45">
            <v>264.33499999999998</v>
          </cell>
          <cell r="M45">
            <v>261.49400000000003</v>
          </cell>
          <cell r="N45">
            <v>261.49400000000003</v>
          </cell>
          <cell r="O45">
            <v>258.654</v>
          </cell>
          <cell r="P45">
            <v>291.96455850901316</v>
          </cell>
          <cell r="Q45">
            <v>291.07523606457511</v>
          </cell>
          <cell r="R45">
            <v>306.14365306429755</v>
          </cell>
          <cell r="S45">
            <v>290.27369040612126</v>
          </cell>
          <cell r="T45">
            <v>280.52091992241617</v>
          </cell>
          <cell r="U45">
            <v>274.53029591357443</v>
          </cell>
          <cell r="V45">
            <v>284.98249708284715</v>
          </cell>
          <cell r="W45">
            <v>280.63626966808317</v>
          </cell>
          <cell r="X45">
            <v>281.32267441860466</v>
          </cell>
          <cell r="Y45">
            <v>279.99042604116801</v>
          </cell>
          <cell r="Z45">
            <v>281.54087292018329</v>
          </cell>
          <cell r="AA45">
            <v>271.33171912832933</v>
          </cell>
          <cell r="AB45">
            <v>268.99579073962718</v>
          </cell>
          <cell r="AC45">
            <v>263.72367507521409</v>
          </cell>
          <cell r="AD45">
            <v>266.81436567164178</v>
          </cell>
          <cell r="AE45">
            <v>266.03375527426164</v>
          </cell>
          <cell r="AF45">
            <v>265.00768412341881</v>
          </cell>
          <cell r="AG45">
            <v>280.84117717145239</v>
          </cell>
          <cell r="AH45" t="e">
            <v>#DIV/0!</v>
          </cell>
          <cell r="AI45">
            <v>274.92458066851697</v>
          </cell>
          <cell r="AJ45">
            <v>274.92547990938357</v>
          </cell>
          <cell r="AK45">
            <v>273.23128841750031</v>
          </cell>
          <cell r="AL45" t="e">
            <v>#DIV/0!</v>
          </cell>
          <cell r="AM45">
            <v>274.8390292223873</v>
          </cell>
          <cell r="AN45">
            <v>274.02855369335816</v>
          </cell>
          <cell r="AO45">
            <v>263.06385105585406</v>
          </cell>
          <cell r="AP45" t="e">
            <v>#DIV/0!</v>
          </cell>
        </row>
        <row r="46">
          <cell r="B46" t="str">
            <v>Constant exchange rate (K Sh/US$)</v>
          </cell>
          <cell r="Q46">
            <v>55.757599999999996</v>
          </cell>
          <cell r="R46">
            <v>55.757599999999996</v>
          </cell>
          <cell r="S46">
            <v>55.757599999999996</v>
          </cell>
          <cell r="T46">
            <v>55.757599999999996</v>
          </cell>
          <cell r="U46">
            <v>55.757599999999996</v>
          </cell>
          <cell r="V46">
            <v>55.757599999999996</v>
          </cell>
          <cell r="W46">
            <v>55.757599999999996</v>
          </cell>
          <cell r="X46">
            <v>55.757599999999996</v>
          </cell>
          <cell r="Y46">
            <v>55.757599999999996</v>
          </cell>
          <cell r="Z46">
            <v>55.757599999999996</v>
          </cell>
          <cell r="AA46">
            <v>55.757599999999996</v>
          </cell>
          <cell r="AB46">
            <v>55.757599999999996</v>
          </cell>
          <cell r="AC46">
            <v>55.757599999999996</v>
          </cell>
          <cell r="AD46">
            <v>55.757599999999996</v>
          </cell>
          <cell r="AE46">
            <v>55.757599999999996</v>
          </cell>
          <cell r="AF46">
            <v>55.757599999999996</v>
          </cell>
          <cell r="AG46">
            <v>55.757599999999996</v>
          </cell>
          <cell r="AI46">
            <v>55.757599999999996</v>
          </cell>
          <cell r="AJ46">
            <v>55.757599999999996</v>
          </cell>
          <cell r="AK46">
            <v>55.757599999999996</v>
          </cell>
          <cell r="AM46">
            <v>55.757599999999996</v>
          </cell>
          <cell r="AN46">
            <v>55.757599999999996</v>
          </cell>
          <cell r="AO46">
            <v>55.757599999999996</v>
          </cell>
        </row>
        <row r="47">
          <cell r="B47" t="str">
            <v>Constant exchange rate (K Sh/SDR)</v>
          </cell>
          <cell r="AB47">
            <v>79.069900000000004</v>
          </cell>
          <cell r="AC47">
            <v>79.069900000000004</v>
          </cell>
          <cell r="AD47">
            <v>79.069900000000004</v>
          </cell>
          <cell r="AE47">
            <v>79.069900000000004</v>
          </cell>
          <cell r="AF47">
            <v>79.069900000000004</v>
          </cell>
          <cell r="AG47">
            <v>79.069900000000004</v>
          </cell>
          <cell r="AH47">
            <v>79.069900000000004</v>
          </cell>
          <cell r="AI47">
            <v>79.069900000000004</v>
          </cell>
          <cell r="AJ47">
            <v>79.069900000000004</v>
          </cell>
          <cell r="AK47">
            <v>79.069900000000004</v>
          </cell>
          <cell r="AL47">
            <v>79.069900000000004</v>
          </cell>
          <cell r="AM47">
            <v>79.069900000000004</v>
          </cell>
          <cell r="AN47">
            <v>79.069900000000004</v>
          </cell>
          <cell r="AO47">
            <v>79.069900000000004</v>
          </cell>
          <cell r="AP47">
            <v>79.069900000000004</v>
          </cell>
        </row>
        <row r="48">
          <cell r="B48" t="str">
            <v>Constant exchange rate (US$/SDR)</v>
          </cell>
          <cell r="AB48">
            <v>1.4181008508257171</v>
          </cell>
          <cell r="AC48">
            <v>1.4181008508257171</v>
          </cell>
          <cell r="AD48">
            <v>1.4181008508257171</v>
          </cell>
          <cell r="AE48">
            <v>1.4181008508257171</v>
          </cell>
          <cell r="AF48">
            <v>1.4181008508257171</v>
          </cell>
          <cell r="AG48">
            <v>1.4181008508257171</v>
          </cell>
          <cell r="AH48" t="e">
            <v>#DIV/0!</v>
          </cell>
          <cell r="AI48">
            <v>1.4181008508257171</v>
          </cell>
          <cell r="AJ48">
            <v>1.4181008508257171</v>
          </cell>
          <cell r="AK48">
            <v>1.4181008508257171</v>
          </cell>
          <cell r="AL48" t="e">
            <v>#DIV/0!</v>
          </cell>
          <cell r="AM48">
            <v>1.4181008508257171</v>
          </cell>
          <cell r="AN48">
            <v>1.4181008508257171</v>
          </cell>
          <cell r="AO48">
            <v>1.4181008508257171</v>
          </cell>
          <cell r="AP48" t="e">
            <v>#DIV/0!</v>
          </cell>
        </row>
        <row r="49">
          <cell r="B49" t="str">
            <v>Current exchange rate (K Sh/US$)</v>
          </cell>
          <cell r="D49">
            <v>24.084</v>
          </cell>
          <cell r="E49">
            <v>28.66</v>
          </cell>
          <cell r="F49">
            <v>28.074000000000002</v>
          </cell>
          <cell r="G49">
            <v>32.31</v>
          </cell>
          <cell r="H49">
            <v>36.22</v>
          </cell>
          <cell r="I49">
            <v>45.43</v>
          </cell>
          <cell r="J49">
            <v>65.14</v>
          </cell>
          <cell r="K49">
            <v>66.959999999999994</v>
          </cell>
          <cell r="L49">
            <v>68.16</v>
          </cell>
          <cell r="M49">
            <v>64.86</v>
          </cell>
          <cell r="N49">
            <v>55.96</v>
          </cell>
          <cell r="O49">
            <v>48.01</v>
          </cell>
          <cell r="P49">
            <v>44.84</v>
          </cell>
          <cell r="Q49">
            <v>44.466700000000003</v>
          </cell>
          <cell r="R49">
            <v>44.436100000000003</v>
          </cell>
          <cell r="S49">
            <v>43.55</v>
          </cell>
          <cell r="T49">
            <v>45.89</v>
          </cell>
          <cell r="U49">
            <v>54.04</v>
          </cell>
          <cell r="V49">
            <v>54.63</v>
          </cell>
          <cell r="W49">
            <v>55.83</v>
          </cell>
          <cell r="X49">
            <v>55.32</v>
          </cell>
          <cell r="Y49">
            <v>55.47</v>
          </cell>
          <cell r="Z49">
            <v>55.5</v>
          </cell>
          <cell r="AA49">
            <v>55.58</v>
          </cell>
          <cell r="AB49">
            <v>55.94</v>
          </cell>
          <cell r="AC49">
            <v>59.53</v>
          </cell>
          <cell r="AD49">
            <v>58.39</v>
          </cell>
          <cell r="AE49">
            <v>58.39</v>
          </cell>
          <cell r="AF49">
            <v>58.33</v>
          </cell>
          <cell r="AG49">
            <v>58.2</v>
          </cell>
          <cell r="AI49">
            <v>57.42</v>
          </cell>
          <cell r="AJ49">
            <v>57.23</v>
          </cell>
          <cell r="AK49">
            <v>56.92</v>
          </cell>
          <cell r="AM49">
            <v>56.11</v>
          </cell>
          <cell r="AN49">
            <v>55.69</v>
          </cell>
          <cell r="AO49">
            <v>55.4</v>
          </cell>
        </row>
        <row r="50">
          <cell r="B50" t="str">
            <v>Current exchange rate (K Sh/SDR)</v>
          </cell>
          <cell r="D50">
            <v>34.26</v>
          </cell>
          <cell r="E50">
            <v>37.67</v>
          </cell>
          <cell r="F50">
            <v>40.159999999999997</v>
          </cell>
          <cell r="G50">
            <v>46.24</v>
          </cell>
          <cell r="H50">
            <v>49.8</v>
          </cell>
          <cell r="I50">
            <v>63.64</v>
          </cell>
          <cell r="J50">
            <v>91.43</v>
          </cell>
          <cell r="K50">
            <v>94.98</v>
          </cell>
          <cell r="L50">
            <v>93.63</v>
          </cell>
          <cell r="M50">
            <v>91.62</v>
          </cell>
          <cell r="N50">
            <v>81.05</v>
          </cell>
          <cell r="O50">
            <v>70.44</v>
          </cell>
          <cell r="P50">
            <v>65.459999999999994</v>
          </cell>
          <cell r="Q50">
            <v>65.66</v>
          </cell>
          <cell r="R50">
            <v>66.41</v>
          </cell>
          <cell r="S50">
            <v>67.959999999999994</v>
          </cell>
          <cell r="T50">
            <v>72.180000000000007</v>
          </cell>
          <cell r="U50">
            <v>85.16</v>
          </cell>
          <cell r="V50">
            <v>85.7</v>
          </cell>
          <cell r="W50">
            <v>87.07</v>
          </cell>
          <cell r="X50">
            <v>82.56</v>
          </cell>
          <cell r="Y50">
            <v>83.56</v>
          </cell>
          <cell r="Z50">
            <v>82.94</v>
          </cell>
          <cell r="AA50">
            <v>82.6</v>
          </cell>
          <cell r="AB50">
            <v>83.15</v>
          </cell>
          <cell r="AC50">
            <v>86.42</v>
          </cell>
          <cell r="AD50">
            <v>85.76</v>
          </cell>
          <cell r="AE50">
            <v>85.32</v>
          </cell>
          <cell r="AF50">
            <v>84.59</v>
          </cell>
          <cell r="AG50">
            <v>83.93</v>
          </cell>
          <cell r="AI50">
            <v>82.87</v>
          </cell>
          <cell r="AJ50">
            <v>83.87</v>
          </cell>
          <cell r="AK50">
            <v>82.97</v>
          </cell>
          <cell r="AM50">
            <v>80.760000000000005</v>
          </cell>
          <cell r="AN50">
            <v>80.55</v>
          </cell>
          <cell r="AO50">
            <v>80.03</v>
          </cell>
        </row>
        <row r="52">
          <cell r="B52" t="str">
            <v>1/  Total Fund credit and loans outstanding; CBK Banking Survey includes IMF A/c No 1</v>
          </cell>
        </row>
        <row r="54">
          <cell r="B54" t="str">
            <v>Sources: CBK Balance Sheet</v>
          </cell>
        </row>
        <row r="56">
          <cell r="B56" t="str">
            <v>b) Commercial banks</v>
          </cell>
        </row>
      </sheetData>
      <sheetData sheetId="2" refreshError="1"/>
      <sheetData sheetId="3" refreshError="1">
        <row r="1">
          <cell r="BO1" t="str">
            <v>Table 2. Kenya: Monetary Survey, 1997-2000 1/</v>
          </cell>
        </row>
        <row r="3">
          <cell r="D3" t="str">
            <v>1990</v>
          </cell>
          <cell r="E3" t="str">
            <v>1991</v>
          </cell>
          <cell r="F3" t="str">
            <v>1991</v>
          </cell>
          <cell r="G3" t="str">
            <v>1992</v>
          </cell>
          <cell r="H3" t="str">
            <v>1992</v>
          </cell>
          <cell r="I3" t="str">
            <v>1993</v>
          </cell>
          <cell r="J3" t="str">
            <v>1993</v>
          </cell>
          <cell r="K3" t="str">
            <v>1993</v>
          </cell>
          <cell r="L3" t="str">
            <v>1993</v>
          </cell>
          <cell r="M3" t="str">
            <v>1994</v>
          </cell>
          <cell r="N3" t="str">
            <v>1994</v>
          </cell>
          <cell r="O3" t="str">
            <v>1994</v>
          </cell>
          <cell r="P3" t="str">
            <v>1994</v>
          </cell>
          <cell r="Q3" t="str">
            <v>1995</v>
          </cell>
          <cell r="R3" t="str">
            <v>1995</v>
          </cell>
          <cell r="S3" t="str">
            <v>1995</v>
          </cell>
          <cell r="T3" t="str">
            <v>1995</v>
          </cell>
          <cell r="U3" t="str">
            <v>1995</v>
          </cell>
          <cell r="V3" t="str">
            <v>1995</v>
          </cell>
          <cell r="W3" t="str">
            <v>1995</v>
          </cell>
          <cell r="X3" t="str">
            <v>1995</v>
          </cell>
          <cell r="Y3" t="str">
            <v>1995</v>
          </cell>
          <cell r="Z3" t="str">
            <v>1995</v>
          </cell>
          <cell r="AA3" t="str">
            <v>1995</v>
          </cell>
          <cell r="AB3" t="str">
            <v>1995</v>
          </cell>
          <cell r="AC3" t="str">
            <v>1996</v>
          </cell>
          <cell r="AD3" t="str">
            <v>1996</v>
          </cell>
          <cell r="AE3" t="str">
            <v>1996</v>
          </cell>
          <cell r="AF3" t="str">
            <v>1996</v>
          </cell>
          <cell r="AG3" t="str">
            <v>1996</v>
          </cell>
          <cell r="AI3" t="str">
            <v>1996</v>
          </cell>
          <cell r="AJ3" t="str">
            <v>1996</v>
          </cell>
          <cell r="AK3" t="str">
            <v>1996</v>
          </cell>
          <cell r="AL3" t="str">
            <v>1996</v>
          </cell>
          <cell r="AM3" t="str">
            <v>1996</v>
          </cell>
          <cell r="AN3" t="str">
            <v>1996</v>
          </cell>
          <cell r="AO3" t="str">
            <v>1996</v>
          </cell>
          <cell r="AP3" t="str">
            <v>1996</v>
          </cell>
          <cell r="AQ3" t="str">
            <v>1996</v>
          </cell>
          <cell r="AR3" t="str">
            <v>1997</v>
          </cell>
          <cell r="AS3" t="str">
            <v>1997</v>
          </cell>
          <cell r="AT3" t="str">
            <v>1997</v>
          </cell>
          <cell r="AU3" t="str">
            <v>1997</v>
          </cell>
          <cell r="AV3" t="str">
            <v>1997</v>
          </cell>
          <cell r="AW3" t="str">
            <v>1997</v>
          </cell>
          <cell r="AX3" t="str">
            <v>1997</v>
          </cell>
          <cell r="AY3" t="str">
            <v>1997</v>
          </cell>
          <cell r="AZ3" t="str">
            <v>1997</v>
          </cell>
          <cell r="BA3" t="str">
            <v>1997</v>
          </cell>
          <cell r="BB3" t="str">
            <v>1997</v>
          </cell>
          <cell r="BC3" t="str">
            <v>1997</v>
          </cell>
          <cell r="BD3" t="str">
            <v>1997</v>
          </cell>
          <cell r="BI3" t="str">
            <v>1997</v>
          </cell>
          <cell r="BJ3" t="str">
            <v>1997</v>
          </cell>
          <cell r="BK3">
            <v>1997</v>
          </cell>
          <cell r="BL3">
            <v>1997</v>
          </cell>
          <cell r="BM3">
            <v>1997</v>
          </cell>
          <cell r="BN3">
            <v>1997</v>
          </cell>
          <cell r="BO3">
            <v>1997</v>
          </cell>
          <cell r="BP3" t="str">
            <v>1997</v>
          </cell>
          <cell r="BQ3" t="str">
            <v>1997</v>
          </cell>
        </row>
        <row r="4">
          <cell r="D4" t="str">
            <v>Dec.</v>
          </cell>
          <cell r="E4" t="str">
            <v>Jun.</v>
          </cell>
          <cell r="F4" t="str">
            <v>Dec.</v>
          </cell>
          <cell r="G4" t="str">
            <v>Jun.</v>
          </cell>
          <cell r="H4" t="str">
            <v>Dec.</v>
          </cell>
          <cell r="I4" t="str">
            <v>Mar.</v>
          </cell>
          <cell r="J4" t="str">
            <v>Jun.</v>
          </cell>
          <cell r="K4" t="str">
            <v>Sep.</v>
          </cell>
          <cell r="L4" t="str">
            <v>Dec.</v>
          </cell>
          <cell r="M4" t="str">
            <v>Mar.</v>
          </cell>
          <cell r="N4" t="str">
            <v>Jun.</v>
          </cell>
          <cell r="O4" t="str">
            <v>Sep.</v>
          </cell>
          <cell r="P4" t="str">
            <v>Dec.</v>
          </cell>
          <cell r="Q4" t="str">
            <v>Jan.</v>
          </cell>
          <cell r="R4" t="str">
            <v>Feb.</v>
          </cell>
          <cell r="S4" t="str">
            <v>Mar.</v>
          </cell>
          <cell r="T4" t="str">
            <v>Apr.</v>
          </cell>
          <cell r="U4" t="str">
            <v>May.</v>
          </cell>
          <cell r="V4" t="str">
            <v>June</v>
          </cell>
          <cell r="W4" t="str">
            <v>July</v>
          </cell>
          <cell r="X4" t="str">
            <v>Aug.</v>
          </cell>
          <cell r="Y4" t="str">
            <v>Sept.</v>
          </cell>
          <cell r="Z4" t="str">
            <v>Oct.</v>
          </cell>
          <cell r="AA4" t="str">
            <v>Nov.</v>
          </cell>
          <cell r="AB4" t="str">
            <v>Dec.</v>
          </cell>
          <cell r="AC4" t="str">
            <v>Jan</v>
          </cell>
          <cell r="AD4" t="str">
            <v>Feb</v>
          </cell>
          <cell r="AE4" t="str">
            <v>Mar</v>
          </cell>
          <cell r="AF4" t="str">
            <v>Apr</v>
          </cell>
          <cell r="AG4" t="str">
            <v>May</v>
          </cell>
          <cell r="AI4" t="str">
            <v>June</v>
          </cell>
          <cell r="AJ4" t="str">
            <v>July</v>
          </cell>
          <cell r="AK4" t="str">
            <v>Aug</v>
          </cell>
          <cell r="AL4" t="str">
            <v>Sep.</v>
          </cell>
          <cell r="AM4" t="str">
            <v>Sep.</v>
          </cell>
          <cell r="AN4" t="str">
            <v>Oct.</v>
          </cell>
          <cell r="AO4" t="str">
            <v>Nov.</v>
          </cell>
          <cell r="AP4" t="str">
            <v>Dec.</v>
          </cell>
          <cell r="AQ4" t="str">
            <v>Dec.</v>
          </cell>
          <cell r="AR4" t="str">
            <v>Jan</v>
          </cell>
          <cell r="AS4" t="str">
            <v>Feb</v>
          </cell>
          <cell r="AT4" t="str">
            <v>Mar.</v>
          </cell>
          <cell r="AU4" t="str">
            <v>Mar.</v>
          </cell>
          <cell r="AV4" t="str">
            <v>Apr.</v>
          </cell>
          <cell r="AW4" t="str">
            <v>May</v>
          </cell>
          <cell r="AX4" t="str">
            <v>Jun.</v>
          </cell>
          <cell r="AY4" t="str">
            <v>Jun.</v>
          </cell>
          <cell r="AZ4" t="str">
            <v>Jun.</v>
          </cell>
          <cell r="BA4" t="str">
            <v>July</v>
          </cell>
          <cell r="BB4" t="str">
            <v>Aug.</v>
          </cell>
          <cell r="BC4" t="str">
            <v>Sep.</v>
          </cell>
          <cell r="BD4" t="str">
            <v>Sep.</v>
          </cell>
          <cell r="BI4" t="str">
            <v>Sep.</v>
          </cell>
          <cell r="BJ4" t="str">
            <v>Sep.</v>
          </cell>
          <cell r="BK4" t="str">
            <v>Oct.</v>
          </cell>
          <cell r="BL4" t="str">
            <v>Nov.</v>
          </cell>
          <cell r="BM4" t="str">
            <v>Dec.</v>
          </cell>
          <cell r="BN4" t="str">
            <v>Dec.</v>
          </cell>
          <cell r="BO4" t="str">
            <v>Dec.</v>
          </cell>
          <cell r="BP4" t="str">
            <v>Dec.</v>
          </cell>
          <cell r="BQ4" t="str">
            <v>Dec.</v>
          </cell>
        </row>
        <row r="5">
          <cell r="D5" t="str">
            <v>Act.</v>
          </cell>
          <cell r="E5" t="str">
            <v>Act.</v>
          </cell>
          <cell r="F5" t="str">
            <v>Act.</v>
          </cell>
          <cell r="G5" t="str">
            <v>Act.</v>
          </cell>
          <cell r="H5" t="str">
            <v>Act.</v>
          </cell>
          <cell r="I5" t="str">
            <v>Act.</v>
          </cell>
          <cell r="J5" t="str">
            <v>Act.</v>
          </cell>
          <cell r="K5" t="str">
            <v>Act.</v>
          </cell>
          <cell r="L5" t="str">
            <v>Act.</v>
          </cell>
          <cell r="M5" t="str">
            <v>Act.</v>
          </cell>
          <cell r="N5" t="str">
            <v>Act.</v>
          </cell>
          <cell r="O5" t="str">
            <v>Act.</v>
          </cell>
          <cell r="P5" t="str">
            <v>Act.</v>
          </cell>
          <cell r="Q5" t="str">
            <v>Act.</v>
          </cell>
          <cell r="R5" t="str">
            <v>Act.</v>
          </cell>
          <cell r="S5" t="str">
            <v>Act.</v>
          </cell>
          <cell r="T5" t="str">
            <v>Act.</v>
          </cell>
          <cell r="U5" t="str">
            <v>Act.</v>
          </cell>
          <cell r="V5" t="str">
            <v>Act.</v>
          </cell>
          <cell r="W5" t="str">
            <v>Act.</v>
          </cell>
          <cell r="X5" t="str">
            <v>Act.</v>
          </cell>
          <cell r="Y5" t="str">
            <v>Act.</v>
          </cell>
          <cell r="Z5" t="str">
            <v>Act.</v>
          </cell>
          <cell r="AA5" t="str">
            <v>Act.</v>
          </cell>
          <cell r="AB5" t="str">
            <v>Act.</v>
          </cell>
          <cell r="AC5" t="str">
            <v>Act.</v>
          </cell>
          <cell r="AD5" t="str">
            <v>Act.</v>
          </cell>
          <cell r="AE5" t="str">
            <v>Act.</v>
          </cell>
          <cell r="AF5" t="str">
            <v>Act.</v>
          </cell>
          <cell r="AG5" t="str">
            <v>Act.</v>
          </cell>
          <cell r="AI5" t="str">
            <v>Act.</v>
          </cell>
          <cell r="AJ5" t="str">
            <v>Act.</v>
          </cell>
          <cell r="AK5" t="str">
            <v>Act.</v>
          </cell>
          <cell r="AL5" t="str">
            <v>Program</v>
          </cell>
          <cell r="AM5" t="str">
            <v>Act.</v>
          </cell>
          <cell r="AN5" t="str">
            <v>Act.</v>
          </cell>
          <cell r="AO5" t="str">
            <v>Act.</v>
          </cell>
          <cell r="AP5" t="str">
            <v>Program</v>
          </cell>
          <cell r="AQ5" t="str">
            <v>Act.</v>
          </cell>
          <cell r="AR5" t="str">
            <v>Act.</v>
          </cell>
          <cell r="AS5" t="str">
            <v>Act.</v>
          </cell>
          <cell r="AT5" t="str">
            <v>Act.</v>
          </cell>
          <cell r="AU5" t="str">
            <v>(Dec)</v>
          </cell>
          <cell r="AV5" t="str">
            <v>Act.</v>
          </cell>
          <cell r="AW5" t="str">
            <v>Act.</v>
          </cell>
          <cell r="AX5" t="str">
            <v>(Dec)</v>
          </cell>
          <cell r="AY5" t="str">
            <v>Proj.</v>
          </cell>
          <cell r="AZ5" t="str">
            <v>Act.</v>
          </cell>
          <cell r="BA5" t="str">
            <v>Act.</v>
          </cell>
          <cell r="BB5" t="str">
            <v>Prov.</v>
          </cell>
          <cell r="BC5" t="str">
            <v>Prov.</v>
          </cell>
          <cell r="BD5" t="str">
            <v>Prov.</v>
          </cell>
          <cell r="BI5" t="str">
            <v>Proj.</v>
          </cell>
          <cell r="BJ5" t="str">
            <v>Prov.</v>
          </cell>
          <cell r="BK5" t="str">
            <v>Prov</v>
          </cell>
          <cell r="BL5" t="str">
            <v>Prov</v>
          </cell>
          <cell r="BM5" t="str">
            <v xml:space="preserve">Act </v>
          </cell>
          <cell r="BN5" t="str">
            <v xml:space="preserve">Act </v>
          </cell>
          <cell r="BO5" t="str">
            <v>Act.</v>
          </cell>
          <cell r="BP5" t="str">
            <v>Proj. (Oct)</v>
          </cell>
          <cell r="BQ5" t="str">
            <v>Proj.</v>
          </cell>
        </row>
        <row r="7">
          <cell r="C7" t="str">
            <v xml:space="preserve">                                                                              (In millions of Kenya shillings)</v>
          </cell>
        </row>
        <row r="8">
          <cell r="B8" t="str">
            <v>Central Bank of Kenya (CBK)</v>
          </cell>
        </row>
        <row r="10">
          <cell r="B10" t="str">
            <v>Net foreign assets</v>
          </cell>
          <cell r="D10">
            <v>-6087.4287999999997</v>
          </cell>
          <cell r="E10">
            <v>-8473.197830000001</v>
          </cell>
          <cell r="F10">
            <v>-9305.1742399999966</v>
          </cell>
          <cell r="G10">
            <v>-10291.84016</v>
          </cell>
          <cell r="H10">
            <v>-8801.7941999999985</v>
          </cell>
          <cell r="J10">
            <v>-10649.446270000004</v>
          </cell>
          <cell r="L10">
            <v>8140.3139500000034</v>
          </cell>
          <cell r="M10">
            <v>19097.919719999994</v>
          </cell>
          <cell r="N10">
            <v>19517.9113</v>
          </cell>
          <cell r="O10">
            <v>21386.412240000001</v>
          </cell>
          <cell r="P10">
            <v>7854</v>
          </cell>
          <cell r="S10">
            <v>8217</v>
          </cell>
          <cell r="V10">
            <v>2497</v>
          </cell>
          <cell r="Y10">
            <v>2596</v>
          </cell>
          <cell r="AB10">
            <v>2275</v>
          </cell>
          <cell r="AC10">
            <v>3381</v>
          </cell>
          <cell r="AD10">
            <v>2878</v>
          </cell>
          <cell r="AE10">
            <v>9321</v>
          </cell>
          <cell r="AF10">
            <v>12145</v>
          </cell>
          <cell r="AG10">
            <v>15961</v>
          </cell>
          <cell r="AI10">
            <v>22592</v>
          </cell>
          <cell r="AJ10">
            <v>22439.845924000001</v>
          </cell>
          <cell r="AK10">
            <v>23168</v>
          </cell>
          <cell r="AL10">
            <v>9143.5217119999998</v>
          </cell>
          <cell r="AM10">
            <v>20338</v>
          </cell>
          <cell r="AN10">
            <v>23205</v>
          </cell>
          <cell r="AO10">
            <v>24819.89</v>
          </cell>
          <cell r="AP10">
            <v>11357.098432000001</v>
          </cell>
          <cell r="AQ10">
            <v>25982</v>
          </cell>
          <cell r="AR10">
            <v>25586</v>
          </cell>
          <cell r="AS10">
            <v>30024</v>
          </cell>
          <cell r="AT10">
            <v>36302</v>
          </cell>
          <cell r="AU10" t="e">
            <v>#REF!</v>
          </cell>
          <cell r="AV10">
            <v>39066</v>
          </cell>
          <cell r="AW10">
            <v>37774</v>
          </cell>
          <cell r="AX10" t="e">
            <v>#REF!</v>
          </cell>
          <cell r="AY10">
            <v>37675</v>
          </cell>
          <cell r="AZ10">
            <v>38655</v>
          </cell>
          <cell r="BA10">
            <v>36482.089999999997</v>
          </cell>
          <cell r="BB10">
            <v>36021.069999999992</v>
          </cell>
          <cell r="BC10">
            <v>29885.550000000003</v>
          </cell>
          <cell r="BD10">
            <v>29885.550000000003</v>
          </cell>
          <cell r="BI10" t="e">
            <v>#DIV/0!</v>
          </cell>
          <cell r="BJ10">
            <v>27182.85</v>
          </cell>
          <cell r="BK10">
            <v>28719.690000000002</v>
          </cell>
          <cell r="BL10">
            <v>30083.120000000003</v>
          </cell>
          <cell r="BM10">
            <v>33654.339999999997</v>
          </cell>
          <cell r="BN10">
            <v>32401.730000000003</v>
          </cell>
          <cell r="BO10">
            <v>32401.730000000003</v>
          </cell>
          <cell r="BP10">
            <v>40513.137916898027</v>
          </cell>
          <cell r="BQ10" t="e">
            <v>#DIV/0!</v>
          </cell>
        </row>
        <row r="12">
          <cell r="B12" t="str">
            <v>Net domestic assets</v>
          </cell>
          <cell r="D12">
            <v>21823.128799999999</v>
          </cell>
          <cell r="E12">
            <v>24462.187830000003</v>
          </cell>
          <cell r="F12">
            <v>27310.174239999997</v>
          </cell>
          <cell r="G12">
            <v>28416.84016</v>
          </cell>
          <cell r="H12">
            <v>34534.794199999997</v>
          </cell>
          <cell r="J12">
            <v>37418.44627</v>
          </cell>
          <cell r="L12">
            <v>33991.686049999997</v>
          </cell>
          <cell r="M12">
            <v>26446.080280000006</v>
          </cell>
          <cell r="N12">
            <v>21267.0887</v>
          </cell>
          <cell r="O12">
            <v>23821.587759999999</v>
          </cell>
          <cell r="P12">
            <v>47462</v>
          </cell>
          <cell r="S12">
            <v>43498</v>
          </cell>
          <cell r="V12">
            <v>50435</v>
          </cell>
          <cell r="Y12">
            <v>56401.512999999999</v>
          </cell>
          <cell r="AB12">
            <v>68926.14499999999</v>
          </cell>
          <cell r="AC12">
            <v>65228.820000000007</v>
          </cell>
          <cell r="AD12">
            <v>66909</v>
          </cell>
          <cell r="AE12">
            <v>59050</v>
          </cell>
          <cell r="AF12">
            <v>60347</v>
          </cell>
          <cell r="AG12">
            <v>53309</v>
          </cell>
          <cell r="AI12">
            <v>46215.899999999994</v>
          </cell>
          <cell r="AJ12">
            <v>51810.154075999999</v>
          </cell>
          <cell r="AK12">
            <v>49721</v>
          </cell>
          <cell r="AL12">
            <v>61283.658860426178</v>
          </cell>
          <cell r="AM12">
            <v>53393</v>
          </cell>
          <cell r="AN12">
            <v>50246</v>
          </cell>
          <cell r="AO12">
            <v>52128.625</v>
          </cell>
          <cell r="AP12">
            <v>-11357.098431999999</v>
          </cell>
          <cell r="AQ12">
            <v>51010</v>
          </cell>
          <cell r="AR12">
            <v>54849</v>
          </cell>
          <cell r="AS12">
            <v>49213</v>
          </cell>
          <cell r="AT12">
            <v>45294</v>
          </cell>
          <cell r="AU12" t="e">
            <v>#REF!</v>
          </cell>
          <cell r="AV12">
            <v>43919</v>
          </cell>
          <cell r="AW12">
            <v>40870</v>
          </cell>
          <cell r="AX12" t="e">
            <v>#REF!</v>
          </cell>
          <cell r="AY12" t="e">
            <v>#REF!</v>
          </cell>
          <cell r="AZ12">
            <v>35460</v>
          </cell>
          <cell r="BA12">
            <v>40103.910000000003</v>
          </cell>
          <cell r="BB12">
            <v>44492.930000000008</v>
          </cell>
          <cell r="BC12">
            <v>50806.45</v>
          </cell>
          <cell r="BD12">
            <v>50806.45</v>
          </cell>
          <cell r="BI12" t="e">
            <v>#REF!</v>
          </cell>
          <cell r="BJ12">
            <v>53509.15</v>
          </cell>
          <cell r="BK12">
            <v>44541.31</v>
          </cell>
          <cell r="BL12">
            <v>44447.88</v>
          </cell>
          <cell r="BM12">
            <v>42194.66</v>
          </cell>
          <cell r="BN12">
            <v>43447.27</v>
          </cell>
          <cell r="BO12">
            <v>43447.27</v>
          </cell>
          <cell r="BP12">
            <v>35949.567001134761</v>
          </cell>
          <cell r="BQ12" t="e">
            <v>#REF!</v>
          </cell>
        </row>
        <row r="13">
          <cell r="B13" t="str">
            <v xml:space="preserve">  Domestic credit </v>
          </cell>
          <cell r="D13">
            <v>23567</v>
          </cell>
          <cell r="E13">
            <v>25293</v>
          </cell>
          <cell r="F13">
            <v>28855</v>
          </cell>
          <cell r="G13">
            <v>29455</v>
          </cell>
          <cell r="H13">
            <v>32840</v>
          </cell>
          <cell r="J13">
            <v>29950</v>
          </cell>
          <cell r="L13">
            <v>26956</v>
          </cell>
          <cell r="M13">
            <v>19204</v>
          </cell>
          <cell r="N13">
            <v>11818</v>
          </cell>
          <cell r="O13">
            <v>14160</v>
          </cell>
          <cell r="P13">
            <v>31849</v>
          </cell>
          <cell r="S13">
            <v>31101</v>
          </cell>
          <cell r="V13">
            <v>37911</v>
          </cell>
          <cell r="Y13">
            <v>45337</v>
          </cell>
          <cell r="AB13">
            <v>59893</v>
          </cell>
          <cell r="AC13">
            <v>55419</v>
          </cell>
          <cell r="AD13">
            <v>57376</v>
          </cell>
          <cell r="AE13">
            <v>50621</v>
          </cell>
          <cell r="AF13">
            <v>52155</v>
          </cell>
          <cell r="AG13">
            <v>44961</v>
          </cell>
          <cell r="AI13">
            <v>37138</v>
          </cell>
          <cell r="AJ13">
            <v>43718</v>
          </cell>
          <cell r="AK13">
            <v>41953</v>
          </cell>
          <cell r="AL13">
            <v>51066</v>
          </cell>
          <cell r="AM13">
            <v>46360</v>
          </cell>
          <cell r="AN13">
            <v>39977</v>
          </cell>
          <cell r="AO13">
            <v>42142</v>
          </cell>
          <cell r="AP13">
            <v>40083</v>
          </cell>
          <cell r="AQ13">
            <v>41650</v>
          </cell>
          <cell r="AR13">
            <v>45760</v>
          </cell>
          <cell r="AS13">
            <v>40896</v>
          </cell>
          <cell r="AT13">
            <v>37683</v>
          </cell>
          <cell r="AU13" t="e">
            <v>#REF!</v>
          </cell>
          <cell r="AV13">
            <v>37436</v>
          </cell>
          <cell r="AW13">
            <v>32166</v>
          </cell>
          <cell r="AX13" t="e">
            <v>#REF!</v>
          </cell>
          <cell r="AY13" t="e">
            <v>#REF!</v>
          </cell>
          <cell r="AZ13">
            <v>28424</v>
          </cell>
          <cell r="BA13">
            <v>38068</v>
          </cell>
          <cell r="BB13">
            <v>45557</v>
          </cell>
          <cell r="BC13">
            <v>47542</v>
          </cell>
          <cell r="BD13">
            <v>47542</v>
          </cell>
          <cell r="BI13" t="e">
            <v>#REF!</v>
          </cell>
          <cell r="BJ13">
            <v>47542</v>
          </cell>
          <cell r="BK13">
            <v>45590</v>
          </cell>
          <cell r="BL13">
            <v>42662</v>
          </cell>
          <cell r="BM13">
            <v>38884</v>
          </cell>
          <cell r="BN13">
            <v>38884</v>
          </cell>
          <cell r="BO13">
            <v>38884</v>
          </cell>
          <cell r="BP13">
            <v>32512.567001134761</v>
          </cell>
          <cell r="BQ13" t="e">
            <v>#REF!</v>
          </cell>
        </row>
        <row r="14">
          <cell r="B14" t="str">
            <v xml:space="preserve">    Government (net) </v>
          </cell>
          <cell r="D14">
            <v>23359</v>
          </cell>
          <cell r="E14">
            <v>25202</v>
          </cell>
          <cell r="F14">
            <v>27991</v>
          </cell>
          <cell r="G14">
            <v>22947</v>
          </cell>
          <cell r="H14">
            <v>20124</v>
          </cell>
          <cell r="J14">
            <v>10708</v>
          </cell>
          <cell r="L14">
            <v>15472</v>
          </cell>
          <cell r="M14">
            <v>4514</v>
          </cell>
          <cell r="N14">
            <v>-456</v>
          </cell>
          <cell r="O14">
            <v>3122</v>
          </cell>
          <cell r="P14">
            <v>21777</v>
          </cell>
          <cell r="S14">
            <v>19304</v>
          </cell>
          <cell r="V14">
            <v>24298</v>
          </cell>
          <cell r="Y14">
            <v>35559</v>
          </cell>
          <cell r="AB14">
            <v>50127</v>
          </cell>
          <cell r="AC14">
            <v>45853</v>
          </cell>
          <cell r="AD14">
            <v>47807</v>
          </cell>
          <cell r="AE14">
            <v>40659</v>
          </cell>
          <cell r="AF14">
            <v>42634</v>
          </cell>
          <cell r="AG14">
            <v>35677</v>
          </cell>
          <cell r="AI14">
            <v>27822</v>
          </cell>
          <cell r="AJ14">
            <v>34573</v>
          </cell>
          <cell r="AK14">
            <v>32827</v>
          </cell>
          <cell r="AL14">
            <v>41299</v>
          </cell>
          <cell r="AM14">
            <v>37156</v>
          </cell>
          <cell r="AN14">
            <v>30849</v>
          </cell>
          <cell r="AO14">
            <v>33039</v>
          </cell>
          <cell r="AP14">
            <v>40083</v>
          </cell>
          <cell r="AQ14">
            <v>32594</v>
          </cell>
          <cell r="AR14">
            <v>36704</v>
          </cell>
          <cell r="AS14">
            <v>31840</v>
          </cell>
          <cell r="AT14">
            <v>28619</v>
          </cell>
          <cell r="AU14" t="e">
            <v>#REF!</v>
          </cell>
          <cell r="AV14">
            <v>28400</v>
          </cell>
          <cell r="AW14">
            <v>23326</v>
          </cell>
          <cell r="AX14" t="e">
            <v>#REF!</v>
          </cell>
          <cell r="AY14" t="e">
            <v>#REF!</v>
          </cell>
          <cell r="AZ14">
            <v>19160</v>
          </cell>
          <cell r="BA14">
            <v>29278</v>
          </cell>
          <cell r="BB14">
            <v>36727</v>
          </cell>
          <cell r="BC14">
            <v>34872</v>
          </cell>
          <cell r="BD14">
            <v>34872</v>
          </cell>
          <cell r="BI14" t="e">
            <v>#REF!</v>
          </cell>
          <cell r="BJ14">
            <v>34872</v>
          </cell>
          <cell r="BK14">
            <v>36736</v>
          </cell>
          <cell r="BL14">
            <v>33946</v>
          </cell>
          <cell r="BM14">
            <v>37289</v>
          </cell>
          <cell r="BN14">
            <v>37289</v>
          </cell>
          <cell r="BO14">
            <v>37289</v>
          </cell>
          <cell r="BP14">
            <v>23512.567001134761</v>
          </cell>
          <cell r="BQ14" t="e">
            <v>#REF!</v>
          </cell>
        </row>
        <row r="15">
          <cell r="B15" t="str">
            <v xml:space="preserve">    Commercial banks</v>
          </cell>
          <cell r="D15">
            <v>208</v>
          </cell>
          <cell r="E15">
            <v>91</v>
          </cell>
          <cell r="F15">
            <v>864</v>
          </cell>
          <cell r="G15">
            <v>6508</v>
          </cell>
          <cell r="H15">
            <v>12716</v>
          </cell>
          <cell r="J15">
            <v>19242</v>
          </cell>
          <cell r="L15">
            <v>11484</v>
          </cell>
          <cell r="M15">
            <v>14690</v>
          </cell>
          <cell r="N15">
            <v>12274</v>
          </cell>
          <cell r="O15">
            <v>11038</v>
          </cell>
          <cell r="P15">
            <v>10072</v>
          </cell>
          <cell r="S15">
            <v>11797</v>
          </cell>
          <cell r="V15">
            <v>13613</v>
          </cell>
          <cell r="Y15">
            <v>9778</v>
          </cell>
          <cell r="AB15">
            <v>9766</v>
          </cell>
          <cell r="AC15">
            <v>9566</v>
          </cell>
          <cell r="AD15">
            <v>9569</v>
          </cell>
          <cell r="AE15">
            <v>9962</v>
          </cell>
          <cell r="AF15">
            <v>9521</v>
          </cell>
          <cell r="AG15">
            <v>9284</v>
          </cell>
          <cell r="AI15">
            <v>9316</v>
          </cell>
          <cell r="AJ15">
            <v>9145</v>
          </cell>
          <cell r="AK15">
            <v>9126</v>
          </cell>
          <cell r="AL15">
            <v>9767</v>
          </cell>
          <cell r="AM15">
            <v>9204</v>
          </cell>
          <cell r="AN15">
            <v>9128</v>
          </cell>
          <cell r="AO15">
            <v>9103</v>
          </cell>
          <cell r="AP15">
            <v>0</v>
          </cell>
          <cell r="AQ15">
            <v>9056</v>
          </cell>
          <cell r="AR15">
            <v>9056</v>
          </cell>
          <cell r="AS15">
            <v>9056</v>
          </cell>
          <cell r="AT15">
            <v>9064</v>
          </cell>
          <cell r="AU15">
            <v>9200</v>
          </cell>
          <cell r="AV15">
            <v>9036</v>
          </cell>
          <cell r="AW15">
            <v>8840</v>
          </cell>
          <cell r="AX15">
            <v>9200</v>
          </cell>
          <cell r="AY15">
            <v>9200</v>
          </cell>
          <cell r="AZ15">
            <v>9264</v>
          </cell>
          <cell r="BA15">
            <v>8790</v>
          </cell>
          <cell r="BB15">
            <v>8830</v>
          </cell>
          <cell r="BC15">
            <v>12670</v>
          </cell>
          <cell r="BD15">
            <v>12670</v>
          </cell>
          <cell r="BI15">
            <v>9200</v>
          </cell>
          <cell r="BJ15">
            <v>12670</v>
          </cell>
          <cell r="BK15">
            <v>8854</v>
          </cell>
          <cell r="BL15">
            <v>8716</v>
          </cell>
          <cell r="BM15">
            <v>1595</v>
          </cell>
          <cell r="BN15">
            <v>1595</v>
          </cell>
          <cell r="BO15">
            <v>1595</v>
          </cell>
          <cell r="BP15">
            <v>9000</v>
          </cell>
          <cell r="BQ15">
            <v>9200</v>
          </cell>
        </row>
        <row r="16">
          <cell r="B16" t="str">
            <v xml:space="preserve">  Other items (net)</v>
          </cell>
          <cell r="D16">
            <v>-1743.8712000000014</v>
          </cell>
          <cell r="E16">
            <v>-830.81216999999742</v>
          </cell>
          <cell r="F16">
            <v>-1544.8257600000034</v>
          </cell>
          <cell r="G16">
            <v>-1038.1598400000003</v>
          </cell>
          <cell r="H16">
            <v>1694.7941999999966</v>
          </cell>
          <cell r="J16">
            <v>7468.4462700000004</v>
          </cell>
          <cell r="L16">
            <v>7035.6860499999966</v>
          </cell>
          <cell r="M16">
            <v>7242.0802800000056</v>
          </cell>
          <cell r="N16">
            <v>9449.0887000000002</v>
          </cell>
          <cell r="O16">
            <v>9661.5877599999985</v>
          </cell>
          <cell r="P16">
            <v>15613</v>
          </cell>
          <cell r="S16">
            <v>12397</v>
          </cell>
          <cell r="V16">
            <v>12524</v>
          </cell>
          <cell r="Y16">
            <v>11064.512999999999</v>
          </cell>
          <cell r="AB16">
            <v>9033.1449999999895</v>
          </cell>
          <cell r="AC16">
            <v>9809.820000000007</v>
          </cell>
          <cell r="AD16">
            <v>9533</v>
          </cell>
          <cell r="AE16">
            <v>8429</v>
          </cell>
          <cell r="AF16">
            <v>8192</v>
          </cell>
          <cell r="AG16">
            <v>8348</v>
          </cell>
          <cell r="AI16">
            <v>9077.8999999999942</v>
          </cell>
          <cell r="AJ16">
            <v>8092.1540759999989</v>
          </cell>
          <cell r="AK16">
            <v>7768</v>
          </cell>
          <cell r="AL16">
            <v>10217.658860426178</v>
          </cell>
          <cell r="AM16">
            <v>7033</v>
          </cell>
          <cell r="AN16">
            <v>10269</v>
          </cell>
          <cell r="AO16">
            <v>9986.625</v>
          </cell>
          <cell r="AP16">
            <v>-51440.098431999999</v>
          </cell>
          <cell r="AQ16">
            <v>9360</v>
          </cell>
          <cell r="AR16">
            <v>9089</v>
          </cell>
          <cell r="AS16">
            <v>8317</v>
          </cell>
          <cell r="AT16">
            <v>7611</v>
          </cell>
          <cell r="AU16" t="e">
            <v>#REF!</v>
          </cell>
          <cell r="AV16">
            <v>6483</v>
          </cell>
          <cell r="AW16">
            <v>8704</v>
          </cell>
          <cell r="AX16" t="e">
            <v>#REF!</v>
          </cell>
          <cell r="AY16" t="e">
            <v>#REF!</v>
          </cell>
          <cell r="AZ16">
            <v>7036</v>
          </cell>
          <cell r="BA16">
            <v>2035.9100000000035</v>
          </cell>
          <cell r="BB16">
            <v>-1064.0699999999924</v>
          </cell>
          <cell r="BC16">
            <v>3264.4499999999971</v>
          </cell>
          <cell r="BD16">
            <v>3264.4499999999971</v>
          </cell>
          <cell r="BI16" t="e">
            <v>#REF!</v>
          </cell>
          <cell r="BJ16">
            <v>5967.1500000000015</v>
          </cell>
          <cell r="BK16">
            <v>-1048.6900000000023</v>
          </cell>
          <cell r="BL16">
            <v>1785.8799999999974</v>
          </cell>
          <cell r="BM16">
            <v>3310.6600000000035</v>
          </cell>
          <cell r="BN16">
            <v>4563.2699999999968</v>
          </cell>
          <cell r="BO16">
            <v>4563.2699999999968</v>
          </cell>
          <cell r="BP16">
            <v>3437</v>
          </cell>
          <cell r="BQ16" t="e">
            <v>#REF!</v>
          </cell>
        </row>
        <row r="17">
          <cell r="B17" t="str">
            <v xml:space="preserve">    o/w project a/c deposits</v>
          </cell>
          <cell r="D17">
            <v>-1888.61</v>
          </cell>
          <cell r="E17">
            <v>0</v>
          </cell>
          <cell r="F17">
            <v>-2423.64</v>
          </cell>
          <cell r="G17">
            <v>0</v>
          </cell>
          <cell r="H17">
            <v>-5576.88</v>
          </cell>
          <cell r="J17">
            <v>-6281.62</v>
          </cell>
          <cell r="L17">
            <v>-5559</v>
          </cell>
          <cell r="M17">
            <v>-5267</v>
          </cell>
          <cell r="N17">
            <v>-4371</v>
          </cell>
          <cell r="O17">
            <v>-4779</v>
          </cell>
          <cell r="P17">
            <v>-3175</v>
          </cell>
          <cell r="S17">
            <v>-3252</v>
          </cell>
          <cell r="V17">
            <v>-4647</v>
          </cell>
          <cell r="Y17">
            <v>-5460</v>
          </cell>
          <cell r="AB17">
            <v>-5435</v>
          </cell>
          <cell r="AC17">
            <v>-6127</v>
          </cell>
          <cell r="AD17">
            <v>-5708</v>
          </cell>
          <cell r="AE17">
            <v>-5996</v>
          </cell>
          <cell r="AF17">
            <v>-5774</v>
          </cell>
          <cell r="AG17">
            <v>-5386</v>
          </cell>
          <cell r="AI17">
            <v>-5700</v>
          </cell>
          <cell r="AJ17">
            <v>-6086</v>
          </cell>
          <cell r="AK17">
            <v>-5963</v>
          </cell>
          <cell r="AM17">
            <v>-6214</v>
          </cell>
          <cell r="AN17">
            <v>-5707</v>
          </cell>
          <cell r="AO17">
            <v>-5583</v>
          </cell>
          <cell r="AP17">
            <v>-6000</v>
          </cell>
          <cell r="AQ17">
            <v>-5883</v>
          </cell>
          <cell r="AR17">
            <v>-6083</v>
          </cell>
          <cell r="AS17">
            <v>-5664</v>
          </cell>
          <cell r="AT17">
            <v>-6400</v>
          </cell>
          <cell r="AU17">
            <v>-6000</v>
          </cell>
          <cell r="AV17">
            <v>-6161</v>
          </cell>
          <cell r="AW17">
            <v>-6400</v>
          </cell>
          <cell r="AX17">
            <v>-6000</v>
          </cell>
          <cell r="AY17">
            <v>-6000</v>
          </cell>
          <cell r="AZ17">
            <v>-6619</v>
          </cell>
          <cell r="BA17">
            <v>-7342</v>
          </cell>
          <cell r="BB17">
            <v>-7386</v>
          </cell>
          <cell r="BC17">
            <v>-7639</v>
          </cell>
          <cell r="BD17">
            <v>-7639</v>
          </cell>
          <cell r="BI17">
            <v>-6500</v>
          </cell>
          <cell r="BJ17">
            <v>-7639</v>
          </cell>
          <cell r="BK17">
            <v>-8570</v>
          </cell>
          <cell r="BL17">
            <v>-8194</v>
          </cell>
          <cell r="BM17">
            <v>-8777</v>
          </cell>
          <cell r="BN17">
            <v>-8194</v>
          </cell>
          <cell r="BO17">
            <v>-8777</v>
          </cell>
          <cell r="BP17">
            <v>-8500</v>
          </cell>
          <cell r="BQ17">
            <v>-6500</v>
          </cell>
        </row>
        <row r="19">
          <cell r="B19" t="str">
            <v>Reserve money (RM)</v>
          </cell>
          <cell r="D19">
            <v>15735.7</v>
          </cell>
          <cell r="E19">
            <v>15988.99</v>
          </cell>
          <cell r="F19">
            <v>18005</v>
          </cell>
          <cell r="G19">
            <v>18125</v>
          </cell>
          <cell r="H19">
            <v>25733</v>
          </cell>
          <cell r="J19">
            <v>26769</v>
          </cell>
          <cell r="L19">
            <v>42132</v>
          </cell>
          <cell r="M19">
            <v>45544</v>
          </cell>
          <cell r="N19">
            <v>40785</v>
          </cell>
          <cell r="O19">
            <v>45208</v>
          </cell>
          <cell r="P19">
            <v>55316</v>
          </cell>
          <cell r="S19">
            <v>51715</v>
          </cell>
          <cell r="V19">
            <v>52932</v>
          </cell>
          <cell r="Y19">
            <v>58997.512999999999</v>
          </cell>
          <cell r="AB19">
            <v>71201.14499999999</v>
          </cell>
          <cell r="AC19">
            <v>68609.820000000007</v>
          </cell>
          <cell r="AD19">
            <v>69787</v>
          </cell>
          <cell r="AE19">
            <v>68371</v>
          </cell>
          <cell r="AF19">
            <v>72492</v>
          </cell>
          <cell r="AG19">
            <v>69270</v>
          </cell>
          <cell r="AI19">
            <v>68807.899999999994</v>
          </cell>
          <cell r="AJ19">
            <v>74250</v>
          </cell>
          <cell r="AK19">
            <v>72889</v>
          </cell>
          <cell r="AL19">
            <v>70427.180572426179</v>
          </cell>
          <cell r="AM19">
            <v>73731</v>
          </cell>
          <cell r="AN19">
            <v>73451</v>
          </cell>
          <cell r="AO19">
            <v>76948.514999999999</v>
          </cell>
          <cell r="AP19">
            <v>0</v>
          </cell>
          <cell r="AQ19">
            <v>76992</v>
          </cell>
          <cell r="AR19">
            <v>80435</v>
          </cell>
          <cell r="AS19">
            <v>79237</v>
          </cell>
          <cell r="AT19">
            <v>81596</v>
          </cell>
          <cell r="AU19">
            <v>78022.175687172537</v>
          </cell>
          <cell r="AV19">
            <v>82985</v>
          </cell>
          <cell r="AW19">
            <v>78644</v>
          </cell>
          <cell r="AX19" t="e">
            <v>#REF!</v>
          </cell>
          <cell r="AY19" t="e">
            <v>#REF!</v>
          </cell>
          <cell r="AZ19">
            <v>74115</v>
          </cell>
          <cell r="BA19">
            <v>76586</v>
          </cell>
          <cell r="BB19">
            <v>80514</v>
          </cell>
          <cell r="BC19">
            <v>80692</v>
          </cell>
          <cell r="BD19">
            <v>80692</v>
          </cell>
          <cell r="BI19" t="e">
            <v>#REF!</v>
          </cell>
          <cell r="BJ19">
            <v>80692</v>
          </cell>
          <cell r="BK19">
            <v>73261</v>
          </cell>
          <cell r="BL19">
            <v>74531</v>
          </cell>
          <cell r="BM19">
            <v>75849</v>
          </cell>
          <cell r="BN19">
            <v>75849</v>
          </cell>
          <cell r="BO19">
            <v>75849</v>
          </cell>
          <cell r="BP19">
            <v>76462.704918032789</v>
          </cell>
          <cell r="BQ19" t="e">
            <v>#REF!</v>
          </cell>
        </row>
        <row r="20">
          <cell r="B20" t="str">
            <v xml:space="preserve">  Currency outside banks </v>
          </cell>
          <cell r="D20">
            <v>10794</v>
          </cell>
          <cell r="E20">
            <v>10702</v>
          </cell>
          <cell r="F20">
            <v>12723</v>
          </cell>
          <cell r="G20">
            <v>12725</v>
          </cell>
          <cell r="H20">
            <v>17152</v>
          </cell>
          <cell r="J20">
            <v>17717</v>
          </cell>
          <cell r="L20">
            <v>21194</v>
          </cell>
          <cell r="M20">
            <v>21832.951000000001</v>
          </cell>
          <cell r="N20">
            <v>20367</v>
          </cell>
          <cell r="O20">
            <v>21625.052</v>
          </cell>
          <cell r="P20">
            <v>24724.526000000002</v>
          </cell>
          <cell r="S20">
            <v>24824.322</v>
          </cell>
          <cell r="V20">
            <v>25825.493999999999</v>
          </cell>
          <cell r="Y20">
            <v>26429.806</v>
          </cell>
          <cell r="AB20">
            <v>28795</v>
          </cell>
          <cell r="AC20">
            <v>27887</v>
          </cell>
          <cell r="AD20">
            <v>28482</v>
          </cell>
          <cell r="AE20">
            <v>28750</v>
          </cell>
          <cell r="AF20">
            <v>28380</v>
          </cell>
          <cell r="AG20">
            <v>28474</v>
          </cell>
          <cell r="AI20">
            <v>28747</v>
          </cell>
          <cell r="AJ20">
            <v>28814.97</v>
          </cell>
          <cell r="AK20">
            <v>29354.92</v>
          </cell>
          <cell r="AL20">
            <v>27977.383222526711</v>
          </cell>
          <cell r="AM20">
            <v>27757.901999999998</v>
          </cell>
          <cell r="AN20">
            <v>28424.301000000003</v>
          </cell>
          <cell r="AO20">
            <v>30282.515000000003</v>
          </cell>
          <cell r="AP20">
            <v>0</v>
          </cell>
          <cell r="AQ20">
            <v>30394</v>
          </cell>
          <cell r="AR20">
            <v>31093</v>
          </cell>
          <cell r="AS20">
            <v>30730</v>
          </cell>
          <cell r="AT20">
            <v>31057</v>
          </cell>
          <cell r="AU20">
            <v>29505.310447939504</v>
          </cell>
          <cell r="AV20">
            <v>29926</v>
          </cell>
          <cell r="AW20">
            <v>29263</v>
          </cell>
          <cell r="AX20" t="e">
            <v>#REF!</v>
          </cell>
          <cell r="AY20" t="e">
            <v>#REF!</v>
          </cell>
          <cell r="AZ20">
            <v>29158</v>
          </cell>
          <cell r="BA20">
            <v>29718</v>
          </cell>
          <cell r="BB20">
            <v>31678</v>
          </cell>
          <cell r="BC20">
            <v>30132</v>
          </cell>
          <cell r="BD20">
            <v>30132</v>
          </cell>
          <cell r="BE20" t="e">
            <v>#REF!</v>
          </cell>
          <cell r="BI20" t="e">
            <v>#REF!</v>
          </cell>
          <cell r="BJ20">
            <v>30132</v>
          </cell>
          <cell r="BK20">
            <v>31568</v>
          </cell>
          <cell r="BL20">
            <v>33413</v>
          </cell>
          <cell r="BM20">
            <v>36148</v>
          </cell>
          <cell r="BN20">
            <v>36148</v>
          </cell>
          <cell r="BO20">
            <v>36148</v>
          </cell>
          <cell r="BP20">
            <v>34500</v>
          </cell>
          <cell r="BQ20" t="e">
            <v>#REF!</v>
          </cell>
        </row>
        <row r="21">
          <cell r="B21" t="str">
            <v xml:space="preserve">  Bank reserves</v>
          </cell>
          <cell r="D21">
            <v>4941.7</v>
          </cell>
          <cell r="E21">
            <v>5286.99</v>
          </cell>
          <cell r="F21">
            <v>5282</v>
          </cell>
          <cell r="G21">
            <v>5400</v>
          </cell>
          <cell r="H21">
            <v>8581</v>
          </cell>
          <cell r="J21">
            <v>9052</v>
          </cell>
          <cell r="L21">
            <v>20938</v>
          </cell>
          <cell r="M21">
            <v>23711.048999999999</v>
          </cell>
          <cell r="N21">
            <v>20418</v>
          </cell>
          <cell r="O21">
            <v>23582.948</v>
          </cell>
          <cell r="P21">
            <v>30591.473999999998</v>
          </cell>
          <cell r="S21">
            <v>26890.678</v>
          </cell>
          <cell r="V21">
            <v>27106.506000000001</v>
          </cell>
          <cell r="Y21">
            <v>32567.706999999999</v>
          </cell>
          <cell r="AB21">
            <v>42406.144999999997</v>
          </cell>
          <cell r="AC21">
            <v>40722.82</v>
          </cell>
          <cell r="AD21">
            <v>41305</v>
          </cell>
          <cell r="AE21">
            <v>39621</v>
          </cell>
          <cell r="AF21">
            <v>44112</v>
          </cell>
          <cell r="AG21">
            <v>40796</v>
          </cell>
          <cell r="AI21">
            <v>40060.9</v>
          </cell>
          <cell r="AJ21">
            <v>45435.03</v>
          </cell>
          <cell r="AK21">
            <v>43534.080000000002</v>
          </cell>
          <cell r="AL21">
            <v>42449.797349899469</v>
          </cell>
          <cell r="AM21">
            <v>45973.097999999998</v>
          </cell>
          <cell r="AN21">
            <v>45026.699000000001</v>
          </cell>
          <cell r="AO21">
            <v>46666</v>
          </cell>
          <cell r="AP21">
            <v>0</v>
          </cell>
          <cell r="AQ21">
            <v>46598</v>
          </cell>
          <cell r="AR21">
            <v>49342</v>
          </cell>
          <cell r="AS21">
            <v>48507</v>
          </cell>
          <cell r="AT21">
            <v>50539</v>
          </cell>
          <cell r="AU21">
            <v>48516.86523923304</v>
          </cell>
          <cell r="AV21">
            <v>53059</v>
          </cell>
          <cell r="AW21">
            <v>49381</v>
          </cell>
          <cell r="AX21" t="e">
            <v>#REF!</v>
          </cell>
          <cell r="AY21" t="e">
            <v>#REF!</v>
          </cell>
          <cell r="AZ21">
            <v>44957</v>
          </cell>
          <cell r="BA21">
            <v>46868</v>
          </cell>
          <cell r="BB21">
            <v>48836</v>
          </cell>
          <cell r="BC21">
            <v>50560</v>
          </cell>
          <cell r="BD21">
            <v>50560</v>
          </cell>
          <cell r="BI21" t="e">
            <v>#REF!</v>
          </cell>
          <cell r="BJ21">
            <v>50560</v>
          </cell>
          <cell r="BK21">
            <v>41693</v>
          </cell>
          <cell r="BL21">
            <v>41118</v>
          </cell>
          <cell r="BM21">
            <v>39701</v>
          </cell>
          <cell r="BN21">
            <v>39701</v>
          </cell>
          <cell r="BO21">
            <v>39701</v>
          </cell>
          <cell r="BP21">
            <v>41962.704918032789</v>
          </cell>
          <cell r="BQ21" t="e">
            <v>#REF!</v>
          </cell>
        </row>
        <row r="23">
          <cell r="B23" t="str">
            <v>Banks</v>
          </cell>
        </row>
        <row r="25">
          <cell r="B25" t="str">
            <v>Net foreign assets</v>
          </cell>
          <cell r="D25">
            <v>-411.31</v>
          </cell>
          <cell r="E25">
            <v>-498.29899999999998</v>
          </cell>
          <cell r="F25">
            <v>124.99499999999995</v>
          </cell>
          <cell r="G25">
            <v>854.89199999999994</v>
          </cell>
          <cell r="H25">
            <v>1513.4399999999998</v>
          </cell>
          <cell r="J25">
            <v>9639.0609999999997</v>
          </cell>
          <cell r="L25">
            <v>12500.948</v>
          </cell>
          <cell r="M25">
            <v>6814.38</v>
          </cell>
          <cell r="N25">
            <v>4908.4269999999997</v>
          </cell>
          <cell r="O25">
            <v>1213.4299999999998</v>
          </cell>
          <cell r="P25">
            <v>5436.5210000000006</v>
          </cell>
          <cell r="S25">
            <v>5003.8949999999977</v>
          </cell>
          <cell r="V25">
            <v>7760.817</v>
          </cell>
          <cell r="Y25">
            <v>6036.7610000000004</v>
          </cell>
          <cell r="AB25">
            <v>4638.1280000000042</v>
          </cell>
          <cell r="AC25">
            <v>5378.9739999999983</v>
          </cell>
          <cell r="AD25">
            <v>5907.46</v>
          </cell>
          <cell r="AE25">
            <v>4628.4530000000022</v>
          </cell>
          <cell r="AF25">
            <v>4790.9630000000079</v>
          </cell>
          <cell r="AG25">
            <v>4146.4870000000019</v>
          </cell>
          <cell r="AI25">
            <v>4047.5070000000046</v>
          </cell>
          <cell r="AJ25">
            <v>3015.8710000000001</v>
          </cell>
          <cell r="AK25">
            <v>4321.8379999999997</v>
          </cell>
          <cell r="AL25">
            <v>2517.6282879999999</v>
          </cell>
          <cell r="AM25">
            <v>3134.0209999999993</v>
          </cell>
          <cell r="AN25">
            <v>6416.271999999999</v>
          </cell>
          <cell r="AO25">
            <v>715.77400000000011</v>
          </cell>
          <cell r="AP25">
            <v>2487.551567999999</v>
          </cell>
          <cell r="AQ25">
            <v>2662.9720000000057</v>
          </cell>
          <cell r="AR25">
            <v>2294.6940000000022</v>
          </cell>
          <cell r="AS25">
            <v>3227.5440000000044</v>
          </cell>
          <cell r="AT25">
            <v>1923.276000000003</v>
          </cell>
          <cell r="AU25" t="e">
            <v>#REF!</v>
          </cell>
          <cell r="AV25">
            <v>1862.0160000000012</v>
          </cell>
          <cell r="AW25">
            <v>987.54500000000166</v>
          </cell>
          <cell r="AX25" t="e">
            <v>#REF!</v>
          </cell>
          <cell r="AY25">
            <v>1624.0000000000036</v>
          </cell>
          <cell r="AZ25">
            <v>1414.6270000000036</v>
          </cell>
          <cell r="BA25">
            <v>1904.5079999999994</v>
          </cell>
          <cell r="BB25">
            <v>6125.5570000000025</v>
          </cell>
          <cell r="BC25">
            <v>5870.1919999999946</v>
          </cell>
          <cell r="BD25" t="str">
            <v>….</v>
          </cell>
          <cell r="BI25">
            <v>2109.36</v>
          </cell>
          <cell r="BJ25">
            <v>5277.0305112325632</v>
          </cell>
          <cell r="BK25">
            <v>5028.0146223297043</v>
          </cell>
          <cell r="BL25">
            <v>3722.6859999999997</v>
          </cell>
          <cell r="BM25">
            <v>15570.097955271558</v>
          </cell>
          <cell r="BN25">
            <v>2447.2039999999915</v>
          </cell>
          <cell r="BO25">
            <v>13030.589999999993</v>
          </cell>
          <cell r="BP25">
            <v>5702.16</v>
          </cell>
          <cell r="BQ25">
            <v>2131.8000000000002</v>
          </cell>
        </row>
        <row r="26">
          <cell r="B26" t="str">
            <v xml:space="preserve">  o/w foreign currency credit </v>
          </cell>
          <cell r="P26">
            <v>4599.4660000000003</v>
          </cell>
          <cell r="S26">
            <v>4933.9310000000005</v>
          </cell>
          <cell r="V26">
            <v>5973.741</v>
          </cell>
          <cell r="Y26">
            <v>6314.5920000000006</v>
          </cell>
          <cell r="AB26">
            <v>7277.2860000000001</v>
          </cell>
          <cell r="AC26">
            <v>7761.4589999999998</v>
          </cell>
          <cell r="AD26">
            <v>8828.0830000000005</v>
          </cell>
          <cell r="AE26">
            <v>7488.0810000000001</v>
          </cell>
          <cell r="AF26">
            <v>8803.3670000000002</v>
          </cell>
          <cell r="AG26">
            <v>10055.341</v>
          </cell>
          <cell r="AI26">
            <v>9688.5810000000001</v>
          </cell>
          <cell r="AJ26">
            <v>9614.0970000000016</v>
          </cell>
          <cell r="AK26">
            <v>10959.758</v>
          </cell>
          <cell r="AM26">
            <v>10887.252999999999</v>
          </cell>
          <cell r="AN26">
            <v>18588.100000000002</v>
          </cell>
          <cell r="AQ26">
            <v>12076.456</v>
          </cell>
          <cell r="AR26">
            <v>12298.236000000001</v>
          </cell>
          <cell r="AT26">
            <v>13570.349999999999</v>
          </cell>
          <cell r="AV26">
            <v>13388.414000000001</v>
          </cell>
          <cell r="AW26">
            <v>12872.815000000001</v>
          </cell>
        </row>
        <row r="27">
          <cell r="B27" t="str">
            <v xml:space="preserve">  o/w foreign currency accounts</v>
          </cell>
          <cell r="P27">
            <v>-11606.081</v>
          </cell>
          <cell r="S27">
            <v>-10692.671</v>
          </cell>
          <cell r="V27">
            <v>-13401.915999999999</v>
          </cell>
          <cell r="Y27">
            <v>-14436.504000000001</v>
          </cell>
          <cell r="AB27">
            <v>-16587.971999999998</v>
          </cell>
          <cell r="AC27">
            <v>-17042.707000000002</v>
          </cell>
          <cell r="AD27">
            <v>-18247.350000000002</v>
          </cell>
          <cell r="AE27">
            <v>-17114.495999999999</v>
          </cell>
          <cell r="AF27">
            <v>-17387.097000000002</v>
          </cell>
          <cell r="AG27">
            <v>-15885.634</v>
          </cell>
          <cell r="AI27">
            <v>-16820.470999999998</v>
          </cell>
          <cell r="AJ27">
            <v>-16490.620999999999</v>
          </cell>
          <cell r="AK27">
            <v>-14583.522000000001</v>
          </cell>
          <cell r="AM27">
            <v>-15331.985000000001</v>
          </cell>
          <cell r="AN27">
            <v>-22023.7</v>
          </cell>
          <cell r="AQ27">
            <v>-17558.794999999998</v>
          </cell>
          <cell r="AR27">
            <v>-16696.663</v>
          </cell>
          <cell r="AT27">
            <v>-17661.786</v>
          </cell>
          <cell r="AV27">
            <v>-19508.8</v>
          </cell>
          <cell r="AW27">
            <v>-17868.905999999999</v>
          </cell>
        </row>
        <row r="29">
          <cell r="B29" t="str">
            <v>Reserves</v>
          </cell>
          <cell r="D29">
            <v>4941.7</v>
          </cell>
          <cell r="E29">
            <v>5286.99</v>
          </cell>
          <cell r="F29">
            <v>5282</v>
          </cell>
          <cell r="G29">
            <v>5400</v>
          </cell>
          <cell r="H29">
            <v>8581</v>
          </cell>
          <cell r="J29">
            <v>9052</v>
          </cell>
          <cell r="L29">
            <v>20938</v>
          </cell>
          <cell r="M29">
            <v>23711.048999999999</v>
          </cell>
          <cell r="N29">
            <v>20418</v>
          </cell>
          <cell r="O29">
            <v>23582.948</v>
          </cell>
          <cell r="P29">
            <v>30591.473999999998</v>
          </cell>
          <cell r="S29">
            <v>26890.678</v>
          </cell>
          <cell r="V29">
            <v>27106.506000000001</v>
          </cell>
          <cell r="Y29">
            <v>32567.706999999999</v>
          </cell>
          <cell r="AB29">
            <v>42406.144999999997</v>
          </cell>
          <cell r="AC29">
            <v>40722.82</v>
          </cell>
          <cell r="AD29">
            <v>41305</v>
          </cell>
          <cell r="AE29">
            <v>39621</v>
          </cell>
          <cell r="AF29">
            <v>44112</v>
          </cell>
          <cell r="AG29">
            <v>40796</v>
          </cell>
          <cell r="AI29">
            <v>40060.9</v>
          </cell>
          <cell r="AJ29">
            <v>45435.03</v>
          </cell>
          <cell r="AK29">
            <v>43534.080000000002</v>
          </cell>
          <cell r="AL29">
            <v>42449.797349899469</v>
          </cell>
          <cell r="AM29">
            <v>45973.097999999998</v>
          </cell>
          <cell r="AN29">
            <v>45026.699000000001</v>
          </cell>
          <cell r="AO29">
            <v>46666</v>
          </cell>
          <cell r="AP29">
            <v>0</v>
          </cell>
          <cell r="AQ29">
            <v>46598</v>
          </cell>
          <cell r="AR29">
            <v>49342</v>
          </cell>
          <cell r="AS29">
            <v>48507</v>
          </cell>
          <cell r="AT29">
            <v>50539</v>
          </cell>
          <cell r="AU29">
            <v>48516.86523923304</v>
          </cell>
          <cell r="AV29">
            <v>53059</v>
          </cell>
          <cell r="AW29">
            <v>49381</v>
          </cell>
          <cell r="AX29" t="e">
            <v>#REF!</v>
          </cell>
          <cell r="AY29" t="e">
            <v>#REF!</v>
          </cell>
          <cell r="AZ29">
            <v>44957</v>
          </cell>
          <cell r="BA29">
            <v>46868</v>
          </cell>
          <cell r="BB29">
            <v>48836</v>
          </cell>
          <cell r="BC29">
            <v>50560</v>
          </cell>
          <cell r="BD29">
            <v>50560</v>
          </cell>
          <cell r="BI29" t="e">
            <v>#REF!</v>
          </cell>
          <cell r="BJ29">
            <v>50560</v>
          </cell>
          <cell r="BK29">
            <v>41693</v>
          </cell>
          <cell r="BL29">
            <v>41118</v>
          </cell>
          <cell r="BM29">
            <v>39701</v>
          </cell>
          <cell r="BN29">
            <v>39701</v>
          </cell>
          <cell r="BO29">
            <v>39701</v>
          </cell>
          <cell r="BP29">
            <v>41962.704918032789</v>
          </cell>
          <cell r="BQ29" t="e">
            <v>#REF!</v>
          </cell>
        </row>
        <row r="30">
          <cell r="B30" t="str">
            <v>Credit to CBK</v>
          </cell>
          <cell r="D30">
            <v>-208</v>
          </cell>
          <cell r="E30">
            <v>-91</v>
          </cell>
          <cell r="F30">
            <v>-864</v>
          </cell>
          <cell r="G30">
            <v>-6508</v>
          </cell>
          <cell r="H30">
            <v>-12716</v>
          </cell>
          <cell r="J30">
            <v>-19242</v>
          </cell>
          <cell r="L30">
            <v>-11484</v>
          </cell>
          <cell r="M30">
            <v>-14690</v>
          </cell>
          <cell r="N30">
            <v>-12274</v>
          </cell>
          <cell r="O30">
            <v>-11038</v>
          </cell>
          <cell r="P30">
            <v>-10072</v>
          </cell>
          <cell r="S30">
            <v>-11797</v>
          </cell>
          <cell r="V30">
            <v>-13613</v>
          </cell>
          <cell r="Y30">
            <v>-9778</v>
          </cell>
          <cell r="AB30">
            <v>-9766</v>
          </cell>
          <cell r="AC30">
            <v>-9566</v>
          </cell>
          <cell r="AD30">
            <v>-9569</v>
          </cell>
          <cell r="AE30">
            <v>-9962</v>
          </cell>
          <cell r="AF30">
            <v>-9521</v>
          </cell>
          <cell r="AG30">
            <v>-9284</v>
          </cell>
          <cell r="AI30">
            <v>-9316</v>
          </cell>
          <cell r="AJ30">
            <v>-9145</v>
          </cell>
          <cell r="AK30">
            <v>-9126</v>
          </cell>
          <cell r="AL30">
            <v>-9767</v>
          </cell>
          <cell r="AM30">
            <v>-9204</v>
          </cell>
          <cell r="AN30">
            <v>-9128</v>
          </cell>
          <cell r="AO30">
            <v>-9103</v>
          </cell>
          <cell r="AP30">
            <v>0</v>
          </cell>
          <cell r="AQ30">
            <v>-9056</v>
          </cell>
          <cell r="AR30">
            <v>-9056</v>
          </cell>
          <cell r="AS30">
            <v>-9056</v>
          </cell>
          <cell r="AT30">
            <v>-9064</v>
          </cell>
          <cell r="AU30">
            <v>-9200</v>
          </cell>
          <cell r="AV30">
            <v>-9036</v>
          </cell>
          <cell r="AW30">
            <v>-8840</v>
          </cell>
          <cell r="AX30">
            <v>-9200</v>
          </cell>
          <cell r="AY30">
            <v>-9200</v>
          </cell>
          <cell r="AZ30">
            <v>-9264</v>
          </cell>
          <cell r="BA30">
            <v>-8790</v>
          </cell>
          <cell r="BB30">
            <v>-8830</v>
          </cell>
          <cell r="BC30">
            <v>-12670</v>
          </cell>
          <cell r="BD30">
            <v>-12670</v>
          </cell>
          <cell r="BI30">
            <v>-9200</v>
          </cell>
          <cell r="BJ30">
            <v>-12670</v>
          </cell>
          <cell r="BK30">
            <v>-8854</v>
          </cell>
          <cell r="BL30">
            <v>-8716</v>
          </cell>
          <cell r="BM30">
            <v>-1595</v>
          </cell>
          <cell r="BN30">
            <v>-1595</v>
          </cell>
          <cell r="BO30">
            <v>-1595</v>
          </cell>
          <cell r="BP30">
            <v>-9000</v>
          </cell>
          <cell r="BQ30">
            <v>-9200</v>
          </cell>
        </row>
        <row r="32">
          <cell r="B32" t="str">
            <v>Net domestic assets</v>
          </cell>
          <cell r="D32">
            <v>71068</v>
          </cell>
          <cell r="E32">
            <v>76035.516999999993</v>
          </cell>
          <cell r="F32">
            <v>84647.365000000005</v>
          </cell>
          <cell r="G32">
            <v>94973.400999999998</v>
          </cell>
          <cell r="H32">
            <v>111987.68</v>
          </cell>
          <cell r="J32">
            <v>113382.319</v>
          </cell>
          <cell r="L32">
            <v>112882.052</v>
          </cell>
          <cell r="M32">
            <v>131953.32399999999</v>
          </cell>
          <cell r="N32">
            <v>134134.573</v>
          </cell>
          <cell r="O32">
            <v>146320.07</v>
          </cell>
          <cell r="P32">
            <v>151966.40299999999</v>
          </cell>
          <cell r="S32">
            <v>157183.54500000004</v>
          </cell>
          <cell r="V32">
            <v>164183.87</v>
          </cell>
          <cell r="Y32">
            <v>159358.636</v>
          </cell>
          <cell r="AB32">
            <v>160136.67600000001</v>
          </cell>
          <cell r="AC32">
            <v>164774.18700000001</v>
          </cell>
          <cell r="AD32">
            <v>164526.802</v>
          </cell>
          <cell r="AE32">
            <v>175244.655</v>
          </cell>
          <cell r="AF32">
            <v>174140.56799999997</v>
          </cell>
          <cell r="AG32">
            <v>179889.19700000001</v>
          </cell>
          <cell r="AI32">
            <v>186396.59299999999</v>
          </cell>
          <cell r="AJ32">
            <v>185985.329</v>
          </cell>
          <cell r="AK32">
            <v>185598.88199999998</v>
          </cell>
          <cell r="AL32">
            <v>158638.19113957381</v>
          </cell>
          <cell r="AM32">
            <v>181706.611</v>
          </cell>
          <cell r="AN32">
            <v>181391.26800000001</v>
          </cell>
          <cell r="AO32">
            <v>187766.49399999998</v>
          </cell>
          <cell r="AP32">
            <v>194720.21169185679</v>
          </cell>
          <cell r="AQ32">
            <v>192007.02799999999</v>
          </cell>
          <cell r="AR32">
            <v>190679.20600000003</v>
          </cell>
          <cell r="AS32">
            <v>198522.45600000001</v>
          </cell>
          <cell r="AT32">
            <v>202992.97899999999</v>
          </cell>
          <cell r="AU32" t="e">
            <v>#REF!</v>
          </cell>
          <cell r="AV32">
            <v>199116.984</v>
          </cell>
          <cell r="AW32">
            <v>205940.25499999998</v>
          </cell>
          <cell r="AX32" t="e">
            <v>#REF!</v>
          </cell>
          <cell r="AY32" t="e">
            <v>#REF!</v>
          </cell>
          <cell r="AZ32">
            <v>208752.37299999999</v>
          </cell>
          <cell r="BA32">
            <v>204559.492</v>
          </cell>
          <cell r="BB32">
            <v>202852.83499999999</v>
          </cell>
          <cell r="BC32">
            <v>193253.80800000002</v>
          </cell>
          <cell r="BD32">
            <v>199124</v>
          </cell>
          <cell r="BI32" t="e">
            <v>#REF!</v>
          </cell>
          <cell r="BJ32">
            <v>193846.96948876744</v>
          </cell>
          <cell r="BK32">
            <v>197550.98537767029</v>
          </cell>
          <cell r="BL32">
            <v>200688.31400000001</v>
          </cell>
          <cell r="BM32">
            <v>232665.70237380191</v>
          </cell>
          <cell r="BN32">
            <v>209799.22699999998</v>
          </cell>
          <cell r="BO32">
            <v>230671.74100000004</v>
          </cell>
          <cell r="BP32">
            <v>201122.02032786887</v>
          </cell>
          <cell r="BQ32" t="e">
            <v>#REF!</v>
          </cell>
        </row>
        <row r="33">
          <cell r="B33" t="str">
            <v xml:space="preserve">  Domestic credit</v>
          </cell>
          <cell r="D33">
            <v>81156.313999999998</v>
          </cell>
          <cell r="E33">
            <v>86778.519</v>
          </cell>
          <cell r="F33">
            <v>96253</v>
          </cell>
          <cell r="G33">
            <v>103660.53</v>
          </cell>
          <cell r="H33">
            <v>122036.83099999999</v>
          </cell>
          <cell r="J33">
            <v>126555.58799999999</v>
          </cell>
          <cell r="L33">
            <v>138019.30200000003</v>
          </cell>
          <cell r="M33">
            <v>155009.00599999999</v>
          </cell>
          <cell r="N33">
            <v>160416.62599999999</v>
          </cell>
          <cell r="O33">
            <v>176733.06399999998</v>
          </cell>
          <cell r="P33">
            <v>182410.54699999999</v>
          </cell>
          <cell r="S33">
            <v>191146.166</v>
          </cell>
          <cell r="V33">
            <v>200251.88</v>
          </cell>
          <cell r="Y33">
            <v>195384.573</v>
          </cell>
          <cell r="AB33">
            <v>199385.39199999999</v>
          </cell>
          <cell r="AC33">
            <v>206410.21599999999</v>
          </cell>
          <cell r="AD33">
            <v>205439.405</v>
          </cell>
          <cell r="AE33">
            <v>212589.283</v>
          </cell>
          <cell r="AF33">
            <v>216647.62</v>
          </cell>
          <cell r="AG33">
            <v>222025.69</v>
          </cell>
          <cell r="AI33">
            <v>226527.163</v>
          </cell>
          <cell r="AJ33">
            <v>231328.571</v>
          </cell>
          <cell r="AK33">
            <v>233573.49400000001</v>
          </cell>
          <cell r="AL33">
            <v>201184.88481200323</v>
          </cell>
          <cell r="AM33">
            <v>233077.12899999999</v>
          </cell>
          <cell r="AN33">
            <v>236160.78999999998</v>
          </cell>
          <cell r="AO33">
            <v>239283.15100000001</v>
          </cell>
          <cell r="AP33">
            <v>204058.20011623675</v>
          </cell>
          <cell r="AQ33">
            <v>239927.17100000003</v>
          </cell>
          <cell r="AR33">
            <v>243766.97200000001</v>
          </cell>
          <cell r="AS33">
            <v>251443</v>
          </cell>
          <cell r="AT33">
            <v>257142.10500000001</v>
          </cell>
          <cell r="AU33" t="e">
            <v>#REF!</v>
          </cell>
          <cell r="AV33">
            <v>256256.58100000001</v>
          </cell>
          <cell r="AW33">
            <v>260387.13199999998</v>
          </cell>
          <cell r="AX33" t="e">
            <v>#REF!</v>
          </cell>
          <cell r="AY33" t="e">
            <v>#REF!</v>
          </cell>
          <cell r="AZ33">
            <v>266521.61800000002</v>
          </cell>
          <cell r="BA33">
            <v>263265</v>
          </cell>
          <cell r="BB33">
            <v>262857.61</v>
          </cell>
          <cell r="BC33">
            <v>261119</v>
          </cell>
          <cell r="BD33">
            <v>261119</v>
          </cell>
          <cell r="BI33" t="e">
            <v>#REF!</v>
          </cell>
          <cell r="BJ33">
            <v>260989</v>
          </cell>
          <cell r="BK33">
            <v>263555</v>
          </cell>
          <cell r="BL33">
            <v>265473</v>
          </cell>
          <cell r="BM33">
            <v>289666.17850479233</v>
          </cell>
          <cell r="BN33">
            <v>287244.78000000003</v>
          </cell>
          <cell r="BO33">
            <v>308283.08400000003</v>
          </cell>
          <cell r="BP33">
            <v>269122.02032786887</v>
          </cell>
          <cell r="BQ33" t="e">
            <v>#REF!</v>
          </cell>
        </row>
        <row r="34">
          <cell r="B34" t="str">
            <v xml:space="preserve">    Government (net)</v>
          </cell>
          <cell r="D34">
            <v>10269.959999999999</v>
          </cell>
          <cell r="E34">
            <v>9197.9380000000001</v>
          </cell>
          <cell r="F34">
            <v>11223.005000000001</v>
          </cell>
          <cell r="G34">
            <v>13688.509</v>
          </cell>
          <cell r="H34">
            <v>22061.578999999998</v>
          </cell>
          <cell r="J34">
            <v>25629.692999999999</v>
          </cell>
          <cell r="L34">
            <v>34608.497000000003</v>
          </cell>
          <cell r="M34">
            <v>49045.04</v>
          </cell>
          <cell r="N34">
            <v>45413.864000000001</v>
          </cell>
          <cell r="O34">
            <v>58302.190999999999</v>
          </cell>
          <cell r="P34">
            <v>54340.256999999998</v>
          </cell>
          <cell r="S34">
            <v>55717.919000000002</v>
          </cell>
          <cell r="V34">
            <v>51272.695</v>
          </cell>
          <cell r="Y34">
            <v>35833.53</v>
          </cell>
          <cell r="AB34">
            <v>28359.267</v>
          </cell>
          <cell r="AC34">
            <v>31024.202999999998</v>
          </cell>
          <cell r="AD34">
            <v>29324.383000000002</v>
          </cell>
          <cell r="AE34">
            <v>35171.459000000003</v>
          </cell>
          <cell r="AF34">
            <v>37769.670999999995</v>
          </cell>
          <cell r="AG34">
            <v>40235.144</v>
          </cell>
          <cell r="AI34">
            <v>41794</v>
          </cell>
          <cell r="AJ34">
            <v>43444.842000000004</v>
          </cell>
          <cell r="AK34">
            <v>45029.417000000001</v>
          </cell>
          <cell r="AL34">
            <v>29547</v>
          </cell>
          <cell r="AM34">
            <v>41778.482000000004</v>
          </cell>
          <cell r="AN34">
            <v>44837.458999999995</v>
          </cell>
          <cell r="AO34">
            <v>43704.533000000003</v>
          </cell>
          <cell r="AP34">
            <v>29665.600000000006</v>
          </cell>
          <cell r="AQ34">
            <v>42200.141000000003</v>
          </cell>
          <cell r="AR34">
            <v>42282.921999999999</v>
          </cell>
          <cell r="AS34">
            <v>48948</v>
          </cell>
          <cell r="AT34">
            <v>52547</v>
          </cell>
          <cell r="AU34" t="e">
            <v>#REF!</v>
          </cell>
          <cell r="AV34">
            <v>51445</v>
          </cell>
          <cell r="AW34">
            <v>52378.527000000002</v>
          </cell>
          <cell r="AX34" t="e">
            <v>#REF!</v>
          </cell>
          <cell r="AY34" t="e">
            <v>#REF!</v>
          </cell>
          <cell r="AZ34">
            <v>53782.023999999998</v>
          </cell>
          <cell r="BA34">
            <v>50247</v>
          </cell>
          <cell r="BB34">
            <v>46311.334999999999</v>
          </cell>
          <cell r="BC34">
            <v>37443</v>
          </cell>
          <cell r="BD34">
            <v>37443</v>
          </cell>
          <cell r="BI34" t="e">
            <v>#REF!</v>
          </cell>
          <cell r="BJ34">
            <v>37313</v>
          </cell>
          <cell r="BK34">
            <v>38566</v>
          </cell>
          <cell r="BL34">
            <v>37401</v>
          </cell>
          <cell r="BM34">
            <v>51960</v>
          </cell>
          <cell r="BN34">
            <v>51960</v>
          </cell>
          <cell r="BO34">
            <v>51960</v>
          </cell>
          <cell r="BP34">
            <v>41155.100327868859</v>
          </cell>
          <cell r="BQ34" t="e">
            <v>#REF!</v>
          </cell>
        </row>
        <row r="35">
          <cell r="B35" t="str">
            <v xml:space="preserve">      Credit</v>
          </cell>
          <cell r="N35">
            <v>47181.864000000001</v>
          </cell>
          <cell r="P35">
            <v>55373.307999999997</v>
          </cell>
          <cell r="S35">
            <v>56778.967000000004</v>
          </cell>
          <cell r="V35">
            <v>52282.720999999998</v>
          </cell>
          <cell r="Y35">
            <v>37601.828000000001</v>
          </cell>
          <cell r="AB35">
            <v>30200.797999999999</v>
          </cell>
          <cell r="AC35">
            <v>32811.983</v>
          </cell>
          <cell r="AD35">
            <v>31175.434000000001</v>
          </cell>
          <cell r="AE35">
            <v>37042.451000000001</v>
          </cell>
          <cell r="AF35">
            <v>39299.605999999992</v>
          </cell>
          <cell r="AG35">
            <v>41836.597000000002</v>
          </cell>
          <cell r="AI35">
            <v>43212.705999999998</v>
          </cell>
          <cell r="AJ35">
            <v>44932.028000000006</v>
          </cell>
          <cell r="AK35">
            <v>46546.101000000002</v>
          </cell>
          <cell r="AM35">
            <v>43296.942000000003</v>
          </cell>
          <cell r="AP35">
            <v>29665.600000000006</v>
          </cell>
          <cell r="AQ35">
            <v>43564.592000000004</v>
          </cell>
        </row>
        <row r="36">
          <cell r="B36" t="str">
            <v xml:space="preserve">      Deposits</v>
          </cell>
          <cell r="N36">
            <v>-1768</v>
          </cell>
          <cell r="P36">
            <v>-1033.0509999999999</v>
          </cell>
          <cell r="S36">
            <v>-1061.048</v>
          </cell>
          <cell r="V36">
            <v>-1010.026</v>
          </cell>
          <cell r="Y36">
            <v>-1768.298</v>
          </cell>
          <cell r="AB36">
            <v>-1841.5309999999999</v>
          </cell>
          <cell r="AC36">
            <v>-1787.78</v>
          </cell>
          <cell r="AD36">
            <v>-1851.0509999999999</v>
          </cell>
          <cell r="AE36">
            <v>-1870.992</v>
          </cell>
          <cell r="AF36">
            <v>-1529.9349999999999</v>
          </cell>
          <cell r="AG36">
            <v>-1601.453</v>
          </cell>
          <cell r="AI36">
            <v>-1418.7060000000001</v>
          </cell>
          <cell r="AJ36">
            <v>-1487.1860000000001</v>
          </cell>
          <cell r="AK36">
            <v>-1516.6840000000002</v>
          </cell>
          <cell r="AM36">
            <v>-1518.46</v>
          </cell>
          <cell r="AQ36">
            <v>-1364.451</v>
          </cell>
        </row>
        <row r="37">
          <cell r="B37" t="str">
            <v xml:space="preserve">    Other public sector</v>
          </cell>
          <cell r="D37">
            <v>3877.17</v>
          </cell>
          <cell r="E37">
            <v>5092.33</v>
          </cell>
          <cell r="F37">
            <v>4712.1819999999998</v>
          </cell>
          <cell r="G37">
            <v>4366.4949999999999</v>
          </cell>
          <cell r="H37">
            <v>4479.4229999999998</v>
          </cell>
          <cell r="J37">
            <v>3565.0140000000001</v>
          </cell>
          <cell r="L37">
            <v>4398.3789999999999</v>
          </cell>
          <cell r="M37">
            <v>4542.0919999999996</v>
          </cell>
          <cell r="N37">
            <v>4974.4459999999999</v>
          </cell>
          <cell r="O37">
            <v>4529.8100000000004</v>
          </cell>
          <cell r="P37">
            <v>5752.1760000000004</v>
          </cell>
          <cell r="S37">
            <v>5833.8609999999999</v>
          </cell>
          <cell r="V37">
            <v>5591.6610000000001</v>
          </cell>
          <cell r="Y37">
            <v>5304.0680000000002</v>
          </cell>
          <cell r="AB37">
            <v>5367.5410000000002</v>
          </cell>
          <cell r="AC37">
            <v>5169.4440000000004</v>
          </cell>
          <cell r="AD37">
            <v>4607.3019999999997</v>
          </cell>
          <cell r="AE37">
            <v>4572.5810000000001</v>
          </cell>
          <cell r="AF37">
            <v>4545.1040000000003</v>
          </cell>
          <cell r="AG37">
            <v>4665.2299999999996</v>
          </cell>
          <cell r="AI37">
            <v>4076.9560000000001</v>
          </cell>
          <cell r="AJ37">
            <v>4916.9290000000001</v>
          </cell>
          <cell r="AK37">
            <v>4991.8599999999997</v>
          </cell>
          <cell r="AL37">
            <v>5368</v>
          </cell>
          <cell r="AM37">
            <v>5958.6049999999996</v>
          </cell>
          <cell r="AN37">
            <v>5624.5690000000004</v>
          </cell>
          <cell r="AO37">
            <v>5570.6180000000004</v>
          </cell>
          <cell r="AP37">
            <v>5368</v>
          </cell>
          <cell r="AQ37">
            <v>5696.83</v>
          </cell>
          <cell r="AR37">
            <v>6033.15</v>
          </cell>
          <cell r="AS37">
            <v>5464</v>
          </cell>
          <cell r="AT37">
            <v>5543.0320000000002</v>
          </cell>
          <cell r="AU37">
            <v>5368</v>
          </cell>
          <cell r="AV37">
            <v>5556.2330000000002</v>
          </cell>
          <cell r="AW37">
            <v>5527.2539999999999</v>
          </cell>
          <cell r="AX37">
            <v>5368</v>
          </cell>
          <cell r="AY37">
            <v>5368</v>
          </cell>
          <cell r="AZ37">
            <v>5627.8109999999997</v>
          </cell>
          <cell r="BA37">
            <v>5505</v>
          </cell>
          <cell r="BB37">
            <v>5424.125</v>
          </cell>
          <cell r="BC37">
            <v>6681</v>
          </cell>
          <cell r="BD37">
            <v>6681</v>
          </cell>
          <cell r="BI37">
            <v>5368</v>
          </cell>
          <cell r="BJ37">
            <v>6681</v>
          </cell>
          <cell r="BK37">
            <v>7351</v>
          </cell>
          <cell r="BL37">
            <v>7291</v>
          </cell>
          <cell r="BM37">
            <v>7872.3149999999996</v>
          </cell>
          <cell r="BN37">
            <v>7872.3149999999996</v>
          </cell>
          <cell r="BO37">
            <v>7822.8209999999999</v>
          </cell>
          <cell r="BP37">
            <v>7500</v>
          </cell>
          <cell r="BQ37">
            <v>5368</v>
          </cell>
        </row>
        <row r="38">
          <cell r="B38" t="str">
            <v xml:space="preserve">    Private sector</v>
          </cell>
          <cell r="D38">
            <v>67009.183999999994</v>
          </cell>
          <cell r="E38">
            <v>72488.251000000004</v>
          </cell>
          <cell r="F38">
            <v>80317.812999999995</v>
          </cell>
          <cell r="G38">
            <v>85605.525999999998</v>
          </cell>
          <cell r="H38">
            <v>95495.828999999998</v>
          </cell>
          <cell r="J38">
            <v>97360.880999999994</v>
          </cell>
          <cell r="L38">
            <v>99012.426000000007</v>
          </cell>
          <cell r="M38">
            <v>101421.874</v>
          </cell>
          <cell r="N38">
            <v>110028.31600000001</v>
          </cell>
          <cell r="O38">
            <v>113901.06299999999</v>
          </cell>
          <cell r="P38">
            <v>122318.114</v>
          </cell>
          <cell r="S38">
            <v>129594.386</v>
          </cell>
          <cell r="V38">
            <v>143387.524</v>
          </cell>
          <cell r="Y38">
            <v>154246.97500000001</v>
          </cell>
          <cell r="AB38">
            <v>165658.584</v>
          </cell>
          <cell r="AC38">
            <v>170216.56899999999</v>
          </cell>
          <cell r="AD38">
            <v>171507.72</v>
          </cell>
          <cell r="AE38">
            <v>172845.24299999999</v>
          </cell>
          <cell r="AF38">
            <v>174332.845</v>
          </cell>
          <cell r="AG38">
            <v>177125.31599999999</v>
          </cell>
          <cell r="AI38">
            <v>180656.20699999999</v>
          </cell>
          <cell r="AJ38">
            <v>182966.8</v>
          </cell>
          <cell r="AK38">
            <v>183552.217</v>
          </cell>
          <cell r="AL38">
            <v>166269.88481200323</v>
          </cell>
          <cell r="AM38">
            <v>185340.04199999999</v>
          </cell>
          <cell r="AN38">
            <v>185698.76199999999</v>
          </cell>
          <cell r="AO38">
            <v>190008</v>
          </cell>
          <cell r="AP38">
            <v>169024.60011623675</v>
          </cell>
          <cell r="AQ38">
            <v>192030.2</v>
          </cell>
          <cell r="AR38">
            <v>195450.9</v>
          </cell>
          <cell r="AS38">
            <v>197031</v>
          </cell>
          <cell r="AT38">
            <v>199052.073</v>
          </cell>
          <cell r="AU38">
            <v>200985.55514449393</v>
          </cell>
          <cell r="AV38">
            <v>199255.348</v>
          </cell>
          <cell r="AW38">
            <v>202481.351</v>
          </cell>
          <cell r="AX38">
            <v>210358.54452445713</v>
          </cell>
          <cell r="AY38">
            <v>203033.11446000001</v>
          </cell>
          <cell r="AZ38">
            <v>207111.783</v>
          </cell>
          <cell r="BA38">
            <v>207513</v>
          </cell>
          <cell r="BB38">
            <v>211122.15</v>
          </cell>
          <cell r="BC38">
            <v>216995</v>
          </cell>
          <cell r="BD38">
            <v>216995</v>
          </cell>
          <cell r="BI38">
            <v>209182.90083</v>
          </cell>
          <cell r="BJ38">
            <v>216995</v>
          </cell>
          <cell r="BK38">
            <v>217638</v>
          </cell>
          <cell r="BL38">
            <v>220781</v>
          </cell>
          <cell r="BM38">
            <v>229833.86350479233</v>
          </cell>
          <cell r="BN38">
            <v>227412.465</v>
          </cell>
          <cell r="BO38">
            <v>248500.26300000001</v>
          </cell>
          <cell r="BP38">
            <v>220466.92</v>
          </cell>
          <cell r="BQ38">
            <v>213366.5588466</v>
          </cell>
        </row>
        <row r="39">
          <cell r="B39" t="str">
            <v xml:space="preserve">  Other items (net)</v>
          </cell>
          <cell r="D39">
            <v>-10088.313999999998</v>
          </cell>
          <cell r="E39">
            <v>-10743.002000000008</v>
          </cell>
          <cell r="F39">
            <v>-11605.634999999995</v>
          </cell>
          <cell r="G39">
            <v>-8687.1290000000008</v>
          </cell>
          <cell r="H39">
            <v>-10049.150999999998</v>
          </cell>
          <cell r="J39">
            <v>-13173.268999999986</v>
          </cell>
          <cell r="L39">
            <v>-25137.250000000029</v>
          </cell>
          <cell r="M39">
            <v>-23055.682000000001</v>
          </cell>
          <cell r="N39">
            <v>-26282.052999999985</v>
          </cell>
          <cell r="O39">
            <v>-30412.993999999977</v>
          </cell>
          <cell r="P39">
            <v>-30444.144</v>
          </cell>
          <cell r="S39">
            <v>-33962.620999999956</v>
          </cell>
          <cell r="V39">
            <v>-36068.010000000009</v>
          </cell>
          <cell r="Y39">
            <v>-36025.937000000005</v>
          </cell>
          <cell r="AB39">
            <v>-39248.715999999986</v>
          </cell>
          <cell r="AC39">
            <v>-41636.02899999998</v>
          </cell>
          <cell r="AD39">
            <v>-40912.603000000003</v>
          </cell>
          <cell r="AE39">
            <v>-37344.627999999997</v>
          </cell>
          <cell r="AF39">
            <v>-42507.052000000025</v>
          </cell>
          <cell r="AG39">
            <v>-42136.492999999988</v>
          </cell>
          <cell r="AI39">
            <v>-40130.570000000007</v>
          </cell>
          <cell r="AJ39">
            <v>-45343.241999999998</v>
          </cell>
          <cell r="AK39">
            <v>-47974.612000000023</v>
          </cell>
          <cell r="AL39">
            <v>-42546.693672429421</v>
          </cell>
          <cell r="AM39">
            <v>-51370.517999999982</v>
          </cell>
          <cell r="AN39">
            <v>-54769.521999999968</v>
          </cell>
          <cell r="AO39">
            <v>-51516.657000000036</v>
          </cell>
          <cell r="AP39">
            <v>-9337.9884243799606</v>
          </cell>
          <cell r="AQ39">
            <v>-47920.14300000004</v>
          </cell>
          <cell r="AR39">
            <v>-53087.765999999974</v>
          </cell>
          <cell r="AS39">
            <v>-52920.543999999994</v>
          </cell>
          <cell r="AT39">
            <v>-54149.126000000018</v>
          </cell>
          <cell r="AU39">
            <v>-52919.999999993801</v>
          </cell>
          <cell r="AV39">
            <v>-57139.597000000009</v>
          </cell>
          <cell r="AW39">
            <v>-54446.877000000008</v>
          </cell>
          <cell r="AX39">
            <v>-50000</v>
          </cell>
          <cell r="AY39">
            <v>-50900</v>
          </cell>
          <cell r="AZ39">
            <v>-57769.245000000024</v>
          </cell>
          <cell r="BA39">
            <v>-58705.508000000002</v>
          </cell>
          <cell r="BB39">
            <v>-60004.774999999994</v>
          </cell>
          <cell r="BC39">
            <v>-67865.191999999981</v>
          </cell>
          <cell r="BD39">
            <v>-61995</v>
          </cell>
          <cell r="BI39">
            <v>-55000</v>
          </cell>
          <cell r="BJ39">
            <v>-67142.030511232559</v>
          </cell>
          <cell r="BK39">
            <v>-66004.014622329705</v>
          </cell>
          <cell r="BL39">
            <v>-64784.685999999987</v>
          </cell>
          <cell r="BM39">
            <v>-57000.476130990428</v>
          </cell>
          <cell r="BN39">
            <v>-77445.553000000044</v>
          </cell>
          <cell r="BO39">
            <v>-77611.342999999993</v>
          </cell>
          <cell r="BP39">
            <v>-68000</v>
          </cell>
          <cell r="BQ39">
            <v>-55000</v>
          </cell>
        </row>
        <row r="41">
          <cell r="B41" t="str">
            <v xml:space="preserve">       claims on local government</v>
          </cell>
          <cell r="BM41">
            <v>-49.494</v>
          </cell>
          <cell r="BN41">
            <v>-49.494</v>
          </cell>
          <cell r="BO41">
            <v>-49.494</v>
          </cell>
        </row>
        <row r="42">
          <cell r="B42" t="str">
            <v xml:space="preserve">       claims on non-depository financial enterprises</v>
          </cell>
          <cell r="BM42">
            <v>8409.2839999999997</v>
          </cell>
          <cell r="BN42">
            <v>8409.2839999999997</v>
          </cell>
          <cell r="BO42">
            <v>8409.2839999999997</v>
          </cell>
        </row>
        <row r="44">
          <cell r="B44" t="str">
            <v>Total deposits</v>
          </cell>
          <cell r="D44">
            <v>75390.39</v>
          </cell>
          <cell r="E44">
            <v>80733.207999999999</v>
          </cell>
          <cell r="F44">
            <v>89190.36</v>
          </cell>
          <cell r="G44">
            <v>94720.293000000005</v>
          </cell>
          <cell r="H44">
            <v>109366.12</v>
          </cell>
          <cell r="J44">
            <v>112831.38</v>
          </cell>
          <cell r="L44">
            <v>134837</v>
          </cell>
          <cell r="M44">
            <v>147788.753</v>
          </cell>
          <cell r="N44">
            <v>147187</v>
          </cell>
          <cell r="O44">
            <v>160078.448</v>
          </cell>
          <cell r="P44">
            <v>177922.39799999999</v>
          </cell>
          <cell r="S44">
            <v>177281.11800000002</v>
          </cell>
          <cell r="V44">
            <v>185438.193</v>
          </cell>
          <cell r="Y44">
            <v>188185.10399999999</v>
          </cell>
          <cell r="AB44">
            <v>197414.94899999999</v>
          </cell>
          <cell r="AC44">
            <v>201309.981</v>
          </cell>
          <cell r="AD44">
            <v>202170.26199999999</v>
          </cell>
          <cell r="AE44">
            <v>209532.10800000001</v>
          </cell>
          <cell r="AF44">
            <v>213522.53099999999</v>
          </cell>
          <cell r="AG44">
            <v>215547.68400000001</v>
          </cell>
          <cell r="AI44">
            <v>221189</v>
          </cell>
          <cell r="AJ44">
            <v>225291.23</v>
          </cell>
          <cell r="AK44">
            <v>224328.8</v>
          </cell>
          <cell r="AL44">
            <v>193838.61677747327</v>
          </cell>
          <cell r="AM44">
            <v>221609.73</v>
          </cell>
          <cell r="AN44">
            <v>223706.239</v>
          </cell>
          <cell r="AO44">
            <v>226045.26799999998</v>
          </cell>
          <cell r="AP44">
            <v>197207.76325985679</v>
          </cell>
          <cell r="AQ44">
            <v>232212</v>
          </cell>
          <cell r="AR44">
            <v>233259.90000000002</v>
          </cell>
          <cell r="AS44">
            <v>241201</v>
          </cell>
          <cell r="AT44">
            <v>246391.255</v>
          </cell>
          <cell r="AU44">
            <v>242584.32619616517</v>
          </cell>
          <cell r="AV44">
            <v>245002</v>
          </cell>
          <cell r="AW44">
            <v>247468.79999999999</v>
          </cell>
          <cell r="AX44" t="e">
            <v>#REF!</v>
          </cell>
          <cell r="AY44" t="e">
            <v>#REF!</v>
          </cell>
          <cell r="AZ44">
            <v>245860</v>
          </cell>
          <cell r="BA44">
            <v>244542</v>
          </cell>
          <cell r="BB44">
            <v>248984.39199999999</v>
          </cell>
          <cell r="BC44">
            <v>237014</v>
          </cell>
          <cell r="BD44">
            <v>237014</v>
          </cell>
          <cell r="BI44" t="e">
            <v>#REF!</v>
          </cell>
          <cell r="BJ44">
            <v>237014</v>
          </cell>
          <cell r="BK44">
            <v>235418</v>
          </cell>
          <cell r="BL44">
            <v>236813</v>
          </cell>
          <cell r="BM44">
            <v>286341.80032907345</v>
          </cell>
          <cell r="BN44">
            <v>250352.43099999998</v>
          </cell>
          <cell r="BO44">
            <v>281808.33100000001</v>
          </cell>
          <cell r="BP44">
            <v>239786.88524590165</v>
          </cell>
          <cell r="BQ44" t="e">
            <v>#REF!</v>
          </cell>
        </row>
        <row r="46">
          <cell r="B46" t="str">
            <v>Monetary survey</v>
          </cell>
        </row>
        <row r="48">
          <cell r="B48" t="str">
            <v xml:space="preserve">Net foreign assets </v>
          </cell>
          <cell r="D48">
            <v>-6498.7388000000001</v>
          </cell>
          <cell r="E48">
            <v>-8971.49683</v>
          </cell>
          <cell r="F48">
            <v>-9180.1792399999958</v>
          </cell>
          <cell r="G48">
            <v>-9436.9481599999999</v>
          </cell>
          <cell r="H48">
            <v>-7288.3541999999989</v>
          </cell>
          <cell r="J48">
            <v>-1010.3852700000043</v>
          </cell>
          <cell r="L48">
            <v>20641.261950000004</v>
          </cell>
          <cell r="M48">
            <v>25912.299719999995</v>
          </cell>
          <cell r="N48">
            <v>24426.338299999999</v>
          </cell>
          <cell r="O48">
            <v>22599.842240000002</v>
          </cell>
          <cell r="P48">
            <v>13290.521000000001</v>
          </cell>
          <cell r="S48">
            <v>13220.894999999997</v>
          </cell>
          <cell r="V48">
            <v>10257.816999999999</v>
          </cell>
          <cell r="Y48">
            <v>8632.7610000000004</v>
          </cell>
          <cell r="AB48">
            <v>6913.1280000000042</v>
          </cell>
          <cell r="AC48">
            <v>8759.9739999999983</v>
          </cell>
          <cell r="AD48">
            <v>8785.4599999999991</v>
          </cell>
          <cell r="AE48">
            <v>13949.453000000001</v>
          </cell>
          <cell r="AF48">
            <v>16935.963000000007</v>
          </cell>
          <cell r="AG48">
            <v>20107.487000000001</v>
          </cell>
          <cell r="AI48">
            <v>26639.507000000005</v>
          </cell>
          <cell r="AJ48">
            <v>25455.716924</v>
          </cell>
          <cell r="AK48">
            <v>27489.838</v>
          </cell>
          <cell r="AL48">
            <v>11661.15</v>
          </cell>
          <cell r="AM48">
            <v>23472.021000000001</v>
          </cell>
          <cell r="AN48">
            <v>29621.271999999997</v>
          </cell>
          <cell r="AO48">
            <v>12072.872432</v>
          </cell>
          <cell r="AP48">
            <v>13844.65</v>
          </cell>
          <cell r="AQ48">
            <v>28644.972000000005</v>
          </cell>
          <cell r="AR48">
            <v>27880.694000000003</v>
          </cell>
          <cell r="AS48">
            <v>33251.544000000002</v>
          </cell>
          <cell r="AT48">
            <v>38225.276000000005</v>
          </cell>
          <cell r="AU48" t="e">
            <v>#REF!</v>
          </cell>
          <cell r="AV48">
            <v>40928.016000000003</v>
          </cell>
          <cell r="AW48">
            <v>38761.544999999998</v>
          </cell>
          <cell r="AX48" t="e">
            <v>#REF!</v>
          </cell>
          <cell r="AY48">
            <v>39299</v>
          </cell>
          <cell r="AZ48">
            <v>40069.627</v>
          </cell>
          <cell r="BA48">
            <v>38386.597999999998</v>
          </cell>
          <cell r="BB48">
            <v>42146.626999999993</v>
          </cell>
          <cell r="BC48">
            <v>35755.741999999998</v>
          </cell>
          <cell r="BD48">
            <v>29885.550000000003</v>
          </cell>
          <cell r="BI48" t="e">
            <v>#DIV/0!</v>
          </cell>
          <cell r="BJ48">
            <v>32459.880511232561</v>
          </cell>
          <cell r="BK48">
            <v>33747.704622329707</v>
          </cell>
          <cell r="BL48">
            <v>33805.806000000004</v>
          </cell>
          <cell r="BM48">
            <v>49224.437955271555</v>
          </cell>
          <cell r="BN48">
            <v>34848.933999999994</v>
          </cell>
          <cell r="BO48">
            <v>45432.319999999992</v>
          </cell>
          <cell r="BP48">
            <v>46215.297916898024</v>
          </cell>
          <cell r="BQ48" t="e">
            <v>#DIV/0!</v>
          </cell>
        </row>
        <row r="50">
          <cell r="B50" t="str">
            <v xml:space="preserve">Net domestic assets </v>
          </cell>
          <cell r="D50">
            <v>94571.738799999992</v>
          </cell>
          <cell r="E50">
            <v>100406.70483</v>
          </cell>
          <cell r="F50">
            <v>113517.17924</v>
          </cell>
          <cell r="G50">
            <v>116882.24116000001</v>
          </cell>
          <cell r="H50">
            <v>139383.3542</v>
          </cell>
          <cell r="J50">
            <v>137840.38527</v>
          </cell>
          <cell r="L50">
            <v>140948.73804999999</v>
          </cell>
          <cell r="M50">
            <v>148976.40427999999</v>
          </cell>
          <cell r="N50">
            <v>147498.6617</v>
          </cell>
          <cell r="O50">
            <v>163882.65776000003</v>
          </cell>
          <cell r="P50">
            <v>192531.40300000002</v>
          </cell>
          <cell r="S50">
            <v>192136.54500000004</v>
          </cell>
          <cell r="V50">
            <v>205652.87</v>
          </cell>
          <cell r="Y50">
            <v>211442.149</v>
          </cell>
          <cell r="AB50">
            <v>224731.821</v>
          </cell>
          <cell r="AC50">
            <v>226564.00700000001</v>
          </cell>
          <cell r="AD50">
            <v>227574.802</v>
          </cell>
          <cell r="AE50">
            <v>230328.655</v>
          </cell>
          <cell r="AF50">
            <v>230740.56799999997</v>
          </cell>
          <cell r="AG50">
            <v>229300.19700000001</v>
          </cell>
          <cell r="AI50">
            <v>228996.49299999999</v>
          </cell>
          <cell r="AJ50">
            <v>234736.483076</v>
          </cell>
          <cell r="AK50">
            <v>232156.88199999998</v>
          </cell>
          <cell r="AL50">
            <v>210154.84999999998</v>
          </cell>
          <cell r="AM50">
            <v>232109.61099999998</v>
          </cell>
          <cell r="AN50">
            <v>228216.26800000001</v>
          </cell>
          <cell r="AO50">
            <v>236375.11899999998</v>
          </cell>
          <cell r="AP50">
            <v>189363.11325985679</v>
          </cell>
          <cell r="AQ50">
            <v>239844.02799999999</v>
          </cell>
          <cell r="AR50">
            <v>242555.20599999998</v>
          </cell>
          <cell r="AS50">
            <v>244343.45600000001</v>
          </cell>
          <cell r="AT50">
            <v>245622.97899999996</v>
          </cell>
          <cell r="AU50" t="e">
            <v>#REF!</v>
          </cell>
          <cell r="AV50">
            <v>240160.984</v>
          </cell>
          <cell r="AW50">
            <v>244370.25499999998</v>
          </cell>
          <cell r="AX50" t="e">
            <v>#REF!</v>
          </cell>
          <cell r="AY50" t="e">
            <v>#REF!</v>
          </cell>
          <cell r="AZ50">
            <v>241567.37299999999</v>
          </cell>
          <cell r="BA50">
            <v>243215.402</v>
          </cell>
          <cell r="BB50">
            <v>245901.76500000001</v>
          </cell>
          <cell r="BC50">
            <v>239029.25800000003</v>
          </cell>
          <cell r="BD50">
            <v>244899.45</v>
          </cell>
          <cell r="BI50" t="e">
            <v>#REF!</v>
          </cell>
          <cell r="BJ50">
            <v>242325.11948876744</v>
          </cell>
          <cell r="BK50">
            <v>241808.29537767029</v>
          </cell>
          <cell r="BL50">
            <v>244614.19400000002</v>
          </cell>
          <cell r="BM50">
            <v>273265.36237380188</v>
          </cell>
          <cell r="BN50">
            <v>259845.49699999997</v>
          </cell>
          <cell r="BO50">
            <v>272524.01100000006</v>
          </cell>
          <cell r="BP50">
            <v>236571.58732900361</v>
          </cell>
          <cell r="BQ50" t="e">
            <v>#REF!</v>
          </cell>
        </row>
        <row r="51">
          <cell r="B51" t="str">
            <v xml:space="preserve">  Domestic credit</v>
          </cell>
          <cell r="D51">
            <v>104515.31399999998</v>
          </cell>
          <cell r="E51">
            <v>111980.519</v>
          </cell>
          <cell r="F51">
            <v>124244</v>
          </cell>
          <cell r="G51">
            <v>126607.53</v>
          </cell>
          <cell r="H51">
            <v>142160.83100000001</v>
          </cell>
          <cell r="J51">
            <v>137263.58799999999</v>
          </cell>
          <cell r="L51">
            <v>153491.30200000003</v>
          </cell>
          <cell r="M51">
            <v>159523.00599999999</v>
          </cell>
          <cell r="N51">
            <v>159960.62599999999</v>
          </cell>
          <cell r="O51">
            <v>179855.06400000001</v>
          </cell>
          <cell r="P51">
            <v>204187.54700000002</v>
          </cell>
          <cell r="S51">
            <v>210450.166</v>
          </cell>
          <cell r="V51">
            <v>224549.88</v>
          </cell>
          <cell r="Y51">
            <v>230943.573</v>
          </cell>
          <cell r="AB51">
            <v>249512.39199999999</v>
          </cell>
          <cell r="AC51">
            <v>252263.21599999999</v>
          </cell>
          <cell r="AD51">
            <v>253246.405</v>
          </cell>
          <cell r="AE51">
            <v>253248.283</v>
          </cell>
          <cell r="AF51">
            <v>259281.62</v>
          </cell>
          <cell r="AG51">
            <v>257702.69</v>
          </cell>
          <cell r="AI51">
            <v>254349.163</v>
          </cell>
          <cell r="AJ51">
            <v>265901.571</v>
          </cell>
          <cell r="AK51">
            <v>266400.49400000001</v>
          </cell>
          <cell r="AL51">
            <v>242483.88481200323</v>
          </cell>
          <cell r="AM51">
            <v>270233.12899999996</v>
          </cell>
          <cell r="AN51">
            <v>267009.78999999998</v>
          </cell>
          <cell r="AO51">
            <v>272322.15100000001</v>
          </cell>
          <cell r="AP51">
            <v>244141.20011623675</v>
          </cell>
          <cell r="AQ51">
            <v>272521.17100000003</v>
          </cell>
          <cell r="AR51">
            <v>280470.97199999995</v>
          </cell>
          <cell r="AS51">
            <v>283283</v>
          </cell>
          <cell r="AT51">
            <v>285761.10499999998</v>
          </cell>
          <cell r="AU51" t="e">
            <v>#REF!</v>
          </cell>
          <cell r="AV51">
            <v>284656.58100000001</v>
          </cell>
          <cell r="AW51">
            <v>283713.13199999998</v>
          </cell>
          <cell r="AX51" t="e">
            <v>#REF!</v>
          </cell>
          <cell r="AY51" t="e">
            <v>#REF!</v>
          </cell>
          <cell r="AZ51">
            <v>285681.61800000002</v>
          </cell>
          <cell r="BA51">
            <v>292543</v>
          </cell>
          <cell r="BB51">
            <v>299584.61</v>
          </cell>
          <cell r="BC51">
            <v>295991</v>
          </cell>
          <cell r="BD51">
            <v>295991</v>
          </cell>
          <cell r="BI51" t="e">
            <v>#REF!</v>
          </cell>
          <cell r="BJ51">
            <v>295861</v>
          </cell>
          <cell r="BK51">
            <v>300291</v>
          </cell>
          <cell r="BL51">
            <v>299419</v>
          </cell>
          <cell r="BM51">
            <v>326955.17850479233</v>
          </cell>
          <cell r="BN51">
            <v>324533.78000000003</v>
          </cell>
          <cell r="BO51">
            <v>345572.08400000003</v>
          </cell>
          <cell r="BP51">
            <v>292634.58732900361</v>
          </cell>
          <cell r="BQ51" t="e">
            <v>#REF!</v>
          </cell>
        </row>
        <row r="52">
          <cell r="B52" t="str">
            <v xml:space="preserve">    Government (net)</v>
          </cell>
          <cell r="D52">
            <v>33628.959999999999</v>
          </cell>
          <cell r="E52">
            <v>34399.938000000002</v>
          </cell>
          <cell r="F52">
            <v>39214.005000000005</v>
          </cell>
          <cell r="G52">
            <v>36635.508999999998</v>
          </cell>
          <cell r="H52">
            <v>42185.578999999998</v>
          </cell>
          <cell r="J52">
            <v>36337.692999999999</v>
          </cell>
          <cell r="L52">
            <v>50080.497000000003</v>
          </cell>
          <cell r="M52">
            <v>53559.040000000001</v>
          </cell>
          <cell r="N52">
            <v>44957.864000000001</v>
          </cell>
          <cell r="O52">
            <v>61424.190999999999</v>
          </cell>
          <cell r="P52">
            <v>76117.256999999998</v>
          </cell>
          <cell r="S52">
            <v>75021.918999999994</v>
          </cell>
          <cell r="V52">
            <v>75570.695000000007</v>
          </cell>
          <cell r="Y52">
            <v>71392.53</v>
          </cell>
          <cell r="AB52">
            <v>78486.266999999993</v>
          </cell>
          <cell r="AC52">
            <v>76877.202999999994</v>
          </cell>
          <cell r="AD52">
            <v>77131.383000000002</v>
          </cell>
          <cell r="AE52">
            <v>75830.459000000003</v>
          </cell>
          <cell r="AF52">
            <v>80403.671000000002</v>
          </cell>
          <cell r="AG52">
            <v>75912.144</v>
          </cell>
          <cell r="AI52">
            <v>69616</v>
          </cell>
          <cell r="AJ52">
            <v>78017.842000000004</v>
          </cell>
          <cell r="AK52">
            <v>77856.417000000001</v>
          </cell>
          <cell r="AL52">
            <v>70846</v>
          </cell>
          <cell r="AM52">
            <v>78934.482000000004</v>
          </cell>
          <cell r="AN52">
            <v>75686.459000000003</v>
          </cell>
          <cell r="AO52">
            <v>76743.532999999996</v>
          </cell>
          <cell r="AP52">
            <v>69748.600000000006</v>
          </cell>
          <cell r="AQ52">
            <v>74794.141000000003</v>
          </cell>
          <cell r="AR52">
            <v>78986.921999999991</v>
          </cell>
          <cell r="AS52">
            <v>80788</v>
          </cell>
          <cell r="AT52">
            <v>81166</v>
          </cell>
          <cell r="AU52" t="e">
            <v>#REF!</v>
          </cell>
          <cell r="AV52">
            <v>79845</v>
          </cell>
          <cell r="AW52">
            <v>75704.527000000002</v>
          </cell>
          <cell r="AX52" t="e">
            <v>#REF!</v>
          </cell>
          <cell r="AY52" t="e">
            <v>#REF!</v>
          </cell>
          <cell r="AZ52">
            <v>72942.024000000005</v>
          </cell>
          <cell r="BA52">
            <v>79525</v>
          </cell>
          <cell r="BB52">
            <v>83038.334999999992</v>
          </cell>
          <cell r="BC52">
            <v>72315</v>
          </cell>
          <cell r="BD52">
            <v>72315</v>
          </cell>
          <cell r="BI52" t="e">
            <v>#REF!</v>
          </cell>
          <cell r="BJ52">
            <v>72185</v>
          </cell>
          <cell r="BK52">
            <v>75302</v>
          </cell>
          <cell r="BL52">
            <v>71347</v>
          </cell>
          <cell r="BM52">
            <v>89249</v>
          </cell>
          <cell r="BN52">
            <v>89249</v>
          </cell>
          <cell r="BO52">
            <v>89249</v>
          </cell>
          <cell r="BP52">
            <v>64667.66732900362</v>
          </cell>
          <cell r="BQ52" t="e">
            <v>#REF!</v>
          </cell>
        </row>
        <row r="53">
          <cell r="B53" t="str">
            <v xml:space="preserve">    Other public sector</v>
          </cell>
          <cell r="D53">
            <v>3877.17</v>
          </cell>
          <cell r="E53">
            <v>5092.33</v>
          </cell>
          <cell r="F53">
            <v>4712.1819999999998</v>
          </cell>
          <cell r="G53">
            <v>4366.4949999999999</v>
          </cell>
          <cell r="H53">
            <v>4479.4229999999998</v>
          </cell>
          <cell r="J53">
            <v>3565.0140000000001</v>
          </cell>
          <cell r="L53">
            <v>4398.3789999999999</v>
          </cell>
          <cell r="M53">
            <v>4542.0919999999996</v>
          </cell>
          <cell r="N53">
            <v>4974.4459999999999</v>
          </cell>
          <cell r="O53">
            <v>4529.8100000000004</v>
          </cell>
          <cell r="P53">
            <v>5752.1760000000004</v>
          </cell>
          <cell r="S53">
            <v>5833.8609999999999</v>
          </cell>
          <cell r="V53">
            <v>5591.6610000000001</v>
          </cell>
          <cell r="Y53">
            <v>5304.0680000000002</v>
          </cell>
          <cell r="AB53">
            <v>5367.5410000000002</v>
          </cell>
          <cell r="AC53">
            <v>5169.4440000000004</v>
          </cell>
          <cell r="AD53">
            <v>4607.3019999999997</v>
          </cell>
          <cell r="AE53">
            <v>4572.5810000000001</v>
          </cell>
          <cell r="AF53">
            <v>4545.1040000000003</v>
          </cell>
          <cell r="AG53">
            <v>4665.2299999999996</v>
          </cell>
          <cell r="AI53">
            <v>4076.9560000000001</v>
          </cell>
          <cell r="AJ53">
            <v>4916.9290000000001</v>
          </cell>
          <cell r="AK53">
            <v>4991.8599999999997</v>
          </cell>
          <cell r="AL53">
            <v>5368</v>
          </cell>
          <cell r="AM53">
            <v>5958.6049999999996</v>
          </cell>
          <cell r="AN53">
            <v>5624.5690000000004</v>
          </cell>
          <cell r="AO53">
            <v>5570.6180000000004</v>
          </cell>
          <cell r="AP53">
            <v>5368</v>
          </cell>
          <cell r="AQ53">
            <v>5696.83</v>
          </cell>
          <cell r="AR53">
            <v>6033.15</v>
          </cell>
          <cell r="AS53">
            <v>5464</v>
          </cell>
          <cell r="AT53">
            <v>5543.0320000000002</v>
          </cell>
          <cell r="AU53">
            <v>5368</v>
          </cell>
          <cell r="AV53">
            <v>5556.2330000000002</v>
          </cell>
          <cell r="AW53">
            <v>5527.2539999999999</v>
          </cell>
          <cell r="AX53">
            <v>5368</v>
          </cell>
          <cell r="AY53">
            <v>5368</v>
          </cell>
          <cell r="AZ53">
            <v>5627.8109999999997</v>
          </cell>
          <cell r="BA53">
            <v>5505</v>
          </cell>
          <cell r="BB53">
            <v>5424.125</v>
          </cell>
          <cell r="BC53">
            <v>6681</v>
          </cell>
          <cell r="BD53">
            <v>6681</v>
          </cell>
          <cell r="BI53">
            <v>5368</v>
          </cell>
          <cell r="BJ53">
            <v>6681</v>
          </cell>
          <cell r="BK53">
            <v>7351</v>
          </cell>
          <cell r="BL53">
            <v>7291</v>
          </cell>
          <cell r="BM53">
            <v>7872.3149999999996</v>
          </cell>
          <cell r="BN53">
            <v>7872.3149999999996</v>
          </cell>
          <cell r="BO53">
            <v>7822.8209999999999</v>
          </cell>
          <cell r="BP53">
            <v>7500</v>
          </cell>
          <cell r="BQ53">
            <v>5368</v>
          </cell>
        </row>
        <row r="54">
          <cell r="B54" t="str">
            <v xml:space="preserve">    Private</v>
          </cell>
          <cell r="D54">
            <v>67009.183999999994</v>
          </cell>
          <cell r="E54">
            <v>72488.251000000004</v>
          </cell>
          <cell r="F54">
            <v>80317.812999999995</v>
          </cell>
          <cell r="G54">
            <v>85605.525999999998</v>
          </cell>
          <cell r="H54">
            <v>95495.828999999998</v>
          </cell>
          <cell r="J54">
            <v>97360.880999999994</v>
          </cell>
          <cell r="L54">
            <v>99012.426000000007</v>
          </cell>
          <cell r="M54">
            <v>101421.874</v>
          </cell>
          <cell r="N54">
            <v>110028.31600000001</v>
          </cell>
          <cell r="O54">
            <v>113901.06299999999</v>
          </cell>
          <cell r="P54">
            <v>122318.114</v>
          </cell>
          <cell r="S54">
            <v>129594.386</v>
          </cell>
          <cell r="V54">
            <v>143387.524</v>
          </cell>
          <cell r="Y54">
            <v>154246.97500000001</v>
          </cell>
          <cell r="AB54">
            <v>165658.584</v>
          </cell>
          <cell r="AC54">
            <v>170216.56899999999</v>
          </cell>
          <cell r="AD54">
            <v>171507.72</v>
          </cell>
          <cell r="AE54">
            <v>172845.24299999999</v>
          </cell>
          <cell r="AF54">
            <v>174332.845</v>
          </cell>
          <cell r="AG54">
            <v>177125.31599999999</v>
          </cell>
          <cell r="AI54">
            <v>180656.20699999999</v>
          </cell>
          <cell r="AJ54">
            <v>182966.8</v>
          </cell>
          <cell r="AK54">
            <v>183552.217</v>
          </cell>
          <cell r="AL54">
            <v>166269.88481200323</v>
          </cell>
          <cell r="AM54">
            <v>185340.04199999999</v>
          </cell>
          <cell r="AN54">
            <v>185698.76199999999</v>
          </cell>
          <cell r="AO54">
            <v>190008</v>
          </cell>
          <cell r="AP54">
            <v>169024.60011623675</v>
          </cell>
          <cell r="AQ54">
            <v>192030.2</v>
          </cell>
          <cell r="AR54">
            <v>195450.9</v>
          </cell>
          <cell r="AS54">
            <v>197031</v>
          </cell>
          <cell r="AT54">
            <v>199052.073</v>
          </cell>
          <cell r="AU54">
            <v>200985.55514449393</v>
          </cell>
          <cell r="AV54">
            <v>199255.348</v>
          </cell>
          <cell r="AW54">
            <v>202481.351</v>
          </cell>
          <cell r="AX54">
            <v>210358.54452445713</v>
          </cell>
          <cell r="AY54">
            <v>203033.11446000001</v>
          </cell>
          <cell r="AZ54">
            <v>207111.783</v>
          </cell>
          <cell r="BA54">
            <v>207513</v>
          </cell>
          <cell r="BB54">
            <v>211122.15</v>
          </cell>
          <cell r="BC54">
            <v>216995</v>
          </cell>
          <cell r="BD54">
            <v>216995</v>
          </cell>
          <cell r="BI54">
            <v>209182.90083</v>
          </cell>
          <cell r="BJ54">
            <v>216995</v>
          </cell>
          <cell r="BK54">
            <v>217638</v>
          </cell>
          <cell r="BL54">
            <v>220781</v>
          </cell>
          <cell r="BM54">
            <v>229833.86350479233</v>
          </cell>
          <cell r="BN54">
            <v>227412.465</v>
          </cell>
          <cell r="BO54">
            <v>248500.26300000001</v>
          </cell>
          <cell r="BP54">
            <v>220466.92</v>
          </cell>
          <cell r="BQ54">
            <v>213366.5588466</v>
          </cell>
        </row>
        <row r="55">
          <cell r="B55" t="str">
            <v xml:space="preserve">  Other items (net)</v>
          </cell>
          <cell r="D55">
            <v>-9943.5751999999993</v>
          </cell>
          <cell r="E55">
            <v>-11573.814170000005</v>
          </cell>
          <cell r="F55">
            <v>-10726.820759999999</v>
          </cell>
          <cell r="G55">
            <v>-9725.2888400000011</v>
          </cell>
          <cell r="H55">
            <v>-2777.4768000000013</v>
          </cell>
          <cell r="J55">
            <v>576.79727000001458</v>
          </cell>
          <cell r="L55">
            <v>-12542.563950000032</v>
          </cell>
          <cell r="M55">
            <v>-10546.601719999995</v>
          </cell>
          <cell r="N55">
            <v>-12461.964299999985</v>
          </cell>
          <cell r="O55">
            <v>-15972.406239999978</v>
          </cell>
          <cell r="P55">
            <v>-11656.144</v>
          </cell>
          <cell r="S55">
            <v>-18313.620999999956</v>
          </cell>
          <cell r="V55">
            <v>-18897.010000000009</v>
          </cell>
          <cell r="Y55">
            <v>-19501.424000000006</v>
          </cell>
          <cell r="AB55">
            <v>-24780.570999999996</v>
          </cell>
          <cell r="AC55">
            <v>-25699.208999999973</v>
          </cell>
          <cell r="AD55">
            <v>-25671.603000000003</v>
          </cell>
          <cell r="AE55">
            <v>-22919.627999999997</v>
          </cell>
          <cell r="AF55">
            <v>-28541.052000000025</v>
          </cell>
          <cell r="AG55">
            <v>-28402.492999999988</v>
          </cell>
          <cell r="AI55">
            <v>-25352.670000000013</v>
          </cell>
          <cell r="AJ55">
            <v>-31165.087923999999</v>
          </cell>
          <cell r="AK55">
            <v>-34243.612000000023</v>
          </cell>
          <cell r="AL55">
            <v>-32329.034812003243</v>
          </cell>
          <cell r="AM55">
            <v>-38123.517999999982</v>
          </cell>
          <cell r="AN55">
            <v>-38793.521999999968</v>
          </cell>
          <cell r="AO55">
            <v>-35947.032000000036</v>
          </cell>
          <cell r="AP55">
            <v>-54778.086856379959</v>
          </cell>
          <cell r="AQ55">
            <v>-32677.14300000004</v>
          </cell>
          <cell r="AR55">
            <v>-37915.765999999974</v>
          </cell>
          <cell r="AS55">
            <v>-38939.543999999994</v>
          </cell>
          <cell r="AT55">
            <v>-40138.126000000018</v>
          </cell>
          <cell r="AV55">
            <v>-44495.597000000009</v>
          </cell>
          <cell r="AW55">
            <v>-39342.877000000008</v>
          </cell>
          <cell r="AX55" t="e">
            <v>#REF!</v>
          </cell>
          <cell r="AY55" t="e">
            <v>#REF!</v>
          </cell>
          <cell r="AZ55">
            <v>-44114.245000000024</v>
          </cell>
          <cell r="BA55">
            <v>-49327.597999999998</v>
          </cell>
          <cell r="BB55">
            <v>-53682.844999999987</v>
          </cell>
          <cell r="BC55">
            <v>-56961.741999999984</v>
          </cell>
          <cell r="BD55">
            <v>-51091.55</v>
          </cell>
          <cell r="BI55" t="e">
            <v>#REF!</v>
          </cell>
          <cell r="BJ55">
            <v>-53535.880511232557</v>
          </cell>
          <cell r="BK55">
            <v>-58482.704622329707</v>
          </cell>
          <cell r="BL55">
            <v>-54804.80599999999</v>
          </cell>
          <cell r="BM55">
            <v>-53689.816130990424</v>
          </cell>
          <cell r="BN55">
            <v>-64688.283000000054</v>
          </cell>
          <cell r="BO55">
            <v>-73048.073000000004</v>
          </cell>
          <cell r="BP55">
            <v>-56063</v>
          </cell>
          <cell r="BQ55" t="e">
            <v>#REF!</v>
          </cell>
        </row>
        <row r="57">
          <cell r="B57" t="str">
            <v>Money and quasi money (M3)</v>
          </cell>
          <cell r="D57">
            <v>88073</v>
          </cell>
          <cell r="E57">
            <v>91435.207999999999</v>
          </cell>
          <cell r="F57">
            <v>104337</v>
          </cell>
          <cell r="G57">
            <v>107445.29300000001</v>
          </cell>
          <cell r="H57">
            <v>132095</v>
          </cell>
          <cell r="J57">
            <v>136830</v>
          </cell>
          <cell r="L57">
            <v>161590</v>
          </cell>
          <cell r="M57">
            <v>174888.704</v>
          </cell>
          <cell r="N57">
            <v>171925</v>
          </cell>
          <cell r="O57">
            <v>186482.5</v>
          </cell>
          <cell r="P57">
            <v>205821.924</v>
          </cell>
          <cell r="S57">
            <v>205357.44</v>
          </cell>
          <cell r="V57">
            <v>215910.68700000001</v>
          </cell>
          <cell r="Y57">
            <v>220074.91</v>
          </cell>
          <cell r="AB57">
            <v>231644.94899999999</v>
          </cell>
          <cell r="AC57">
            <v>235323.981</v>
          </cell>
          <cell r="AD57">
            <v>236360.26199999999</v>
          </cell>
          <cell r="AE57">
            <v>244278.10800000001</v>
          </cell>
          <cell r="AF57">
            <v>247676.53099999999</v>
          </cell>
          <cell r="AG57">
            <v>249407.86499999999</v>
          </cell>
          <cell r="AI57">
            <v>255636</v>
          </cell>
          <cell r="AJ57">
            <v>260192.2</v>
          </cell>
          <cell r="AK57">
            <v>259646.72</v>
          </cell>
          <cell r="AL57">
            <v>227816</v>
          </cell>
          <cell r="AM57">
            <v>255581.63200000001</v>
          </cell>
          <cell r="AN57">
            <v>257837.54</v>
          </cell>
          <cell r="AO57">
            <v>261910.783</v>
          </cell>
          <cell r="AP57">
            <v>231656.85011623675</v>
          </cell>
          <cell r="AQ57">
            <v>268489</v>
          </cell>
          <cell r="AR57">
            <v>270435.90000000002</v>
          </cell>
          <cell r="AS57">
            <v>277595</v>
          </cell>
          <cell r="AT57">
            <v>283848.255</v>
          </cell>
          <cell r="AU57">
            <v>278089.63664410467</v>
          </cell>
          <cell r="AV57">
            <v>281089</v>
          </cell>
          <cell r="AW57">
            <v>283131.8</v>
          </cell>
          <cell r="AX57" t="e">
            <v>#REF!</v>
          </cell>
          <cell r="AY57" t="e">
            <v>#REF!</v>
          </cell>
          <cell r="AZ57">
            <v>281637</v>
          </cell>
          <cell r="BA57">
            <v>281602</v>
          </cell>
          <cell r="BB57">
            <v>288048.39199999999</v>
          </cell>
          <cell r="BC57">
            <v>274785</v>
          </cell>
          <cell r="BD57">
            <v>274785</v>
          </cell>
          <cell r="BE57" t="e">
            <v>#REF!</v>
          </cell>
          <cell r="BI57" t="e">
            <v>#REF!</v>
          </cell>
          <cell r="BJ57">
            <v>274785</v>
          </cell>
          <cell r="BK57">
            <v>275556</v>
          </cell>
          <cell r="BL57">
            <v>278420</v>
          </cell>
          <cell r="BM57">
            <v>294694.43099999998</v>
          </cell>
          <cell r="BN57">
            <v>294694.43099999998</v>
          </cell>
          <cell r="BO57">
            <v>294694.43099999998</v>
          </cell>
          <cell r="BP57">
            <v>282786.88524590165</v>
          </cell>
          <cell r="BQ57" t="e">
            <v>#REF!</v>
          </cell>
        </row>
        <row r="58">
          <cell r="B58" t="str">
            <v>M3 and foreign currency deposits (M3X)</v>
          </cell>
          <cell r="AQ58">
            <v>284210.3</v>
          </cell>
          <cell r="BM58">
            <v>322489.80032907345</v>
          </cell>
          <cell r="BN58">
            <v>317956.33100000001</v>
          </cell>
          <cell r="BO58">
            <v>317956.33100000001</v>
          </cell>
        </row>
        <row r="59">
          <cell r="B59" t="str">
            <v xml:space="preserve">  Currency outside banks </v>
          </cell>
          <cell r="D59">
            <v>10794</v>
          </cell>
          <cell r="E59">
            <v>10702</v>
          </cell>
          <cell r="F59">
            <v>12723</v>
          </cell>
          <cell r="G59">
            <v>12725</v>
          </cell>
          <cell r="H59">
            <v>17152</v>
          </cell>
          <cell r="J59">
            <v>17717</v>
          </cell>
          <cell r="L59">
            <v>21194</v>
          </cell>
          <cell r="M59">
            <v>21832.951000000001</v>
          </cell>
          <cell r="N59">
            <v>20367</v>
          </cell>
          <cell r="O59">
            <v>21625.052</v>
          </cell>
          <cell r="P59">
            <v>24724.526000000002</v>
          </cell>
          <cell r="S59">
            <v>24824.322</v>
          </cell>
          <cell r="V59">
            <v>25825.493999999999</v>
          </cell>
          <cell r="Y59">
            <v>26429.806</v>
          </cell>
          <cell r="AB59">
            <v>28795</v>
          </cell>
          <cell r="AC59">
            <v>27887</v>
          </cell>
          <cell r="AD59">
            <v>28482</v>
          </cell>
          <cell r="AE59">
            <v>28750</v>
          </cell>
          <cell r="AF59">
            <v>28380</v>
          </cell>
          <cell r="AG59">
            <v>28474</v>
          </cell>
          <cell r="AI59">
            <v>28747</v>
          </cell>
          <cell r="AJ59">
            <v>28814.97</v>
          </cell>
          <cell r="AK59">
            <v>29354.92</v>
          </cell>
          <cell r="AL59">
            <v>27977.383222526711</v>
          </cell>
          <cell r="AM59">
            <v>27757.901999999998</v>
          </cell>
          <cell r="AN59">
            <v>28424.301000000003</v>
          </cell>
          <cell r="AO59">
            <v>30282.515000000003</v>
          </cell>
          <cell r="AP59">
            <v>0</v>
          </cell>
          <cell r="AQ59">
            <v>30394</v>
          </cell>
          <cell r="AR59">
            <v>31093</v>
          </cell>
          <cell r="AS59">
            <v>30730</v>
          </cell>
          <cell r="AT59">
            <v>31057</v>
          </cell>
          <cell r="AU59">
            <v>29505.310447939504</v>
          </cell>
          <cell r="AV59">
            <v>29926</v>
          </cell>
          <cell r="AW59">
            <v>29263</v>
          </cell>
          <cell r="AX59" t="e">
            <v>#REF!</v>
          </cell>
          <cell r="AY59" t="e">
            <v>#REF!</v>
          </cell>
          <cell r="AZ59">
            <v>29158</v>
          </cell>
          <cell r="BA59">
            <v>29718</v>
          </cell>
          <cell r="BB59">
            <v>31678</v>
          </cell>
          <cell r="BC59">
            <v>30132</v>
          </cell>
          <cell r="BD59">
            <v>30132</v>
          </cell>
          <cell r="BE59" t="e">
            <v>#REF!</v>
          </cell>
          <cell r="BI59" t="e">
            <v>#REF!</v>
          </cell>
          <cell r="BJ59">
            <v>30132</v>
          </cell>
          <cell r="BK59">
            <v>31568</v>
          </cell>
          <cell r="BL59">
            <v>33413</v>
          </cell>
          <cell r="BM59">
            <v>36148</v>
          </cell>
          <cell r="BN59">
            <v>36148</v>
          </cell>
          <cell r="BO59">
            <v>36148</v>
          </cell>
          <cell r="BP59">
            <v>34500</v>
          </cell>
          <cell r="BQ59" t="e">
            <v>#REF!</v>
          </cell>
        </row>
        <row r="60">
          <cell r="B60" t="str">
            <v xml:space="preserve">  Deposits</v>
          </cell>
          <cell r="D60">
            <v>77279</v>
          </cell>
          <cell r="E60">
            <v>80733.207999999999</v>
          </cell>
          <cell r="F60">
            <v>91614</v>
          </cell>
          <cell r="G60">
            <v>94720.293000000005</v>
          </cell>
          <cell r="H60">
            <v>114943</v>
          </cell>
          <cell r="J60">
            <v>119113</v>
          </cell>
          <cell r="L60">
            <v>140396</v>
          </cell>
          <cell r="M60">
            <v>153055.753</v>
          </cell>
          <cell r="N60">
            <v>151558</v>
          </cell>
          <cell r="O60">
            <v>164857.448</v>
          </cell>
          <cell r="P60">
            <v>181097.39799999999</v>
          </cell>
          <cell r="S60">
            <v>180533.11800000002</v>
          </cell>
          <cell r="V60">
            <v>190085.193</v>
          </cell>
          <cell r="Y60">
            <v>193645.10399999999</v>
          </cell>
          <cell r="AB60">
            <v>202849.94899999999</v>
          </cell>
          <cell r="AC60">
            <v>207436.981</v>
          </cell>
          <cell r="AD60">
            <v>207878.26199999999</v>
          </cell>
          <cell r="AE60">
            <v>215528.10800000001</v>
          </cell>
          <cell r="AF60">
            <v>219296.53099999999</v>
          </cell>
          <cell r="AG60">
            <v>220933.68400000001</v>
          </cell>
          <cell r="AI60">
            <v>226889</v>
          </cell>
          <cell r="AJ60">
            <v>231377.23</v>
          </cell>
          <cell r="AK60">
            <v>230291.8</v>
          </cell>
          <cell r="AL60">
            <v>199838.6167774733</v>
          </cell>
          <cell r="AM60">
            <v>227823.73</v>
          </cell>
          <cell r="AN60">
            <v>229413.239</v>
          </cell>
          <cell r="AO60">
            <v>231628.26799999998</v>
          </cell>
          <cell r="AP60">
            <v>231656.85011623675</v>
          </cell>
          <cell r="AQ60">
            <v>238095</v>
          </cell>
          <cell r="AR60">
            <v>239342.90000000002</v>
          </cell>
          <cell r="AS60">
            <v>246865</v>
          </cell>
          <cell r="AT60">
            <v>252791.255</v>
          </cell>
          <cell r="AU60">
            <v>248584.32619616517</v>
          </cell>
          <cell r="AV60">
            <v>251163</v>
          </cell>
          <cell r="AW60">
            <v>253868.79999999999</v>
          </cell>
          <cell r="AX60" t="e">
            <v>#REF!</v>
          </cell>
          <cell r="AY60" t="e">
            <v>#REF!</v>
          </cell>
          <cell r="AZ60">
            <v>252479</v>
          </cell>
          <cell r="BA60">
            <v>251884</v>
          </cell>
          <cell r="BB60">
            <v>256370.39199999999</v>
          </cell>
          <cell r="BC60">
            <v>244653</v>
          </cell>
          <cell r="BD60">
            <v>244653</v>
          </cell>
          <cell r="BE60" t="e">
            <v>#REF!</v>
          </cell>
          <cell r="BI60" t="e">
            <v>#REF!</v>
          </cell>
          <cell r="BJ60">
            <v>244653</v>
          </cell>
          <cell r="BK60">
            <v>243988</v>
          </cell>
          <cell r="BL60">
            <v>245007</v>
          </cell>
          <cell r="BM60">
            <v>286341.80032907345</v>
          </cell>
          <cell r="BN60">
            <v>258546.43099999998</v>
          </cell>
          <cell r="BO60">
            <v>281808.33100000001</v>
          </cell>
          <cell r="BP60">
            <v>248286.88524590165</v>
          </cell>
          <cell r="BQ60" t="e">
            <v>#REF!</v>
          </cell>
        </row>
        <row r="62">
          <cell r="B62" t="str">
            <v>NFA (residence criterion)</v>
          </cell>
          <cell r="BM62">
            <v>45432.32</v>
          </cell>
          <cell r="BN62">
            <v>45432.32</v>
          </cell>
          <cell r="BO62">
            <v>45432.32</v>
          </cell>
        </row>
        <row r="63">
          <cell r="B63" t="str">
            <v>NDA (residence criterion)</v>
          </cell>
          <cell r="BM63">
            <v>277057.48032907344</v>
          </cell>
          <cell r="BN63">
            <v>272524.011</v>
          </cell>
          <cell r="BO63">
            <v>272524.011</v>
          </cell>
        </row>
        <row r="64">
          <cell r="B64" t="str">
            <v>Broad money (with for. curr. deposits of resid.)</v>
          </cell>
          <cell r="P64">
            <v>214936.761</v>
          </cell>
          <cell r="Q64" t="e">
            <v>#REF!</v>
          </cell>
          <cell r="R64" t="e">
            <v>#REF!</v>
          </cell>
          <cell r="S64">
            <v>214204.84</v>
          </cell>
          <cell r="T64" t="e">
            <v>#REF!</v>
          </cell>
          <cell r="U64" t="e">
            <v>#REF!</v>
          </cell>
          <cell r="V64">
            <v>227174.087</v>
          </cell>
          <cell r="W64" t="e">
            <v>#REF!</v>
          </cell>
          <cell r="X64" t="e">
            <v>#REF!</v>
          </cell>
          <cell r="Y64">
            <v>232428.11000000002</v>
          </cell>
          <cell r="Z64" t="e">
            <v>#REF!</v>
          </cell>
          <cell r="AA64" t="e">
            <v>#REF!</v>
          </cell>
          <cell r="AB64">
            <v>245313.74899999998</v>
          </cell>
          <cell r="AC64">
            <v>249830.08100000001</v>
          </cell>
          <cell r="AD64">
            <v>251823.962</v>
          </cell>
          <cell r="AE64">
            <v>258780.408</v>
          </cell>
          <cell r="AF64">
            <v>263000.13099999999</v>
          </cell>
          <cell r="AG64">
            <v>263464.76500000001</v>
          </cell>
          <cell r="AH64" t="e">
            <v>#REF!</v>
          </cell>
          <cell r="AI64">
            <v>270423.3</v>
          </cell>
          <cell r="AJ64">
            <v>274556.79999999999</v>
          </cell>
          <cell r="AK64">
            <v>272329.32</v>
          </cell>
          <cell r="AL64" t="e">
            <v>#REF!</v>
          </cell>
          <cell r="AM64">
            <v>268894.33199999999</v>
          </cell>
          <cell r="AN64">
            <v>278131.24</v>
          </cell>
          <cell r="AO64">
            <v>275618.68300000002</v>
          </cell>
          <cell r="AP64" t="e">
            <v>#REF!</v>
          </cell>
          <cell r="AQ64">
            <v>284210.3</v>
          </cell>
          <cell r="AR64">
            <v>285226.60000000003</v>
          </cell>
          <cell r="AS64">
            <v>291859.3</v>
          </cell>
          <cell r="AT64">
            <v>299264.255</v>
          </cell>
          <cell r="AV64">
            <v>298451.94500000001</v>
          </cell>
          <cell r="AW64">
            <v>298648.701</v>
          </cell>
          <cell r="AX64" t="e">
            <v>#REF!</v>
          </cell>
          <cell r="AY64" t="e">
            <v>#REF!</v>
          </cell>
          <cell r="AZ64">
            <v>297229</v>
          </cell>
          <cell r="BA64">
            <v>298930.90000000002</v>
          </cell>
          <cell r="BB64">
            <v>307653.49199999997</v>
          </cell>
          <cell r="BC64">
            <v>294064.8</v>
          </cell>
          <cell r="BD64">
            <v>294064.8</v>
          </cell>
          <cell r="BE64" t="e">
            <v>#REF!</v>
          </cell>
          <cell r="BF64" t="e">
            <v>#REF!</v>
          </cell>
          <cell r="BG64" t="e">
            <v>#REF!</v>
          </cell>
          <cell r="BI64" t="e">
            <v>#REF!</v>
          </cell>
          <cell r="BJ64" t="e">
            <v>#REF!</v>
          </cell>
          <cell r="BK64">
            <v>296491.31137767027</v>
          </cell>
          <cell r="BL64">
            <v>299846.90000000002</v>
          </cell>
          <cell r="BM64">
            <v>322489.80032907345</v>
          </cell>
          <cell r="BN64">
            <v>317956.33100000001</v>
          </cell>
          <cell r="BO64">
            <v>317956.33100000001</v>
          </cell>
          <cell r="BP64" t="e">
            <v>#REF!</v>
          </cell>
          <cell r="BQ64" t="e">
            <v>#REF!</v>
          </cell>
        </row>
        <row r="65">
          <cell r="B65" t="str">
            <v>M3X and nonbank holdings of government debt (M4X)</v>
          </cell>
          <cell r="AB65">
            <v>283256.238075</v>
          </cell>
          <cell r="AE65">
            <v>296552.89347499999</v>
          </cell>
          <cell r="AI65">
            <v>306483.89999999997</v>
          </cell>
          <cell r="AJ65">
            <v>311250.81799999997</v>
          </cell>
          <cell r="AK65">
            <v>309729.21299999999</v>
          </cell>
          <cell r="AM65">
            <v>307822.90000000002</v>
          </cell>
          <cell r="AN65">
            <v>318150.63099999999</v>
          </cell>
          <cell r="AO65">
            <v>313079.14</v>
          </cell>
          <cell r="AQ65">
            <v>323206.08497999999</v>
          </cell>
          <cell r="AR65">
            <v>324092.51550000004</v>
          </cell>
          <cell r="AS65">
            <v>330429.43640000001</v>
          </cell>
          <cell r="AT65">
            <v>339048.24340000004</v>
          </cell>
          <cell r="AV65">
            <v>342740.33299999998</v>
          </cell>
          <cell r="AW65">
            <v>345200.7746</v>
          </cell>
          <cell r="AZ65">
            <v>347608.22600000002</v>
          </cell>
          <cell r="BA65">
            <v>347056.9</v>
          </cell>
          <cell r="BB65">
            <v>352322.15699999995</v>
          </cell>
          <cell r="BC65">
            <v>346629.8</v>
          </cell>
          <cell r="BD65">
            <v>346629.8</v>
          </cell>
          <cell r="BK65">
            <v>355027.31137767027</v>
          </cell>
          <cell r="BL65">
            <v>358333.9</v>
          </cell>
          <cell r="BM65">
            <v>370267.80032907345</v>
          </cell>
          <cell r="BN65">
            <v>365734.33100000001</v>
          </cell>
          <cell r="BO65">
            <v>365734.33100000001</v>
          </cell>
        </row>
        <row r="66">
          <cell r="B66" t="str">
            <v>Broad Money+Nonbank NCG</v>
          </cell>
          <cell r="AB66">
            <v>269587.43807500001</v>
          </cell>
          <cell r="AE66">
            <v>282050.593475</v>
          </cell>
          <cell r="AI66">
            <v>291696.59999999998</v>
          </cell>
          <cell r="AJ66">
            <v>296886.21799999999</v>
          </cell>
          <cell r="AK66">
            <v>297046.61300000001</v>
          </cell>
          <cell r="AM66">
            <v>294510.2</v>
          </cell>
          <cell r="AN66">
            <v>297856.93100000004</v>
          </cell>
          <cell r="AO66">
            <v>299371.24</v>
          </cell>
          <cell r="AQ66">
            <v>307484.78498</v>
          </cell>
          <cell r="AR66">
            <v>309301.81550000003</v>
          </cell>
          <cell r="AS66">
            <v>316165.13640000002</v>
          </cell>
          <cell r="AT66">
            <v>323632.24340000004</v>
          </cell>
          <cell r="AV66">
            <v>325377.38800000004</v>
          </cell>
          <cell r="AW66">
            <v>329683.87359999999</v>
          </cell>
          <cell r="AZ66">
            <v>332016.22600000002</v>
          </cell>
          <cell r="BA66">
            <v>329728</v>
          </cell>
          <cell r="BB66">
            <v>332717.05699999997</v>
          </cell>
          <cell r="BC66">
            <v>274785</v>
          </cell>
          <cell r="BD66">
            <v>327350</v>
          </cell>
          <cell r="BK66">
            <v>334092</v>
          </cell>
          <cell r="BL66">
            <v>336907</v>
          </cell>
          <cell r="BM66">
            <v>342472.43099999998</v>
          </cell>
          <cell r="BN66">
            <v>342472.43099999998</v>
          </cell>
          <cell r="BO66">
            <v>362388.01367099636</v>
          </cell>
        </row>
        <row r="70">
          <cell r="B70" t="str">
            <v>Memorandum items:</v>
          </cell>
        </row>
        <row r="71">
          <cell r="C71" t="str">
            <v xml:space="preserve">                                                                              (Changes in percent)</v>
          </cell>
        </row>
        <row r="73">
          <cell r="B73" t="str">
            <v xml:space="preserve">   3 month</v>
          </cell>
          <cell r="Y73">
            <v>1.9286785002911921</v>
          </cell>
          <cell r="AB73">
            <v>5.2573185194077832</v>
          </cell>
          <cell r="AE73">
            <v>5.4536734146532151</v>
          </cell>
          <cell r="AI73">
            <v>4.6495742467433931</v>
          </cell>
          <cell r="AM73">
            <v>-2.1267740067909546E-2</v>
          </cell>
          <cell r="AQ73">
            <v>5.0501939043882338</v>
          </cell>
          <cell r="AR73">
            <v>4.8861620383129578</v>
          </cell>
          <cell r="AS73">
            <v>5.9883815474676361</v>
          </cell>
          <cell r="AT73">
            <v>5.720627288268787</v>
          </cell>
          <cell r="AU73" t="e">
            <v>#REF!</v>
          </cell>
          <cell r="AV73">
            <v>3.9392329198896903</v>
          </cell>
          <cell r="AW73">
            <v>1.9945604207568524</v>
          </cell>
          <cell r="AX73" t="e">
            <v>#REF!</v>
          </cell>
          <cell r="AY73" t="e">
            <v>#REF!</v>
          </cell>
          <cell r="AZ73">
            <v>-0.7790271601282206</v>
          </cell>
          <cell r="BA73">
            <v>0.18250447367202938</v>
          </cell>
          <cell r="BB73">
            <v>1.7365029290245859</v>
          </cell>
          <cell r="BC73" t="e">
            <v>#REF!</v>
          </cell>
          <cell r="BD73">
            <v>-2.4329189701637222</v>
          </cell>
          <cell r="BI73" t="e">
            <v>#REF!</v>
          </cell>
          <cell r="BK73">
            <v>-2.1470017968622357</v>
          </cell>
          <cell r="BL73">
            <v>-3.3426300119738239</v>
          </cell>
          <cell r="BM73">
            <v>7.245457721491344</v>
          </cell>
          <cell r="BN73">
            <v>7.245457721491344</v>
          </cell>
          <cell r="BO73" t="e">
            <v>#REF!</v>
          </cell>
          <cell r="BP73">
            <v>2.9120531491535706</v>
          </cell>
          <cell r="BQ73" t="e">
            <v>#REF!</v>
          </cell>
        </row>
        <row r="74">
          <cell r="B74" t="str">
            <v xml:space="preserve">   6 month</v>
          </cell>
          <cell r="Y74">
            <v>7.1667576300133078</v>
          </cell>
          <cell r="AB74">
            <v>7.287393791674603</v>
          </cell>
          <cell r="AE74">
            <v>10.997708916477578</v>
          </cell>
          <cell r="AI74">
            <v>10.356820255985809</v>
          </cell>
          <cell r="AM74">
            <v>4.6273176473104201</v>
          </cell>
          <cell r="AQ74">
            <v>5.0278521022078193</v>
          </cell>
          <cell r="AR74">
            <v>3.9369742828570642</v>
          </cell>
          <cell r="AS74">
            <v>6.91257721260643</v>
          </cell>
          <cell r="AT74">
            <v>11.059723963261959</v>
          </cell>
          <cell r="AU74" t="e">
            <v>#REF!</v>
          </cell>
          <cell r="AV74">
            <v>9.0178722617350502</v>
          </cell>
          <cell r="AW74">
            <v>8.1023838564141961</v>
          </cell>
          <cell r="AX74" t="e">
            <v>#REF!</v>
          </cell>
          <cell r="AY74" t="e">
            <v>#REF!</v>
          </cell>
          <cell r="AZ74">
            <v>4.897034887835261</v>
          </cell>
          <cell r="BA74">
            <v>1.4434698031304594</v>
          </cell>
          <cell r="BB74">
            <v>2.4758677856479672</v>
          </cell>
          <cell r="BC74">
            <v>-1.0122660710747633</v>
          </cell>
          <cell r="BD74">
            <v>-3.192993030730451</v>
          </cell>
          <cell r="BI74" t="e">
            <v>#REF!</v>
          </cell>
          <cell r="BK74">
            <v>-1.9684156975192879</v>
          </cell>
          <cell r="BL74">
            <v>-1.6641719510136266</v>
          </cell>
          <cell r="BM74">
            <v>4.6362626359462755</v>
          </cell>
          <cell r="BN74">
            <v>4.6362626359462755</v>
          </cell>
          <cell r="BO74">
            <v>4.6492677608823696</v>
          </cell>
          <cell r="BP74">
            <v>0.40828628550284574</v>
          </cell>
          <cell r="BQ74" t="e">
            <v>#REF!</v>
          </cell>
        </row>
        <row r="75">
          <cell r="B75" t="str">
            <v xml:space="preserve">  M3</v>
          </cell>
          <cell r="D75">
            <v>0</v>
          </cell>
          <cell r="E75">
            <v>0</v>
          </cell>
          <cell r="F75">
            <v>18.466499381195135</v>
          </cell>
          <cell r="G75">
            <v>17.509759479083819</v>
          </cell>
          <cell r="H75">
            <v>26.604176850014859</v>
          </cell>
          <cell r="J75">
            <v>27.348528892745438</v>
          </cell>
          <cell r="L75">
            <v>22.328627124418034</v>
          </cell>
          <cell r="M75">
            <v>0</v>
          </cell>
          <cell r="N75">
            <v>25.648615069794634</v>
          </cell>
          <cell r="O75" t="e">
            <v>#DIV/0!</v>
          </cell>
          <cell r="P75">
            <v>27.372933968686187</v>
          </cell>
          <cell r="S75">
            <v>17.421786143489303</v>
          </cell>
          <cell r="V75">
            <v>25.584229751345067</v>
          </cell>
          <cell r="Y75">
            <v>18.013706379955231</v>
          </cell>
          <cell r="AB75">
            <v>12.546294630886834</v>
          </cell>
          <cell r="AC75">
            <v>0</v>
          </cell>
          <cell r="AD75">
            <v>0</v>
          </cell>
          <cell r="AE75">
            <v>18.952645689389193</v>
          </cell>
          <cell r="AF75">
            <v>0</v>
          </cell>
          <cell r="AG75">
            <v>0</v>
          </cell>
          <cell r="AI75">
            <v>18.39895632401003</v>
          </cell>
          <cell r="AM75">
            <v>16.133925489279989</v>
          </cell>
          <cell r="AP75">
            <v>2.4</v>
          </cell>
          <cell r="AQ75">
            <v>15.905397963156108</v>
          </cell>
          <cell r="AR75">
            <v>14.92067185451873</v>
          </cell>
          <cell r="AS75">
            <v>17.445715134636309</v>
          </cell>
          <cell r="AT75">
            <v>16.198810169268206</v>
          </cell>
          <cell r="AU75" t="e">
            <v>#REF!</v>
          </cell>
          <cell r="AV75">
            <v>13.490365383064894</v>
          </cell>
          <cell r="AW75">
            <v>13.521600451533477</v>
          </cell>
          <cell r="AX75" t="e">
            <v>#REF!</v>
          </cell>
          <cell r="AY75" t="e">
            <v>#REF!</v>
          </cell>
          <cell r="AZ75">
            <v>10.171102661596954</v>
          </cell>
          <cell r="BA75">
            <v>8.2284557338767161</v>
          </cell>
          <cell r="BB75">
            <v>10.93858301002224</v>
          </cell>
          <cell r="BC75" t="e">
            <v>#DIV/0!</v>
          </cell>
          <cell r="BD75">
            <v>7.5135947171665274</v>
          </cell>
          <cell r="BI75" t="e">
            <v>#REF!</v>
          </cell>
          <cell r="BK75">
            <v>6.8719473510335138</v>
          </cell>
          <cell r="BL75">
            <v>6.303374305898668</v>
          </cell>
          <cell r="BM75">
            <v>9.7603369225554903</v>
          </cell>
          <cell r="BN75">
            <v>9.7603369225554903</v>
          </cell>
          <cell r="BO75">
            <v>9.7603369225554903</v>
          </cell>
          <cell r="BP75">
            <v>5.3253150951814154</v>
          </cell>
          <cell r="BQ75" t="e">
            <v>#REF!</v>
          </cell>
        </row>
        <row r="76">
          <cell r="B76" t="str">
            <v>M3 (SA)</v>
          </cell>
        </row>
        <row r="77">
          <cell r="B77" t="str">
            <v xml:space="preserve">   3 month</v>
          </cell>
          <cell r="Y77" t="e">
            <v>#REF!</v>
          </cell>
          <cell r="AB77" t="e">
            <v>#REF!</v>
          </cell>
          <cell r="AE77" t="e">
            <v>#REF!</v>
          </cell>
          <cell r="AI77" t="e">
            <v>#REF!</v>
          </cell>
          <cell r="AM77" t="e">
            <v>#REF!</v>
          </cell>
          <cell r="AQ77" t="e">
            <v>#REF!</v>
          </cell>
          <cell r="AR77" t="e">
            <v>#REF!</v>
          </cell>
          <cell r="AS77" t="e">
            <v>#REF!</v>
          </cell>
          <cell r="AT77" t="e">
            <v>#REF!</v>
          </cell>
          <cell r="AU77" t="e">
            <v>#REF!</v>
          </cell>
          <cell r="AV77" t="e">
            <v>#REF!</v>
          </cell>
          <cell r="AW77" t="e">
            <v>#REF!</v>
          </cell>
          <cell r="AX77" t="e">
            <v>#REF!</v>
          </cell>
          <cell r="AY77" t="e">
            <v>#REF!</v>
          </cell>
          <cell r="AZ77" t="e">
            <v>#REF!</v>
          </cell>
          <cell r="BA77" t="e">
            <v>#REF!</v>
          </cell>
          <cell r="BB77" t="e">
            <v>#REF!</v>
          </cell>
          <cell r="BC77" t="e">
            <v>#REF!</v>
          </cell>
          <cell r="BD77" t="e">
            <v>#REF!</v>
          </cell>
          <cell r="BI77" t="e">
            <v>#REF!</v>
          </cell>
          <cell r="BK77" t="e">
            <v>#REF!</v>
          </cell>
          <cell r="BL77" t="e">
            <v>#REF!</v>
          </cell>
          <cell r="BM77" t="e">
            <v>#REF!</v>
          </cell>
          <cell r="BN77" t="e">
            <v>#REF!</v>
          </cell>
          <cell r="BO77" t="e">
            <v>#REF!</v>
          </cell>
          <cell r="BP77" t="e">
            <v>#REF!</v>
          </cell>
          <cell r="BQ77" t="e">
            <v>#REF!</v>
          </cell>
        </row>
        <row r="78">
          <cell r="B78" t="str">
            <v xml:space="preserve">   6 month</v>
          </cell>
          <cell r="Y78" t="e">
            <v>#REF!</v>
          </cell>
          <cell r="AB78" t="e">
            <v>#REF!</v>
          </cell>
          <cell r="AE78" t="e">
            <v>#REF!</v>
          </cell>
          <cell r="AI78" t="e">
            <v>#REF!</v>
          </cell>
          <cell r="AM78" t="e">
            <v>#REF!</v>
          </cell>
          <cell r="AQ78" t="e">
            <v>#REF!</v>
          </cell>
          <cell r="AR78" t="e">
            <v>#REF!</v>
          </cell>
          <cell r="AS78" t="e">
            <v>#REF!</v>
          </cell>
          <cell r="AT78" t="e">
            <v>#REF!</v>
          </cell>
          <cell r="AU78" t="e">
            <v>#REF!</v>
          </cell>
          <cell r="AV78" t="e">
            <v>#REF!</v>
          </cell>
          <cell r="AW78" t="e">
            <v>#REF!</v>
          </cell>
          <cell r="AX78" t="e">
            <v>#REF!</v>
          </cell>
          <cell r="AY78" t="e">
            <v>#REF!</v>
          </cell>
          <cell r="AZ78" t="e">
            <v>#REF!</v>
          </cell>
          <cell r="BA78" t="e">
            <v>#REF!</v>
          </cell>
          <cell r="BB78" t="e">
            <v>#REF!</v>
          </cell>
          <cell r="BC78" t="e">
            <v>#REF!</v>
          </cell>
          <cell r="BD78" t="e">
            <v>#REF!</v>
          </cell>
          <cell r="BI78" t="e">
            <v>#REF!</v>
          </cell>
          <cell r="BK78" t="e">
            <v>#REF!</v>
          </cell>
          <cell r="BL78" t="e">
            <v>#REF!</v>
          </cell>
          <cell r="BM78" t="e">
            <v>#REF!</v>
          </cell>
          <cell r="BN78" t="e">
            <v>#REF!</v>
          </cell>
          <cell r="BO78" t="e">
            <v>#REF!</v>
          </cell>
          <cell r="BP78" t="e">
            <v>#REF!</v>
          </cell>
          <cell r="BQ78" t="e">
            <v>#REF!</v>
          </cell>
        </row>
        <row r="80">
          <cell r="B80" t="str">
            <v xml:space="preserve">  M3X</v>
          </cell>
          <cell r="AB80">
            <v>14.132988632875133</v>
          </cell>
          <cell r="AE80">
            <v>20.809785623891596</v>
          </cell>
          <cell r="AI80">
            <v>19.037916503214557</v>
          </cell>
          <cell r="AM80">
            <v>15.68924774202225</v>
          </cell>
          <cell r="AQ80">
            <v>15.855838149536417</v>
          </cell>
          <cell r="AR80">
            <v>14.168237410930518</v>
          </cell>
          <cell r="AS80">
            <v>15.898144752404452</v>
          </cell>
          <cell r="AT80">
            <v>15.644092732089664</v>
          </cell>
          <cell r="AV80">
            <v>13.479770472053488</v>
          </cell>
          <cell r="AW80">
            <v>13.354323110340772</v>
          </cell>
          <cell r="AZ80">
            <v>9.912496445387653</v>
          </cell>
          <cell r="BA80">
            <v>8.877616580612834</v>
          </cell>
          <cell r="BB80">
            <v>12.971123344339119</v>
          </cell>
          <cell r="BC80" t="e">
            <v>#REF!</v>
          </cell>
          <cell r="BD80">
            <v>9.3607283622475066</v>
          </cell>
          <cell r="BK80">
            <v>6.6012258736811713</v>
          </cell>
          <cell r="BL80">
            <v>8.790484279325872</v>
          </cell>
          <cell r="BM80">
            <v>13.468723803842941</v>
          </cell>
          <cell r="BN80">
            <v>11.873612954914027</v>
          </cell>
          <cell r="BO80">
            <v>11.873612954914027</v>
          </cell>
          <cell r="BQ80" t="e">
            <v>#REF!</v>
          </cell>
        </row>
        <row r="81">
          <cell r="B81" t="str">
            <v xml:space="preserve">  M4X</v>
          </cell>
          <cell r="AQ81">
            <v>14.103783618852606</v>
          </cell>
          <cell r="AT81">
            <v>14.32977079637987</v>
          </cell>
          <cell r="AZ81">
            <v>13.418103202158438</v>
          </cell>
          <cell r="BA81">
            <v>11.503931854726911</v>
          </cell>
          <cell r="BB81">
            <v>13.751671528639431</v>
          </cell>
          <cell r="BC81" t="e">
            <v>#DIV/0!</v>
          </cell>
          <cell r="BD81">
            <v>12.606891819939303</v>
          </cell>
          <cell r="BK81">
            <v>11.590949941466654</v>
          </cell>
          <cell r="BL81">
            <v>14.454734991286866</v>
          </cell>
          <cell r="BM81">
            <v>14.560900161265721</v>
          </cell>
          <cell r="BN81">
            <v>13.158244227558914</v>
          </cell>
          <cell r="BO81">
            <v>13.158244227558914</v>
          </cell>
        </row>
        <row r="82">
          <cell r="B82" t="str">
            <v>M3+gov paper of nonbanks</v>
          </cell>
          <cell r="AQ82">
            <v>14.057534422081197</v>
          </cell>
          <cell r="AT82">
            <v>14.74262096480421</v>
          </cell>
          <cell r="AZ82">
            <v>13.822453192803774</v>
          </cell>
          <cell r="BA82">
            <v>11.062076987352775</v>
          </cell>
          <cell r="BB82">
            <v>12.008365838529178</v>
          </cell>
          <cell r="BC82" t="e">
            <v>#DIV/0!</v>
          </cell>
          <cell r="BD82">
            <v>11.150649451190485</v>
          </cell>
          <cell r="BK82">
            <v>12.165259636009607</v>
          </cell>
          <cell r="BL82">
            <v>12.538198392069999</v>
          </cell>
          <cell r="BM82">
            <v>11.378659279767533</v>
          </cell>
          <cell r="BN82">
            <v>11.378659279767533</v>
          </cell>
          <cell r="BO82">
            <v>17.163235231962727</v>
          </cell>
        </row>
        <row r="84">
          <cell r="B84" t="str">
            <v>Money Base</v>
          </cell>
        </row>
        <row r="85">
          <cell r="B85" t="str">
            <v xml:space="preserve">  Money base</v>
          </cell>
          <cell r="F85">
            <v>14.421347636266567</v>
          </cell>
          <cell r="G85">
            <v>13.359255337579178</v>
          </cell>
          <cell r="H85">
            <v>42.921410719244648</v>
          </cell>
          <cell r="J85">
            <v>47.691034482758624</v>
          </cell>
          <cell r="L85">
            <v>63.727509423697207</v>
          </cell>
          <cell r="N85">
            <v>52.359072060966042</v>
          </cell>
          <cell r="P85">
            <v>31.292129497768919</v>
          </cell>
          <cell r="S85">
            <v>13.54953451607237</v>
          </cell>
          <cell r="V85">
            <v>29.783008458992267</v>
          </cell>
          <cell r="AB85">
            <v>28.717089088148072</v>
          </cell>
          <cell r="AE85">
            <v>32.20728995455864</v>
          </cell>
          <cell r="AI85">
            <v>29.993009899493671</v>
          </cell>
          <cell r="AM85">
            <v>24.973064542568089</v>
          </cell>
          <cell r="AQ85">
            <v>8.1330925225991955</v>
          </cell>
          <cell r="AR85">
            <v>17.235404494575256</v>
          </cell>
          <cell r="AS85">
            <v>13.541203949159586</v>
          </cell>
          <cell r="AT85">
            <v>19.342996299600699</v>
          </cell>
          <cell r="AV85">
            <v>14.474700656624172</v>
          </cell>
          <cell r="AW85">
            <v>13.532553775083001</v>
          </cell>
          <cell r="AZ85">
            <v>7.712922498724728</v>
          </cell>
          <cell r="BA85">
            <v>3.1461279461279412</v>
          </cell>
          <cell r="BB85">
            <v>10.461112101963256</v>
          </cell>
          <cell r="BC85">
            <v>14.575082154563379</v>
          </cell>
          <cell r="BD85">
            <v>9.4410763450923021</v>
          </cell>
          <cell r="BI85" t="e">
            <v>#REF!</v>
          </cell>
          <cell r="BK85">
            <v>-0.25867585192849152</v>
          </cell>
          <cell r="BL85">
            <v>-3.1417305454172872</v>
          </cell>
          <cell r="BM85">
            <v>-1.4845698254364104</v>
          </cell>
          <cell r="BN85">
            <v>-1.4845698254364104</v>
          </cell>
          <cell r="BO85">
            <v>-1.4845698254364104</v>
          </cell>
          <cell r="BP85">
            <v>-0.68746763555591617</v>
          </cell>
        </row>
        <row r="86">
          <cell r="B86" t="str">
            <v>M0</v>
          </cell>
        </row>
        <row r="87">
          <cell r="B87" t="str">
            <v xml:space="preserve">   3 month</v>
          </cell>
          <cell r="Y87">
            <v>2.3399823445778178</v>
          </cell>
          <cell r="AB87">
            <v>8.9489646651208954</v>
          </cell>
          <cell r="AE87">
            <v>-0.15627713144643618</v>
          </cell>
          <cell r="AI87">
            <v>-1.0434782608692572E-2</v>
          </cell>
          <cell r="AM87">
            <v>-3.4406998991199145</v>
          </cell>
          <cell r="AQ87">
            <v>9.4967479890951445</v>
          </cell>
          <cell r="AR87">
            <v>9.3887937648844844</v>
          </cell>
          <cell r="AS87">
            <v>1.4777009109051775</v>
          </cell>
          <cell r="AT87">
            <v>2.1813515825491958</v>
          </cell>
          <cell r="AU87" t="e">
            <v>#REF!</v>
          </cell>
          <cell r="AV87">
            <v>-3.753256359952406</v>
          </cell>
          <cell r="AW87">
            <v>-4.7738366417181872</v>
          </cell>
          <cell r="AX87" t="e">
            <v>#REF!</v>
          </cell>
          <cell r="AY87" t="e">
            <v>#REF!</v>
          </cell>
          <cell r="AZ87">
            <v>-6.1145635444505242</v>
          </cell>
          <cell r="BA87" t="e">
            <v>#REF!</v>
          </cell>
          <cell r="BB87">
            <v>5.8544409543540787</v>
          </cell>
          <cell r="BC87">
            <v>0.68836463276080728</v>
          </cell>
          <cell r="BD87">
            <v>2.9696203396780918</v>
          </cell>
          <cell r="BI87" t="e">
            <v>#REF!</v>
          </cell>
          <cell r="BK87">
            <v>6.2251833905377252</v>
          </cell>
          <cell r="BL87">
            <v>5.4769871835343098</v>
          </cell>
          <cell r="BM87">
            <v>19.965485198460108</v>
          </cell>
          <cell r="BN87">
            <v>19.965485198460108</v>
          </cell>
          <cell r="BO87" t="e">
            <v>#REF!</v>
          </cell>
          <cell r="BP87">
            <v>14.49621664675429</v>
          </cell>
          <cell r="BQ87" t="e">
            <v>#REF!</v>
          </cell>
        </row>
        <row r="88">
          <cell r="B88" t="str">
            <v xml:space="preserve">   6 month</v>
          </cell>
          <cell r="Y88">
            <v>6.4673830769678204</v>
          </cell>
          <cell r="AB88">
            <v>11.498351202885033</v>
          </cell>
          <cell r="AE88">
            <v>8.7787023484016515</v>
          </cell>
          <cell r="AI88">
            <v>-0.16669560687619933</v>
          </cell>
          <cell r="AM88">
            <v>-3.4507756521739208</v>
          </cell>
          <cell r="AQ88">
            <v>5.729293491494758</v>
          </cell>
          <cell r="AR88">
            <v>7.9057170630404849</v>
          </cell>
          <cell r="AS88">
            <v>4.6843254895601927</v>
          </cell>
          <cell r="AT88">
            <v>11.885257034195163</v>
          </cell>
          <cell r="AU88" t="e">
            <v>#REF!</v>
          </cell>
          <cell r="AV88">
            <v>5.2831519058287313</v>
          </cell>
          <cell r="AW88">
            <v>-3.3666787583528035</v>
          </cell>
          <cell r="AX88" t="e">
            <v>#REF!</v>
          </cell>
          <cell r="AY88" t="e">
            <v>#REF!</v>
          </cell>
          <cell r="AZ88">
            <v>-4.0665920905441855</v>
          </cell>
          <cell r="BA88">
            <v>-4.4222172193098093</v>
          </cell>
          <cell r="BB88">
            <v>1.8814524169427305</v>
          </cell>
          <cell r="BC88">
            <v>-3.0907278165503538</v>
          </cell>
          <cell r="BD88">
            <v>-1.9459811259355697</v>
          </cell>
          <cell r="BI88" t="e">
            <v>#REF!</v>
          </cell>
          <cell r="BK88">
            <v>5.4868676067633571</v>
          </cell>
          <cell r="BL88">
            <v>14.181731196391345</v>
          </cell>
          <cell r="BM88">
            <v>23.972837643185407</v>
          </cell>
          <cell r="BN88">
            <v>23.972837643185407</v>
          </cell>
          <cell r="BO88">
            <v>21.636718487112194</v>
          </cell>
          <cell r="BP88">
            <v>18.320872487824946</v>
          </cell>
          <cell r="BQ88" t="e">
            <v>#REF!</v>
          </cell>
        </row>
        <row r="89">
          <cell r="B89" t="str">
            <v xml:space="preserve">  Currency outside banks</v>
          </cell>
          <cell r="D89">
            <v>0</v>
          </cell>
          <cell r="E89">
            <v>0</v>
          </cell>
          <cell r="F89">
            <v>17.87103946637021</v>
          </cell>
          <cell r="G89">
            <v>18.903008783404964</v>
          </cell>
          <cell r="H89">
            <v>34.810972254971318</v>
          </cell>
          <cell r="J89">
            <v>39.229862475442047</v>
          </cell>
          <cell r="L89">
            <v>23.565764925373145</v>
          </cell>
          <cell r="N89">
            <v>14.957385561889701</v>
          </cell>
          <cell r="O89" t="e">
            <v>#DIV/0!</v>
          </cell>
          <cell r="P89">
            <v>16.658139095970558</v>
          </cell>
          <cell r="S89">
            <v>13.701175805322885</v>
          </cell>
          <cell r="V89">
            <v>26.80067756665192</v>
          </cell>
          <cell r="Y89">
            <v>22.218462179882859</v>
          </cell>
          <cell r="AB89">
            <v>16.463304493683715</v>
          </cell>
          <cell r="AC89">
            <v>0</v>
          </cell>
          <cell r="AD89">
            <v>0</v>
          </cell>
          <cell r="AE89">
            <v>15.813837735427372</v>
          </cell>
          <cell r="AI89">
            <v>11.31248834969043</v>
          </cell>
          <cell r="AM89">
            <v>5.0249933730122542</v>
          </cell>
          <cell r="AP89">
            <v>-3.87</v>
          </cell>
          <cell r="AQ89">
            <v>5.5530474040632161</v>
          </cell>
          <cell r="AR89">
            <v>11.496396170258549</v>
          </cell>
          <cell r="AS89">
            <v>7.8927041640334261</v>
          </cell>
          <cell r="AT89">
            <v>8.024347826086963</v>
          </cell>
          <cell r="AU89" t="e">
            <v>#REF!</v>
          </cell>
          <cell r="AV89">
            <v>5.4474982381959025</v>
          </cell>
          <cell r="AW89">
            <v>2.7709489358713313</v>
          </cell>
          <cell r="AX89" t="e">
            <v>#REF!</v>
          </cell>
          <cell r="AY89" t="e">
            <v>#REF!</v>
          </cell>
          <cell r="AZ89">
            <v>1.4297144049813859</v>
          </cell>
          <cell r="BA89">
            <v>3.1338918624589818</v>
          </cell>
          <cell r="BB89">
            <v>9.9359117847424461</v>
          </cell>
          <cell r="BC89">
            <v>4.5706450501249885</v>
          </cell>
          <cell r="BD89">
            <v>2.6471882737203911</v>
          </cell>
          <cell r="BI89" t="e">
            <v>#REF!</v>
          </cell>
          <cell r="BK89">
            <v>11.059899063129098</v>
          </cell>
          <cell r="BL89">
            <v>10.337599106282935</v>
          </cell>
          <cell r="BM89">
            <v>18.931368033164443</v>
          </cell>
          <cell r="BN89">
            <v>18.931368033164443</v>
          </cell>
          <cell r="BO89">
            <v>18.931368033164443</v>
          </cell>
          <cell r="BP89">
            <v>13.509245245772195</v>
          </cell>
          <cell r="BQ89" t="e">
            <v>#REF!</v>
          </cell>
        </row>
        <row r="90">
          <cell r="B90" t="str">
            <v>MO (SA)</v>
          </cell>
        </row>
        <row r="91">
          <cell r="B91" t="str">
            <v xml:space="preserve">   3 month</v>
          </cell>
          <cell r="Y91" t="e">
            <v>#REF!</v>
          </cell>
          <cell r="AB91" t="e">
            <v>#REF!</v>
          </cell>
          <cell r="AE91" t="e">
            <v>#REF!</v>
          </cell>
          <cell r="AI91" t="e">
            <v>#REF!</v>
          </cell>
          <cell r="AM91" t="e">
            <v>#REF!</v>
          </cell>
          <cell r="AQ91" t="e">
            <v>#REF!</v>
          </cell>
          <cell r="AR91" t="e">
            <v>#REF!</v>
          </cell>
          <cell r="AS91" t="e">
            <v>#REF!</v>
          </cell>
          <cell r="AT91" t="e">
            <v>#REF!</v>
          </cell>
          <cell r="AU91">
            <v>0.90000000000000013</v>
          </cell>
          <cell r="AV91" t="e">
            <v>#REF!</v>
          </cell>
          <cell r="AW91" t="e">
            <v>#REF!</v>
          </cell>
          <cell r="AX91" t="e">
            <v>#REF!</v>
          </cell>
          <cell r="AY91" t="e">
            <v>#REF!</v>
          </cell>
          <cell r="AZ91" t="e">
            <v>#REF!</v>
          </cell>
          <cell r="BA91" t="e">
            <v>#REF!</v>
          </cell>
          <cell r="BB91" t="e">
            <v>#REF!</v>
          </cell>
          <cell r="BC91" t="e">
            <v>#REF!</v>
          </cell>
          <cell r="BD91" t="e">
            <v>#REF!</v>
          </cell>
          <cell r="BI91">
            <v>2.1</v>
          </cell>
          <cell r="BK91" t="e">
            <v>#REF!</v>
          </cell>
          <cell r="BL91" t="e">
            <v>#REF!</v>
          </cell>
          <cell r="BM91" t="e">
            <v>#REF!</v>
          </cell>
          <cell r="BN91" t="e">
            <v>#REF!</v>
          </cell>
          <cell r="BO91" t="e">
            <v>#REF!</v>
          </cell>
          <cell r="BP91">
            <v>-3.6999999999999997</v>
          </cell>
          <cell r="BQ91" t="e">
            <v>#REF!</v>
          </cell>
        </row>
        <row r="92">
          <cell r="B92" t="str">
            <v xml:space="preserve">   6 month</v>
          </cell>
          <cell r="Y92" t="e">
            <v>#REF!</v>
          </cell>
          <cell r="AB92" t="e">
            <v>#REF!</v>
          </cell>
          <cell r="AE92" t="e">
            <v>#REF!</v>
          </cell>
          <cell r="AI92" t="e">
            <v>#REF!</v>
          </cell>
          <cell r="AM92" t="e">
            <v>#REF!</v>
          </cell>
          <cell r="AQ92" t="e">
            <v>#REF!</v>
          </cell>
          <cell r="AR92" t="e">
            <v>#REF!</v>
          </cell>
          <cell r="AS92" t="e">
            <v>#REF!</v>
          </cell>
          <cell r="AT92" t="e">
            <v>#REF!</v>
          </cell>
          <cell r="AU92" t="e">
            <v>#REF!</v>
          </cell>
          <cell r="AV92" t="e">
            <v>#REF!</v>
          </cell>
          <cell r="AW92" t="e">
            <v>#REF!</v>
          </cell>
          <cell r="AX92">
            <v>6.15</v>
          </cell>
          <cell r="AY92">
            <v>6.3142400000000265</v>
          </cell>
          <cell r="AZ92" t="e">
            <v>#REF!</v>
          </cell>
          <cell r="BA92" t="e">
            <v>#REF!</v>
          </cell>
          <cell r="BB92" t="e">
            <v>#REF!</v>
          </cell>
          <cell r="BC92" t="e">
            <v>#REF!</v>
          </cell>
          <cell r="BD92" t="e">
            <v>#REF!</v>
          </cell>
          <cell r="BI92" t="e">
            <v>#REF!</v>
          </cell>
          <cell r="BK92" t="e">
            <v>#REF!</v>
          </cell>
          <cell r="BL92" t="e">
            <v>#REF!</v>
          </cell>
          <cell r="BM92" t="e">
            <v>#REF!</v>
          </cell>
          <cell r="BN92" t="e">
            <v>#REF!</v>
          </cell>
          <cell r="BO92" t="e">
            <v>#REF!</v>
          </cell>
          <cell r="BP92" t="e">
            <v>#REF!</v>
          </cell>
          <cell r="BQ92">
            <v>4.2</v>
          </cell>
        </row>
        <row r="94">
          <cell r="B94" t="str">
            <v xml:space="preserve">NDA of financial sector </v>
          </cell>
        </row>
        <row r="95">
          <cell r="B95" t="str">
            <v xml:space="preserve">    3 month</v>
          </cell>
          <cell r="BC95" t="e">
            <v>#REF!</v>
          </cell>
          <cell r="BD95">
            <v>1.3793572197351445</v>
          </cell>
          <cell r="BK95">
            <v>-0.57854338613378964</v>
          </cell>
          <cell r="BL95">
            <v>-0.52361193910096526</v>
          </cell>
          <cell r="BM95">
            <v>11.582677043089262</v>
          </cell>
          <cell r="BN95">
            <v>6.1029320400678655</v>
          </cell>
          <cell r="BO95" t="e">
            <v>#DIV/0!</v>
          </cell>
          <cell r="BP95">
            <v>-3.4005232233050742</v>
          </cell>
        </row>
        <row r="96">
          <cell r="B96" t="str">
            <v xml:space="preserve">    6 month</v>
          </cell>
          <cell r="BC96">
            <v>4.4859733905670218</v>
          </cell>
          <cell r="BD96">
            <v>3.5798766245672242</v>
          </cell>
          <cell r="BK96">
            <v>0.68591964865962751</v>
          </cell>
          <cell r="BL96">
            <v>9.9823523939135406E-2</v>
          </cell>
          <cell r="BM96">
            <v>13.121800754856871</v>
          </cell>
          <cell r="BN96">
            <v>7.5664704935131999</v>
          </cell>
          <cell r="BO96">
            <v>12.050474089630248</v>
          </cell>
          <cell r="BP96">
            <v>-2.068071366159363</v>
          </cell>
        </row>
        <row r="97">
          <cell r="B97" t="str">
            <v xml:space="preserve">  Net domestic assets of banking sector </v>
          </cell>
          <cell r="F97">
            <v>20.032877348343735</v>
          </cell>
          <cell r="H97">
            <v>22.786132577619188</v>
          </cell>
          <cell r="J97">
            <v>17.930990971768246</v>
          </cell>
          <cell r="L97">
            <v>1.1230780454270173</v>
          </cell>
          <cell r="N97">
            <v>7.0068553646897458</v>
          </cell>
          <cell r="P97">
            <v>36.596755432958659</v>
          </cell>
          <cell r="S97">
            <v>28.971125278927335</v>
          </cell>
          <cell r="V97">
            <v>39.42693962761561</v>
          </cell>
          <cell r="AB97">
            <v>16.724761518514452</v>
          </cell>
          <cell r="AE97">
            <v>19.877587577105626</v>
          </cell>
          <cell r="AI97">
            <v>11.350983334198062</v>
          </cell>
          <cell r="AM97">
            <v>9.7745232432347109</v>
          </cell>
          <cell r="AQ97">
            <v>6.7245514821864028</v>
          </cell>
          <cell r="AR97">
            <v>7.0581374383972495</v>
          </cell>
          <cell r="AS97">
            <v>7.3684141884917453</v>
          </cell>
          <cell r="AT97">
            <v>6.6402176489937625</v>
          </cell>
          <cell r="AV97">
            <v>4.0826873582108902</v>
          </cell>
          <cell r="AW97">
            <v>6.5721958363603061</v>
          </cell>
          <cell r="AZ97">
            <v>5.4895513181505429</v>
          </cell>
          <cell r="BA97">
            <v>3.6121010304370982</v>
          </cell>
          <cell r="BB97">
            <v>5.9205149903762244</v>
          </cell>
          <cell r="BC97">
            <v>13.739586785648793</v>
          </cell>
          <cell r="BD97">
            <v>5.5102582546657342</v>
          </cell>
          <cell r="BK97">
            <v>5.9557662110530485</v>
          </cell>
          <cell r="BL97">
            <v>3.4855931685432662</v>
          </cell>
          <cell r="BM97">
            <v>13.934611861089108</v>
          </cell>
          <cell r="BN97">
            <v>8.3393650310108924</v>
          </cell>
          <cell r="BO97" t="str">
            <v>…</v>
          </cell>
          <cell r="BP97">
            <v>-1.3644036494402045</v>
          </cell>
        </row>
        <row r="98">
          <cell r="B98" t="str">
            <v xml:space="preserve">  NDA growth (as percent of base period M3X) </v>
          </cell>
          <cell r="F98">
            <v>21.511065184562813</v>
          </cell>
          <cell r="H98">
            <v>24.790989735185029</v>
          </cell>
          <cell r="J98">
            <v>19.505874594245828</v>
          </cell>
          <cell r="L98">
            <v>1.1850439834967137</v>
          </cell>
          <cell r="N98">
            <v>7.0585956515384032</v>
          </cell>
          <cell r="P98">
            <v>31.921941302060791</v>
          </cell>
          <cell r="S98">
            <v>24.678632600536655</v>
          </cell>
          <cell r="V98">
            <v>33.825335640540935</v>
          </cell>
          <cell r="AB98">
            <v>15.644794963630781</v>
          </cell>
          <cell r="AE98">
            <v>18.597870133168758</v>
          </cell>
          <cell r="AI98">
            <v>10.811703359546993</v>
          </cell>
          <cell r="AM98">
            <v>9.3911032384382072</v>
          </cell>
          <cell r="AQ98">
            <v>6.5238664021117918</v>
          </cell>
          <cell r="AR98">
            <v>6.795397108295548</v>
          </cell>
          <cell r="AS98">
            <v>7.0945318210892863</v>
          </cell>
          <cell r="AT98">
            <v>6.2610293346467056</v>
          </cell>
          <cell r="AV98">
            <v>3.8035158042487387</v>
          </cell>
          <cell r="AW98">
            <v>6.0423347114574604</v>
          </cell>
          <cell r="AZ98">
            <v>4.9174920590214226</v>
          </cell>
          <cell r="BA98">
            <v>3.258713721625782</v>
          </cell>
          <cell r="BB98">
            <v>5.2936863596813506</v>
          </cell>
          <cell r="BC98">
            <v>12.674442532570168</v>
          </cell>
          <cell r="BD98">
            <v>5.0042089879135121</v>
          </cell>
          <cell r="BK98">
            <v>5.2715471058521119</v>
          </cell>
          <cell r="BL98">
            <v>3.1457563165698454</v>
          </cell>
          <cell r="BM98">
            <v>12.447934319023084</v>
          </cell>
          <cell r="BN98">
            <v>7.4496418847699477</v>
          </cell>
          <cell r="BO98" t="str">
            <v>…</v>
          </cell>
          <cell r="BP98">
            <v>-1.218836030897497</v>
          </cell>
        </row>
        <row r="99">
          <cell r="B99" t="str">
            <v>NDA of banking sector 2/</v>
          </cell>
          <cell r="BO99">
            <v>8.3393650310108924</v>
          </cell>
        </row>
        <row r="100">
          <cell r="B100" t="str">
            <v>NDA growth (as percent of base period M3) 2/</v>
          </cell>
          <cell r="BO100">
            <v>7.4496418847699477</v>
          </cell>
        </row>
        <row r="102">
          <cell r="B102" t="str">
            <v>Other Items Net of banking sector</v>
          </cell>
        </row>
        <row r="103">
          <cell r="B103" t="str">
            <v xml:space="preserve">  Other items net of banking sector</v>
          </cell>
          <cell r="F103">
            <v>7.8769008555393594</v>
          </cell>
          <cell r="H103">
            <v>-74.107176188147633</v>
          </cell>
          <cell r="J103">
            <v>-105.93090117413946</v>
          </cell>
          <cell r="L103">
            <v>351.58123192964297</v>
          </cell>
          <cell r="N103">
            <v>-2260.5449519550725</v>
          </cell>
          <cell r="P103">
            <v>-7.0672946419382594</v>
          </cell>
          <cell r="S103">
            <v>73.644757678399969</v>
          </cell>
          <cell r="V103">
            <v>51.637491049465069</v>
          </cell>
          <cell r="AB103">
            <v>112.59664431050265</v>
          </cell>
          <cell r="AE103">
            <v>25.150717053716743</v>
          </cell>
          <cell r="AI103">
            <v>34.162335734595061</v>
          </cell>
          <cell r="AM103">
            <v>95.490944661271755</v>
          </cell>
          <cell r="AQ103">
            <v>31.86598081214531</v>
          </cell>
          <cell r="AR103">
            <v>47.536704339810676</v>
          </cell>
          <cell r="AS103">
            <v>51.683336642437141</v>
          </cell>
          <cell r="AT103">
            <v>75.125556139043908</v>
          </cell>
          <cell r="AV103">
            <v>55.900339623080363</v>
          </cell>
          <cell r="AW103">
            <v>38.519097601749344</v>
          </cell>
          <cell r="AZ103">
            <v>74.002363459154409</v>
          </cell>
          <cell r="BA103">
            <v>58.278385481509211</v>
          </cell>
          <cell r="BB103">
            <v>56.767472426681941</v>
          </cell>
          <cell r="BC103">
            <v>76.193759978417347</v>
          </cell>
          <cell r="BD103">
            <v>34.015832431833879</v>
          </cell>
          <cell r="BK103">
            <v>50.753789826893666</v>
          </cell>
          <cell r="BL103">
            <v>52.459891542645124</v>
          </cell>
          <cell r="BM103">
            <v>64.303887065617587</v>
          </cell>
          <cell r="BN103">
            <v>97.961868943071238</v>
          </cell>
          <cell r="BO103" t="str">
            <v>…</v>
          </cell>
          <cell r="BP103" t="str">
            <v>…</v>
          </cell>
          <cell r="BQ103" t="str">
            <v>…</v>
          </cell>
        </row>
        <row r="104">
          <cell r="B104" t="str">
            <v xml:space="preserve">   12 month as % of base period M3X</v>
          </cell>
          <cell r="F104">
            <v>-0.88931404630249833</v>
          </cell>
          <cell r="H104">
            <v>7.6189117570947955</v>
          </cell>
          <cell r="J104">
            <v>9.5882153813848436</v>
          </cell>
          <cell r="L104">
            <v>-7.3924729550702395</v>
          </cell>
          <cell r="N104">
            <v>-9.5291687276182113</v>
          </cell>
          <cell r="P104">
            <v>0.54856114239744558</v>
          </cell>
          <cell r="S104">
            <v>-4.4411211829895887</v>
          </cell>
          <cell r="V104">
            <v>-3.7429377344772572</v>
          </cell>
          <cell r="AB104">
            <v>-6.3765932923647126</v>
          </cell>
          <cell r="AE104">
            <v>-2.2429219024156328</v>
          </cell>
          <cell r="AI104">
            <v>-2.9899677916359941</v>
          </cell>
          <cell r="AM104">
            <v>-8.4617069705946832</v>
          </cell>
          <cell r="AQ104">
            <v>-3.4089117997561189</v>
          </cell>
          <cell r="AR104">
            <v>-5.1913778392181804</v>
          </cell>
          <cell r="AS104">
            <v>-5.61343979217623</v>
          </cell>
          <cell r="AT104">
            <v>-7.0487274283293617</v>
          </cell>
          <cell r="AV104">
            <v>-6.4416862330811577</v>
          </cell>
          <cell r="AW104">
            <v>-4.3865433032755483</v>
          </cell>
          <cell r="AZ104">
            <v>-7.3391756247163986</v>
          </cell>
          <cell r="BA104">
            <v>-6.9804206567299092</v>
          </cell>
          <cell r="BB104">
            <v>-7.4868009116386931</v>
          </cell>
          <cell r="BC104">
            <v>-10.812544855495988</v>
          </cell>
          <cell r="BD104">
            <v>-5.073929569398798</v>
          </cell>
          <cell r="BK104">
            <v>-7.6362746178581045</v>
          </cell>
          <cell r="BL104">
            <v>-7.2000754547016692</v>
          </cell>
          <cell r="BM104">
            <v>-7.8262696538742311</v>
          </cell>
          <cell r="BN104">
            <v>-11.922700743792115</v>
          </cell>
          <cell r="BP104">
            <v>-8.710173228698368</v>
          </cell>
        </row>
        <row r="106">
          <cell r="B106" t="str">
            <v>Private sector credit</v>
          </cell>
        </row>
        <row r="107">
          <cell r="B107" t="str">
            <v xml:space="preserve">   3 month</v>
          </cell>
          <cell r="AB107">
            <v>7.3982708574998002</v>
          </cell>
          <cell r="AC107">
            <v>0</v>
          </cell>
          <cell r="AD107">
            <v>0</v>
          </cell>
          <cell r="AE107">
            <v>4.338235198243634</v>
          </cell>
          <cell r="AF107">
            <v>0</v>
          </cell>
          <cell r="AG107">
            <v>0</v>
          </cell>
          <cell r="AH107">
            <v>0</v>
          </cell>
          <cell r="AI107">
            <v>4.5190506052862567</v>
          </cell>
          <cell r="AJ107">
            <v>0</v>
          </cell>
          <cell r="AK107">
            <v>0</v>
          </cell>
          <cell r="AL107">
            <v>0</v>
          </cell>
          <cell r="AM107">
            <v>2.5926787004888263</v>
          </cell>
          <cell r="AN107">
            <v>0</v>
          </cell>
          <cell r="AO107">
            <v>0</v>
          </cell>
          <cell r="AP107">
            <v>0</v>
          </cell>
          <cell r="AQ107">
            <v>3.6096668198661641</v>
          </cell>
          <cell r="AR107">
            <v>5.2515902071549547</v>
          </cell>
          <cell r="AS107">
            <v>3.6961601616773976</v>
          </cell>
          <cell r="AT107">
            <v>3.6566503602037503</v>
          </cell>
          <cell r="AU107">
            <v>4.6635139392105618</v>
          </cell>
          <cell r="AV107">
            <v>1.9464980718942648</v>
          </cell>
          <cell r="AW107">
            <v>2.7662403378148515</v>
          </cell>
          <cell r="AX107">
            <v>4.6635139392105618</v>
          </cell>
          <cell r="AY107">
            <v>2</v>
          </cell>
          <cell r="AZ107">
            <v>4.0490460001388673</v>
          </cell>
          <cell r="BA107">
            <v>2.4849937908602682</v>
          </cell>
          <cell r="BB107">
            <v>4.2674542407611593</v>
          </cell>
          <cell r="BC107">
            <v>7.1678941928829731</v>
          </cell>
          <cell r="BD107">
            <v>3.1548304779087655</v>
          </cell>
          <cell r="BI107">
            <v>1</v>
          </cell>
          <cell r="BK107">
            <v>4.8792123866938431</v>
          </cell>
          <cell r="BL107">
            <v>4.5750055122117717</v>
          </cell>
          <cell r="BM107">
            <v>5.9166632893810078</v>
          </cell>
          <cell r="BN107">
            <v>0</v>
          </cell>
          <cell r="BO107">
            <v>0</v>
          </cell>
          <cell r="BP107">
            <v>1.6</v>
          </cell>
          <cell r="BQ107">
            <v>2</v>
          </cell>
        </row>
        <row r="108">
          <cell r="B108" t="str">
            <v xml:space="preserve">   6 month</v>
          </cell>
          <cell r="AB108">
            <v>15.532076556395523</v>
          </cell>
          <cell r="AC108">
            <v>0</v>
          </cell>
          <cell r="AD108">
            <v>0</v>
          </cell>
          <cell r="AE108">
            <v>12.057460446144885</v>
          </cell>
          <cell r="AF108">
            <v>0</v>
          </cell>
          <cell r="AG108">
            <v>0</v>
          </cell>
          <cell r="AH108">
            <v>0</v>
          </cell>
          <cell r="AI108">
            <v>9.0533328475148611</v>
          </cell>
          <cell r="AJ108">
            <v>7.4905933511090872</v>
          </cell>
          <cell r="AK108">
            <v>7.0227141961889616</v>
          </cell>
          <cell r="AL108">
            <v>0</v>
          </cell>
          <cell r="AM108">
            <v>7.2288937682826404</v>
          </cell>
          <cell r="AN108">
            <v>6.5196647252558693</v>
          </cell>
          <cell r="AO108">
            <v>7.2732031145677833</v>
          </cell>
          <cell r="AP108">
            <v>0</v>
          </cell>
          <cell r="AQ108">
            <v>6.2959325831522639</v>
          </cell>
          <cell r="AR108">
            <v>6.8231504294768319</v>
          </cell>
          <cell r="AS108">
            <v>7.3432962130879575</v>
          </cell>
          <cell r="AT108">
            <v>7.3983100748407082</v>
          </cell>
          <cell r="AU108">
            <v>8.4415180743802498</v>
          </cell>
          <cell r="AV108">
            <v>7.3003103811752901</v>
          </cell>
          <cell r="AW108">
            <v>6.5646451728348154</v>
          </cell>
          <cell r="AX108">
            <v>9.544511501033238</v>
          </cell>
          <cell r="AY108">
            <v>5.7297833674078369</v>
          </cell>
          <cell r="AZ108">
            <v>7.8537558154915033</v>
          </cell>
          <cell r="BA108">
            <v>5.3199750293100978</v>
          </cell>
          <cell r="BB108">
            <v>8.0179983822023857</v>
          </cell>
          <cell r="BC108">
            <v>10.132415711233268</v>
          </cell>
          <cell r="BD108">
            <v>9.0141874583742787</v>
          </cell>
          <cell r="BI108">
            <v>5.0895364601402537</v>
          </cell>
          <cell r="BK108">
            <v>9.225675588893111</v>
          </cell>
          <cell r="BL108">
            <v>9.0376960197188652</v>
          </cell>
          <cell r="BM108">
            <v>10.970926026353766</v>
          </cell>
          <cell r="BN108">
            <v>0</v>
          </cell>
          <cell r="BO108">
            <v>0</v>
          </cell>
          <cell r="BP108">
            <v>6.4482748429624648</v>
          </cell>
          <cell r="BQ108">
            <v>3.0200000000000005</v>
          </cell>
        </row>
        <row r="109">
          <cell r="B109" t="str">
            <v xml:space="preserve">  12 month</v>
          </cell>
          <cell r="F109">
            <v>19.86090294727363</v>
          </cell>
          <cell r="G109">
            <v>18.095725609381841</v>
          </cell>
          <cell r="H109">
            <v>18.897446821665831</v>
          </cell>
          <cell r="J109">
            <v>13.732004870807057</v>
          </cell>
          <cell r="L109">
            <v>3.6824613565059616</v>
          </cell>
          <cell r="M109" t="e">
            <v>#DIV/0!</v>
          </cell>
          <cell r="N109">
            <v>13.010805643798573</v>
          </cell>
          <cell r="O109" t="e">
            <v>#DIV/0!</v>
          </cell>
          <cell r="P109">
            <v>23.538144596113607</v>
          </cell>
          <cell r="S109">
            <v>27.777550235366387</v>
          </cell>
          <cell r="V109">
            <v>30.318748130254036</v>
          </cell>
          <cell r="Y109">
            <v>35.421892419037391</v>
          </cell>
          <cell r="AB109">
            <v>35.432585234268728</v>
          </cell>
          <cell r="AC109">
            <v>0</v>
          </cell>
          <cell r="AD109">
            <v>0</v>
          </cell>
          <cell r="AE109">
            <v>33.374020538204483</v>
          </cell>
          <cell r="AF109">
            <v>0</v>
          </cell>
          <cell r="AG109">
            <v>0</v>
          </cell>
          <cell r="AI109">
            <v>25.991579992691683</v>
          </cell>
          <cell r="AM109">
            <v>20.157975221232039</v>
          </cell>
          <cell r="AP109">
            <v>0</v>
          </cell>
          <cell r="AQ109">
            <v>15.919257163275047</v>
          </cell>
          <cell r="AR109">
            <v>14.824838232992477</v>
          </cell>
          <cell r="AS109">
            <v>14.881709114901653</v>
          </cell>
          <cell r="AT109">
            <v>15.162019819081763</v>
          </cell>
          <cell r="AU109">
            <v>16.280640216690223</v>
          </cell>
          <cell r="AV109">
            <v>14.295930867186835</v>
          </cell>
          <cell r="AW109">
            <v>14.315308264573545</v>
          </cell>
          <cell r="AX109">
            <v>16.44136009368178</v>
          </cell>
          <cell r="AY109">
            <v>12.386459248532766</v>
          </cell>
          <cell r="AZ109">
            <v>14.644155570032535</v>
          </cell>
          <cell r="BA109">
            <v>13.415657922639523</v>
          </cell>
          <cell r="BB109">
            <v>15.020212477193873</v>
          </cell>
          <cell r="BC109" t="e">
            <v>#DIV/0!</v>
          </cell>
          <cell r="BD109">
            <v>17.079395072112913</v>
          </cell>
          <cell r="BI109">
            <v>12.864386223674229</v>
          </cell>
          <cell r="BK109">
            <v>17.199488922817928</v>
          </cell>
          <cell r="BL109">
            <v>16.195633868047654</v>
          </cell>
          <cell r="BM109">
            <v>19.686311582653303</v>
          </cell>
          <cell r="BN109">
            <v>18.425364864484848</v>
          </cell>
          <cell r="BO109">
            <v>0</v>
          </cell>
          <cell r="BP109">
            <v>14.808462418932011</v>
          </cell>
          <cell r="BQ109">
            <v>11.110939241119366</v>
          </cell>
        </row>
        <row r="110">
          <cell r="B110" t="str">
            <v xml:space="preserve">  Private sector credit including to nondeposit fin. enterprises  </v>
          </cell>
        </row>
        <row r="111">
          <cell r="B111" t="str">
            <v xml:space="preserve">   and foreign currency credits (FCCs) to residents </v>
          </cell>
          <cell r="BO111" t="str">
            <v>…</v>
          </cell>
        </row>
        <row r="112">
          <cell r="B112" t="str">
            <v xml:space="preserve">Private sector credit excluding FCCs  </v>
          </cell>
        </row>
        <row r="113">
          <cell r="B113" t="str">
            <v xml:space="preserve">   and credit to nondepository fin. enterp. 3/</v>
          </cell>
          <cell r="BN113">
            <v>19.686311582653303</v>
          </cell>
          <cell r="BO113">
            <v>19.686311582653303</v>
          </cell>
        </row>
        <row r="114">
          <cell r="B114" t="str">
            <v>Private sector credit with FCCs (in Ksh million)</v>
          </cell>
        </row>
        <row r="117">
          <cell r="B117" t="str">
            <v>Non-bank holdings of government debt</v>
          </cell>
        </row>
        <row r="118">
          <cell r="B118" t="str">
            <v>Arrears (securitized)</v>
          </cell>
        </row>
        <row r="119">
          <cell r="B119" t="str">
            <v>Stock of domestic debt (millions of Kenya shillings)</v>
          </cell>
        </row>
        <row r="121">
          <cell r="B121" t="str">
            <v>Multiplier (M3/RM)</v>
          </cell>
          <cell r="D121">
            <v>5.5970182451368542</v>
          </cell>
          <cell r="E121">
            <v>5.7186356361471233</v>
          </cell>
          <cell r="F121">
            <v>5.7948903082477088</v>
          </cell>
          <cell r="G121">
            <v>5.9280161655172421</v>
          </cell>
          <cell r="H121">
            <v>5.1332918820191971</v>
          </cell>
          <cell r="I121">
            <v>0</v>
          </cell>
          <cell r="J121">
            <v>5.1115095819791554</v>
          </cell>
          <cell r="K121">
            <v>0</v>
          </cell>
          <cell r="L121">
            <v>3.8353270673122566</v>
          </cell>
          <cell r="M121">
            <v>3.8399943790620061</v>
          </cell>
          <cell r="N121">
            <v>4.2153978178251812</v>
          </cell>
          <cell r="O121">
            <v>4.1249889400106179</v>
          </cell>
          <cell r="P121">
            <v>3.7208388892906212</v>
          </cell>
          <cell r="Q121">
            <v>0</v>
          </cell>
          <cell r="R121">
            <v>0</v>
          </cell>
          <cell r="S121">
            <v>3.9709453736826839</v>
          </cell>
          <cell r="T121">
            <v>0</v>
          </cell>
          <cell r="U121">
            <v>0</v>
          </cell>
          <cell r="V121">
            <v>4.079020006801179</v>
          </cell>
          <cell r="W121">
            <v>0</v>
          </cell>
          <cell r="X121">
            <v>0</v>
          </cell>
          <cell r="Y121">
            <v>3.7302404594580114</v>
          </cell>
          <cell r="Z121">
            <v>0</v>
          </cell>
          <cell r="AA121">
            <v>0</v>
          </cell>
          <cell r="AB121">
            <v>3.2533879757130313</v>
          </cell>
          <cell r="AC121">
            <v>3.4298877478471739</v>
          </cell>
          <cell r="AD121">
            <v>3.3868809663690942</v>
          </cell>
          <cell r="AE121">
            <v>3.5728321656842814</v>
          </cell>
          <cell r="AF121">
            <v>3.4166050184847983</v>
          </cell>
          <cell r="AG121">
            <v>3.6005177566045905</v>
          </cell>
          <cell r="AH121">
            <v>0</v>
          </cell>
          <cell r="AI121">
            <v>3.7152129333986363</v>
          </cell>
          <cell r="AJ121">
            <v>3.5042720538720542</v>
          </cell>
          <cell r="AK121">
            <v>3.5622209112486107</v>
          </cell>
          <cell r="AL121">
            <v>0</v>
          </cell>
          <cell r="AM121">
            <v>3.4664066946060683</v>
          </cell>
          <cell r="AN121">
            <v>3.5103339641393583</v>
          </cell>
          <cell r="AO121">
            <v>3.4037145876044521</v>
          </cell>
          <cell r="AP121">
            <v>0</v>
          </cell>
          <cell r="AQ121">
            <v>3.4872324397339982</v>
          </cell>
          <cell r="AR121">
            <v>3.3621669671163055</v>
          </cell>
          <cell r="AS121">
            <v>3.5033507073715562</v>
          </cell>
          <cell r="AT121">
            <v>3.4787030614245795</v>
          </cell>
          <cell r="AU121">
            <v>3.5642384257406041</v>
          </cell>
          <cell r="AV121">
            <v>3.3872266072181718</v>
          </cell>
          <cell r="AW121">
            <v>3.6001703880779208</v>
          </cell>
          <cell r="AX121" t="e">
            <v>#REF!</v>
          </cell>
          <cell r="AY121" t="e">
            <v>#REF!</v>
          </cell>
          <cell r="AZ121">
            <v>3.8</v>
          </cell>
          <cell r="BA121">
            <v>3.6769383438226306</v>
          </cell>
          <cell r="BB121">
            <v>3.5776186998534416</v>
          </cell>
          <cell r="BC121">
            <v>3.4053561691369651</v>
          </cell>
          <cell r="BD121">
            <v>3.4053561691369651</v>
          </cell>
          <cell r="BE121">
            <v>0</v>
          </cell>
          <cell r="BF121">
            <v>0</v>
          </cell>
          <cell r="BG121">
            <v>0</v>
          </cell>
          <cell r="BH121">
            <v>0</v>
          </cell>
          <cell r="BI121" t="e">
            <v>#REF!</v>
          </cell>
          <cell r="BJ121">
            <v>3.4053561691369651</v>
          </cell>
          <cell r="BK121">
            <v>3.7612918196584815</v>
          </cell>
          <cell r="BL121">
            <v>3.7356267861695134</v>
          </cell>
          <cell r="BM121">
            <v>3.885277736028161</v>
          </cell>
          <cell r="BN121">
            <v>3.885277736028161</v>
          </cell>
          <cell r="BO121">
            <v>3.885277736028161</v>
          </cell>
          <cell r="BP121">
            <v>3.6983636081020963</v>
          </cell>
          <cell r="BQ121" t="e">
            <v>#REF!</v>
          </cell>
        </row>
        <row r="131">
          <cell r="B131" t="str">
            <v>M3/RM</v>
          </cell>
        </row>
        <row r="132">
          <cell r="B132" t="str">
            <v>- end period</v>
          </cell>
          <cell r="D132">
            <v>5.5970182451368542</v>
          </cell>
          <cell r="E132">
            <v>5.7186356361471233</v>
          </cell>
          <cell r="F132">
            <v>5.7948903082477088</v>
          </cell>
          <cell r="G132">
            <v>5.9280161655172421</v>
          </cell>
          <cell r="H132">
            <v>5.1332918820191971</v>
          </cell>
          <cell r="J132">
            <v>5.1115095819791554</v>
          </cell>
          <cell r="L132">
            <v>3.8353270673122566</v>
          </cell>
          <cell r="M132">
            <v>3.8399943790620061</v>
          </cell>
          <cell r="N132">
            <v>4.2153978178251812</v>
          </cell>
          <cell r="O132">
            <v>4.1249889400106179</v>
          </cell>
          <cell r="P132">
            <v>3.7208388892906212</v>
          </cell>
          <cell r="S132">
            <v>3.9709453736826839</v>
          </cell>
          <cell r="V132">
            <v>4.079020006801179</v>
          </cell>
          <cell r="Y132">
            <v>3.7302404594580114</v>
          </cell>
          <cell r="AB132">
            <v>3.2533879757130313</v>
          </cell>
          <cell r="AC132">
            <v>3.4298877478471739</v>
          </cell>
          <cell r="AD132">
            <v>3.3868809663690942</v>
          </cell>
          <cell r="AE132">
            <v>3.5728321656842814</v>
          </cell>
          <cell r="AF132">
            <v>3.4166050184847983</v>
          </cell>
          <cell r="AG132">
            <v>3.6005177566045905</v>
          </cell>
          <cell r="AI132">
            <v>3.7152129333986363</v>
          </cell>
          <cell r="AJ132">
            <v>3.5042720538720542</v>
          </cell>
          <cell r="AK132">
            <v>3.5622209112486107</v>
          </cell>
          <cell r="AM132">
            <v>3.4664066946060683</v>
          </cell>
          <cell r="AN132">
            <v>3.5103339641393583</v>
          </cell>
          <cell r="AO132">
            <v>3.4037145876044521</v>
          </cell>
          <cell r="AP132">
            <v>0</v>
          </cell>
          <cell r="AQ132">
            <v>3.4872324397339982</v>
          </cell>
          <cell r="AR132">
            <v>3.3621669671163055</v>
          </cell>
          <cell r="AS132">
            <v>3.5033507073715562</v>
          </cell>
          <cell r="AT132">
            <v>3.4787030614245795</v>
          </cell>
          <cell r="AU132">
            <v>3.5642384257406041</v>
          </cell>
          <cell r="AV132">
            <v>3.3872266072181718</v>
          </cell>
          <cell r="AW132">
            <v>3.6001703880779208</v>
          </cell>
          <cell r="AX132" t="e">
            <v>#REF!</v>
          </cell>
          <cell r="AY132" t="e">
            <v>#REF!</v>
          </cell>
          <cell r="AZ132">
            <v>3.8</v>
          </cell>
          <cell r="BA132">
            <v>3.6769383438226306</v>
          </cell>
          <cell r="BB132">
            <v>3.5776186998534416</v>
          </cell>
          <cell r="BC132">
            <v>3.4053561691369651</v>
          </cell>
          <cell r="BD132">
            <v>3.4053561691369651</v>
          </cell>
          <cell r="BI132" t="e">
            <v>#REF!</v>
          </cell>
          <cell r="BK132">
            <v>3.7612918196584815</v>
          </cell>
          <cell r="BL132">
            <v>3.7356267861695134</v>
          </cell>
          <cell r="BM132">
            <v>3.885277736028161</v>
          </cell>
          <cell r="BN132">
            <v>3.885277736028161</v>
          </cell>
          <cell r="BO132">
            <v>3.885277736028161</v>
          </cell>
          <cell r="BP132">
            <v>3.6983636081020963</v>
          </cell>
          <cell r="BQ132" t="e">
            <v>#REF!</v>
          </cell>
        </row>
        <row r="133">
          <cell r="A133" t="str">
            <v>|</v>
          </cell>
          <cell r="B133" t="str">
            <v>- period average</v>
          </cell>
          <cell r="S133">
            <v>3.7909809857854904</v>
          </cell>
          <cell r="V133">
            <v>3.9799204976958524</v>
          </cell>
          <cell r="Y133">
            <v>3.7115255923770976</v>
          </cell>
          <cell r="AB133">
            <v>3.4160883203067391</v>
          </cell>
          <cell r="AE133">
            <v>3.4229399285363975</v>
          </cell>
          <cell r="AI133">
            <v>3.5416949528256141</v>
          </cell>
          <cell r="AJ133">
            <v>3.61228045575518</v>
          </cell>
          <cell r="AK133">
            <v>3.5408946105171286</v>
          </cell>
          <cell r="AM133">
            <v>3.4949422527314749</v>
          </cell>
        </row>
        <row r="134">
          <cell r="B134" t="str">
            <v>Cu/Dep ratio</v>
          </cell>
          <cell r="D134">
            <v>13.96757204415171</v>
          </cell>
          <cell r="E134">
            <v>13.256007366881791</v>
          </cell>
          <cell r="F134">
            <v>13.887615429956121</v>
          </cell>
          <cell r="G134">
            <v>13.434291213605093</v>
          </cell>
          <cell r="H134">
            <v>14.922178819066842</v>
          </cell>
          <cell r="I134" t="e">
            <v>#DIV/0!</v>
          </cell>
          <cell r="J134">
            <v>14.87411113816292</v>
          </cell>
          <cell r="K134" t="e">
            <v>#DIV/0!</v>
          </cell>
          <cell r="L134">
            <v>15.095871677255762</v>
          </cell>
          <cell r="M134">
            <v>14.264704574678747</v>
          </cell>
          <cell r="N134">
            <v>13.438419614932897</v>
          </cell>
          <cell r="O134">
            <v>13.117424940364234</v>
          </cell>
          <cell r="P134">
            <v>13.6526125019201</v>
          </cell>
          <cell r="Q134" t="e">
            <v>#DIV/0!</v>
          </cell>
          <cell r="R134" t="e">
            <v>#DIV/0!</v>
          </cell>
          <cell r="S134">
            <v>13.75056403778502</v>
          </cell>
          <cell r="T134" t="e">
            <v>#DIV/0!</v>
          </cell>
          <cell r="U134" t="e">
            <v>#DIV/0!</v>
          </cell>
          <cell r="V134">
            <v>13.586273392688719</v>
          </cell>
          <cell r="W134" t="e">
            <v>#DIV/0!</v>
          </cell>
          <cell r="X134" t="e">
            <v>#DIV/0!</v>
          </cell>
          <cell r="Y134">
            <v>13.648579516887761</v>
          </cell>
          <cell r="Z134" t="e">
            <v>#DIV/0!</v>
          </cell>
          <cell r="AA134" t="e">
            <v>#DIV/0!</v>
          </cell>
          <cell r="AB134">
            <v>14.195221710408221</v>
          </cell>
          <cell r="AC134">
            <v>13.44360097489078</v>
          </cell>
          <cell r="AD134">
            <v>13.701288304979192</v>
          </cell>
          <cell r="AE134">
            <v>13.339327416171628</v>
          </cell>
          <cell r="AF134">
            <v>12.94138118400058</v>
          </cell>
          <cell r="AG134">
            <v>12.888030238069085</v>
          </cell>
          <cell r="AH134" t="e">
            <v>#DIV/0!</v>
          </cell>
          <cell r="AI134">
            <v>12.670072149817752</v>
          </cell>
          <cell r="AJ134">
            <v>12.453675757117502</v>
          </cell>
          <cell r="AK134">
            <v>12.746836839175341</v>
          </cell>
          <cell r="AL134">
            <v>13.999988427502188</v>
          </cell>
          <cell r="AM134">
            <v>12.183937994518832</v>
          </cell>
          <cell r="AN134">
            <v>12.39000029985192</v>
          </cell>
          <cell r="AO134">
            <v>13.073756179016979</v>
          </cell>
          <cell r="AP134">
            <v>0</v>
          </cell>
          <cell r="AQ134">
            <v>12.765492765492764</v>
          </cell>
          <cell r="AR134">
            <v>12.990984900742825</v>
          </cell>
          <cell r="AS134">
            <v>12.44809916351042</v>
          </cell>
          <cell r="AT134">
            <v>12.285630687659665</v>
          </cell>
          <cell r="AU134">
            <v>11.869336614833873</v>
          </cell>
          <cell r="AV134">
            <v>11.914971552338521</v>
          </cell>
          <cell r="AW134">
            <v>11.526820152771826</v>
          </cell>
          <cell r="AX134" t="e">
            <v>#REF!</v>
          </cell>
          <cell r="AY134" t="e">
            <v>#REF!</v>
          </cell>
          <cell r="AZ134">
            <v>11.548683256825321</v>
          </cell>
          <cell r="BA134">
            <v>11.798288100871829</v>
          </cell>
          <cell r="BB134">
            <v>12.356341055171457</v>
          </cell>
          <cell r="BC134">
            <v>12.316219298353177</v>
          </cell>
          <cell r="BD134">
            <v>12.316219298353177</v>
          </cell>
          <cell r="BI134" t="e">
            <v>#REF!</v>
          </cell>
          <cell r="BK134">
            <v>12.938341229896553</v>
          </cell>
          <cell r="BL134">
            <v>13.637569538829503</v>
          </cell>
          <cell r="BM134">
            <v>12.624073732321836</v>
          </cell>
          <cell r="BN134">
            <v>13.981241148906056</v>
          </cell>
          <cell r="BO134">
            <v>12.827158044522111</v>
          </cell>
          <cell r="BP134">
            <v>13.895216400911162</v>
          </cell>
          <cell r="BQ134" t="e">
            <v>#REF!</v>
          </cell>
        </row>
        <row r="135">
          <cell r="B135" t="str">
            <v>Reserves/deposits</v>
          </cell>
          <cell r="D135">
            <v>6.5548142143846189</v>
          </cell>
          <cell r="E135">
            <v>6.5487178460689925</v>
          </cell>
          <cell r="F135">
            <v>5.9221646823715028</v>
          </cell>
          <cell r="G135">
            <v>5.7009958784650294</v>
          </cell>
          <cell r="H135">
            <v>7.8461227297813991</v>
          </cell>
          <cell r="I135" t="e">
            <v>#DIV/0!</v>
          </cell>
          <cell r="J135">
            <v>8.0225908785304227</v>
          </cell>
          <cell r="K135" t="e">
            <v>#DIV/0!</v>
          </cell>
          <cell r="L135">
            <v>15.528378709108035</v>
          </cell>
          <cell r="M135">
            <v>16.043879198304083</v>
          </cell>
          <cell r="N135">
            <v>13.872149034901179</v>
          </cell>
          <cell r="O135">
            <v>14.732119341886673</v>
          </cell>
          <cell r="P135">
            <v>17.19371722946315</v>
          </cell>
          <cell r="Q135" t="e">
            <v>#DIV/0!</v>
          </cell>
          <cell r="R135" t="e">
            <v>#DIV/0!</v>
          </cell>
          <cell r="S135">
            <v>15.168382455710821</v>
          </cell>
          <cell r="T135" t="e">
            <v>#DIV/0!</v>
          </cell>
          <cell r="U135" t="e">
            <v>#DIV/0!</v>
          </cell>
          <cell r="V135">
            <v>14.617542137072054</v>
          </cell>
          <cell r="W135" t="e">
            <v>#DIV/0!</v>
          </cell>
          <cell r="X135" t="e">
            <v>#DIV/0!</v>
          </cell>
          <cell r="Y135">
            <v>17.306208784729314</v>
          </cell>
          <cell r="Z135" t="e">
            <v>#DIV/0!</v>
          </cell>
          <cell r="AA135" t="e">
            <v>#DIV/0!</v>
          </cell>
          <cell r="AB135">
            <v>21.480716234918969</v>
          </cell>
          <cell r="AC135">
            <v>20.228912544579693</v>
          </cell>
          <cell r="AD135">
            <v>20.430799065789408</v>
          </cell>
          <cell r="AE135">
            <v>18.909273799698518</v>
          </cell>
          <cell r="AF135">
            <v>20.65917811736692</v>
          </cell>
          <cell r="AG135">
            <v>18.926670536622421</v>
          </cell>
          <cell r="AH135" t="e">
            <v>#DIV/0!</v>
          </cell>
          <cell r="AI135">
            <v>18.111614953727358</v>
          </cell>
          <cell r="AJ135">
            <v>20.167243083541244</v>
          </cell>
          <cell r="AK135">
            <v>19.406371362036442</v>
          </cell>
          <cell r="AL135">
            <v>21.899556474152842</v>
          </cell>
          <cell r="AM135">
            <v>20.745071978563395</v>
          </cell>
          <cell r="AN135">
            <v>20.127600911479274</v>
          </cell>
          <cell r="AO135">
            <v>20.644537447251494</v>
          </cell>
          <cell r="AP135">
            <v>0</v>
          </cell>
          <cell r="AQ135">
            <v>20.067007734311751</v>
          </cell>
          <cell r="AR135">
            <v>21.153228651817134</v>
          </cell>
          <cell r="AS135">
            <v>20.110613140078193</v>
          </cell>
          <cell r="AT135">
            <v>20.511685773912713</v>
          </cell>
          <cell r="AU135">
            <v>20</v>
          </cell>
          <cell r="AV135">
            <v>21.656557905649752</v>
          </cell>
          <cell r="AW135">
            <v>19.954434660046036</v>
          </cell>
          <cell r="AX135" t="e">
            <v>#REF!</v>
          </cell>
          <cell r="AY135" t="e">
            <v>#REF!</v>
          </cell>
          <cell r="AZ135">
            <v>18.285609696575285</v>
          </cell>
          <cell r="BA135">
            <v>19.165623901006782</v>
          </cell>
          <cell r="BB135">
            <v>19.614080869775965</v>
          </cell>
          <cell r="BC135">
            <v>21.332073210865182</v>
          </cell>
          <cell r="BD135">
            <v>21.332073210865182</v>
          </cell>
          <cell r="BI135" t="e">
            <v>#REF!</v>
          </cell>
          <cell r="BK135">
            <v>17.71020057939495</v>
          </cell>
          <cell r="BL135">
            <v>17.363067061352204</v>
          </cell>
          <cell r="BM135">
            <v>13.864898507439117</v>
          </cell>
          <cell r="BN135">
            <v>15.858044534027313</v>
          </cell>
          <cell r="BO135">
            <v>14.087944050170753</v>
          </cell>
          <cell r="BP135">
            <v>17.5</v>
          </cell>
          <cell r="BQ135" t="e">
            <v>#REF!</v>
          </cell>
        </row>
        <row r="136">
          <cell r="B136" t="str">
            <v>Velocity (average)</v>
          </cell>
          <cell r="AB136" t="e">
            <v>#REF!</v>
          </cell>
          <cell r="AI136" t="e">
            <v>#REF!</v>
          </cell>
          <cell r="AQ136" t="e">
            <v>#REF!</v>
          </cell>
          <cell r="AY136" t="e">
            <v>#REF!</v>
          </cell>
          <cell r="BQ136" t="e">
            <v>#REF!</v>
          </cell>
        </row>
        <row r="138">
          <cell r="A138" t="str">
            <v>1/ Calculated at the accounting exchange rate of K Sh 61.98/US$.</v>
          </cell>
        </row>
        <row r="140">
          <cell r="B140" t="str">
            <v>Sources: Central Bank of Kenya and staff estimates</v>
          </cell>
        </row>
        <row r="142">
          <cell r="B142" t="str">
            <v>1/ In constant exchange rates prevailing on March 31, 2000.</v>
          </cell>
        </row>
        <row r="143">
          <cell r="B143" t="str">
            <v xml:space="preserve">2/ Until 1998 NDA was defined as M3 minus the foreign exchange position of the banking system, instead of M3X minus the NFA. This past measure of NDA is used here to </v>
          </cell>
        </row>
        <row r="144">
          <cell r="B144" t="str">
            <v xml:space="preserve">    calculate rates of growth against base periods for which there do not exist complete data for NFA. The series is provided up to 2000 to give a sense of developments over time,</v>
          </cell>
        </row>
        <row r="145">
          <cell r="B145" t="str">
            <v xml:space="preserve">    as the series of growth rates using the new definition of NDA is only available from December 1998 onward.</v>
          </cell>
        </row>
        <row r="146">
          <cell r="B146" t="str">
            <v xml:space="preserve">3/ Data on credit to nondeposit financial enterprises and foreign currency credits are not available before December 1997; thus growth rates using the inclusive definition </v>
          </cell>
        </row>
        <row r="147">
          <cell r="B147" t="str">
            <v xml:space="preserve">    of credit to the private sector are only available from December 1998 onward.</v>
          </cell>
        </row>
        <row r="148">
          <cell r="B148" t="str">
            <v>2/ Program refers to the October 2000 revised PRGF program in EBS/00/200 (9/28/00)</v>
          </cell>
        </row>
        <row r="149">
          <cell r="B149" t="str">
            <v>1/  includes items-in-transit</v>
          </cell>
        </row>
        <row r="150">
          <cell r="B150" t="str">
            <v>2/  excludes cash-in-till (Banks &amp; FH)</v>
          </cell>
        </row>
      </sheetData>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Sheet1"/>
      <sheetName val="Chart1"/>
      <sheetName val="Table1m"/>
      <sheetName val="chart_data"/>
      <sheetName val="Ghana"/>
      <sheetName val="ControlSheet"/>
      <sheetName val="SEFI_table"/>
      <sheetName val="SEI_CIV"/>
      <sheetName val="SEI_DRC"/>
      <sheetName val="SEI_ZAF"/>
      <sheetName val="SEI_KEN"/>
      <sheetName val="SEI_GAB"/>
      <sheetName val="South Africa"/>
      <sheetName val="Africa"/>
      <sheetName val="Gabon"/>
      <sheetName val="CIV"/>
      <sheetName val="DRC"/>
      <sheetName val="Kenya"/>
      <sheetName val="Sheet2"/>
      <sheetName val="EDSS1"/>
      <sheetName val="Panel1"/>
      <sheetName val="COP FED"/>
      <sheetName val="CPIA"/>
      <sheetName val="GE Calculation"/>
      <sheetName val="Cover"/>
      <sheetName val="A Current Data"/>
    </sheetNames>
    <sheetDataSet>
      <sheetData sheetId="0"/>
      <sheetData sheetId="1"/>
      <sheetData sheetId="2" refreshError="1"/>
      <sheetData sheetId="3" refreshError="1">
        <row r="2">
          <cell r="B2" t="str">
            <v>AFR</v>
          </cell>
        </row>
        <row r="4">
          <cell r="A4" t="str">
            <v>INDEX: 1990 = 100</v>
          </cell>
        </row>
        <row r="6">
          <cell r="A6" t="str">
            <v>Ghana(652)</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WETA W2003"/>
      <sheetName val="WETA Data S2003"/>
      <sheetName val="WETA S2003 submitted"/>
      <sheetName val="Consistency Checks W2003"/>
      <sheetName val="CHANGE FROM PREVIOUS"/>
      <sheetName val="Percent change"/>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DA"/>
      <sheetName val="Micro"/>
      <sheetName val="Q1"/>
      <sheetName val="Q2"/>
      <sheetName val="Q3"/>
      <sheetName val="Q4"/>
      <sheetName val="Q5"/>
      <sheetName val="Q6"/>
      <sheetName val="Q7"/>
      <sheetName val="QC"/>
      <sheetName val="dshWhatToLoad"/>
      <sheetName val="SetUp Sheet"/>
      <sheetName val="SpinData"/>
      <sheetName val="dshNWCell"/>
      <sheetName val="dshNWCell_Qrt"/>
      <sheetName val="dshUserDelete"/>
      <sheetName val="dshUser"/>
      <sheetName val="dshRefreshLinks"/>
      <sheetName val="dshRefreshLinks_Qrt"/>
      <sheetName val="dshQuestionnairesPrint"/>
      <sheetName val="dshPickAUtility"/>
      <sheetName val="dshAremosSelect_Qrt"/>
      <sheetName val="dshAremosSelect"/>
      <sheetName val="dshWizard1"/>
      <sheetName val="dshWizard1_Qrt"/>
      <sheetName val="dshWizard2"/>
      <sheetName val="dshWizard3"/>
      <sheetName val="dshWizard3_qrt"/>
      <sheetName val="dshWizard4"/>
      <sheetName val="dshAlignButtons"/>
      <sheetName val="dshExit"/>
      <sheetName val="dshAbout"/>
      <sheetName val="dshSend"/>
      <sheetName val="Links"/>
      <sheetName val="xxweolinksxx"/>
      <sheetName val="HelpList"/>
      <sheetName val="Data check"/>
      <sheetName val="dshErrorCheck"/>
      <sheetName val="dshMacroMaker"/>
      <sheetName val="WRS97TAB"/>
      <sheetName val="embi_day"/>
      <sheetName val="GenericIR"/>
      <sheetName val="SetUp_Sheet"/>
      <sheetName val="Data_check"/>
      <sheetName val="other-spread"/>
      <sheetName val="Excel History Wizar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 val="Q6"/>
      <sheetName val="Q5"/>
    </sheetNames>
    <sheetDataSet>
      <sheetData sheetId="0"/>
      <sheetData sheetId="1"/>
      <sheetData sheetId="2" refreshError="1">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 sheetId="11" refreshError="1"/>
      <sheetData sheetId="1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 val="Assumptions"/>
      <sheetName val="WEO"/>
      <sheetName val="WETA W2003"/>
      <sheetName val="country name looku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row r="1">
          <cell r="C1" t="str">
            <v>Singapore</v>
          </cell>
        </row>
        <row r="5">
          <cell r="C5">
            <v>127</v>
          </cell>
        </row>
        <row r="8">
          <cell r="C8" t="str">
            <v>Q:4:2008</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v>0</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 sheetId="35" refreshError="1"/>
      <sheetData sheetId="36" refreshError="1"/>
      <sheetData sheetId="37" refreshError="1"/>
      <sheetData sheetId="38"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 val="Cover"/>
      <sheetName val="E"/>
      <sheetName val="ReadMe"/>
      <sheetName val="גליון ריק"/>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17">
          <cell r="F17" t="str">
            <v>National currency</v>
          </cell>
        </row>
        <row r="18">
          <cell r="F18" t="str">
            <v>Units</v>
          </cell>
        </row>
      </sheetData>
      <sheetData sheetId="21" refreshError="1"/>
      <sheetData sheetId="22" refreshError="1"/>
      <sheetData sheetId="23" refreshError="1"/>
      <sheetData sheetId="24"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NAVIGATOR"/>
      <sheetName val="Instructions"/>
      <sheetName val="CPIA"/>
      <sheetName val="Data-Input"/>
      <sheetName val="Inp_Outp_debt"/>
      <sheetName val="SDR"/>
      <sheetName val="PV Targets"/>
      <sheetName val="GE Calculation"/>
      <sheetName val="Chart Data"/>
      <sheetName val="Panel Chart"/>
      <sheetName val="Chart Data - Remit"/>
      <sheetName val="Panel Chart - Remit"/>
      <sheetName val="Stress tests Fiscal"/>
      <sheetName val="Stress test External"/>
      <sheetName val="Stress test External - Remit"/>
      <sheetName val="Table baseline Fiscal"/>
      <sheetName val="Table baseline External"/>
      <sheetName val="baseline-fiscal"/>
      <sheetName val="A1_historical-fiscal"/>
      <sheetName val="A2_PB unchanged-fiscal"/>
      <sheetName val="A3_LR growth-fiscal"/>
      <sheetName val="B1_GDP-fiscal"/>
      <sheetName val="B2_PB-fiscal"/>
      <sheetName val="B3_combo-fiscal"/>
      <sheetName val="B4_depreciation-fiscal"/>
      <sheetName val="B5_other flows-fiscal"/>
      <sheetName val="Customized Scenario-fiscal"/>
      <sheetName val="PV_ResFin-fiscal"/>
      <sheetName val="Baseline"/>
      <sheetName val="A1_historical"/>
      <sheetName val="A2_financing"/>
      <sheetName val="B1_GDP"/>
      <sheetName val="B2_exports"/>
      <sheetName val="B3_deflator"/>
      <sheetName val="B4_non-debt flows"/>
      <sheetName val="B5_Combo"/>
      <sheetName val="B6_30%depr"/>
      <sheetName val="Customized Scenario-External"/>
      <sheetName val="PV_Base"/>
      <sheetName val="PV Stress"/>
      <sheetName val="PV Stress_A2"/>
      <sheetName val="Output Database"/>
      <sheetName val="Q6"/>
      <sheetName val="Q5"/>
      <sheetName val="CBK-input"/>
      <sheetName val="Survey"/>
      <sheetName val="NFA-input"/>
      <sheetName val="Cover"/>
      <sheetName val="Control"/>
    </sheetNames>
    <sheetDataSet>
      <sheetData sheetId="0"/>
      <sheetData sheetId="1"/>
      <sheetData sheetId="2"/>
      <sheetData sheetId="3">
        <row r="7">
          <cell r="A7" t="str">
            <v>Afghanistan</v>
          </cell>
        </row>
        <row r="8">
          <cell r="A8" t="str">
            <v>Angola</v>
          </cell>
        </row>
        <row r="9">
          <cell r="A9" t="str">
            <v>Armenia</v>
          </cell>
        </row>
        <row r="10">
          <cell r="A10" t="str">
            <v>Bangladesh</v>
          </cell>
        </row>
        <row r="11">
          <cell r="A11" t="str">
            <v>Benin</v>
          </cell>
        </row>
        <row r="12">
          <cell r="A12" t="str">
            <v>Bhutan</v>
          </cell>
        </row>
        <row r="13">
          <cell r="A13" t="str">
            <v>Bolivia</v>
          </cell>
        </row>
        <row r="14">
          <cell r="A14" t="str">
            <v>Burkina Faso</v>
          </cell>
        </row>
        <row r="15">
          <cell r="A15" t="str">
            <v>Burundi</v>
          </cell>
        </row>
        <row r="16">
          <cell r="A16" t="str">
            <v>Cambodia</v>
          </cell>
        </row>
        <row r="17">
          <cell r="A17" t="str">
            <v>Cameroon</v>
          </cell>
        </row>
        <row r="18">
          <cell r="A18" t="str">
            <v>Cape Verde</v>
          </cell>
        </row>
        <row r="19">
          <cell r="A19" t="str">
            <v>Central African Republic</v>
          </cell>
        </row>
        <row r="20">
          <cell r="A20" t="str">
            <v>Chad</v>
          </cell>
        </row>
        <row r="21">
          <cell r="A21" t="str">
            <v>Comoros</v>
          </cell>
        </row>
        <row r="22">
          <cell r="A22" t="str">
            <v>Democratic Republic of Congo</v>
          </cell>
        </row>
        <row r="23">
          <cell r="A23" t="str">
            <v>Republic of Congo</v>
          </cell>
        </row>
        <row r="24">
          <cell r="A24" t="str">
            <v>Cote d'Ivoire</v>
          </cell>
        </row>
        <row r="25">
          <cell r="A25" t="str">
            <v>Djibouti</v>
          </cell>
        </row>
        <row r="26">
          <cell r="A26" t="str">
            <v>Dominica</v>
          </cell>
        </row>
        <row r="27">
          <cell r="A27" t="str">
            <v>Eritrea</v>
          </cell>
        </row>
        <row r="28">
          <cell r="A28" t="str">
            <v>Ethiopia</v>
          </cell>
        </row>
        <row r="29">
          <cell r="A29" t="str">
            <v>The Gambia</v>
          </cell>
        </row>
        <row r="30">
          <cell r="A30" t="str">
            <v>Georgia</v>
          </cell>
        </row>
        <row r="31">
          <cell r="A31" t="str">
            <v>Ghana</v>
          </cell>
        </row>
        <row r="32">
          <cell r="A32" t="str">
            <v>Grenada</v>
          </cell>
        </row>
        <row r="33">
          <cell r="A33" t="str">
            <v>Guinea</v>
          </cell>
        </row>
        <row r="34">
          <cell r="A34" t="str">
            <v>Guinea-Bissau</v>
          </cell>
        </row>
        <row r="35">
          <cell r="A35" t="str">
            <v>Guyana</v>
          </cell>
        </row>
        <row r="36">
          <cell r="A36" t="str">
            <v>Haiti</v>
          </cell>
        </row>
        <row r="37">
          <cell r="A37" t="str">
            <v>Honduras</v>
          </cell>
        </row>
        <row r="38">
          <cell r="A38" t="str">
            <v>Kenya</v>
          </cell>
        </row>
        <row r="39">
          <cell r="A39" t="str">
            <v>Kiribati</v>
          </cell>
        </row>
        <row r="40">
          <cell r="A40" t="str">
            <v>Kosovo</v>
          </cell>
        </row>
        <row r="41">
          <cell r="A41" t="str">
            <v>Kyrgyz Republic</v>
          </cell>
        </row>
        <row r="42">
          <cell r="A42" t="str">
            <v>Lao PDR</v>
          </cell>
        </row>
        <row r="43">
          <cell r="A43" t="str">
            <v>Lesotho</v>
          </cell>
        </row>
        <row r="44">
          <cell r="A44" t="str">
            <v>Liberia</v>
          </cell>
        </row>
        <row r="45">
          <cell r="A45" t="str">
            <v>Madagascar</v>
          </cell>
        </row>
        <row r="46">
          <cell r="A46" t="str">
            <v>Malawi</v>
          </cell>
        </row>
        <row r="47">
          <cell r="A47" t="str">
            <v>Maldives</v>
          </cell>
        </row>
        <row r="48">
          <cell r="A48" t="str">
            <v>Mali</v>
          </cell>
        </row>
        <row r="49">
          <cell r="A49" t="str">
            <v>Mauritania</v>
          </cell>
        </row>
        <row r="50">
          <cell r="A50" t="str">
            <v>Moldova</v>
          </cell>
        </row>
        <row r="51">
          <cell r="A51" t="str">
            <v>Mongolia</v>
          </cell>
        </row>
        <row r="52">
          <cell r="A52" t="str">
            <v>Mozambique</v>
          </cell>
        </row>
        <row r="53">
          <cell r="A53" t="str">
            <v>Myanmar</v>
          </cell>
        </row>
        <row r="54">
          <cell r="A54" t="str">
            <v>Nepal</v>
          </cell>
        </row>
        <row r="55">
          <cell r="A55" t="str">
            <v>Nicaragua</v>
          </cell>
        </row>
        <row r="56">
          <cell r="A56" t="str">
            <v>Niger</v>
          </cell>
        </row>
        <row r="57">
          <cell r="A57" t="str">
            <v>Nigeria</v>
          </cell>
        </row>
        <row r="58">
          <cell r="A58" t="str">
            <v>Papua New Guinea</v>
          </cell>
        </row>
        <row r="59">
          <cell r="A59" t="str">
            <v>Rwanda</v>
          </cell>
        </row>
        <row r="60">
          <cell r="A60" t="str">
            <v>Samoa</v>
          </cell>
        </row>
        <row r="61">
          <cell r="A61" t="str">
            <v>Sao Tome &amp; Principe</v>
          </cell>
        </row>
        <row r="62">
          <cell r="A62" t="str">
            <v>Senegal</v>
          </cell>
        </row>
        <row r="63">
          <cell r="A63" t="str">
            <v>Sierra Leone</v>
          </cell>
        </row>
        <row r="64">
          <cell r="A64" t="str">
            <v>Solomon Islands</v>
          </cell>
        </row>
        <row r="65">
          <cell r="A65" t="str">
            <v>Somalia</v>
          </cell>
        </row>
        <row r="66">
          <cell r="A66" t="str">
            <v>Sri Lanka</v>
          </cell>
        </row>
        <row r="67">
          <cell r="A67" t="str">
            <v>St. Lucia</v>
          </cell>
        </row>
        <row r="68">
          <cell r="A68" t="str">
            <v>St. Vincent &amp; the Grenadines</v>
          </cell>
        </row>
        <row r="69">
          <cell r="A69" t="str">
            <v>Sudan</v>
          </cell>
        </row>
        <row r="70">
          <cell r="A70" t="str">
            <v>Tajikistan</v>
          </cell>
        </row>
        <row r="71">
          <cell r="A71" t="str">
            <v>Tanzania</v>
          </cell>
        </row>
        <row r="72">
          <cell r="A72" t="str">
            <v>Timor-Leste</v>
          </cell>
        </row>
        <row r="73">
          <cell r="A73" t="str">
            <v>Togo</v>
          </cell>
        </row>
        <row r="74">
          <cell r="A74" t="str">
            <v>Tonga</v>
          </cell>
        </row>
        <row r="75">
          <cell r="A75" t="str">
            <v>Uganda</v>
          </cell>
        </row>
        <row r="76">
          <cell r="A76" t="str">
            <v>Uzbekistan</v>
          </cell>
        </row>
        <row r="77">
          <cell r="A77" t="str">
            <v>Vanuatu</v>
          </cell>
        </row>
        <row r="78">
          <cell r="A78" t="str">
            <v>Vietnam</v>
          </cell>
        </row>
        <row r="79">
          <cell r="A79" t="str">
            <v>Republic of Yemen</v>
          </cell>
        </row>
        <row r="80">
          <cell r="A80" t="str">
            <v>Zambia</v>
          </cell>
        </row>
        <row r="81">
          <cell r="A81" t="str">
            <v>Zimbabwe</v>
          </cell>
        </row>
      </sheetData>
      <sheetData sheetId="4"/>
      <sheetData sheetId="5"/>
      <sheetData sheetId="6"/>
      <sheetData sheetId="7"/>
      <sheetData sheetId="8">
        <row r="41">
          <cell r="B41" t="str">
            <v>AUD</v>
          </cell>
        </row>
        <row r="42">
          <cell r="B42" t="str">
            <v>CAD</v>
          </cell>
        </row>
        <row r="43">
          <cell r="B43" t="str">
            <v>DKK</v>
          </cell>
        </row>
        <row r="44">
          <cell r="B44" t="str">
            <v>JPY</v>
          </cell>
        </row>
        <row r="45">
          <cell r="B45" t="str">
            <v>KRW</v>
          </cell>
        </row>
        <row r="46">
          <cell r="B46" t="str">
            <v>NZD</v>
          </cell>
        </row>
        <row r="47">
          <cell r="B47" t="str">
            <v>CHF</v>
          </cell>
        </row>
        <row r="48">
          <cell r="B48" t="str">
            <v>GBP</v>
          </cell>
        </row>
        <row r="49">
          <cell r="B49" t="str">
            <v>USD</v>
          </cell>
        </row>
        <row r="50">
          <cell r="B50" t="str">
            <v>EUR</v>
          </cell>
        </row>
        <row r="51">
          <cell r="B51" t="str">
            <v>SDR</v>
          </cell>
        </row>
        <row r="52">
          <cell r="B52" t="str">
            <v>KWD</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Assumptions"/>
      <sheetName val="Misc"/>
      <sheetName val="S-Uses"/>
      <sheetName val="1999"/>
      <sheetName val="Summary"/>
      <sheetName val="Trade"/>
      <sheetName val="Services"/>
      <sheetName val="OLDWEO"/>
      <sheetName val="Capital"/>
      <sheetName val="NFA"/>
      <sheetName val="Debt2"/>
      <sheetName val="Debt2000"/>
      <sheetName val="debt2000old"/>
      <sheetName val="Debt1"/>
      <sheetName val="Debt by debtor"/>
      <sheetName val="Debt 1998"/>
      <sheetName val="Debt3"/>
      <sheetName val="SR"/>
      <sheetName val="Disb"/>
      <sheetName val="Bail-in"/>
      <sheetName val="Mid-term (SR)"/>
      <sheetName val="WEO"/>
      <sheetName val="DM-BOP"/>
      <sheetName val="Source and mis-uses of Funds"/>
      <sheetName val="Old BOP"/>
      <sheetName val="Old Cap Act"/>
      <sheetName val="Module1"/>
      <sheetName val="Module2"/>
      <sheetName val="Module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refreshError="1"/>
      <sheetData sheetId="29"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finitions"/>
      <sheetName val="Introduction"/>
      <sheetName val="Codes"/>
      <sheetName val="Compare"/>
      <sheetName val="Annual"/>
      <sheetName val="Quarterly"/>
      <sheetName val="Weights"/>
      <sheetName val="A Current Data"/>
      <sheetName val="A Previous Data"/>
      <sheetName val="Q Current Data"/>
      <sheetName val="Q Previous Data"/>
      <sheetName val="Weights Data"/>
      <sheetName val="Compare (Non-Euro)"/>
      <sheetName val="Annual (Non-Euro)"/>
      <sheetName val="Quarterly (Non-Euro)"/>
      <sheetName val="Weights (Non-Euro)"/>
      <sheetName val="A Current Data (Non-Euro)"/>
      <sheetName val="A Previous Data (Non-Euro)"/>
      <sheetName val="Q Current Data (Non-Euro)"/>
      <sheetName val="Q Previous Data (Non-Euro)"/>
      <sheetName val="Weights Data (Non-Euro)"/>
      <sheetName val="ControlSheet"/>
      <sheetName val="Sheet1"/>
      <sheetName val="Input"/>
      <sheetName val="Work2"/>
    </sheetNames>
    <sheetDataSet>
      <sheetData sheetId="0"/>
      <sheetData sheetId="1"/>
      <sheetData sheetId="2"/>
      <sheetData sheetId="3">
        <row r="60">
          <cell r="D60" t="str">
            <v>W2004BOARD</v>
          </cell>
        </row>
      </sheetData>
      <sheetData sheetId="4"/>
      <sheetData sheetId="5">
        <row r="60">
          <cell r="D60" t="str">
            <v>W2004BOARD</v>
          </cell>
        </row>
      </sheetData>
      <sheetData sheetId="6"/>
      <sheetData sheetId="7">
        <row r="60">
          <cell r="D60" t="str">
            <v>W2011BOARD</v>
          </cell>
        </row>
      </sheetData>
      <sheetData sheetId="8"/>
      <sheetData sheetId="9">
        <row r="60">
          <cell r="D60" t="str">
            <v>W2004BOARD</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jeraBSP06"/>
      <sheetName val="NjeraRev"/>
      <sheetName val="NjeraRev1"/>
      <sheetName val="Tb1"/>
      <sheetName val="Tb2"/>
      <sheetName val="Tb3"/>
      <sheetName val="Tb4a"/>
      <sheetName val="Tb4"/>
      <sheetName val="Tb5"/>
      <sheetName val="Tb6"/>
      <sheetName val="ToC"/>
      <sheetName val="Variables"/>
      <sheetName val="SEI"/>
      <sheetName val="RealExo"/>
      <sheetName val="Real"/>
      <sheetName val="Real%"/>
      <sheetName val="FisRevExo"/>
      <sheetName val="FisExpExo"/>
      <sheetName val="FiscalFY"/>
      <sheetName val="FiscalCY"/>
      <sheetName val="Fis-Debt (fy)"/>
      <sheetName val="Fis-Debt (cy)"/>
      <sheetName val="BoPexo"/>
      <sheetName val="Exp"/>
      <sheetName val="Imp"/>
      <sheetName val="BoP"/>
      <sheetName val="ExtDebt"/>
      <sheetName val="BoP(US$)cy"/>
      <sheetName val="BoP(US$)fy"/>
      <sheetName val="BoP(Ksh)fy"/>
      <sheetName val="BSPbop"/>
      <sheetName val="NFA"/>
      <sheetName val="MonExo"/>
      <sheetName val="Money(fy)"/>
      <sheetName val="Money(cy)"/>
      <sheetName val="CBK"/>
      <sheetName val="DCS"/>
      <sheetName val="C Summary"/>
      <sheetName val="DA"/>
      <sheetName val="WEO"/>
      <sheetName val="Table1m"/>
      <sheetName val="A Current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InBOP"/>
      <sheetName val="TABLE 59 bop"/>
      <sheetName val="Table 60"/>
      <sheetName val="Table 61"/>
      <sheetName val="Table 62-67"/>
      <sheetName val="Table 68"/>
      <sheetName val="DOTS"/>
      <sheetName val="NFA-input"/>
      <sheetName val="CBK-input"/>
      <sheetName val="Survey"/>
      <sheetName val="Imp"/>
      <sheetName val="DSA output"/>
      <sheetName val="in-out"/>
      <sheetName val="Assumptions"/>
      <sheetName val="PIBR-31,4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Out-A"/>
      <sheetName val="Out-F"/>
      <sheetName val="Out-M"/>
      <sheetName val="Out-BoP"/>
      <sheetName val="Trade"/>
      <sheetName val="BoP-worksheet"/>
      <sheetName val="Finance"/>
      <sheetName val="Debt"/>
      <sheetName val="IMF"/>
      <sheetName val="Gas"/>
      <sheetName val="Pledge"/>
      <sheetName val="Finreq"/>
      <sheetName val="FundSR"/>
      <sheetName val="Input_external"/>
      <sheetName val="Inp_Outp_debt"/>
      <sheetName val="NPV"/>
      <sheetName val="BoP-GDP"/>
      <sheetName val="NPC Debt"/>
      <sheetName val="Flow"/>
      <sheetName val="Oil shock"/>
      <sheetName val="Fiscal1"/>
      <sheetName val="ControlSheet"/>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FSUOUT"/>
      <sheetName val="OUTREO_History"/>
      <sheetName val="DOC"/>
      <sheetName val="Input"/>
      <sheetName val="Main Output Table"/>
      <sheetName val="BoP"/>
      <sheetName val="End-94-update"/>
      <sheetName val="Projects"/>
      <sheetName val="export"/>
      <sheetName val="import"/>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DSA-2000"/>
      <sheetName val="NPV-gap-Geo&amp;Napflow"/>
      <sheetName val="NPV-gap-Napstock"/>
      <sheetName val="DSA_Naple_F_S"/>
      <sheetName val="WEOQ5"/>
      <sheetName val="WEOQ6"/>
      <sheetName val="WEOQ7"/>
      <sheetName val="End-94-old"/>
      <sheetName val="GEO_Q"/>
      <sheetName val="WEO"/>
      <sheetName val="Structure"/>
      <sheetName val="IR-6SR"/>
      <sheetName val="CB-1SR_Bridge"/>
      <sheetName val="CB-1SR"/>
      <sheetName val="STA-1SG"/>
      <sheetName val="AD-CB"/>
      <sheetName val="DMB"/>
      <sheetName val="Comb_Bridge"/>
      <sheetName val="ODC-2SR_Bridge_banks"/>
      <sheetName val="ODC-2SR_Bridge_CRU"/>
      <sheetName val="ODC-2SR"/>
      <sheetName val="STA-2SG"/>
      <sheetName val="AD-ODC"/>
      <sheetName val="STA-3SG"/>
      <sheetName val="AD-DC"/>
      <sheetName val="OFC-4SR"/>
      <sheetName val="STA-4SG"/>
      <sheetName val="AD-OFC"/>
      <sheetName val="STA-5SG"/>
      <sheetName val="AD-FC"/>
      <sheetName val="MA-5SR_Bridge"/>
      <sheetName val="MA-5SR"/>
      <sheetName val="ER-01R"/>
      <sheetName val="out_fiscal"/>
      <sheetName val="out_main"/>
      <sheetName val="Imp"/>
      <sheetName val="DSA output"/>
      <sheetName val="in-o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Links"/>
      <sheetName val="xxweolinksxx"/>
      <sheetName val="ErrCheck"/>
      <sheetName val="DA"/>
      <sheetName val="Micro"/>
      <sheetName val="Q1"/>
      <sheetName val="Q2"/>
      <sheetName val="Q3"/>
      <sheetName val="Q4"/>
      <sheetName val="Q5"/>
      <sheetName val="Q6"/>
      <sheetName val="Q7"/>
      <sheetName val="QQ"/>
      <sheetName val="QC"/>
      <sheetName val="NPV"/>
      <sheetName val="FSUOUT"/>
      <sheetName val="WDQP"/>
      <sheetName val="QQ1"/>
      <sheetName val="QQ2"/>
      <sheetName val="QQ3"/>
      <sheetName val="WRSTAB"/>
      <sheetName val="Cover"/>
      <sheetName val="NAVIGATOR"/>
      <sheetName val="GE Calculation"/>
      <sheetName val="NPV-DP"/>
      <sheetName val="Scheduled Repayment"/>
      <sheetName val="CHARTS"/>
      <sheetName val="MEMO ESTAT"/>
      <sheetName val="C"/>
      <sheetName val="Dates"/>
      <sheetName val="Data Fiscal"/>
      <sheetName val="EW"/>
      <sheetName val="EERProfile"/>
      <sheetName val="TABELAS"/>
      <sheetName val="Scheduled_Repayment"/>
      <sheetName val="MEMO_ESTAT"/>
      <sheetName val="Data_Fiscal"/>
      <sheetName val="GE_Calculation"/>
      <sheetName val="Scheduled_Repayment1"/>
      <sheetName val="MEMO_ESTAT1"/>
      <sheetName val="Data_Fiscal1"/>
      <sheetName val="GE_Calculation1"/>
      <sheetName val="Quarterly Raw Data"/>
      <sheetName val="Quarterly MacroFlow"/>
      <sheetName val="Scheduled_Repayment2"/>
      <sheetName val="MEMO_ESTAT2"/>
      <sheetName val="Data_Fiscal2"/>
      <sheetName val="GE_Calculation2"/>
      <sheetName val="MOEDA"/>
      <sheetName val="PARAM"/>
      <sheetName val="Table 1"/>
      <sheetName val="Links-Out"/>
      <sheetName val="CIRRs"/>
      <sheetName val="Output"/>
      <sheetName val="Savings &amp; Invest."/>
      <sheetName val="arrtrsr"/>
      <sheetName val="E"/>
      <sheetName val="Info"/>
      <sheetName val="Programa"/>
      <sheetName val="Datos Modelo 900"/>
      <sheetName val="Exp"/>
      <sheetName val="Imp"/>
      <sheetName val="Trade"/>
      <sheetName val="A"/>
      <sheetName val="M"/>
      <sheetName val="Q"/>
      <sheetName val="NPV_base"/>
      <sheetName val="Contents"/>
      <sheetName val="Moeda Externa"/>
      <sheetName val="A152"/>
      <sheetName val="A153"/>
      <sheetName val="Q5 &amp; Q7 BOP"/>
    </sheetNames>
    <sheetDataSet>
      <sheetData sheetId="0" refreshError="1">
        <row r="18">
          <cell r="G18" t="str">
            <v>Last sent to WEO:</v>
          </cell>
        </row>
        <row r="19">
          <cell r="G19" t="str">
            <v xml:space="preserve">       Last updated:</v>
          </cell>
        </row>
        <row r="25">
          <cell r="AB25" t="b">
            <v>0</v>
          </cell>
        </row>
      </sheetData>
      <sheetData sheetId="1" refreshError="1">
        <row r="1">
          <cell r="A1" t="str">
            <v>Links and other sources</v>
          </cell>
        </row>
        <row r="3">
          <cell r="A3" t="str">
            <v>Quest</v>
          </cell>
          <cell r="B3" t="str">
            <v>Series</v>
          </cell>
          <cell r="C3" t="str">
            <v>Year</v>
          </cell>
          <cell r="D3" t="str">
            <v>Link Type</v>
          </cell>
          <cell r="E3" t="str">
            <v>Link Path</v>
          </cell>
          <cell r="F3" t="str">
            <v>Link Reference</v>
          </cell>
        </row>
        <row r="4">
          <cell r="A4" t="str">
            <v>Q1</v>
          </cell>
          <cell r="B4" t="str">
            <v>NFI_R</v>
          </cell>
          <cell r="C4">
            <v>1974</v>
          </cell>
          <cell r="D4" t="str">
            <v>Aremos</v>
          </cell>
          <cell r="E4" t="str">
            <v>C:\JRFiles\WEO\banks\R999.bnk</v>
          </cell>
          <cell r="F4" t="str">
            <v>W111BMS</v>
          </cell>
        </row>
        <row r="5">
          <cell r="A5" t="str">
            <v>Q1</v>
          </cell>
          <cell r="B5" t="str">
            <v>NFI_R</v>
          </cell>
          <cell r="C5">
            <v>1975</v>
          </cell>
          <cell r="D5" t="str">
            <v>Aremos</v>
          </cell>
          <cell r="E5" t="str">
            <v>C:\JRFiles\WEO\banks\R999.bnk</v>
          </cell>
          <cell r="F5" t="str">
            <v>W111BMS</v>
          </cell>
        </row>
        <row r="6">
          <cell r="A6" t="str">
            <v>Q1</v>
          </cell>
          <cell r="B6" t="str">
            <v>NFI_R</v>
          </cell>
          <cell r="C6">
            <v>1976</v>
          </cell>
          <cell r="D6" t="str">
            <v>Aremos</v>
          </cell>
          <cell r="E6" t="str">
            <v>C:\JRFiles\WEO\banks\R999.bnk</v>
          </cell>
          <cell r="F6" t="str">
            <v>W111BMS</v>
          </cell>
        </row>
        <row r="7">
          <cell r="A7" t="str">
            <v>Q1</v>
          </cell>
          <cell r="B7" t="str">
            <v>NFI_R</v>
          </cell>
          <cell r="C7">
            <v>1977</v>
          </cell>
          <cell r="D7" t="str">
            <v>Aremos</v>
          </cell>
          <cell r="E7" t="str">
            <v>C:\JRFiles\WEO\banks\R999.bnk</v>
          </cell>
          <cell r="F7" t="str">
            <v>W111BMS</v>
          </cell>
        </row>
        <row r="8">
          <cell r="A8" t="str">
            <v>Q1</v>
          </cell>
          <cell r="B8" t="str">
            <v>NFI_R</v>
          </cell>
          <cell r="C8">
            <v>1978</v>
          </cell>
          <cell r="D8" t="str">
            <v>Aremos</v>
          </cell>
          <cell r="E8" t="str">
            <v>C:\JRFiles\WEO\banks\R999.bnk</v>
          </cell>
          <cell r="F8" t="str">
            <v>W111BMS</v>
          </cell>
        </row>
        <row r="9">
          <cell r="A9" t="str">
            <v>Q1</v>
          </cell>
          <cell r="B9" t="str">
            <v>NFI_R</v>
          </cell>
          <cell r="C9">
            <v>1979</v>
          </cell>
          <cell r="D9" t="str">
            <v>Aremos</v>
          </cell>
          <cell r="E9" t="str">
            <v>C:\JRFiles\WEO\banks\R999.bnk</v>
          </cell>
          <cell r="F9" t="str">
            <v>W111BMS</v>
          </cell>
        </row>
        <row r="10">
          <cell r="A10" t="str">
            <v>Q1</v>
          </cell>
          <cell r="B10" t="str">
            <v>NFI_R</v>
          </cell>
          <cell r="C10">
            <v>1980</v>
          </cell>
          <cell r="D10" t="str">
            <v>Aremos</v>
          </cell>
          <cell r="E10" t="str">
            <v>C:\JRFiles\WEO\banks\R999.bnk</v>
          </cell>
          <cell r="F10" t="str">
            <v>W111BMS</v>
          </cell>
        </row>
        <row r="11">
          <cell r="A11" t="str">
            <v>Q1</v>
          </cell>
          <cell r="B11" t="str">
            <v>NFI_R</v>
          </cell>
          <cell r="C11">
            <v>1981</v>
          </cell>
          <cell r="D11" t="str">
            <v>Aremos</v>
          </cell>
          <cell r="E11" t="str">
            <v>C:\JRFiles\WEO\banks\R999.bnk</v>
          </cell>
          <cell r="F11" t="str">
            <v>W111BMS</v>
          </cell>
        </row>
        <row r="12">
          <cell r="A12" t="str">
            <v>Q1</v>
          </cell>
          <cell r="B12" t="str">
            <v>NFI_R</v>
          </cell>
          <cell r="C12">
            <v>1982</v>
          </cell>
          <cell r="D12" t="str">
            <v>Aremos</v>
          </cell>
          <cell r="E12" t="str">
            <v>C:\JRFiles\WEO\banks\R999.bnk</v>
          </cell>
          <cell r="F12" t="str">
            <v>W111BMS</v>
          </cell>
        </row>
        <row r="13">
          <cell r="A13" t="str">
            <v>Q1</v>
          </cell>
          <cell r="B13" t="str">
            <v>NFI_R</v>
          </cell>
          <cell r="C13">
            <v>1983</v>
          </cell>
          <cell r="D13" t="str">
            <v>Aremos</v>
          </cell>
          <cell r="E13" t="str">
            <v>C:\JRFiles\WEO\banks\R999.bnk</v>
          </cell>
          <cell r="F13" t="str">
            <v>W111BMS</v>
          </cell>
        </row>
        <row r="14">
          <cell r="A14" t="str">
            <v>Q1</v>
          </cell>
          <cell r="B14" t="str">
            <v>NFI_R</v>
          </cell>
          <cell r="C14">
            <v>1984</v>
          </cell>
          <cell r="D14" t="str">
            <v>Aremos</v>
          </cell>
          <cell r="E14" t="str">
            <v>C:\JRFiles\WEO\banks\R999.bnk</v>
          </cell>
          <cell r="F14" t="str">
            <v>W111BMS</v>
          </cell>
        </row>
        <row r="15">
          <cell r="A15" t="str">
            <v>Q1</v>
          </cell>
          <cell r="B15" t="str">
            <v>NFI_R</v>
          </cell>
          <cell r="C15">
            <v>1985</v>
          </cell>
          <cell r="D15" t="str">
            <v>Aremos</v>
          </cell>
          <cell r="E15" t="str">
            <v>C:\JRFiles\WEO\banks\R999.bnk</v>
          </cell>
          <cell r="F15" t="str">
            <v>W111BMS</v>
          </cell>
        </row>
        <row r="16">
          <cell r="A16" t="str">
            <v>Q1</v>
          </cell>
          <cell r="B16" t="str">
            <v>NFI_R</v>
          </cell>
          <cell r="C16">
            <v>1986</v>
          </cell>
          <cell r="D16" t="str">
            <v>Aremos</v>
          </cell>
          <cell r="E16" t="str">
            <v>C:\JRFiles\WEO\banks\R999.bnk</v>
          </cell>
          <cell r="F16" t="str">
            <v>W111BMS</v>
          </cell>
        </row>
        <row r="17">
          <cell r="A17" t="str">
            <v>Q1</v>
          </cell>
          <cell r="B17" t="str">
            <v>NFI_R</v>
          </cell>
          <cell r="C17">
            <v>1987</v>
          </cell>
          <cell r="D17" t="str">
            <v>Aremos</v>
          </cell>
          <cell r="E17" t="str">
            <v>C:\JRFiles\WEO\banks\R999.bnk</v>
          </cell>
          <cell r="F17" t="str">
            <v>W111BMS</v>
          </cell>
        </row>
        <row r="18">
          <cell r="A18" t="str">
            <v>Q1</v>
          </cell>
          <cell r="B18" t="str">
            <v>NFI_R</v>
          </cell>
          <cell r="C18">
            <v>1988</v>
          </cell>
          <cell r="D18" t="str">
            <v>Aremos</v>
          </cell>
          <cell r="E18" t="str">
            <v>C:\JRFiles\WEO\banks\R999.bnk</v>
          </cell>
          <cell r="F18" t="str">
            <v>W111BMS</v>
          </cell>
        </row>
        <row r="19">
          <cell r="A19" t="str">
            <v>Q1</v>
          </cell>
          <cell r="B19" t="str">
            <v>NFI_R</v>
          </cell>
          <cell r="C19">
            <v>1989</v>
          </cell>
          <cell r="D19" t="str">
            <v>Aremos</v>
          </cell>
          <cell r="E19" t="str">
            <v>C:\JRFiles\WEO\banks\R999.bnk</v>
          </cell>
          <cell r="F19" t="str">
            <v>W111BMS</v>
          </cell>
        </row>
        <row r="20">
          <cell r="A20" t="str">
            <v>Q1</v>
          </cell>
          <cell r="B20" t="str">
            <v>NFI_R</v>
          </cell>
          <cell r="C20">
            <v>1990</v>
          </cell>
          <cell r="D20" t="str">
            <v>Aremos</v>
          </cell>
          <cell r="E20" t="str">
            <v>C:\JRFiles\WEO\banks\R999.bnk</v>
          </cell>
          <cell r="F20" t="str">
            <v>W111BMS</v>
          </cell>
        </row>
        <row r="21">
          <cell r="A21" t="str">
            <v>Q1</v>
          </cell>
          <cell r="B21" t="str">
            <v>NFI_R</v>
          </cell>
          <cell r="C21">
            <v>1991</v>
          </cell>
          <cell r="D21" t="str">
            <v>Aremos</v>
          </cell>
          <cell r="E21" t="str">
            <v>C:\JRFiles\WEO\banks\R999.bnk</v>
          </cell>
          <cell r="F21" t="str">
            <v>W111BMS</v>
          </cell>
        </row>
        <row r="22">
          <cell r="A22" t="str">
            <v>Q1</v>
          </cell>
          <cell r="B22" t="str">
            <v>NFI_R</v>
          </cell>
          <cell r="C22">
            <v>1992</v>
          </cell>
          <cell r="D22" t="str">
            <v>Aremos</v>
          </cell>
          <cell r="E22" t="str">
            <v>C:\JRFiles\WEO\banks\R999.bnk</v>
          </cell>
          <cell r="F22" t="str">
            <v>W111BMS</v>
          </cell>
        </row>
        <row r="23">
          <cell r="A23" t="str">
            <v>Q1</v>
          </cell>
          <cell r="B23" t="str">
            <v>NFI_R</v>
          </cell>
          <cell r="C23">
            <v>1993</v>
          </cell>
          <cell r="D23" t="str">
            <v>Aremos</v>
          </cell>
          <cell r="E23" t="str">
            <v>C:\JRFiles\WEO\banks\R999.bnk</v>
          </cell>
          <cell r="F23" t="str">
            <v>W111BMS</v>
          </cell>
        </row>
        <row r="24">
          <cell r="A24" t="str">
            <v>Q1</v>
          </cell>
          <cell r="B24" t="str">
            <v>NFI_R</v>
          </cell>
          <cell r="C24">
            <v>1994</v>
          </cell>
          <cell r="D24" t="str">
            <v>Aremos</v>
          </cell>
          <cell r="E24" t="str">
            <v>C:\JRFiles\WEO\banks\R999.bnk</v>
          </cell>
          <cell r="F24" t="str">
            <v>W111BMS</v>
          </cell>
        </row>
        <row r="25">
          <cell r="A25" t="str">
            <v>Q1</v>
          </cell>
          <cell r="B25" t="str">
            <v>NFI_R</v>
          </cell>
          <cell r="C25">
            <v>1995</v>
          </cell>
          <cell r="D25" t="str">
            <v>Aremos</v>
          </cell>
          <cell r="E25" t="str">
            <v>C:\JRFiles\WEO\banks\R999.bnk</v>
          </cell>
          <cell r="F25" t="str">
            <v>W111BMS</v>
          </cell>
        </row>
        <row r="26">
          <cell r="A26" t="str">
            <v>Q1</v>
          </cell>
          <cell r="B26" t="str">
            <v>NFI_R</v>
          </cell>
          <cell r="C26">
            <v>1996</v>
          </cell>
          <cell r="D26" t="str">
            <v>Aremos</v>
          </cell>
          <cell r="E26" t="str">
            <v>C:\JRFiles\WEO\banks\R999.bnk</v>
          </cell>
          <cell r="F26" t="str">
            <v>W111BMS</v>
          </cell>
        </row>
        <row r="27">
          <cell r="A27" t="str">
            <v>Q1</v>
          </cell>
          <cell r="B27" t="str">
            <v>NFI_R</v>
          </cell>
          <cell r="C27">
            <v>1997</v>
          </cell>
          <cell r="D27" t="str">
            <v>Aremos</v>
          </cell>
          <cell r="E27" t="str">
            <v>C:\JRFiles\WEO\banks\R999.bnk</v>
          </cell>
          <cell r="F27" t="str">
            <v>W111BMS</v>
          </cell>
        </row>
        <row r="28">
          <cell r="A28" t="str">
            <v>Q1</v>
          </cell>
          <cell r="B28" t="str">
            <v>NFI_R</v>
          </cell>
          <cell r="C28">
            <v>1998</v>
          </cell>
          <cell r="D28" t="str">
            <v>Aremos</v>
          </cell>
          <cell r="E28" t="str">
            <v>C:\JRFiles\WEO\banks\R999.bnk</v>
          </cell>
          <cell r="F28" t="str">
            <v>W111BMS</v>
          </cell>
        </row>
        <row r="29">
          <cell r="A29" t="str">
            <v>Q1</v>
          </cell>
          <cell r="B29" t="str">
            <v>NFI_R</v>
          </cell>
          <cell r="C29">
            <v>1999</v>
          </cell>
          <cell r="D29" t="str">
            <v>Aremos</v>
          </cell>
          <cell r="E29" t="str">
            <v>C:\JRFiles\WEO\banks\R999.bnk</v>
          </cell>
          <cell r="F29" t="str">
            <v>W111BMS</v>
          </cell>
        </row>
        <row r="30">
          <cell r="A30" t="str">
            <v>Q1</v>
          </cell>
          <cell r="B30" t="str">
            <v>NFI_R</v>
          </cell>
          <cell r="C30">
            <v>2000</v>
          </cell>
          <cell r="D30" t="str">
            <v>Aremos</v>
          </cell>
          <cell r="E30" t="str">
            <v>C:\JRFiles\WEO\banks\R999.bnk</v>
          </cell>
          <cell r="F30" t="str">
            <v>W111BMS</v>
          </cell>
        </row>
        <row r="31">
          <cell r="A31" t="str">
            <v>Q1</v>
          </cell>
          <cell r="B31" t="str">
            <v>NFI_R</v>
          </cell>
          <cell r="C31">
            <v>2001</v>
          </cell>
          <cell r="D31" t="str">
            <v>Aremos</v>
          </cell>
          <cell r="E31" t="str">
            <v>C:\JRFiles\WEO\banks\R999.bnk</v>
          </cell>
          <cell r="F31" t="str">
            <v>W111BMS</v>
          </cell>
        </row>
        <row r="32">
          <cell r="A32" t="str">
            <v>Q1</v>
          </cell>
          <cell r="B32" t="str">
            <v>NFI_R</v>
          </cell>
          <cell r="C32">
            <v>2002</v>
          </cell>
          <cell r="D32" t="str">
            <v>Aremos</v>
          </cell>
          <cell r="E32" t="str">
            <v>C:\JRFiles\WEO\banks\R999.bnk</v>
          </cell>
          <cell r="F32" t="str">
            <v>W111BMS</v>
          </cell>
        </row>
        <row r="33">
          <cell r="A33" t="str">
            <v>Q1</v>
          </cell>
          <cell r="B33" t="str">
            <v>NFI_R</v>
          </cell>
          <cell r="C33">
            <v>2003</v>
          </cell>
          <cell r="D33" t="str">
            <v>Aremos</v>
          </cell>
          <cell r="E33" t="str">
            <v>C:\JRFiles\WEO\banks\R999.bnk</v>
          </cell>
          <cell r="F33" t="str">
            <v>W111BMS</v>
          </cell>
        </row>
      </sheetData>
      <sheetData sheetId="2" refreshError="1"/>
      <sheetData sheetId="3" refreshError="1">
        <row r="3">
          <cell r="A3" t="str">
            <v>Import of services must be neagtive</v>
          </cell>
          <cell r="B3" t="str">
            <v>(BMS)&lt;(0)</v>
          </cell>
          <cell r="C3" t="str">
            <v>1974 to 2003</v>
          </cell>
          <cell r="D3" t="str">
            <v>Link Type</v>
          </cell>
          <cell r="E3" t="str">
            <v>Link Path</v>
          </cell>
        </row>
        <row r="4">
          <cell r="A4" t="str">
            <v>Q1</v>
          </cell>
          <cell r="B4" t="str">
            <v>NFI_R</v>
          </cell>
          <cell r="C4">
            <v>1974</v>
          </cell>
          <cell r="D4" t="str">
            <v>Aremos</v>
          </cell>
          <cell r="E4" t="str">
            <v>C:\JRFiles\WEO\banks\R999.bnk</v>
          </cell>
        </row>
        <row r="5">
          <cell r="A5" t="str">
            <v>Q1</v>
          </cell>
          <cell r="B5" t="str">
            <v>NFI_R</v>
          </cell>
          <cell r="C5">
            <v>1975</v>
          </cell>
          <cell r="D5" t="str">
            <v>Aremos</v>
          </cell>
          <cell r="E5" t="str">
            <v>C:\JRFiles\WEO\banks\R999.bnk</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sheetData sheetId="38"/>
      <sheetData sheetId="39"/>
      <sheetData sheetId="40"/>
      <sheetData sheetId="41"/>
      <sheetData sheetId="42"/>
      <sheetData sheetId="43" refreshError="1"/>
      <sheetData sheetId="44" refreshError="1"/>
      <sheetData sheetId="45"/>
      <sheetData sheetId="46"/>
      <sheetData sheetId="47"/>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ernal Financing TAble"/>
      <sheetName val="KA (new)"/>
      <sheetName val="Leases"/>
      <sheetName val="Info"/>
      <sheetName val="Table fy"/>
      <sheetName val="Table"/>
      <sheetName val="Inn"/>
      <sheetName val="PC 2004Rescheduling"/>
      <sheetName val="BOP"/>
      <sheetName val="Ext.Fin (FY)"/>
      <sheetName val="Output"/>
      <sheetName val="weo"/>
      <sheetName val="Macro"/>
      <sheetName val="Exp"/>
      <sheetName val="Imp"/>
      <sheetName val="serv"/>
      <sheetName val="KA"/>
      <sheetName val="Ind"/>
      <sheetName val="Arrears"/>
      <sheetName val="DSA output"/>
      <sheetName val="Input"/>
      <sheetName val="WETA"/>
      <sheetName val="CBSTable"/>
      <sheetName val="CBSBOP"/>
      <sheetName val="NFAbanks"/>
      <sheetName val="mon. mov't"/>
      <sheetName val="CUS-exp"/>
      <sheetName val="CUS-imp"/>
      <sheetName val="FXMS2000-01"/>
      <sheetName val="FXMS2002-04"/>
      <sheetName val="adjuster"/>
      <sheetName val="Indicies"/>
      <sheetName val="monthly"/>
      <sheetName val="quarterly"/>
      <sheetName val="ExpFY"/>
      <sheetName val="ImpFY"/>
      <sheetName val=" FY Table"/>
      <sheetName val="New CY Table"/>
      <sheetName val="BOP TAble (old CY)"/>
      <sheetName val="gas"/>
      <sheetName val="Input-Q"/>
      <sheetName val="Input-A"/>
      <sheetName val="DA"/>
      <sheetName val="IN"/>
      <sheetName val="NPV_base"/>
      <sheetName val="PV_Ba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Overview"/>
      <sheetName val="Documentation"/>
      <sheetName val="Reserves"/>
      <sheetName val="INPUT-A"/>
      <sheetName val="INPUT-Q"/>
      <sheetName val="In_Current ex.rate"/>
      <sheetName val="IN_Survey"/>
      <sheetName val="IN_NFA&amp;PSC"/>
      <sheetName val="IN_CBK"/>
      <sheetName val="IN_Banks"/>
      <sheetName val="IN_NBFI"/>
      <sheetName val="IN_EDSS_A"/>
      <sheetName val="IN_EDSS_M"/>
      <sheetName val="Monthly"/>
      <sheetName val="Ch. Multiplier"/>
      <sheetName val="Ch. Key monetary aggregates"/>
      <sheetName val="Ch. Key monetary aggregates _sh"/>
      <sheetName val="Ch. Key CBK aggregates"/>
      <sheetName val="Ch. Key CBK aggregates_short"/>
      <sheetName val="Ch. Key Bank aggregates"/>
      <sheetName val="Ch. Key Bank aggregates_short"/>
      <sheetName val="CBK other items net outturn"/>
      <sheetName val="NDA"/>
      <sheetName val="Reserve money"/>
      <sheetName val="Reserve money 2"/>
      <sheetName val="MonQuart"/>
      <sheetName val="Q_const"/>
      <sheetName val="Q_proj_curr"/>
      <sheetName val="Q_proj_const"/>
      <sheetName val="Assumptions"/>
      <sheetName val="Ch. Priv credit q"/>
      <sheetName val="reserves to D ratio"/>
      <sheetName val="Ch. cob-D"/>
      <sheetName val="Ch. R-D"/>
      <sheetName val="Ch.multiplier"/>
      <sheetName val="Ch.M3-D"/>
      <sheetName val="TabQ_const"/>
      <sheetName val="TabQ_curr"/>
      <sheetName val="NDA (3)"/>
      <sheetName val="Government CBK borrowing"/>
      <sheetName val="Banks balances abroad"/>
      <sheetName val="Ch. credit outturn"/>
      <sheetName val="ControlSheet"/>
      <sheetName val="Ch.M3-RM"/>
      <sheetName val="Ch. Mon.survey"/>
      <sheetName val="CBK other items net"/>
      <sheetName val="reserve coverage"/>
      <sheetName val="FCD "/>
      <sheetName val="banks other items net"/>
      <sheetName val="CH. NFA of commercial banks"/>
      <sheetName val="CH. International reserves"/>
      <sheetName val="Ch. proj. CBK"/>
      <sheetName val="Ch. Banks"/>
      <sheetName val="CH velocity"/>
      <sheetName val="Ch. currencies outside banks"/>
      <sheetName val="WETA-output"/>
      <sheetName val="output FY"/>
      <sheetName val="output Cy"/>
      <sheetName val="output q"/>
      <sheetName val="Chart2"/>
      <sheetName val="Chart3"/>
      <sheetName val="Chart1"/>
      <sheetName val="Chart4"/>
      <sheetName val="Chart5"/>
      <sheetName val="Chart6"/>
      <sheetName val="Chart7"/>
      <sheetName val="EFN_HMB_"/>
      <sheetName val="Loan Calculator"/>
      <sheetName val="BOP"/>
      <sheetName val="Imp"/>
      <sheetName val="DSA output"/>
      <sheetName val="IN"/>
      <sheetName val="Fiscal Tab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CCU"/>
      <sheetName val="ANG."/>
      <sheetName val="A&amp;B"/>
      <sheetName val="GRE."/>
      <sheetName val="DOM."/>
      <sheetName val="MON."/>
      <sheetName val="ST. K&amp;N"/>
      <sheetName val="ST. L"/>
      <sheetName val="ST.VCT."/>
      <sheetName val="UPLOAD"/>
      <sheetName val="ipc"/>
      <sheetName val="Main"/>
      <sheetName val="Links"/>
      <sheetName val="ErrCheck"/>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8"/>
      <sheetName val="1995"/>
      <sheetName val="1996-97"/>
      <sheetName val="Sheet3"/>
      <sheetName val="Sheet1"/>
      <sheetName val="Sheet2"/>
      <sheetName val="2004"/>
      <sheetName val="2004 (2)"/>
      <sheetName val="200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RBZ"/>
      <sheetName val="IFS"/>
      <sheetName val="st-debt"/>
      <sheetName val="Graph"/>
      <sheetName val="RBZ-former"/>
    </sheetNames>
    <sheetDataSet>
      <sheetData sheetId="0" refreshError="1"/>
      <sheetData sheetId="1" refreshError="1"/>
      <sheetData sheetId="2"/>
      <sheetData sheetId="3" refreshError="1"/>
      <sheetData sheetId="4" refreshError="1"/>
      <sheetData sheetId="5" refreshError="1">
        <row r="2">
          <cell r="O2" t="str">
            <v>Black letters denote what I could confirm by the RBZ's documents.</v>
          </cell>
          <cell r="P2" t="str">
            <v>RBZ Gross Foreign Asset (Gold at 100%)</v>
          </cell>
          <cell r="R2" t="str">
            <v>Of which: Gold (at 100%)</v>
          </cell>
          <cell r="S2" t="str">
            <v>RBZ Foreign Liabilities</v>
          </cell>
          <cell r="T2" t="str">
            <v>Of which: Fund Credit</v>
          </cell>
          <cell r="U2" t="str">
            <v>Capital Goods Facility</v>
          </cell>
          <cell r="V2" t="str">
            <v>Net International Reserves</v>
          </cell>
        </row>
        <row r="4">
          <cell r="O4" t="str">
            <v>-</v>
          </cell>
          <cell r="P4" t="str">
            <v>-</v>
          </cell>
          <cell r="R4" t="str">
            <v>-</v>
          </cell>
          <cell r="S4" t="str">
            <v>-</v>
          </cell>
          <cell r="U4" t="str">
            <v>-</v>
          </cell>
          <cell r="V4" t="str">
            <v>-</v>
          </cell>
        </row>
        <row r="5">
          <cell r="O5" t="str">
            <v>Jan/1992</v>
          </cell>
          <cell r="P5">
            <v>0</v>
          </cell>
          <cell r="R5">
            <v>0</v>
          </cell>
          <cell r="S5">
            <v>0</v>
          </cell>
          <cell r="U5">
            <v>0</v>
          </cell>
          <cell r="V5">
            <v>0</v>
          </cell>
        </row>
        <row r="6">
          <cell r="O6" t="str">
            <v>Feb</v>
          </cell>
          <cell r="P6">
            <v>0</v>
          </cell>
          <cell r="R6">
            <v>0</v>
          </cell>
          <cell r="S6">
            <v>0</v>
          </cell>
          <cell r="U6">
            <v>0</v>
          </cell>
          <cell r="V6">
            <v>0</v>
          </cell>
        </row>
        <row r="7">
          <cell r="O7" t="str">
            <v>Mar</v>
          </cell>
          <cell r="P7">
            <v>518.20000000000005</v>
          </cell>
          <cell r="R7">
            <v>170.4</v>
          </cell>
          <cell r="S7">
            <v>557.20000000000005</v>
          </cell>
          <cell r="U7">
            <v>112.2</v>
          </cell>
          <cell r="V7">
            <v>73.2</v>
          </cell>
        </row>
        <row r="8">
          <cell r="O8" t="str">
            <v>Apr</v>
          </cell>
          <cell r="P8">
            <v>0</v>
          </cell>
          <cell r="R8">
            <v>0</v>
          </cell>
          <cell r="S8">
            <v>0</v>
          </cell>
          <cell r="U8">
            <v>0</v>
          </cell>
          <cell r="V8">
            <v>0</v>
          </cell>
        </row>
        <row r="9">
          <cell r="O9" t="str">
            <v>May</v>
          </cell>
          <cell r="P9">
            <v>0</v>
          </cell>
          <cell r="R9">
            <v>0</v>
          </cell>
          <cell r="S9">
            <v>0</v>
          </cell>
          <cell r="U9">
            <v>0</v>
          </cell>
          <cell r="V9">
            <v>0</v>
          </cell>
        </row>
        <row r="10">
          <cell r="O10" t="str">
            <v>Jun</v>
          </cell>
          <cell r="P10">
            <v>364.40000000000003</v>
          </cell>
          <cell r="R10">
            <v>163.60000000000002</v>
          </cell>
          <cell r="S10">
            <v>543.79999999999995</v>
          </cell>
          <cell r="U10">
            <v>112.80000000000001</v>
          </cell>
          <cell r="V10">
            <v>-66.599999999999909</v>
          </cell>
        </row>
        <row r="11">
          <cell r="O11" t="str">
            <v>Jul</v>
          </cell>
          <cell r="P11">
            <v>0</v>
          </cell>
          <cell r="R11">
            <v>0</v>
          </cell>
          <cell r="S11">
            <v>0</v>
          </cell>
          <cell r="U11">
            <v>0</v>
          </cell>
          <cell r="V11">
            <v>0</v>
          </cell>
        </row>
        <row r="12">
          <cell r="O12" t="str">
            <v>Aug</v>
          </cell>
          <cell r="P12">
            <v>0</v>
          </cell>
          <cell r="R12">
            <v>0</v>
          </cell>
          <cell r="S12">
            <v>0</v>
          </cell>
          <cell r="U12">
            <v>0</v>
          </cell>
          <cell r="V12">
            <v>0</v>
          </cell>
        </row>
        <row r="13">
          <cell r="O13" t="str">
            <v>Sep</v>
          </cell>
          <cell r="P13">
            <v>440.8</v>
          </cell>
          <cell r="R13">
            <v>166.4</v>
          </cell>
          <cell r="S13">
            <v>688.3</v>
          </cell>
          <cell r="U13">
            <v>95.800000000000011</v>
          </cell>
          <cell r="V13">
            <v>-151.69999999999993</v>
          </cell>
        </row>
        <row r="14">
          <cell r="O14" t="str">
            <v>Oct</v>
          </cell>
          <cell r="P14">
            <v>0</v>
          </cell>
          <cell r="R14">
            <v>0</v>
          </cell>
          <cell r="S14">
            <v>0</v>
          </cell>
          <cell r="U14">
            <v>0</v>
          </cell>
          <cell r="V14">
            <v>0</v>
          </cell>
        </row>
        <row r="15">
          <cell r="O15" t="str">
            <v>Nov</v>
          </cell>
          <cell r="P15">
            <v>0</v>
          </cell>
          <cell r="R15">
            <v>0</v>
          </cell>
          <cell r="S15">
            <v>0</v>
          </cell>
          <cell r="U15">
            <v>0</v>
          </cell>
          <cell r="V15">
            <v>0</v>
          </cell>
        </row>
        <row r="16">
          <cell r="O16" t="str">
            <v>Dec</v>
          </cell>
          <cell r="P16">
            <v>382.9</v>
          </cell>
          <cell r="R16">
            <v>161.80000000000001</v>
          </cell>
          <cell r="S16">
            <v>661</v>
          </cell>
          <cell r="U16">
            <v>82.4</v>
          </cell>
          <cell r="V16">
            <v>-195.70000000000002</v>
          </cell>
        </row>
        <row r="18">
          <cell r="O18" t="str">
            <v>Jan/1993</v>
          </cell>
          <cell r="P18">
            <v>0</v>
          </cell>
          <cell r="R18">
            <v>0</v>
          </cell>
          <cell r="S18">
            <v>0</v>
          </cell>
          <cell r="U18">
            <v>0</v>
          </cell>
          <cell r="V18">
            <v>0</v>
          </cell>
        </row>
        <row r="19">
          <cell r="O19" t="str">
            <v>Feb</v>
          </cell>
          <cell r="P19">
            <v>0</v>
          </cell>
          <cell r="R19">
            <v>0</v>
          </cell>
          <cell r="S19">
            <v>0</v>
          </cell>
          <cell r="U19">
            <v>0</v>
          </cell>
          <cell r="V19">
            <v>0</v>
          </cell>
        </row>
        <row r="20">
          <cell r="O20" t="str">
            <v>Mar</v>
          </cell>
          <cell r="P20">
            <v>358</v>
          </cell>
          <cell r="R20">
            <v>141.6</v>
          </cell>
          <cell r="S20">
            <v>670.5</v>
          </cell>
          <cell r="U20">
            <v>77.300000000000011</v>
          </cell>
          <cell r="V20">
            <v>-235.2</v>
          </cell>
        </row>
        <row r="21">
          <cell r="O21" t="str">
            <v>Apr</v>
          </cell>
          <cell r="P21">
            <v>0</v>
          </cell>
          <cell r="R21">
            <v>0</v>
          </cell>
          <cell r="S21">
            <v>0</v>
          </cell>
          <cell r="U21">
            <v>0</v>
          </cell>
          <cell r="V21">
            <v>0</v>
          </cell>
        </row>
        <row r="22">
          <cell r="O22" t="str">
            <v>May</v>
          </cell>
          <cell r="P22">
            <v>0</v>
          </cell>
          <cell r="R22">
            <v>0</v>
          </cell>
          <cell r="S22">
            <v>0</v>
          </cell>
          <cell r="U22">
            <v>0</v>
          </cell>
          <cell r="V22">
            <v>0</v>
          </cell>
        </row>
        <row r="23">
          <cell r="O23" t="str">
            <v>Jun</v>
          </cell>
          <cell r="P23">
            <v>617</v>
          </cell>
          <cell r="R23">
            <v>165.8</v>
          </cell>
          <cell r="S23">
            <v>692.6</v>
          </cell>
          <cell r="U23">
            <v>73.3</v>
          </cell>
          <cell r="V23">
            <v>-2.3000000000000256</v>
          </cell>
        </row>
        <row r="24">
          <cell r="O24" t="str">
            <v>Jul</v>
          </cell>
          <cell r="P24">
            <v>0</v>
          </cell>
          <cell r="R24">
            <v>0</v>
          </cell>
          <cell r="S24">
            <v>0</v>
          </cell>
          <cell r="U24">
            <v>0</v>
          </cell>
          <cell r="V24">
            <v>0</v>
          </cell>
        </row>
        <row r="25">
          <cell r="O25" t="str">
            <v>Aug</v>
          </cell>
          <cell r="P25">
            <v>0</v>
          </cell>
          <cell r="R25">
            <v>0</v>
          </cell>
          <cell r="S25">
            <v>0</v>
          </cell>
          <cell r="U25">
            <v>0</v>
          </cell>
          <cell r="V25">
            <v>0</v>
          </cell>
        </row>
        <row r="26">
          <cell r="O26" t="str">
            <v>Sep</v>
          </cell>
          <cell r="P26">
            <v>740.1</v>
          </cell>
          <cell r="R26">
            <v>191.20000000000002</v>
          </cell>
          <cell r="S26">
            <v>699.4</v>
          </cell>
          <cell r="U26">
            <v>68</v>
          </cell>
          <cell r="V26">
            <v>108.70000000000005</v>
          </cell>
        </row>
        <row r="27">
          <cell r="O27" t="str">
            <v>Oct</v>
          </cell>
          <cell r="P27">
            <v>0</v>
          </cell>
          <cell r="R27">
            <v>0</v>
          </cell>
          <cell r="S27">
            <v>0</v>
          </cell>
          <cell r="U27">
            <v>0</v>
          </cell>
          <cell r="V27">
            <v>0</v>
          </cell>
        </row>
        <row r="28">
          <cell r="O28" t="str">
            <v>Nov</v>
          </cell>
          <cell r="P28">
            <v>0</v>
          </cell>
          <cell r="R28">
            <v>0</v>
          </cell>
          <cell r="S28">
            <v>0</v>
          </cell>
          <cell r="U28">
            <v>0</v>
          </cell>
          <cell r="V28">
            <v>0</v>
          </cell>
        </row>
        <row r="29">
          <cell r="O29" t="str">
            <v>Dec</v>
          </cell>
          <cell r="P29">
            <v>590.20000000000005</v>
          </cell>
          <cell r="R29">
            <v>158.20000000000002</v>
          </cell>
          <cell r="S29">
            <v>584.1</v>
          </cell>
          <cell r="U29">
            <v>67.5</v>
          </cell>
          <cell r="V29">
            <v>73.600000000000023</v>
          </cell>
        </row>
        <row r="31">
          <cell r="O31" t="str">
            <v>Jan/1994</v>
          </cell>
          <cell r="P31">
            <v>0</v>
          </cell>
          <cell r="R31">
            <v>0</v>
          </cell>
          <cell r="S31">
            <v>0</v>
          </cell>
          <cell r="U31">
            <v>0</v>
          </cell>
          <cell r="V31">
            <v>0</v>
          </cell>
        </row>
        <row r="32">
          <cell r="O32" t="str">
            <v>Feb</v>
          </cell>
          <cell r="P32">
            <v>0</v>
          </cell>
          <cell r="R32">
            <v>0</v>
          </cell>
          <cell r="S32">
            <v>0</v>
          </cell>
          <cell r="U32">
            <v>0</v>
          </cell>
          <cell r="V32">
            <v>0</v>
          </cell>
        </row>
        <row r="33">
          <cell r="O33" t="str">
            <v>Mar</v>
          </cell>
          <cell r="P33">
            <v>696.5</v>
          </cell>
          <cell r="R33">
            <v>196.20000000000002</v>
          </cell>
          <cell r="S33">
            <v>542.1</v>
          </cell>
          <cell r="U33">
            <v>63.7</v>
          </cell>
          <cell r="V33">
            <v>218.09999999999997</v>
          </cell>
        </row>
        <row r="34">
          <cell r="O34" t="str">
            <v>Apr</v>
          </cell>
          <cell r="P34">
            <v>0</v>
          </cell>
          <cell r="R34">
            <v>0</v>
          </cell>
          <cell r="S34">
            <v>0</v>
          </cell>
          <cell r="U34">
            <v>0</v>
          </cell>
          <cell r="V34">
            <v>0</v>
          </cell>
        </row>
        <row r="35">
          <cell r="O35" t="str">
            <v>May</v>
          </cell>
          <cell r="P35">
            <v>0</v>
          </cell>
          <cell r="R35">
            <v>0</v>
          </cell>
          <cell r="S35">
            <v>0</v>
          </cell>
          <cell r="U35">
            <v>0</v>
          </cell>
          <cell r="V35">
            <v>0</v>
          </cell>
        </row>
        <row r="36">
          <cell r="O36" t="str">
            <v>Jun</v>
          </cell>
          <cell r="P36">
            <v>800.92786302856848</v>
          </cell>
          <cell r="R36">
            <v>238.91942566734099</v>
          </cell>
          <cell r="S36">
            <v>597.61459515468493</v>
          </cell>
          <cell r="U36">
            <v>68.052005723590057</v>
          </cell>
          <cell r="V36">
            <v>271.36527359747373</v>
          </cell>
        </row>
        <row r="37">
          <cell r="O37" t="str">
            <v>Jul</v>
          </cell>
          <cell r="P37">
            <v>0</v>
          </cell>
          <cell r="R37">
            <v>0</v>
          </cell>
          <cell r="S37">
            <v>0</v>
          </cell>
          <cell r="U37">
            <v>0</v>
          </cell>
          <cell r="V37">
            <v>0</v>
          </cell>
        </row>
        <row r="38">
          <cell r="O38" t="str">
            <v>Aug</v>
          </cell>
          <cell r="P38">
            <v>0</v>
          </cell>
          <cell r="R38">
            <v>0</v>
          </cell>
          <cell r="S38">
            <v>0</v>
          </cell>
          <cell r="U38">
            <v>0</v>
          </cell>
          <cell r="V38">
            <v>0</v>
          </cell>
        </row>
        <row r="39">
          <cell r="O39" t="str">
            <v>Sep</v>
          </cell>
          <cell r="P39">
            <v>822.60868518607651</v>
          </cell>
          <cell r="R39">
            <v>174.73881854508687</v>
          </cell>
          <cell r="S39">
            <v>508.90111212748536</v>
          </cell>
          <cell r="U39">
            <v>15.109768427133982</v>
          </cell>
          <cell r="V39">
            <v>328.81734148572514</v>
          </cell>
        </row>
        <row r="40">
          <cell r="O40" t="str">
            <v>Oct</v>
          </cell>
          <cell r="P40">
            <v>787.73705112361574</v>
          </cell>
          <cell r="R40">
            <v>176.6465499658056</v>
          </cell>
          <cell r="S40">
            <v>477.6834199191332</v>
          </cell>
          <cell r="U40">
            <v>15.062089817269966</v>
          </cell>
          <cell r="V40">
            <v>325.11572102175245</v>
          </cell>
        </row>
        <row r="41">
          <cell r="O41" t="str">
            <v>Nov</v>
          </cell>
          <cell r="P41">
            <v>749.26270425570124</v>
          </cell>
          <cell r="R41">
            <v>203.8517986472736</v>
          </cell>
          <cell r="S41">
            <v>472.51906386544556</v>
          </cell>
          <cell r="U41">
            <v>15.028191775902314</v>
          </cell>
          <cell r="V41">
            <v>291.77183216615799</v>
          </cell>
        </row>
        <row r="42">
          <cell r="O42" t="str">
            <v>Dec</v>
          </cell>
          <cell r="P42">
            <v>595.04673788630282</v>
          </cell>
          <cell r="R42">
            <v>180.83555894696681</v>
          </cell>
          <cell r="S42">
            <v>487.726535673407</v>
          </cell>
          <cell r="U42">
            <v>15.578739030904236</v>
          </cell>
          <cell r="V42">
            <v>122.89894124380002</v>
          </cell>
        </row>
        <row r="44">
          <cell r="O44" t="str">
            <v>Foreign Exchange Reserve</v>
          </cell>
        </row>
        <row r="46">
          <cell r="P46" t="str">
            <v>Asset</v>
          </cell>
          <cell r="R46" t="str">
            <v>(gold)</v>
          </cell>
          <cell r="S46" t="str">
            <v>Liability</v>
          </cell>
          <cell r="T46" t="str">
            <v>(Fund)</v>
          </cell>
          <cell r="U46" t="str">
            <v>capital g.f.</v>
          </cell>
          <cell r="V46" t="str">
            <v>NIR</v>
          </cell>
        </row>
        <row r="47">
          <cell r="O47" t="str">
            <v>-</v>
          </cell>
          <cell r="P47" t="str">
            <v>-</v>
          </cell>
          <cell r="R47" t="str">
            <v>-</v>
          </cell>
          <cell r="S47" t="str">
            <v>-</v>
          </cell>
          <cell r="U47" t="str">
            <v>-</v>
          </cell>
          <cell r="V47" t="str">
            <v>-</v>
          </cell>
        </row>
        <row r="48">
          <cell r="O48" t="str">
            <v>Jan/1995</v>
          </cell>
          <cell r="P48">
            <v>609.69499999999994</v>
          </cell>
          <cell r="R48">
            <v>171.41</v>
          </cell>
          <cell r="S48">
            <v>483.4249999999999</v>
          </cell>
          <cell r="U48">
            <v>11.183333333333332</v>
          </cell>
          <cell r="V48">
            <v>137.45333333333335</v>
          </cell>
        </row>
        <row r="49">
          <cell r="O49" t="str">
            <v>Feb</v>
          </cell>
          <cell r="P49">
            <v>701.96491809880251</v>
          </cell>
          <cell r="R49">
            <v>186.92091767241891</v>
          </cell>
          <cell r="S49">
            <v>553.48011986118843</v>
          </cell>
          <cell r="U49">
            <v>11.126245099548745</v>
          </cell>
          <cell r="V49">
            <v>159.61104333716284</v>
          </cell>
        </row>
        <row r="50">
          <cell r="O50" t="str">
            <v>Mar</v>
          </cell>
          <cell r="P50">
            <v>673.5366966497196</v>
          </cell>
          <cell r="R50">
            <v>126.3071070501653</v>
          </cell>
          <cell r="S50">
            <v>563.42280845213963</v>
          </cell>
          <cell r="U50">
            <v>11.132837961152392</v>
          </cell>
          <cell r="V50">
            <v>121.24672615873236</v>
          </cell>
        </row>
        <row r="51">
          <cell r="O51" t="str">
            <v>Apr</v>
          </cell>
          <cell r="P51">
            <v>650.92140408935097</v>
          </cell>
          <cell r="R51">
            <v>130.20446755702633</v>
          </cell>
          <cell r="S51">
            <v>551.6026474412007</v>
          </cell>
          <cell r="U51">
            <v>11.102706535870464</v>
          </cell>
          <cell r="V51">
            <v>110.42146318402077</v>
          </cell>
        </row>
        <row r="52">
          <cell r="O52" t="str">
            <v>May</v>
          </cell>
          <cell r="P52">
            <v>740.90313766135876</v>
          </cell>
          <cell r="R52">
            <v>142.42721190992179</v>
          </cell>
          <cell r="S52">
            <v>547.17798925845659</v>
          </cell>
          <cell r="U52">
            <v>11.06426081221144</v>
          </cell>
          <cell r="V52">
            <v>204.78940921511355</v>
          </cell>
        </row>
        <row r="53">
          <cell r="O53" t="str">
            <v>Jun</v>
          </cell>
          <cell r="P53">
            <v>737.18565677371021</v>
          </cell>
          <cell r="R53">
            <v>154.91292950098301</v>
          </cell>
          <cell r="S53">
            <v>539.2968823143899</v>
          </cell>
          <cell r="U53">
            <v>10.99382080329557</v>
          </cell>
          <cell r="V53">
            <v>208.88259526261584</v>
          </cell>
        </row>
        <row r="54">
          <cell r="O54" t="str">
            <v>Jul</v>
          </cell>
          <cell r="P54">
            <v>836.43971532559056</v>
          </cell>
          <cell r="R54">
            <v>220.93886918422697</v>
          </cell>
          <cell r="S54">
            <v>534.82648306558167</v>
          </cell>
          <cell r="U54">
            <v>9.1067992674502154</v>
          </cell>
          <cell r="V54">
            <v>310.72003152745907</v>
          </cell>
        </row>
        <row r="55">
          <cell r="O55" t="str">
            <v>Aug</v>
          </cell>
          <cell r="P55">
            <v>907.18020972883073</v>
          </cell>
          <cell r="R55">
            <v>238.67972467316488</v>
          </cell>
          <cell r="S55">
            <v>531.40758534669919</v>
          </cell>
          <cell r="U55">
            <v>9.0737746569963491</v>
          </cell>
          <cell r="V55">
            <v>384.84639903912779</v>
          </cell>
        </row>
        <row r="56">
          <cell r="O56" t="str">
            <v>Sep</v>
          </cell>
          <cell r="P56">
            <v>934.10647122322598</v>
          </cell>
          <cell r="R56">
            <v>245.70513039031869</v>
          </cell>
          <cell r="S56">
            <v>510.43008919947732</v>
          </cell>
          <cell r="U56">
            <v>8.9276745639452297</v>
          </cell>
          <cell r="V56">
            <v>432.60405658769383</v>
          </cell>
        </row>
        <row r="57">
          <cell r="O57" t="str">
            <v>Oct</v>
          </cell>
          <cell r="P57">
            <v>824.18152560128726</v>
          </cell>
          <cell r="R57">
            <v>244.78265095633577</v>
          </cell>
          <cell r="S57">
            <v>485.13818539198428</v>
          </cell>
          <cell r="U57">
            <v>8.4853066646506736</v>
          </cell>
          <cell r="V57">
            <v>347.52864687395373</v>
          </cell>
        </row>
        <row r="58">
          <cell r="O58" t="str">
            <v>Nov</v>
          </cell>
          <cell r="P58">
            <v>785.75377969762405</v>
          </cell>
          <cell r="R58">
            <v>256.38444924406048</v>
          </cell>
          <cell r="S58">
            <v>485.19373650107985</v>
          </cell>
          <cell r="U58">
            <v>8.4846652267818552</v>
          </cell>
          <cell r="V58">
            <v>309.04470842332609</v>
          </cell>
        </row>
        <row r="59">
          <cell r="O59" t="str">
            <v>Dec</v>
          </cell>
          <cell r="P59">
            <v>874.8</v>
          </cell>
          <cell r="R59">
            <v>279.39999999999998</v>
          </cell>
          <cell r="S59">
            <v>497.6</v>
          </cell>
          <cell r="T59">
            <v>461.1</v>
          </cell>
          <cell r="U59">
            <v>9</v>
          </cell>
          <cell r="V59">
            <v>386.19999999999993</v>
          </cell>
        </row>
        <row r="61">
          <cell r="O61" t="str">
            <v>Jan/1996</v>
          </cell>
          <cell r="P61">
            <v>805.2</v>
          </cell>
          <cell r="Q61">
            <v>-7.9561042524005421E-2</v>
          </cell>
          <cell r="R61">
            <v>285.60000000000002</v>
          </cell>
          <cell r="S61">
            <v>485.8</v>
          </cell>
          <cell r="T61">
            <v>450.8</v>
          </cell>
          <cell r="U61">
            <v>7.1</v>
          </cell>
          <cell r="V61">
            <v>326.50000000000006</v>
          </cell>
        </row>
        <row r="62">
          <cell r="O62" t="str">
            <v>Feb</v>
          </cell>
          <cell r="P62">
            <v>833.5</v>
          </cell>
          <cell r="Q62">
            <v>-4.7210791037951449E-2</v>
          </cell>
          <cell r="R62">
            <v>283.60000000000002</v>
          </cell>
          <cell r="S62">
            <v>490.7</v>
          </cell>
          <cell r="T62">
            <v>456.8</v>
          </cell>
          <cell r="U62">
            <v>7.2</v>
          </cell>
          <cell r="V62">
            <v>350</v>
          </cell>
        </row>
        <row r="63">
          <cell r="O63" t="str">
            <v>Mar</v>
          </cell>
          <cell r="P63">
            <v>846.2</v>
          </cell>
          <cell r="Q63">
            <v>-3.2693187014174563E-2</v>
          </cell>
          <cell r="R63">
            <v>287.2</v>
          </cell>
          <cell r="S63">
            <v>485.3</v>
          </cell>
          <cell r="T63">
            <v>452</v>
          </cell>
          <cell r="U63">
            <v>7.1</v>
          </cell>
          <cell r="V63">
            <v>368.00000000000006</v>
          </cell>
        </row>
        <row r="64">
          <cell r="O64" t="str">
            <v>Apr</v>
          </cell>
          <cell r="P64">
            <v>869.7</v>
          </cell>
          <cell r="Q64">
            <v>-5.8299039780520534E-3</v>
          </cell>
          <cell r="R64">
            <v>293.39999999999998</v>
          </cell>
          <cell r="S64">
            <v>479.9</v>
          </cell>
          <cell r="T64">
            <v>447.7</v>
          </cell>
          <cell r="U64">
            <v>7</v>
          </cell>
          <cell r="V64">
            <v>396.80000000000007</v>
          </cell>
        </row>
        <row r="65">
          <cell r="O65" t="str">
            <v>May</v>
          </cell>
          <cell r="P65">
            <v>977.3</v>
          </cell>
          <cell r="Q65">
            <v>0.11716963877457709</v>
          </cell>
          <cell r="R65">
            <v>301.8</v>
          </cell>
          <cell r="S65">
            <v>480.2</v>
          </cell>
          <cell r="T65">
            <v>448.4</v>
          </cell>
          <cell r="U65">
            <v>7</v>
          </cell>
          <cell r="V65">
            <v>504.09999999999997</v>
          </cell>
        </row>
        <row r="66">
          <cell r="O66" t="str">
            <v>Jun</v>
          </cell>
          <cell r="P66">
            <v>1073.0999999999999</v>
          </cell>
          <cell r="Q66">
            <v>0.22668038408779156</v>
          </cell>
          <cell r="R66">
            <v>302</v>
          </cell>
          <cell r="S66">
            <v>478.5</v>
          </cell>
          <cell r="T66">
            <v>447.2</v>
          </cell>
          <cell r="U66">
            <v>7</v>
          </cell>
          <cell r="V66">
            <v>601.59999999999991</v>
          </cell>
        </row>
      </sheetData>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Map"/>
      <sheetName val="WEO"/>
      <sheetName val="Macro"/>
      <sheetName val="Fiscal"/>
      <sheetName val="BoP"/>
      <sheetName val="Debt-service"/>
      <sheetName val="Assump"/>
      <sheetName val="Main"/>
      <sheetName val="Quarterly"/>
      <sheetName val="Exports"/>
      <sheetName val="Imports"/>
      <sheetName val="Indices"/>
      <sheetName val="Services"/>
      <sheetName val="Capital"/>
      <sheetName val="Debt"/>
      <sheetName val="Module"/>
      <sheetName val="RED47"/>
      <sheetName val="GC-SPCR_MEFP1986(Fuente)"/>
      <sheetName val="C"/>
      <sheetName val="Coverpage"/>
      <sheetName val="RBZ-form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 val="SUMMARY"/>
      <sheetName val="Quarterly Raw Data"/>
      <sheetName val="Quarterly MacroFlow"/>
    </sheetNames>
    <sheetDataSet>
      <sheetData sheetId="0"/>
      <sheetData sheetId="1"/>
      <sheetData sheetId="2" refreshError="1">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ernal Financing TAble"/>
      <sheetName val="KA (new)"/>
      <sheetName val="Leases"/>
      <sheetName val="Info"/>
      <sheetName val="Ext.Fin (FY)"/>
      <sheetName val="Table fy"/>
      <sheetName val="Table"/>
      <sheetName val="Inn"/>
      <sheetName val="BOP"/>
      <sheetName val="Output"/>
      <sheetName val="weo"/>
      <sheetName val="Macro"/>
      <sheetName val="Exp"/>
      <sheetName val="Imp"/>
      <sheetName val="serv"/>
      <sheetName val="in-out"/>
      <sheetName val="KA"/>
      <sheetName val="Ind"/>
      <sheetName val="Arrears"/>
      <sheetName val="DSA output"/>
      <sheetName val="WETA"/>
      <sheetName val="Table 60"/>
      <sheetName val="RBZ-former"/>
      <sheetName val="Imp:DSA outp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1">
          <cell r="A1" t="str">
            <v>Imports (values in millions of USD)</v>
          </cell>
        </row>
        <row r="10">
          <cell r="I10">
            <v>2666.3</v>
          </cell>
          <cell r="O10">
            <v>3176.0428440583428</v>
          </cell>
          <cell r="P10">
            <v>3057.9556502817027</v>
          </cell>
          <cell r="Q10">
            <v>3712.3709793291678</v>
          </cell>
          <cell r="R10">
            <v>4526.682350078182</v>
          </cell>
        </row>
        <row r="11">
          <cell r="C11">
            <v>1965.0946977722251</v>
          </cell>
          <cell r="D11">
            <v>2311.1257680618096</v>
          </cell>
          <cell r="E11">
            <v>1956.283844021649</v>
          </cell>
          <cell r="F11">
            <v>1865.8579310455389</v>
          </cell>
          <cell r="G11">
            <v>1605.87329292142</v>
          </cell>
          <cell r="H11">
            <v>2041.7985350715403</v>
          </cell>
          <cell r="I11">
            <v>3097.304963348296</v>
          </cell>
          <cell r="O11">
            <v>3461.92</v>
          </cell>
          <cell r="P11">
            <v>3333.2037206702003</v>
          </cell>
          <cell r="Q11">
            <v>4046.5232907050631</v>
          </cell>
          <cell r="R11">
            <v>4934.1312226626842</v>
          </cell>
        </row>
        <row r="12">
          <cell r="C12">
            <v>1965.0946977722251</v>
          </cell>
          <cell r="D12">
            <v>2091.057280123131</v>
          </cell>
          <cell r="E12">
            <v>1845.6008217419037</v>
          </cell>
          <cell r="F12">
            <v>1716.5490693788722</v>
          </cell>
          <cell r="G12">
            <v>1576.8276529214199</v>
          </cell>
          <cell r="H12">
            <v>1815.8118400715402</v>
          </cell>
          <cell r="I12">
            <v>2939.7763880149628</v>
          </cell>
          <cell r="O12">
            <v>3312.6200000000003</v>
          </cell>
          <cell r="P12">
            <v>3272.7037206702003</v>
          </cell>
          <cell r="Q12">
            <v>3872.6647464352004</v>
          </cell>
          <cell r="R12">
            <v>4862.8476458992682</v>
          </cell>
        </row>
        <row r="13">
          <cell r="D13">
            <v>17.608875067541049</v>
          </cell>
          <cell r="E13">
            <v>-15.35363972587885</v>
          </cell>
          <cell r="F13">
            <v>-4.6223309185141659</v>
          </cell>
          <cell r="G13">
            <v>-13.933785300493682</v>
          </cell>
          <cell r="H13">
            <v>27.145681049161794</v>
          </cell>
          <cell r="I13">
            <v>51.694935134223357</v>
          </cell>
          <cell r="O13">
            <v>4.716906938335967</v>
          </cell>
          <cell r="P13">
            <v>-3.718060478861446</v>
          </cell>
          <cell r="Q13">
            <v>21.400419230644488</v>
          </cell>
          <cell r="R13">
            <v>21.935075327416811</v>
          </cell>
        </row>
        <row r="14">
          <cell r="C14">
            <v>89.346179652324906</v>
          </cell>
          <cell r="D14">
            <v>100</v>
          </cell>
          <cell r="E14">
            <v>92.045721682069598</v>
          </cell>
          <cell r="F14">
            <v>88.426659143820686</v>
          </cell>
          <cell r="G14">
            <v>86.734628996534454</v>
          </cell>
          <cell r="H14">
            <v>87.750386650708137</v>
          </cell>
          <cell r="I14">
            <v>100.79042639883897</v>
          </cell>
          <cell r="O14">
            <v>105.61310379931541</v>
          </cell>
          <cell r="P14">
            <v>109.26343829679534</v>
          </cell>
          <cell r="Q14">
            <v>121.41538023446842</v>
          </cell>
          <cell r="R14">
            <v>120.03544620677046</v>
          </cell>
        </row>
        <row r="15">
          <cell r="D15">
            <v>12.276151583527861</v>
          </cell>
          <cell r="E15">
            <v>-7.9542783179303926</v>
          </cell>
          <cell r="F15">
            <v>-3.9318096182127054</v>
          </cell>
          <cell r="G15">
            <v>-1.9134841954554056</v>
          </cell>
          <cell r="H15">
            <v>1.171109700848856</v>
          </cell>
          <cell r="I15">
            <v>14.860378678485979</v>
          </cell>
          <cell r="O15">
            <v>-2.4401808828580274</v>
          </cell>
          <cell r="P15">
            <v>3.4563272606931732</v>
          </cell>
          <cell r="Q15">
            <v>11.121690958199943</v>
          </cell>
          <cell r="R15">
            <v>-1.1365397242368496</v>
          </cell>
        </row>
        <row r="16">
          <cell r="C16">
            <v>95.465713381791403</v>
          </cell>
          <cell r="D16">
            <v>100</v>
          </cell>
          <cell r="E16">
            <v>91.96121093655367</v>
          </cell>
          <cell r="F16">
            <v>91.300209884063307</v>
          </cell>
          <cell r="G16">
            <v>80.111556634859156</v>
          </cell>
          <cell r="H16">
            <v>100.67931901079268</v>
          </cell>
          <cell r="I16">
            <v>132.96615371128505</v>
          </cell>
          <cell r="O16">
            <v>141.83246208286968</v>
          </cell>
          <cell r="P16">
            <v>131.99680384928385</v>
          </cell>
          <cell r="Q16">
            <v>144.20647477760255</v>
          </cell>
          <cell r="R16">
            <v>177.8597200185088</v>
          </cell>
        </row>
        <row r="17">
          <cell r="D17">
            <v>4.7496493322946698</v>
          </cell>
          <cell r="E17">
            <v>-8.0387890634463268</v>
          </cell>
          <cell r="F17">
            <v>-0.71878245812400099</v>
          </cell>
          <cell r="G17">
            <v>-12.254794664121761</v>
          </cell>
          <cell r="H17">
            <v>25.67390179381912</v>
          </cell>
          <cell r="I17">
            <v>32.068983995641908</v>
          </cell>
          <cell r="O17">
            <v>7.3361019792383297</v>
          </cell>
          <cell r="P17">
            <v>-6.9347017524373777</v>
          </cell>
          <cell r="Q17">
            <v>9.2499746753413206</v>
          </cell>
          <cell r="R17">
            <v>23.336847594954936</v>
          </cell>
        </row>
        <row r="19">
          <cell r="O19">
            <v>0.9174223679514093</v>
          </cell>
        </row>
        <row r="21">
          <cell r="C21">
            <v>1965.0946977722251</v>
          </cell>
          <cell r="D21">
            <v>2073.4071909564641</v>
          </cell>
          <cell r="E21">
            <v>1832.0822462217563</v>
          </cell>
          <cell r="F21">
            <v>1702.8858999622055</v>
          </cell>
          <cell r="G21">
            <v>1576.8276529214199</v>
          </cell>
          <cell r="H21">
            <v>1781.1548184048736</v>
          </cell>
          <cell r="I21">
            <v>2929.6103160982962</v>
          </cell>
          <cell r="O21">
            <v>3222.7200000000003</v>
          </cell>
          <cell r="P21">
            <v>3210.5687839613397</v>
          </cell>
          <cell r="Q21">
            <v>3727.7006958022889</v>
          </cell>
          <cell r="R21">
            <v>4725.9008104562299</v>
          </cell>
        </row>
        <row r="22">
          <cell r="D22">
            <v>5.5118205401006861</v>
          </cell>
          <cell r="E22">
            <v>-11.639052173991189</v>
          </cell>
          <cell r="F22">
            <v>-7.0518857177939651</v>
          </cell>
          <cell r="G22">
            <v>-7.4026243944813501</v>
          </cell>
          <cell r="H22">
            <v>12.958116576969744</v>
          </cell>
          <cell r="I22">
            <v>64.478140014910679</v>
          </cell>
          <cell r="O22">
            <v>5.6910195822497087</v>
          </cell>
          <cell r="P22">
            <v>-0.37704845716228874</v>
          </cell>
          <cell r="Q22">
            <v>16.10717435565698</v>
          </cell>
          <cell r="R22">
            <v>26.777904024805423</v>
          </cell>
        </row>
        <row r="23">
          <cell r="C23">
            <v>89.066109400450003</v>
          </cell>
          <cell r="D23">
            <v>100</v>
          </cell>
          <cell r="E23">
            <v>92.045721682069598</v>
          </cell>
          <cell r="F23">
            <v>88.426659143820686</v>
          </cell>
          <cell r="G23">
            <v>86.734628996534454</v>
          </cell>
          <cell r="H23">
            <v>87.750386650708137</v>
          </cell>
          <cell r="I23">
            <v>100.79042639883897</v>
          </cell>
          <cell r="O23">
            <v>106.03326580160498</v>
          </cell>
          <cell r="P23">
            <v>109.62430644820623</v>
          </cell>
          <cell r="Q23">
            <v>121.55076219951172</v>
          </cell>
          <cell r="R23">
            <v>120.13524350903046</v>
          </cell>
        </row>
        <row r="24">
          <cell r="D24">
            <v>12.276151583527861</v>
          </cell>
          <cell r="E24">
            <v>-7.9542783179303926</v>
          </cell>
          <cell r="F24">
            <v>-3.9318096182127054</v>
          </cell>
          <cell r="G24">
            <v>-1.9134841954554056</v>
          </cell>
          <cell r="H24">
            <v>1.171109700848856</v>
          </cell>
          <cell r="I24">
            <v>14.860378678485979</v>
          </cell>
          <cell r="O24">
            <v>-2.4676114373060831</v>
          </cell>
          <cell r="P24">
            <v>3.3867113489839205</v>
          </cell>
          <cell r="Q24">
            <v>10.879389925208176</v>
          </cell>
          <cell r="R24">
            <v>-1.1645494152951914</v>
          </cell>
        </row>
        <row r="25">
          <cell r="C25">
            <v>106.41096988830395</v>
          </cell>
          <cell r="D25">
            <v>100</v>
          </cell>
          <cell r="E25">
            <v>95.996800515304571</v>
          </cell>
          <cell r="F25">
            <v>92.879042996049222</v>
          </cell>
          <cell r="G25">
            <v>87.6813245902635</v>
          </cell>
          <cell r="H25">
            <v>97.896695153152095</v>
          </cell>
          <cell r="I25">
            <v>140.18642910336456</v>
          </cell>
          <cell r="O25">
            <v>146.5871280163723</v>
          </cell>
          <cell r="P25">
            <v>141.25067100630173</v>
          </cell>
          <cell r="Q25">
            <v>147.910412362881</v>
          </cell>
          <cell r="R25">
            <v>189.72718748056823</v>
          </cell>
        </row>
        <row r="26">
          <cell r="D26">
            <v>-6.0247264873474364</v>
          </cell>
          <cell r="E26">
            <v>-4.0031994846954291</v>
          </cell>
          <cell r="F26">
            <v>-3.2477723242018754</v>
          </cell>
          <cell r="G26">
            <v>-5.5962230424863577</v>
          </cell>
          <cell r="H26">
            <v>11.650565967867394</v>
          </cell>
          <cell r="I26">
            <v>43.198326444067703</v>
          </cell>
          <cell r="O26">
            <v>8.3650478982286103</v>
          </cell>
          <cell r="P26">
            <v>-3.64046767426575</v>
          </cell>
          <cell r="Q26">
            <v>4.7148387396206886</v>
          </cell>
          <cell r="R26">
            <v>28.271691255308383</v>
          </cell>
        </row>
        <row r="27">
          <cell r="D27">
            <v>1651.7980642220291</v>
          </cell>
          <cell r="E27">
            <v>1420.1749829380985</v>
          </cell>
          <cell r="F27">
            <v>1362.9029141369188</v>
          </cell>
          <cell r="G27">
            <v>1123.7197987784707</v>
          </cell>
          <cell r="H27">
            <v>1631.1519238214535</v>
          </cell>
          <cell r="I27">
            <v>2484.0096883239426</v>
          </cell>
          <cell r="O27">
            <v>2650.2200000000003</v>
          </cell>
          <cell r="P27">
            <v>2498.31</v>
          </cell>
          <cell r="Q27">
            <v>2987.68215305987</v>
          </cell>
          <cell r="R27">
            <v>3839.2831084466325</v>
          </cell>
        </row>
        <row r="28">
          <cell r="E28">
            <v>-14.022481700450555</v>
          </cell>
          <cell r="F28">
            <v>-4.032747336718586</v>
          </cell>
          <cell r="G28">
            <v>-17.549534370899394</v>
          </cell>
          <cell r="H28">
            <v>45.156463879570538</v>
          </cell>
          <cell r="I28">
            <v>52.28561190697792</v>
          </cell>
          <cell r="O28">
            <v>12.204746078452104</v>
          </cell>
          <cell r="P28">
            <v>-5.7319769679498336</v>
          </cell>
          <cell r="Q28">
            <v>19.588127696717777</v>
          </cell>
          <cell r="R28">
            <v>28.50373338792366</v>
          </cell>
        </row>
        <row r="30">
          <cell r="C30">
            <v>137</v>
          </cell>
          <cell r="D30">
            <v>193.20059141666667</v>
          </cell>
          <cell r="E30">
            <v>151.26302287946851</v>
          </cell>
          <cell r="F30">
            <v>91.023775024879498</v>
          </cell>
          <cell r="G30">
            <v>75.255184802382217</v>
          </cell>
          <cell r="H30">
            <v>78.146611250086892</v>
          </cell>
          <cell r="I30">
            <v>212.39527502435351</v>
          </cell>
          <cell r="O30">
            <v>90.9</v>
          </cell>
          <cell r="P30">
            <v>93.800000000000011</v>
          </cell>
          <cell r="Q30">
            <v>212.10624344545045</v>
          </cell>
          <cell r="R30">
            <v>113.6869133912939</v>
          </cell>
        </row>
        <row r="31">
          <cell r="C31">
            <v>137</v>
          </cell>
          <cell r="D31">
            <v>122.32869491666666</v>
          </cell>
          <cell r="E31">
            <v>95.195153849723326</v>
          </cell>
          <cell r="F31">
            <v>75.106886941546165</v>
          </cell>
          <cell r="G31">
            <v>67.435204802382216</v>
          </cell>
          <cell r="H31">
            <v>70.556437083420221</v>
          </cell>
          <cell r="I31">
            <v>76.260970441020149</v>
          </cell>
          <cell r="O31">
            <v>61.2</v>
          </cell>
          <cell r="P31">
            <v>63.7</v>
          </cell>
          <cell r="Q31">
            <v>73.984417632361811</v>
          </cell>
          <cell r="R31">
            <v>78.228544624975314</v>
          </cell>
        </row>
        <row r="32">
          <cell r="D32">
            <v>5.0482566909975546</v>
          </cell>
          <cell r="E32">
            <v>-7.2477322234491108</v>
          </cell>
          <cell r="F32">
            <v>-7.1790528327410623</v>
          </cell>
          <cell r="G32">
            <v>1.9133343469666997</v>
          </cell>
          <cell r="H32">
            <v>1.5810590734673502</v>
          </cell>
          <cell r="I32">
            <v>24.809543156069424</v>
          </cell>
          <cell r="O32">
            <v>-3.4029926131700305</v>
          </cell>
          <cell r="P32">
            <v>2.5651953442303039</v>
          </cell>
          <cell r="Q32">
            <v>12.762216141137614</v>
          </cell>
          <cell r="R32">
            <v>1.6697256723278997</v>
          </cell>
        </row>
        <row r="33">
          <cell r="D33">
            <v>-15</v>
          </cell>
          <cell r="E33">
            <v>-16.100000000000001</v>
          </cell>
          <cell r="F33">
            <v>-15</v>
          </cell>
          <cell r="G33">
            <v>-11.9</v>
          </cell>
          <cell r="H33">
            <v>3</v>
          </cell>
          <cell r="I33">
            <v>-13.4</v>
          </cell>
          <cell r="O33">
            <v>-6</v>
          </cell>
          <cell r="P33">
            <v>3</v>
          </cell>
          <cell r="Q33">
            <v>3</v>
          </cell>
          <cell r="R33">
            <v>4</v>
          </cell>
        </row>
        <row r="34">
          <cell r="D34">
            <v>70.871896500000005</v>
          </cell>
          <cell r="E34">
            <v>56.067869029745196</v>
          </cell>
          <cell r="F34">
            <v>15.916888083333333</v>
          </cell>
          <cell r="G34">
            <v>7.8199800000000002</v>
          </cell>
          <cell r="H34">
            <v>7.5901741666666664</v>
          </cell>
          <cell r="I34">
            <v>136.13430458333335</v>
          </cell>
          <cell r="O34">
            <v>29.7</v>
          </cell>
          <cell r="P34">
            <v>30.1</v>
          </cell>
          <cell r="Q34">
            <v>138.12182581308863</v>
          </cell>
          <cell r="R34">
            <v>35.458368766318593</v>
          </cell>
        </row>
        <row r="35">
          <cell r="D35">
            <v>60.281843000000016</v>
          </cell>
          <cell r="E35" t="str">
            <v>...</v>
          </cell>
          <cell r="F35">
            <v>15.916888083333333</v>
          </cell>
          <cell r="G35">
            <v>7.8199800000000002</v>
          </cell>
          <cell r="H35">
            <v>7.5901741666666664</v>
          </cell>
          <cell r="I35">
            <v>59.947659208937196</v>
          </cell>
          <cell r="O35" t="str">
            <v>...</v>
          </cell>
          <cell r="Q35">
            <v>103.95099999999999</v>
          </cell>
          <cell r="R35" t="str">
            <v>...</v>
          </cell>
        </row>
        <row r="36">
          <cell r="D36">
            <v>10.590053499999989</v>
          </cell>
          <cell r="E36" t="str">
            <v>...</v>
          </cell>
          <cell r="F36">
            <v>0</v>
          </cell>
          <cell r="G36">
            <v>0</v>
          </cell>
          <cell r="H36">
            <v>0</v>
          </cell>
          <cell r="I36">
            <v>76.18664537439615</v>
          </cell>
          <cell r="O36" t="str">
            <v>...</v>
          </cell>
          <cell r="P36" t="str">
            <v>...</v>
          </cell>
          <cell r="Q36" t="str">
            <v>...</v>
          </cell>
          <cell r="R36" t="str">
            <v>...</v>
          </cell>
        </row>
        <row r="38">
          <cell r="I38">
            <v>117.19116352877285</v>
          </cell>
          <cell r="O38">
            <v>326.10000000000002</v>
          </cell>
        </row>
        <row r="39">
          <cell r="C39">
            <v>51.42354959755604</v>
          </cell>
          <cell r="D39">
            <v>58.652604000000004</v>
          </cell>
          <cell r="E39">
            <v>68.972089075379998</v>
          </cell>
          <cell r="F39">
            <v>56.869195817934681</v>
          </cell>
          <cell r="G39">
            <v>74.923783989319631</v>
          </cell>
          <cell r="H39">
            <v>78.633141542954405</v>
          </cell>
          <cell r="I39">
            <v>95.796892778772843</v>
          </cell>
          <cell r="O39">
            <v>206.5</v>
          </cell>
          <cell r="P39">
            <v>146.29</v>
          </cell>
          <cell r="Q39">
            <v>155.53126510945904</v>
          </cell>
          <cell r="R39">
            <v>199.39893717665205</v>
          </cell>
        </row>
        <row r="40">
          <cell r="D40">
            <v>-1.248599674479145</v>
          </cell>
          <cell r="E40">
            <v>-10.574715741521047</v>
          </cell>
          <cell r="F40">
            <v>17.621222408178451</v>
          </cell>
          <cell r="G40">
            <v>1.8141968621933735</v>
          </cell>
          <cell r="H40">
            <v>7.4215365230700936</v>
          </cell>
          <cell r="I40">
            <v>17.254696875822773</v>
          </cell>
          <cell r="O40">
            <v>4.3</v>
          </cell>
          <cell r="P40">
            <v>0.80646997820539923</v>
          </cell>
          <cell r="Q40">
            <v>6.1709423907381051</v>
          </cell>
          <cell r="R40">
            <v>-0.91165794561858604</v>
          </cell>
        </row>
        <row r="41">
          <cell r="D41">
            <v>15.5</v>
          </cell>
          <cell r="E41">
            <v>31.5</v>
          </cell>
          <cell r="F41">
            <v>-29.9</v>
          </cell>
          <cell r="G41">
            <v>29.4</v>
          </cell>
          <cell r="H41">
            <v>-2.2999999999999998</v>
          </cell>
          <cell r="I41">
            <v>3.9</v>
          </cell>
          <cell r="O41">
            <v>8.5333719883828874</v>
          </cell>
          <cell r="P41">
            <v>-29.7241387111136</v>
          </cell>
          <cell r="Q41">
            <v>0.13764934737455473</v>
          </cell>
          <cell r="R41">
            <v>29.384595574411417</v>
          </cell>
        </row>
        <row r="42">
          <cell r="P42">
            <v>0.4</v>
          </cell>
          <cell r="Q42">
            <v>2</v>
          </cell>
          <cell r="R42">
            <v>2</v>
          </cell>
        </row>
        <row r="44">
          <cell r="C44">
            <v>5.1451171601533323</v>
          </cell>
          <cell r="D44">
            <v>5.7115368371671238</v>
          </cell>
          <cell r="E44">
            <v>8.5474436970260541</v>
          </cell>
          <cell r="F44">
            <v>6.682139634008041</v>
          </cell>
          <cell r="G44">
            <v>5.6031588298043573</v>
          </cell>
          <cell r="H44">
            <v>7.9587360015192594</v>
          </cell>
          <cell r="I44">
            <v>12.669209585203886</v>
          </cell>
          <cell r="O44">
            <v>11.7</v>
          </cell>
          <cell r="P44">
            <v>20.22</v>
          </cell>
          <cell r="Q44">
            <v>21.453742432268673</v>
          </cell>
          <cell r="R44">
            <v>22.847948217544033</v>
          </cell>
        </row>
        <row r="45">
          <cell r="D45">
            <v>11.904111002604157</v>
          </cell>
          <cell r="E45">
            <v>6.3626548959360596</v>
          </cell>
          <cell r="F45">
            <v>-19.321926187216178</v>
          </cell>
          <cell r="G45">
            <v>7.3658960094989512</v>
          </cell>
          <cell r="H45">
            <v>1.5297814060905468</v>
          </cell>
          <cell r="I45">
            <v>4.0432694221224086</v>
          </cell>
          <cell r="O45">
            <v>-13.3</v>
          </cell>
          <cell r="P45">
            <v>16.547568999366959</v>
          </cell>
          <cell r="Q45">
            <v>6.0834970304831586</v>
          </cell>
          <cell r="R45">
            <v>3.2569093452718079</v>
          </cell>
        </row>
        <row r="46">
          <cell r="D46">
            <v>-0.8</v>
          </cell>
          <cell r="E46">
            <v>40.700000000000003</v>
          </cell>
          <cell r="F46">
            <v>-3.1</v>
          </cell>
          <cell r="G46">
            <v>-21.9</v>
          </cell>
          <cell r="H46">
            <v>39.9</v>
          </cell>
          <cell r="I46">
            <v>53</v>
          </cell>
          <cell r="O46">
            <v>-25.893411924320088</v>
          </cell>
          <cell r="P46">
            <v>48.283241172925308</v>
          </cell>
          <cell r="Q46">
            <v>1.7059760039111433E-2</v>
          </cell>
          <cell r="R46">
            <v>3.1395000193532341</v>
          </cell>
        </row>
        <row r="48">
          <cell r="C48">
            <v>57.225141860473862</v>
          </cell>
          <cell r="D48">
            <v>55.820604403867314</v>
          </cell>
          <cell r="E48">
            <v>57.448502499769482</v>
          </cell>
          <cell r="F48">
            <v>59.544381263309866</v>
          </cell>
          <cell r="G48">
            <v>47.153214256313227</v>
          </cell>
          <cell r="H48">
            <v>50.799601470531591</v>
          </cell>
          <cell r="I48">
            <v>73.8</v>
          </cell>
          <cell r="O48">
            <v>101.6</v>
          </cell>
          <cell r="P48">
            <v>80.89</v>
          </cell>
          <cell r="Q48">
            <v>82.037083597910183</v>
          </cell>
          <cell r="R48">
            <v>87.926518896858241</v>
          </cell>
        </row>
        <row r="49">
          <cell r="D49">
            <v>19.541168815104172</v>
          </cell>
          <cell r="E49">
            <v>-7.4493675881807553</v>
          </cell>
          <cell r="F49">
            <v>-2.0337675130482236</v>
          </cell>
          <cell r="G49">
            <v>4.8874588901661298</v>
          </cell>
          <cell r="H49">
            <v>8.821274577782523</v>
          </cell>
          <cell r="I49">
            <v>8.0928052507803994</v>
          </cell>
          <cell r="O49">
            <v>14.5</v>
          </cell>
          <cell r="P49">
            <v>1.2730497637216616</v>
          </cell>
          <cell r="Q49">
            <v>0.40641663934157468</v>
          </cell>
          <cell r="R49">
            <v>4.4473580604538689</v>
          </cell>
        </row>
        <row r="50">
          <cell r="D50">
            <v>-18.399999999999999</v>
          </cell>
          <cell r="E50">
            <v>11.2</v>
          </cell>
          <cell r="F50">
            <v>5.8</v>
          </cell>
          <cell r="G50">
            <v>-24.5</v>
          </cell>
          <cell r="H50">
            <v>-1</v>
          </cell>
          <cell r="I50">
            <v>34.4</v>
          </cell>
          <cell r="O50">
            <v>5.9885624153708461</v>
          </cell>
          <cell r="P50">
            <v>0.4049212924131812</v>
          </cell>
          <cell r="Q50">
            <v>1.0075668169226923</v>
          </cell>
          <cell r="R50">
            <v>2.6153208082701589</v>
          </cell>
        </row>
        <row r="52">
          <cell r="C52">
            <v>342.72025200800158</v>
          </cell>
          <cell r="D52">
            <v>466.127112423114</v>
          </cell>
          <cell r="E52">
            <v>384.84583820408193</v>
          </cell>
          <cell r="F52">
            <v>411.9312418837406</v>
          </cell>
          <cell r="G52">
            <v>406.89830934056704</v>
          </cell>
          <cell r="H52">
            <v>332.5</v>
          </cell>
          <cell r="I52">
            <v>400.9</v>
          </cell>
          <cell r="O52">
            <v>720.8</v>
          </cell>
          <cell r="P52">
            <v>741.09372067020013</v>
          </cell>
          <cell r="Q52">
            <v>846.73489419974271</v>
          </cell>
          <cell r="R52">
            <v>981.16120082475732</v>
          </cell>
        </row>
        <row r="53">
          <cell r="D53">
            <v>24.208259700520852</v>
          </cell>
          <cell r="E53">
            <v>-14.708240718519505</v>
          </cell>
          <cell r="F53">
            <v>-0.79889903632195391</v>
          </cell>
          <cell r="G53">
            <v>-8.1986890999113164</v>
          </cell>
          <cell r="H53">
            <v>-4.2019358518619709</v>
          </cell>
          <cell r="I53">
            <v>11.074554188326658</v>
          </cell>
          <cell r="O53">
            <v>-12.5</v>
          </cell>
          <cell r="P53">
            <v>2.7890348437661316</v>
          </cell>
          <cell r="Q53">
            <v>14.20964817441417</v>
          </cell>
          <cell r="R53">
            <v>-10.531573540746464</v>
          </cell>
        </row>
        <row r="54">
          <cell r="D54">
            <v>9.5</v>
          </cell>
          <cell r="E54">
            <v>-3.2</v>
          </cell>
          <cell r="F54">
            <v>7.9</v>
          </cell>
          <cell r="G54">
            <v>7.6</v>
          </cell>
          <cell r="H54">
            <v>-14.7</v>
          </cell>
          <cell r="I54">
            <v>8.5500000000000007</v>
          </cell>
          <cell r="O54">
            <v>-3.134716723136699</v>
          </cell>
          <cell r="P54">
            <v>2.5692624139738308E-2</v>
          </cell>
          <cell r="Q54">
            <v>3.9504131599299643E-2</v>
          </cell>
          <cell r="R54">
            <v>29.515906427930901</v>
          </cell>
        </row>
        <row r="55">
          <cell r="P55">
            <v>1</v>
          </cell>
          <cell r="Q55">
            <v>1</v>
          </cell>
          <cell r="R55">
            <v>3.5</v>
          </cell>
        </row>
        <row r="57">
          <cell r="C57">
            <v>68.966564184919946</v>
          </cell>
          <cell r="D57">
            <v>60.96812862564903</v>
          </cell>
          <cell r="E57">
            <v>71.489652772798692</v>
          </cell>
          <cell r="F57">
            <v>93.105500136277058</v>
          </cell>
          <cell r="G57">
            <v>60.7078758510333</v>
          </cell>
          <cell r="H57">
            <v>93.123106592494125</v>
          </cell>
          <cell r="I57">
            <v>146.3761346286949</v>
          </cell>
          <cell r="O57">
            <v>121.6</v>
          </cell>
          <cell r="P57">
            <v>181.99</v>
          </cell>
          <cell r="Q57">
            <v>175.6468408227818</v>
          </cell>
          <cell r="R57">
            <v>178.15633224217174</v>
          </cell>
        </row>
        <row r="58">
          <cell r="D58">
            <v>-16.522715299479163</v>
          </cell>
          <cell r="E58">
            <v>13.621528026274854</v>
          </cell>
          <cell r="F58">
            <v>15.151485454725888</v>
          </cell>
          <cell r="G58">
            <v>-14.543488125403403</v>
          </cell>
          <cell r="H58">
            <v>40.087149762684923</v>
          </cell>
          <cell r="I58">
            <v>19.532792644961816</v>
          </cell>
          <cell r="O58">
            <v>-5</v>
          </cell>
          <cell r="P58">
            <v>36.172794584031891</v>
          </cell>
          <cell r="Q58">
            <v>8.9329076714716535</v>
          </cell>
          <cell r="R58">
            <v>-2.3316494522615585</v>
          </cell>
        </row>
        <row r="59">
          <cell r="D59">
            <v>5.9</v>
          </cell>
          <cell r="E59">
            <v>3.2</v>
          </cell>
          <cell r="F59">
            <v>13.1</v>
          </cell>
          <cell r="G59">
            <v>-23.7</v>
          </cell>
          <cell r="H59">
            <v>9.5</v>
          </cell>
          <cell r="I59">
            <v>31.5</v>
          </cell>
          <cell r="O59">
            <v>22.230710466004577</v>
          </cell>
          <cell r="P59">
            <v>9.9065561550269123</v>
          </cell>
          <cell r="Q59">
            <v>-11.4</v>
          </cell>
          <cell r="R59">
            <v>3.850135347706281</v>
          </cell>
        </row>
        <row r="61">
          <cell r="C61">
            <v>322.22967741935486</v>
          </cell>
          <cell r="D61">
            <v>264.88710741666665</v>
          </cell>
          <cell r="E61">
            <v>288.99839341066132</v>
          </cell>
          <cell r="F61">
            <v>291.26264383481345</v>
          </cell>
          <cell r="G61">
            <v>306.73095027535845</v>
          </cell>
          <cell r="H61">
            <v>293.73583752314187</v>
          </cell>
          <cell r="I61">
            <v>515.60710866460397</v>
          </cell>
          <cell r="O61">
            <v>479.2</v>
          </cell>
          <cell r="P61">
            <v>508.27</v>
          </cell>
          <cell r="Q61">
            <v>537.00779671808982</v>
          </cell>
          <cell r="R61">
            <v>622.88951959192468</v>
          </cell>
        </row>
        <row r="62">
          <cell r="D62">
            <v>6.0702473958333281</v>
          </cell>
          <cell r="E62">
            <v>-7.8526383176440007</v>
          </cell>
          <cell r="F62">
            <v>-3.3715416961683564</v>
          </cell>
          <cell r="G62">
            <v>-5.125427071938593</v>
          </cell>
          <cell r="H62">
            <v>-9.4436394125475331</v>
          </cell>
          <cell r="I62">
            <v>29.833052667105008</v>
          </cell>
          <cell r="O62">
            <v>-3.1</v>
          </cell>
          <cell r="P62">
            <v>0.55104433752465809</v>
          </cell>
          <cell r="Q62">
            <v>5.5888672251023053</v>
          </cell>
          <cell r="R62">
            <v>2.4881749641426438</v>
          </cell>
        </row>
        <row r="63">
          <cell r="D63">
            <v>-22.5</v>
          </cell>
          <cell r="E63">
            <v>18.399999999999999</v>
          </cell>
          <cell r="F63">
            <v>4.3</v>
          </cell>
          <cell r="G63">
            <v>11</v>
          </cell>
          <cell r="H63">
            <v>5.75</v>
          </cell>
          <cell r="I63">
            <v>35.200000000000003</v>
          </cell>
          <cell r="O63">
            <v>14.737580046042996</v>
          </cell>
          <cell r="P63">
            <v>5.485090980222429</v>
          </cell>
          <cell r="Q63">
            <v>6.1724568000279548E-2</v>
          </cell>
          <cell r="R63">
            <v>13.176607824794914</v>
          </cell>
        </row>
        <row r="64">
          <cell r="P64">
            <v>-1</v>
          </cell>
          <cell r="Q64">
            <v>4</v>
          </cell>
          <cell r="R64">
            <v>4</v>
          </cell>
        </row>
        <row r="65">
          <cell r="R65" t="str">
            <v xml:space="preserve"> </v>
          </cell>
        </row>
        <row r="66">
          <cell r="C66">
            <v>332.42119113727853</v>
          </cell>
          <cell r="D66">
            <v>316.20813591666666</v>
          </cell>
          <cell r="E66">
            <v>268.77179240651748</v>
          </cell>
          <cell r="F66">
            <v>235.05528683572345</v>
          </cell>
          <cell r="G66">
            <v>229.39033368919081</v>
          </cell>
          <cell r="H66">
            <v>268.26695009095187</v>
          </cell>
          <cell r="I66">
            <v>487.3</v>
          </cell>
          <cell r="O66">
            <v>437.3</v>
          </cell>
          <cell r="P66">
            <v>420.98</v>
          </cell>
          <cell r="Q66">
            <v>545.91233413760528</v>
          </cell>
          <cell r="R66">
            <v>666.03308703492633</v>
          </cell>
        </row>
        <row r="67">
          <cell r="D67">
            <v>13.919445703125</v>
          </cell>
          <cell r="E67">
            <v>-5.0297432114011613</v>
          </cell>
          <cell r="F67">
            <v>-6.6645243007717792</v>
          </cell>
          <cell r="G67">
            <v>3.5986715881130449</v>
          </cell>
          <cell r="H67">
            <v>3.1285719778321397</v>
          </cell>
          <cell r="I67">
            <v>10.323366172632763</v>
          </cell>
          <cell r="O67">
            <v>8.3000000000000007</v>
          </cell>
          <cell r="P67">
            <v>2.5651953442303039</v>
          </cell>
          <cell r="Q67">
            <v>12.762216141137614</v>
          </cell>
          <cell r="R67">
            <v>1.6697256723278997</v>
          </cell>
        </row>
        <row r="68">
          <cell r="D68">
            <v>-16.5</v>
          </cell>
          <cell r="E68">
            <v>-10.5</v>
          </cell>
          <cell r="F68">
            <v>-6.3</v>
          </cell>
          <cell r="G68">
            <v>-5.8</v>
          </cell>
          <cell r="H68">
            <v>13.4</v>
          </cell>
          <cell r="I68">
            <v>64.650000000000006</v>
          </cell>
          <cell r="O68">
            <v>11.703491269246946</v>
          </cell>
          <cell r="P68">
            <v>-6.1396920180972092</v>
          </cell>
          <cell r="Q68">
            <v>15</v>
          </cell>
          <cell r="R68">
            <v>20</v>
          </cell>
        </row>
        <row r="69">
          <cell r="P69">
            <v>2.6</v>
          </cell>
          <cell r="Q69">
            <v>6</v>
          </cell>
          <cell r="R69">
            <v>10</v>
          </cell>
        </row>
        <row r="70">
          <cell r="Q70">
            <v>9</v>
          </cell>
          <cell r="R70">
            <v>10</v>
          </cell>
        </row>
        <row r="71">
          <cell r="O71" t="str">
            <v>Needs checking</v>
          </cell>
        </row>
        <row r="72">
          <cell r="C72">
            <v>593.05139746283965</v>
          </cell>
          <cell r="D72">
            <v>671.11069808333332</v>
          </cell>
          <cell r="E72">
            <v>522.7066561164728</v>
          </cell>
          <cell r="F72">
            <v>411.31645510339513</v>
          </cell>
          <cell r="G72">
            <v>328.53727368654518</v>
          </cell>
          <cell r="H72">
            <v>503.48027696900448</v>
          </cell>
          <cell r="I72">
            <v>994.6</v>
          </cell>
          <cell r="O72">
            <v>639.42000000000007</v>
          </cell>
          <cell r="P72">
            <v>754.00506329113921</v>
          </cell>
          <cell r="Q72">
            <v>892.7444601426497</v>
          </cell>
          <cell r="R72">
            <v>1325.1702316296276</v>
          </cell>
        </row>
        <row r="73">
          <cell r="D73">
            <v>13.389094466145824</v>
          </cell>
          <cell r="E73">
            <v>-6.9452791763516375</v>
          </cell>
          <cell r="F73">
            <v>-9.1342612542243522</v>
          </cell>
          <cell r="G73">
            <v>3.5986715881130449</v>
          </cell>
          <cell r="H73">
            <v>3.1285719778321397</v>
          </cell>
          <cell r="I73">
            <v>10.329504344444862</v>
          </cell>
          <cell r="O73">
            <v>1</v>
          </cell>
          <cell r="P73">
            <v>2.5651953442303039</v>
          </cell>
          <cell r="Q73">
            <v>12.762216141137614</v>
          </cell>
          <cell r="R73">
            <v>1.6697256723278997</v>
          </cell>
        </row>
        <row r="74">
          <cell r="D74">
            <v>-0.2</v>
          </cell>
          <cell r="E74">
            <v>-16.3</v>
          </cell>
          <cell r="F74">
            <v>-13.4</v>
          </cell>
          <cell r="G74">
            <v>-22.9</v>
          </cell>
          <cell r="H74">
            <v>48.6</v>
          </cell>
          <cell r="I74">
            <v>79.05</v>
          </cell>
          <cell r="O74">
            <v>-12.532590645082731</v>
          </cell>
          <cell r="P74">
            <v>14.970927403887124</v>
          </cell>
          <cell r="Q74">
            <v>5</v>
          </cell>
          <cell r="R74">
            <v>46</v>
          </cell>
        </row>
        <row r="75">
          <cell r="P75">
            <v>0.5</v>
          </cell>
          <cell r="Q75">
            <v>2.5</v>
          </cell>
          <cell r="R75">
            <v>23</v>
          </cell>
        </row>
        <row r="76">
          <cell r="Q76">
            <v>2.5</v>
          </cell>
          <cell r="R76">
            <v>23</v>
          </cell>
        </row>
        <row r="78">
          <cell r="C78">
            <v>54.911806941647171</v>
          </cell>
          <cell r="D78">
            <v>51.592568333333332</v>
          </cell>
          <cell r="E78">
            <v>65.106724189324993</v>
          </cell>
          <cell r="F78">
            <v>62.012168511456856</v>
          </cell>
          <cell r="G78">
            <v>49.447548200905672</v>
          </cell>
          <cell r="H78">
            <v>82.100731130855749</v>
          </cell>
          <cell r="I78">
            <v>126.3</v>
          </cell>
          <cell r="O78">
            <v>443.4</v>
          </cell>
          <cell r="P78">
            <v>293.13</v>
          </cell>
          <cell r="Q78">
            <v>396.64786100942007</v>
          </cell>
          <cell r="R78">
            <v>564.08849021679225</v>
          </cell>
        </row>
        <row r="79">
          <cell r="D79">
            <v>11.585900260416683</v>
          </cell>
          <cell r="E79">
            <v>-7.5501852705465611</v>
          </cell>
          <cell r="F79">
            <v>-11.398186794889186</v>
          </cell>
          <cell r="G79">
            <v>0.42627207536698464</v>
          </cell>
          <cell r="H79">
            <v>24</v>
          </cell>
          <cell r="I79">
            <v>14.600320504278596</v>
          </cell>
          <cell r="O79">
            <v>-2.2000000000000002</v>
          </cell>
          <cell r="P79">
            <v>2.5651953442303039</v>
          </cell>
          <cell r="Q79">
            <v>12.762216141137614</v>
          </cell>
          <cell r="R79">
            <v>1.6697256723278997</v>
          </cell>
        </row>
        <row r="80">
          <cell r="D80">
            <v>-15.8</v>
          </cell>
          <cell r="E80">
            <v>36.5</v>
          </cell>
          <cell r="F80">
            <v>7.5</v>
          </cell>
          <cell r="G80">
            <v>-20.6</v>
          </cell>
          <cell r="H80">
            <v>33.9</v>
          </cell>
          <cell r="I80">
            <v>34.236460920079722</v>
          </cell>
          <cell r="O80">
            <v>100.60806775612141</v>
          </cell>
          <cell r="P80">
            <v>-39</v>
          </cell>
          <cell r="Q80">
            <v>20</v>
          </cell>
          <cell r="R80">
            <v>25</v>
          </cell>
        </row>
        <row r="81">
          <cell r="Q81">
            <v>20</v>
          </cell>
          <cell r="R81">
            <v>25</v>
          </cell>
        </row>
        <row r="83">
          <cell r="D83">
            <v>75.352303750000004</v>
          </cell>
          <cell r="E83">
            <v>11.7716871666667</v>
          </cell>
          <cell r="F83">
            <v>117.89765774999999</v>
          </cell>
          <cell r="G83">
            <v>21.225660000000001</v>
          </cell>
          <cell r="H83">
            <v>218.39652083333334</v>
          </cell>
          <cell r="I83">
            <v>21.39427075</v>
          </cell>
          <cell r="O83">
            <v>119.6</v>
          </cell>
          <cell r="P83">
            <v>30.4</v>
          </cell>
          <cell r="Q83">
            <v>35.736718456774064</v>
          </cell>
          <cell r="R83">
            <v>35.825207997097309</v>
          </cell>
        </row>
        <row r="85">
          <cell r="D85">
            <v>17.650089166666667</v>
          </cell>
          <cell r="E85">
            <v>13.518575520147486</v>
          </cell>
          <cell r="F85">
            <v>13.663169416666667</v>
          </cell>
          <cell r="G85">
            <v>0</v>
          </cell>
          <cell r="H85">
            <v>34.657021666666665</v>
          </cell>
          <cell r="I85">
            <v>10.166071916666667</v>
          </cell>
          <cell r="O85">
            <v>0</v>
          </cell>
          <cell r="P85">
            <v>0</v>
          </cell>
          <cell r="Q85">
            <v>80</v>
          </cell>
          <cell r="R85">
            <v>125</v>
          </cell>
        </row>
        <row r="89">
          <cell r="O89">
            <v>89.9</v>
          </cell>
          <cell r="P89">
            <v>62.134936708860756</v>
          </cell>
          <cell r="Q89">
            <v>64.964050632911395</v>
          </cell>
          <cell r="R89">
            <v>11.946835443037973</v>
          </cell>
        </row>
        <row r="90">
          <cell r="E90">
            <v>-6.9452791763516375</v>
          </cell>
          <cell r="F90">
            <v>-9.1342612542243522</v>
          </cell>
          <cell r="G90">
            <v>3.5986715881130449</v>
          </cell>
          <cell r="H90">
            <v>3.1285719778321397</v>
          </cell>
          <cell r="I90">
            <v>10.329504344444862</v>
          </cell>
          <cell r="O90">
            <v>1</v>
          </cell>
          <cell r="P90">
            <v>2.5651953442303039</v>
          </cell>
          <cell r="Q90">
            <v>12.762216141137614</v>
          </cell>
          <cell r="R90">
            <v>1.6697256723278997</v>
          </cell>
        </row>
        <row r="91">
          <cell r="O91">
            <v>3.4998848722081588</v>
          </cell>
          <cell r="P91">
            <v>-32.612994632576395</v>
          </cell>
          <cell r="Q91">
            <v>-7.2799550917721056</v>
          </cell>
          <cell r="R91">
            <v>-81.912100604321253</v>
          </cell>
        </row>
        <row r="93">
          <cell r="D93">
            <v>73.844287688678804</v>
          </cell>
          <cell r="E93">
            <v>42.843466083333333</v>
          </cell>
          <cell r="F93">
            <v>15.494315833333333</v>
          </cell>
          <cell r="G93">
            <v>0</v>
          </cell>
          <cell r="H93">
            <v>0</v>
          </cell>
          <cell r="I93">
            <v>0</v>
          </cell>
          <cell r="O93">
            <v>0</v>
          </cell>
          <cell r="P93">
            <v>0</v>
          </cell>
          <cell r="Q93">
            <v>0</v>
          </cell>
          <cell r="R93">
            <v>0</v>
          </cell>
        </row>
        <row r="98">
          <cell r="C98">
            <v>4.4000000000000004</v>
          </cell>
          <cell r="D98">
            <v>4.5</v>
          </cell>
          <cell r="E98">
            <v>2.1</v>
          </cell>
          <cell r="F98">
            <v>0.5</v>
          </cell>
          <cell r="G98">
            <v>0.2</v>
          </cell>
          <cell r="H98">
            <v>3</v>
          </cell>
          <cell r="I98">
            <v>4.8</v>
          </cell>
          <cell r="O98">
            <v>1.1997382459579597</v>
          </cell>
          <cell r="P98">
            <v>1.028239208549131E-2</v>
          </cell>
          <cell r="Q98">
            <v>1.2647893586629433E-2</v>
          </cell>
          <cell r="R98">
            <v>2.7</v>
          </cell>
        </row>
        <row r="99">
          <cell r="C99" t="str">
            <v xml:space="preserve"> </v>
          </cell>
          <cell r="D99">
            <v>4.7496493322946698</v>
          </cell>
          <cell r="E99">
            <v>-8.0387890634463268</v>
          </cell>
          <cell r="F99">
            <v>-0.71878245812400099</v>
          </cell>
          <cell r="G99">
            <v>-12.254794664121761</v>
          </cell>
          <cell r="H99">
            <v>25.67390179381912</v>
          </cell>
          <cell r="I99">
            <v>32.068983995641908</v>
          </cell>
          <cell r="O99">
            <v>7.3361019792383297</v>
          </cell>
          <cell r="P99">
            <v>-6.9347017524373777</v>
          </cell>
          <cell r="Q99">
            <v>9.2499746753413206</v>
          </cell>
          <cell r="R99">
            <v>23.336847594954936</v>
          </cell>
        </row>
        <row r="100">
          <cell r="D100">
            <v>-6.0247264873474364</v>
          </cell>
          <cell r="E100">
            <v>-4.0031994846954291</v>
          </cell>
          <cell r="F100">
            <v>-3.2477723242018754</v>
          </cell>
          <cell r="G100">
            <v>-5.5962230424863577</v>
          </cell>
          <cell r="H100">
            <v>11.650565967867394</v>
          </cell>
          <cell r="I100">
            <v>43.198326444067703</v>
          </cell>
          <cell r="O100">
            <v>8.3650478982286103</v>
          </cell>
          <cell r="P100">
            <v>-3.64046767426575</v>
          </cell>
          <cell r="Q100">
            <v>4.7148387396206886</v>
          </cell>
          <cell r="R100">
            <v>28.271691255308383</v>
          </cell>
        </row>
        <row r="101">
          <cell r="D101">
            <v>27.026485037671478</v>
          </cell>
          <cell r="E101">
            <v>23.997291933881556</v>
          </cell>
          <cell r="F101">
            <v>22.697179545962211</v>
          </cell>
          <cell r="G101">
            <v>27.919413258426061</v>
          </cell>
          <cell r="H101">
            <v>28.561035363452763</v>
          </cell>
          <cell r="I101">
            <v>34.957814481517808</v>
          </cell>
          <cell r="O101">
            <v>30.378081203999134</v>
          </cell>
          <cell r="P101">
            <v>27.027261149124609</v>
          </cell>
          <cell r="Q101">
            <v>28.902355959562993</v>
          </cell>
          <cell r="R101">
            <v>33.962419233439988</v>
          </cell>
        </row>
        <row r="102">
          <cell r="D102">
            <v>19.316255430525516</v>
          </cell>
          <cell r="E102">
            <v>17.420965657365855</v>
          </cell>
          <cell r="F102">
            <v>16.578996520140617</v>
          </cell>
          <cell r="G102">
            <v>19.536782626041653</v>
          </cell>
          <cell r="H102">
            <v>22.816838673946943</v>
          </cell>
          <cell r="I102">
            <v>28.035841120678334</v>
          </cell>
          <cell r="O102">
            <v>23.255476258394935</v>
          </cell>
          <cell r="P102">
            <v>20.257530730192784</v>
          </cell>
          <cell r="Q102">
            <v>21.339566555843099</v>
          </cell>
          <cell r="R102">
            <v>26.42640347423999</v>
          </cell>
        </row>
        <row r="103">
          <cell r="D103">
            <v>6.7274303906381006</v>
          </cell>
          <cell r="E103">
            <v>-10.978102834023328</v>
          </cell>
          <cell r="F103">
            <v>-6.2818176167321766</v>
          </cell>
          <cell r="G103">
            <v>-7.2728892530646627</v>
          </cell>
          <cell r="H103">
            <v>13.330259698407332</v>
          </cell>
          <cell r="I103">
            <v>66.804164952677937</v>
          </cell>
          <cell r="O103">
            <v>6.0275874558570308</v>
          </cell>
          <cell r="P103">
            <v>-0.46342316476443157</v>
          </cell>
          <cell r="Q103">
            <v>16.106407003426359</v>
          </cell>
          <cell r="R103">
            <v>27.203972941193477</v>
          </cell>
        </row>
        <row r="104">
          <cell r="D104">
            <v>11.924203574380655</v>
          </cell>
          <cell r="E104">
            <v>-7.5302795913398937</v>
          </cell>
          <cell r="F104">
            <v>-3.5615177160542175</v>
          </cell>
          <cell r="G104">
            <v>-1.9972013399533513</v>
          </cell>
          <cell r="H104">
            <v>1.1034935335230229</v>
          </cell>
          <cell r="I104">
            <v>13.896361960382276</v>
          </cell>
          <cell r="O104">
            <v>-2.3944542436024601</v>
          </cell>
          <cell r="P104">
            <v>3.339319871824785</v>
          </cell>
          <cell r="Q104">
            <v>10.63098578063013</v>
          </cell>
          <cell r="R104">
            <v>-1.1964482987672753</v>
          </cell>
        </row>
        <row r="105">
          <cell r="D105">
            <v>-4.6431183048704749</v>
          </cell>
          <cell r="E105">
            <v>-3.7285970233781884</v>
          </cell>
          <cell r="F105">
            <v>-2.820761833091201</v>
          </cell>
          <cell r="G105">
            <v>-5.3832012812324752</v>
          </cell>
          <cell r="H105">
            <v>12.093317191685649</v>
          </cell>
          <cell r="I105">
            <v>46.45258380658295</v>
          </cell>
          <cell r="O105">
            <v>8.6286507945758437</v>
          </cell>
          <cell r="P105">
            <v>-3.6798607164299946</v>
          </cell>
          <cell r="Q105">
            <v>4.9492655101649685</v>
          </cell>
          <cell r="R105">
            <v>28.744332314934805</v>
          </cell>
        </row>
        <row r="108">
          <cell r="O108">
            <v>-1</v>
          </cell>
          <cell r="P108">
            <v>0</v>
          </cell>
          <cell r="Q108">
            <v>0</v>
          </cell>
          <cell r="R108">
            <v>0</v>
          </cell>
        </row>
        <row r="109">
          <cell r="O109">
            <v>0.8</v>
          </cell>
          <cell r="P109">
            <v>0.8</v>
          </cell>
          <cell r="Q109">
            <v>1</v>
          </cell>
          <cell r="R109">
            <v>1</v>
          </cell>
        </row>
        <row r="110">
          <cell r="O110">
            <v>0.6</v>
          </cell>
          <cell r="P110">
            <v>0.7</v>
          </cell>
          <cell r="Q110">
            <v>0.7</v>
          </cell>
          <cell r="R110">
            <v>0.7</v>
          </cell>
        </row>
        <row r="111">
          <cell r="H111">
            <v>0</v>
          </cell>
        </row>
        <row r="114">
          <cell r="C114" t="str">
            <v xml:space="preserve"> </v>
          </cell>
          <cell r="D114">
            <v>12.276151583527861</v>
          </cell>
          <cell r="E114">
            <v>-7.9542783179303926</v>
          </cell>
          <cell r="F114">
            <v>-3.9318096182127054</v>
          </cell>
          <cell r="G114">
            <v>-1.9134841954554056</v>
          </cell>
          <cell r="H114">
            <v>1.171109700848856</v>
          </cell>
          <cell r="I114">
            <v>14.860378678485979</v>
          </cell>
          <cell r="O114">
            <v>-2.4401808828580274</v>
          </cell>
          <cell r="P114">
            <v>3.4563272606931732</v>
          </cell>
          <cell r="Q114">
            <v>11.121690958199943</v>
          </cell>
          <cell r="R114">
            <v>-1.1365397242368496</v>
          </cell>
        </row>
        <row r="117">
          <cell r="E117">
            <v>-14.708240718519505</v>
          </cell>
          <cell r="F117">
            <v>-0.79889903632195391</v>
          </cell>
          <cell r="G117">
            <v>-8.1986890999113164</v>
          </cell>
          <cell r="H117">
            <v>-4.2019358518619709</v>
          </cell>
          <cell r="I117">
            <v>11.074554188326658</v>
          </cell>
          <cell r="O117">
            <v>-12.5</v>
          </cell>
          <cell r="P117">
            <v>2.7890348437661316</v>
          </cell>
          <cell r="Q117">
            <v>14.20964817441417</v>
          </cell>
          <cell r="R117">
            <v>-10.531573540746464</v>
          </cell>
        </row>
        <row r="118">
          <cell r="E118">
            <v>-3.2</v>
          </cell>
          <cell r="F118">
            <v>7.9</v>
          </cell>
          <cell r="G118">
            <v>7.6</v>
          </cell>
          <cell r="H118">
            <v>-14.7</v>
          </cell>
          <cell r="I118">
            <v>8.5500000000000007</v>
          </cell>
          <cell r="O118">
            <v>-3.134716723136699</v>
          </cell>
          <cell r="P118">
            <v>2.5692624139738308E-2</v>
          </cell>
          <cell r="Q118">
            <v>3.9504131599299643E-2</v>
          </cell>
          <cell r="R118">
            <v>29.515906427930901</v>
          </cell>
        </row>
        <row r="119">
          <cell r="D119">
            <v>100</v>
          </cell>
          <cell r="E119">
            <v>85.291759281480495</v>
          </cell>
          <cell r="F119">
            <v>84.610364238518713</v>
          </cell>
          <cell r="G119">
            <v>77.67342352830002</v>
          </cell>
          <cell r="H119">
            <v>74.409636097695795</v>
          </cell>
          <cell r="I119">
            <v>82.650171568671794</v>
          </cell>
          <cell r="O119">
            <v>82.635700898856228</v>
          </cell>
          <cell r="P119">
            <v>84.940439390315689</v>
          </cell>
          <cell r="Q119">
            <v>97.010176985481053</v>
          </cell>
          <cell r="R119">
            <v>86.793478854246814</v>
          </cell>
        </row>
        <row r="120">
          <cell r="E120">
            <v>0.19672290367277759</v>
          </cell>
          <cell r="F120">
            <v>0.22077310122583327</v>
          </cell>
          <cell r="G120">
            <v>0.25338132910868316</v>
          </cell>
          <cell r="H120">
            <v>0.16284662482057757</v>
          </cell>
          <cell r="I120">
            <v>0.1294351072122433</v>
          </cell>
          <cell r="O120">
            <v>0.20820816194481673</v>
          </cell>
          <cell r="P120">
            <v>0.22233676149899112</v>
          </cell>
          <cell r="Q120">
            <v>0.20924997420494479</v>
          </cell>
          <cell r="R120">
            <v>0.19885186602217636</v>
          </cell>
        </row>
      </sheetData>
      <sheetData sheetId="14" refreshError="1">
        <row r="1">
          <cell r="A1" t="str">
            <v>Services (in millions of USD)</v>
          </cell>
        </row>
        <row r="9">
          <cell r="D9">
            <v>463.42970197450001</v>
          </cell>
          <cell r="E9">
            <v>405.4456508374999</v>
          </cell>
          <cell r="F9">
            <v>464.51620810533331</v>
          </cell>
          <cell r="G9">
            <v>427.49174659649981</v>
          </cell>
          <cell r="H9">
            <v>396.69400833333322</v>
          </cell>
          <cell r="I9">
            <v>-171.37368908333337</v>
          </cell>
          <cell r="O9">
            <v>113.93047126389956</v>
          </cell>
          <cell r="P9">
            <v>378.70000000000005</v>
          </cell>
          <cell r="Q9">
            <v>277.03549542055987</v>
          </cell>
          <cell r="R9">
            <v>295.98822843614334</v>
          </cell>
        </row>
        <row r="10">
          <cell r="D10">
            <v>829.9615005833333</v>
          </cell>
          <cell r="E10">
            <v>777.75263349999989</v>
          </cell>
          <cell r="F10">
            <v>819.50845016666665</v>
          </cell>
          <cell r="G10">
            <v>787.66608907499983</v>
          </cell>
          <cell r="H10">
            <v>759.01741666666658</v>
          </cell>
          <cell r="I10">
            <v>148.78171008333328</v>
          </cell>
          <cell r="O10">
            <v>261.43047126389956</v>
          </cell>
          <cell r="P10">
            <v>500.3</v>
          </cell>
          <cell r="Q10">
            <v>455.86802676948514</v>
          </cell>
          <cell r="R10">
            <v>444.06497251291626</v>
          </cell>
        </row>
        <row r="11">
          <cell r="D11">
            <v>1210.1172672499999</v>
          </cell>
          <cell r="E11">
            <v>1141.4430149166665</v>
          </cell>
          <cell r="F11">
            <v>1146.1567994166667</v>
          </cell>
          <cell r="G11">
            <v>1134.8033798249999</v>
          </cell>
          <cell r="H11">
            <v>1163.7312316666666</v>
          </cell>
          <cell r="I11">
            <v>1024.4861680000001</v>
          </cell>
          <cell r="O11">
            <v>1086.8999999999999</v>
          </cell>
          <cell r="P11">
            <v>1111.9000000000001</v>
          </cell>
          <cell r="Q11">
            <v>1159.7714276146999</v>
          </cell>
          <cell r="R11">
            <v>1224.6583494739471</v>
          </cell>
        </row>
        <row r="12">
          <cell r="D12">
            <v>-380.15576666666664</v>
          </cell>
          <cell r="E12">
            <v>-363.6903814166667</v>
          </cell>
          <cell r="F12">
            <v>-326.64834925000002</v>
          </cell>
          <cell r="G12">
            <v>-347.13729075000003</v>
          </cell>
          <cell r="H12">
            <v>-404.71381500000001</v>
          </cell>
          <cell r="I12">
            <v>-875.70445791666657</v>
          </cell>
          <cell r="O12">
            <v>-825.4695287361003</v>
          </cell>
          <cell r="P12">
            <v>-611.59999999999991</v>
          </cell>
          <cell r="Q12">
            <v>-703.90340084521483</v>
          </cell>
          <cell r="R12">
            <v>-780.59337696103069</v>
          </cell>
        </row>
        <row r="14">
          <cell r="D14">
            <v>50.506408999999998</v>
          </cell>
          <cell r="E14">
            <v>48.455549499999996</v>
          </cell>
          <cell r="F14">
            <v>54.934392500000001</v>
          </cell>
          <cell r="G14">
            <v>60.325560000000003</v>
          </cell>
          <cell r="H14">
            <v>54.420116666666665</v>
          </cell>
          <cell r="I14">
            <v>115.01317183333333</v>
          </cell>
          <cell r="O14">
            <v>140.96005123212421</v>
          </cell>
          <cell r="P14">
            <v>166.15089442163378</v>
          </cell>
          <cell r="Q14">
            <v>184.12175948082864</v>
          </cell>
          <cell r="R14">
            <v>193.3221464369702</v>
          </cell>
        </row>
        <row r="15">
          <cell r="D15">
            <v>50.506408999999998</v>
          </cell>
          <cell r="E15">
            <v>48.455549499999996</v>
          </cell>
          <cell r="F15">
            <v>54.934392500000001</v>
          </cell>
          <cell r="G15">
            <v>60.325560000000003</v>
          </cell>
          <cell r="H15">
            <v>54.420116666666665</v>
          </cell>
          <cell r="I15">
            <v>115.01317183333333</v>
          </cell>
          <cell r="O15">
            <v>140.96005123212421</v>
          </cell>
          <cell r="P15">
            <v>166.15089442163378</v>
          </cell>
          <cell r="Q15">
            <v>184.12175948082864</v>
          </cell>
          <cell r="R15">
            <v>193.3221464369702</v>
          </cell>
        </row>
        <row r="16">
          <cell r="D16">
            <v>0</v>
          </cell>
          <cell r="E16">
            <v>0</v>
          </cell>
          <cell r="F16">
            <v>0</v>
          </cell>
          <cell r="G16">
            <v>0</v>
          </cell>
          <cell r="H16">
            <v>0</v>
          </cell>
          <cell r="I16">
            <v>0</v>
          </cell>
          <cell r="O16">
            <v>0</v>
          </cell>
          <cell r="P16">
            <v>0</v>
          </cell>
          <cell r="Q16">
            <v>0</v>
          </cell>
          <cell r="R16">
            <v>0</v>
          </cell>
        </row>
        <row r="18">
          <cell r="D18">
            <v>173.92126324999998</v>
          </cell>
          <cell r="E18">
            <v>202.44564324999999</v>
          </cell>
          <cell r="F18">
            <v>190.1575125</v>
          </cell>
          <cell r="G18">
            <v>158.91316499999996</v>
          </cell>
          <cell r="H18">
            <v>139.6305625</v>
          </cell>
          <cell r="I18">
            <v>139.8972881666667</v>
          </cell>
          <cell r="O18">
            <v>184.37328000000008</v>
          </cell>
          <cell r="P18">
            <v>188.06074560000005</v>
          </cell>
          <cell r="Q18">
            <v>191.82196051200003</v>
          </cell>
          <cell r="R18">
            <v>195.65839972224006</v>
          </cell>
        </row>
        <row r="19">
          <cell r="D19">
            <v>279.82179824999997</v>
          </cell>
          <cell r="E19">
            <v>320.57315516666665</v>
          </cell>
          <cell r="F19">
            <v>294.53285825</v>
          </cell>
          <cell r="G19">
            <v>275.79393749999997</v>
          </cell>
          <cell r="H19">
            <v>239.30530249999998</v>
          </cell>
          <cell r="I19">
            <v>247.02037433333336</v>
          </cell>
          <cell r="O19">
            <v>310.61394000000007</v>
          </cell>
          <cell r="P19">
            <v>316.82621880000005</v>
          </cell>
          <cell r="Q19">
            <v>323.16274317600005</v>
          </cell>
          <cell r="R19">
            <v>329.62599803952008</v>
          </cell>
        </row>
        <row r="20">
          <cell r="D20">
            <v>-105.900535</v>
          </cell>
          <cell r="E20">
            <v>-118.12751191666666</v>
          </cell>
          <cell r="F20">
            <v>-104.37534574999999</v>
          </cell>
          <cell r="G20">
            <v>-116.88077250000001</v>
          </cell>
          <cell r="H20">
            <v>-99.67474</v>
          </cell>
          <cell r="I20">
            <v>-107.12308616666667</v>
          </cell>
          <cell r="O20">
            <v>-126.24066000000001</v>
          </cell>
          <cell r="P20">
            <v>-128.7654732</v>
          </cell>
          <cell r="Q20">
            <v>-131.34078266400002</v>
          </cell>
          <cell r="R20">
            <v>-133.96759831728002</v>
          </cell>
        </row>
        <row r="22">
          <cell r="I22">
            <v>-148.10000000000002</v>
          </cell>
          <cell r="O22">
            <v>55.099999999999966</v>
          </cell>
          <cell r="P22">
            <v>177.9</v>
          </cell>
          <cell r="Q22">
            <v>192.73000008039031</v>
          </cell>
          <cell r="R22">
            <v>151.99704282142915</v>
          </cell>
        </row>
        <row r="23">
          <cell r="I23">
            <v>282.89999999999998</v>
          </cell>
          <cell r="O23">
            <v>427.9</v>
          </cell>
          <cell r="P23">
            <v>423</v>
          </cell>
          <cell r="Q23">
            <v>490.28242761469994</v>
          </cell>
          <cell r="R23">
            <v>514.81781947394688</v>
          </cell>
        </row>
        <row r="24">
          <cell r="I24">
            <v>-431</v>
          </cell>
          <cell r="O24">
            <v>-372.8</v>
          </cell>
          <cell r="P24">
            <v>-245.1</v>
          </cell>
          <cell r="Q24">
            <v>-297.55242753430963</v>
          </cell>
          <cell r="R24">
            <v>-362.82077665251774</v>
          </cell>
        </row>
        <row r="25">
          <cell r="O25">
            <v>-285.87715594165724</v>
          </cell>
          <cell r="P25">
            <v>-275.24807038849741</v>
          </cell>
          <cell r="Q25">
            <v>-334.15231137589529</v>
          </cell>
          <cell r="R25">
            <v>-407.44887258450228</v>
          </cell>
        </row>
        <row r="27">
          <cell r="D27">
            <v>424.68829933333336</v>
          </cell>
          <cell r="E27">
            <v>406.94448775000001</v>
          </cell>
          <cell r="F27">
            <v>413.69823274999999</v>
          </cell>
          <cell r="G27">
            <v>373.20714907499996</v>
          </cell>
          <cell r="H27">
            <v>387.38530416666663</v>
          </cell>
          <cell r="I27">
            <v>341.09447266666666</v>
          </cell>
          <cell r="O27">
            <v>165.13047126389961</v>
          </cell>
          <cell r="P27">
            <v>160.1</v>
          </cell>
          <cell r="Q27">
            <v>114.41343115867338</v>
          </cell>
          <cell r="R27">
            <v>139.88082667609262</v>
          </cell>
        </row>
        <row r="28">
          <cell r="D28">
            <v>462.70387600000004</v>
          </cell>
          <cell r="E28">
            <v>430.89850233333334</v>
          </cell>
          <cell r="F28">
            <v>442.29228833333332</v>
          </cell>
          <cell r="G28">
            <v>421.09056232499995</v>
          </cell>
          <cell r="H28">
            <v>501.23791666666665</v>
          </cell>
          <cell r="I28">
            <v>485.99893058333333</v>
          </cell>
          <cell r="O28">
            <v>308.2</v>
          </cell>
          <cell r="P28">
            <v>285.7</v>
          </cell>
          <cell r="Q28">
            <v>257</v>
          </cell>
          <cell r="R28">
            <v>287.84000000000003</v>
          </cell>
        </row>
        <row r="29">
          <cell r="D29">
            <v>-38.015576666666668</v>
          </cell>
          <cell r="E29">
            <v>-23.954014583333333</v>
          </cell>
          <cell r="F29">
            <v>-28.594055583333333</v>
          </cell>
          <cell r="G29">
            <v>-47.883413249999997</v>
          </cell>
          <cell r="H29">
            <v>-113.85261250000001</v>
          </cell>
          <cell r="I29">
            <v>-144.90445791666667</v>
          </cell>
          <cell r="O29">
            <v>-143.06952873610038</v>
          </cell>
          <cell r="P29">
            <v>-125.6</v>
          </cell>
          <cell r="Q29">
            <v>-142.58656884132662</v>
          </cell>
          <cell r="R29">
            <v>-147.95917332390741</v>
          </cell>
        </row>
        <row r="30">
          <cell r="E30">
            <v>-6.8738074860359877</v>
          </cell>
          <cell r="F30">
            <v>2.6441925275446865</v>
          </cell>
          <cell r="G30">
            <v>-4.793600649974417</v>
          </cell>
          <cell r="H30">
            <v>19.033282033000898</v>
          </cell>
          <cell r="I30">
            <v>-3.0402700148216333</v>
          </cell>
          <cell r="O30">
            <v>18.858465098341682</v>
          </cell>
          <cell r="P30">
            <v>-7.3004542504866983</v>
          </cell>
          <cell r="Q30">
            <v>-10.045502275113749</v>
          </cell>
          <cell r="R30">
            <v>12</v>
          </cell>
        </row>
        <row r="33">
          <cell r="D33">
            <v>260.81400991666663</v>
          </cell>
          <cell r="E33">
            <v>183.96683199999995</v>
          </cell>
          <cell r="F33">
            <v>216.21613458333331</v>
          </cell>
          <cell r="G33">
            <v>232.36511999999999</v>
          </cell>
          <cell r="H33">
            <v>216.82120166666664</v>
          </cell>
          <cell r="I33">
            <v>30.5</v>
          </cell>
          <cell r="O33">
            <v>234.5</v>
          </cell>
          <cell r="P33">
            <v>224.5</v>
          </cell>
          <cell r="Q33">
            <v>228.99</v>
          </cell>
          <cell r="R33">
            <v>232.99656000000004</v>
          </cell>
        </row>
        <row r="34">
          <cell r="D34">
            <v>362.09836774999997</v>
          </cell>
          <cell r="E34">
            <v>274.58144716666663</v>
          </cell>
          <cell r="F34">
            <v>293.68771375</v>
          </cell>
          <cell r="G34">
            <v>302.46565499999997</v>
          </cell>
          <cell r="H34">
            <v>303.0341233333333</v>
          </cell>
          <cell r="I34">
            <v>173.5</v>
          </cell>
          <cell r="O34">
            <v>296.3</v>
          </cell>
          <cell r="P34">
            <v>280.7</v>
          </cell>
          <cell r="Q34">
            <v>286.31400000000002</v>
          </cell>
          <cell r="R34">
            <v>292.04028000000005</v>
          </cell>
        </row>
        <row r="35">
          <cell r="D35">
            <v>-101.28435783333333</v>
          </cell>
          <cell r="E35">
            <v>-90.614615166666667</v>
          </cell>
          <cell r="F35">
            <v>-77.471579166666672</v>
          </cell>
          <cell r="G35">
            <v>-70.100534999999994</v>
          </cell>
          <cell r="H35">
            <v>-86.212921666666674</v>
          </cell>
          <cell r="I35">
            <v>-143</v>
          </cell>
          <cell r="O35">
            <v>-61.8</v>
          </cell>
          <cell r="P35">
            <v>-56.2</v>
          </cell>
          <cell r="Q35">
            <v>-57.324000000000005</v>
          </cell>
          <cell r="R35">
            <v>-59.043720000000008</v>
          </cell>
        </row>
        <row r="37">
          <cell r="D37">
            <v>-79.968480916666664</v>
          </cell>
          <cell r="E37">
            <v>-64.059878999999995</v>
          </cell>
          <cell r="F37">
            <v>-55.497822166666666</v>
          </cell>
          <cell r="G37">
            <v>-37.144905000000008</v>
          </cell>
          <cell r="H37">
            <v>-39.23976833333333</v>
          </cell>
          <cell r="I37">
            <v>-74.712762583333344</v>
          </cell>
          <cell r="O37">
            <v>-193.3</v>
          </cell>
          <cell r="P37">
            <v>-62.199999999999989</v>
          </cell>
          <cell r="Q37">
            <v>-80.265404469578598</v>
          </cell>
          <cell r="R37">
            <v>-80.809456984605475</v>
          </cell>
        </row>
        <row r="38">
          <cell r="D38">
            <v>54.986816250000004</v>
          </cell>
          <cell r="E38">
            <v>66.934360749999996</v>
          </cell>
          <cell r="F38">
            <v>60.709546583333335</v>
          </cell>
          <cell r="G38">
            <v>75.127664999999993</v>
          </cell>
          <cell r="H38">
            <v>65.733772500000001</v>
          </cell>
          <cell r="I38">
            <v>82.087237416666667</v>
          </cell>
          <cell r="O38">
            <v>54.5</v>
          </cell>
          <cell r="P38">
            <v>122.5</v>
          </cell>
          <cell r="Q38">
            <v>126.175</v>
          </cell>
          <cell r="R38">
            <v>129.96025</v>
          </cell>
        </row>
        <row r="39">
          <cell r="D39">
            <v>-134.95529716666667</v>
          </cell>
          <cell r="E39">
            <v>-130.99423974999999</v>
          </cell>
          <cell r="F39">
            <v>-116.20736875</v>
          </cell>
          <cell r="G39">
            <v>-112.27257</v>
          </cell>
          <cell r="H39">
            <v>-104.97354083333333</v>
          </cell>
          <cell r="I39">
            <v>-156.80000000000001</v>
          </cell>
          <cell r="O39">
            <v>-247.8</v>
          </cell>
          <cell r="P39">
            <v>-184.7</v>
          </cell>
          <cell r="Q39">
            <v>-206.4404044695786</v>
          </cell>
          <cell r="R39">
            <v>-210.76970698460548</v>
          </cell>
        </row>
        <row r="40">
          <cell r="O40">
            <v>-13.875</v>
          </cell>
          <cell r="P40">
            <v>-36.150000000000006</v>
          </cell>
          <cell r="Q40">
            <v>-37.800000000000004</v>
          </cell>
          <cell r="R40">
            <v>-35.774999999999999</v>
          </cell>
        </row>
        <row r="42">
          <cell r="D42">
            <v>-366.5317986088333</v>
          </cell>
          <cell r="E42">
            <v>-372.30698266249999</v>
          </cell>
          <cell r="F42">
            <v>-354.99224206133334</v>
          </cell>
          <cell r="G42">
            <v>-360.17434247850002</v>
          </cell>
          <cell r="H42">
            <v>-362.32340833333336</v>
          </cell>
          <cell r="I42">
            <v>-320.15539916666665</v>
          </cell>
          <cell r="O42">
            <v>-147.5</v>
          </cell>
          <cell r="P42">
            <v>-121.6</v>
          </cell>
          <cell r="Q42">
            <v>-178.8325313489253</v>
          </cell>
          <cell r="R42">
            <v>-148.07674407677288</v>
          </cell>
        </row>
        <row r="43">
          <cell r="D43">
            <v>21.362853307833333</v>
          </cell>
          <cell r="E43">
            <v>5.6271402258333332</v>
          </cell>
          <cell r="F43">
            <v>7.4338910220000001</v>
          </cell>
          <cell r="G43">
            <v>11.2747075215</v>
          </cell>
          <cell r="H43">
            <v>20.049516666666666</v>
          </cell>
          <cell r="I43">
            <v>25.794510833333334</v>
          </cell>
          <cell r="O43">
            <v>42.8</v>
          </cell>
          <cell r="P43">
            <v>35.4</v>
          </cell>
          <cell r="Q43">
            <v>46.625599999999999</v>
          </cell>
          <cell r="R43">
            <v>56.54</v>
          </cell>
        </row>
        <row r="44">
          <cell r="D44">
            <v>-387.89465191666665</v>
          </cell>
          <cell r="E44">
            <v>-377.93412288833332</v>
          </cell>
          <cell r="F44">
            <v>-362.42613308333335</v>
          </cell>
          <cell r="G44">
            <v>-371.44905</v>
          </cell>
          <cell r="H44">
            <v>-382.37292500000001</v>
          </cell>
          <cell r="I44">
            <v>-345.94990999999999</v>
          </cell>
          <cell r="O44">
            <v>-190.3</v>
          </cell>
          <cell r="P44">
            <v>-157</v>
          </cell>
          <cell r="Q44">
            <v>-225.45813134892529</v>
          </cell>
          <cell r="R44">
            <v>-204.61674407677287</v>
          </cell>
        </row>
        <row r="45">
          <cell r="D45">
            <v>-294.62071916666667</v>
          </cell>
          <cell r="E45">
            <v>-249.26684455500006</v>
          </cell>
          <cell r="F45">
            <v>-223.11814800000002</v>
          </cell>
          <cell r="G45">
            <v>-175.111695</v>
          </cell>
          <cell r="H45">
            <v>-219.9</v>
          </cell>
          <cell r="I45">
            <v>-256.80248937917003</v>
          </cell>
          <cell r="O45">
            <v>-111.78122892758937</v>
          </cell>
          <cell r="P45">
            <v>-89.073244050112834</v>
          </cell>
          <cell r="Q45">
            <v>-94.719140096246846</v>
          </cell>
          <cell r="R45">
            <v>-101.26642811622014</v>
          </cell>
        </row>
        <row r="46">
          <cell r="Q46">
            <v>-37.996377837866333</v>
          </cell>
        </row>
        <row r="47">
          <cell r="D47">
            <v>-93.273932749999972</v>
          </cell>
          <cell r="E47">
            <v>-128.66727833333326</v>
          </cell>
          <cell r="F47">
            <v>-139.30798508333334</v>
          </cell>
          <cell r="G47">
            <v>-196.337355</v>
          </cell>
          <cell r="H47">
            <v>-162.472925</v>
          </cell>
          <cell r="I47">
            <v>-89.147420620829962</v>
          </cell>
          <cell r="O47">
            <v>-78.518771072410644</v>
          </cell>
          <cell r="P47">
            <v>-87.737096704582967</v>
          </cell>
          <cell r="Q47">
            <v>-92.742613414812112</v>
          </cell>
          <cell r="R47">
            <v>-103.35031596055272</v>
          </cell>
        </row>
        <row r="48">
          <cell r="O48">
            <v>-7.7009624999999993</v>
          </cell>
          <cell r="P48">
            <v>-6.8627624999999988</v>
          </cell>
          <cell r="Q48">
            <v>-7.8245624999999981</v>
          </cell>
          <cell r="R48">
            <v>-14.1863625</v>
          </cell>
        </row>
        <row r="49">
          <cell r="G49">
            <v>-33.300000000000004</v>
          </cell>
        </row>
        <row r="50">
          <cell r="D50">
            <v>371.88291087024277</v>
          </cell>
          <cell r="E50">
            <v>347.92245283277009</v>
          </cell>
          <cell r="F50">
            <v>282.37845755168723</v>
          </cell>
          <cell r="G50">
            <v>240.86796246648788</v>
          </cell>
          <cell r="H50">
            <v>227.64824186360192</v>
          </cell>
          <cell r="I50">
            <v>515.5</v>
          </cell>
          <cell r="O50">
            <v>854.25279712449674</v>
          </cell>
          <cell r="P50">
            <v>665.58978322448286</v>
          </cell>
          <cell r="Q50">
            <v>837.04073609736292</v>
          </cell>
          <cell r="R50">
            <v>867.90281903581308</v>
          </cell>
        </row>
        <row r="51">
          <cell r="D51">
            <v>166.60788564343599</v>
          </cell>
          <cell r="E51">
            <v>143.93016924108304</v>
          </cell>
          <cell r="F51">
            <v>68.165173793025758</v>
          </cell>
          <cell r="G51">
            <v>146.89454870420013</v>
          </cell>
          <cell r="H51">
            <v>147.32192998600442</v>
          </cell>
          <cell r="I51">
            <v>408.7</v>
          </cell>
          <cell r="O51">
            <v>694.44157971197171</v>
          </cell>
          <cell r="P51">
            <v>576.79999999999995</v>
          </cell>
          <cell r="Q51">
            <v>552.01299999999992</v>
          </cell>
          <cell r="R51">
            <v>539.71098999999992</v>
          </cell>
        </row>
        <row r="52">
          <cell r="D52">
            <v>216.94300418880633</v>
          </cell>
          <cell r="E52">
            <v>190.72115581945795</v>
          </cell>
          <cell r="F52">
            <v>257.4502844910146</v>
          </cell>
          <cell r="G52">
            <v>207.63516532618405</v>
          </cell>
          <cell r="H52">
            <v>208.31234998021034</v>
          </cell>
          <cell r="I52">
            <v>451.9</v>
          </cell>
          <cell r="O52">
            <v>718.71757971197167</v>
          </cell>
          <cell r="P52">
            <v>601.29999999999995</v>
          </cell>
          <cell r="Q52">
            <v>577.24799999999993</v>
          </cell>
          <cell r="R52">
            <v>565.70303999999987</v>
          </cell>
        </row>
        <row r="53">
          <cell r="D53">
            <v>-50.335118545370328</v>
          </cell>
          <cell r="E53">
            <v>-46.790986578374905</v>
          </cell>
          <cell r="F53">
            <v>-189.28511069798884</v>
          </cell>
          <cell r="G53">
            <v>-60.740616621983911</v>
          </cell>
          <cell r="H53">
            <v>-60.990419994205915</v>
          </cell>
          <cell r="I53">
            <v>-43.2</v>
          </cell>
          <cell r="O53">
            <v>-24.276</v>
          </cell>
          <cell r="P53">
            <v>-24.5</v>
          </cell>
          <cell r="Q53">
            <v>-25.234999999999999</v>
          </cell>
          <cell r="R53">
            <v>-25.992049999999999</v>
          </cell>
        </row>
        <row r="54">
          <cell r="C54">
            <v>153.68710091734567</v>
          </cell>
          <cell r="D54">
            <v>205.27502522680675</v>
          </cell>
          <cell r="E54">
            <v>203.99228359168708</v>
          </cell>
          <cell r="F54">
            <v>214.2132837586615</v>
          </cell>
          <cell r="G54">
            <v>93.973413762287748</v>
          </cell>
          <cell r="H54">
            <v>80.326311877597504</v>
          </cell>
          <cell r="I54">
            <v>106.79999999999998</v>
          </cell>
          <cell r="O54">
            <v>159.81121741252505</v>
          </cell>
          <cell r="P54">
            <v>88.789783224482875</v>
          </cell>
          <cell r="Q54">
            <v>285.02773609736295</v>
          </cell>
          <cell r="R54">
            <v>328.19182903581316</v>
          </cell>
        </row>
        <row r="55">
          <cell r="C55">
            <v>9</v>
          </cell>
          <cell r="D55">
            <v>105.8</v>
          </cell>
          <cell r="E55">
            <v>97.2</v>
          </cell>
          <cell r="F55">
            <v>114.4</v>
          </cell>
          <cell r="G55">
            <v>64.5</v>
          </cell>
          <cell r="H55">
            <v>81.691360466921537</v>
          </cell>
          <cell r="I55">
            <v>111.1</v>
          </cell>
          <cell r="O55">
            <v>71.350613832573714</v>
          </cell>
          <cell r="P55">
            <v>88.789783224482875</v>
          </cell>
          <cell r="Q55">
            <v>232.02773609736295</v>
          </cell>
          <cell r="R55">
            <v>328.19182903581316</v>
          </cell>
        </row>
        <row r="56">
          <cell r="C56">
            <v>100.38302552239372</v>
          </cell>
          <cell r="D56">
            <v>45.5</v>
          </cell>
          <cell r="E56">
            <v>51.9</v>
          </cell>
          <cell r="F56">
            <v>37.700000000000003</v>
          </cell>
          <cell r="G56">
            <v>2.8</v>
          </cell>
          <cell r="H56">
            <v>5.0776014100639184</v>
          </cell>
          <cell r="I56">
            <v>0.6</v>
          </cell>
          <cell r="O56">
            <v>24.178000000000001</v>
          </cell>
          <cell r="P56">
            <v>0</v>
          </cell>
          <cell r="Q56">
            <v>53</v>
          </cell>
          <cell r="R56">
            <v>0</v>
          </cell>
        </row>
        <row r="57">
          <cell r="C57">
            <v>17.52057340058402</v>
          </cell>
          <cell r="H57">
            <v>0</v>
          </cell>
          <cell r="I57">
            <v>0</v>
          </cell>
          <cell r="O57">
            <v>0</v>
          </cell>
          <cell r="P57">
            <v>0</v>
          </cell>
          <cell r="Q57">
            <v>0</v>
          </cell>
          <cell r="R57">
            <v>0</v>
          </cell>
        </row>
        <row r="58">
          <cell r="H58">
            <v>-6.4426499993879487</v>
          </cell>
          <cell r="I58">
            <v>-4.9000000000000004</v>
          </cell>
          <cell r="O58">
            <v>0</v>
          </cell>
          <cell r="P58">
            <v>0</v>
          </cell>
          <cell r="Q58">
            <v>0</v>
          </cell>
          <cell r="R58">
            <v>0</v>
          </cell>
        </row>
        <row r="59">
          <cell r="H59">
            <v>0</v>
          </cell>
          <cell r="I59">
            <v>0</v>
          </cell>
          <cell r="O59">
            <v>64.282603579951342</v>
          </cell>
          <cell r="P59">
            <v>0</v>
          </cell>
          <cell r="Q59">
            <v>0</v>
          </cell>
          <cell r="R59">
            <v>0</v>
          </cell>
        </row>
        <row r="60">
          <cell r="C60">
            <v>-7</v>
          </cell>
          <cell r="G60">
            <v>0</v>
          </cell>
          <cell r="H60">
            <v>0</v>
          </cell>
          <cell r="I60">
            <v>0</v>
          </cell>
          <cell r="O60">
            <v>0</v>
          </cell>
          <cell r="P60">
            <v>0</v>
          </cell>
          <cell r="Q60">
            <v>0</v>
          </cell>
          <cell r="R60">
            <v>0</v>
          </cell>
        </row>
        <row r="66">
          <cell r="E66">
            <v>-9.8100409253252252</v>
          </cell>
          <cell r="F66">
            <v>-0.85926627125731159</v>
          </cell>
          <cell r="G66">
            <v>-10.514863769303815</v>
          </cell>
          <cell r="H66">
            <v>-6.5858935344506762</v>
          </cell>
          <cell r="I66">
            <v>-44.881783860035171</v>
          </cell>
          <cell r="O66">
            <v>-6.1573091992373747</v>
          </cell>
          <cell r="P66">
            <v>7.8607550162244593</v>
          </cell>
          <cell r="Q66">
            <v>6.682670788749661</v>
          </cell>
          <cell r="R66">
            <v>4.4714010176988666</v>
          </cell>
        </row>
        <row r="67">
          <cell r="E67">
            <v>-12.511941053832288</v>
          </cell>
          <cell r="F67">
            <v>14.569291135770143</v>
          </cell>
          <cell r="G67">
            <v>-7.9705424402409335</v>
          </cell>
          <cell r="H67">
            <v>-7.204288388808564</v>
          </cell>
          <cell r="I67">
            <v>-143.2004732825034</v>
          </cell>
          <cell r="O67">
            <v>-1.1197769344357482</v>
          </cell>
          <cell r="P67">
            <v>232.39571099711264</v>
          </cell>
          <cell r="Q67">
            <v>-26.845657401489348</v>
          </cell>
          <cell r="R67">
            <v>6.8412652273355263</v>
          </cell>
        </row>
        <row r="68">
          <cell r="E68">
            <v>-6.2905167344074044</v>
          </cell>
          <cell r="F68">
            <v>5.3687785637908547</v>
          </cell>
          <cell r="G68">
            <v>-3.8855439605523117</v>
          </cell>
          <cell r="H68">
            <v>-3.6371595534824905</v>
          </cell>
          <cell r="I68">
            <v>-80.398116457362804</v>
          </cell>
          <cell r="O68">
            <v>6.7063148015916454</v>
          </cell>
          <cell r="P68">
            <v>91.370193987438796</v>
          </cell>
          <cell r="Q68">
            <v>-8.8810660064990685</v>
          </cell>
          <cell r="R68">
            <v>-2.589138426796751</v>
          </cell>
        </row>
        <row r="69">
          <cell r="E69">
            <v>-5.6750080502029618</v>
          </cell>
          <cell r="F69">
            <v>0.41296713356683767</v>
          </cell>
          <cell r="G69">
            <v>-0.99056425765175504</v>
          </cell>
          <cell r="H69">
            <v>2.5491510120570666</v>
          </cell>
          <cell r="I69">
            <v>-11.965397153365316</v>
          </cell>
          <cell r="O69">
            <v>12.13246672856701</v>
          </cell>
          <cell r="P69">
            <v>2.300119606219539</v>
          </cell>
          <cell r="Q69">
            <v>4.305371671436248</v>
          </cell>
          <cell r="R69">
            <v>5.5948025890498059</v>
          </cell>
        </row>
        <row r="70">
          <cell r="E70">
            <v>-4.3312206978665557</v>
          </cell>
          <cell r="F70">
            <v>-10.185045868515559</v>
          </cell>
          <cell r="G70">
            <v>6.2724766701082615</v>
          </cell>
          <cell r="H70">
            <v>16.586095986865672</v>
          </cell>
          <cell r="I70">
            <v>116.3762207911451</v>
          </cell>
          <cell r="O70">
            <v>13.96790400884997</v>
          </cell>
          <cell r="P70">
            <v>-25.90883385647949</v>
          </cell>
          <cell r="Q70">
            <v>15.092119170244416</v>
          </cell>
          <cell r="R70">
            <v>10.894957464863793</v>
          </cell>
        </row>
        <row r="72">
          <cell r="E72">
            <v>-4.0605925873684754</v>
          </cell>
          <cell r="F72">
            <v>13.370693484757638</v>
          </cell>
          <cell r="G72">
            <v>9.8138292873630917</v>
          </cell>
          <cell r="H72">
            <v>-9.7892888741245514</v>
          </cell>
          <cell r="I72">
            <v>111.34311882830096</v>
          </cell>
          <cell r="O72">
            <v>14.859740087025216</v>
          </cell>
          <cell r="P72">
            <v>17.870909501889187</v>
          </cell>
          <cell r="Q72">
            <v>10.815990561923201</v>
          </cell>
          <cell r="R72">
            <v>4.9969036696607958</v>
          </cell>
        </row>
        <row r="73">
          <cell r="E73">
            <v>-4.0605925873684754</v>
          </cell>
          <cell r="F73">
            <v>13.370693484757638</v>
          </cell>
          <cell r="G73">
            <v>9.8138292873630917</v>
          </cell>
          <cell r="H73">
            <v>-9.7892888741245514</v>
          </cell>
          <cell r="I73">
            <v>111.34311882830096</v>
          </cell>
          <cell r="O73">
            <v>14.859740087025216</v>
          </cell>
          <cell r="P73">
            <v>17.870909501889187</v>
          </cell>
          <cell r="Q73">
            <v>10.815990561923201</v>
          </cell>
          <cell r="R73">
            <v>4.9969036696607958</v>
          </cell>
        </row>
        <row r="76">
          <cell r="E76">
            <v>16.400743340391983</v>
          </cell>
          <cell r="F76">
            <v>-6.06984203400485</v>
          </cell>
          <cell r="G76">
            <v>-16.430772094791706</v>
          </cell>
          <cell r="H76">
            <v>-12.134049749748527</v>
          </cell>
          <cell r="I76">
            <v>0.19102241077536064</v>
          </cell>
          <cell r="O76">
            <v>5.0000000000000284</v>
          </cell>
          <cell r="P76">
            <v>1.9999999999999858</v>
          </cell>
          <cell r="Q76">
            <v>2</v>
          </cell>
          <cell r="R76">
            <v>2.0000000000000284</v>
          </cell>
        </row>
        <row r="77">
          <cell r="E77">
            <v>14.563324648588804</v>
          </cell>
          <cell r="F77">
            <v>-8.1230435228203106</v>
          </cell>
          <cell r="G77">
            <v>-6.3622513499306876</v>
          </cell>
          <cell r="H77">
            <v>-13.230397785665602</v>
          </cell>
          <cell r="I77">
            <v>3.2239452083738769</v>
          </cell>
          <cell r="O77">
            <v>5</v>
          </cell>
          <cell r="P77">
            <v>2</v>
          </cell>
          <cell r="Q77">
            <v>2</v>
          </cell>
          <cell r="R77">
            <v>2</v>
          </cell>
        </row>
        <row r="78">
          <cell r="E78">
            <v>11.545717797050472</v>
          </cell>
          <cell r="F78">
            <v>-11.641797870396331</v>
          </cell>
          <cell r="G78">
            <v>11.981207496982123</v>
          </cell>
          <cell r="H78">
            <v>-14.721011961141855</v>
          </cell>
          <cell r="I78">
            <v>7.4726517136304267</v>
          </cell>
          <cell r="O78">
            <v>5</v>
          </cell>
          <cell r="P78">
            <v>2</v>
          </cell>
          <cell r="Q78">
            <v>2</v>
          </cell>
          <cell r="R78">
            <v>2</v>
          </cell>
        </row>
        <row r="80">
          <cell r="E80">
            <v>-4.1780787488582121</v>
          </cell>
          <cell r="F80">
            <v>1.6596231680988041</v>
          </cell>
          <cell r="G80">
            <v>-9.7875892304014229</v>
          </cell>
          <cell r="H80">
            <v>3.7990041527359466</v>
          </cell>
          <cell r="I80">
            <v>-11.949557972928176</v>
          </cell>
          <cell r="O80">
            <v>28.706524757521123</v>
          </cell>
          <cell r="P80">
            <v>-3.0463615984358654</v>
          </cell>
          <cell r="Q80">
            <v>-28.536270356856093</v>
          </cell>
          <cell r="R80">
            <v>22.25909603401368</v>
          </cell>
        </row>
        <row r="81">
          <cell r="E81">
            <v>-6.8738074860359859</v>
          </cell>
          <cell r="F81">
            <v>2.6441925275446891</v>
          </cell>
          <cell r="G81">
            <v>-4.7936006499744224</v>
          </cell>
          <cell r="H81">
            <v>19.033282033000901</v>
          </cell>
          <cell r="I81">
            <v>-3.0402700148216297</v>
          </cell>
          <cell r="O81">
            <v>18.858465098341682</v>
          </cell>
          <cell r="P81">
            <v>-7.3004542504866947</v>
          </cell>
          <cell r="Q81">
            <v>-10.045502275113748</v>
          </cell>
          <cell r="R81">
            <v>12.000000000000014</v>
          </cell>
        </row>
        <row r="82">
          <cell r="E82">
            <v>-36.988948521364883</v>
          </cell>
          <cell r="F82">
            <v>19.370619416874007</v>
          </cell>
          <cell r="G82">
            <v>67.459327727927786</v>
          </cell>
          <cell r="H82">
            <v>137.77046115232818</v>
          </cell>
          <cell r="I82">
            <v>27.273722345779873</v>
          </cell>
          <cell r="O82">
            <v>9.2133807145804383</v>
          </cell>
          <cell r="P82">
            <v>-12.210516725978664</v>
          </cell>
          <cell r="Q82">
            <v>13.524338249463881</v>
          </cell>
          <cell r="R82">
            <v>3.7679597217600076</v>
          </cell>
        </row>
        <row r="84">
          <cell r="E84">
            <v>-29.464359656607527</v>
          </cell>
          <cell r="F84">
            <v>17.529954847150591</v>
          </cell>
          <cell r="G84">
            <v>7.4689085751103335</v>
          </cell>
          <cell r="H84">
            <v>-6.6894370090198407</v>
          </cell>
          <cell r="I84">
            <v>-85.933109970080494</v>
          </cell>
          <cell r="O84">
            <v>13.285024154589365</v>
          </cell>
          <cell r="P84">
            <v>-4.2643923240938193</v>
          </cell>
          <cell r="Q84">
            <v>2</v>
          </cell>
          <cell r="R84">
            <v>1.7496659242761865</v>
          </cell>
        </row>
        <row r="85">
          <cell r="E85">
            <v>-24.169377268156254</v>
          </cell>
          <cell r="F85">
            <v>6.9583239437645403</v>
          </cell>
          <cell r="G85">
            <v>2.9888690738599166</v>
          </cell>
          <cell r="H85">
            <v>0.18794475469729832</v>
          </cell>
          <cell r="I85">
            <v>-42.745721804685196</v>
          </cell>
          <cell r="O85">
            <v>11.390977443609017</v>
          </cell>
          <cell r="P85">
            <v>-5.2649341883226555</v>
          </cell>
          <cell r="Q85">
            <v>2</v>
          </cell>
          <cell r="R85">
            <v>2</v>
          </cell>
        </row>
        <row r="86">
          <cell r="E86">
            <v>-10.534442726313245</v>
          </cell>
          <cell r="F86">
            <v>-14.504322482445161</v>
          </cell>
          <cell r="G86">
            <v>-9.5145138978116819</v>
          </cell>
          <cell r="H86">
            <v>22.984684306142157</v>
          </cell>
          <cell r="I86">
            <v>65.868407235860417</v>
          </cell>
          <cell r="O86">
            <v>4.7457627118644012</v>
          </cell>
          <cell r="P86">
            <v>-9.0614886731391522</v>
          </cell>
          <cell r="Q86">
            <v>2</v>
          </cell>
          <cell r="R86">
            <v>3</v>
          </cell>
        </row>
        <row r="88">
          <cell r="E88">
            <v>-19.893590242441476</v>
          </cell>
          <cell r="F88">
            <v>-13.365708719701658</v>
          </cell>
          <cell r="G88">
            <v>-33.069616878930191</v>
          </cell>
          <cell r="H88">
            <v>5.6397057236606827</v>
          </cell>
          <cell r="I88">
            <v>90.400620994152177</v>
          </cell>
          <cell r="O88">
            <v>21.343377275580664</v>
          </cell>
          <cell r="P88">
            <v>-67.822038282462501</v>
          </cell>
          <cell r="Q88">
            <v>29.04405863276304</v>
          </cell>
          <cell r="R88">
            <v>0.67781694818853566</v>
          </cell>
        </row>
        <row r="89">
          <cell r="E89">
            <v>21.728016486133612</v>
          </cell>
          <cell r="F89">
            <v>-9.2998784135944135</v>
          </cell>
          <cell r="G89">
            <v>23.749342942094856</v>
          </cell>
          <cell r="H89">
            <v>-12.503905851459635</v>
          </cell>
          <cell r="I89">
            <v>24.878330110548077</v>
          </cell>
          <cell r="O89">
            <v>65.151515151515156</v>
          </cell>
          <cell r="P89">
            <v>124.77064220183487</v>
          </cell>
          <cell r="Q89">
            <v>3</v>
          </cell>
          <cell r="R89">
            <v>3</v>
          </cell>
        </row>
        <row r="90">
          <cell r="E90">
            <v>-2.9350885069556512</v>
          </cell>
          <cell r="F90">
            <v>-11.2881841432268</v>
          </cell>
          <cell r="G90">
            <v>-3.3860148390977116</v>
          </cell>
          <cell r="H90">
            <v>-6.5011686885466986</v>
          </cell>
          <cell r="I90">
            <v>49.370973633204983</v>
          </cell>
          <cell r="O90">
            <v>28.861154446177864</v>
          </cell>
          <cell r="P90">
            <v>-25.464083938660224</v>
          </cell>
          <cell r="Q90">
            <v>11.770657536317614</v>
          </cell>
          <cell r="R90">
            <v>2.0971197601314771</v>
          </cell>
        </row>
        <row r="93">
          <cell r="H93">
            <v>1</v>
          </cell>
          <cell r="I93">
            <v>0</v>
          </cell>
          <cell r="O93">
            <v>5</v>
          </cell>
          <cell r="P93">
            <v>2</v>
          </cell>
          <cell r="Q93">
            <v>2</v>
          </cell>
          <cell r="R93">
            <v>2</v>
          </cell>
        </row>
        <row r="94">
          <cell r="O94">
            <v>0</v>
          </cell>
          <cell r="P94">
            <v>2</v>
          </cell>
          <cell r="Q94">
            <v>2</v>
          </cell>
          <cell r="R94">
            <v>3</v>
          </cell>
        </row>
        <row r="95">
          <cell r="H95" t="e">
            <v>#REF!</v>
          </cell>
        </row>
        <row r="100">
          <cell r="G100" t="str">
            <v>pr.grants</v>
          </cell>
          <cell r="H100" t="e">
            <v>#REF!</v>
          </cell>
        </row>
        <row r="101">
          <cell r="G101" t="str">
            <v>cr</v>
          </cell>
          <cell r="H101" t="e">
            <v>#REF!</v>
          </cell>
        </row>
        <row r="102">
          <cell r="G102" t="str">
            <v>db</v>
          </cell>
          <cell r="H102" t="e">
            <v>#REF!</v>
          </cell>
        </row>
        <row r="103">
          <cell r="G103" t="str">
            <v>off. grants</v>
          </cell>
          <cell r="H103" t="e">
            <v>#REF!</v>
          </cell>
        </row>
        <row r="104">
          <cell r="G104" t="str">
            <v>cr</v>
          </cell>
          <cell r="H104" t="e">
            <v>#REF!</v>
          </cell>
        </row>
        <row r="105">
          <cell r="G105" t="str">
            <v>db</v>
          </cell>
          <cell r="H105" t="e">
            <v>#REF!</v>
          </cell>
        </row>
      </sheetData>
      <sheetData sheetId="15" refreshError="1">
        <row r="1">
          <cell r="A1">
            <v>37938.62653425926</v>
          </cell>
        </row>
        <row r="9">
          <cell r="E9">
            <v>29</v>
          </cell>
          <cell r="F9">
            <v>58.8</v>
          </cell>
          <cell r="G9">
            <v>44.4</v>
          </cell>
          <cell r="H9">
            <v>9.7029999999999994</v>
          </cell>
          <cell r="I9">
            <v>39.157084052191699</v>
          </cell>
          <cell r="O9">
            <v>23.659486709440884</v>
          </cell>
          <cell r="P9">
            <v>18.153567266606242</v>
          </cell>
          <cell r="Q9">
            <v>19.449206490837817</v>
          </cell>
          <cell r="R9">
            <v>13.185356038355502</v>
          </cell>
        </row>
        <row r="10">
          <cell r="Q10">
            <v>3.5330396360661638</v>
          </cell>
          <cell r="R10">
            <v>1.1519814736931726</v>
          </cell>
        </row>
        <row r="12">
          <cell r="I12">
            <v>256.80248937916969</v>
          </cell>
          <cell r="O12">
            <v>111.78122892758937</v>
          </cell>
          <cell r="P12">
            <v>89.073244050112834</v>
          </cell>
          <cell r="Q12">
            <v>93.003622162133667</v>
          </cell>
          <cell r="R12">
            <v>98.01652136991332</v>
          </cell>
        </row>
        <row r="13">
          <cell r="I13">
            <v>197.03390968750301</v>
          </cell>
          <cell r="O13">
            <v>94</v>
          </cell>
          <cell r="P13">
            <v>79.353286872004105</v>
          </cell>
          <cell r="Q13">
            <v>82.348235223977198</v>
          </cell>
          <cell r="R13">
            <v>88.219200534299304</v>
          </cell>
        </row>
        <row r="14">
          <cell r="I14">
            <v>55.975269275000002</v>
          </cell>
          <cell r="O14">
            <v>17.208359999999999</v>
          </cell>
          <cell r="P14">
            <v>9.7199571781087268</v>
          </cell>
          <cell r="Q14">
            <v>9.0999061734759614</v>
          </cell>
          <cell r="R14">
            <v>8.3252819704535046</v>
          </cell>
        </row>
        <row r="15">
          <cell r="H15">
            <v>1.1000000000000001</v>
          </cell>
          <cell r="I15">
            <v>3.79331041666667</v>
          </cell>
          <cell r="O15">
            <v>0.57286892758936758</v>
          </cell>
          <cell r="P15">
            <v>0.4790884371358281</v>
          </cell>
          <cell r="Q15">
            <v>0.46018211786357333</v>
          </cell>
          <cell r="R15">
            <v>1.0003521436468137</v>
          </cell>
        </row>
        <row r="17">
          <cell r="I17">
            <v>5753.8643782671916</v>
          </cell>
          <cell r="O17">
            <v>3429.5216475764373</v>
          </cell>
          <cell r="P17">
            <v>3909.0401762237425</v>
          </cell>
          <cell r="Q17">
            <v>3998.058645444954</v>
          </cell>
          <cell r="R17">
            <v>4154.5886385677513</v>
          </cell>
        </row>
        <row r="18">
          <cell r="I18" t="str">
            <v>…</v>
          </cell>
          <cell r="O18">
            <v>122.51704573332705</v>
          </cell>
          <cell r="P18">
            <v>130.42002142695659</v>
          </cell>
          <cell r="Q18">
            <v>120.87675371213258</v>
          </cell>
          <cell r="R18">
            <v>115.20645267851297</v>
          </cell>
        </row>
        <row r="20">
          <cell r="I20">
            <v>6279</v>
          </cell>
          <cell r="O20">
            <v>4713.390279034993</v>
          </cell>
          <cell r="P20">
            <v>5187.3743398964198</v>
          </cell>
          <cell r="Q20">
            <v>5106.0889241434697</v>
          </cell>
          <cell r="R20">
            <v>5327.8466886880742</v>
          </cell>
        </row>
        <row r="21">
          <cell r="I21" t="str">
            <v>…</v>
          </cell>
          <cell r="O21">
            <v>4311.8397897414716</v>
          </cell>
          <cell r="P21">
            <v>4491.3156010952962</v>
          </cell>
          <cell r="Q21">
            <v>4606.8144075119471</v>
          </cell>
          <cell r="R21">
            <v>4830.8814423691365</v>
          </cell>
        </row>
        <row r="22">
          <cell r="I22" t="str">
            <v>…</v>
          </cell>
          <cell r="O22">
            <v>302.71181661852131</v>
          </cell>
          <cell r="P22">
            <v>327.79052638215239</v>
          </cell>
          <cell r="Q22">
            <v>390.34428982342172</v>
          </cell>
          <cell r="R22">
            <v>400.9613356708366</v>
          </cell>
        </row>
        <row r="23">
          <cell r="I23">
            <v>0</v>
          </cell>
          <cell r="O23">
            <v>100.12221203788573</v>
          </cell>
          <cell r="P23">
            <v>83.682506797876485</v>
          </cell>
          <cell r="Q23">
            <v>139.79533934000199</v>
          </cell>
          <cell r="R23">
            <v>274.15547447834587</v>
          </cell>
        </row>
        <row r="25">
          <cell r="I25">
            <v>6279</v>
          </cell>
          <cell r="O25">
            <v>4713.390279034993</v>
          </cell>
          <cell r="P25">
            <v>5187.3743398964198</v>
          </cell>
          <cell r="Q25">
            <v>5106.0889241434697</v>
          </cell>
          <cell r="R25">
            <v>5327.8466886880742</v>
          </cell>
        </row>
        <row r="26">
          <cell r="I26" t="str">
            <v>…</v>
          </cell>
          <cell r="O26">
            <v>2919.1763998605447</v>
          </cell>
          <cell r="P26">
            <v>3043.8134902238021</v>
          </cell>
          <cell r="Q26">
            <v>3056.7770944970439</v>
          </cell>
          <cell r="R26">
            <v>3204.0160668480248</v>
          </cell>
        </row>
        <row r="27">
          <cell r="I27" t="str">
            <v>…</v>
          </cell>
          <cell r="O27">
            <v>1599.8384961192162</v>
          </cell>
          <cell r="P27">
            <v>1590.5620951392877</v>
          </cell>
          <cell r="Q27">
            <v>1756.7282724152562</v>
          </cell>
          <cell r="R27">
            <v>1877.0832119776931</v>
          </cell>
        </row>
        <row r="28">
          <cell r="I28" t="str">
            <v>…</v>
          </cell>
          <cell r="O28">
            <v>194.37538305523211</v>
          </cell>
          <cell r="P28">
            <v>272.57796619435896</v>
          </cell>
          <cell r="Q28">
            <v>292.58355723116983</v>
          </cell>
          <cell r="R28">
            <v>246.74740986235636</v>
          </cell>
        </row>
        <row r="31">
          <cell r="I31">
            <v>70.868099759916092</v>
          </cell>
          <cell r="O31">
            <v>41.35963645684047</v>
          </cell>
          <cell r="P31">
            <v>42.061791811050362</v>
          </cell>
          <cell r="Q31">
            <v>36.470320085829222</v>
          </cell>
          <cell r="R31">
            <v>36.672426144976399</v>
          </cell>
        </row>
        <row r="33">
          <cell r="I33">
            <v>0</v>
          </cell>
          <cell r="O33">
            <v>0</v>
          </cell>
          <cell r="P33">
            <v>0</v>
          </cell>
          <cell r="Q33">
            <v>100</v>
          </cell>
          <cell r="R33">
            <v>241.8667160420006</v>
          </cell>
        </row>
        <row r="34">
          <cell r="H34">
            <v>15.431793451379958</v>
          </cell>
          <cell r="I34">
            <v>111.16200803212851</v>
          </cell>
          <cell r="O34">
            <v>3.1139240506329116</v>
          </cell>
          <cell r="P34">
            <v>0</v>
          </cell>
          <cell r="Q34">
            <v>100</v>
          </cell>
          <cell r="R34">
            <v>241.8667160420006</v>
          </cell>
        </row>
        <row r="35">
          <cell r="H35">
            <v>0</v>
          </cell>
          <cell r="I35">
            <v>0</v>
          </cell>
          <cell r="O35">
            <v>0</v>
          </cell>
          <cell r="P35">
            <v>0</v>
          </cell>
          <cell r="Q35">
            <v>0</v>
          </cell>
          <cell r="R35">
            <v>0</v>
          </cell>
        </row>
        <row r="36">
          <cell r="H36">
            <v>0</v>
          </cell>
          <cell r="I36">
            <v>23.3</v>
          </cell>
          <cell r="O36">
            <v>0</v>
          </cell>
          <cell r="P36">
            <v>0</v>
          </cell>
          <cell r="Q36">
            <v>20</v>
          </cell>
          <cell r="R36">
            <v>43.584626778923216</v>
          </cell>
        </row>
        <row r="37">
          <cell r="I37">
            <v>0</v>
          </cell>
          <cell r="O37">
            <v>0</v>
          </cell>
          <cell r="P37">
            <v>0</v>
          </cell>
          <cell r="Q37">
            <v>0</v>
          </cell>
          <cell r="R37">
            <v>0</v>
          </cell>
        </row>
        <row r="38">
          <cell r="H38">
            <v>15.431793451379958</v>
          </cell>
          <cell r="I38">
            <v>80.7</v>
          </cell>
          <cell r="O38">
            <v>0</v>
          </cell>
          <cell r="P38">
            <v>0</v>
          </cell>
          <cell r="Q38">
            <v>0</v>
          </cell>
          <cell r="R38">
            <v>0</v>
          </cell>
        </row>
        <row r="39">
          <cell r="H39">
            <v>0</v>
          </cell>
          <cell r="I39">
            <v>0</v>
          </cell>
          <cell r="O39">
            <v>0</v>
          </cell>
          <cell r="P39">
            <v>0</v>
          </cell>
          <cell r="Q39">
            <v>0</v>
          </cell>
          <cell r="R39">
            <v>0</v>
          </cell>
        </row>
        <row r="40">
          <cell r="I40">
            <v>0</v>
          </cell>
          <cell r="O40">
            <v>3.1139240506329116</v>
          </cell>
          <cell r="P40">
            <v>0</v>
          </cell>
          <cell r="Q40">
            <v>50</v>
          </cell>
          <cell r="R40">
            <v>145.28208926307738</v>
          </cell>
        </row>
        <row r="41">
          <cell r="H41">
            <v>0</v>
          </cell>
          <cell r="I41">
            <v>6.6770080321285139</v>
          </cell>
          <cell r="O41">
            <v>0</v>
          </cell>
          <cell r="P41">
            <v>0</v>
          </cell>
          <cell r="Q41">
            <v>0</v>
          </cell>
          <cell r="R41">
            <v>0</v>
          </cell>
        </row>
        <row r="42">
          <cell r="H42">
            <v>0</v>
          </cell>
          <cell r="I42">
            <v>0.48499999999999999</v>
          </cell>
          <cell r="O42">
            <v>0</v>
          </cell>
          <cell r="P42">
            <v>0</v>
          </cell>
          <cell r="Q42">
            <v>30</v>
          </cell>
          <cell r="R42">
            <v>53</v>
          </cell>
        </row>
        <row r="43">
          <cell r="H43">
            <v>119.49513485165348</v>
          </cell>
          <cell r="I43">
            <v>191.84499546185677</v>
          </cell>
          <cell r="O43">
            <v>100.79581828641673</v>
          </cell>
          <cell r="P43">
            <v>140.58745409967855</v>
          </cell>
          <cell r="Q43">
            <v>108.55694421935056</v>
          </cell>
          <cell r="R43">
            <v>237.30317561490688</v>
          </cell>
        </row>
        <row r="44">
          <cell r="I44">
            <v>77</v>
          </cell>
          <cell r="O44">
            <v>7.696935514194398</v>
          </cell>
          <cell r="P44">
            <v>7.8508742244782859</v>
          </cell>
          <cell r="Q44">
            <v>8.0078917089678523</v>
          </cell>
          <cell r="R44">
            <v>8.1680495431472089</v>
          </cell>
        </row>
        <row r="45">
          <cell r="I45">
            <v>16.400000000000002</v>
          </cell>
          <cell r="O45">
            <v>0.4771197593532619</v>
          </cell>
          <cell r="P45">
            <v>0.4771197593532619</v>
          </cell>
          <cell r="Q45">
            <v>0.4771197593532619</v>
          </cell>
          <cell r="R45">
            <v>0.4771197593532619</v>
          </cell>
        </row>
        <row r="46">
          <cell r="I46">
            <v>98.444995461856763</v>
          </cell>
          <cell r="O46">
            <v>92.621763012869081</v>
          </cell>
          <cell r="P46">
            <v>132.25946011584702</v>
          </cell>
          <cell r="Q46">
            <v>100.07193275102945</v>
          </cell>
          <cell r="R46">
            <v>228.6580063124064</v>
          </cell>
        </row>
        <row r="47">
          <cell r="H47">
            <v>11.172339150320331</v>
          </cell>
          <cell r="I47">
            <v>16</v>
          </cell>
          <cell r="O47">
            <v>0</v>
          </cell>
          <cell r="P47">
            <v>30</v>
          </cell>
          <cell r="Q47">
            <v>33.211328357562834</v>
          </cell>
          <cell r="R47">
            <v>32.400793578029337</v>
          </cell>
        </row>
        <row r="48">
          <cell r="H48">
            <v>30</v>
          </cell>
          <cell r="I48">
            <v>59.175642500000002</v>
          </cell>
          <cell r="O48">
            <v>32.448717948717949</v>
          </cell>
          <cell r="P48">
            <v>40.158227848101262</v>
          </cell>
          <cell r="Q48">
            <v>55.87341772151899</v>
          </cell>
          <cell r="R48">
            <v>35.87341772151899</v>
          </cell>
        </row>
        <row r="49">
          <cell r="I49">
            <v>0</v>
          </cell>
          <cell r="O49">
            <v>0</v>
          </cell>
          <cell r="P49">
            <v>0</v>
          </cell>
          <cell r="Q49">
            <v>35.718776074706533</v>
          </cell>
          <cell r="R49">
            <v>71.437552149413065</v>
          </cell>
        </row>
        <row r="50">
          <cell r="H50">
            <v>3.5465540340478383</v>
          </cell>
          <cell r="I50">
            <v>0.60370699999956745</v>
          </cell>
          <cell r="O50">
            <v>24.178000000000001</v>
          </cell>
          <cell r="P50">
            <v>0</v>
          </cell>
          <cell r="Q50">
            <v>69.461451752992204</v>
          </cell>
          <cell r="R50">
            <v>170.19598857381374</v>
          </cell>
        </row>
        <row r="51">
          <cell r="H51">
            <v>6.962514041767294E-2</v>
          </cell>
          <cell r="I51">
            <v>3.6363636363636364E-3</v>
          </cell>
          <cell r="O51">
            <v>0</v>
          </cell>
          <cell r="P51">
            <v>0</v>
          </cell>
          <cell r="Q51">
            <v>0</v>
          </cell>
          <cell r="R51">
            <v>0</v>
          </cell>
        </row>
        <row r="52">
          <cell r="H52">
            <v>0</v>
          </cell>
          <cell r="I52">
            <v>0.28674646982802798</v>
          </cell>
          <cell r="O52">
            <v>0</v>
          </cell>
          <cell r="P52">
            <v>0</v>
          </cell>
          <cell r="Q52">
            <v>0</v>
          </cell>
          <cell r="R52">
            <v>0</v>
          </cell>
        </row>
        <row r="53">
          <cell r="H53">
            <v>3.4769288936301654</v>
          </cell>
          <cell r="I53">
            <v>0.31332416653517586</v>
          </cell>
          <cell r="O53">
            <v>0</v>
          </cell>
          <cell r="P53">
            <v>0</v>
          </cell>
          <cell r="Q53">
            <v>0</v>
          </cell>
          <cell r="R53">
            <v>66.697462484154173</v>
          </cell>
        </row>
        <row r="54">
          <cell r="H54">
            <v>0</v>
          </cell>
          <cell r="I54">
            <v>0</v>
          </cell>
          <cell r="O54">
            <v>24.178000000000001</v>
          </cell>
          <cell r="P54">
            <v>0</v>
          </cell>
          <cell r="Q54">
            <v>69.461451752992204</v>
          </cell>
          <cell r="R54">
            <v>89.91389931073634</v>
          </cell>
        </row>
        <row r="55">
          <cell r="I55">
            <v>0</v>
          </cell>
          <cell r="O55">
            <v>0</v>
          </cell>
          <cell r="P55">
            <v>0</v>
          </cell>
          <cell r="Q55">
            <v>0</v>
          </cell>
          <cell r="R55">
            <v>13.584626778923216</v>
          </cell>
        </row>
        <row r="56">
          <cell r="H56">
            <v>57.05899313730685</v>
          </cell>
          <cell r="I56">
            <v>94.329716243324853</v>
          </cell>
          <cell r="O56">
            <v>71.350613832573714</v>
          </cell>
          <cell r="P56">
            <v>88.789783224482875</v>
          </cell>
          <cell r="Q56">
            <v>232.02773609736295</v>
          </cell>
          <cell r="R56">
            <v>328.19182903581316</v>
          </cell>
        </row>
        <row r="58">
          <cell r="I58">
            <v>264.15300440161394</v>
          </cell>
          <cell r="O58">
            <v>87.883207229509381</v>
          </cell>
          <cell r="P58">
            <v>116.68758690273319</v>
          </cell>
          <cell r="Q58">
            <v>229.56371545505317</v>
          </cell>
          <cell r="R58">
            <v>533.50433943195492</v>
          </cell>
        </row>
        <row r="59">
          <cell r="I59">
            <v>104.02964159237132</v>
          </cell>
          <cell r="O59">
            <v>48.475253056258211</v>
          </cell>
          <cell r="P59">
            <v>94.058095045046628</v>
          </cell>
          <cell r="Q59">
            <v>137.53942659637141</v>
          </cell>
          <cell r="R59">
            <v>161.61575115408243</v>
          </cell>
        </row>
        <row r="60">
          <cell r="I60">
            <v>10</v>
          </cell>
          <cell r="O60">
            <v>0</v>
          </cell>
          <cell r="P60">
            <v>0</v>
          </cell>
          <cell r="Q60">
            <v>0</v>
          </cell>
          <cell r="R60">
            <v>0</v>
          </cell>
        </row>
        <row r="61">
          <cell r="O61">
            <v>67.5</v>
          </cell>
          <cell r="P61">
            <v>56.6</v>
          </cell>
          <cell r="Q61">
            <v>47.1</v>
          </cell>
          <cell r="R61">
            <v>0</v>
          </cell>
        </row>
        <row r="62">
          <cell r="O62">
            <v>89.933230769230775</v>
          </cell>
          <cell r="P62">
            <v>62.134936708860756</v>
          </cell>
          <cell r="Q62">
            <v>64.964050632911395</v>
          </cell>
          <cell r="R62">
            <v>11.946835443037973</v>
          </cell>
        </row>
        <row r="63">
          <cell r="O63">
            <v>64.282603579951342</v>
          </cell>
          <cell r="P63">
            <v>0</v>
          </cell>
          <cell r="Q63">
            <v>0</v>
          </cell>
          <cell r="R63">
            <v>0</v>
          </cell>
        </row>
        <row r="65">
          <cell r="O65">
            <v>475.25536670944092</v>
          </cell>
          <cell r="P65">
            <v>205.77141812141394</v>
          </cell>
          <cell r="Q65">
            <v>332.06131961941293</v>
          </cell>
          <cell r="R65">
            <v>240.28554483382308</v>
          </cell>
        </row>
        <row r="66">
          <cell r="O66">
            <v>128.03478670944088</v>
          </cell>
          <cell r="P66">
            <v>91.234839629548546</v>
          </cell>
          <cell r="Q66">
            <v>122.09047724373035</v>
          </cell>
          <cell r="R66">
            <v>107.43741457162226</v>
          </cell>
        </row>
        <row r="67">
          <cell r="O67">
            <v>23.659486709440884</v>
          </cell>
          <cell r="P67">
            <v>19.075425120000002</v>
          </cell>
          <cell r="Q67">
            <v>19.075425120000002</v>
          </cell>
          <cell r="R67">
            <v>12.926316159999999</v>
          </cell>
        </row>
        <row r="68">
          <cell r="O68">
            <v>63</v>
          </cell>
          <cell r="P68">
            <v>51.964934736397126</v>
          </cell>
          <cell r="Q68">
            <v>65.644421509501584</v>
          </cell>
          <cell r="R68">
            <v>64.122530428627954</v>
          </cell>
        </row>
        <row r="69">
          <cell r="O69">
            <v>18.6753</v>
          </cell>
          <cell r="P69">
            <v>11.27259942456681</v>
          </cell>
          <cell r="Q69">
            <v>11.978020156912946</v>
          </cell>
          <cell r="R69">
            <v>10.612939032248271</v>
          </cell>
        </row>
        <row r="70">
          <cell r="O70">
            <v>22.699999999999996</v>
          </cell>
          <cell r="P70">
            <v>8.4881471336377778</v>
          </cell>
          <cell r="Q70">
            <v>25.392610457315811</v>
          </cell>
          <cell r="R70">
            <v>19.775628950746032</v>
          </cell>
        </row>
        <row r="71">
          <cell r="O71">
            <v>252.55240000000003</v>
          </cell>
          <cell r="P71">
            <v>91.311867998869488</v>
          </cell>
          <cell r="Q71">
            <v>104.1140129438086</v>
          </cell>
          <cell r="R71">
            <v>87.011982893387341</v>
          </cell>
        </row>
        <row r="72">
          <cell r="O72">
            <v>247.52190000000002</v>
          </cell>
          <cell r="P72">
            <v>84.74791632863429</v>
          </cell>
          <cell r="Q72">
            <v>97.436255272980702</v>
          </cell>
          <cell r="R72">
            <v>84.378907017178932</v>
          </cell>
        </row>
        <row r="73">
          <cell r="O73">
            <v>5.0305</v>
          </cell>
          <cell r="P73">
            <v>6.5639516702352028</v>
          </cell>
          <cell r="Q73">
            <v>6.6777576708279032</v>
          </cell>
          <cell r="R73">
            <v>2.6330758762084101</v>
          </cell>
        </row>
        <row r="74">
          <cell r="O74">
            <v>94.668180000000007</v>
          </cell>
          <cell r="P74">
            <v>23.224710492995904</v>
          </cell>
          <cell r="Q74">
            <v>105.85682943187395</v>
          </cell>
          <cell r="R74">
            <v>45.836147368813471</v>
          </cell>
        </row>
        <row r="76">
          <cell r="O76">
            <v>111.55900892758936</v>
          </cell>
          <cell r="P76">
            <v>89.073244050112834</v>
          </cell>
          <cell r="Q76">
            <v>93.003622162133667</v>
          </cell>
          <cell r="R76">
            <v>98.016521369913335</v>
          </cell>
        </row>
        <row r="77">
          <cell r="O77">
            <v>48.63749892758937</v>
          </cell>
          <cell r="P77">
            <v>29.483553768424308</v>
          </cell>
          <cell r="Q77">
            <v>31.597588440311529</v>
          </cell>
          <cell r="R77">
            <v>33.478564859226594</v>
          </cell>
        </row>
        <row r="78">
          <cell r="O78">
            <v>0.57286892758936758</v>
          </cell>
          <cell r="P78">
            <v>0</v>
          </cell>
          <cell r="Q78">
            <v>1.5554807646805064</v>
          </cell>
          <cell r="R78">
            <v>1.4720388651605065</v>
          </cell>
        </row>
        <row r="79">
          <cell r="O79">
            <v>33.700000000000003</v>
          </cell>
          <cell r="P79">
            <v>19.280203591029242</v>
          </cell>
          <cell r="Q79">
            <v>18.630138544888176</v>
          </cell>
          <cell r="R79">
            <v>19.129078137923813</v>
          </cell>
        </row>
        <row r="80">
          <cell r="O80">
            <v>12</v>
          </cell>
          <cell r="P80">
            <v>5.903164425852033</v>
          </cell>
          <cell r="Q80">
            <v>5.2294465674210233</v>
          </cell>
          <cell r="R80">
            <v>5.0283297981410628</v>
          </cell>
        </row>
        <row r="81">
          <cell r="O81">
            <v>2.3646299999999982</v>
          </cell>
          <cell r="P81">
            <v>4.3001857515430331</v>
          </cell>
          <cell r="Q81">
            <v>6.1825225633218235</v>
          </cell>
          <cell r="R81">
            <v>7.8491180580012125</v>
          </cell>
        </row>
        <row r="82">
          <cell r="O82">
            <v>47.930449999999993</v>
          </cell>
          <cell r="P82">
            <v>43.433716944223711</v>
          </cell>
          <cell r="Q82">
            <v>48.354640341112891</v>
          </cell>
          <cell r="R82">
            <v>53.18860736687656</v>
          </cell>
        </row>
        <row r="83">
          <cell r="O83">
            <v>47.704799999999999</v>
          </cell>
          <cell r="P83">
            <v>43.141321410771681</v>
          </cell>
          <cell r="Q83">
            <v>40.859193532678113</v>
          </cell>
          <cell r="R83">
            <v>38.54252220275589</v>
          </cell>
        </row>
        <row r="84">
          <cell r="O84">
            <v>0.22565000000000002</v>
          </cell>
          <cell r="P84">
            <v>0.29239553345202851</v>
          </cell>
          <cell r="Q84">
            <v>7.4954468084347807</v>
          </cell>
          <cell r="R84">
            <v>14.646085164120672</v>
          </cell>
        </row>
        <row r="85">
          <cell r="O85">
            <v>14.991060000000001</v>
          </cell>
          <cell r="P85">
            <v>16.155973337464815</v>
          </cell>
          <cell r="Q85">
            <v>13.051393380709245</v>
          </cell>
          <cell r="R85">
            <v>11.349349143810171</v>
          </cell>
        </row>
        <row r="88">
          <cell r="C88">
            <v>913.28000000000009</v>
          </cell>
          <cell r="D88">
            <v>2207.1423944199378</v>
          </cell>
          <cell r="E88">
            <v>2196.9373499806829</v>
          </cell>
          <cell r="F88">
            <v>2158.7913295423959</v>
          </cell>
          <cell r="G88">
            <v>2237.653790083612</v>
          </cell>
          <cell r="H88">
            <v>2647.6922949497589</v>
          </cell>
          <cell r="I88">
            <v>2948.3534720937819</v>
          </cell>
          <cell r="O88">
            <v>2968.3</v>
          </cell>
          <cell r="P88">
            <v>3280.75</v>
          </cell>
          <cell r="Q88">
            <v>3673.5989527497873</v>
          </cell>
          <cell r="R88">
            <v>3864.286311095861</v>
          </cell>
        </row>
        <row r="89">
          <cell r="C89">
            <v>-8.0590328594759697</v>
          </cell>
          <cell r="D89">
            <v>-7.999486713194508</v>
          </cell>
          <cell r="E89">
            <v>-4.3107123270295018</v>
          </cell>
          <cell r="F89">
            <v>-3.8992249284908356</v>
          </cell>
          <cell r="G89">
            <v>1.24071096876159</v>
          </cell>
          <cell r="H89">
            <v>-0.19333802988284404</v>
          </cell>
          <cell r="I89">
            <v>-5.7008965887577849</v>
          </cell>
          <cell r="O89">
            <v>-4.2669887343995176</v>
          </cell>
          <cell r="P89">
            <v>-0.45898655494479762</v>
          </cell>
          <cell r="Q89">
            <v>-2.6391235281573286</v>
          </cell>
          <cell r="R89">
            <v>-7.2366468251728309</v>
          </cell>
        </row>
        <row r="90">
          <cell r="C90">
            <v>-5.7350746418444096</v>
          </cell>
          <cell r="D90">
            <v>-5.5989845533520519</v>
          </cell>
          <cell r="E90">
            <v>-1.8083850719286323</v>
          </cell>
          <cell r="F90">
            <v>-1.2934330931628188</v>
          </cell>
          <cell r="G90">
            <v>2.8745151958443795</v>
          </cell>
          <cell r="H90">
            <v>-0.2124325685274949</v>
          </cell>
          <cell r="I90">
            <v>-5.7494286526163032</v>
          </cell>
          <cell r="O90">
            <v>-3.4907537552819932</v>
          </cell>
          <cell r="P90">
            <v>-0.45898655494479762</v>
          </cell>
          <cell r="Q90">
            <v>-2.2605701983456679</v>
          </cell>
          <cell r="R90">
            <v>-7.2366468251728309</v>
          </cell>
        </row>
        <row r="91">
          <cell r="C91">
            <v>8390.8565360840403</v>
          </cell>
          <cell r="D91">
            <v>8551.3368269695256</v>
          </cell>
          <cell r="E91">
            <v>8152.1025347847262</v>
          </cell>
          <cell r="F91">
            <v>8220.6598721534629</v>
          </cell>
          <cell r="G91">
            <v>5751.8160502057417</v>
          </cell>
          <cell r="H91">
            <v>7148.8953712240564</v>
          </cell>
          <cell r="I91">
            <v>8860.1218619826504</v>
          </cell>
          <cell r="O91">
            <v>11396.111481670061</v>
          </cell>
          <cell r="P91">
            <v>12332.74693384224</v>
          </cell>
          <cell r="Q91">
            <v>14000.66934462545</v>
          </cell>
          <cell r="R91">
            <v>14528.208926307738</v>
          </cell>
        </row>
        <row r="92">
          <cell r="C92">
            <v>1.2817555294238447</v>
          </cell>
          <cell r="D92">
            <v>1.3567417397673942</v>
          </cell>
          <cell r="E92">
            <v>1.3681575022916639</v>
          </cell>
          <cell r="F92">
            <v>1.408371359360036</v>
          </cell>
          <cell r="G92">
            <v>1.3963360142984806</v>
          </cell>
          <cell r="H92">
            <v>1.4316999998639885</v>
          </cell>
          <cell r="I92">
            <v>1.5169463614896226</v>
          </cell>
          <cell r="O92">
            <v>1.2730420613097058</v>
          </cell>
          <cell r="P92">
            <v>1.2948336138806165</v>
          </cell>
          <cell r="Q92">
            <v>1.3892290350598442</v>
          </cell>
          <cell r="R92">
            <v>1.3879322145637372</v>
          </cell>
        </row>
        <row r="93">
          <cell r="C93">
            <v>0</v>
          </cell>
          <cell r="D93">
            <v>2095.0775226075339</v>
          </cell>
          <cell r="E93">
            <v>1985.0369672200811</v>
          </cell>
          <cell r="F93">
            <v>2125.0405769516701</v>
          </cell>
          <cell r="G93">
            <v>1607.6325860325046</v>
          </cell>
          <cell r="H93">
            <v>2058.881866912528</v>
          </cell>
          <cell r="I93">
            <v>2623.2951947879574</v>
          </cell>
          <cell r="O93">
            <v>2463.3948034137657</v>
          </cell>
          <cell r="P93">
            <v>2665.8588552340034</v>
          </cell>
          <cell r="Q93">
            <v>3026.3986240691356</v>
          </cell>
          <cell r="R93">
            <v>3140.4321052439595</v>
          </cell>
        </row>
        <row r="94">
          <cell r="C94">
            <v>0</v>
          </cell>
          <cell r="D94">
            <v>24.5</v>
          </cell>
          <cell r="E94">
            <v>24.35</v>
          </cell>
          <cell r="F94">
            <v>25.85</v>
          </cell>
          <cell r="G94">
            <v>27.95</v>
          </cell>
          <cell r="H94">
            <v>28.799999999999997</v>
          </cell>
          <cell r="I94">
            <v>29.607890677487099</v>
          </cell>
          <cell r="O94">
            <v>21.616099556203743</v>
          </cell>
          <cell r="P94">
            <v>21.616099556203743</v>
          </cell>
          <cell r="Q94">
            <v>21.616099556203743</v>
          </cell>
          <cell r="R94">
            <v>21.616099556203743</v>
          </cell>
        </row>
        <row r="97">
          <cell r="C97">
            <v>4.4000000000000004</v>
          </cell>
          <cell r="D97">
            <v>4.5</v>
          </cell>
          <cell r="E97">
            <v>2.1</v>
          </cell>
          <cell r="F97">
            <v>0.5</v>
          </cell>
          <cell r="G97">
            <v>0.2</v>
          </cell>
          <cell r="H97">
            <v>3</v>
          </cell>
          <cell r="I97">
            <v>4.8</v>
          </cell>
          <cell r="O97">
            <v>1.1997382459579597</v>
          </cell>
          <cell r="P97">
            <v>1.028239208549131E-2</v>
          </cell>
          <cell r="Q97">
            <v>1.2647893586629433E-2</v>
          </cell>
          <cell r="R97">
            <v>2.7</v>
          </cell>
        </row>
        <row r="98">
          <cell r="C98">
            <v>0</v>
          </cell>
          <cell r="D98">
            <v>13.119539599509867</v>
          </cell>
          <cell r="E98">
            <v>13.150288130496435</v>
          </cell>
          <cell r="F98">
            <v>19.534463276836167</v>
          </cell>
          <cell r="G98">
            <v>26.143986085378291</v>
          </cell>
          <cell r="H98">
            <v>20.102933638677143</v>
          </cell>
          <cell r="I98">
            <v>16.120635221711165</v>
          </cell>
          <cell r="O98">
            <v>12.476073432770907</v>
          </cell>
          <cell r="P98">
            <v>8.2740051850545893</v>
          </cell>
          <cell r="Q98">
            <v>8.434028246078217</v>
          </cell>
          <cell r="R98">
            <v>4.3423941932615451</v>
          </cell>
        </row>
        <row r="99">
          <cell r="C99">
            <v>13.46</v>
          </cell>
          <cell r="D99">
            <v>20</v>
          </cell>
          <cell r="E99">
            <v>19.600000000000001</v>
          </cell>
          <cell r="F99">
            <v>27.3</v>
          </cell>
          <cell r="G99">
            <v>46</v>
          </cell>
          <cell r="H99">
            <v>28.8</v>
          </cell>
          <cell r="I99">
            <v>1.5543281604567083</v>
          </cell>
          <cell r="O99">
            <v>5.7572027569828599</v>
          </cell>
          <cell r="P99">
            <v>1.9623021227529236</v>
          </cell>
          <cell r="Q99">
            <v>9.3912309778110945</v>
          </cell>
          <cell r="R99">
            <v>0.95453917588939063</v>
          </cell>
        </row>
        <row r="100">
          <cell r="C100">
            <v>0</v>
          </cell>
          <cell r="D100">
            <v>-9.6163661282811432</v>
          </cell>
          <cell r="E100">
            <v>7.9877630966546036</v>
          </cell>
          <cell r="F100">
            <v>5.1088187873699695</v>
          </cell>
          <cell r="G100">
            <v>-0.57468437644773473</v>
          </cell>
          <cell r="H100">
            <v>11.659007462018181</v>
          </cell>
          <cell r="I100">
            <v>-3.1990492332164706</v>
          </cell>
          <cell r="O100">
            <v>-2.6029107514025185</v>
          </cell>
          <cell r="P100">
            <v>-4.5392147333984383</v>
          </cell>
          <cell r="Q100">
            <v>-1.4553207095035816</v>
          </cell>
          <cell r="R100">
            <v>1.6395582552446228</v>
          </cell>
        </row>
        <row r="101">
          <cell r="C101">
            <v>0</v>
          </cell>
          <cell r="D101">
            <v>7.9166227481434674</v>
          </cell>
          <cell r="E101">
            <v>6.5054056677006855</v>
          </cell>
          <cell r="F101">
            <v>-4.9880874998115274</v>
          </cell>
          <cell r="G101">
            <v>11.675418942849646</v>
          </cell>
          <cell r="H101">
            <v>19.112028314399026</v>
          </cell>
          <cell r="I101">
            <v>16.601125186066227</v>
          </cell>
          <cell r="O101">
            <v>11.64589967981297</v>
          </cell>
          <cell r="P101">
            <v>16.725654503826277</v>
          </cell>
          <cell r="Q101">
            <v>5.8458752493471877</v>
          </cell>
          <cell r="R101">
            <v>4.4981657047917736</v>
          </cell>
        </row>
        <row r="102">
          <cell r="C102">
            <v>0</v>
          </cell>
          <cell r="D102">
            <v>4.7496493322946698</v>
          </cell>
          <cell r="E102">
            <v>-8.0387890634463268</v>
          </cell>
          <cell r="F102">
            <v>-0.71878245812400099</v>
          </cell>
          <cell r="G102">
            <v>-12.254794664121761</v>
          </cell>
          <cell r="H102">
            <v>25.67390179381912</v>
          </cell>
          <cell r="I102">
            <v>32.068983995641908</v>
          </cell>
          <cell r="O102">
            <v>7.3361019792383297</v>
          </cell>
          <cell r="P102">
            <v>-6.9347017524373777</v>
          </cell>
          <cell r="Q102">
            <v>9.2499746753413206</v>
          </cell>
          <cell r="R102">
            <v>23.336847594954936</v>
          </cell>
        </row>
        <row r="103">
          <cell r="C103">
            <v>1.456257901459354</v>
          </cell>
          <cell r="D103">
            <v>1.3655324120687014</v>
          </cell>
          <cell r="E103">
            <v>1.0070666706151339</v>
          </cell>
          <cell r="F103">
            <v>1.1201168177427798</v>
          </cell>
          <cell r="G103">
            <v>2.3278852444106661</v>
          </cell>
          <cell r="H103">
            <v>1.8886438979575679</v>
          </cell>
          <cell r="I103">
            <v>1.59076557657214</v>
          </cell>
          <cell r="O103">
            <v>3.4787863209050984</v>
          </cell>
          <cell r="P103">
            <v>2.9000372027370012</v>
          </cell>
          <cell r="Q103">
            <v>2.8579634411536068</v>
          </cell>
          <cell r="R103">
            <v>3.0262928831591136</v>
          </cell>
        </row>
        <row r="104">
          <cell r="C104">
            <v>0</v>
          </cell>
          <cell r="D104">
            <v>9.1697099651736096</v>
          </cell>
          <cell r="E104">
            <v>5.8643665340756286</v>
          </cell>
          <cell r="F104">
            <v>-4.0606380834519342</v>
          </cell>
          <cell r="G104">
            <v>8.9090266477168285</v>
          </cell>
          <cell r="H104">
            <v>34.556876388622072</v>
          </cell>
          <cell r="I104">
            <v>29.64405547389822</v>
          </cell>
          <cell r="O104">
            <v>6.0864073618801768</v>
          </cell>
          <cell r="P104">
            <v>15.278515998724345</v>
          </cell>
          <cell r="Q104">
            <v>15.906011256430247</v>
          </cell>
          <cell r="R104">
            <v>5.0043384133947768</v>
          </cell>
        </row>
        <row r="105">
          <cell r="C105">
            <v>17.608875067541049</v>
          </cell>
          <cell r="D105">
            <v>-15.35363972587885</v>
          </cell>
          <cell r="E105">
            <v>-4.6223309185141659</v>
          </cell>
          <cell r="F105">
            <v>-13.933785300493682</v>
          </cell>
          <cell r="G105">
            <v>27.145681049161794</v>
          </cell>
          <cell r="H105">
            <v>27.145681049161794</v>
          </cell>
          <cell r="I105">
            <v>51.694935134223357</v>
          </cell>
          <cell r="O105">
            <v>4.716906938335967</v>
          </cell>
          <cell r="P105">
            <v>-3.718060478861446</v>
          </cell>
          <cell r="Q105">
            <v>21.400419230644488</v>
          </cell>
          <cell r="R105">
            <v>21.935075327416811</v>
          </cell>
        </row>
        <row r="114">
          <cell r="C114">
            <v>-5.9224083178809668</v>
          </cell>
          <cell r="D114">
            <v>-4.5541690379804889</v>
          </cell>
          <cell r="E114">
            <v>-1.2530122614159076</v>
          </cell>
          <cell r="F114">
            <v>-1.1851101071759791</v>
          </cell>
          <cell r="G114">
            <v>4.2851702051402683</v>
          </cell>
          <cell r="H114">
            <v>2.8826616677088697</v>
          </cell>
          <cell r="I114">
            <v>-2.8024884925772118</v>
          </cell>
          <cell r="O114">
            <v>-3.291143945772522</v>
          </cell>
          <cell r="P114">
            <v>0.26326327737509958</v>
          </cell>
          <cell r="Q114">
            <v>-1.7034539771134134</v>
          </cell>
          <cell r="R114">
            <v>-6.5619833352196775</v>
          </cell>
        </row>
        <row r="115">
          <cell r="C115">
            <v>-100</v>
          </cell>
          <cell r="D115" t="e">
            <v>#DIV/0!</v>
          </cell>
          <cell r="E115">
            <v>-12.08697577845258</v>
          </cell>
          <cell r="F115">
            <v>34.987795866088575</v>
          </cell>
          <cell r="G115">
            <v>-19.349413135555949</v>
          </cell>
          <cell r="H115">
            <v>0.3261416017669605</v>
          </cell>
          <cell r="I115">
            <v>116.93384959793813</v>
          </cell>
          <cell r="O115">
            <v>-9.3631097348701449</v>
          </cell>
          <cell r="P115">
            <v>-16.33709582546</v>
          </cell>
          <cell r="Q115">
            <v>-4.0000000000000036</v>
          </cell>
          <cell r="R115">
            <v>-2.0000000000000129</v>
          </cell>
        </row>
        <row r="116">
          <cell r="C116">
            <v>326.60000000000002</v>
          </cell>
          <cell r="D116">
            <v>264</v>
          </cell>
          <cell r="E116">
            <v>184</v>
          </cell>
          <cell r="F116">
            <v>182.3</v>
          </cell>
          <cell r="G116">
            <v>474.6</v>
          </cell>
          <cell r="H116">
            <v>625.29999999999995</v>
          </cell>
          <cell r="I116">
            <v>457.65</v>
          </cell>
          <cell r="O116">
            <v>1063.8</v>
          </cell>
          <cell r="P116">
            <v>1067.28</v>
          </cell>
          <cell r="Q116">
            <v>1264</v>
          </cell>
          <cell r="R116">
            <v>1563</v>
          </cell>
        </row>
        <row r="117">
          <cell r="C117">
            <v>0</v>
          </cell>
          <cell r="D117">
            <v>24.084099999999999</v>
          </cell>
          <cell r="E117">
            <v>29</v>
          </cell>
          <cell r="F117">
            <v>36</v>
          </cell>
          <cell r="G117">
            <v>68.1631</v>
          </cell>
          <cell r="H117">
            <v>44.838999999999999</v>
          </cell>
          <cell r="I117">
            <v>55.938899999999997</v>
          </cell>
          <cell r="O117">
            <v>78.599999999999994</v>
          </cell>
          <cell r="P117">
            <v>77.069999999999993</v>
          </cell>
          <cell r="Q117">
            <v>74</v>
          </cell>
          <cell r="R117">
            <v>76.304304000000002</v>
          </cell>
        </row>
        <row r="118">
          <cell r="C118">
            <v>0</v>
          </cell>
          <cell r="D118">
            <v>0</v>
          </cell>
          <cell r="E118">
            <v>0</v>
          </cell>
          <cell r="F118">
            <v>0</v>
          </cell>
          <cell r="G118">
            <v>0</v>
          </cell>
          <cell r="H118">
            <v>0</v>
          </cell>
          <cell r="I118" t="e">
            <v>#REF!</v>
          </cell>
          <cell r="O118">
            <v>0</v>
          </cell>
          <cell r="P118">
            <v>0</v>
          </cell>
          <cell r="Q118">
            <v>0</v>
          </cell>
          <cell r="R118">
            <v>0</v>
          </cell>
        </row>
        <row r="119">
          <cell r="C119">
            <v>0</v>
          </cell>
          <cell r="D119">
            <v>0</v>
          </cell>
          <cell r="E119">
            <v>223</v>
          </cell>
          <cell r="F119">
            <v>536</v>
          </cell>
          <cell r="G119">
            <v>585</v>
          </cell>
          <cell r="H119">
            <v>85.991040611967207</v>
          </cell>
          <cell r="I119">
            <v>92.241148413715621</v>
          </cell>
          <cell r="O119">
            <v>276.39999999999998</v>
          </cell>
          <cell r="P119">
            <v>280.39999999999998</v>
          </cell>
          <cell r="Q119">
            <v>80.764352636127057</v>
          </cell>
          <cell r="R119">
            <v>-2.0788338972181464E-2</v>
          </cell>
        </row>
        <row r="122">
          <cell r="O122">
            <v>0</v>
          </cell>
          <cell r="P122">
            <v>44.676363777529225</v>
          </cell>
          <cell r="Q122">
            <v>19.180638216859297</v>
          </cell>
          <cell r="R122">
            <v>35.007020618830509</v>
          </cell>
        </row>
      </sheetData>
      <sheetData sheetId="16" refreshError="1">
        <row r="1">
          <cell r="A1" t="str">
            <v>KENYA AIRWAYS</v>
          </cell>
        </row>
        <row r="12">
          <cell r="F12">
            <v>1</v>
          </cell>
          <cell r="G12">
            <v>2</v>
          </cell>
        </row>
        <row r="13">
          <cell r="E13">
            <v>2</v>
          </cell>
        </row>
        <row r="23">
          <cell r="C23">
            <v>12.428571428571429</v>
          </cell>
          <cell r="D23">
            <v>24.857142857142858</v>
          </cell>
          <cell r="E23">
            <v>24.857142857142858</v>
          </cell>
          <cell r="F23">
            <v>24.857142857142858</v>
          </cell>
          <cell r="G23">
            <v>24.857142857142858</v>
          </cell>
          <cell r="H23">
            <v>24.857142857142858</v>
          </cell>
          <cell r="I23">
            <v>24.857142857142858</v>
          </cell>
        </row>
        <row r="24">
          <cell r="C24">
            <v>161.57142857142858</v>
          </cell>
          <cell r="D24">
            <v>136.71428571428572</v>
          </cell>
          <cell r="E24">
            <v>111.85714285714286</v>
          </cell>
          <cell r="F24">
            <v>87</v>
          </cell>
          <cell r="G24">
            <v>62.142857142857139</v>
          </cell>
          <cell r="H24">
            <v>37.285714285714278</v>
          </cell>
          <cell r="I24">
            <v>12.42857142857142</v>
          </cell>
        </row>
        <row r="31">
          <cell r="C31">
            <v>35</v>
          </cell>
          <cell r="D31">
            <v>35</v>
          </cell>
        </row>
        <row r="32">
          <cell r="C32">
            <v>35</v>
          </cell>
          <cell r="D32">
            <v>35</v>
          </cell>
        </row>
        <row r="34">
          <cell r="C34">
            <v>2.8928571428571428</v>
          </cell>
          <cell r="D34">
            <v>2.5714285714285716</v>
          </cell>
          <cell r="E34">
            <v>2.1428571428571423</v>
          </cell>
          <cell r="F34">
            <v>1.7142857142857142</v>
          </cell>
          <cell r="G34">
            <v>1.2857142857142854</v>
          </cell>
          <cell r="H34">
            <v>0.85714285714285698</v>
          </cell>
          <cell r="I34">
            <v>0.42857142857142844</v>
          </cell>
        </row>
        <row r="35">
          <cell r="C35">
            <v>3.5714285714285716</v>
          </cell>
          <cell r="D35">
            <v>7.1428571428571432</v>
          </cell>
          <cell r="E35">
            <v>7.1428571428571432</v>
          </cell>
          <cell r="F35">
            <v>7.1428571428571432</v>
          </cell>
          <cell r="G35">
            <v>7.1428571428571432</v>
          </cell>
          <cell r="H35">
            <v>7.1428571428571432</v>
          </cell>
          <cell r="I35">
            <v>7.1428571428571432</v>
          </cell>
        </row>
        <row r="36">
          <cell r="C36">
            <v>3.5714285714285716</v>
          </cell>
          <cell r="D36">
            <v>3.5714285714285716</v>
          </cell>
          <cell r="E36">
            <v>3.5714285714285716</v>
          </cell>
          <cell r="F36">
            <v>3.5714285714285716</v>
          </cell>
          <cell r="G36">
            <v>3.5714285714285716</v>
          </cell>
          <cell r="H36">
            <v>3.5714285714285716</v>
          </cell>
          <cell r="I36">
            <v>3.5714285714285716</v>
          </cell>
        </row>
        <row r="37">
          <cell r="D37">
            <v>3.5714285714285716</v>
          </cell>
          <cell r="E37">
            <v>3.5714285714285716</v>
          </cell>
          <cell r="F37">
            <v>3.5714285714285716</v>
          </cell>
          <cell r="G37">
            <v>3.5714285714285716</v>
          </cell>
          <cell r="H37">
            <v>3.5714285714285716</v>
          </cell>
          <cell r="I37">
            <v>3.5714285714285716</v>
          </cell>
        </row>
        <row r="38">
          <cell r="C38">
            <v>46.428571428571431</v>
          </cell>
          <cell r="D38">
            <v>39.285714285714285</v>
          </cell>
          <cell r="E38">
            <v>32.142857142857139</v>
          </cell>
          <cell r="F38">
            <v>24.999999999999996</v>
          </cell>
          <cell r="G38">
            <v>17.857142857142854</v>
          </cell>
          <cell r="H38">
            <v>10.714285714285712</v>
          </cell>
          <cell r="I38">
            <v>3.5714285714285685</v>
          </cell>
        </row>
        <row r="42">
          <cell r="E42">
            <v>80</v>
          </cell>
        </row>
        <row r="43">
          <cell r="E43">
            <v>80</v>
          </cell>
        </row>
        <row r="45">
          <cell r="E45">
            <v>3.7142857142857144</v>
          </cell>
          <cell r="F45">
            <v>3.1428571428571423</v>
          </cell>
          <cell r="G45">
            <v>2.5714285714285712</v>
          </cell>
          <cell r="H45">
            <v>1.9999999999999996</v>
          </cell>
          <cell r="I45">
            <v>1.4285714285714284</v>
          </cell>
          <cell r="O45">
            <v>0</v>
          </cell>
          <cell r="P45">
            <v>0</v>
          </cell>
          <cell r="Q45">
            <v>0</v>
          </cell>
          <cell r="R45">
            <v>0</v>
          </cell>
        </row>
        <row r="46">
          <cell r="E46">
            <v>7.1428571428571432</v>
          </cell>
          <cell r="F46">
            <v>7.1428571428571432</v>
          </cell>
          <cell r="G46">
            <v>7.1428571428571432</v>
          </cell>
          <cell r="H46">
            <v>7.1428571428571432</v>
          </cell>
          <cell r="I46">
            <v>7.1428571428571432</v>
          </cell>
        </row>
        <row r="47">
          <cell r="E47">
            <v>7.1428571428571432</v>
          </cell>
          <cell r="F47">
            <v>7.1428571428571432</v>
          </cell>
          <cell r="G47">
            <v>7.1428571428571432</v>
          </cell>
          <cell r="H47">
            <v>7.1428571428571432</v>
          </cell>
          <cell r="I47">
            <v>7.1428571428571432</v>
          </cell>
        </row>
        <row r="48">
          <cell r="E48">
            <v>42.857142857142854</v>
          </cell>
          <cell r="F48">
            <v>35.714285714285708</v>
          </cell>
          <cell r="G48">
            <v>28.571428571428566</v>
          </cell>
          <cell r="H48">
            <v>21.428571428571423</v>
          </cell>
          <cell r="I48">
            <v>14.285714285714281</v>
          </cell>
        </row>
        <row r="52">
          <cell r="F52">
            <v>125</v>
          </cell>
          <cell r="G52">
            <v>250</v>
          </cell>
        </row>
        <row r="53">
          <cell r="F53">
            <v>125</v>
          </cell>
          <cell r="G53">
            <v>250</v>
          </cell>
        </row>
        <row r="55">
          <cell r="F55">
            <v>5.64</v>
          </cell>
          <cell r="G55">
            <v>5.28</v>
          </cell>
          <cell r="H55">
            <v>4.8</v>
          </cell>
          <cell r="I55">
            <v>4.32</v>
          </cell>
          <cell r="O55">
            <v>1.44</v>
          </cell>
          <cell r="P55">
            <v>0.96</v>
          </cell>
          <cell r="Q55">
            <v>0.48</v>
          </cell>
          <cell r="R55">
            <v>0.12</v>
          </cell>
        </row>
        <row r="56">
          <cell r="F56">
            <v>6</v>
          </cell>
          <cell r="G56">
            <v>12</v>
          </cell>
          <cell r="H56">
            <v>12</v>
          </cell>
          <cell r="I56">
            <v>12</v>
          </cell>
          <cell r="O56">
            <v>12</v>
          </cell>
          <cell r="P56">
            <v>12</v>
          </cell>
          <cell r="Q56">
            <v>12</v>
          </cell>
          <cell r="R56">
            <v>6</v>
          </cell>
        </row>
        <row r="57">
          <cell r="F57">
            <v>6</v>
          </cell>
          <cell r="G57">
            <v>6</v>
          </cell>
          <cell r="H57">
            <v>6</v>
          </cell>
          <cell r="I57">
            <v>6</v>
          </cell>
          <cell r="O57">
            <v>6</v>
          </cell>
          <cell r="P57">
            <v>6</v>
          </cell>
          <cell r="Q57">
            <v>6</v>
          </cell>
        </row>
        <row r="58">
          <cell r="G58">
            <v>6</v>
          </cell>
          <cell r="H58">
            <v>6</v>
          </cell>
          <cell r="I58">
            <v>6</v>
          </cell>
          <cell r="O58">
            <v>6</v>
          </cell>
          <cell r="P58">
            <v>6</v>
          </cell>
          <cell r="Q58">
            <v>6</v>
          </cell>
          <cell r="R58">
            <v>6</v>
          </cell>
        </row>
        <row r="59">
          <cell r="F59">
            <v>138</v>
          </cell>
          <cell r="G59">
            <v>126</v>
          </cell>
          <cell r="H59">
            <v>114</v>
          </cell>
          <cell r="I59">
            <v>102</v>
          </cell>
          <cell r="O59">
            <v>30</v>
          </cell>
          <cell r="P59">
            <v>18</v>
          </cell>
          <cell r="Q59">
            <v>6</v>
          </cell>
          <cell r="R59">
            <v>0</v>
          </cell>
        </row>
        <row r="63">
          <cell r="D63">
            <v>0</v>
          </cell>
          <cell r="E63">
            <v>80</v>
          </cell>
          <cell r="F63">
            <v>125</v>
          </cell>
        </row>
        <row r="64">
          <cell r="D64">
            <v>0</v>
          </cell>
          <cell r="E64">
            <v>64.390243902439025</v>
          </cell>
          <cell r="F64">
            <v>100.60975609756098</v>
          </cell>
        </row>
        <row r="65">
          <cell r="D65">
            <v>0</v>
          </cell>
          <cell r="E65">
            <v>15.609756097560975</v>
          </cell>
          <cell r="F65">
            <v>24.390243902439025</v>
          </cell>
        </row>
        <row r="67">
          <cell r="D67">
            <v>0</v>
          </cell>
          <cell r="E67">
            <v>1.851219512195122</v>
          </cell>
          <cell r="F67">
            <v>6.433993902439024</v>
          </cell>
          <cell r="G67">
            <v>8.7530487804878039</v>
          </cell>
          <cell r="H67">
            <v>7.9280487804878037</v>
          </cell>
          <cell r="I67">
            <v>7.1030487804878044</v>
          </cell>
          <cell r="O67">
            <v>2.1530487804878038</v>
          </cell>
          <cell r="P67">
            <v>1.3280487804878038</v>
          </cell>
          <cell r="Q67">
            <v>0.58353658536585262</v>
          </cell>
          <cell r="R67">
            <v>0.12576219512195019</v>
          </cell>
        </row>
        <row r="68">
          <cell r="E68">
            <v>2.6829268292682928</v>
          </cell>
          <cell r="F68">
            <v>9.5579268292682933</v>
          </cell>
          <cell r="G68">
            <v>13.75</v>
          </cell>
          <cell r="H68">
            <v>13.75</v>
          </cell>
          <cell r="I68">
            <v>13.75</v>
          </cell>
          <cell r="O68">
            <v>13.75</v>
          </cell>
          <cell r="P68">
            <v>13.75</v>
          </cell>
          <cell r="Q68">
            <v>11.067073170731708</v>
          </cell>
          <cell r="R68">
            <v>4.1920731707317076</v>
          </cell>
        </row>
        <row r="69">
          <cell r="D69">
            <v>0</v>
          </cell>
          <cell r="E69">
            <v>0</v>
          </cell>
          <cell r="F69">
            <v>0</v>
          </cell>
          <cell r="G69">
            <v>0</v>
          </cell>
          <cell r="H69">
            <v>0</v>
          </cell>
          <cell r="I69">
            <v>0</v>
          </cell>
          <cell r="O69">
            <v>0</v>
          </cell>
        </row>
        <row r="70">
          <cell r="E70">
            <v>0</v>
          </cell>
          <cell r="F70">
            <v>0</v>
          </cell>
          <cell r="G70">
            <v>0</v>
          </cell>
          <cell r="H70">
            <v>0</v>
          </cell>
          <cell r="I70">
            <v>0</v>
          </cell>
          <cell r="O70">
            <v>0</v>
          </cell>
          <cell r="P70">
            <v>0</v>
          </cell>
        </row>
        <row r="71">
          <cell r="E71">
            <v>2.6829268292682928</v>
          </cell>
          <cell r="F71">
            <v>5.3658536585365857</v>
          </cell>
          <cell r="G71">
            <v>5.3658536585365857</v>
          </cell>
          <cell r="H71">
            <v>5.3658536585365857</v>
          </cell>
          <cell r="I71">
            <v>5.3658536585365857</v>
          </cell>
          <cell r="O71">
            <v>5.3658536585365857</v>
          </cell>
          <cell r="P71">
            <v>5.3658536585365857</v>
          </cell>
          <cell r="Q71">
            <v>2.6829268292682928</v>
          </cell>
        </row>
        <row r="72">
          <cell r="F72">
            <v>4.1920731707317076</v>
          </cell>
          <cell r="G72">
            <v>8.3841463414634152</v>
          </cell>
          <cell r="H72">
            <v>8.3841463414634152</v>
          </cell>
          <cell r="I72">
            <v>8.3841463414634152</v>
          </cell>
          <cell r="O72">
            <v>8.3841463414634152</v>
          </cell>
          <cell r="P72">
            <v>8.3841463414634152</v>
          </cell>
          <cell r="Q72">
            <v>8.3841463414634152</v>
          </cell>
          <cell r="R72">
            <v>4.1920731707317076</v>
          </cell>
        </row>
        <row r="73">
          <cell r="D73">
            <v>0</v>
          </cell>
          <cell r="E73">
            <v>61.707317073170735</v>
          </cell>
          <cell r="F73">
            <v>152.75914634146341</v>
          </cell>
          <cell r="G73">
            <v>139.00914634146341</v>
          </cell>
          <cell r="H73">
            <v>125.25914634146341</v>
          </cell>
          <cell r="I73">
            <v>111.50914634146341</v>
          </cell>
          <cell r="O73">
            <v>29.009146341463399</v>
          </cell>
          <cell r="P73">
            <v>15.259146341463399</v>
          </cell>
          <cell r="Q73">
            <v>4.1920731707316907</v>
          </cell>
          <cell r="R73">
            <v>-1.7319479184152442E-14</v>
          </cell>
        </row>
        <row r="74">
          <cell r="C74">
            <v>0</v>
          </cell>
          <cell r="D74">
            <v>0</v>
          </cell>
          <cell r="E74">
            <v>0</v>
          </cell>
          <cell r="F74">
            <v>0</v>
          </cell>
          <cell r="G74">
            <v>0</v>
          </cell>
          <cell r="H74">
            <v>0</v>
          </cell>
          <cell r="I74">
            <v>0</v>
          </cell>
          <cell r="O74">
            <v>0</v>
          </cell>
          <cell r="P74">
            <v>0</v>
          </cell>
          <cell r="Q74">
            <v>0</v>
          </cell>
          <cell r="R74">
            <v>0</v>
          </cell>
        </row>
        <row r="75">
          <cell r="C75">
            <v>0</v>
          </cell>
          <cell r="E75">
            <v>0</v>
          </cell>
          <cell r="F75">
            <v>0</v>
          </cell>
          <cell r="G75">
            <v>0</v>
          </cell>
          <cell r="H75">
            <v>0</v>
          </cell>
          <cell r="I75">
            <v>0</v>
          </cell>
          <cell r="O75">
            <v>0</v>
          </cell>
          <cell r="P75">
            <v>0</v>
          </cell>
          <cell r="Q75">
            <v>0</v>
          </cell>
          <cell r="R75">
            <v>0</v>
          </cell>
        </row>
        <row r="76">
          <cell r="C76">
            <v>64.390243902439025</v>
          </cell>
          <cell r="E76">
            <v>61.707317073170735</v>
          </cell>
          <cell r="F76">
            <v>56.341463414634148</v>
          </cell>
          <cell r="G76">
            <v>50.975609756097562</v>
          </cell>
          <cell r="H76">
            <v>45.609756097560975</v>
          </cell>
          <cell r="I76">
            <v>40.243902439024389</v>
          </cell>
          <cell r="O76">
            <v>8.0487804878048692</v>
          </cell>
          <cell r="P76">
            <v>2.6829268292682835</v>
          </cell>
          <cell r="Q76">
            <v>-9.3258734068513149E-15</v>
          </cell>
          <cell r="R76">
            <v>-9.3258734068513149E-15</v>
          </cell>
        </row>
        <row r="77">
          <cell r="C77">
            <v>100.60975609756098</v>
          </cell>
          <cell r="F77">
            <v>96.417682926829272</v>
          </cell>
          <cell r="G77">
            <v>88.033536585365852</v>
          </cell>
          <cell r="H77">
            <v>79.649390243902431</v>
          </cell>
          <cell r="I77">
            <v>71.265243902439011</v>
          </cell>
          <cell r="O77">
            <v>20.96036585365853</v>
          </cell>
          <cell r="P77">
            <v>12.576219512195115</v>
          </cell>
          <cell r="Q77">
            <v>4.1920731707316996</v>
          </cell>
          <cell r="R77">
            <v>-7.9936057773011271E-15</v>
          </cell>
        </row>
      </sheetData>
      <sheetData sheetId="17" refreshError="1">
        <row r="9">
          <cell r="C9">
            <v>-8.0590328594759697</v>
          </cell>
          <cell r="D9">
            <v>-7.999486713194508</v>
          </cell>
          <cell r="E9">
            <v>-4.3107123270295018</v>
          </cell>
          <cell r="F9">
            <v>-3.8992249284908356</v>
          </cell>
          <cell r="G9">
            <v>1.24071096876159</v>
          </cell>
          <cell r="H9">
            <v>-0.19333802988284404</v>
          </cell>
          <cell r="I9">
            <v>-5.7008965887577849</v>
          </cell>
          <cell r="O9">
            <v>-4.2669887343995176</v>
          </cell>
          <cell r="P9">
            <v>-0.45898655494479762</v>
          </cell>
          <cell r="Q9">
            <v>-2.6391235281573286</v>
          </cell>
          <cell r="R9">
            <v>-7.2366468251728309</v>
          </cell>
        </row>
        <row r="10">
          <cell r="C10">
            <v>-5.7350746418444096</v>
          </cell>
          <cell r="D10">
            <v>-5.5989845533520519</v>
          </cell>
          <cell r="E10">
            <v>-1.8083850719286323</v>
          </cell>
          <cell r="F10">
            <v>-1.2934330931628188</v>
          </cell>
          <cell r="G10">
            <v>2.8745151958443795</v>
          </cell>
          <cell r="H10">
            <v>-0.2124325685274949</v>
          </cell>
          <cell r="I10">
            <v>-5.7494286526163032</v>
          </cell>
          <cell r="O10">
            <v>-3.4907537552819932</v>
          </cell>
          <cell r="P10">
            <v>-0.45898655494479762</v>
          </cell>
          <cell r="Q10">
            <v>-2.2605701983456679</v>
          </cell>
          <cell r="R10">
            <v>-7.2366468251728309</v>
          </cell>
        </row>
        <row r="11">
          <cell r="C11">
            <v>-496.94078543449996</v>
          </cell>
          <cell r="D11">
            <v>-389.44233410726935</v>
          </cell>
          <cell r="E11">
            <v>-102.14684432404962</v>
          </cell>
          <cell r="F11">
            <v>-97.423871021450623</v>
          </cell>
          <cell r="G11">
            <v>246.47510763789228</v>
          </cell>
          <cell r="H11">
            <v>206.07846653088959</v>
          </cell>
          <cell r="I11">
            <v>-248.30389561038157</v>
          </cell>
          <cell r="O11">
            <v>-375.06243308247144</v>
          </cell>
          <cell r="P11">
            <v>32.467593768410183</v>
          </cell>
          <cell r="Q11">
            <v>-238.49495877352069</v>
          </cell>
          <cell r="R11">
            <v>-953.33864865021133</v>
          </cell>
        </row>
        <row r="12">
          <cell r="C12">
            <v>-5.9224083178809668</v>
          </cell>
          <cell r="D12">
            <v>-4.5541690379804889</v>
          </cell>
          <cell r="E12">
            <v>-1.2530122614159076</v>
          </cell>
          <cell r="F12">
            <v>-1.1851101071759791</v>
          </cell>
          <cell r="G12">
            <v>4.2851702051402683</v>
          </cell>
          <cell r="H12">
            <v>2.8826616677088697</v>
          </cell>
          <cell r="I12">
            <v>-2.8024884925772118</v>
          </cell>
          <cell r="O12">
            <v>-3.291143945772522</v>
          </cell>
          <cell r="P12">
            <v>0.26326327737509958</v>
          </cell>
          <cell r="Q12">
            <v>-1.7034539771134134</v>
          </cell>
          <cell r="R12">
            <v>-6.5619833352196775</v>
          </cell>
        </row>
        <row r="13">
          <cell r="C13">
            <v>1780.42199447551</v>
          </cell>
          <cell r="D13">
            <v>2691.2815347284763</v>
          </cell>
          <cell r="E13">
            <v>2319.9742254383154</v>
          </cell>
          <cell r="F13">
            <v>2192.506280295539</v>
          </cell>
          <cell r="G13">
            <v>1953.0105836714201</v>
          </cell>
          <cell r="H13">
            <v>2446.5123500715404</v>
          </cell>
          <cell r="I13">
            <v>3542.004457916667</v>
          </cell>
          <cell r="O13">
            <v>4001.5123727944429</v>
          </cell>
          <cell r="P13">
            <v>3792.5556502817026</v>
          </cell>
          <cell r="Q13">
            <v>4416.2743801743827</v>
          </cell>
          <cell r="R13">
            <v>5307.2757270392131</v>
          </cell>
        </row>
        <row r="14">
          <cell r="C14">
            <v>913.28000000000009</v>
          </cell>
          <cell r="D14">
            <v>2207.1423944199378</v>
          </cell>
          <cell r="E14">
            <v>2196.9373499806829</v>
          </cell>
          <cell r="F14">
            <v>2158.7913295423959</v>
          </cell>
          <cell r="G14">
            <v>2237.653790083612</v>
          </cell>
          <cell r="H14">
            <v>2647.6922949497589</v>
          </cell>
          <cell r="I14">
            <v>2948.3534720937819</v>
          </cell>
          <cell r="O14">
            <v>2968.3</v>
          </cell>
          <cell r="P14">
            <v>3280.75</v>
          </cell>
          <cell r="Q14">
            <v>3673.5989527497873</v>
          </cell>
          <cell r="R14">
            <v>3864.286311095861</v>
          </cell>
        </row>
        <row r="16">
          <cell r="D16">
            <v>-9.6163661282811432</v>
          </cell>
          <cell r="E16">
            <v>7.9877630966546036</v>
          </cell>
          <cell r="F16">
            <v>5.1088187873699695</v>
          </cell>
          <cell r="G16">
            <v>-0.57468437644773473</v>
          </cell>
          <cell r="H16">
            <v>11.659007462018181</v>
          </cell>
          <cell r="I16">
            <v>-3.1990492332164706</v>
          </cell>
          <cell r="O16">
            <v>-2.6029107514025185</v>
          </cell>
          <cell r="P16">
            <v>-4.5392147333984383</v>
          </cell>
          <cell r="Q16">
            <v>-1.4553207095035816</v>
          </cell>
          <cell r="R16">
            <v>1.6395582552446228</v>
          </cell>
        </row>
        <row r="17">
          <cell r="C17">
            <v>110.63949933892856</v>
          </cell>
          <cell r="D17">
            <v>100</v>
          </cell>
          <cell r="E17">
            <v>107.9877630966546</v>
          </cell>
          <cell r="F17">
            <v>113.50466222579708</v>
          </cell>
          <cell r="G17">
            <v>112.85236866544565</v>
          </cell>
          <cell r="H17">
            <v>126.00983474921424</v>
          </cell>
          <cell r="I17">
            <v>121.97871809689215</v>
          </cell>
          <cell r="O17">
            <v>115.79029624634387</v>
          </cell>
          <cell r="P17">
            <v>110.53432605928413</v>
          </cell>
          <cell r="Q17">
            <v>108.92569712103315</v>
          </cell>
          <cell r="R17">
            <v>110.71159738026381</v>
          </cell>
        </row>
        <row r="19">
          <cell r="C19">
            <v>0</v>
          </cell>
          <cell r="D19">
            <v>9.1697099651736096</v>
          </cell>
          <cell r="E19">
            <v>5.8643665340756286</v>
          </cell>
          <cell r="F19">
            <v>-4.0606380834519342</v>
          </cell>
          <cell r="G19">
            <v>8.9090266477168285</v>
          </cell>
          <cell r="H19">
            <v>34.556876388622072</v>
          </cell>
          <cell r="I19">
            <v>29.64405547389822</v>
          </cell>
          <cell r="O19">
            <v>6.0864073618801768</v>
          </cell>
          <cell r="P19">
            <v>15.278515998724345</v>
          </cell>
          <cell r="Q19">
            <v>15.906011256430247</v>
          </cell>
          <cell r="R19">
            <v>5.0043384133947768</v>
          </cell>
        </row>
        <row r="20">
          <cell r="C20">
            <v>0</v>
          </cell>
          <cell r="D20">
            <v>7.9166227481434674</v>
          </cell>
          <cell r="E20">
            <v>6.5054056677006855</v>
          </cell>
          <cell r="F20">
            <v>-4.9880874998115274</v>
          </cell>
          <cell r="G20">
            <v>11.675418942849646</v>
          </cell>
          <cell r="H20">
            <v>19.112028314399026</v>
          </cell>
          <cell r="I20">
            <v>16.601125186066227</v>
          </cell>
          <cell r="O20">
            <v>11.64589967981297</v>
          </cell>
          <cell r="P20">
            <v>16.725654503826277</v>
          </cell>
          <cell r="Q20">
            <v>5.8458752493471877</v>
          </cell>
          <cell r="R20">
            <v>4.4981657047917736</v>
          </cell>
        </row>
        <row r="21">
          <cell r="C21">
            <v>92.664130375336768</v>
          </cell>
          <cell r="D21">
            <v>100</v>
          </cell>
          <cell r="E21">
            <v>106.50540566770069</v>
          </cell>
          <cell r="F21">
            <v>101.19282284096656</v>
          </cell>
          <cell r="G21">
            <v>113.00750884774504</v>
          </cell>
          <cell r="H21">
            <v>134.60553593612306</v>
          </cell>
          <cell r="I21">
            <v>156.95156946425422</v>
          </cell>
          <cell r="O21">
            <v>154.30680000079653</v>
          </cell>
          <cell r="P21">
            <v>180.11562224483995</v>
          </cell>
          <cell r="Q21">
            <v>190.64495682585874</v>
          </cell>
          <cell r="R21">
            <v>199.22048289171462</v>
          </cell>
        </row>
        <row r="22">
          <cell r="C22">
            <v>0</v>
          </cell>
          <cell r="D22">
            <v>17.500000000000004</v>
          </cell>
          <cell r="E22">
            <v>-26.400000000000002</v>
          </cell>
          <cell r="F22">
            <v>-7.1999999999999957</v>
          </cell>
          <cell r="G22">
            <v>13.100000000000001</v>
          </cell>
          <cell r="H22">
            <v>-9.8000000000000078</v>
          </cell>
          <cell r="I22">
            <v>12.5</v>
          </cell>
          <cell r="O22">
            <v>-29.989787813457379</v>
          </cell>
          <cell r="P22">
            <v>-9.4</v>
          </cell>
          <cell r="Q22">
            <v>5</v>
          </cell>
          <cell r="R22">
            <v>0</v>
          </cell>
        </row>
        <row r="23">
          <cell r="C23">
            <v>0</v>
          </cell>
          <cell r="D23">
            <v>9.0000000000000071</v>
          </cell>
          <cell r="E23">
            <v>9.9999999999988987E-2</v>
          </cell>
          <cell r="F23">
            <v>-5.2000000000000153</v>
          </cell>
          <cell r="G23">
            <v>13.200000000000012</v>
          </cell>
          <cell r="H23">
            <v>-7.1450000000000014</v>
          </cell>
          <cell r="I23">
            <v>27</v>
          </cell>
          <cell r="O23">
            <v>23.573269513991168</v>
          </cell>
          <cell r="P23">
            <v>2.0856610800744857</v>
          </cell>
          <cell r="Q23">
            <v>3</v>
          </cell>
          <cell r="R23">
            <v>3</v>
          </cell>
        </row>
        <row r="24">
          <cell r="C24">
            <v>0</v>
          </cell>
          <cell r="D24">
            <v>-1.2376427308265221</v>
          </cell>
          <cell r="E24">
            <v>2.1363398718885662</v>
          </cell>
          <cell r="F24">
            <v>-2.7429857983900661</v>
          </cell>
          <cell r="G24">
            <v>15.433096758261982</v>
          </cell>
          <cell r="H24">
            <v>37.345613772058385</v>
          </cell>
          <cell r="I24">
            <v>7.0112644097173984</v>
          </cell>
          <cell r="O24">
            <v>-0.8729694361518483</v>
          </cell>
          <cell r="P24">
            <v>25.977095190546734</v>
          </cell>
          <cell r="Q24">
            <v>9.0724931801522928</v>
          </cell>
          <cell r="R24">
            <v>7.5655493340135251</v>
          </cell>
        </row>
        <row r="25">
          <cell r="C25">
            <v>0</v>
          </cell>
          <cell r="D25">
            <v>1.1611623725055082</v>
          </cell>
          <cell r="E25">
            <v>-0.60188412936064317</v>
          </cell>
          <cell r="F25">
            <v>0.97614014069839561</v>
          </cell>
          <cell r="G25">
            <v>-2.4771720771860544</v>
          </cell>
          <cell r="H25">
            <v>12.966656930277425</v>
          </cell>
          <cell r="I25">
            <v>11.185938615102332</v>
          </cell>
          <cell r="O25">
            <v>-4.9795759037069587</v>
          </cell>
          <cell r="P25">
            <v>-1.2397775889571068</v>
          </cell>
          <cell r="Q25">
            <v>9.5045139769347102</v>
          </cell>
          <cell r="R25">
            <v>0.48438430013493927</v>
          </cell>
        </row>
        <row r="26">
          <cell r="C26">
            <v>98.85216584579193</v>
          </cell>
          <cell r="D26">
            <v>100</v>
          </cell>
          <cell r="E26">
            <v>99.398115870639359</v>
          </cell>
          <cell r="F26">
            <v>100.36838077875058</v>
          </cell>
          <cell r="G26">
            <v>97.882083275775599</v>
          </cell>
          <cell r="H26">
            <v>110.57411721035388</v>
          </cell>
          <cell r="I26">
            <v>122.94287008569536</v>
          </cell>
          <cell r="O26">
            <v>122.28972576418596</v>
          </cell>
          <cell r="P26">
            <v>120.77360515056448</v>
          </cell>
          <cell r="Q26">
            <v>132.2525493325478</v>
          </cell>
          <cell r="R26">
            <v>132.89315991804287</v>
          </cell>
        </row>
        <row r="27">
          <cell r="C27">
            <v>89.762788748959011</v>
          </cell>
          <cell r="D27">
            <v>75.407596779572685</v>
          </cell>
          <cell r="E27">
            <v>84.842997603432352</v>
          </cell>
          <cell r="F27">
            <v>73.775501678057182</v>
          </cell>
          <cell r="G27">
            <v>89.961187393299454</v>
          </cell>
          <cell r="H27">
            <v>131.83953554085667</v>
          </cell>
          <cell r="I27">
            <v>141.64006665172647</v>
          </cell>
          <cell r="O27">
            <v>68.81147728390512</v>
          </cell>
          <cell r="P27">
            <v>67.095306975673964</v>
          </cell>
          <cell r="Q27">
            <v>73.365078331450576</v>
          </cell>
          <cell r="R27">
            <v>80.027004475934618</v>
          </cell>
        </row>
        <row r="29">
          <cell r="C29">
            <v>17.608875067541049</v>
          </cell>
          <cell r="D29">
            <v>-15.35363972587885</v>
          </cell>
          <cell r="E29">
            <v>-4.6223309185141659</v>
          </cell>
          <cell r="F29">
            <v>-13.933785300493682</v>
          </cell>
          <cell r="G29">
            <v>27.145681049161794</v>
          </cell>
          <cell r="H29">
            <v>27.145681049161794</v>
          </cell>
          <cell r="I29">
            <v>51.694935134223357</v>
          </cell>
          <cell r="O29">
            <v>4.716906938335967</v>
          </cell>
          <cell r="P29">
            <v>-3.718060478861446</v>
          </cell>
          <cell r="Q29">
            <v>21.400419230644488</v>
          </cell>
          <cell r="R29">
            <v>21.935075327416811</v>
          </cell>
        </row>
        <row r="30">
          <cell r="C30">
            <v>0</v>
          </cell>
          <cell r="D30">
            <v>4.7496493322946698</v>
          </cell>
          <cell r="E30">
            <v>-8.0387890634463268</v>
          </cell>
          <cell r="F30">
            <v>-0.71878245812400099</v>
          </cell>
          <cell r="G30">
            <v>-12.254794664121761</v>
          </cell>
          <cell r="H30">
            <v>25.67390179381912</v>
          </cell>
          <cell r="I30">
            <v>32.068983995641908</v>
          </cell>
          <cell r="O30">
            <v>7.3361019792383297</v>
          </cell>
          <cell r="P30">
            <v>-6.9347017524373777</v>
          </cell>
          <cell r="Q30">
            <v>9.2499746753413206</v>
          </cell>
          <cell r="R30">
            <v>23.336847594954936</v>
          </cell>
        </row>
        <row r="31">
          <cell r="C31">
            <v>95.465713381791403</v>
          </cell>
          <cell r="D31">
            <v>100</v>
          </cell>
          <cell r="E31">
            <v>91.96121093655367</v>
          </cell>
          <cell r="F31">
            <v>91.300209884063307</v>
          </cell>
          <cell r="G31">
            <v>80.111556634859156</v>
          </cell>
          <cell r="H31">
            <v>100.67931901079268</v>
          </cell>
          <cell r="I31">
            <v>132.96615371128505</v>
          </cell>
          <cell r="O31">
            <v>141.83246208286968</v>
          </cell>
          <cell r="P31">
            <v>131.99680384928385</v>
          </cell>
          <cell r="Q31">
            <v>144.20647477760255</v>
          </cell>
          <cell r="R31">
            <v>177.8597200185088</v>
          </cell>
        </row>
        <row r="32">
          <cell r="C32">
            <v>0</v>
          </cell>
          <cell r="D32">
            <v>11.924203574380655</v>
          </cell>
          <cell r="E32">
            <v>-7.9542783179303926</v>
          </cell>
          <cell r="F32">
            <v>-3.9318096182127054</v>
          </cell>
          <cell r="G32">
            <v>-1.9134841954554056</v>
          </cell>
          <cell r="H32">
            <v>1.171109700848856</v>
          </cell>
          <cell r="I32">
            <v>14.860378678485979</v>
          </cell>
          <cell r="O32">
            <v>-2.4401808828580274</v>
          </cell>
          <cell r="P32">
            <v>3.4563272606931732</v>
          </cell>
          <cell r="Q32">
            <v>11.121690958199943</v>
          </cell>
          <cell r="R32">
            <v>-1.1365397242368496</v>
          </cell>
        </row>
        <row r="33">
          <cell r="C33">
            <v>95.465713381791403</v>
          </cell>
          <cell r="D33">
            <v>100</v>
          </cell>
          <cell r="E33">
            <v>91.96121093655367</v>
          </cell>
          <cell r="F33">
            <v>91.300209884063307</v>
          </cell>
          <cell r="G33">
            <v>80.111556634859156</v>
          </cell>
          <cell r="H33">
            <v>100.67931901079268</v>
          </cell>
          <cell r="I33">
            <v>132.96615371128505</v>
          </cell>
          <cell r="O33">
            <v>141.83246208286968</v>
          </cell>
          <cell r="P33">
            <v>131.99680384928385</v>
          </cell>
          <cell r="Q33">
            <v>144.20647477760255</v>
          </cell>
          <cell r="R33">
            <v>177.8597200185088</v>
          </cell>
        </row>
        <row r="34">
          <cell r="C34">
            <v>0</v>
          </cell>
          <cell r="D34">
            <v>-6.0247264873474364</v>
          </cell>
          <cell r="E34">
            <v>-4.0031994846954291</v>
          </cell>
          <cell r="F34">
            <v>-3.2477723242018754</v>
          </cell>
          <cell r="G34">
            <v>-5.5962230424863577</v>
          </cell>
          <cell r="H34">
            <v>11.650565967867394</v>
          </cell>
          <cell r="I34">
            <v>43.198326444067703</v>
          </cell>
          <cell r="O34">
            <v>8.3650478982286103</v>
          </cell>
          <cell r="P34">
            <v>-3.64046767426575</v>
          </cell>
          <cell r="Q34">
            <v>4.7148387396206886</v>
          </cell>
          <cell r="R34">
            <v>28.271691255308383</v>
          </cell>
        </row>
        <row r="36">
          <cell r="C36">
            <v>0</v>
          </cell>
          <cell r="D36">
            <v>0</v>
          </cell>
          <cell r="E36">
            <v>-6.8738074860359859</v>
          </cell>
          <cell r="F36">
            <v>2.6441925275446891</v>
          </cell>
          <cell r="G36">
            <v>-4.7936006499744224</v>
          </cell>
          <cell r="H36">
            <v>19.033282033000901</v>
          </cell>
          <cell r="I36">
            <v>-3.0402700148216297</v>
          </cell>
          <cell r="O36">
            <v>18.858465098341682</v>
          </cell>
          <cell r="P36">
            <v>-7.3004542504866947</v>
          </cell>
          <cell r="Q36">
            <v>-10.045502275113748</v>
          </cell>
          <cell r="R36">
            <v>12.000000000000014</v>
          </cell>
        </row>
        <row r="38">
          <cell r="D38">
            <v>100</v>
          </cell>
          <cell r="E38">
            <v>90.069746264988908</v>
          </cell>
          <cell r="F38">
            <v>88.9774534614521</v>
          </cell>
          <cell r="G38">
            <v>77.917614014357952</v>
          </cell>
          <cell r="H38">
            <v>95.070005549991507</v>
          </cell>
          <cell r="I38">
            <v>119.80724276190283</v>
          </cell>
          <cell r="O38">
            <v>114.57837142496412</v>
          </cell>
          <cell r="P38">
            <v>106.62173982850538</v>
          </cell>
          <cell r="Q38">
            <v>116.46949282353722</v>
          </cell>
          <cell r="R38">
            <v>139.87322381536816</v>
          </cell>
        </row>
        <row r="41">
          <cell r="C41">
            <v>7.3425161942707939</v>
          </cell>
          <cell r="D41">
            <v>4.2104847173281614</v>
          </cell>
          <cell r="E41">
            <v>3.5987645733911391</v>
          </cell>
          <cell r="F41">
            <v>1.0161901913111528</v>
          </cell>
          <cell r="G41">
            <v>2.4106997259991982</v>
          </cell>
          <cell r="H41">
            <v>-2.920396259504916</v>
          </cell>
          <cell r="I41">
            <v>-0.73914732806349204</v>
          </cell>
          <cell r="O41">
            <v>-1.9907862124654623</v>
          </cell>
          <cell r="P41">
            <v>0.18753187118035422</v>
          </cell>
          <cell r="Q41">
            <v>-9.2042668587564394E-2</v>
          </cell>
          <cell r="R41">
            <v>0.5304588966048468</v>
          </cell>
        </row>
        <row r="43">
          <cell r="C43">
            <v>0</v>
          </cell>
          <cell r="D43">
            <v>0</v>
          </cell>
          <cell r="E43">
            <v>0</v>
          </cell>
          <cell r="F43">
            <v>0</v>
          </cell>
          <cell r="G43">
            <v>0</v>
          </cell>
          <cell r="H43">
            <v>625.29999999999995</v>
          </cell>
          <cell r="I43">
            <v>453.3</v>
          </cell>
          <cell r="O43">
            <v>1063.8</v>
          </cell>
          <cell r="P43">
            <v>1067.28</v>
          </cell>
          <cell r="Q43">
            <v>1264</v>
          </cell>
          <cell r="R43">
            <v>1563</v>
          </cell>
        </row>
        <row r="44">
          <cell r="C44">
            <v>0</v>
          </cell>
          <cell r="D44">
            <v>0</v>
          </cell>
          <cell r="E44">
            <v>0</v>
          </cell>
          <cell r="F44">
            <v>0</v>
          </cell>
          <cell r="G44">
            <v>0</v>
          </cell>
          <cell r="H44">
            <v>436.75350985499995</v>
          </cell>
          <cell r="I44">
            <v>298.82401349700001</v>
          </cell>
          <cell r="O44">
            <v>835.63617599999986</v>
          </cell>
          <cell r="P44">
            <v>824.26034399999992</v>
          </cell>
          <cell r="Q44">
            <v>909.85717120831009</v>
          </cell>
          <cell r="R44">
            <v>1126.1356884718546</v>
          </cell>
        </row>
        <row r="45">
          <cell r="C45">
            <v>1.456257901459354</v>
          </cell>
          <cell r="D45">
            <v>1.3655324120687014</v>
          </cell>
          <cell r="E45">
            <v>1.0070666706151339</v>
          </cell>
          <cell r="F45">
            <v>1.1201168177427798</v>
          </cell>
          <cell r="G45">
            <v>2.3278852444106661</v>
          </cell>
          <cell r="H45">
            <v>1.8886438979575679</v>
          </cell>
          <cell r="I45">
            <v>1.59076557657214</v>
          </cell>
          <cell r="O45">
            <v>3.4787863209050984</v>
          </cell>
          <cell r="P45">
            <v>2.9000372027370012</v>
          </cell>
          <cell r="Q45">
            <v>2.8579634411536068</v>
          </cell>
          <cell r="R45">
            <v>3.0262928831591136</v>
          </cell>
        </row>
        <row r="46">
          <cell r="C46">
            <v>0</v>
          </cell>
          <cell r="D46">
            <v>0</v>
          </cell>
          <cell r="E46">
            <v>0</v>
          </cell>
          <cell r="F46">
            <v>0</v>
          </cell>
          <cell r="G46">
            <v>0</v>
          </cell>
          <cell r="H46">
            <v>2.1184614782821192</v>
          </cell>
          <cell r="I46">
            <v>1.5756452220258956</v>
          </cell>
          <cell r="O46">
            <v>3.3659624741569178</v>
          </cell>
          <cell r="P46">
            <v>2.9000372027370012</v>
          </cell>
          <cell r="Q46">
            <v>2.8579634411536068</v>
          </cell>
          <cell r="R46">
            <v>3.0262928831591136</v>
          </cell>
        </row>
        <row r="48">
          <cell r="C48">
            <v>410.58109999999999</v>
          </cell>
          <cell r="D48">
            <v>794.52555233333328</v>
          </cell>
          <cell r="E48">
            <v>707.81512372166674</v>
          </cell>
          <cell r="F48">
            <v>713.02024316666666</v>
          </cell>
          <cell r="G48">
            <v>616.94056499999999</v>
          </cell>
          <cell r="H48">
            <v>693.4</v>
          </cell>
          <cell r="I48">
            <v>735.33157343136179</v>
          </cell>
          <cell r="O48">
            <v>586.55912670944087</v>
          </cell>
          <cell r="P48">
            <v>294.84466217152675</v>
          </cell>
          <cell r="Q48">
            <v>463.9774864741845</v>
          </cell>
          <cell r="R48">
            <v>339.71308755578514</v>
          </cell>
        </row>
        <row r="49">
          <cell r="C49">
            <v>-44.956760248773648</v>
          </cell>
          <cell r="D49">
            <v>-35.997929011831772</v>
          </cell>
          <cell r="E49">
            <v>-32.218266202624775</v>
          </cell>
          <cell r="F49">
            <v>-33.028678289059428</v>
          </cell>
          <cell r="G49">
            <v>-27.570867653165749</v>
          </cell>
          <cell r="H49">
            <v>-26.188843821564905</v>
          </cell>
          <cell r="I49">
            <v>-24.940414383529255</v>
          </cell>
          <cell r="O49">
            <v>-19.760776427902869</v>
          </cell>
          <cell r="P49">
            <v>-8.9871115498446006</v>
          </cell>
          <cell r="Q49">
            <v>-12.630052775001063</v>
          </cell>
          <cell r="R49">
            <v>-8.7910951779203685</v>
          </cell>
        </row>
        <row r="51">
          <cell r="C51" t="str">
            <v>...</v>
          </cell>
          <cell r="D51" t="str">
            <v>...</v>
          </cell>
          <cell r="E51" t="str">
            <v>...</v>
          </cell>
          <cell r="F51" t="str">
            <v>...</v>
          </cell>
          <cell r="G51" t="str">
            <v>...</v>
          </cell>
          <cell r="H51" t="str">
            <v>...</v>
          </cell>
          <cell r="I51">
            <v>6371.2411484137156</v>
          </cell>
          <cell r="O51">
            <v>4989.7902790349926</v>
          </cell>
          <cell r="P51">
            <v>5467.7743398964194</v>
          </cell>
          <cell r="Q51">
            <v>5186.8532767795969</v>
          </cell>
          <cell r="R51">
            <v>5327.8259003491021</v>
          </cell>
        </row>
        <row r="52">
          <cell r="C52" t="str">
            <v>...</v>
          </cell>
          <cell r="D52" t="str">
            <v>...</v>
          </cell>
          <cell r="E52" t="str">
            <v>...</v>
          </cell>
          <cell r="F52" t="str">
            <v>...</v>
          </cell>
          <cell r="G52" t="str">
            <v>...</v>
          </cell>
          <cell r="H52" t="str">
            <v>...</v>
          </cell>
          <cell r="I52">
            <v>243.99357297091325</v>
          </cell>
          <cell r="O52">
            <v>178.25645283453937</v>
          </cell>
          <cell r="P52">
            <v>182.42515155112548</v>
          </cell>
          <cell r="Q52">
            <v>156.81860664864712</v>
          </cell>
          <cell r="R52">
            <v>147.7402399770499</v>
          </cell>
        </row>
        <row r="53">
          <cell r="C53" t="str">
            <v>...</v>
          </cell>
          <cell r="D53" t="str">
            <v>...</v>
          </cell>
          <cell r="E53" t="str">
            <v>...</v>
          </cell>
          <cell r="F53" t="str">
            <v>...</v>
          </cell>
          <cell r="G53" t="str">
            <v>...</v>
          </cell>
          <cell r="H53" t="str">
            <v>...</v>
          </cell>
          <cell r="I53">
            <v>71.909181923915526</v>
          </cell>
          <cell r="O53">
            <v>43.78502515582408</v>
          </cell>
          <cell r="P53">
            <v>44.335413425960461</v>
          </cell>
          <cell r="Q53">
            <v>37.047180739045992</v>
          </cell>
          <cell r="R53">
            <v>36.672283055493878</v>
          </cell>
        </row>
        <row r="55">
          <cell r="C55" t="str">
            <v>...</v>
          </cell>
          <cell r="D55" t="str">
            <v>...</v>
          </cell>
          <cell r="E55" t="str">
            <v>...</v>
          </cell>
          <cell r="F55" t="str">
            <v>...</v>
          </cell>
          <cell r="G55" t="str">
            <v>...</v>
          </cell>
          <cell r="H55" t="str">
            <v>...</v>
          </cell>
          <cell r="I55">
            <v>5753.8643782671916</v>
          </cell>
          <cell r="O55">
            <v>3429.5216475764373</v>
          </cell>
          <cell r="P55">
            <v>3909.0401762237425</v>
          </cell>
          <cell r="Q55">
            <v>3998.058645444954</v>
          </cell>
          <cell r="R55">
            <v>4154.5886385677513</v>
          </cell>
        </row>
        <row r="56">
          <cell r="C56" t="str">
            <v>...</v>
          </cell>
          <cell r="D56" t="str">
            <v>...</v>
          </cell>
          <cell r="E56" t="str">
            <v>...</v>
          </cell>
          <cell r="F56" t="str">
            <v>...</v>
          </cell>
          <cell r="G56" t="str">
            <v>...</v>
          </cell>
          <cell r="H56" t="str">
            <v>...</v>
          </cell>
          <cell r="I56">
            <v>220.35046160401777</v>
          </cell>
          <cell r="O56">
            <v>122.51704573332705</v>
          </cell>
          <cell r="P56">
            <v>130.42002142695659</v>
          </cell>
          <cell r="Q56">
            <v>120.87675371213258</v>
          </cell>
          <cell r="R56">
            <v>115.20645267851297</v>
          </cell>
        </row>
        <row r="58">
          <cell r="C58">
            <v>0</v>
          </cell>
          <cell r="D58">
            <v>0</v>
          </cell>
          <cell r="E58">
            <v>223</v>
          </cell>
          <cell r="F58">
            <v>536</v>
          </cell>
          <cell r="G58">
            <v>585</v>
          </cell>
          <cell r="H58">
            <v>85.991040611967207</v>
          </cell>
          <cell r="I58">
            <v>92.241148413715621</v>
          </cell>
          <cell r="O58">
            <v>276.39999999999998</v>
          </cell>
          <cell r="P58">
            <v>280.39999999999998</v>
          </cell>
          <cell r="Q58">
            <v>80.764352636127057</v>
          </cell>
          <cell r="R58">
            <v>-2.0788338972181464E-2</v>
          </cell>
        </row>
        <row r="60">
          <cell r="C60">
            <v>-17.5733</v>
          </cell>
          <cell r="D60">
            <v>32.946878367750017</v>
          </cell>
          <cell r="E60">
            <v>8.4865651666666722</v>
          </cell>
          <cell r="F60">
            <v>-82.824161000000004</v>
          </cell>
          <cell r="G60">
            <v>-30.421118624999998</v>
          </cell>
          <cell r="H60">
            <v>18.469901175000004</v>
          </cell>
          <cell r="I60">
            <v>-39.157084052191699</v>
          </cell>
          <cell r="O60">
            <v>-23.659486709440884</v>
          </cell>
          <cell r="P60">
            <v>-18.153567266606242</v>
          </cell>
          <cell r="Q60">
            <v>16.269569583868716</v>
          </cell>
          <cell r="R60">
            <v>58.252196111057565</v>
          </cell>
        </row>
      </sheetData>
      <sheetData sheetId="18" refreshError="1">
        <row r="1">
          <cell r="A1" t="str">
            <v>Part 1. Clearance of Arrears Assumed in the DSA (Old Debt)</v>
          </cell>
        </row>
        <row r="9">
          <cell r="C9">
            <v>26.369680056739895</v>
          </cell>
          <cell r="D9">
            <v>0</v>
          </cell>
          <cell r="E9">
            <v>0</v>
          </cell>
          <cell r="G9">
            <v>26.369680056739895</v>
          </cell>
          <cell r="H9">
            <v>0</v>
          </cell>
          <cell r="I9">
            <v>0</v>
          </cell>
        </row>
        <row r="10">
          <cell r="C10">
            <v>85.829967307133003</v>
          </cell>
          <cell r="D10">
            <v>0</v>
          </cell>
          <cell r="E10">
            <v>0</v>
          </cell>
          <cell r="G10">
            <v>85.829967307133003</v>
          </cell>
          <cell r="H10">
            <v>0</v>
          </cell>
          <cell r="I10">
            <v>0</v>
          </cell>
        </row>
        <row r="11">
          <cell r="C11">
            <v>83.412476480218984</v>
          </cell>
          <cell r="D11">
            <v>0</v>
          </cell>
          <cell r="E11">
            <v>0</v>
          </cell>
          <cell r="G11">
            <v>83.412476480218984</v>
          </cell>
          <cell r="H11">
            <v>0</v>
          </cell>
          <cell r="I11">
            <v>0</v>
          </cell>
        </row>
        <row r="12">
          <cell r="C12">
            <v>78.489329290413863</v>
          </cell>
          <cell r="D12">
            <v>0</v>
          </cell>
          <cell r="E12">
            <v>0</v>
          </cell>
          <cell r="G12">
            <v>78.489329290413863</v>
          </cell>
          <cell r="H12">
            <v>0</v>
          </cell>
          <cell r="I12">
            <v>0</v>
          </cell>
        </row>
        <row r="13">
          <cell r="C13">
            <v>8.3478825716959051</v>
          </cell>
          <cell r="D13">
            <v>0</v>
          </cell>
          <cell r="E13">
            <v>0</v>
          </cell>
          <cell r="G13">
            <v>8.3478825716959051</v>
          </cell>
          <cell r="H13">
            <v>0</v>
          </cell>
          <cell r="I13">
            <v>0</v>
          </cell>
        </row>
        <row r="14">
          <cell r="C14">
            <v>70.141446718717958</v>
          </cell>
          <cell r="D14">
            <v>0</v>
          </cell>
          <cell r="E14">
            <v>0</v>
          </cell>
          <cell r="G14">
            <v>70.141446718717958</v>
          </cell>
          <cell r="H14">
            <v>0</v>
          </cell>
          <cell r="I14">
            <v>0</v>
          </cell>
        </row>
        <row r="15">
          <cell r="C15">
            <v>4.923147189805122</v>
          </cell>
          <cell r="D15">
            <v>0</v>
          </cell>
          <cell r="E15">
            <v>0</v>
          </cell>
          <cell r="G15">
            <v>4.923147189805122</v>
          </cell>
          <cell r="H15">
            <v>0</v>
          </cell>
          <cell r="I15">
            <v>0</v>
          </cell>
        </row>
        <row r="16">
          <cell r="C16">
            <v>2.5653445855005632</v>
          </cell>
          <cell r="D16">
            <v>0</v>
          </cell>
          <cell r="E16">
            <v>0</v>
          </cell>
          <cell r="G16">
            <v>2.5653445855005632</v>
          </cell>
          <cell r="H16">
            <v>0</v>
          </cell>
          <cell r="I16">
            <v>0</v>
          </cell>
        </row>
        <row r="17">
          <cell r="C17">
            <v>2.3578026043045588</v>
          </cell>
          <cell r="D17">
            <v>0</v>
          </cell>
          <cell r="E17">
            <v>0</v>
          </cell>
          <cell r="G17">
            <v>2.3578026043045588</v>
          </cell>
          <cell r="H17">
            <v>0</v>
          </cell>
          <cell r="I17">
            <v>0</v>
          </cell>
        </row>
        <row r="18">
          <cell r="C18">
            <v>2.4174908269140145</v>
          </cell>
          <cell r="D18">
            <v>0</v>
          </cell>
          <cell r="E18">
            <v>0</v>
          </cell>
          <cell r="G18">
            <v>2.4174908269140145</v>
          </cell>
          <cell r="H18">
            <v>0</v>
          </cell>
          <cell r="I18">
            <v>0</v>
          </cell>
        </row>
        <row r="19">
          <cell r="C19">
            <v>0.61481400939920006</v>
          </cell>
          <cell r="D19">
            <v>0</v>
          </cell>
          <cell r="E19">
            <v>0</v>
          </cell>
          <cell r="G19">
            <v>0.61481400939920006</v>
          </cell>
          <cell r="H19">
            <v>0</v>
          </cell>
          <cell r="I19">
            <v>0</v>
          </cell>
        </row>
        <row r="20">
          <cell r="C20">
            <v>0</v>
          </cell>
          <cell r="D20">
            <v>0</v>
          </cell>
          <cell r="E20">
            <v>0</v>
          </cell>
          <cell r="G20">
            <v>0</v>
          </cell>
          <cell r="H20">
            <v>0</v>
          </cell>
          <cell r="I20">
            <v>0</v>
          </cell>
        </row>
        <row r="21">
          <cell r="C21">
            <v>0.61481400939920006</v>
          </cell>
          <cell r="D21">
            <v>0</v>
          </cell>
          <cell r="E21">
            <v>0</v>
          </cell>
          <cell r="G21">
            <v>0.61481400939920006</v>
          </cell>
          <cell r="H21">
            <v>0</v>
          </cell>
          <cell r="I21">
            <v>0</v>
          </cell>
        </row>
        <row r="22">
          <cell r="C22">
            <v>1.8026768175148145</v>
          </cell>
          <cell r="D22">
            <v>0</v>
          </cell>
          <cell r="E22">
            <v>0</v>
          </cell>
          <cell r="G22">
            <v>1.8026768175148145</v>
          </cell>
          <cell r="H22">
            <v>0</v>
          </cell>
          <cell r="I22">
            <v>0</v>
          </cell>
        </row>
        <row r="23">
          <cell r="C23">
            <v>0</v>
          </cell>
          <cell r="D23">
            <v>0</v>
          </cell>
          <cell r="E23">
            <v>0</v>
          </cell>
          <cell r="G23">
            <v>0</v>
          </cell>
          <cell r="H23">
            <v>0</v>
          </cell>
          <cell r="I23">
            <v>0</v>
          </cell>
        </row>
        <row r="24">
          <cell r="C24">
            <v>1.8026768175148145</v>
          </cell>
          <cell r="D24">
            <v>0</v>
          </cell>
          <cell r="E24">
            <v>0</v>
          </cell>
          <cell r="G24">
            <v>1.8026768175148145</v>
          </cell>
          <cell r="H24">
            <v>0</v>
          </cell>
          <cell r="I24">
            <v>0</v>
          </cell>
        </row>
        <row r="25">
          <cell r="C25">
            <v>168.22114097509925</v>
          </cell>
          <cell r="D25">
            <v>80.785140975099239</v>
          </cell>
          <cell r="E25">
            <v>0</v>
          </cell>
          <cell r="G25">
            <v>87.436000000000007</v>
          </cell>
          <cell r="H25">
            <v>80.785140975099239</v>
          </cell>
          <cell r="I25">
            <v>0</v>
          </cell>
        </row>
        <row r="26">
          <cell r="C26">
            <v>-166.41846415758442</v>
          </cell>
          <cell r="D26">
            <v>-80.785140975099239</v>
          </cell>
          <cell r="E26">
            <v>0</v>
          </cell>
        </row>
        <row r="30">
          <cell r="G30">
            <v>29.008228762390477</v>
          </cell>
          <cell r="H30">
            <v>16.691648759878333</v>
          </cell>
          <cell r="I30">
            <v>5.3198492672200004</v>
          </cell>
        </row>
        <row r="31">
          <cell r="G31">
            <v>29.008228623160175</v>
          </cell>
          <cell r="H31">
            <v>15.676317563333335</v>
          </cell>
          <cell r="I31">
            <v>4.941074396666667</v>
          </cell>
        </row>
        <row r="32">
          <cell r="G32">
            <v>1.3923030151166668E-7</v>
          </cell>
          <cell r="H32">
            <v>1.0153311965450003</v>
          </cell>
          <cell r="I32">
            <v>0.37877487055333342</v>
          </cell>
        </row>
        <row r="33">
          <cell r="G33">
            <v>0</v>
          </cell>
          <cell r="H33">
            <v>0</v>
          </cell>
          <cell r="I33">
            <v>0</v>
          </cell>
        </row>
        <row r="34">
          <cell r="G34">
            <v>64.599999999999994</v>
          </cell>
          <cell r="H34">
            <v>1.38</v>
          </cell>
          <cell r="I34">
            <v>2.4900000000000002</v>
          </cell>
        </row>
        <row r="35">
          <cell r="G35">
            <v>50.2</v>
          </cell>
          <cell r="H35">
            <v>0</v>
          </cell>
          <cell r="I35">
            <v>0</v>
          </cell>
        </row>
        <row r="36">
          <cell r="G36">
            <v>14.4</v>
          </cell>
          <cell r="H36">
            <v>1.38</v>
          </cell>
          <cell r="I36">
            <v>2.4900000000000002</v>
          </cell>
        </row>
        <row r="37">
          <cell r="G37">
            <v>0</v>
          </cell>
          <cell r="H37">
            <v>0</v>
          </cell>
          <cell r="I37">
            <v>0</v>
          </cell>
        </row>
      </sheetData>
      <sheetData sheetId="19" refreshError="1">
        <row r="1">
          <cell r="A1" t="str">
            <v>Output for DSA</v>
          </cell>
        </row>
        <row r="9">
          <cell r="C9">
            <v>2315.3735010868431</v>
          </cell>
          <cell r="D9">
            <v>2462.1411673814951</v>
          </cell>
          <cell r="E9">
            <v>2718.7817052211321</v>
          </cell>
          <cell r="F9">
            <v>3070.3901908794896</v>
          </cell>
          <cell r="G9">
            <v>3106.9699434210784</v>
          </cell>
          <cell r="H9">
            <v>3311.062237039192</v>
          </cell>
          <cell r="I9">
            <v>3548.2079384694139</v>
          </cell>
          <cell r="O9">
            <v>6376.5388125483614</v>
          </cell>
          <cell r="P9">
            <v>6950.3347130574139</v>
          </cell>
          <cell r="Q9">
            <v>7579.1355602597905</v>
          </cell>
          <cell r="R9">
            <v>8270.3675153685908</v>
          </cell>
        </row>
        <row r="10">
          <cell r="C10">
            <v>0</v>
          </cell>
          <cell r="D10">
            <v>0</v>
          </cell>
          <cell r="E10">
            <v>210.74568194777981</v>
          </cell>
          <cell r="F10">
            <v>303.36046637313888</v>
          </cell>
          <cell r="G10">
            <v>565.88165510586884</v>
          </cell>
          <cell r="H10">
            <v>978.66498107461882</v>
          </cell>
          <cell r="I10">
            <v>1087.6161667513245</v>
          </cell>
          <cell r="O10">
            <v>750.35445159107599</v>
          </cell>
          <cell r="P10">
            <v>714.29190891427027</v>
          </cell>
          <cell r="Q10">
            <v>690.4657241889779</v>
          </cell>
          <cell r="R10">
            <v>676.66977059687144</v>
          </cell>
        </row>
        <row r="11">
          <cell r="C11" t="str">
            <v>…</v>
          </cell>
          <cell r="D11" t="str">
            <v>…</v>
          </cell>
          <cell r="E11">
            <v>140.58745409967855</v>
          </cell>
          <cell r="F11">
            <v>108.55694421935056</v>
          </cell>
          <cell r="G11">
            <v>237.30317561490688</v>
          </cell>
          <cell r="H11">
            <v>362.02265608668233</v>
          </cell>
          <cell r="I11">
            <v>339.81665368528115</v>
          </cell>
          <cell r="O11">
            <v>422.03036089988007</v>
          </cell>
          <cell r="P11">
            <v>442.28781822307434</v>
          </cell>
          <cell r="Q11">
            <v>463.51763349778196</v>
          </cell>
          <cell r="R11">
            <v>485.76647990567551</v>
          </cell>
        </row>
        <row r="12">
          <cell r="C12" t="str">
            <v>…</v>
          </cell>
          <cell r="D12" t="str">
            <v>…</v>
          </cell>
          <cell r="E12">
            <v>7.8508742244782859</v>
          </cell>
          <cell r="F12">
            <v>8.0078917089678523</v>
          </cell>
          <cell r="G12">
            <v>8.1680495431472089</v>
          </cell>
          <cell r="H12">
            <v>8.3314105340101534</v>
          </cell>
          <cell r="I12">
            <v>19.38135285003046</v>
          </cell>
          <cell r="O12">
            <v>21.826551214199526</v>
          </cell>
          <cell r="P12">
            <v>22.263082238483516</v>
          </cell>
          <cell r="Q12">
            <v>22.708343883253185</v>
          </cell>
          <cell r="R12">
            <v>23.162510760918249</v>
          </cell>
        </row>
        <row r="13">
          <cell r="C13" t="str">
            <v>…</v>
          </cell>
          <cell r="D13" t="str">
            <v>…</v>
          </cell>
          <cell r="E13">
            <v>0.4771197593532619</v>
          </cell>
          <cell r="F13">
            <v>0.4771197593532619</v>
          </cell>
          <cell r="G13">
            <v>0.4771197593532619</v>
          </cell>
          <cell r="H13">
            <v>0.4771197593532619</v>
          </cell>
          <cell r="I13">
            <v>0.4771197593532619</v>
          </cell>
          <cell r="O13">
            <v>0.4771197593532619</v>
          </cell>
          <cell r="P13">
            <v>0.4771197593532619</v>
          </cell>
          <cell r="Q13">
            <v>0.4771197593532619</v>
          </cell>
          <cell r="R13">
            <v>0.4771197593532619</v>
          </cell>
        </row>
        <row r="14">
          <cell r="C14" t="str">
            <v>…</v>
          </cell>
          <cell r="D14" t="str">
            <v>…</v>
          </cell>
          <cell r="E14">
            <v>132.25946011584702</v>
          </cell>
          <cell r="F14">
            <v>100.07193275102945</v>
          </cell>
          <cell r="G14">
            <v>228.6580063124064</v>
          </cell>
          <cell r="H14">
            <v>353.21412579331889</v>
          </cell>
          <cell r="I14">
            <v>319.95818107589741</v>
          </cell>
          <cell r="O14">
            <v>399.72668992632725</v>
          </cell>
          <cell r="P14">
            <v>419.54761622523756</v>
          </cell>
          <cell r="Q14">
            <v>440.33216985517549</v>
          </cell>
          <cell r="R14">
            <v>462.126849385404</v>
          </cell>
        </row>
        <row r="15">
          <cell r="C15" t="str">
            <v>…</v>
          </cell>
          <cell r="D15" t="str">
            <v>…</v>
          </cell>
          <cell r="E15">
            <v>0</v>
          </cell>
          <cell r="F15">
            <v>70</v>
          </cell>
          <cell r="G15">
            <v>188.8667160420006</v>
          </cell>
          <cell r="H15">
            <v>276.8192111447276</v>
          </cell>
          <cell r="I15">
            <v>379.04718587306343</v>
          </cell>
          <cell r="O15">
            <v>0</v>
          </cell>
          <cell r="P15">
            <v>0</v>
          </cell>
          <cell r="Q15">
            <v>0</v>
          </cell>
          <cell r="R15">
            <v>0</v>
          </cell>
        </row>
        <row r="16">
          <cell r="C16" t="str">
            <v>…</v>
          </cell>
          <cell r="D16" t="str">
            <v>…</v>
          </cell>
          <cell r="E16">
            <v>0</v>
          </cell>
          <cell r="F16">
            <v>0</v>
          </cell>
          <cell r="G16">
            <v>145.28208926307738</v>
          </cell>
          <cell r="H16">
            <v>230.68267595393968</v>
          </cell>
          <cell r="I16">
            <v>329.60624858527257</v>
          </cell>
          <cell r="O16">
            <v>0</v>
          </cell>
          <cell r="P16">
            <v>0</v>
          </cell>
          <cell r="Q16">
            <v>0</v>
          </cell>
          <cell r="R16">
            <v>0</v>
          </cell>
        </row>
        <row r="17">
          <cell r="C17" t="str">
            <v>…</v>
          </cell>
          <cell r="D17" t="str">
            <v>…</v>
          </cell>
          <cell r="E17">
            <v>0</v>
          </cell>
          <cell r="F17">
            <v>20</v>
          </cell>
          <cell r="G17">
            <v>43.584626778923216</v>
          </cell>
          <cell r="H17">
            <v>46.136535190787939</v>
          </cell>
          <cell r="I17">
            <v>49.440937287790881</v>
          </cell>
          <cell r="O17">
            <v>0</v>
          </cell>
          <cell r="P17">
            <v>0</v>
          </cell>
          <cell r="Q17">
            <v>0</v>
          </cell>
          <cell r="R17">
            <v>0</v>
          </cell>
        </row>
        <row r="18">
          <cell r="C18" t="str">
            <v>…</v>
          </cell>
          <cell r="D18" t="str">
            <v>…</v>
          </cell>
          <cell r="E18">
            <v>30</v>
          </cell>
          <cell r="F18">
            <v>33.211328357562834</v>
          </cell>
          <cell r="G18">
            <v>32.400793578029337</v>
          </cell>
          <cell r="H18">
            <v>20.850672969676921</v>
          </cell>
          <cell r="I18">
            <v>20.850672969676921</v>
          </cell>
          <cell r="O18">
            <v>20.850672969676921</v>
          </cell>
          <cell r="P18">
            <v>20.850672969676921</v>
          </cell>
          <cell r="Q18">
            <v>20.850672969676921</v>
          </cell>
          <cell r="R18">
            <v>20.850672969676921</v>
          </cell>
        </row>
        <row r="19">
          <cell r="C19" t="str">
            <v>…</v>
          </cell>
          <cell r="D19" t="str">
            <v>…</v>
          </cell>
          <cell r="E19">
            <v>40.158227848101262</v>
          </cell>
          <cell r="F19">
            <v>55.87341772151899</v>
          </cell>
          <cell r="G19">
            <v>35.87341772151899</v>
          </cell>
          <cell r="H19">
            <v>25.87341772151899</v>
          </cell>
          <cell r="I19">
            <v>25.87341772151899</v>
          </cell>
          <cell r="O19">
            <v>25.87341772151899</v>
          </cell>
          <cell r="P19">
            <v>25.87341772151899</v>
          </cell>
          <cell r="Q19">
            <v>25.87341772151899</v>
          </cell>
          <cell r="R19">
            <v>25.87341772151899</v>
          </cell>
        </row>
        <row r="20">
          <cell r="C20" t="str">
            <v>…</v>
          </cell>
          <cell r="D20" t="str">
            <v>…</v>
          </cell>
          <cell r="E20">
            <v>0</v>
          </cell>
          <cell r="F20">
            <v>35.718776074706533</v>
          </cell>
          <cell r="G20">
            <v>71.437552149413065</v>
          </cell>
          <cell r="H20">
            <v>71.437552149413065</v>
          </cell>
          <cell r="I20">
            <v>71.437552149413065</v>
          </cell>
          <cell r="O20">
            <v>0</v>
          </cell>
          <cell r="P20">
            <v>0</v>
          </cell>
          <cell r="Q20">
            <v>0</v>
          </cell>
          <cell r="R20">
            <v>0</v>
          </cell>
        </row>
        <row r="21">
          <cell r="C21" t="str">
            <v>…</v>
          </cell>
          <cell r="D21" t="str">
            <v>…</v>
          </cell>
          <cell r="E21">
            <v>0</v>
          </cell>
          <cell r="F21">
            <v>0</v>
          </cell>
          <cell r="G21">
            <v>0</v>
          </cell>
          <cell r="H21">
            <v>221.6614710026</v>
          </cell>
          <cell r="I21">
            <v>250.590684352371</v>
          </cell>
          <cell r="O21">
            <v>281.60000000000002</v>
          </cell>
          <cell r="P21">
            <v>225.28000000000003</v>
          </cell>
          <cell r="Q21">
            <v>180.22400000000005</v>
          </cell>
          <cell r="R21">
            <v>144.17920000000004</v>
          </cell>
        </row>
        <row r="22">
          <cell r="C22">
            <v>78.959999999999994</v>
          </cell>
          <cell r="D22">
            <v>78.599999999999994</v>
          </cell>
          <cell r="E22">
            <v>77.069999999999993</v>
          </cell>
          <cell r="F22">
            <v>74</v>
          </cell>
          <cell r="G22">
            <v>76.304304000000002</v>
          </cell>
          <cell r="H22">
            <v>76.916572178254597</v>
          </cell>
          <cell r="I22">
            <v>77.533753215973888</v>
          </cell>
          <cell r="O22">
            <v>83.794500829662397</v>
          </cell>
          <cell r="P22">
            <v>85.025654675163295</v>
          </cell>
          <cell r="Q22">
            <v>86.274897294704061</v>
          </cell>
          <cell r="R22">
            <v>87.54249445827557</v>
          </cell>
        </row>
        <row r="25">
          <cell r="C25" t="str">
            <v>…</v>
          </cell>
          <cell r="D25">
            <v>10561.141594003644</v>
          </cell>
          <cell r="E25">
            <v>11349.53130717147</v>
          </cell>
          <cell r="F25">
            <v>12724.023964989587</v>
          </cell>
          <cell r="G25">
            <v>13718.388951085517</v>
          </cell>
          <cell r="H25">
            <v>14631.721365316984</v>
          </cell>
          <cell r="I25">
            <v>15368.545241039115</v>
          </cell>
          <cell r="O25">
            <v>27145.249734565219</v>
          </cell>
          <cell r="P25">
            <v>29576.207440674309</v>
          </cell>
          <cell r="Q25">
            <v>32238.330866164702</v>
          </cell>
          <cell r="R25">
            <v>35158.729306373752</v>
          </cell>
        </row>
        <row r="26">
          <cell r="C26" t="str">
            <v>…</v>
          </cell>
          <cell r="D26">
            <v>2799.22</v>
          </cell>
          <cell r="E26">
            <v>2997.2700000000004</v>
          </cell>
          <cell r="F26">
            <v>3307.5496509165955</v>
          </cell>
          <cell r="G26">
            <v>3606.2117546152163</v>
          </cell>
          <cell r="H26">
            <v>3876.2916377559654</v>
          </cell>
          <cell r="I26">
            <v>4138.9556918231292</v>
          </cell>
          <cell r="O26">
            <v>6738.9577708384386</v>
          </cell>
          <cell r="P26">
            <v>7173.0313966000349</v>
          </cell>
          <cell r="Q26">
            <v>7639.7233414265784</v>
          </cell>
          <cell r="R26">
            <v>8141.6411450194473</v>
          </cell>
        </row>
        <row r="27">
          <cell r="C27" t="str">
            <v>…</v>
          </cell>
          <cell r="D27">
            <v>2439.6208393981346</v>
          </cell>
          <cell r="E27">
            <v>2498.7654578964903</v>
          </cell>
          <cell r="F27">
            <v>2750.4376878273724</v>
          </cell>
          <cell r="G27">
            <v>2965.3806131739002</v>
          </cell>
          <cell r="H27">
            <v>3162.8074571132533</v>
          </cell>
          <cell r="I27">
            <v>3322.0800396432278</v>
          </cell>
          <cell r="O27">
            <v>5867.7442074037508</v>
          </cell>
          <cell r="P27">
            <v>6393.2224453254976</v>
          </cell>
          <cell r="Q27">
            <v>6968.6696952885222</v>
          </cell>
          <cell r="R27">
            <v>7599.9459295619317</v>
          </cell>
        </row>
      </sheetData>
      <sheetData sheetId="20" refreshError="1"/>
      <sheetData sheetId="21" refreshError="1"/>
      <sheetData sheetId="22" refreshError="1"/>
      <sheetData sheetId="23"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 Fin., Quarterly (old)"/>
      <sheetName val="Ext. Fin., Quarterly (revised)"/>
      <sheetName val="Sheet1"/>
      <sheetName val="info from donors-annual"/>
      <sheetName val="ASSUMPTIONS"/>
      <sheetName val="WEO"/>
      <sheetName val="RBZ-former"/>
      <sheetName val="Coverpage"/>
      <sheetName val="Documents"/>
      <sheetName val="Prices"/>
      <sheetName val="Labor"/>
    </sheetNames>
    <sheetDataSet>
      <sheetData sheetId="0"/>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lp"/>
      <sheetName val="Cover page"/>
      <sheetName val="CODE LIST"/>
      <sheetName val="SOURCE"/>
      <sheetName val="OperStat&amp;BalSht Q_BA"/>
      <sheetName val="OperStat&amp;BalSht Q_CG"/>
      <sheetName val="OperStat&amp;BalSht Q_GG"/>
      <sheetName val="Sources&amp;Uses of Cash Q_BA"/>
      <sheetName val="Sources&amp;Uses of Cash Q_CG"/>
      <sheetName val="Sources&amp;Uses of Cash Q_GG"/>
      <sheetName val="Source&amp;Uses of Cash M_BA"/>
      <sheetName val="Source&amp;Uses of Cash M_CG"/>
      <sheetName val="Source&amp;Uses of Cash M_GG"/>
      <sheetName val="SUMMARY"/>
      <sheetName val="LISTS"/>
      <sheetName val="Estimates"/>
      <sheetName val="Admin"/>
      <sheetName val="Q2"/>
      <sheetName val="Q6"/>
      <sheetName val="RED"/>
      <sheetName val="A Current Data"/>
      <sheetName val="DropDownMenus"/>
      <sheetName val="18"/>
      <sheetName val="13"/>
      <sheetName val="7"/>
      <sheetName val="9"/>
      <sheetName val="5"/>
      <sheetName val="10"/>
      <sheetName val="6"/>
      <sheetName val="19"/>
      <sheetName val="22"/>
      <sheetName val="23"/>
      <sheetName val="8"/>
      <sheetName val="4"/>
      <sheetName val="28"/>
      <sheetName val="17"/>
      <sheetName val="table 60"/>
      <sheetName val="Scenarios"/>
      <sheetName val="Ext. Fin., Quarterly (old)"/>
      <sheetName val="WEO"/>
      <sheetName val="npv_base"/>
      <sheetName val="RBZ-former"/>
      <sheetName val="Macro"/>
      <sheetName val="Coverpage"/>
      <sheetName val="Main"/>
    </sheetNames>
    <sheetDataSet>
      <sheetData sheetId="0" refreshError="1"/>
      <sheetData sheetId="1" refreshError="1"/>
      <sheetData sheetId="2" refreshError="1">
        <row r="2">
          <cell r="N2" t="str">
            <v>Select</v>
          </cell>
        </row>
        <row r="3">
          <cell r="N3" t="str">
            <v>Not available</v>
          </cell>
        </row>
        <row r="4">
          <cell r="N4" t="str">
            <v>X (final)</v>
          </cell>
        </row>
        <row r="5">
          <cell r="N5" t="str">
            <v>P (preliminary)</v>
          </cell>
        </row>
        <row r="6">
          <cell r="N6" t="str">
            <v>F (forecast)</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9"/>
      <sheetName val="Chart2"/>
      <sheetName val="Chart3"/>
      <sheetName val="Chart1"/>
      <sheetName val="BOP-RED40"/>
      <sheetName val="RED41"/>
      <sheetName val="RED42"/>
      <sheetName val="RED43"/>
      <sheetName val="RED44"/>
      <sheetName val="RED45"/>
      <sheetName val="RED46"/>
      <sheetName val="RED47"/>
      <sheetName val="RED48"/>
      <sheetName val="RED49"/>
      <sheetName val="RED51"/>
      <sheetName val="RED50"/>
      <sheetName val="Chart4"/>
      <sheetName val="Chart5"/>
      <sheetName val="Chart6"/>
      <sheetName val="Chart7"/>
      <sheetName val="Chart8"/>
      <sheetName val="Sheet1"/>
      <sheetName val="#REF"/>
      <sheetName val="IMATA"/>
      <sheetName val="Dsrv"/>
      <sheetName val="Dboj"/>
      <sheetName val="Dgg"/>
      <sheetName val="Dgov"/>
      <sheetName val="Table3"/>
      <sheetName val="S&amp;I DANE"/>
      <sheetName val="Summary Table"/>
      <sheetName val="GDPSEC"/>
      <sheetName val="BoP"/>
      <sheetName val="Gov-2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Map"/>
      <sheetName val="WEO"/>
      <sheetName val="Macro"/>
      <sheetName val="Fiscal"/>
      <sheetName val="Debt-service"/>
      <sheetName val="Assump"/>
      <sheetName val="Main"/>
      <sheetName val="Quarterly"/>
      <sheetName val="Exports"/>
      <sheetName val="Imports"/>
      <sheetName val="Indices"/>
      <sheetName val="Services"/>
      <sheetName val="Capital"/>
      <sheetName val="Debt"/>
      <sheetName val="CaPBud"/>
      <sheetName val="Module"/>
    </sheetNames>
    <sheetDataSet>
      <sheetData sheetId="0"/>
      <sheetData sheetId="1"/>
      <sheetData sheetId="2"/>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6R"/>
      <sheetName val="Foreign Accounts"/>
      <sheetName val="BCC"/>
      <sheetName val="10R"/>
      <sheetName val="BC"/>
      <sheetName val="20R"/>
      <sheetName val="BEC"/>
      <sheetName val="20S"/>
      <sheetName val="FI"/>
      <sheetName val="40R"/>
      <sheetName val="40S"/>
    </sheetNames>
    <sheetDataSet>
      <sheetData sheetId="0" refreshError="1"/>
      <sheetData sheetId="1" refreshError="1"/>
      <sheetData sheetId="2">
        <row r="1">
          <cell r="A1" t="str">
            <v>Codigo FMI</v>
          </cell>
          <cell r="B1" t="str">
            <v>BANCO CENTRAL DE CHILE</v>
          </cell>
          <cell r="C1" t="str">
            <v>2003/1</v>
          </cell>
          <cell r="D1" t="str">
            <v>2003/02</v>
          </cell>
          <cell r="E1" t="str">
            <v>2003/3</v>
          </cell>
          <cell r="F1" t="str">
            <v>2003/4</v>
          </cell>
          <cell r="G1" t="str">
            <v>2003/5</v>
          </cell>
          <cell r="H1" t="str">
            <v>2003/6</v>
          </cell>
          <cell r="I1" t="str">
            <v>2003/7</v>
          </cell>
          <cell r="J1" t="str">
            <v>2003/8</v>
          </cell>
          <cell r="K1" t="str">
            <v>2003/9</v>
          </cell>
          <cell r="L1" t="str">
            <v>2003/10</v>
          </cell>
          <cell r="M1" t="str">
            <v>2003/11</v>
          </cell>
          <cell r="N1" t="str">
            <v>2003/12</v>
          </cell>
        </row>
        <row r="2">
          <cell r="A2" t="str">
            <v>10R . VZN</v>
          </cell>
          <cell r="B2" t="str">
            <v>ACTIVOS / PASIVOS</v>
          </cell>
          <cell r="C2">
            <v>0</v>
          </cell>
          <cell r="D2">
            <v>0</v>
          </cell>
          <cell r="E2">
            <v>0</v>
          </cell>
          <cell r="F2">
            <v>0</v>
          </cell>
          <cell r="G2">
            <v>0</v>
          </cell>
          <cell r="H2">
            <v>0</v>
          </cell>
          <cell r="I2">
            <v>0</v>
          </cell>
          <cell r="J2">
            <v>0</v>
          </cell>
          <cell r="K2">
            <v>0</v>
          </cell>
        </row>
        <row r="3">
          <cell r="A3" t="str">
            <v>13S . . ZN</v>
          </cell>
          <cell r="B3" t="str">
            <v>A C T I V O S</v>
          </cell>
          <cell r="C3">
            <v>37125901</v>
          </cell>
          <cell r="D3">
            <v>38047866</v>
          </cell>
          <cell r="E3">
            <v>36798617</v>
          </cell>
          <cell r="F3">
            <v>35621949</v>
          </cell>
          <cell r="G3">
            <v>35910882</v>
          </cell>
          <cell r="H3">
            <v>35001873</v>
          </cell>
          <cell r="I3">
            <v>35119459</v>
          </cell>
          <cell r="J3">
            <v>34767781</v>
          </cell>
          <cell r="K3">
            <v>34077292</v>
          </cell>
        </row>
        <row r="4">
          <cell r="A4" t="str">
            <v>12BAWZN</v>
          </cell>
          <cell r="B4" t="str">
            <v xml:space="preserve">  .ACTIVOS SOBRE EXTERIOR    M/N</v>
          </cell>
          <cell r="C4">
            <v>987452</v>
          </cell>
          <cell r="D4">
            <v>1009077</v>
          </cell>
          <cell r="E4">
            <v>997212</v>
          </cell>
          <cell r="F4">
            <v>644724</v>
          </cell>
          <cell r="G4">
            <v>666015</v>
          </cell>
          <cell r="H4">
            <v>645133</v>
          </cell>
          <cell r="I4">
            <v>648758</v>
          </cell>
          <cell r="J4">
            <v>636229</v>
          </cell>
          <cell r="K4">
            <v>628139</v>
          </cell>
        </row>
        <row r="5">
          <cell r="A5" t="str">
            <v>11BBEZN</v>
          </cell>
          <cell r="B5" t="str">
            <v xml:space="preserve">APORTE AL FMI </v>
          </cell>
          <cell r="C5">
            <v>667671</v>
          </cell>
          <cell r="D5">
            <v>682293</v>
          </cell>
          <cell r="E5">
            <v>660005</v>
          </cell>
          <cell r="F5">
            <v>644724</v>
          </cell>
          <cell r="G5">
            <v>666015</v>
          </cell>
          <cell r="H5">
            <v>645133</v>
          </cell>
          <cell r="I5">
            <v>648758</v>
          </cell>
          <cell r="J5">
            <v>636229</v>
          </cell>
          <cell r="K5">
            <v>628139</v>
          </cell>
        </row>
        <row r="6">
          <cell r="A6" t="str">
            <v>11BCEZN</v>
          </cell>
          <cell r="B6" t="str">
            <v>PRESTAMOS FMI CUENTA N° 1</v>
          </cell>
          <cell r="C6">
            <v>319781</v>
          </cell>
          <cell r="D6">
            <v>326784</v>
          </cell>
          <cell r="E6">
            <v>337207</v>
          </cell>
          <cell r="F6">
            <v>0</v>
          </cell>
          <cell r="G6">
            <v>0</v>
          </cell>
          <cell r="H6">
            <v>0</v>
          </cell>
          <cell r="I6">
            <v>0</v>
          </cell>
          <cell r="J6">
            <v>0</v>
          </cell>
          <cell r="K6">
            <v>0</v>
          </cell>
        </row>
        <row r="7">
          <cell r="A7" t="str">
            <v>12BAXZN</v>
          </cell>
          <cell r="B7" t="str">
            <v xml:space="preserve">  .ACTIVOS SOBRE EXTERIOR M/E</v>
          </cell>
          <cell r="C7">
            <v>11822806</v>
          </cell>
          <cell r="D7">
            <v>12158182</v>
          </cell>
          <cell r="E7">
            <v>11749293</v>
          </cell>
          <cell r="F7">
            <v>10958137</v>
          </cell>
          <cell r="G7">
            <v>11011910</v>
          </cell>
          <cell r="H7">
            <v>10586572</v>
          </cell>
          <cell r="I7">
            <v>10663465</v>
          </cell>
          <cell r="J7">
            <v>10518156</v>
          </cell>
          <cell r="K7">
            <v>10149750</v>
          </cell>
        </row>
        <row r="8">
          <cell r="A8" t="str">
            <v>11ABEZN</v>
          </cell>
          <cell r="B8" t="str">
            <v xml:space="preserve">CAJA ORO </v>
          </cell>
          <cell r="C8">
            <v>1691</v>
          </cell>
          <cell r="D8">
            <v>1810</v>
          </cell>
          <cell r="E8">
            <v>1816</v>
          </cell>
          <cell r="F8">
            <v>1775</v>
          </cell>
          <cell r="G8">
            <v>1739</v>
          </cell>
          <cell r="H8">
            <v>1699</v>
          </cell>
          <cell r="I8">
            <v>1746</v>
          </cell>
          <cell r="J8">
            <v>1769</v>
          </cell>
          <cell r="K8">
            <v>1688</v>
          </cell>
        </row>
        <row r="9">
          <cell r="A9" t="str">
            <v>11ACEZN</v>
          </cell>
          <cell r="B9" t="str">
            <v xml:space="preserve">ORO EN CASA MONEDA  </v>
          </cell>
          <cell r="C9">
            <v>0</v>
          </cell>
          <cell r="D9">
            <v>0</v>
          </cell>
          <cell r="E9">
            <v>0</v>
          </cell>
          <cell r="F9">
            <v>0</v>
          </cell>
          <cell r="G9">
            <v>0</v>
          </cell>
          <cell r="H9">
            <v>0</v>
          </cell>
          <cell r="I9">
            <v>0</v>
          </cell>
          <cell r="J9">
            <v>0</v>
          </cell>
          <cell r="K9">
            <v>0</v>
          </cell>
        </row>
        <row r="10">
          <cell r="A10" t="str">
            <v>11AEEZN</v>
          </cell>
          <cell r="B10" t="str">
            <v xml:space="preserve">CORRESP.EXTER.CUSTODIA ORO </v>
          </cell>
          <cell r="C10">
            <v>0</v>
          </cell>
          <cell r="D10">
            <v>0</v>
          </cell>
          <cell r="E10">
            <v>0</v>
          </cell>
          <cell r="F10">
            <v>0</v>
          </cell>
          <cell r="G10">
            <v>0</v>
          </cell>
          <cell r="H10">
            <v>0</v>
          </cell>
          <cell r="I10">
            <v>0</v>
          </cell>
          <cell r="J10">
            <v>0</v>
          </cell>
          <cell r="K10">
            <v>0</v>
          </cell>
        </row>
        <row r="11">
          <cell r="A11" t="str">
            <v>11AFEZN</v>
          </cell>
          <cell r="B11" t="str">
            <v>CORRESPONSALES EN EL PAIS CUSTODIA ORO</v>
          </cell>
          <cell r="C11">
            <v>0</v>
          </cell>
          <cell r="D11">
            <v>0</v>
          </cell>
          <cell r="E11">
            <v>0</v>
          </cell>
          <cell r="F11">
            <v>0</v>
          </cell>
          <cell r="G11">
            <v>0</v>
          </cell>
          <cell r="H11">
            <v>0</v>
          </cell>
          <cell r="I11">
            <v>0</v>
          </cell>
          <cell r="J11">
            <v>0</v>
          </cell>
          <cell r="K11">
            <v>0</v>
          </cell>
        </row>
        <row r="12">
          <cell r="A12" t="str">
            <v>11AGEZN</v>
          </cell>
          <cell r="B12" t="str">
            <v xml:space="preserve">ORO EN ENAMI </v>
          </cell>
          <cell r="C12">
            <v>0</v>
          </cell>
          <cell r="D12">
            <v>0</v>
          </cell>
          <cell r="E12">
            <v>0</v>
          </cell>
          <cell r="F12">
            <v>0</v>
          </cell>
          <cell r="G12">
            <v>0</v>
          </cell>
          <cell r="H12">
            <v>0</v>
          </cell>
          <cell r="I12">
            <v>0</v>
          </cell>
          <cell r="J12">
            <v>0</v>
          </cell>
          <cell r="K12">
            <v>0</v>
          </cell>
        </row>
        <row r="13">
          <cell r="A13" t="str">
            <v>11AJEZN</v>
          </cell>
          <cell r="B13" t="str">
            <v xml:space="preserve">DEPOSITOS A PLAZO EN ORO EN BCOS.EN EL EXTERIOR </v>
          </cell>
          <cell r="C13">
            <v>0</v>
          </cell>
          <cell r="D13">
            <v>0</v>
          </cell>
          <cell r="E13">
            <v>0</v>
          </cell>
          <cell r="F13">
            <v>0</v>
          </cell>
          <cell r="G13">
            <v>0</v>
          </cell>
          <cell r="H13">
            <v>0</v>
          </cell>
          <cell r="I13">
            <v>0</v>
          </cell>
          <cell r="J13">
            <v>0</v>
          </cell>
          <cell r="K13">
            <v>0</v>
          </cell>
        </row>
        <row r="14">
          <cell r="A14" t="str">
            <v>11AHEZN</v>
          </cell>
          <cell r="B14" t="str">
            <v>CORRESPONSALES EN EL EXTERIOR DEP.A LA VISTA ORO,</v>
          </cell>
          <cell r="C14">
            <v>0</v>
          </cell>
          <cell r="D14">
            <v>0</v>
          </cell>
          <cell r="E14">
            <v>0</v>
          </cell>
          <cell r="F14">
            <v>0</v>
          </cell>
          <cell r="G14">
            <v>0</v>
          </cell>
          <cell r="H14">
            <v>0</v>
          </cell>
          <cell r="I14">
            <v>0</v>
          </cell>
          <cell r="J14">
            <v>0</v>
          </cell>
          <cell r="K14">
            <v>0</v>
          </cell>
        </row>
        <row r="15">
          <cell r="A15" t="str">
            <v>11AKEZN</v>
          </cell>
          <cell r="B15" t="str">
            <v xml:space="preserve">ORO EN REFINACION </v>
          </cell>
          <cell r="C15">
            <v>0</v>
          </cell>
          <cell r="D15">
            <v>0</v>
          </cell>
          <cell r="E15">
            <v>0</v>
          </cell>
          <cell r="F15">
            <v>0</v>
          </cell>
          <cell r="G15">
            <v>0</v>
          </cell>
          <cell r="H15">
            <v>0</v>
          </cell>
          <cell r="I15">
            <v>0</v>
          </cell>
          <cell r="J15">
            <v>0</v>
          </cell>
          <cell r="K15">
            <v>0</v>
          </cell>
        </row>
        <row r="16">
          <cell r="A16" t="str">
            <v>11DBEZN</v>
          </cell>
          <cell r="B16" t="str">
            <v xml:space="preserve">CORRESP.EXT.CTAS CALL </v>
          </cell>
          <cell r="C16">
            <v>0</v>
          </cell>
          <cell r="D16">
            <v>0</v>
          </cell>
          <cell r="E16">
            <v>0</v>
          </cell>
          <cell r="F16">
            <v>0</v>
          </cell>
          <cell r="G16">
            <v>0</v>
          </cell>
          <cell r="H16">
            <v>0</v>
          </cell>
          <cell r="I16">
            <v>0</v>
          </cell>
          <cell r="J16">
            <v>0</v>
          </cell>
          <cell r="K16">
            <v>0</v>
          </cell>
        </row>
        <row r="17">
          <cell r="A17" t="str">
            <v>11DCEZN</v>
          </cell>
          <cell r="B17" t="str">
            <v xml:space="preserve">CORRESP.EXT.CTAS A VISTA </v>
          </cell>
          <cell r="C17">
            <v>106655</v>
          </cell>
          <cell r="D17">
            <v>179983</v>
          </cell>
          <cell r="E17">
            <v>263473</v>
          </cell>
          <cell r="F17">
            <v>290320</v>
          </cell>
          <cell r="G17">
            <v>231798</v>
          </cell>
          <cell r="H17">
            <v>222636</v>
          </cell>
          <cell r="I17">
            <v>199730</v>
          </cell>
          <cell r="J17">
            <v>201248</v>
          </cell>
          <cell r="K17">
            <v>133348</v>
          </cell>
        </row>
        <row r="18">
          <cell r="A18" t="str">
            <v>11DHEZN</v>
          </cell>
          <cell r="B18" t="str">
            <v xml:space="preserve">DEPOSITOS A PLAZO CON BCOS EN EL EXTERIOR, </v>
          </cell>
          <cell r="C18">
            <v>5552293</v>
          </cell>
          <cell r="D18">
            <v>5576322</v>
          </cell>
          <cell r="E18">
            <v>5374071</v>
          </cell>
          <cell r="F18">
            <v>5173572</v>
          </cell>
          <cell r="G18">
            <v>5202891</v>
          </cell>
          <cell r="H18">
            <v>5119166</v>
          </cell>
          <cell r="I18">
            <v>5220900</v>
          </cell>
          <cell r="J18">
            <v>5069698</v>
          </cell>
          <cell r="K18">
            <v>4967401</v>
          </cell>
        </row>
        <row r="19">
          <cell r="A19" t="str">
            <v>11DMEZN</v>
          </cell>
          <cell r="B19" t="str">
            <v xml:space="preserve">DEPOSITOS NOCTURNOS Y FIN SEMANA EN BANCOS EXTERIO, </v>
          </cell>
          <cell r="C19">
            <v>384051</v>
          </cell>
          <cell r="D19">
            <v>502568</v>
          </cell>
          <cell r="E19">
            <v>497262</v>
          </cell>
          <cell r="F19">
            <v>214629</v>
          </cell>
          <cell r="G19">
            <v>204297</v>
          </cell>
          <cell r="H19">
            <v>168416</v>
          </cell>
          <cell r="I19">
            <v>52350</v>
          </cell>
          <cell r="J19">
            <v>169084</v>
          </cell>
          <cell r="K19">
            <v>119430</v>
          </cell>
        </row>
        <row r="20">
          <cell r="A20" t="str">
            <v>11DIEZN</v>
          </cell>
          <cell r="B20" t="str">
            <v xml:space="preserve">CHEQUES POR REMESAR </v>
          </cell>
          <cell r="C20">
            <v>0</v>
          </cell>
          <cell r="D20">
            <v>0</v>
          </cell>
          <cell r="E20">
            <v>0</v>
          </cell>
          <cell r="F20">
            <v>0</v>
          </cell>
          <cell r="G20">
            <v>0</v>
          </cell>
          <cell r="H20">
            <v>0</v>
          </cell>
          <cell r="I20">
            <v>1</v>
          </cell>
          <cell r="J20">
            <v>0</v>
          </cell>
          <cell r="K20">
            <v>1</v>
          </cell>
        </row>
        <row r="21">
          <cell r="A21" t="str">
            <v>11ECEZN</v>
          </cell>
          <cell r="B21" t="str">
            <v>APORTE ART.6 ACDO.STO DOM.</v>
          </cell>
          <cell r="C21">
            <v>0</v>
          </cell>
          <cell r="D21">
            <v>0</v>
          </cell>
          <cell r="E21">
            <v>0</v>
          </cell>
          <cell r="F21">
            <v>0</v>
          </cell>
          <cell r="G21">
            <v>0</v>
          </cell>
          <cell r="H21">
            <v>0</v>
          </cell>
          <cell r="I21">
            <v>0</v>
          </cell>
          <cell r="J21">
            <v>0</v>
          </cell>
          <cell r="K21">
            <v>0</v>
          </cell>
        </row>
        <row r="22">
          <cell r="A22" t="str">
            <v>11DNEZN</v>
          </cell>
          <cell r="B22" t="str">
            <v xml:space="preserve">CTA.CTE CORREDORES OPERACIONES A FUTURO </v>
          </cell>
          <cell r="C22">
            <v>0</v>
          </cell>
          <cell r="D22">
            <v>0</v>
          </cell>
          <cell r="E22">
            <v>0</v>
          </cell>
          <cell r="F22">
            <v>0</v>
          </cell>
          <cell r="G22">
            <v>0</v>
          </cell>
          <cell r="H22">
            <v>0</v>
          </cell>
          <cell r="I22">
            <v>0</v>
          </cell>
          <cell r="J22">
            <v>0</v>
          </cell>
          <cell r="K22">
            <v>0</v>
          </cell>
        </row>
        <row r="23">
          <cell r="A23" t="str">
            <v>11DPEZN</v>
          </cell>
          <cell r="B23" t="str">
            <v>LINEA DE CREDITO POR OPERACION REVERSE REPOS.</v>
          </cell>
          <cell r="C23">
            <v>0</v>
          </cell>
          <cell r="D23">
            <v>0</v>
          </cell>
          <cell r="E23">
            <v>0</v>
          </cell>
          <cell r="F23">
            <v>0</v>
          </cell>
          <cell r="G23">
            <v>0</v>
          </cell>
          <cell r="H23">
            <v>0</v>
          </cell>
          <cell r="I23">
            <v>0</v>
          </cell>
          <cell r="J23">
            <v>0</v>
          </cell>
          <cell r="K23">
            <v>0</v>
          </cell>
        </row>
        <row r="24">
          <cell r="A24" t="str">
            <v>11DFEZN</v>
          </cell>
          <cell r="B24" t="str">
            <v>CAJA MONEDAS EXTRANJERAS,</v>
          </cell>
          <cell r="C24">
            <v>426</v>
          </cell>
          <cell r="D24">
            <v>435</v>
          </cell>
          <cell r="E24">
            <v>411</v>
          </cell>
          <cell r="F24">
            <v>394</v>
          </cell>
          <cell r="G24">
            <v>383</v>
          </cell>
          <cell r="H24">
            <v>361</v>
          </cell>
          <cell r="I24">
            <v>353</v>
          </cell>
          <cell r="J24">
            <v>337</v>
          </cell>
          <cell r="K24">
            <v>289</v>
          </cell>
        </row>
        <row r="25">
          <cell r="A25" t="str">
            <v>11DGEZN</v>
          </cell>
          <cell r="B25" t="str">
            <v xml:space="preserve">REMESAS EN TRANSITO </v>
          </cell>
          <cell r="C25">
            <v>0</v>
          </cell>
          <cell r="D25">
            <v>0</v>
          </cell>
          <cell r="E25">
            <v>0</v>
          </cell>
          <cell r="F25">
            <v>0</v>
          </cell>
          <cell r="G25">
            <v>0</v>
          </cell>
          <cell r="H25">
            <v>0</v>
          </cell>
          <cell r="I25">
            <v>0</v>
          </cell>
          <cell r="J25">
            <v>0</v>
          </cell>
          <cell r="K25">
            <v>0</v>
          </cell>
        </row>
        <row r="26">
          <cell r="A26" t="str">
            <v xml:space="preserve">  .1B . EZN</v>
          </cell>
          <cell r="B26" t="str">
            <v xml:space="preserve">TENENCIAS DEG FMI, </v>
          </cell>
          <cell r="C26">
            <v>27158</v>
          </cell>
          <cell r="D26">
            <v>28788</v>
          </cell>
          <cell r="E26">
            <v>27847</v>
          </cell>
          <cell r="F26">
            <v>27202</v>
          </cell>
          <cell r="G26">
            <v>29048</v>
          </cell>
          <cell r="H26">
            <v>28137</v>
          </cell>
          <cell r="I26">
            <v>28295</v>
          </cell>
          <cell r="J26">
            <v>28598</v>
          </cell>
          <cell r="K26">
            <v>28234</v>
          </cell>
        </row>
        <row r="27">
          <cell r="A27" t="str">
            <v>11CCEZN</v>
          </cell>
          <cell r="B27" t="str">
            <v>APORTE AL FMI -</v>
          </cell>
          <cell r="C27">
            <v>197715</v>
          </cell>
          <cell r="D27">
            <v>202046</v>
          </cell>
          <cell r="E27">
            <v>195444</v>
          </cell>
          <cell r="F27">
            <v>190918</v>
          </cell>
          <cell r="G27">
            <v>197224</v>
          </cell>
          <cell r="H27">
            <v>191040</v>
          </cell>
          <cell r="I27">
            <v>192113</v>
          </cell>
          <cell r="J27">
            <v>188405</v>
          </cell>
          <cell r="K27">
            <v>186009</v>
          </cell>
        </row>
        <row r="28">
          <cell r="A28" t="str">
            <v>11EGEZN</v>
          </cell>
          <cell r="B28" t="str">
            <v xml:space="preserve">BONOS DE GBNOS INSTITUCIONES Y BCOS EXTRANJEROS, </v>
          </cell>
          <cell r="C28">
            <v>3508175</v>
          </cell>
          <cell r="D28">
            <v>3699198</v>
          </cell>
          <cell r="E28">
            <v>3438608</v>
          </cell>
          <cell r="F28">
            <v>3005867</v>
          </cell>
          <cell r="G28">
            <v>2170213</v>
          </cell>
          <cell r="H28">
            <v>2020731</v>
          </cell>
          <cell r="I28">
            <v>2463407</v>
          </cell>
          <cell r="J28">
            <v>2399153</v>
          </cell>
          <cell r="K28">
            <v>1955380</v>
          </cell>
        </row>
        <row r="29">
          <cell r="A29" t="str">
            <v>11EEEZN</v>
          </cell>
          <cell r="B29" t="str">
            <v>CERT.DE DEP.DE BCOS EXTERN</v>
          </cell>
          <cell r="C29">
            <v>0</v>
          </cell>
          <cell r="D29">
            <v>0</v>
          </cell>
          <cell r="E29">
            <v>0</v>
          </cell>
          <cell r="F29">
            <v>0</v>
          </cell>
          <cell r="G29">
            <v>0</v>
          </cell>
          <cell r="H29">
            <v>0</v>
          </cell>
          <cell r="I29">
            <v>0</v>
          </cell>
          <cell r="J29">
            <v>0</v>
          </cell>
          <cell r="K29">
            <v>0</v>
          </cell>
        </row>
        <row r="30">
          <cell r="A30" t="str">
            <v>13ANEZN</v>
          </cell>
          <cell r="B30" t="str">
            <v>PREMIO BONOS GOB-INST-EXT.</v>
          </cell>
          <cell r="C30">
            <v>58097</v>
          </cell>
          <cell r="D30">
            <v>72734</v>
          </cell>
          <cell r="E30">
            <v>79419</v>
          </cell>
          <cell r="F30">
            <v>73787</v>
          </cell>
          <cell r="G30">
            <v>72690</v>
          </cell>
          <cell r="H30">
            <v>67519</v>
          </cell>
          <cell r="I30">
            <v>60521</v>
          </cell>
          <cell r="J30">
            <v>46529</v>
          </cell>
          <cell r="K30">
            <v>48482</v>
          </cell>
        </row>
        <row r="31">
          <cell r="A31" t="str">
            <v>11DKEZN</v>
          </cell>
          <cell r="B31" t="str">
            <v>ANTICIPO A CUENTA INSTRUM INVERSION,</v>
          </cell>
          <cell r="C31">
            <v>0</v>
          </cell>
          <cell r="D31">
            <v>0</v>
          </cell>
          <cell r="E31">
            <v>0</v>
          </cell>
          <cell r="F31">
            <v>0</v>
          </cell>
          <cell r="G31">
            <v>0</v>
          </cell>
          <cell r="H31">
            <v>0</v>
          </cell>
          <cell r="I31">
            <v>0</v>
          </cell>
          <cell r="J31">
            <v>0</v>
          </cell>
          <cell r="K31">
            <v>0</v>
          </cell>
        </row>
        <row r="32">
          <cell r="A32" t="str">
            <v>11DLEZN</v>
          </cell>
          <cell r="B32" t="str">
            <v xml:space="preserve">PAGARES Y LETRAS  </v>
          </cell>
          <cell r="C32">
            <v>0</v>
          </cell>
          <cell r="D32">
            <v>0</v>
          </cell>
          <cell r="E32">
            <v>0</v>
          </cell>
          <cell r="F32">
            <v>0</v>
          </cell>
          <cell r="G32">
            <v>0</v>
          </cell>
          <cell r="H32">
            <v>0</v>
          </cell>
          <cell r="I32">
            <v>0</v>
          </cell>
          <cell r="J32">
            <v>0</v>
          </cell>
          <cell r="K32">
            <v>0</v>
          </cell>
        </row>
        <row r="33">
          <cell r="A33" t="str">
            <v>11EFEZN</v>
          </cell>
          <cell r="B33" t="str">
            <v>LETRAS DEL TESORO DE GOBIERNOS EXTRANJEROS,</v>
          </cell>
          <cell r="C33">
            <v>0</v>
          </cell>
          <cell r="D33">
            <v>0</v>
          </cell>
          <cell r="E33">
            <v>0</v>
          </cell>
          <cell r="F33">
            <v>0</v>
          </cell>
          <cell r="G33">
            <v>0</v>
          </cell>
          <cell r="H33">
            <v>0</v>
          </cell>
          <cell r="I33">
            <v>0</v>
          </cell>
          <cell r="J33">
            <v>0</v>
          </cell>
          <cell r="K33">
            <v>0</v>
          </cell>
        </row>
        <row r="34">
          <cell r="A34" t="str">
            <v>11EHEZN</v>
          </cell>
          <cell r="B34" t="str">
            <v>CERTIFICADOS DE DEPOSITOS,</v>
          </cell>
          <cell r="C34">
            <v>0</v>
          </cell>
          <cell r="D34">
            <v>0</v>
          </cell>
          <cell r="E34">
            <v>0</v>
          </cell>
          <cell r="F34">
            <v>0</v>
          </cell>
          <cell r="G34">
            <v>0</v>
          </cell>
          <cell r="H34">
            <v>0</v>
          </cell>
          <cell r="I34">
            <v>0</v>
          </cell>
          <cell r="J34">
            <v>0</v>
          </cell>
          <cell r="K34">
            <v>0</v>
          </cell>
        </row>
        <row r="35">
          <cell r="A35" t="str">
            <v>11FNEZN</v>
          </cell>
          <cell r="B35" t="str">
            <v xml:space="preserve">CONV.CRED.RECIPROCOS.DEBIT </v>
          </cell>
          <cell r="C35">
            <v>1120</v>
          </cell>
          <cell r="D35">
            <v>2642</v>
          </cell>
          <cell r="E35">
            <v>3388</v>
          </cell>
          <cell r="F35">
            <v>4481</v>
          </cell>
          <cell r="G35">
            <v>1293</v>
          </cell>
          <cell r="H35">
            <v>3503</v>
          </cell>
          <cell r="I35">
            <v>4967</v>
          </cell>
          <cell r="J35">
            <v>5037</v>
          </cell>
          <cell r="K35">
            <v>1589</v>
          </cell>
        </row>
        <row r="36">
          <cell r="A36" t="str">
            <v>11DREZN</v>
          </cell>
          <cell r="B36" t="str">
            <v>DEPOSITOS A PLAZO C/BCOS EN EXTERIOR J.P.MORGAN</v>
          </cell>
          <cell r="C36">
            <v>0</v>
          </cell>
          <cell r="D36">
            <v>0</v>
          </cell>
          <cell r="E36">
            <v>0</v>
          </cell>
          <cell r="F36">
            <v>0</v>
          </cell>
          <cell r="G36">
            <v>0</v>
          </cell>
          <cell r="H36">
            <v>0</v>
          </cell>
          <cell r="I36">
            <v>0</v>
          </cell>
          <cell r="J36">
            <v>0</v>
          </cell>
          <cell r="K36">
            <v>0</v>
          </cell>
        </row>
        <row r="37">
          <cell r="A37" t="str">
            <v>11DSEZN</v>
          </cell>
          <cell r="B37" t="str">
            <v>DEPOSITOS A PLAZO C/BCOS EN EXT.MORGAN GRENFELL</v>
          </cell>
          <cell r="C37">
            <v>4146</v>
          </cell>
          <cell r="D37">
            <v>7635</v>
          </cell>
          <cell r="E37">
            <v>11863</v>
          </cell>
          <cell r="F37">
            <v>6472</v>
          </cell>
          <cell r="G37">
            <v>6676</v>
          </cell>
          <cell r="H37">
            <v>4565</v>
          </cell>
          <cell r="I37">
            <v>6056</v>
          </cell>
          <cell r="J37">
            <v>3374</v>
          </cell>
          <cell r="K37">
            <v>3090</v>
          </cell>
        </row>
        <row r="38">
          <cell r="A38" t="str">
            <v>11DTEZN</v>
          </cell>
          <cell r="B38" t="str">
            <v>CUENTAS CORRIENTES EXTERNAL MANAGERS</v>
          </cell>
          <cell r="C38">
            <v>103056</v>
          </cell>
          <cell r="D38">
            <v>85863</v>
          </cell>
          <cell r="E38">
            <v>86224</v>
          </cell>
          <cell r="F38">
            <v>71263</v>
          </cell>
          <cell r="G38">
            <v>88010</v>
          </cell>
          <cell r="H38">
            <v>60735</v>
          </cell>
          <cell r="I38">
            <v>58827</v>
          </cell>
          <cell r="J38">
            <v>51849</v>
          </cell>
          <cell r="K38">
            <v>57167</v>
          </cell>
        </row>
        <row r="39">
          <cell r="A39" t="str">
            <v>11DUEZN</v>
          </cell>
          <cell r="B39" t="str">
            <v>INSTR.DE INVERS.EN EL EXT.J.P.MORGAN INV.</v>
          </cell>
          <cell r="C39">
            <v>0</v>
          </cell>
          <cell r="D39">
            <v>0</v>
          </cell>
          <cell r="E39">
            <v>0</v>
          </cell>
          <cell r="F39">
            <v>0</v>
          </cell>
          <cell r="G39">
            <v>0</v>
          </cell>
          <cell r="H39">
            <v>0</v>
          </cell>
          <cell r="I39">
            <v>0</v>
          </cell>
          <cell r="J39">
            <v>0</v>
          </cell>
          <cell r="K39">
            <v>0</v>
          </cell>
        </row>
        <row r="40">
          <cell r="A40" t="str">
            <v>11DVEZN</v>
          </cell>
          <cell r="B40" t="str">
            <v>INSTR.DE INVERS.EN EL EXT.MORGAN GRENFELL ASSETS.</v>
          </cell>
          <cell r="C40">
            <v>2886</v>
          </cell>
          <cell r="D40">
            <v>3031</v>
          </cell>
          <cell r="E40">
            <v>3393</v>
          </cell>
          <cell r="F40">
            <v>3447</v>
          </cell>
          <cell r="G40">
            <v>3667</v>
          </cell>
          <cell r="H40">
            <v>3718</v>
          </cell>
          <cell r="I40">
            <v>3243</v>
          </cell>
          <cell r="J40">
            <v>3080</v>
          </cell>
          <cell r="K40">
            <v>3462</v>
          </cell>
        </row>
        <row r="41">
          <cell r="A41" t="str">
            <v>11DWEZN</v>
          </cell>
          <cell r="B41" t="str">
            <v>PREMIOS S. INSTR.EN EL EXT.J.P.MORGAN INV.</v>
          </cell>
          <cell r="C41">
            <v>0</v>
          </cell>
          <cell r="D41">
            <v>0</v>
          </cell>
          <cell r="E41">
            <v>0</v>
          </cell>
          <cell r="F41">
            <v>0</v>
          </cell>
          <cell r="G41">
            <v>0</v>
          </cell>
          <cell r="H41">
            <v>0</v>
          </cell>
          <cell r="I41">
            <v>0</v>
          </cell>
          <cell r="J41">
            <v>0</v>
          </cell>
          <cell r="K41">
            <v>0</v>
          </cell>
        </row>
        <row r="42">
          <cell r="A42" t="str">
            <v>11DXEZN</v>
          </cell>
          <cell r="B42" t="str">
            <v>PREMIOS S. INSTR.EN EL EXT.MORGAN GRENFELL ASSET.</v>
          </cell>
          <cell r="C42">
            <v>111100</v>
          </cell>
          <cell r="D42">
            <v>98176</v>
          </cell>
          <cell r="E42">
            <v>86173</v>
          </cell>
          <cell r="F42">
            <v>88259</v>
          </cell>
          <cell r="G42">
            <v>75464</v>
          </cell>
          <cell r="H42">
            <v>63913</v>
          </cell>
          <cell r="I42">
            <v>84179</v>
          </cell>
          <cell r="J42">
            <v>49703</v>
          </cell>
          <cell r="K42">
            <v>60355</v>
          </cell>
        </row>
        <row r="43">
          <cell r="A43" t="str">
            <v>11EJEZN</v>
          </cell>
          <cell r="B43" t="str">
            <v>INSTRUMENTOS DE INVERS.EN EL EXT. DRESDNER BANK</v>
          </cell>
          <cell r="C43">
            <v>3582</v>
          </cell>
          <cell r="D43">
            <v>3384</v>
          </cell>
          <cell r="E43">
            <v>2925</v>
          </cell>
          <cell r="F43">
            <v>2659</v>
          </cell>
          <cell r="G43">
            <v>2665</v>
          </cell>
          <cell r="H43">
            <v>2549</v>
          </cell>
          <cell r="I43">
            <v>8281</v>
          </cell>
          <cell r="J43">
            <v>7854</v>
          </cell>
          <cell r="K43">
            <v>3767</v>
          </cell>
        </row>
        <row r="44">
          <cell r="A44" t="str">
            <v>11EKEZN</v>
          </cell>
          <cell r="B44" t="str">
            <v>PREMIOS S/INST. DE INVERS.EN EL EXT.DRESDNER BANK</v>
          </cell>
          <cell r="C44">
            <v>0</v>
          </cell>
          <cell r="D44">
            <v>0</v>
          </cell>
          <cell r="E44">
            <v>0</v>
          </cell>
          <cell r="F44">
            <v>0</v>
          </cell>
          <cell r="G44">
            <v>0</v>
          </cell>
          <cell r="H44">
            <v>0</v>
          </cell>
          <cell r="I44">
            <v>0</v>
          </cell>
          <cell r="J44">
            <v>0</v>
          </cell>
          <cell r="K44">
            <v>0</v>
          </cell>
        </row>
        <row r="45">
          <cell r="A45" t="str">
            <v>11ELEZN</v>
          </cell>
          <cell r="B45" t="str">
            <v>DEPOSITOS O/N Y W/E EN BCOS DEL EXT J.P. MORGAN  INV</v>
          </cell>
          <cell r="C45">
            <v>34572</v>
          </cell>
          <cell r="D45">
            <v>35783</v>
          </cell>
          <cell r="E45">
            <v>27096</v>
          </cell>
          <cell r="F45">
            <v>26351</v>
          </cell>
          <cell r="G45">
            <v>26434</v>
          </cell>
          <cell r="H45">
            <v>25264</v>
          </cell>
          <cell r="I45">
            <v>23929</v>
          </cell>
          <cell r="J45">
            <v>23343</v>
          </cell>
          <cell r="K45">
            <v>23172</v>
          </cell>
        </row>
        <row r="46">
          <cell r="A46" t="str">
            <v>11EMEZN</v>
          </cell>
          <cell r="B46" t="str">
            <v>MAYOR VALOR SOBRE INSTRUM. INDEXADOS</v>
          </cell>
          <cell r="C46">
            <v>1581025</v>
          </cell>
          <cell r="D46">
            <v>1399089</v>
          </cell>
          <cell r="E46">
            <v>1535591</v>
          </cell>
          <cell r="F46">
            <v>1480336</v>
          </cell>
          <cell r="G46">
            <v>2310095</v>
          </cell>
          <cell r="H46">
            <v>2223956</v>
          </cell>
          <cell r="I46">
            <v>1845891</v>
          </cell>
          <cell r="J46">
            <v>1848648</v>
          </cell>
          <cell r="K46">
            <v>2316557</v>
          </cell>
        </row>
        <row r="47">
          <cell r="A47" t="str">
            <v>11ENEZN</v>
          </cell>
          <cell r="B47" t="str">
            <v>OPERACIONES SECURITIES LENDING CHASE M.</v>
          </cell>
          <cell r="C47">
            <v>0</v>
          </cell>
          <cell r="D47">
            <v>0</v>
          </cell>
          <cell r="E47">
            <v>0</v>
          </cell>
          <cell r="F47">
            <v>0</v>
          </cell>
          <cell r="G47">
            <v>0</v>
          </cell>
          <cell r="H47">
            <v>6554</v>
          </cell>
          <cell r="I47">
            <v>0</v>
          </cell>
          <cell r="J47">
            <v>0</v>
          </cell>
          <cell r="K47">
            <v>0</v>
          </cell>
        </row>
        <row r="48">
          <cell r="A48" t="str">
            <v>11EREZN</v>
          </cell>
          <cell r="B48" t="str">
            <v>DEPOSITOS   O/N Y W/E  EN BCOS EXT.FISHER  F.</v>
          </cell>
          <cell r="C48">
            <v>4773</v>
          </cell>
          <cell r="D48">
            <v>3391</v>
          </cell>
          <cell r="E48">
            <v>1932</v>
          </cell>
          <cell r="F48">
            <v>2535</v>
          </cell>
          <cell r="G48">
            <v>1173</v>
          </cell>
          <cell r="H48">
            <v>0</v>
          </cell>
          <cell r="I48">
            <v>9173</v>
          </cell>
          <cell r="J48">
            <v>5595</v>
          </cell>
          <cell r="K48">
            <v>0</v>
          </cell>
        </row>
        <row r="49">
          <cell r="A49" t="str">
            <v>11EOEZN</v>
          </cell>
          <cell r="B49" t="str">
            <v>OPERAC. SECURITIES LENDING DEUTSCHE MORGAN</v>
          </cell>
          <cell r="C49">
            <v>90991</v>
          </cell>
          <cell r="D49">
            <v>171086</v>
          </cell>
          <cell r="E49">
            <v>25114</v>
          </cell>
          <cell r="F49">
            <v>89795</v>
          </cell>
          <cell r="G49">
            <v>171559</v>
          </cell>
          <cell r="H49">
            <v>129999</v>
          </cell>
          <cell r="I49">
            <v>180253</v>
          </cell>
          <cell r="J49">
            <v>154523</v>
          </cell>
          <cell r="K49">
            <v>0</v>
          </cell>
        </row>
        <row r="50">
          <cell r="A50" t="str">
            <v>11ETEZN</v>
          </cell>
          <cell r="B50" t="str">
            <v>OPERACIONES SECURITIES LENDING J.P.MORGAN</v>
          </cell>
          <cell r="C50">
            <v>25529</v>
          </cell>
          <cell r="D50">
            <v>47247</v>
          </cell>
          <cell r="E50">
            <v>44038</v>
          </cell>
          <cell r="F50">
            <v>55231</v>
          </cell>
          <cell r="G50">
            <v>45838</v>
          </cell>
          <cell r="H50">
            <v>71780</v>
          </cell>
          <cell r="I50">
            <v>68781</v>
          </cell>
          <cell r="J50">
            <v>75835</v>
          </cell>
          <cell r="K50">
            <v>70558</v>
          </cell>
        </row>
        <row r="51">
          <cell r="A51" t="str">
            <v>11EUEZN</v>
          </cell>
          <cell r="B51" t="str">
            <v>OPERACIONES SECURITIES LENDING FISCHER FRANCIS</v>
          </cell>
          <cell r="C51">
            <v>23765</v>
          </cell>
          <cell r="D51">
            <v>36971</v>
          </cell>
          <cell r="E51">
            <v>43205</v>
          </cell>
          <cell r="F51">
            <v>43941</v>
          </cell>
          <cell r="G51">
            <v>60502</v>
          </cell>
          <cell r="H51">
            <v>64982</v>
          </cell>
          <cell r="I51">
            <v>46925</v>
          </cell>
          <cell r="J51">
            <v>80121</v>
          </cell>
          <cell r="K51">
            <v>67953</v>
          </cell>
        </row>
        <row r="52">
          <cell r="A52" t="str">
            <v>22811EXEZN...</v>
          </cell>
          <cell r="B52" t="str">
            <v>OPERAC. SEC. LENDING DEUTSCHE ASSET M.</v>
          </cell>
          <cell r="C52">
            <v>0</v>
          </cell>
          <cell r="D52">
            <v>0</v>
          </cell>
          <cell r="E52">
            <v>0</v>
          </cell>
          <cell r="F52">
            <v>0</v>
          </cell>
          <cell r="G52">
            <v>0</v>
          </cell>
          <cell r="H52">
            <v>0</v>
          </cell>
          <cell r="I52">
            <v>0</v>
          </cell>
          <cell r="J52">
            <v>0</v>
          </cell>
          <cell r="K52">
            <v>0</v>
          </cell>
        </row>
        <row r="53">
          <cell r="A53" t="str">
            <v>22811EYEZN...</v>
          </cell>
          <cell r="B53" t="str">
            <v>DEPOSITOS A PLAZO C/BCOS. EN EL EXT.FISHER</v>
          </cell>
          <cell r="C53">
            <v>0</v>
          </cell>
          <cell r="D53">
            <v>0</v>
          </cell>
          <cell r="E53">
            <v>0</v>
          </cell>
          <cell r="F53">
            <v>0</v>
          </cell>
          <cell r="G53">
            <v>0</v>
          </cell>
          <cell r="H53">
            <v>0</v>
          </cell>
          <cell r="I53">
            <v>0</v>
          </cell>
          <cell r="J53">
            <v>0</v>
          </cell>
          <cell r="K53">
            <v>0</v>
          </cell>
        </row>
        <row r="54">
          <cell r="A54" t="str">
            <v>22811FQEZN...</v>
          </cell>
          <cell r="B54" t="str">
            <v>INSTR DE INVERSION EN EL EXT STATE STREET</v>
          </cell>
          <cell r="C54">
            <v>0</v>
          </cell>
          <cell r="D54">
            <v>0</v>
          </cell>
          <cell r="E54">
            <v>0</v>
          </cell>
          <cell r="F54">
            <v>28179</v>
          </cell>
          <cell r="G54">
            <v>55122</v>
          </cell>
          <cell r="H54">
            <v>47769</v>
          </cell>
          <cell r="I54">
            <v>47104</v>
          </cell>
          <cell r="J54">
            <v>51960</v>
          </cell>
          <cell r="K54">
            <v>37203</v>
          </cell>
        </row>
        <row r="55">
          <cell r="A55" t="str">
            <v>22811FREZN...</v>
          </cell>
          <cell r="B55" t="str">
            <v>PREMISO S/INST DE INV EN EL EXT STATE STREET</v>
          </cell>
          <cell r="C55">
            <v>0</v>
          </cell>
          <cell r="D55">
            <v>0</v>
          </cell>
          <cell r="E55">
            <v>0</v>
          </cell>
          <cell r="F55">
            <v>4482</v>
          </cell>
          <cell r="G55">
            <v>4042</v>
          </cell>
          <cell r="H55">
            <v>3899</v>
          </cell>
          <cell r="I55">
            <v>4422</v>
          </cell>
          <cell r="J55">
            <v>3456</v>
          </cell>
          <cell r="K55">
            <v>4328</v>
          </cell>
        </row>
        <row r="56">
          <cell r="A56" t="str">
            <v>22811FSEZN...</v>
          </cell>
          <cell r="B56" t="str">
            <v>OPERACIONES SEC.LENDING STATE STREET GLOB.</v>
          </cell>
          <cell r="C56">
            <v>0</v>
          </cell>
          <cell r="D56">
            <v>0</v>
          </cell>
          <cell r="E56">
            <v>0</v>
          </cell>
          <cell r="F56">
            <v>72242</v>
          </cell>
          <cell r="G56">
            <v>49087</v>
          </cell>
          <cell r="H56">
            <v>53681</v>
          </cell>
          <cell r="I56">
            <v>52018</v>
          </cell>
          <cell r="J56">
            <v>48957</v>
          </cell>
          <cell r="K56">
            <v>60287</v>
          </cell>
        </row>
        <row r="57">
          <cell r="A57" t="str">
            <v>12BBWZN</v>
          </cell>
          <cell r="B57" t="str">
            <v xml:space="preserve">  .OTROS ACTIVOS SOBRE EXTERIOR</v>
          </cell>
          <cell r="C57">
            <v>108370</v>
          </cell>
          <cell r="D57">
            <v>0</v>
          </cell>
          <cell r="E57">
            <v>0</v>
          </cell>
          <cell r="F57">
            <v>0</v>
          </cell>
          <cell r="G57">
            <v>0</v>
          </cell>
          <cell r="H57">
            <v>0</v>
          </cell>
          <cell r="I57">
            <v>0</v>
          </cell>
          <cell r="J57">
            <v>0</v>
          </cell>
          <cell r="K57">
            <v>0</v>
          </cell>
        </row>
        <row r="58">
          <cell r="A58" t="str">
            <v>12JBEZN</v>
          </cell>
          <cell r="B58" t="str">
            <v xml:space="preserve">ACCIONES Y APORTES BID </v>
          </cell>
          <cell r="C58">
            <v>108370</v>
          </cell>
          <cell r="D58">
            <v>0</v>
          </cell>
          <cell r="E58">
            <v>0</v>
          </cell>
          <cell r="F58">
            <v>0</v>
          </cell>
          <cell r="G58">
            <v>0</v>
          </cell>
          <cell r="H58">
            <v>0</v>
          </cell>
          <cell r="I58">
            <v>0</v>
          </cell>
          <cell r="J58">
            <v>0</v>
          </cell>
          <cell r="K58">
            <v>0</v>
          </cell>
        </row>
        <row r="59">
          <cell r="A59" t="str">
            <v>13AZNZN</v>
          </cell>
          <cell r="B59" t="str">
            <v>PLATA EN OTRAS FORMAS,</v>
          </cell>
          <cell r="C59">
            <v>0</v>
          </cell>
          <cell r="D59">
            <v>0</v>
          </cell>
          <cell r="E59">
            <v>0</v>
          </cell>
          <cell r="F59">
            <v>0</v>
          </cell>
          <cell r="G59">
            <v>0</v>
          </cell>
          <cell r="H59">
            <v>0</v>
          </cell>
          <cell r="I59">
            <v>0</v>
          </cell>
          <cell r="J59">
            <v>0</v>
          </cell>
          <cell r="K59">
            <v>0</v>
          </cell>
        </row>
        <row r="60">
          <cell r="A60" t="str">
            <v>13CYNZN</v>
          </cell>
          <cell r="B60" t="str">
            <v xml:space="preserve">PLATA SELLADA CHILENA </v>
          </cell>
          <cell r="C60">
            <v>0</v>
          </cell>
          <cell r="D60">
            <v>0</v>
          </cell>
          <cell r="E60">
            <v>0</v>
          </cell>
          <cell r="F60">
            <v>0</v>
          </cell>
          <cell r="G60">
            <v>0</v>
          </cell>
          <cell r="H60">
            <v>0</v>
          </cell>
          <cell r="I60">
            <v>0</v>
          </cell>
          <cell r="J60">
            <v>0</v>
          </cell>
          <cell r="K60">
            <v>0</v>
          </cell>
        </row>
        <row r="61">
          <cell r="A61" t="str">
            <v>13CXNZN</v>
          </cell>
          <cell r="B61" t="str">
            <v>CORREC.MONETARIA PROVIS.TENENCIAS PLATA DEBE,</v>
          </cell>
          <cell r="C61">
            <v>0</v>
          </cell>
          <cell r="D61">
            <v>0</v>
          </cell>
          <cell r="E61">
            <v>0</v>
          </cell>
          <cell r="F61">
            <v>0</v>
          </cell>
          <cell r="G61">
            <v>0</v>
          </cell>
          <cell r="H61">
            <v>0</v>
          </cell>
          <cell r="I61">
            <v>0</v>
          </cell>
          <cell r="J61">
            <v>0</v>
          </cell>
          <cell r="K61">
            <v>0</v>
          </cell>
        </row>
        <row r="62">
          <cell r="A62" t="str">
            <v>12BBXZN</v>
          </cell>
          <cell r="B62" t="str">
            <v xml:space="preserve">  .OTROS ACTIVOS SOBRE EXTERIOR</v>
          </cell>
          <cell r="C62">
            <v>120707</v>
          </cell>
          <cell r="D62">
            <v>218640</v>
          </cell>
          <cell r="E62">
            <v>217693</v>
          </cell>
          <cell r="F62">
            <v>216004</v>
          </cell>
          <cell r="G62">
            <v>219851</v>
          </cell>
          <cell r="H62">
            <v>216502</v>
          </cell>
          <cell r="I62">
            <v>208440</v>
          </cell>
          <cell r="J62">
            <v>188256</v>
          </cell>
          <cell r="K62">
            <v>222178</v>
          </cell>
        </row>
        <row r="63">
          <cell r="A63" t="str">
            <v>12KBEZN</v>
          </cell>
          <cell r="B63" t="str">
            <v xml:space="preserve">ACCIONES Y APORTES BID  </v>
          </cell>
          <cell r="C63">
            <v>26931</v>
          </cell>
          <cell r="D63">
            <v>138838</v>
          </cell>
          <cell r="E63">
            <v>134015</v>
          </cell>
          <cell r="F63">
            <v>129954</v>
          </cell>
          <cell r="G63">
            <v>130838</v>
          </cell>
          <cell r="H63">
            <v>128463</v>
          </cell>
          <cell r="I63">
            <v>130013</v>
          </cell>
          <cell r="J63">
            <v>128861</v>
          </cell>
          <cell r="K63">
            <v>122549</v>
          </cell>
        </row>
        <row r="64">
          <cell r="A64" t="str">
            <v>12IFEZN</v>
          </cell>
          <cell r="B64" t="str">
            <v>INT P/RECIB S/INVERSIONES Y VARIOS</v>
          </cell>
          <cell r="C64">
            <v>88753</v>
          </cell>
          <cell r="D64">
            <v>75835</v>
          </cell>
          <cell r="E64">
            <v>80353</v>
          </cell>
          <cell r="F64">
            <v>81182</v>
          </cell>
          <cell r="G64">
            <v>83434</v>
          </cell>
          <cell r="H64">
            <v>83333</v>
          </cell>
          <cell r="I64">
            <v>73500</v>
          </cell>
          <cell r="J64">
            <v>55564</v>
          </cell>
          <cell r="K64">
            <v>55375</v>
          </cell>
        </row>
        <row r="65">
          <cell r="A65" t="str">
            <v>12JLEZN</v>
          </cell>
          <cell r="B65" t="str">
            <v xml:space="preserve">UTILID. POR RECIBIR S/CONTRATOS DE COBERTURA FUTUR, </v>
          </cell>
          <cell r="C65">
            <v>157</v>
          </cell>
          <cell r="D65">
            <v>245</v>
          </cell>
          <cell r="E65">
            <v>261</v>
          </cell>
          <cell r="F65">
            <v>180</v>
          </cell>
          <cell r="G65">
            <v>244</v>
          </cell>
          <cell r="H65">
            <v>301</v>
          </cell>
          <cell r="I65">
            <v>101</v>
          </cell>
          <cell r="J65">
            <v>163</v>
          </cell>
          <cell r="K65">
            <v>217</v>
          </cell>
        </row>
        <row r="66">
          <cell r="A66" t="str">
            <v>13EXEZN</v>
          </cell>
          <cell r="B66" t="str">
            <v xml:space="preserve">VARIOS DEUDORES INTS.POR RECIBIR C.ORIGEN C.18-19, </v>
          </cell>
          <cell r="C66">
            <v>0</v>
          </cell>
          <cell r="D66">
            <v>0</v>
          </cell>
          <cell r="E66">
            <v>0</v>
          </cell>
          <cell r="F66">
            <v>0</v>
          </cell>
          <cell r="G66">
            <v>0</v>
          </cell>
          <cell r="H66">
            <v>0</v>
          </cell>
          <cell r="I66">
            <v>0</v>
          </cell>
          <cell r="J66">
            <v>0</v>
          </cell>
          <cell r="K66">
            <v>0</v>
          </cell>
        </row>
        <row r="67">
          <cell r="A67" t="str">
            <v>11DDEZN</v>
          </cell>
          <cell r="B67" t="str">
            <v xml:space="preserve">CORRESP.EXT.CTAS ESPEC. </v>
          </cell>
          <cell r="C67">
            <v>0</v>
          </cell>
          <cell r="D67">
            <v>0</v>
          </cell>
          <cell r="E67">
            <v>0</v>
          </cell>
          <cell r="F67">
            <v>0</v>
          </cell>
          <cell r="G67">
            <v>0</v>
          </cell>
          <cell r="H67">
            <v>0</v>
          </cell>
          <cell r="I67">
            <v>0</v>
          </cell>
          <cell r="J67">
            <v>0</v>
          </cell>
          <cell r="K67">
            <v>0</v>
          </cell>
        </row>
        <row r="68">
          <cell r="A68" t="str">
            <v>11DEEZN</v>
          </cell>
          <cell r="B68" t="str">
            <v>CORRESP.EXT.DEP.CONGEL.</v>
          </cell>
          <cell r="C68">
            <v>0</v>
          </cell>
          <cell r="D68">
            <v>0</v>
          </cell>
          <cell r="E68">
            <v>0</v>
          </cell>
          <cell r="F68">
            <v>0</v>
          </cell>
          <cell r="G68">
            <v>0</v>
          </cell>
          <cell r="H68">
            <v>0</v>
          </cell>
          <cell r="I68">
            <v>0</v>
          </cell>
          <cell r="J68">
            <v>0</v>
          </cell>
          <cell r="K68">
            <v>0</v>
          </cell>
        </row>
        <row r="69">
          <cell r="A69" t="str">
            <v>11ADEZN</v>
          </cell>
          <cell r="B69" t="str">
            <v xml:space="preserve">PLATA EN CASA MONEDA </v>
          </cell>
          <cell r="C69">
            <v>0</v>
          </cell>
          <cell r="D69">
            <v>0</v>
          </cell>
          <cell r="E69">
            <v>0</v>
          </cell>
          <cell r="F69">
            <v>0</v>
          </cell>
          <cell r="G69">
            <v>0</v>
          </cell>
          <cell r="H69">
            <v>0</v>
          </cell>
          <cell r="I69">
            <v>0</v>
          </cell>
          <cell r="J69">
            <v>0</v>
          </cell>
          <cell r="K69">
            <v>0</v>
          </cell>
        </row>
        <row r="70">
          <cell r="A70" t="str">
            <v>13AWEZN</v>
          </cell>
          <cell r="B70" t="str">
            <v>PLATA EN OTRAS FORMAS</v>
          </cell>
          <cell r="C70">
            <v>0</v>
          </cell>
          <cell r="D70">
            <v>0</v>
          </cell>
          <cell r="E70">
            <v>0</v>
          </cell>
          <cell r="F70">
            <v>0</v>
          </cell>
          <cell r="G70">
            <v>0</v>
          </cell>
          <cell r="H70">
            <v>0</v>
          </cell>
          <cell r="I70">
            <v>0</v>
          </cell>
          <cell r="J70">
            <v>0</v>
          </cell>
          <cell r="K70">
            <v>0</v>
          </cell>
        </row>
        <row r="71">
          <cell r="A71" t="str">
            <v>13AFEZN</v>
          </cell>
          <cell r="B71" t="str">
            <v xml:space="preserve">PLATA SELLADA CHILENA </v>
          </cell>
          <cell r="C71">
            <v>0</v>
          </cell>
          <cell r="D71">
            <v>0</v>
          </cell>
          <cell r="E71">
            <v>0</v>
          </cell>
          <cell r="F71">
            <v>0</v>
          </cell>
          <cell r="G71">
            <v>0</v>
          </cell>
          <cell r="H71">
            <v>0</v>
          </cell>
          <cell r="I71">
            <v>0</v>
          </cell>
          <cell r="J71">
            <v>0</v>
          </cell>
          <cell r="K71">
            <v>0</v>
          </cell>
        </row>
        <row r="72">
          <cell r="A72" t="str">
            <v>12DDEZN</v>
          </cell>
          <cell r="B72" t="str">
            <v xml:space="preserve">LIN CRED CONV CAF 24-2-75 </v>
          </cell>
          <cell r="C72">
            <v>0</v>
          </cell>
          <cell r="D72">
            <v>0</v>
          </cell>
          <cell r="E72">
            <v>0</v>
          </cell>
          <cell r="F72">
            <v>0</v>
          </cell>
          <cell r="G72">
            <v>0</v>
          </cell>
          <cell r="H72">
            <v>0</v>
          </cell>
          <cell r="I72">
            <v>0</v>
          </cell>
          <cell r="J72">
            <v>0</v>
          </cell>
          <cell r="K72">
            <v>0</v>
          </cell>
        </row>
        <row r="73">
          <cell r="A73" t="str">
            <v>11DQEZN</v>
          </cell>
          <cell r="B73" t="str">
            <v>INSTR.FINANC.EN GAR.POR CRED.RECIB.(REPOS)</v>
          </cell>
          <cell r="C73">
            <v>0</v>
          </cell>
          <cell r="D73">
            <v>0</v>
          </cell>
          <cell r="E73">
            <v>0</v>
          </cell>
          <cell r="F73">
            <v>0</v>
          </cell>
          <cell r="G73">
            <v>0</v>
          </cell>
          <cell r="H73">
            <v>0</v>
          </cell>
          <cell r="I73">
            <v>0</v>
          </cell>
          <cell r="J73">
            <v>0</v>
          </cell>
          <cell r="K73">
            <v>0</v>
          </cell>
        </row>
        <row r="74">
          <cell r="A74" t="str">
            <v>13ASEZN</v>
          </cell>
          <cell r="B74" t="str">
            <v>L/C B.CENTRALES FINAN.EXPORT</v>
          </cell>
          <cell r="C74">
            <v>0</v>
          </cell>
          <cell r="D74">
            <v>0</v>
          </cell>
          <cell r="E74">
            <v>0</v>
          </cell>
          <cell r="F74">
            <v>0</v>
          </cell>
          <cell r="G74">
            <v>0</v>
          </cell>
          <cell r="H74">
            <v>0</v>
          </cell>
          <cell r="I74">
            <v>0</v>
          </cell>
          <cell r="J74">
            <v>0</v>
          </cell>
          <cell r="K74">
            <v>0</v>
          </cell>
        </row>
        <row r="75">
          <cell r="A75" t="str">
            <v>12FREZN</v>
          </cell>
          <cell r="B75" t="str">
            <v>PRESTAMO A BANCO CENTRAL DE BOLIVIA SES.1405</v>
          </cell>
          <cell r="C75">
            <v>0</v>
          </cell>
          <cell r="D75">
            <v>0</v>
          </cell>
          <cell r="E75">
            <v>0</v>
          </cell>
          <cell r="F75">
            <v>0</v>
          </cell>
          <cell r="G75">
            <v>0</v>
          </cell>
          <cell r="H75">
            <v>0</v>
          </cell>
          <cell r="I75">
            <v>0</v>
          </cell>
          <cell r="J75">
            <v>0</v>
          </cell>
          <cell r="K75">
            <v>0</v>
          </cell>
        </row>
        <row r="76">
          <cell r="A76" t="str">
            <v>11DJEZN</v>
          </cell>
          <cell r="B76" t="str">
            <v>SUSCRIPCION ACCIONES SISTEMA SWIFT</v>
          </cell>
          <cell r="C76">
            <v>2</v>
          </cell>
          <cell r="D76">
            <v>2</v>
          </cell>
          <cell r="E76">
            <v>2</v>
          </cell>
          <cell r="F76">
            <v>2</v>
          </cell>
          <cell r="G76">
            <v>2</v>
          </cell>
          <cell r="H76">
            <v>2</v>
          </cell>
          <cell r="I76">
            <v>2</v>
          </cell>
          <cell r="J76">
            <v>2</v>
          </cell>
          <cell r="K76">
            <v>2</v>
          </cell>
        </row>
        <row r="77">
          <cell r="A77" t="str">
            <v>11DYEZN</v>
          </cell>
          <cell r="B77" t="str">
            <v>INTER.P.REC.P.INV.EN EL EXTERIOR J.P.MORGAN</v>
          </cell>
          <cell r="C77">
            <v>2555</v>
          </cell>
          <cell r="D77">
            <v>1819</v>
          </cell>
          <cell r="E77">
            <v>1416</v>
          </cell>
          <cell r="F77">
            <v>1719</v>
          </cell>
          <cell r="G77">
            <v>1550</v>
          </cell>
          <cell r="H77">
            <v>1332</v>
          </cell>
          <cell r="I77">
            <v>1786</v>
          </cell>
          <cell r="J77">
            <v>1449</v>
          </cell>
          <cell r="K77">
            <v>1764</v>
          </cell>
        </row>
        <row r="78">
          <cell r="A78" t="str">
            <v>11DZEZN</v>
          </cell>
          <cell r="B78" t="str">
            <v>INTER.P.REC.P.INV.EN EL EXTERIOR MORGAN GRENFELL</v>
          </cell>
          <cell r="C78">
            <v>0</v>
          </cell>
          <cell r="D78">
            <v>0</v>
          </cell>
          <cell r="E78">
            <v>0</v>
          </cell>
          <cell r="F78">
            <v>0</v>
          </cell>
          <cell r="G78">
            <v>0</v>
          </cell>
          <cell r="H78">
            <v>0</v>
          </cell>
          <cell r="I78">
            <v>0</v>
          </cell>
          <cell r="J78">
            <v>0</v>
          </cell>
          <cell r="K78">
            <v>0</v>
          </cell>
        </row>
        <row r="79">
          <cell r="A79" t="str">
            <v>11EPEZN</v>
          </cell>
          <cell r="B79" t="str">
            <v>INTERS.P.REC.P.INV.S.EXTERIOR DRESDNER BANK</v>
          </cell>
          <cell r="C79">
            <v>2171</v>
          </cell>
          <cell r="D79">
            <v>1788</v>
          </cell>
          <cell r="E79">
            <v>1572</v>
          </cell>
          <cell r="F79">
            <v>1729</v>
          </cell>
          <cell r="G79">
            <v>2751</v>
          </cell>
          <cell r="H79">
            <v>1743</v>
          </cell>
          <cell r="I79">
            <v>1618</v>
          </cell>
          <cell r="J79">
            <v>1005</v>
          </cell>
          <cell r="K79">
            <v>1282</v>
          </cell>
        </row>
        <row r="80">
          <cell r="A80" t="str">
            <v>11EQEZN</v>
          </cell>
          <cell r="B80" t="str">
            <v>COMISIONES P. REC.SEC LENDING CHASE MANHATTAN</v>
          </cell>
          <cell r="C80">
            <v>117</v>
          </cell>
          <cell r="D80">
            <v>92</v>
          </cell>
          <cell r="E80">
            <v>55</v>
          </cell>
          <cell r="F80">
            <v>40</v>
          </cell>
          <cell r="G80">
            <v>67</v>
          </cell>
          <cell r="H80">
            <v>95</v>
          </cell>
          <cell r="I80">
            <v>102</v>
          </cell>
          <cell r="J80">
            <v>103</v>
          </cell>
          <cell r="K80">
            <v>84</v>
          </cell>
        </row>
        <row r="81">
          <cell r="A81" t="str">
            <v>11ESEZN</v>
          </cell>
          <cell r="B81" t="str">
            <v>COMISIONES P. REC.SEC LENDING DEUTSCHE BANK</v>
          </cell>
          <cell r="C81">
            <v>5</v>
          </cell>
          <cell r="D81">
            <v>6</v>
          </cell>
          <cell r="E81">
            <v>8</v>
          </cell>
          <cell r="F81">
            <v>3</v>
          </cell>
          <cell r="G81">
            <v>15</v>
          </cell>
          <cell r="H81">
            <v>7</v>
          </cell>
          <cell r="I81">
            <v>7</v>
          </cell>
          <cell r="J81">
            <v>9</v>
          </cell>
          <cell r="K81">
            <v>3</v>
          </cell>
        </row>
        <row r="82">
          <cell r="A82" t="str">
            <v>11EVEZN</v>
          </cell>
          <cell r="B82" t="str">
            <v>COMISIONES P. REC.SEC LENDING J.P.MORGAN</v>
          </cell>
          <cell r="C82">
            <v>2</v>
          </cell>
          <cell r="D82">
            <v>1</v>
          </cell>
          <cell r="E82">
            <v>2</v>
          </cell>
          <cell r="F82">
            <v>3</v>
          </cell>
          <cell r="G82">
            <v>3</v>
          </cell>
          <cell r="H82">
            <v>10</v>
          </cell>
          <cell r="I82">
            <v>13</v>
          </cell>
          <cell r="J82">
            <v>15</v>
          </cell>
          <cell r="K82">
            <v>8</v>
          </cell>
        </row>
        <row r="83">
          <cell r="A83" t="str">
            <v>22811EZEZN...</v>
          </cell>
          <cell r="B83" t="str">
            <v>COMISIONES P. REC.SEC LENDING DEUTSCHE</v>
          </cell>
          <cell r="C83">
            <v>0</v>
          </cell>
          <cell r="D83">
            <v>0</v>
          </cell>
          <cell r="E83">
            <v>0</v>
          </cell>
          <cell r="F83">
            <v>0</v>
          </cell>
          <cell r="G83">
            <v>0</v>
          </cell>
          <cell r="H83">
            <v>0</v>
          </cell>
          <cell r="I83">
            <v>0</v>
          </cell>
          <cell r="J83">
            <v>0</v>
          </cell>
          <cell r="K83">
            <v>0</v>
          </cell>
        </row>
        <row r="84">
          <cell r="A84" t="str">
            <v>11EWEZN</v>
          </cell>
          <cell r="B84" t="str">
            <v>COMISIONES P. REC.SEC LENDING FISCHER</v>
          </cell>
          <cell r="C84">
            <v>14</v>
          </cell>
          <cell r="D84">
            <v>14</v>
          </cell>
          <cell r="E84">
            <v>9</v>
          </cell>
          <cell r="F84">
            <v>9</v>
          </cell>
          <cell r="G84">
            <v>10</v>
          </cell>
          <cell r="H84">
            <v>5</v>
          </cell>
          <cell r="I84">
            <v>7</v>
          </cell>
          <cell r="J84">
            <v>8</v>
          </cell>
          <cell r="K84">
            <v>5</v>
          </cell>
        </row>
        <row r="85">
          <cell r="A85" t="str">
            <v>22811FTEZN...</v>
          </cell>
          <cell r="B85" t="str">
            <v>INTR POR RECIBIR P/INV S/EL  EXTERIOR  STATE</v>
          </cell>
          <cell r="C85">
            <v>0</v>
          </cell>
          <cell r="D85">
            <v>0</v>
          </cell>
          <cell r="E85">
            <v>0</v>
          </cell>
          <cell r="F85">
            <v>1182</v>
          </cell>
          <cell r="G85">
            <v>934</v>
          </cell>
          <cell r="H85">
            <v>1208</v>
          </cell>
          <cell r="I85">
            <v>1286</v>
          </cell>
          <cell r="J85">
            <v>1066</v>
          </cell>
          <cell r="K85">
            <v>887</v>
          </cell>
        </row>
        <row r="86">
          <cell r="A86" t="str">
            <v>22811FUEZN...</v>
          </cell>
          <cell r="B86" t="str">
            <v>COMISIONES P/REC SEC  LENDING STATE STREET</v>
          </cell>
          <cell r="C86">
            <v>0</v>
          </cell>
          <cell r="D86">
            <v>0</v>
          </cell>
          <cell r="E86">
            <v>0</v>
          </cell>
          <cell r="F86">
            <v>1</v>
          </cell>
          <cell r="G86">
            <v>3</v>
          </cell>
          <cell r="H86">
            <v>3</v>
          </cell>
          <cell r="I86">
            <v>5</v>
          </cell>
          <cell r="J86">
            <v>11</v>
          </cell>
          <cell r="K86">
            <v>9</v>
          </cell>
        </row>
        <row r="87">
          <cell r="A87" t="str">
            <v>22811FVEZN...</v>
          </cell>
          <cell r="B87" t="str">
            <v>ACCIONES BANCO DE PAGOS INTERNACIONALES (BIS)</v>
          </cell>
          <cell r="K87">
            <v>39993</v>
          </cell>
        </row>
        <row r="88">
          <cell r="A88" t="str">
            <v>12BCWZN</v>
          </cell>
          <cell r="B88" t="str">
            <v xml:space="preserve">  .CRÉDITO INTERNO M/N</v>
          </cell>
          <cell r="C88">
            <v>1427687</v>
          </cell>
          <cell r="D88">
            <v>1326686</v>
          </cell>
          <cell r="E88">
            <v>1332882</v>
          </cell>
          <cell r="F88">
            <v>1392530</v>
          </cell>
          <cell r="G88">
            <v>1363796</v>
          </cell>
          <cell r="H88">
            <v>1444497</v>
          </cell>
          <cell r="I88">
            <v>1370980</v>
          </cell>
          <cell r="J88">
            <v>1356753</v>
          </cell>
          <cell r="K88">
            <v>1358783</v>
          </cell>
        </row>
        <row r="89">
          <cell r="A89" t="str">
            <v>12JCEZN</v>
          </cell>
          <cell r="B89" t="str">
            <v xml:space="preserve">ACCIONES  BIRF </v>
          </cell>
          <cell r="C89">
            <v>0</v>
          </cell>
          <cell r="D89">
            <v>0</v>
          </cell>
          <cell r="E89">
            <v>0</v>
          </cell>
          <cell r="F89">
            <v>0</v>
          </cell>
          <cell r="G89">
            <v>0</v>
          </cell>
          <cell r="H89">
            <v>0</v>
          </cell>
          <cell r="I89">
            <v>0</v>
          </cell>
          <cell r="J89">
            <v>0</v>
          </cell>
          <cell r="K89">
            <v>0</v>
          </cell>
        </row>
        <row r="90">
          <cell r="A90" t="str">
            <v>-</v>
          </cell>
          <cell r="B90" t="str">
            <v xml:space="preserve">ACCIONES  CFI  </v>
          </cell>
          <cell r="C90">
            <v>0</v>
          </cell>
          <cell r="D90">
            <v>0</v>
          </cell>
          <cell r="E90">
            <v>0</v>
          </cell>
          <cell r="F90">
            <v>0</v>
          </cell>
          <cell r="G90">
            <v>0</v>
          </cell>
          <cell r="H90">
            <v>0</v>
          </cell>
          <cell r="I90">
            <v>0</v>
          </cell>
          <cell r="J90">
            <v>0</v>
          </cell>
          <cell r="K90">
            <v>0</v>
          </cell>
        </row>
        <row r="91">
          <cell r="A91" t="str">
            <v>12JDEZN</v>
          </cell>
          <cell r="B91" t="str">
            <v>SUSCRIPCION ACCIONES AIF</v>
          </cell>
          <cell r="C91">
            <v>0</v>
          </cell>
          <cell r="D91">
            <v>0</v>
          </cell>
          <cell r="E91">
            <v>0</v>
          </cell>
          <cell r="F91">
            <v>0</v>
          </cell>
          <cell r="G91">
            <v>0</v>
          </cell>
          <cell r="H91">
            <v>0</v>
          </cell>
          <cell r="I91">
            <v>0</v>
          </cell>
          <cell r="J91">
            <v>0</v>
          </cell>
          <cell r="K91">
            <v>0</v>
          </cell>
        </row>
        <row r="92">
          <cell r="A92" t="str">
            <v>12JFEZN</v>
          </cell>
          <cell r="B92" t="str">
            <v>SUSCRIP.ACCIONES DL 2085</v>
          </cell>
          <cell r="C92">
            <v>0</v>
          </cell>
          <cell r="D92">
            <v>0</v>
          </cell>
          <cell r="E92">
            <v>0</v>
          </cell>
          <cell r="F92">
            <v>0</v>
          </cell>
          <cell r="G92">
            <v>0</v>
          </cell>
          <cell r="H92">
            <v>0</v>
          </cell>
          <cell r="I92">
            <v>0</v>
          </cell>
          <cell r="J92">
            <v>0</v>
          </cell>
          <cell r="K92">
            <v>0</v>
          </cell>
        </row>
        <row r="93">
          <cell r="A93" t="str">
            <v>12ABNZN</v>
          </cell>
          <cell r="B93" t="str">
            <v>LIN.CRED.FISCO-PLANE TESOR.</v>
          </cell>
          <cell r="C93">
            <v>0</v>
          </cell>
          <cell r="D93">
            <v>0</v>
          </cell>
          <cell r="E93">
            <v>0</v>
          </cell>
          <cell r="F93">
            <v>0</v>
          </cell>
          <cell r="G93">
            <v>0</v>
          </cell>
          <cell r="H93">
            <v>0</v>
          </cell>
          <cell r="I93">
            <v>0</v>
          </cell>
          <cell r="J93">
            <v>0</v>
          </cell>
          <cell r="K93">
            <v>0</v>
          </cell>
        </row>
        <row r="94">
          <cell r="A94" t="str">
            <v>12ACNZN</v>
          </cell>
          <cell r="B94" t="str">
            <v>CONSOL.DEUDA FISCO.OTR.SP</v>
          </cell>
          <cell r="C94">
            <v>0</v>
          </cell>
          <cell r="D94">
            <v>0</v>
          </cell>
          <cell r="E94">
            <v>0</v>
          </cell>
          <cell r="F94">
            <v>0</v>
          </cell>
          <cell r="G94">
            <v>0</v>
          </cell>
          <cell r="H94">
            <v>0</v>
          </cell>
          <cell r="I94">
            <v>0</v>
          </cell>
          <cell r="J94">
            <v>0</v>
          </cell>
          <cell r="K94">
            <v>0</v>
          </cell>
        </row>
        <row r="95">
          <cell r="A95" t="str">
            <v>12ADNZN</v>
          </cell>
          <cell r="B95" t="str">
            <v>PRESTAMOS AL FISCO-</v>
          </cell>
          <cell r="C95">
            <v>0</v>
          </cell>
          <cell r="D95">
            <v>0</v>
          </cell>
          <cell r="E95">
            <v>0</v>
          </cell>
          <cell r="F95">
            <v>0</v>
          </cell>
          <cell r="G95">
            <v>0</v>
          </cell>
          <cell r="H95">
            <v>0</v>
          </cell>
          <cell r="I95">
            <v>0</v>
          </cell>
          <cell r="J95">
            <v>0</v>
          </cell>
          <cell r="K95">
            <v>0</v>
          </cell>
        </row>
        <row r="96">
          <cell r="A96" t="str">
            <v>-</v>
          </cell>
          <cell r="B96" t="str">
            <v>PAGO CTA-RENEG.DEUDA EXTER.</v>
          </cell>
          <cell r="C96">
            <v>0</v>
          </cell>
          <cell r="D96">
            <v>0</v>
          </cell>
          <cell r="E96">
            <v>0</v>
          </cell>
          <cell r="F96">
            <v>0</v>
          </cell>
          <cell r="G96">
            <v>0</v>
          </cell>
          <cell r="H96">
            <v>0</v>
          </cell>
          <cell r="I96">
            <v>0</v>
          </cell>
          <cell r="J96">
            <v>0</v>
          </cell>
          <cell r="K96">
            <v>0</v>
          </cell>
        </row>
        <row r="97">
          <cell r="A97" t="str">
            <v>12HRNZN</v>
          </cell>
          <cell r="B97" t="str">
            <v xml:space="preserve">LETRAS DE CREDITO CON GARANTIA ESTATAL FINAN.DAVEN, </v>
          </cell>
          <cell r="C97">
            <v>0</v>
          </cell>
          <cell r="D97">
            <v>0</v>
          </cell>
          <cell r="E97">
            <v>0</v>
          </cell>
          <cell r="F97">
            <v>0</v>
          </cell>
          <cell r="G97">
            <v>0</v>
          </cell>
          <cell r="H97">
            <v>0</v>
          </cell>
          <cell r="I97">
            <v>0</v>
          </cell>
          <cell r="J97">
            <v>0</v>
          </cell>
          <cell r="K97">
            <v>0</v>
          </cell>
        </row>
        <row r="98">
          <cell r="A98" t="str">
            <v>12KFNZN</v>
          </cell>
          <cell r="B98" t="str">
            <v xml:space="preserve">REAJ.P/COBRAR LTS.CRED.C.GAR.ESTATAL FINANC.DAVENS, </v>
          </cell>
          <cell r="C98">
            <v>0</v>
          </cell>
          <cell r="D98">
            <v>0</v>
          </cell>
          <cell r="E98">
            <v>0</v>
          </cell>
          <cell r="F98">
            <v>0</v>
          </cell>
          <cell r="G98">
            <v>0</v>
          </cell>
          <cell r="H98">
            <v>0</v>
          </cell>
          <cell r="I98">
            <v>0</v>
          </cell>
          <cell r="J98">
            <v>0</v>
          </cell>
          <cell r="K98">
            <v>0</v>
          </cell>
        </row>
        <row r="99">
          <cell r="A99" t="str">
            <v>12KGNZN</v>
          </cell>
          <cell r="B99" t="str">
            <v xml:space="preserve">BONOS BANCARIOS AC.1475 CON GARANTIA ESTATAL </v>
          </cell>
          <cell r="C99">
            <v>0</v>
          </cell>
          <cell r="D99">
            <v>0</v>
          </cell>
          <cell r="E99">
            <v>0</v>
          </cell>
          <cell r="F99">
            <v>0</v>
          </cell>
          <cell r="G99">
            <v>0</v>
          </cell>
          <cell r="H99">
            <v>0</v>
          </cell>
          <cell r="I99">
            <v>0</v>
          </cell>
          <cell r="J99">
            <v>0</v>
          </cell>
          <cell r="K99">
            <v>0</v>
          </cell>
        </row>
        <row r="100">
          <cell r="A100" t="str">
            <v>12KHNZN</v>
          </cell>
          <cell r="B100" t="str">
            <v>REAJ.P/COBRAR B.BANCARIOS AC.1475 CON,</v>
          </cell>
          <cell r="C100">
            <v>0</v>
          </cell>
          <cell r="D100">
            <v>0</v>
          </cell>
          <cell r="E100">
            <v>0</v>
          </cell>
          <cell r="F100">
            <v>0</v>
          </cell>
          <cell r="G100">
            <v>0</v>
          </cell>
          <cell r="H100">
            <v>0</v>
          </cell>
          <cell r="I100">
            <v>0</v>
          </cell>
          <cell r="J100">
            <v>0</v>
          </cell>
          <cell r="K100">
            <v>0</v>
          </cell>
        </row>
        <row r="101">
          <cell r="A101" t="str">
            <v>-</v>
          </cell>
          <cell r="B101" t="str">
            <v>PTMOS.P/IMPORT.INST.SEMIFISC</v>
          </cell>
          <cell r="C101">
            <v>0</v>
          </cell>
          <cell r="D101">
            <v>0</v>
          </cell>
          <cell r="E101">
            <v>0</v>
          </cell>
          <cell r="F101">
            <v>0</v>
          </cell>
          <cell r="G101">
            <v>0</v>
          </cell>
          <cell r="H101">
            <v>0</v>
          </cell>
          <cell r="I101">
            <v>0</v>
          </cell>
          <cell r="J101">
            <v>0</v>
          </cell>
          <cell r="K101">
            <v>0</v>
          </cell>
        </row>
        <row r="102">
          <cell r="A102" t="str">
            <v>-</v>
          </cell>
          <cell r="B102" t="str">
            <v>L/C CONVENIO BID INSTIT.SEMIFISCALES</v>
          </cell>
          <cell r="C102">
            <v>0</v>
          </cell>
          <cell r="D102">
            <v>0</v>
          </cell>
          <cell r="E102">
            <v>0</v>
          </cell>
          <cell r="F102">
            <v>0</v>
          </cell>
          <cell r="G102">
            <v>0</v>
          </cell>
          <cell r="H102">
            <v>0</v>
          </cell>
          <cell r="I102">
            <v>0</v>
          </cell>
          <cell r="J102">
            <v>0</v>
          </cell>
          <cell r="K102">
            <v>0</v>
          </cell>
        </row>
        <row r="103">
          <cell r="A103" t="str">
            <v>12BVNZN</v>
          </cell>
          <cell r="B103" t="str">
            <v xml:space="preserve">CRED.CAJA.CTRL.DL.2824 </v>
          </cell>
          <cell r="C103">
            <v>0</v>
          </cell>
          <cell r="D103">
            <v>0</v>
          </cell>
          <cell r="E103">
            <v>0</v>
          </cell>
          <cell r="F103">
            <v>0</v>
          </cell>
          <cell r="G103">
            <v>0</v>
          </cell>
          <cell r="H103">
            <v>0</v>
          </cell>
          <cell r="I103">
            <v>0</v>
          </cell>
          <cell r="J103">
            <v>0</v>
          </cell>
          <cell r="K103">
            <v>0</v>
          </cell>
        </row>
        <row r="104">
          <cell r="A104" t="str">
            <v>12BYNZN</v>
          </cell>
          <cell r="B104" t="str">
            <v>L/C CAJA CENTRAL DL.2824</v>
          </cell>
          <cell r="C104">
            <v>0</v>
          </cell>
          <cell r="D104">
            <v>0</v>
          </cell>
          <cell r="E104">
            <v>0</v>
          </cell>
          <cell r="F104">
            <v>0</v>
          </cell>
          <cell r="G104">
            <v>0</v>
          </cell>
          <cell r="H104">
            <v>0</v>
          </cell>
          <cell r="I104">
            <v>0</v>
          </cell>
          <cell r="J104">
            <v>0</v>
          </cell>
          <cell r="K104">
            <v>0</v>
          </cell>
        </row>
        <row r="105">
          <cell r="A105" t="str">
            <v>12DCNZN</v>
          </cell>
          <cell r="B105" t="str">
            <v>CRED.AREA SOC.ADM.DELEG.</v>
          </cell>
          <cell r="C105">
            <v>0</v>
          </cell>
          <cell r="D105">
            <v>0</v>
          </cell>
          <cell r="E105">
            <v>0</v>
          </cell>
          <cell r="F105">
            <v>0</v>
          </cell>
          <cell r="G105">
            <v>0</v>
          </cell>
          <cell r="H105">
            <v>0</v>
          </cell>
          <cell r="I105">
            <v>0</v>
          </cell>
          <cell r="J105">
            <v>0</v>
          </cell>
          <cell r="K105">
            <v>0</v>
          </cell>
        </row>
        <row r="106">
          <cell r="A106" t="str">
            <v>12BHNZN</v>
          </cell>
          <cell r="B106" t="str">
            <v xml:space="preserve">DEUD.POR CJE.VHR-CAR SINAP </v>
          </cell>
          <cell r="C106">
            <v>0</v>
          </cell>
          <cell r="D106">
            <v>0</v>
          </cell>
          <cell r="E106">
            <v>0</v>
          </cell>
          <cell r="F106">
            <v>0</v>
          </cell>
          <cell r="G106">
            <v>0</v>
          </cell>
          <cell r="H106">
            <v>0</v>
          </cell>
          <cell r="I106">
            <v>0</v>
          </cell>
          <cell r="J106">
            <v>0</v>
          </cell>
          <cell r="K106">
            <v>0</v>
          </cell>
        </row>
        <row r="107">
          <cell r="A107" t="str">
            <v>12DDNZN</v>
          </cell>
          <cell r="B107" t="str">
            <v xml:space="preserve">REAJ P/COBRAR S/CRED AREA SOCIAL EN ADM, </v>
          </cell>
          <cell r="C107">
            <v>0</v>
          </cell>
          <cell r="D107">
            <v>0</v>
          </cell>
          <cell r="E107">
            <v>0</v>
          </cell>
          <cell r="F107">
            <v>0</v>
          </cell>
          <cell r="G107">
            <v>0</v>
          </cell>
          <cell r="H107">
            <v>0</v>
          </cell>
          <cell r="I107">
            <v>0</v>
          </cell>
          <cell r="J107">
            <v>0</v>
          </cell>
          <cell r="K107">
            <v>0</v>
          </cell>
        </row>
        <row r="108">
          <cell r="A108" t="str">
            <v>13DXNZN</v>
          </cell>
          <cell r="B108" t="str">
            <v>REAJ P/COBRAR S/L C CCAP DL 2824</v>
          </cell>
          <cell r="C108">
            <v>0</v>
          </cell>
          <cell r="D108">
            <v>0</v>
          </cell>
          <cell r="E108">
            <v>0</v>
          </cell>
          <cell r="F108">
            <v>0</v>
          </cell>
          <cell r="G108">
            <v>0</v>
          </cell>
          <cell r="H108">
            <v>0</v>
          </cell>
          <cell r="I108">
            <v>0</v>
          </cell>
          <cell r="J108">
            <v>0</v>
          </cell>
          <cell r="K108">
            <v>0</v>
          </cell>
        </row>
        <row r="109">
          <cell r="A109" t="str">
            <v>13CINZN</v>
          </cell>
          <cell r="B109" t="str">
            <v xml:space="preserve">REAJ P/COBRAR S/DEUDORES CANJE VHR A CAR, </v>
          </cell>
          <cell r="C109">
            <v>0</v>
          </cell>
          <cell r="D109">
            <v>0</v>
          </cell>
          <cell r="E109">
            <v>0</v>
          </cell>
          <cell r="F109">
            <v>0</v>
          </cell>
          <cell r="G109">
            <v>0</v>
          </cell>
          <cell r="H109">
            <v>0</v>
          </cell>
          <cell r="I109">
            <v>0</v>
          </cell>
          <cell r="J109">
            <v>0</v>
          </cell>
          <cell r="K109">
            <v>0</v>
          </cell>
        </row>
        <row r="110">
          <cell r="A110" t="str">
            <v>12CGNZN</v>
          </cell>
          <cell r="B110" t="str">
            <v xml:space="preserve">LC.PROGRAM.ORG.INTERN. INST.SEMIF.AUT.Y OTRAS  </v>
          </cell>
          <cell r="C110">
            <v>98</v>
          </cell>
          <cell r="D110">
            <v>96</v>
          </cell>
          <cell r="E110">
            <v>94</v>
          </cell>
          <cell r="F110">
            <v>92</v>
          </cell>
          <cell r="G110">
            <v>89</v>
          </cell>
          <cell r="H110">
            <v>87</v>
          </cell>
          <cell r="I110">
            <v>85</v>
          </cell>
          <cell r="J110">
            <v>83</v>
          </cell>
          <cell r="K110">
            <v>81</v>
          </cell>
        </row>
        <row r="111">
          <cell r="A111" t="str">
            <v>13DFNZN</v>
          </cell>
          <cell r="B111" t="str">
            <v xml:space="preserve">REAJ.P.COBRAR S.LC.PROG.ORG.INT.INST.SEMIF.AUT. </v>
          </cell>
          <cell r="C111">
            <v>4206</v>
          </cell>
          <cell r="D111">
            <v>4102</v>
          </cell>
          <cell r="E111">
            <v>3999</v>
          </cell>
          <cell r="F111">
            <v>3896</v>
          </cell>
          <cell r="G111">
            <v>3792</v>
          </cell>
          <cell r="H111">
            <v>3689</v>
          </cell>
          <cell r="I111">
            <v>3585</v>
          </cell>
          <cell r="J111">
            <v>3482</v>
          </cell>
          <cell r="K111">
            <v>3378</v>
          </cell>
        </row>
        <row r="112">
          <cell r="A112" t="str">
            <v>12ERNZN</v>
          </cell>
          <cell r="B112" t="str">
            <v xml:space="preserve">REFINANCIAMIENTO CORFO  </v>
          </cell>
          <cell r="C112">
            <v>0</v>
          </cell>
          <cell r="D112">
            <v>0</v>
          </cell>
          <cell r="E112">
            <v>0</v>
          </cell>
          <cell r="F112">
            <v>0</v>
          </cell>
          <cell r="G112">
            <v>0</v>
          </cell>
          <cell r="H112">
            <v>0</v>
          </cell>
          <cell r="I112">
            <v>0</v>
          </cell>
          <cell r="J112">
            <v>0</v>
          </cell>
          <cell r="K112">
            <v>0</v>
          </cell>
        </row>
        <row r="113">
          <cell r="A113" t="str">
            <v>12HNNZN</v>
          </cell>
          <cell r="B113" t="str">
            <v xml:space="preserve">REAJ.P.COBRAR S.REFINANC.A CORFO </v>
          </cell>
          <cell r="C113">
            <v>0</v>
          </cell>
          <cell r="D113">
            <v>0</v>
          </cell>
          <cell r="E113">
            <v>0</v>
          </cell>
          <cell r="F113">
            <v>0</v>
          </cell>
          <cell r="G113">
            <v>0</v>
          </cell>
          <cell r="H113">
            <v>0</v>
          </cell>
          <cell r="I113">
            <v>0</v>
          </cell>
          <cell r="J113">
            <v>0</v>
          </cell>
          <cell r="K113">
            <v>0</v>
          </cell>
        </row>
        <row r="114">
          <cell r="A114" t="str">
            <v>-</v>
          </cell>
          <cell r="B114" t="str">
            <v xml:space="preserve">PAGARES CORFO ACDO.1045 </v>
          </cell>
          <cell r="C114">
            <v>0</v>
          </cell>
          <cell r="D114">
            <v>0</v>
          </cell>
          <cell r="E114">
            <v>0</v>
          </cell>
          <cell r="F114">
            <v>0</v>
          </cell>
          <cell r="G114">
            <v>0</v>
          </cell>
          <cell r="H114">
            <v>0</v>
          </cell>
          <cell r="I114">
            <v>0</v>
          </cell>
          <cell r="J114">
            <v>0</v>
          </cell>
          <cell r="K114">
            <v>0</v>
          </cell>
        </row>
        <row r="115">
          <cell r="A115" t="str">
            <v>12HGNZN</v>
          </cell>
          <cell r="B115" t="str">
            <v>VALORES POR RECIBIR DE CORFO LEY 18401</v>
          </cell>
          <cell r="C115">
            <v>1596</v>
          </cell>
          <cell r="D115">
            <v>1595</v>
          </cell>
          <cell r="E115">
            <v>1603</v>
          </cell>
          <cell r="F115">
            <v>1476</v>
          </cell>
          <cell r="G115">
            <v>1475</v>
          </cell>
          <cell r="H115">
            <v>1470</v>
          </cell>
          <cell r="I115">
            <v>1468</v>
          </cell>
          <cell r="J115">
            <v>1467</v>
          </cell>
          <cell r="K115">
            <v>1469</v>
          </cell>
        </row>
        <row r="116">
          <cell r="A116" t="str">
            <v>12JMNZN</v>
          </cell>
          <cell r="B116" t="str">
            <v>DEUDORES POR CANJE DE VHR A CAR</v>
          </cell>
          <cell r="C116">
            <v>0</v>
          </cell>
          <cell r="D116">
            <v>0</v>
          </cell>
          <cell r="E116">
            <v>0</v>
          </cell>
          <cell r="F116">
            <v>0</v>
          </cell>
          <cell r="G116">
            <v>0</v>
          </cell>
          <cell r="H116">
            <v>0</v>
          </cell>
          <cell r="I116">
            <v>0</v>
          </cell>
          <cell r="J116">
            <v>0</v>
          </cell>
          <cell r="K116">
            <v>0</v>
          </cell>
        </row>
        <row r="117">
          <cell r="A117" t="str">
            <v>12JPNZN</v>
          </cell>
          <cell r="B117" t="str">
            <v>GTOS.JUD.Y NOTARIALES L/C TRANSP.CORFO AC 1513</v>
          </cell>
          <cell r="C117">
            <v>0</v>
          </cell>
          <cell r="D117">
            <v>0</v>
          </cell>
          <cell r="E117">
            <v>0</v>
          </cell>
          <cell r="F117">
            <v>0</v>
          </cell>
          <cell r="G117">
            <v>0</v>
          </cell>
          <cell r="H117">
            <v>0</v>
          </cell>
          <cell r="I117">
            <v>0</v>
          </cell>
          <cell r="J117">
            <v>0</v>
          </cell>
          <cell r="K117">
            <v>0</v>
          </cell>
        </row>
        <row r="118">
          <cell r="A118" t="str">
            <v>12ALNZN</v>
          </cell>
          <cell r="B118" t="str">
            <v>DEUDORES EN CTA.CTE. BCO.DEL ESTADO</v>
          </cell>
          <cell r="C118">
            <v>0</v>
          </cell>
          <cell r="D118">
            <v>0</v>
          </cell>
          <cell r="E118">
            <v>0</v>
          </cell>
          <cell r="F118">
            <v>0</v>
          </cell>
          <cell r="G118">
            <v>0</v>
          </cell>
          <cell r="H118">
            <v>0</v>
          </cell>
          <cell r="I118">
            <v>0</v>
          </cell>
          <cell r="J118">
            <v>0</v>
          </cell>
          <cell r="K118">
            <v>0</v>
          </cell>
        </row>
        <row r="119">
          <cell r="A119" t="str">
            <v>12FLNZN</v>
          </cell>
          <cell r="B119" t="str">
            <v xml:space="preserve">PTMO.P/IMPORT.AUTOS P/LISIADOS-BCO.ESTADO </v>
          </cell>
          <cell r="C119">
            <v>0</v>
          </cell>
          <cell r="D119">
            <v>0</v>
          </cell>
          <cell r="E119">
            <v>0</v>
          </cell>
          <cell r="F119">
            <v>0</v>
          </cell>
          <cell r="G119">
            <v>0</v>
          </cell>
          <cell r="H119">
            <v>0</v>
          </cell>
          <cell r="I119">
            <v>0</v>
          </cell>
          <cell r="J119">
            <v>0</v>
          </cell>
          <cell r="K119">
            <v>0</v>
          </cell>
        </row>
        <row r="120">
          <cell r="A120" t="str">
            <v>12FMNZN</v>
          </cell>
          <cell r="B120" t="str">
            <v xml:space="preserve">REFINANC.REAJUST.BCO.ESTADO </v>
          </cell>
          <cell r="C120">
            <v>0</v>
          </cell>
          <cell r="D120">
            <v>0</v>
          </cell>
          <cell r="E120">
            <v>0</v>
          </cell>
          <cell r="F120">
            <v>0</v>
          </cell>
          <cell r="G120">
            <v>0</v>
          </cell>
          <cell r="H120">
            <v>0</v>
          </cell>
          <cell r="I120">
            <v>0</v>
          </cell>
          <cell r="J120">
            <v>0</v>
          </cell>
          <cell r="K120">
            <v>0</v>
          </cell>
        </row>
        <row r="121">
          <cell r="A121" t="str">
            <v>12FNNZN</v>
          </cell>
          <cell r="B121" t="str">
            <v xml:space="preserve">REFINANC.BCOS ESTADO </v>
          </cell>
          <cell r="C121">
            <v>0</v>
          </cell>
          <cell r="D121">
            <v>0</v>
          </cell>
          <cell r="E121">
            <v>0</v>
          </cell>
          <cell r="F121">
            <v>0</v>
          </cell>
          <cell r="G121">
            <v>0</v>
          </cell>
          <cell r="H121">
            <v>0</v>
          </cell>
          <cell r="I121">
            <v>0</v>
          </cell>
          <cell r="J121">
            <v>0</v>
          </cell>
          <cell r="K121">
            <v>0</v>
          </cell>
        </row>
        <row r="122">
          <cell r="A122" t="str">
            <v>-</v>
          </cell>
          <cell r="B122" t="str">
            <v>PRESTAMOS PARA IMPORTACIONES BCO.DEL ESTADO</v>
          </cell>
          <cell r="C122">
            <v>0</v>
          </cell>
          <cell r="D122">
            <v>0</v>
          </cell>
          <cell r="E122">
            <v>0</v>
          </cell>
          <cell r="F122">
            <v>0</v>
          </cell>
          <cell r="G122">
            <v>0</v>
          </cell>
          <cell r="H122">
            <v>0</v>
          </cell>
          <cell r="I122">
            <v>0</v>
          </cell>
          <cell r="J122">
            <v>0</v>
          </cell>
          <cell r="K122">
            <v>0</v>
          </cell>
        </row>
        <row r="123">
          <cell r="A123" t="str">
            <v>12MMNZN</v>
          </cell>
          <cell r="B123" t="str">
            <v xml:space="preserve">LINEA DE CREDITO DE LIQUIDEZ BECH </v>
          </cell>
          <cell r="C123">
            <v>39000</v>
          </cell>
          <cell r="D123">
            <v>0</v>
          </cell>
          <cell r="E123">
            <v>5000</v>
          </cell>
          <cell r="F123">
            <v>4000</v>
          </cell>
          <cell r="G123">
            <v>0</v>
          </cell>
          <cell r="H123">
            <v>39000</v>
          </cell>
          <cell r="I123">
            <v>0</v>
          </cell>
          <cell r="J123">
            <v>3500</v>
          </cell>
          <cell r="K123">
            <v>0</v>
          </cell>
        </row>
        <row r="124">
          <cell r="A124" t="str">
            <v>12FRNZN</v>
          </cell>
          <cell r="B124" t="str">
            <v>REFIN.CRED.XI REG.B.ESTADO</v>
          </cell>
          <cell r="C124">
            <v>0</v>
          </cell>
          <cell r="D124">
            <v>0</v>
          </cell>
          <cell r="E124">
            <v>0</v>
          </cell>
          <cell r="F124">
            <v>0</v>
          </cell>
          <cell r="G124">
            <v>0</v>
          </cell>
          <cell r="H124">
            <v>0</v>
          </cell>
          <cell r="I124">
            <v>0</v>
          </cell>
          <cell r="J124">
            <v>0</v>
          </cell>
          <cell r="K124">
            <v>0</v>
          </cell>
        </row>
        <row r="125">
          <cell r="A125" t="str">
            <v>12MANZN</v>
          </cell>
          <cell r="B125" t="str">
            <v>REAJ P/COBRAR S/REFIN REAJ BCO ESTADO</v>
          </cell>
          <cell r="C125">
            <v>0</v>
          </cell>
          <cell r="D125">
            <v>0</v>
          </cell>
          <cell r="E125">
            <v>0</v>
          </cell>
          <cell r="F125">
            <v>0</v>
          </cell>
          <cell r="G125">
            <v>0</v>
          </cell>
          <cell r="H125">
            <v>0</v>
          </cell>
          <cell r="I125">
            <v>0</v>
          </cell>
          <cell r="J125">
            <v>0</v>
          </cell>
          <cell r="K125">
            <v>0</v>
          </cell>
        </row>
        <row r="126">
          <cell r="A126" t="str">
            <v>12CFNZN</v>
          </cell>
          <cell r="B126" t="str">
            <v xml:space="preserve">LC.PROGRAM.ORG.INTERNACIONALES BCO. ESTADO </v>
          </cell>
          <cell r="C126">
            <v>0</v>
          </cell>
          <cell r="D126">
            <v>0</v>
          </cell>
          <cell r="E126">
            <v>0</v>
          </cell>
          <cell r="F126">
            <v>0</v>
          </cell>
          <cell r="G126">
            <v>0</v>
          </cell>
          <cell r="H126">
            <v>0</v>
          </cell>
          <cell r="I126">
            <v>0</v>
          </cell>
          <cell r="J126">
            <v>0</v>
          </cell>
          <cell r="K126">
            <v>0</v>
          </cell>
        </row>
        <row r="127">
          <cell r="A127" t="str">
            <v>13DKNZN</v>
          </cell>
          <cell r="B127" t="str">
            <v xml:space="preserve">REAJ.P.COBRAR S.LC.PROG.ORG.INTER.BCO. ESTADO   </v>
          </cell>
          <cell r="C127">
            <v>0</v>
          </cell>
          <cell r="D127">
            <v>0</v>
          </cell>
          <cell r="E127">
            <v>0</v>
          </cell>
          <cell r="F127">
            <v>0</v>
          </cell>
          <cell r="G127">
            <v>0</v>
          </cell>
          <cell r="H127">
            <v>0</v>
          </cell>
          <cell r="I127">
            <v>0</v>
          </cell>
          <cell r="J127">
            <v>0</v>
          </cell>
          <cell r="K127">
            <v>0</v>
          </cell>
        </row>
        <row r="128">
          <cell r="A128" t="str">
            <v>13CGNZN</v>
          </cell>
          <cell r="B128" t="str">
            <v>REAJ P/COBRAR S/L C XI REGION BCO ESTADO</v>
          </cell>
          <cell r="C128">
            <v>0</v>
          </cell>
          <cell r="D128">
            <v>0</v>
          </cell>
          <cell r="E128">
            <v>0</v>
          </cell>
          <cell r="F128">
            <v>0</v>
          </cell>
          <cell r="G128">
            <v>0</v>
          </cell>
          <cell r="H128">
            <v>0</v>
          </cell>
          <cell r="I128">
            <v>0</v>
          </cell>
          <cell r="J128">
            <v>0</v>
          </cell>
          <cell r="K128">
            <v>0</v>
          </cell>
        </row>
        <row r="129">
          <cell r="A129" t="str">
            <v>12FYNZN</v>
          </cell>
          <cell r="B129" t="str">
            <v xml:space="preserve">PRESTAMOS DE URGENCIA BCO.DEL ESTADO </v>
          </cell>
          <cell r="C129">
            <v>0</v>
          </cell>
          <cell r="D129">
            <v>0</v>
          </cell>
          <cell r="E129">
            <v>0</v>
          </cell>
          <cell r="F129">
            <v>0</v>
          </cell>
          <cell r="G129">
            <v>0</v>
          </cell>
          <cell r="H129">
            <v>0</v>
          </cell>
          <cell r="I129">
            <v>0</v>
          </cell>
          <cell r="J129">
            <v>0</v>
          </cell>
          <cell r="K129">
            <v>0</v>
          </cell>
        </row>
        <row r="130">
          <cell r="A130" t="str">
            <v>-</v>
          </cell>
          <cell r="B130" t="str">
            <v>ANTICIPO POR SALDO DE PREC.PAGARE ADQ.BCO.ESTAD</v>
          </cell>
          <cell r="C130">
            <v>0</v>
          </cell>
          <cell r="D130">
            <v>0</v>
          </cell>
          <cell r="E130">
            <v>0</v>
          </cell>
          <cell r="F130">
            <v>0</v>
          </cell>
          <cell r="G130">
            <v>0</v>
          </cell>
          <cell r="H130">
            <v>0</v>
          </cell>
          <cell r="I130">
            <v>0</v>
          </cell>
          <cell r="J130">
            <v>0</v>
          </cell>
          <cell r="K130">
            <v>0</v>
          </cell>
        </row>
        <row r="131">
          <cell r="A131" t="str">
            <v>12AINZN</v>
          </cell>
          <cell r="B131" t="str">
            <v xml:space="preserve">BONOS ADQUIRIDOS A BCO.DEL ESTADO </v>
          </cell>
          <cell r="C131">
            <v>0</v>
          </cell>
          <cell r="D131">
            <v>0</v>
          </cell>
          <cell r="E131">
            <v>0</v>
          </cell>
          <cell r="F131">
            <v>0</v>
          </cell>
          <cell r="G131">
            <v>0</v>
          </cell>
          <cell r="H131">
            <v>0</v>
          </cell>
          <cell r="I131">
            <v>0</v>
          </cell>
          <cell r="J131">
            <v>0</v>
          </cell>
          <cell r="K131">
            <v>0</v>
          </cell>
        </row>
        <row r="132">
          <cell r="A132" t="str">
            <v>12AUNZN</v>
          </cell>
          <cell r="B132" t="str">
            <v>REAJ.P.COBRAR S/BONOS BCO.DEL ESTADO</v>
          </cell>
          <cell r="C132">
            <v>0</v>
          </cell>
          <cell r="D132">
            <v>0</v>
          </cell>
          <cell r="E132">
            <v>0</v>
          </cell>
          <cell r="F132">
            <v>0</v>
          </cell>
          <cell r="G132">
            <v>0</v>
          </cell>
          <cell r="H132">
            <v>0</v>
          </cell>
          <cell r="I132">
            <v>0</v>
          </cell>
          <cell r="J132">
            <v>0</v>
          </cell>
          <cell r="K132">
            <v>0</v>
          </cell>
        </row>
        <row r="133">
          <cell r="A133" t="str">
            <v>12CNNZN</v>
          </cell>
          <cell r="B133" t="str">
            <v xml:space="preserve">LINEA CREDITO A BCO.ESTADO P.CPRA.CARTERA AL 70% M, </v>
          </cell>
          <cell r="C133">
            <v>0</v>
          </cell>
          <cell r="D133">
            <v>0</v>
          </cell>
          <cell r="E133">
            <v>0</v>
          </cell>
          <cell r="F133">
            <v>0</v>
          </cell>
          <cell r="G133">
            <v>0</v>
          </cell>
          <cell r="H133">
            <v>0</v>
          </cell>
          <cell r="I133">
            <v>0</v>
          </cell>
          <cell r="J133">
            <v>0</v>
          </cell>
          <cell r="K133">
            <v>0</v>
          </cell>
        </row>
        <row r="134">
          <cell r="A134" t="str">
            <v>12CHNZN</v>
          </cell>
          <cell r="B134" t="str">
            <v>DESCUENTOS INSTRUMENTOS FINANCIEROS BCO.DEL ESTADO</v>
          </cell>
          <cell r="C134">
            <v>0</v>
          </cell>
          <cell r="D134">
            <v>0</v>
          </cell>
          <cell r="E134">
            <v>0</v>
          </cell>
          <cell r="F134">
            <v>0</v>
          </cell>
          <cell r="G134">
            <v>0</v>
          </cell>
          <cell r="H134">
            <v>0</v>
          </cell>
          <cell r="I134">
            <v>0</v>
          </cell>
          <cell r="J134">
            <v>0</v>
          </cell>
          <cell r="K134">
            <v>0</v>
          </cell>
        </row>
        <row r="135">
          <cell r="A135" t="str">
            <v>12CUNZN</v>
          </cell>
          <cell r="B135" t="str">
            <v>DOCUMENTOS CRED.HIPOTEC.ADQ.BCO.ESTADO</v>
          </cell>
          <cell r="C135">
            <v>6</v>
          </cell>
          <cell r="D135">
            <v>6</v>
          </cell>
          <cell r="E135">
            <v>6</v>
          </cell>
          <cell r="F135">
            <v>5</v>
          </cell>
          <cell r="G135">
            <v>5</v>
          </cell>
          <cell r="H135">
            <v>5</v>
          </cell>
          <cell r="I135">
            <v>3</v>
          </cell>
          <cell r="J135">
            <v>3</v>
          </cell>
          <cell r="K135">
            <v>3</v>
          </cell>
        </row>
        <row r="136">
          <cell r="A136" t="str">
            <v>12MPNZN</v>
          </cell>
          <cell r="B136" t="str">
            <v xml:space="preserve">REAJ.P.COB.S.CPRA.DOC.CRED.HIPOT.ADQ.BCO.ESTADO </v>
          </cell>
          <cell r="C136">
            <v>48</v>
          </cell>
          <cell r="D136">
            <v>48</v>
          </cell>
          <cell r="E136">
            <v>48</v>
          </cell>
          <cell r="F136">
            <v>38</v>
          </cell>
          <cell r="G136">
            <v>38</v>
          </cell>
          <cell r="H136">
            <v>38</v>
          </cell>
          <cell r="I136">
            <v>22</v>
          </cell>
          <cell r="J136">
            <v>22</v>
          </cell>
          <cell r="K136">
            <v>22</v>
          </cell>
        </row>
        <row r="137">
          <cell r="A137" t="str">
            <v>12MSNZN</v>
          </cell>
          <cell r="B137" t="str">
            <v xml:space="preserve">REAJ.P.COB.S.LC.BCO.ESTADO P.CPRA.CARTERA 70 % </v>
          </cell>
          <cell r="C137">
            <v>0</v>
          </cell>
          <cell r="D137">
            <v>0</v>
          </cell>
          <cell r="E137">
            <v>0</v>
          </cell>
          <cell r="F137">
            <v>0</v>
          </cell>
          <cell r="G137">
            <v>0</v>
          </cell>
          <cell r="H137">
            <v>0</v>
          </cell>
          <cell r="I137">
            <v>0</v>
          </cell>
          <cell r="J137">
            <v>0</v>
          </cell>
          <cell r="K137">
            <v>0</v>
          </cell>
        </row>
        <row r="138">
          <cell r="A138" t="str">
            <v>12CPNZN</v>
          </cell>
          <cell r="B138" t="str">
            <v>ANTIC.DE CRED.AL SISTEMA FINANCIERO BECH</v>
          </cell>
          <cell r="C138">
            <v>0</v>
          </cell>
          <cell r="D138">
            <v>0</v>
          </cell>
          <cell r="E138">
            <v>0</v>
          </cell>
          <cell r="F138">
            <v>0</v>
          </cell>
          <cell r="G138">
            <v>0</v>
          </cell>
          <cell r="H138">
            <v>0</v>
          </cell>
          <cell r="I138">
            <v>0</v>
          </cell>
          <cell r="J138">
            <v>0</v>
          </cell>
          <cell r="K138">
            <v>0</v>
          </cell>
        </row>
        <row r="139">
          <cell r="A139" t="str">
            <v>12CVNZN</v>
          </cell>
          <cell r="B139" t="str">
            <v>L.CREDITO.P.REPROGRAMACION DEUDAS BCO.ESTADO</v>
          </cell>
          <cell r="C139">
            <v>0</v>
          </cell>
          <cell r="D139">
            <v>0</v>
          </cell>
          <cell r="E139">
            <v>0</v>
          </cell>
          <cell r="F139">
            <v>0</v>
          </cell>
          <cell r="G139">
            <v>0</v>
          </cell>
          <cell r="H139">
            <v>0</v>
          </cell>
          <cell r="I139">
            <v>0</v>
          </cell>
          <cell r="J139">
            <v>0</v>
          </cell>
          <cell r="K139">
            <v>0</v>
          </cell>
        </row>
        <row r="140">
          <cell r="A140" t="str">
            <v>12CWNZN</v>
          </cell>
          <cell r="B140" t="str">
            <v>REAJ.P.COB.S.LC.P.REPROGRAM.DEUDAS BCO.ESTADO</v>
          </cell>
          <cell r="C140">
            <v>0</v>
          </cell>
          <cell r="D140">
            <v>0</v>
          </cell>
          <cell r="E140">
            <v>0</v>
          </cell>
          <cell r="F140">
            <v>0</v>
          </cell>
          <cell r="G140">
            <v>0</v>
          </cell>
          <cell r="H140">
            <v>0</v>
          </cell>
          <cell r="I140">
            <v>0</v>
          </cell>
          <cell r="J140">
            <v>0</v>
          </cell>
          <cell r="K140">
            <v>0</v>
          </cell>
        </row>
        <row r="141">
          <cell r="A141" t="str">
            <v>12CSNZN</v>
          </cell>
          <cell r="B141" t="str">
            <v>REAJ.P..COB.S.DESC.INST.FINANC.BCO.DEL ESTADO</v>
          </cell>
          <cell r="C141">
            <v>0</v>
          </cell>
          <cell r="D141">
            <v>0</v>
          </cell>
          <cell r="E141">
            <v>0</v>
          </cell>
          <cell r="F141">
            <v>0</v>
          </cell>
          <cell r="G141">
            <v>0</v>
          </cell>
          <cell r="H141">
            <v>0</v>
          </cell>
          <cell r="I141">
            <v>0</v>
          </cell>
          <cell r="J141">
            <v>0</v>
          </cell>
          <cell r="K141">
            <v>0</v>
          </cell>
        </row>
        <row r="142">
          <cell r="A142" t="str">
            <v>12IXNZN</v>
          </cell>
          <cell r="B142" t="str">
            <v xml:space="preserve">LINEA DE CREDITO DE CORTO PLAZO A BANCO DEL ESTADO, </v>
          </cell>
          <cell r="C142">
            <v>0</v>
          </cell>
          <cell r="D142">
            <v>0</v>
          </cell>
          <cell r="E142">
            <v>0</v>
          </cell>
          <cell r="F142">
            <v>0</v>
          </cell>
          <cell r="G142">
            <v>0</v>
          </cell>
          <cell r="H142">
            <v>0</v>
          </cell>
          <cell r="I142">
            <v>0</v>
          </cell>
          <cell r="J142">
            <v>0</v>
          </cell>
          <cell r="K142">
            <v>0</v>
          </cell>
        </row>
        <row r="143">
          <cell r="A143" t="str">
            <v>-</v>
          </cell>
          <cell r="B143" t="str">
            <v>COBRAR S/L/C DE CORTO PLAZO BANCO DEL ESTADO</v>
          </cell>
          <cell r="C143">
            <v>0</v>
          </cell>
          <cell r="D143">
            <v>0</v>
          </cell>
          <cell r="E143">
            <v>0</v>
          </cell>
          <cell r="F143">
            <v>0</v>
          </cell>
          <cell r="G143">
            <v>0</v>
          </cell>
          <cell r="H143">
            <v>0</v>
          </cell>
          <cell r="I143">
            <v>0</v>
          </cell>
          <cell r="J143">
            <v>0</v>
          </cell>
          <cell r="K143">
            <v>0</v>
          </cell>
        </row>
        <row r="144">
          <cell r="A144" t="str">
            <v>12DHNZN</v>
          </cell>
          <cell r="B144" t="str">
            <v xml:space="preserve">LC.REPROGRAMACION DEUDAS HIPOTECARIAS BCO.ESTADO </v>
          </cell>
          <cell r="C144">
            <v>4366</v>
          </cell>
          <cell r="D144">
            <v>4232</v>
          </cell>
          <cell r="E144">
            <v>4119</v>
          </cell>
          <cell r="F144">
            <v>3990</v>
          </cell>
          <cell r="G144">
            <v>3901</v>
          </cell>
          <cell r="H144">
            <v>3730</v>
          </cell>
          <cell r="I144">
            <v>3628</v>
          </cell>
          <cell r="J144">
            <v>3543</v>
          </cell>
          <cell r="K144">
            <v>3468</v>
          </cell>
        </row>
        <row r="145">
          <cell r="A145" t="str">
            <v>12DINZN</v>
          </cell>
          <cell r="B145" t="str">
            <v xml:space="preserve">REAJ.P.COB.S/LC.P.REPROGRAM.DEUDAS HIP.BCO.ESTADO, </v>
          </cell>
          <cell r="C145">
            <v>81</v>
          </cell>
          <cell r="D145">
            <v>81</v>
          </cell>
          <cell r="E145">
            <v>89</v>
          </cell>
          <cell r="F145">
            <v>98</v>
          </cell>
          <cell r="G145">
            <v>102</v>
          </cell>
          <cell r="H145">
            <v>95</v>
          </cell>
          <cell r="I145">
            <v>93</v>
          </cell>
          <cell r="J145">
            <v>78</v>
          </cell>
          <cell r="K145">
            <v>39</v>
          </cell>
        </row>
        <row r="146">
          <cell r="A146" t="str">
            <v>12DNNZN</v>
          </cell>
          <cell r="B146" t="str">
            <v xml:space="preserve">LC.P.CONTRATO CON BCO.ESTADO POR CESION CARTERA, </v>
          </cell>
          <cell r="C146">
            <v>0</v>
          </cell>
          <cell r="D146">
            <v>0</v>
          </cell>
          <cell r="E146">
            <v>0</v>
          </cell>
          <cell r="F146">
            <v>0</v>
          </cell>
          <cell r="G146">
            <v>0</v>
          </cell>
          <cell r="H146">
            <v>0</v>
          </cell>
          <cell r="I146">
            <v>0</v>
          </cell>
          <cell r="J146">
            <v>0</v>
          </cell>
          <cell r="K146">
            <v>0</v>
          </cell>
        </row>
        <row r="147">
          <cell r="A147" t="str">
            <v>12DPNZN</v>
          </cell>
          <cell r="B147" t="str">
            <v xml:space="preserve">REAJ.P.COB.P.LC.CONTR.C.BCO.ESTADO P.CESION CARTER, </v>
          </cell>
          <cell r="C147">
            <v>0</v>
          </cell>
          <cell r="D147">
            <v>0</v>
          </cell>
          <cell r="E147">
            <v>0</v>
          </cell>
          <cell r="F147">
            <v>0</v>
          </cell>
          <cell r="G147">
            <v>0</v>
          </cell>
          <cell r="H147">
            <v>0</v>
          </cell>
          <cell r="I147">
            <v>0</v>
          </cell>
          <cell r="J147">
            <v>0</v>
          </cell>
          <cell r="K147">
            <v>0</v>
          </cell>
        </row>
        <row r="148">
          <cell r="A148" t="str">
            <v>12EUNZN</v>
          </cell>
          <cell r="B148" t="str">
            <v xml:space="preserve">LINEA DE CREDITO PARA CAPITAL DE TRABAJO BECH </v>
          </cell>
          <cell r="C148">
            <v>0</v>
          </cell>
          <cell r="D148">
            <v>0</v>
          </cell>
          <cell r="E148">
            <v>0</v>
          </cell>
          <cell r="F148">
            <v>0</v>
          </cell>
          <cell r="G148">
            <v>0</v>
          </cell>
          <cell r="H148">
            <v>0</v>
          </cell>
          <cell r="I148">
            <v>0</v>
          </cell>
          <cell r="J148">
            <v>0</v>
          </cell>
          <cell r="K148">
            <v>0</v>
          </cell>
        </row>
        <row r="149">
          <cell r="A149" t="str">
            <v>12EVNZN</v>
          </cell>
          <cell r="B149" t="str">
            <v>REAJ.P.COBRAR P.LC P.CAPITAL DE TRABAJO BECH</v>
          </cell>
          <cell r="C149">
            <v>0</v>
          </cell>
          <cell r="D149">
            <v>0</v>
          </cell>
          <cell r="E149">
            <v>0</v>
          </cell>
          <cell r="F149">
            <v>0</v>
          </cell>
          <cell r="G149">
            <v>0</v>
          </cell>
          <cell r="H149">
            <v>0</v>
          </cell>
          <cell r="I149">
            <v>0</v>
          </cell>
          <cell r="J149">
            <v>0</v>
          </cell>
          <cell r="K149">
            <v>0</v>
          </cell>
        </row>
        <row r="150">
          <cell r="A150" t="str">
            <v>-</v>
          </cell>
          <cell r="B150" t="str">
            <v>L.C PARA PAGO OBLIG.C.EXTERIOR DEL BUF Y BHC</v>
          </cell>
          <cell r="C150">
            <v>0</v>
          </cell>
          <cell r="D150">
            <v>0</v>
          </cell>
          <cell r="E150">
            <v>0</v>
          </cell>
          <cell r="F150">
            <v>0</v>
          </cell>
          <cell r="G150">
            <v>0</v>
          </cell>
          <cell r="H150">
            <v>0</v>
          </cell>
          <cell r="I150">
            <v>0</v>
          </cell>
          <cell r="J150">
            <v>0</v>
          </cell>
          <cell r="K150">
            <v>0</v>
          </cell>
        </row>
        <row r="151">
          <cell r="A151" t="str">
            <v>12CANZN</v>
          </cell>
          <cell r="B151" t="str">
            <v>REPROG.DEUDAS S.PRODUCTIVO (ACDO.1578) B.ESTADO</v>
          </cell>
          <cell r="C151">
            <v>0</v>
          </cell>
          <cell r="D151">
            <v>0</v>
          </cell>
          <cell r="E151">
            <v>0</v>
          </cell>
          <cell r="F151">
            <v>0</v>
          </cell>
          <cell r="G151">
            <v>0</v>
          </cell>
          <cell r="H151">
            <v>0</v>
          </cell>
          <cell r="I151">
            <v>0</v>
          </cell>
          <cell r="J151">
            <v>0</v>
          </cell>
          <cell r="K151">
            <v>0</v>
          </cell>
        </row>
        <row r="152">
          <cell r="A152" t="str">
            <v>12DANZN</v>
          </cell>
          <cell r="B152" t="str">
            <v xml:space="preserve">REAJ.P.COBRAR S.REPROG.DEUDAS SEC.PROD.(ACDO 1578), </v>
          </cell>
          <cell r="C152">
            <v>0</v>
          </cell>
          <cell r="D152">
            <v>0</v>
          </cell>
          <cell r="E152">
            <v>0</v>
          </cell>
          <cell r="F152">
            <v>0</v>
          </cell>
          <cell r="G152">
            <v>0</v>
          </cell>
          <cell r="H152">
            <v>0</v>
          </cell>
          <cell r="I152">
            <v>0</v>
          </cell>
          <cell r="J152">
            <v>0</v>
          </cell>
          <cell r="K152">
            <v>0</v>
          </cell>
        </row>
        <row r="153">
          <cell r="A153" t="str">
            <v>12BANZN</v>
          </cell>
          <cell r="B153" t="str">
            <v>LINEA DE CREDITO DE MEDIANO PLAZO</v>
          </cell>
          <cell r="C153">
            <v>0</v>
          </cell>
          <cell r="D153">
            <v>0</v>
          </cell>
          <cell r="E153">
            <v>0</v>
          </cell>
          <cell r="F153">
            <v>0</v>
          </cell>
          <cell r="G153">
            <v>0</v>
          </cell>
          <cell r="H153">
            <v>0</v>
          </cell>
          <cell r="I153">
            <v>0</v>
          </cell>
          <cell r="J153">
            <v>0</v>
          </cell>
          <cell r="K153">
            <v>0</v>
          </cell>
        </row>
        <row r="154">
          <cell r="A154" t="str">
            <v>12GANZN</v>
          </cell>
          <cell r="B154" t="str">
            <v xml:space="preserve">REAJ.P.COB.LC.MEDIANO PLAZO BECH </v>
          </cell>
          <cell r="C154">
            <v>0</v>
          </cell>
          <cell r="D154">
            <v>0</v>
          </cell>
          <cell r="E154">
            <v>0</v>
          </cell>
          <cell r="F154">
            <v>0</v>
          </cell>
          <cell r="G154">
            <v>0</v>
          </cell>
          <cell r="H154">
            <v>0</v>
          </cell>
          <cell r="I154">
            <v>0</v>
          </cell>
          <cell r="J154">
            <v>0</v>
          </cell>
          <cell r="K154">
            <v>0</v>
          </cell>
        </row>
        <row r="155">
          <cell r="A155" t="str">
            <v>12HHNZN</v>
          </cell>
          <cell r="B155" t="str">
            <v xml:space="preserve">LC.DEPOSITOS ACDO.1657 BANCO DEL ESTADO </v>
          </cell>
          <cell r="C155">
            <v>0</v>
          </cell>
          <cell r="D155">
            <v>0</v>
          </cell>
          <cell r="E155">
            <v>0</v>
          </cell>
          <cell r="F155">
            <v>0</v>
          </cell>
          <cell r="G155">
            <v>0</v>
          </cell>
          <cell r="H155">
            <v>0</v>
          </cell>
          <cell r="I155">
            <v>0</v>
          </cell>
          <cell r="J155">
            <v>0</v>
          </cell>
          <cell r="K155">
            <v>0</v>
          </cell>
        </row>
        <row r="156">
          <cell r="A156" t="str">
            <v>12HSNZN</v>
          </cell>
          <cell r="B156" t="str">
            <v xml:space="preserve">CRED.MODALIDAD UNO LIBOR AJUSTADA AC 1686 BECH </v>
          </cell>
          <cell r="C156">
            <v>0</v>
          </cell>
          <cell r="D156">
            <v>0</v>
          </cell>
          <cell r="E156">
            <v>0</v>
          </cell>
          <cell r="F156">
            <v>0</v>
          </cell>
          <cell r="G156">
            <v>0</v>
          </cell>
          <cell r="H156">
            <v>0</v>
          </cell>
          <cell r="I156">
            <v>0</v>
          </cell>
          <cell r="J156">
            <v>0</v>
          </cell>
          <cell r="K156">
            <v>0</v>
          </cell>
        </row>
        <row r="157">
          <cell r="A157" t="str">
            <v>12JGNZN</v>
          </cell>
          <cell r="B157" t="str">
            <v xml:space="preserve">CRED.MOD.UNO TIP 91-365 BCO.DEL ESTADO </v>
          </cell>
          <cell r="C157">
            <v>0</v>
          </cell>
          <cell r="D157">
            <v>0</v>
          </cell>
          <cell r="E157">
            <v>0</v>
          </cell>
          <cell r="F157">
            <v>0</v>
          </cell>
          <cell r="G157">
            <v>0</v>
          </cell>
          <cell r="H157">
            <v>0</v>
          </cell>
          <cell r="I157">
            <v>0</v>
          </cell>
          <cell r="J157">
            <v>0</v>
          </cell>
          <cell r="K157">
            <v>0</v>
          </cell>
        </row>
        <row r="158">
          <cell r="A158" t="str">
            <v>12HTNZN</v>
          </cell>
          <cell r="B158" t="str">
            <v xml:space="preserve">CRED.MODAL.DOS TIP 91-365 BCO.ESTADO </v>
          </cell>
          <cell r="C158">
            <v>0</v>
          </cell>
          <cell r="D158">
            <v>0</v>
          </cell>
          <cell r="E158">
            <v>0</v>
          </cell>
          <cell r="F158">
            <v>0</v>
          </cell>
          <cell r="G158">
            <v>0</v>
          </cell>
          <cell r="H158">
            <v>0</v>
          </cell>
          <cell r="I158">
            <v>0</v>
          </cell>
          <cell r="J158">
            <v>0</v>
          </cell>
          <cell r="K158">
            <v>0</v>
          </cell>
        </row>
        <row r="159">
          <cell r="A159" t="str">
            <v>-</v>
          </cell>
          <cell r="B159" t="str">
            <v>CRED MODALIDAD DOS TIP 30-89 DIAS BCO DEL ESTADO</v>
          </cell>
          <cell r="C159">
            <v>0</v>
          </cell>
          <cell r="D159">
            <v>0</v>
          </cell>
          <cell r="E159">
            <v>0</v>
          </cell>
          <cell r="F159">
            <v>0</v>
          </cell>
          <cell r="G159">
            <v>0</v>
          </cell>
          <cell r="H159">
            <v>0</v>
          </cell>
          <cell r="I159">
            <v>0</v>
          </cell>
          <cell r="J159">
            <v>0</v>
          </cell>
          <cell r="K159">
            <v>0</v>
          </cell>
        </row>
        <row r="160">
          <cell r="A160" t="str">
            <v>12JJNZN</v>
          </cell>
          <cell r="B160" t="str">
            <v xml:space="preserve">L/C PARA CONSTITUIR RESERVA TECNICA BANCO ESTADO </v>
          </cell>
          <cell r="C160">
            <v>0</v>
          </cell>
          <cell r="D160">
            <v>0</v>
          </cell>
          <cell r="E160">
            <v>0</v>
          </cell>
          <cell r="F160">
            <v>0</v>
          </cell>
          <cell r="G160">
            <v>0</v>
          </cell>
          <cell r="H160">
            <v>0</v>
          </cell>
          <cell r="I160">
            <v>0</v>
          </cell>
          <cell r="J160">
            <v>0</v>
          </cell>
          <cell r="K160">
            <v>0</v>
          </cell>
        </row>
        <row r="161">
          <cell r="A161" t="str">
            <v>12JNNZN</v>
          </cell>
          <cell r="B161" t="str">
            <v xml:space="preserve">REAJ.P/COBR S/L/C PARA CONSTITUIR RES.TEC.BECH </v>
          </cell>
          <cell r="C161">
            <v>0</v>
          </cell>
          <cell r="D161">
            <v>0</v>
          </cell>
          <cell r="E161">
            <v>0</v>
          </cell>
          <cell r="F161">
            <v>0</v>
          </cell>
          <cell r="G161">
            <v>0</v>
          </cell>
          <cell r="H161">
            <v>0</v>
          </cell>
          <cell r="I161">
            <v>0</v>
          </cell>
          <cell r="J161">
            <v>0</v>
          </cell>
          <cell r="K161">
            <v>0</v>
          </cell>
        </row>
        <row r="162">
          <cell r="A162" t="str">
            <v>12JSNZN</v>
          </cell>
          <cell r="B162" t="str">
            <v xml:space="preserve">L/C P.LICIT.CART.HIPOT.ANAP AC.1901 BCO.ESTADO </v>
          </cell>
          <cell r="C162">
            <v>3762</v>
          </cell>
          <cell r="D162">
            <v>3689</v>
          </cell>
          <cell r="E162">
            <v>3615</v>
          </cell>
          <cell r="F162">
            <v>3542</v>
          </cell>
          <cell r="G162">
            <v>3542</v>
          </cell>
          <cell r="H162">
            <v>3393</v>
          </cell>
          <cell r="I162">
            <v>3318</v>
          </cell>
          <cell r="J162">
            <v>3318</v>
          </cell>
          <cell r="K162">
            <v>3167</v>
          </cell>
        </row>
        <row r="163">
          <cell r="A163" t="str">
            <v>12JTNZN</v>
          </cell>
          <cell r="B163" t="str">
            <v>REAJ.P.L/C.LICIT.CART.HIP.ANAP.AC.1901 BECH</v>
          </cell>
          <cell r="C163">
            <v>9294</v>
          </cell>
          <cell r="D163">
            <v>9107</v>
          </cell>
          <cell r="E163">
            <v>9000</v>
          </cell>
          <cell r="F163">
            <v>8949</v>
          </cell>
          <cell r="G163">
            <v>8985</v>
          </cell>
          <cell r="H163">
            <v>8570</v>
          </cell>
          <cell r="I163">
            <v>8367</v>
          </cell>
          <cell r="J163">
            <v>8358</v>
          </cell>
          <cell r="K163">
            <v>7990</v>
          </cell>
        </row>
        <row r="164">
          <cell r="A164" t="str">
            <v>12KJNZN</v>
          </cell>
          <cell r="B164" t="str">
            <v xml:space="preserve">LTS.CREDITO POR CESION DE CARTERA HIP.BUF-BHC BECH, </v>
          </cell>
          <cell r="C164">
            <v>0</v>
          </cell>
          <cell r="D164">
            <v>0</v>
          </cell>
          <cell r="E164">
            <v>0</v>
          </cell>
          <cell r="F164">
            <v>0</v>
          </cell>
          <cell r="G164">
            <v>0</v>
          </cell>
          <cell r="H164">
            <v>0</v>
          </cell>
          <cell r="I164">
            <v>0</v>
          </cell>
          <cell r="J164">
            <v>0</v>
          </cell>
          <cell r="K164">
            <v>0</v>
          </cell>
        </row>
        <row r="165">
          <cell r="A165" t="str">
            <v>12KKNZN</v>
          </cell>
          <cell r="B165" t="str">
            <v>REAJ.P.COB.S.LTS.CRED.CS.CART.HIP.BUF-BHC BECH,</v>
          </cell>
          <cell r="C165">
            <v>0</v>
          </cell>
          <cell r="D165">
            <v>0</v>
          </cell>
          <cell r="E165">
            <v>0</v>
          </cell>
          <cell r="F165">
            <v>0</v>
          </cell>
          <cell r="G165">
            <v>0</v>
          </cell>
          <cell r="H165">
            <v>0</v>
          </cell>
          <cell r="I165">
            <v>0</v>
          </cell>
          <cell r="J165">
            <v>0</v>
          </cell>
          <cell r="K165">
            <v>0</v>
          </cell>
        </row>
        <row r="166">
          <cell r="A166" t="str">
            <v>(12KLNZN)</v>
          </cell>
          <cell r="B166" t="str">
            <v>PACTO RETROVENTA BCO.DEL ESTADO</v>
          </cell>
          <cell r="C166">
            <v>0</v>
          </cell>
          <cell r="D166">
            <v>0</v>
          </cell>
          <cell r="E166">
            <v>0</v>
          </cell>
          <cell r="F166">
            <v>0</v>
          </cell>
          <cell r="G166">
            <v>0</v>
          </cell>
          <cell r="H166">
            <v>0</v>
          </cell>
          <cell r="I166">
            <v>0</v>
          </cell>
          <cell r="J166">
            <v>0</v>
          </cell>
          <cell r="K166">
            <v>0</v>
          </cell>
        </row>
        <row r="167">
          <cell r="A167" t="str">
            <v>12FBNZN</v>
          </cell>
          <cell r="B167" t="str">
            <v>REFIN.REAJ.BCOS COMERC</v>
          </cell>
          <cell r="C167">
            <v>0</v>
          </cell>
          <cell r="D167">
            <v>0</v>
          </cell>
          <cell r="E167">
            <v>0</v>
          </cell>
          <cell r="F167">
            <v>0</v>
          </cell>
          <cell r="G167">
            <v>0</v>
          </cell>
          <cell r="H167">
            <v>0</v>
          </cell>
          <cell r="I167">
            <v>0</v>
          </cell>
          <cell r="J167">
            <v>0</v>
          </cell>
          <cell r="K167">
            <v>0</v>
          </cell>
        </row>
        <row r="168">
          <cell r="A168" t="str">
            <v>-</v>
          </cell>
          <cell r="B168" t="str">
            <v>PRESTAMOS PARA IMPORTACIONES BCOS.COMERC.Y FOMENTO</v>
          </cell>
          <cell r="C168">
            <v>0</v>
          </cell>
          <cell r="D168">
            <v>0</v>
          </cell>
          <cell r="E168">
            <v>0</v>
          </cell>
          <cell r="F168">
            <v>0</v>
          </cell>
          <cell r="G168">
            <v>0</v>
          </cell>
          <cell r="H168">
            <v>0</v>
          </cell>
          <cell r="I168">
            <v>0</v>
          </cell>
          <cell r="J168">
            <v>0</v>
          </cell>
          <cell r="K168">
            <v>0</v>
          </cell>
        </row>
        <row r="169">
          <cell r="A169" t="str">
            <v>12ATNZN</v>
          </cell>
          <cell r="B169" t="str">
            <v>DEUDORES EN CTA.CTE.BCOS.COMERCIALES</v>
          </cell>
          <cell r="C169">
            <v>0</v>
          </cell>
          <cell r="D169">
            <v>0</v>
          </cell>
          <cell r="E169">
            <v>0</v>
          </cell>
          <cell r="F169">
            <v>0</v>
          </cell>
          <cell r="G169">
            <v>0</v>
          </cell>
          <cell r="H169">
            <v>0</v>
          </cell>
          <cell r="I169">
            <v>0</v>
          </cell>
          <cell r="J169">
            <v>0</v>
          </cell>
          <cell r="K169">
            <v>0</v>
          </cell>
        </row>
        <row r="170">
          <cell r="A170" t="str">
            <v>12FCNZN</v>
          </cell>
          <cell r="B170" t="str">
            <v xml:space="preserve">REFINANC.BCOS COMERCIALES </v>
          </cell>
          <cell r="C170">
            <v>0</v>
          </cell>
          <cell r="D170">
            <v>0</v>
          </cell>
          <cell r="E170">
            <v>0</v>
          </cell>
          <cell r="F170">
            <v>0</v>
          </cell>
          <cell r="G170">
            <v>0</v>
          </cell>
          <cell r="H170">
            <v>0</v>
          </cell>
          <cell r="I170">
            <v>0</v>
          </cell>
          <cell r="J170">
            <v>0</v>
          </cell>
          <cell r="K170">
            <v>0</v>
          </cell>
        </row>
        <row r="171">
          <cell r="A171" t="str">
            <v>12FDNZN</v>
          </cell>
          <cell r="B171" t="str">
            <v xml:space="preserve">PTMO.P/IMPORT.AUTOS P/LISIADOS-BCOS.COMERCIALES </v>
          </cell>
          <cell r="C171">
            <v>0</v>
          </cell>
          <cell r="D171">
            <v>0</v>
          </cell>
          <cell r="E171">
            <v>0</v>
          </cell>
          <cell r="F171">
            <v>0</v>
          </cell>
          <cell r="G171">
            <v>0</v>
          </cell>
          <cell r="H171">
            <v>0</v>
          </cell>
          <cell r="I171">
            <v>0</v>
          </cell>
          <cell r="J171">
            <v>0</v>
          </cell>
          <cell r="K171">
            <v>0</v>
          </cell>
        </row>
        <row r="172">
          <cell r="A172" t="str">
            <v>12MGNZN</v>
          </cell>
          <cell r="B172" t="str">
            <v>LINEA DE CREDITO DE LIQUIDEZ A BANCOS COMERC.</v>
          </cell>
          <cell r="C172">
            <v>10100</v>
          </cell>
          <cell r="D172">
            <v>12000</v>
          </cell>
          <cell r="E172">
            <v>6000</v>
          </cell>
          <cell r="F172">
            <v>32477</v>
          </cell>
          <cell r="G172">
            <v>3000</v>
          </cell>
          <cell r="H172">
            <v>49982</v>
          </cell>
          <cell r="I172">
            <v>18150</v>
          </cell>
          <cell r="J172">
            <v>636</v>
          </cell>
          <cell r="K172">
            <v>5261</v>
          </cell>
        </row>
        <row r="173">
          <cell r="A173" t="str">
            <v>12FWNZN</v>
          </cell>
          <cell r="B173" t="str">
            <v xml:space="preserve">REAJ P/COBRAR S/REFLN REAJ BCO COMER, </v>
          </cell>
          <cell r="C173">
            <v>0</v>
          </cell>
          <cell r="D173">
            <v>0</v>
          </cell>
          <cell r="E173">
            <v>0</v>
          </cell>
          <cell r="F173">
            <v>0</v>
          </cell>
          <cell r="G173">
            <v>0</v>
          </cell>
          <cell r="H173">
            <v>0</v>
          </cell>
          <cell r="I173">
            <v>0</v>
          </cell>
          <cell r="J173">
            <v>0</v>
          </cell>
          <cell r="K173">
            <v>0</v>
          </cell>
        </row>
        <row r="174">
          <cell r="A174" t="str">
            <v>12BTNZN</v>
          </cell>
          <cell r="B174" t="str">
            <v xml:space="preserve">LC.PROGRAM.ORG.INTERNACIONALES BCOS.COMERCIALES </v>
          </cell>
          <cell r="C174">
            <v>0</v>
          </cell>
          <cell r="D174">
            <v>0</v>
          </cell>
          <cell r="E174">
            <v>0</v>
          </cell>
          <cell r="F174">
            <v>0</v>
          </cell>
          <cell r="G174">
            <v>0</v>
          </cell>
          <cell r="H174">
            <v>0</v>
          </cell>
          <cell r="I174">
            <v>0</v>
          </cell>
          <cell r="J174">
            <v>0</v>
          </cell>
          <cell r="K174">
            <v>0</v>
          </cell>
        </row>
        <row r="175">
          <cell r="A175" t="str">
            <v>13DJNZN</v>
          </cell>
          <cell r="B175" t="str">
            <v xml:space="preserve">REAJ.P.COBRAR S.LC.PROG.ORG.INTER.BCOS.COMERC. </v>
          </cell>
          <cell r="C175">
            <v>0</v>
          </cell>
          <cell r="D175">
            <v>0</v>
          </cell>
          <cell r="E175">
            <v>0</v>
          </cell>
          <cell r="F175">
            <v>0</v>
          </cell>
          <cell r="G175">
            <v>0</v>
          </cell>
          <cell r="H175">
            <v>0</v>
          </cell>
          <cell r="I175">
            <v>0</v>
          </cell>
          <cell r="J175">
            <v>0</v>
          </cell>
          <cell r="K175">
            <v>0</v>
          </cell>
        </row>
        <row r="176">
          <cell r="A176" t="str">
            <v>12FSNZN</v>
          </cell>
          <cell r="B176" t="str">
            <v>SOBREGIROS CTAS.CTES BANCOS NACIONALES</v>
          </cell>
          <cell r="C176">
            <v>0</v>
          </cell>
          <cell r="D176">
            <v>0</v>
          </cell>
          <cell r="E176">
            <v>0</v>
          </cell>
          <cell r="F176">
            <v>0</v>
          </cell>
          <cell r="G176">
            <v>0</v>
          </cell>
          <cell r="H176">
            <v>0</v>
          </cell>
          <cell r="I176">
            <v>0</v>
          </cell>
          <cell r="J176">
            <v>0</v>
          </cell>
          <cell r="K176">
            <v>0</v>
          </cell>
        </row>
        <row r="177">
          <cell r="A177" t="str">
            <v>12CKNZN</v>
          </cell>
          <cell r="B177" t="str">
            <v xml:space="preserve">PAG.ADQ.BCOS.COMERCIALES EN LIQ </v>
          </cell>
          <cell r="C177">
            <v>0</v>
          </cell>
          <cell r="D177">
            <v>0</v>
          </cell>
          <cell r="E177">
            <v>0</v>
          </cell>
          <cell r="F177">
            <v>0</v>
          </cell>
          <cell r="G177">
            <v>0</v>
          </cell>
          <cell r="H177">
            <v>0</v>
          </cell>
          <cell r="I177">
            <v>0</v>
          </cell>
          <cell r="J177">
            <v>0</v>
          </cell>
          <cell r="K177">
            <v>0</v>
          </cell>
        </row>
        <row r="178">
          <cell r="A178" t="str">
            <v>12ANNZN</v>
          </cell>
          <cell r="B178" t="str">
            <v xml:space="preserve">CONSOLIDAC. PREST.URGENCIA BCOS. COMERCIALES </v>
          </cell>
          <cell r="C178">
            <v>0</v>
          </cell>
          <cell r="D178">
            <v>0</v>
          </cell>
          <cell r="E178">
            <v>0</v>
          </cell>
          <cell r="F178">
            <v>0</v>
          </cell>
          <cell r="G178">
            <v>0</v>
          </cell>
          <cell r="H178">
            <v>0</v>
          </cell>
          <cell r="I178">
            <v>0</v>
          </cell>
          <cell r="J178">
            <v>0</v>
          </cell>
          <cell r="K178">
            <v>0</v>
          </cell>
        </row>
        <row r="179">
          <cell r="A179" t="str">
            <v>12AJNZN</v>
          </cell>
          <cell r="B179" t="str">
            <v>FONDOS LICITADOS A BANCOS COMERCIALES,</v>
          </cell>
          <cell r="C179">
            <v>0</v>
          </cell>
          <cell r="D179">
            <v>0</v>
          </cell>
          <cell r="E179">
            <v>0</v>
          </cell>
          <cell r="F179">
            <v>0</v>
          </cell>
          <cell r="G179">
            <v>0</v>
          </cell>
          <cell r="H179">
            <v>0</v>
          </cell>
          <cell r="I179">
            <v>0</v>
          </cell>
          <cell r="J179">
            <v>0</v>
          </cell>
          <cell r="K179">
            <v>0</v>
          </cell>
        </row>
        <row r="180">
          <cell r="A180" t="str">
            <v>12AVNZN</v>
          </cell>
          <cell r="B180" t="str">
            <v>REAJ.P.RECIBIR P.FDOS.LICITADOS A BCOS.COMERC.</v>
          </cell>
          <cell r="C180">
            <v>0</v>
          </cell>
          <cell r="D180">
            <v>0</v>
          </cell>
          <cell r="E180">
            <v>0</v>
          </cell>
          <cell r="F180">
            <v>0</v>
          </cell>
          <cell r="G180">
            <v>0</v>
          </cell>
          <cell r="H180">
            <v>0</v>
          </cell>
          <cell r="I180">
            <v>0</v>
          </cell>
          <cell r="J180">
            <v>0</v>
          </cell>
          <cell r="K180">
            <v>0</v>
          </cell>
        </row>
        <row r="181">
          <cell r="A181" t="str">
            <v>12AZNZN</v>
          </cell>
          <cell r="B181" t="str">
            <v>BONOS ADQUIRIDOS A BCOS.COMERCIALES</v>
          </cell>
          <cell r="C181">
            <v>0</v>
          </cell>
          <cell r="D181">
            <v>0</v>
          </cell>
          <cell r="E181">
            <v>0</v>
          </cell>
          <cell r="F181">
            <v>0</v>
          </cell>
          <cell r="G181">
            <v>0</v>
          </cell>
          <cell r="H181">
            <v>0</v>
          </cell>
          <cell r="I181">
            <v>0</v>
          </cell>
          <cell r="J181">
            <v>0</v>
          </cell>
          <cell r="K181">
            <v>0</v>
          </cell>
        </row>
        <row r="182">
          <cell r="A182" t="str">
            <v>12CCNZN</v>
          </cell>
          <cell r="B182" t="str">
            <v xml:space="preserve">REAJ.P.COBRAR S.BONOS BCOS.COMERCIALES </v>
          </cell>
          <cell r="C182">
            <v>0</v>
          </cell>
          <cell r="D182">
            <v>0</v>
          </cell>
          <cell r="E182">
            <v>0</v>
          </cell>
          <cell r="F182">
            <v>0</v>
          </cell>
          <cell r="G182">
            <v>0</v>
          </cell>
          <cell r="H182">
            <v>0</v>
          </cell>
          <cell r="I182">
            <v>0</v>
          </cell>
          <cell r="J182">
            <v>0</v>
          </cell>
          <cell r="K182">
            <v>0</v>
          </cell>
        </row>
        <row r="183">
          <cell r="A183" t="str">
            <v>12CINZN</v>
          </cell>
          <cell r="B183" t="str">
            <v xml:space="preserve">CARTERA ADQ.C.PACTO DE RETOVTA.BCOS.COM.(ACDO.1488, </v>
          </cell>
          <cell r="C183">
            <v>0</v>
          </cell>
          <cell r="D183">
            <v>0</v>
          </cell>
          <cell r="E183">
            <v>0</v>
          </cell>
          <cell r="F183">
            <v>0</v>
          </cell>
          <cell r="G183">
            <v>0</v>
          </cell>
          <cell r="H183">
            <v>0</v>
          </cell>
          <cell r="I183">
            <v>0</v>
          </cell>
          <cell r="J183">
            <v>0</v>
          </cell>
          <cell r="K183">
            <v>0</v>
          </cell>
        </row>
        <row r="184">
          <cell r="A184" t="str">
            <v>-</v>
          </cell>
          <cell r="B184" t="str">
            <v xml:space="preserve">PRESTAMOS PARA CUBRIR DEFICIT DE ENCAJE BCOS.COMER, </v>
          </cell>
          <cell r="C184">
            <v>0</v>
          </cell>
          <cell r="D184">
            <v>0</v>
          </cell>
          <cell r="E184">
            <v>0</v>
          </cell>
          <cell r="F184">
            <v>0</v>
          </cell>
          <cell r="G184">
            <v>0</v>
          </cell>
          <cell r="H184">
            <v>0</v>
          </cell>
          <cell r="I184">
            <v>0</v>
          </cell>
          <cell r="J184">
            <v>0</v>
          </cell>
          <cell r="K184">
            <v>0</v>
          </cell>
        </row>
        <row r="185">
          <cell r="A185" t="str">
            <v>12MTNZN</v>
          </cell>
          <cell r="B185" t="str">
            <v xml:space="preserve">DOCUMENTOS DE CDTO.HIPOTECARIO ADQ.BCOS.COMERC. </v>
          </cell>
          <cell r="C185">
            <v>627</v>
          </cell>
          <cell r="D185">
            <v>623</v>
          </cell>
          <cell r="E185">
            <v>612</v>
          </cell>
          <cell r="F185">
            <v>477</v>
          </cell>
          <cell r="G185">
            <v>474</v>
          </cell>
          <cell r="H185">
            <v>462</v>
          </cell>
          <cell r="I185">
            <v>331</v>
          </cell>
          <cell r="J185">
            <v>329</v>
          </cell>
          <cell r="K185">
            <v>316</v>
          </cell>
        </row>
        <row r="186">
          <cell r="A186" t="str">
            <v>12CQNZN</v>
          </cell>
          <cell r="B186" t="str">
            <v>REAJ.COBRAR S.CPRA.DOC.CDTO HIP ADQ.B.COM.</v>
          </cell>
          <cell r="C186">
            <v>4881</v>
          </cell>
          <cell r="D186">
            <v>4848</v>
          </cell>
          <cell r="E186">
            <v>4790</v>
          </cell>
          <cell r="F186">
            <v>3777</v>
          </cell>
          <cell r="G186">
            <v>3770</v>
          </cell>
          <cell r="H186">
            <v>3664</v>
          </cell>
          <cell r="I186">
            <v>2619</v>
          </cell>
          <cell r="J186">
            <v>2597</v>
          </cell>
          <cell r="K186">
            <v>2505</v>
          </cell>
        </row>
        <row r="187">
          <cell r="A187" t="str">
            <v>-</v>
          </cell>
          <cell r="B187" t="str">
            <v xml:space="preserve">ANTICIPOS DE CREDITOS AL SISTEMA FINANC.BCOS.COMER, </v>
          </cell>
          <cell r="C187">
            <v>0</v>
          </cell>
          <cell r="D187">
            <v>0</v>
          </cell>
          <cell r="E187">
            <v>0</v>
          </cell>
          <cell r="F187">
            <v>0</v>
          </cell>
          <cell r="G187">
            <v>0</v>
          </cell>
          <cell r="H187">
            <v>0</v>
          </cell>
          <cell r="I187">
            <v>0</v>
          </cell>
          <cell r="J187">
            <v>0</v>
          </cell>
          <cell r="K187">
            <v>0</v>
          </cell>
        </row>
        <row r="188">
          <cell r="A188" t="str">
            <v>12MUNZN</v>
          </cell>
          <cell r="B188" t="str">
            <v xml:space="preserve">CONSOLIDACION PRESTAMOS URGENCIA BCOS.COMERCIALES, </v>
          </cell>
          <cell r="C188">
            <v>0</v>
          </cell>
          <cell r="D188">
            <v>0</v>
          </cell>
          <cell r="E188">
            <v>0</v>
          </cell>
          <cell r="F188">
            <v>0</v>
          </cell>
          <cell r="G188">
            <v>0</v>
          </cell>
          <cell r="H188">
            <v>0</v>
          </cell>
          <cell r="I188">
            <v>0</v>
          </cell>
          <cell r="J188">
            <v>0</v>
          </cell>
          <cell r="K188">
            <v>0</v>
          </cell>
        </row>
        <row r="189">
          <cell r="A189" t="str">
            <v>12CRNZN</v>
          </cell>
          <cell r="B189" t="str">
            <v xml:space="preserve">L.CR.P.REPROGRAMACION DEUDAS BCOS.COMERCIALES </v>
          </cell>
          <cell r="C189">
            <v>0</v>
          </cell>
          <cell r="D189">
            <v>0</v>
          </cell>
          <cell r="E189">
            <v>0</v>
          </cell>
          <cell r="F189">
            <v>0</v>
          </cell>
          <cell r="G189">
            <v>0</v>
          </cell>
          <cell r="H189">
            <v>0</v>
          </cell>
          <cell r="I189">
            <v>0</v>
          </cell>
          <cell r="J189">
            <v>0</v>
          </cell>
          <cell r="K189">
            <v>0</v>
          </cell>
        </row>
        <row r="190">
          <cell r="A190" t="str">
            <v>12CTNZN</v>
          </cell>
          <cell r="B190" t="str">
            <v xml:space="preserve">REAJ.P.COB.S.LC.REPROG.DEUDAS BCOS.COMERCIALRS </v>
          </cell>
          <cell r="C190">
            <v>0</v>
          </cell>
          <cell r="D190">
            <v>0</v>
          </cell>
          <cell r="E190">
            <v>0</v>
          </cell>
          <cell r="F190">
            <v>0</v>
          </cell>
          <cell r="G190">
            <v>0</v>
          </cell>
          <cell r="H190">
            <v>0</v>
          </cell>
          <cell r="I190">
            <v>0</v>
          </cell>
          <cell r="J190">
            <v>0</v>
          </cell>
          <cell r="K190">
            <v>0</v>
          </cell>
        </row>
        <row r="191">
          <cell r="A191" t="str">
            <v>12HPNZN</v>
          </cell>
          <cell r="B191" t="str">
            <v xml:space="preserve">LINEA CREDITO CORTO PLAZO A BCOS.COMERCIALES </v>
          </cell>
          <cell r="C191">
            <v>0</v>
          </cell>
          <cell r="D191">
            <v>0</v>
          </cell>
          <cell r="E191">
            <v>0</v>
          </cell>
          <cell r="F191">
            <v>0</v>
          </cell>
          <cell r="G191">
            <v>0</v>
          </cell>
          <cell r="H191">
            <v>0</v>
          </cell>
          <cell r="I191">
            <v>0</v>
          </cell>
          <cell r="J191">
            <v>0</v>
          </cell>
          <cell r="K191">
            <v>0</v>
          </cell>
        </row>
        <row r="192">
          <cell r="A192" t="str">
            <v>12HKNZN</v>
          </cell>
          <cell r="B192" t="str">
            <v xml:space="preserve">REAJ.P.COBRAR S/L/C.CORTO PLAZO BANCOS COMERCIALES, </v>
          </cell>
          <cell r="C192">
            <v>0</v>
          </cell>
          <cell r="D192">
            <v>0</v>
          </cell>
          <cell r="E192">
            <v>0</v>
          </cell>
          <cell r="F192">
            <v>0</v>
          </cell>
          <cell r="G192">
            <v>0</v>
          </cell>
          <cell r="H192">
            <v>0</v>
          </cell>
          <cell r="I192">
            <v>0</v>
          </cell>
          <cell r="J192">
            <v>0</v>
          </cell>
          <cell r="K192">
            <v>0</v>
          </cell>
        </row>
        <row r="193">
          <cell r="A193" t="str">
            <v>12KINZN</v>
          </cell>
          <cell r="B193" t="str">
            <v xml:space="preserve">REAJUSTES POR COBRAR S.CONSOLID.PRES.URGENCIA </v>
          </cell>
          <cell r="C193">
            <v>0</v>
          </cell>
          <cell r="D193">
            <v>0</v>
          </cell>
          <cell r="E193">
            <v>0</v>
          </cell>
          <cell r="F193">
            <v>0</v>
          </cell>
          <cell r="G193">
            <v>0</v>
          </cell>
          <cell r="H193">
            <v>0</v>
          </cell>
          <cell r="I193">
            <v>0</v>
          </cell>
          <cell r="J193">
            <v>0</v>
          </cell>
          <cell r="K193">
            <v>0</v>
          </cell>
        </row>
        <row r="194">
          <cell r="A194" t="str">
            <v>12DQNZN</v>
          </cell>
          <cell r="B194" t="str">
            <v xml:space="preserve">LC.P.REPROGRAM.DEUDAS HIPOTECARIAS BCOS.COMERCIALE, </v>
          </cell>
          <cell r="C194">
            <v>27114</v>
          </cell>
          <cell r="D194">
            <v>26564</v>
          </cell>
          <cell r="E194">
            <v>26031</v>
          </cell>
          <cell r="F194">
            <v>25379</v>
          </cell>
          <cell r="G194">
            <v>24994</v>
          </cell>
          <cell r="H194">
            <v>24216</v>
          </cell>
          <cell r="I194">
            <v>23782</v>
          </cell>
          <cell r="J194">
            <v>23203</v>
          </cell>
          <cell r="K194">
            <v>22887</v>
          </cell>
        </row>
        <row r="195">
          <cell r="A195" t="str">
            <v>12DRNZN</v>
          </cell>
          <cell r="B195" t="str">
            <v xml:space="preserve">REAJ.P.COB.S.LC.REPROGRAM.DEUDAS HIPOT.BCOS.COMERC, </v>
          </cell>
          <cell r="C195">
            <v>288</v>
          </cell>
          <cell r="D195">
            <v>174</v>
          </cell>
          <cell r="E195">
            <v>282</v>
          </cell>
          <cell r="F195">
            <v>525</v>
          </cell>
          <cell r="G195">
            <v>570</v>
          </cell>
          <cell r="H195">
            <v>409</v>
          </cell>
          <cell r="I195">
            <v>370</v>
          </cell>
          <cell r="J195">
            <v>319</v>
          </cell>
          <cell r="K195">
            <v>333</v>
          </cell>
        </row>
        <row r="196">
          <cell r="A196" t="str">
            <v>12EWNZN</v>
          </cell>
          <cell r="B196" t="str">
            <v xml:space="preserve">CONTRATOS VTAS.CARTERA ADQ.A INST.FINANC.LIQ.B.COM, </v>
          </cell>
          <cell r="C196">
            <v>28</v>
          </cell>
          <cell r="D196">
            <v>28</v>
          </cell>
          <cell r="E196">
            <v>23</v>
          </cell>
          <cell r="F196">
            <v>23</v>
          </cell>
          <cell r="G196">
            <v>23</v>
          </cell>
          <cell r="H196">
            <v>18</v>
          </cell>
          <cell r="I196">
            <v>18</v>
          </cell>
          <cell r="J196">
            <v>18</v>
          </cell>
          <cell r="K196">
            <v>13</v>
          </cell>
        </row>
        <row r="197">
          <cell r="A197" t="str">
            <v>12DSNZN</v>
          </cell>
          <cell r="B197" t="str">
            <v>REAJ.P.COB S.CONTR.VTAS.CARTERA ADQ.INS.FIN.LIQ.B.</v>
          </cell>
          <cell r="C197">
            <v>143</v>
          </cell>
          <cell r="D197">
            <v>139</v>
          </cell>
          <cell r="E197">
            <v>119</v>
          </cell>
          <cell r="F197">
            <v>120</v>
          </cell>
          <cell r="G197">
            <v>117</v>
          </cell>
          <cell r="H197">
            <v>95</v>
          </cell>
          <cell r="I197">
            <v>94</v>
          </cell>
          <cell r="J197">
            <v>90</v>
          </cell>
          <cell r="K197">
            <v>68</v>
          </cell>
        </row>
        <row r="198">
          <cell r="A198" t="str">
            <v>12DTNZN</v>
          </cell>
          <cell r="B198" t="str">
            <v>LINEA CREDITO PARA CAPITAL DE TRABAJO BCOS.COM.,</v>
          </cell>
          <cell r="C198">
            <v>0</v>
          </cell>
          <cell r="D198">
            <v>0</v>
          </cell>
          <cell r="E198">
            <v>0</v>
          </cell>
          <cell r="F198">
            <v>0</v>
          </cell>
          <cell r="G198">
            <v>0</v>
          </cell>
          <cell r="H198">
            <v>0</v>
          </cell>
          <cell r="I198">
            <v>0</v>
          </cell>
          <cell r="J198">
            <v>0</v>
          </cell>
          <cell r="K198">
            <v>0</v>
          </cell>
        </row>
        <row r="199">
          <cell r="A199" t="str">
            <v>12DUNZN</v>
          </cell>
          <cell r="B199" t="str">
            <v xml:space="preserve">REAJ.P.COB.LC PARA CAPITAL DE TRABAJO BCOS.COM., </v>
          </cell>
          <cell r="C199">
            <v>0</v>
          </cell>
          <cell r="D199">
            <v>0</v>
          </cell>
          <cell r="E199">
            <v>0</v>
          </cell>
          <cell r="F199">
            <v>0</v>
          </cell>
          <cell r="G199">
            <v>0</v>
          </cell>
          <cell r="H199">
            <v>0</v>
          </cell>
          <cell r="I199">
            <v>0</v>
          </cell>
          <cell r="J199">
            <v>0</v>
          </cell>
          <cell r="K199">
            <v>0</v>
          </cell>
        </row>
        <row r="200">
          <cell r="A200" t="str">
            <v>12EYNZN</v>
          </cell>
          <cell r="B200" t="str">
            <v xml:space="preserve">PRESTAMO A BANCOS COMERCIALES </v>
          </cell>
          <cell r="C200">
            <v>0</v>
          </cell>
          <cell r="D200">
            <v>0</v>
          </cell>
          <cell r="E200">
            <v>0</v>
          </cell>
          <cell r="F200">
            <v>0</v>
          </cell>
          <cell r="G200">
            <v>0</v>
          </cell>
          <cell r="H200">
            <v>0</v>
          </cell>
          <cell r="I200">
            <v>0</v>
          </cell>
          <cell r="J200">
            <v>0</v>
          </cell>
          <cell r="K200">
            <v>0</v>
          </cell>
        </row>
        <row r="201">
          <cell r="A201" t="str">
            <v>12EZNZN</v>
          </cell>
          <cell r="B201" t="str">
            <v xml:space="preserve">REAJ.P.COB.POR PRESTAMOS A BANCOS COMERCIALES </v>
          </cell>
          <cell r="C201">
            <v>0</v>
          </cell>
          <cell r="D201">
            <v>0</v>
          </cell>
          <cell r="E201">
            <v>0</v>
          </cell>
          <cell r="F201">
            <v>0</v>
          </cell>
          <cell r="G201">
            <v>0</v>
          </cell>
          <cell r="H201">
            <v>0</v>
          </cell>
          <cell r="I201">
            <v>0</v>
          </cell>
          <cell r="J201">
            <v>0</v>
          </cell>
          <cell r="K201">
            <v>0</v>
          </cell>
        </row>
        <row r="202">
          <cell r="A202" t="str">
            <v>12GXNZN</v>
          </cell>
          <cell r="B202" t="str">
            <v xml:space="preserve">COMPRA CARTERA C/PACTO DE REVENTA P.CONTADO B.COM., </v>
          </cell>
          <cell r="C202">
            <v>0</v>
          </cell>
          <cell r="D202">
            <v>0</v>
          </cell>
          <cell r="E202">
            <v>0</v>
          </cell>
          <cell r="F202">
            <v>0</v>
          </cell>
          <cell r="G202">
            <v>0</v>
          </cell>
          <cell r="H202">
            <v>0</v>
          </cell>
          <cell r="I202">
            <v>0</v>
          </cell>
          <cell r="J202">
            <v>0</v>
          </cell>
          <cell r="K202">
            <v>0</v>
          </cell>
        </row>
        <row r="203">
          <cell r="A203" t="str">
            <v>12GYNZN</v>
          </cell>
          <cell r="B203" t="str">
            <v xml:space="preserve">REAJ.COMP.CART.C/PACTO DE REVENTA P.CONTADO B.COM., </v>
          </cell>
          <cell r="C203">
            <v>0</v>
          </cell>
          <cell r="D203">
            <v>0</v>
          </cell>
          <cell r="E203">
            <v>0</v>
          </cell>
          <cell r="F203">
            <v>0</v>
          </cell>
          <cell r="G203">
            <v>0</v>
          </cell>
          <cell r="H203">
            <v>0</v>
          </cell>
          <cell r="I203">
            <v>0</v>
          </cell>
          <cell r="J203">
            <v>0</v>
          </cell>
          <cell r="K203">
            <v>0</v>
          </cell>
        </row>
        <row r="204">
          <cell r="A204" t="str">
            <v>12CXNZN</v>
          </cell>
          <cell r="B204" t="str">
            <v xml:space="preserve">REPROG.CRED.DE CONSUMO BCOS.COMERCIALES </v>
          </cell>
          <cell r="C204">
            <v>0</v>
          </cell>
          <cell r="D204">
            <v>0</v>
          </cell>
          <cell r="E204">
            <v>0</v>
          </cell>
          <cell r="F204">
            <v>0</v>
          </cell>
          <cell r="G204">
            <v>0</v>
          </cell>
          <cell r="H204">
            <v>0</v>
          </cell>
          <cell r="I204">
            <v>0</v>
          </cell>
          <cell r="J204">
            <v>0</v>
          </cell>
          <cell r="K204">
            <v>0</v>
          </cell>
        </row>
        <row r="205">
          <cell r="A205" t="str">
            <v>12CYNZN</v>
          </cell>
          <cell r="B205" t="str">
            <v>REAJ.P.COBRAR S.REPROG.CRED.CONSUMO B.COMERC.</v>
          </cell>
          <cell r="C205">
            <v>0</v>
          </cell>
          <cell r="D205">
            <v>0</v>
          </cell>
          <cell r="E205">
            <v>0</v>
          </cell>
          <cell r="F205">
            <v>0</v>
          </cell>
          <cell r="G205">
            <v>0</v>
          </cell>
          <cell r="H205">
            <v>0</v>
          </cell>
          <cell r="I205">
            <v>0</v>
          </cell>
          <cell r="J205">
            <v>0</v>
          </cell>
          <cell r="K205">
            <v>0</v>
          </cell>
        </row>
        <row r="206">
          <cell r="A206" t="str">
            <v>12CZNZN</v>
          </cell>
          <cell r="B206" t="str">
            <v xml:space="preserve">REPROG.DEUDAS SECTOR PRODUC.(ACDO 1578) B.COMERC., </v>
          </cell>
          <cell r="C206">
            <v>0</v>
          </cell>
          <cell r="D206">
            <v>0</v>
          </cell>
          <cell r="E206">
            <v>0</v>
          </cell>
          <cell r="F206">
            <v>0</v>
          </cell>
          <cell r="G206">
            <v>0</v>
          </cell>
          <cell r="H206">
            <v>0</v>
          </cell>
          <cell r="I206">
            <v>0</v>
          </cell>
          <cell r="J206">
            <v>0</v>
          </cell>
          <cell r="K206">
            <v>0</v>
          </cell>
        </row>
        <row r="207">
          <cell r="A207" t="str">
            <v>12GZNZN</v>
          </cell>
          <cell r="B207" t="str">
            <v xml:space="preserve">REAJ.P.COBRAR S.REPROG.DEUDAS SECTOR PRODUC.B.COM., </v>
          </cell>
          <cell r="C207">
            <v>0</v>
          </cell>
          <cell r="D207">
            <v>0</v>
          </cell>
          <cell r="E207">
            <v>0</v>
          </cell>
          <cell r="F207">
            <v>0</v>
          </cell>
          <cell r="G207">
            <v>0</v>
          </cell>
          <cell r="H207">
            <v>0</v>
          </cell>
          <cell r="I207">
            <v>0</v>
          </cell>
          <cell r="J207">
            <v>0</v>
          </cell>
          <cell r="K207">
            <v>0</v>
          </cell>
        </row>
        <row r="208">
          <cell r="A208" t="str">
            <v>12NQNZN</v>
          </cell>
          <cell r="B208" t="str">
            <v xml:space="preserve">DESCUENTO DE INSTRUMENTOS FINANCIEROS B.COMERC.MN, </v>
          </cell>
          <cell r="C208">
            <v>0</v>
          </cell>
          <cell r="D208">
            <v>0</v>
          </cell>
          <cell r="E208">
            <v>0</v>
          </cell>
          <cell r="F208">
            <v>0</v>
          </cell>
          <cell r="G208">
            <v>0</v>
          </cell>
          <cell r="H208">
            <v>0</v>
          </cell>
          <cell r="I208">
            <v>0</v>
          </cell>
          <cell r="J208">
            <v>0</v>
          </cell>
          <cell r="K208">
            <v>0</v>
          </cell>
        </row>
        <row r="209">
          <cell r="A209" t="str">
            <v>12NRNZN</v>
          </cell>
          <cell r="B209" t="str">
            <v>REAJ.P.COBRAR S.DESC.INSTRUM.FINANC.B.COMERC.</v>
          </cell>
          <cell r="C209">
            <v>0</v>
          </cell>
          <cell r="D209">
            <v>0</v>
          </cell>
          <cell r="E209">
            <v>0</v>
          </cell>
          <cell r="F209">
            <v>0</v>
          </cell>
          <cell r="G209">
            <v>0</v>
          </cell>
          <cell r="H209">
            <v>0</v>
          </cell>
          <cell r="I209">
            <v>0</v>
          </cell>
          <cell r="J209">
            <v>0</v>
          </cell>
          <cell r="K209">
            <v>0</v>
          </cell>
        </row>
        <row r="210">
          <cell r="A210" t="str">
            <v>12NUNZN</v>
          </cell>
          <cell r="B210" t="str">
            <v>LINEA DE CREDITO DE MEDIANO PLAZO A BCOS.COMERC.</v>
          </cell>
          <cell r="C210">
            <v>0</v>
          </cell>
          <cell r="D210">
            <v>0</v>
          </cell>
          <cell r="E210">
            <v>0</v>
          </cell>
          <cell r="F210">
            <v>0</v>
          </cell>
          <cell r="G210">
            <v>0</v>
          </cell>
          <cell r="H210">
            <v>0</v>
          </cell>
          <cell r="I210">
            <v>0</v>
          </cell>
          <cell r="J210">
            <v>0</v>
          </cell>
          <cell r="K210">
            <v>0</v>
          </cell>
        </row>
        <row r="211">
          <cell r="A211" t="str">
            <v>12NVNZN</v>
          </cell>
          <cell r="B211" t="str">
            <v>REAJ.P.COB.S.LC.DE MEDIANO PLAZO A BCOS.COMERC.</v>
          </cell>
          <cell r="C211">
            <v>0</v>
          </cell>
          <cell r="D211">
            <v>0</v>
          </cell>
          <cell r="E211">
            <v>0</v>
          </cell>
          <cell r="F211">
            <v>0</v>
          </cell>
          <cell r="G211">
            <v>0</v>
          </cell>
          <cell r="H211">
            <v>0</v>
          </cell>
          <cell r="I211">
            <v>0</v>
          </cell>
          <cell r="J211">
            <v>0</v>
          </cell>
          <cell r="K211">
            <v>0</v>
          </cell>
        </row>
        <row r="212">
          <cell r="A212" t="str">
            <v>12HJNZN</v>
          </cell>
          <cell r="B212" t="str">
            <v>CONTRATO NOVACION CARTERA POR OBLIGACION SUBORDINA</v>
          </cell>
          <cell r="C212">
            <v>762145</v>
          </cell>
          <cell r="D212">
            <v>762145</v>
          </cell>
          <cell r="E212">
            <v>762145</v>
          </cell>
          <cell r="F212">
            <v>895586</v>
          </cell>
          <cell r="G212">
            <v>895586</v>
          </cell>
          <cell r="H212">
            <v>895586</v>
          </cell>
          <cell r="I212">
            <v>895586</v>
          </cell>
          <cell r="J212">
            <v>895586</v>
          </cell>
          <cell r="K212">
            <v>895586</v>
          </cell>
        </row>
        <row r="213">
          <cell r="A213" t="str">
            <v>12HONZN</v>
          </cell>
          <cell r="B213" t="str">
            <v xml:space="preserve">REAJUSTES P.COBRAR S.CONTRATO NOVACION CART.SUBOR., </v>
          </cell>
          <cell r="C213">
            <v>97685</v>
          </cell>
          <cell r="D213">
            <v>97268</v>
          </cell>
          <cell r="E213">
            <v>102419</v>
          </cell>
          <cell r="F213">
            <v>0</v>
          </cell>
          <cell r="G213">
            <v>2573</v>
          </cell>
          <cell r="H213">
            <v>-204</v>
          </cell>
          <cell r="I213">
            <v>-1280</v>
          </cell>
          <cell r="J213">
            <v>-1914</v>
          </cell>
          <cell r="K213">
            <v>-924</v>
          </cell>
        </row>
        <row r="214">
          <cell r="A214" t="str">
            <v>12HUNZN</v>
          </cell>
          <cell r="B214" t="str">
            <v xml:space="preserve">CRED.MODALIDAD UNO LIBOR AJUSTADA AC 1686 BCOM </v>
          </cell>
          <cell r="C214">
            <v>481</v>
          </cell>
          <cell r="D214">
            <v>442</v>
          </cell>
          <cell r="E214">
            <v>0</v>
          </cell>
          <cell r="F214">
            <v>0</v>
          </cell>
          <cell r="G214">
            <v>0</v>
          </cell>
          <cell r="H214">
            <v>0</v>
          </cell>
          <cell r="I214">
            <v>0</v>
          </cell>
          <cell r="J214">
            <v>0</v>
          </cell>
          <cell r="K214">
            <v>0</v>
          </cell>
        </row>
        <row r="215">
          <cell r="A215" t="str">
            <v>12HINZN</v>
          </cell>
          <cell r="B215" t="str">
            <v xml:space="preserve">CRED.MODALIDAD UNO TIP 91-365 BCOS.COMERCIALES </v>
          </cell>
          <cell r="C215">
            <v>0</v>
          </cell>
          <cell r="D215">
            <v>0</v>
          </cell>
          <cell r="E215">
            <v>0</v>
          </cell>
          <cell r="F215">
            <v>0</v>
          </cell>
          <cell r="G215">
            <v>0</v>
          </cell>
          <cell r="H215">
            <v>0</v>
          </cell>
          <cell r="I215">
            <v>0</v>
          </cell>
          <cell r="J215">
            <v>0</v>
          </cell>
          <cell r="K215">
            <v>0</v>
          </cell>
        </row>
        <row r="216">
          <cell r="A216" t="str">
            <v>12HVNZN</v>
          </cell>
          <cell r="B216" t="str">
            <v xml:space="preserve">CRED.MODALIDAD DOS LIBOR AJUSTADA AC 1686 BCOM </v>
          </cell>
          <cell r="C216">
            <v>548</v>
          </cell>
          <cell r="D216">
            <v>548</v>
          </cell>
          <cell r="E216">
            <v>551</v>
          </cell>
          <cell r="F216">
            <v>557</v>
          </cell>
          <cell r="G216">
            <v>559</v>
          </cell>
          <cell r="H216">
            <v>557</v>
          </cell>
          <cell r="I216">
            <v>446</v>
          </cell>
          <cell r="J216">
            <v>446</v>
          </cell>
          <cell r="K216">
            <v>446</v>
          </cell>
        </row>
        <row r="217">
          <cell r="A217" t="str">
            <v>12IYNZN</v>
          </cell>
          <cell r="B217" t="str">
            <v>CRED.MODALIDAD DOS TIP 91-365 BCOS.COMERCIALES</v>
          </cell>
          <cell r="C217">
            <v>0</v>
          </cell>
          <cell r="D217">
            <v>0</v>
          </cell>
          <cell r="E217">
            <v>0</v>
          </cell>
          <cell r="F217">
            <v>0</v>
          </cell>
          <cell r="G217">
            <v>0</v>
          </cell>
          <cell r="H217">
            <v>0</v>
          </cell>
          <cell r="I217">
            <v>0</v>
          </cell>
          <cell r="J217">
            <v>0</v>
          </cell>
          <cell r="K217">
            <v>0</v>
          </cell>
        </row>
        <row r="218">
          <cell r="A218" t="str">
            <v>12HWNZN</v>
          </cell>
          <cell r="B218" t="str">
            <v>CRED.MODALIDAD DOS TIP 30-89 DS BCOS.COMER.</v>
          </cell>
          <cell r="C218">
            <v>0</v>
          </cell>
          <cell r="D218">
            <v>0</v>
          </cell>
          <cell r="E218">
            <v>0</v>
          </cell>
          <cell r="F218">
            <v>0</v>
          </cell>
          <cell r="G218">
            <v>0</v>
          </cell>
          <cell r="H218">
            <v>0</v>
          </cell>
          <cell r="I218">
            <v>0</v>
          </cell>
          <cell r="J218">
            <v>0</v>
          </cell>
          <cell r="K218">
            <v>0</v>
          </cell>
        </row>
        <row r="219">
          <cell r="A219" t="str">
            <v>12HZNZN</v>
          </cell>
          <cell r="B219" t="str">
            <v xml:space="preserve">REPROGRAMAC.DEUDAS ACDO.1589 BCOS.COMERCIALES </v>
          </cell>
          <cell r="C219">
            <v>0</v>
          </cell>
          <cell r="D219">
            <v>0</v>
          </cell>
          <cell r="E219">
            <v>0</v>
          </cell>
          <cell r="F219">
            <v>0</v>
          </cell>
          <cell r="G219">
            <v>0</v>
          </cell>
          <cell r="H219">
            <v>0</v>
          </cell>
          <cell r="I219">
            <v>0</v>
          </cell>
          <cell r="J219">
            <v>0</v>
          </cell>
          <cell r="K219">
            <v>0</v>
          </cell>
        </row>
        <row r="220">
          <cell r="A220" t="str">
            <v>12HYNZN</v>
          </cell>
          <cell r="B220" t="str">
            <v>REAJ.P/COBR.S/REPROG.DEUDAS AC.1589 BCOS.COMERC.</v>
          </cell>
          <cell r="C220">
            <v>0</v>
          </cell>
          <cell r="D220">
            <v>0</v>
          </cell>
          <cell r="E220">
            <v>0</v>
          </cell>
          <cell r="F220">
            <v>0</v>
          </cell>
          <cell r="G220">
            <v>0</v>
          </cell>
          <cell r="H220">
            <v>0</v>
          </cell>
          <cell r="I220">
            <v>0</v>
          </cell>
          <cell r="J220">
            <v>0</v>
          </cell>
          <cell r="K220">
            <v>0</v>
          </cell>
        </row>
        <row r="221">
          <cell r="A221" t="str">
            <v>12IZNZN</v>
          </cell>
          <cell r="B221" t="str">
            <v>L/C P.CONSTITUIR RESERVA TECNICA BCOS.COMERC.</v>
          </cell>
          <cell r="C221">
            <v>0</v>
          </cell>
          <cell r="D221">
            <v>0</v>
          </cell>
          <cell r="E221">
            <v>0</v>
          </cell>
          <cell r="F221">
            <v>0</v>
          </cell>
          <cell r="G221">
            <v>0</v>
          </cell>
          <cell r="H221">
            <v>0</v>
          </cell>
          <cell r="I221">
            <v>0</v>
          </cell>
          <cell r="J221">
            <v>0</v>
          </cell>
          <cell r="K221">
            <v>0</v>
          </cell>
        </row>
        <row r="222">
          <cell r="A222" t="str">
            <v>12JENZN</v>
          </cell>
          <cell r="B222" t="str">
            <v>REAJ.P.COBRAR S/L/C P.CONSTITUIR RESERVA TEC.BCOM,</v>
          </cell>
          <cell r="C222">
            <v>0</v>
          </cell>
          <cell r="D222">
            <v>0</v>
          </cell>
          <cell r="E222">
            <v>0</v>
          </cell>
          <cell r="F222">
            <v>0</v>
          </cell>
          <cell r="G222">
            <v>0</v>
          </cell>
          <cell r="H222">
            <v>0</v>
          </cell>
          <cell r="I222">
            <v>0</v>
          </cell>
          <cell r="J222">
            <v>0</v>
          </cell>
          <cell r="K222">
            <v>0</v>
          </cell>
        </row>
        <row r="223">
          <cell r="A223" t="str">
            <v>-</v>
          </cell>
          <cell r="B223" t="str">
            <v>L/REDES.PARA FINANC.DE EXPORT.AC.1719 BCOS COMER.</v>
          </cell>
          <cell r="C223">
            <v>0</v>
          </cell>
          <cell r="D223">
            <v>0</v>
          </cell>
          <cell r="E223">
            <v>0</v>
          </cell>
          <cell r="F223">
            <v>0</v>
          </cell>
          <cell r="G223">
            <v>0</v>
          </cell>
          <cell r="H223">
            <v>0</v>
          </cell>
          <cell r="I223">
            <v>0</v>
          </cell>
          <cell r="J223">
            <v>0</v>
          </cell>
          <cell r="K223">
            <v>0</v>
          </cell>
        </row>
        <row r="224">
          <cell r="A224" t="str">
            <v>12JUNZN</v>
          </cell>
          <cell r="B224" t="str">
            <v>L/C P.LICIT.CART.HIPOT.ANAP.AC.1901 BCOS.COMER.</v>
          </cell>
          <cell r="C224">
            <v>6284</v>
          </cell>
          <cell r="D224">
            <v>6161</v>
          </cell>
          <cell r="E224">
            <v>6039</v>
          </cell>
          <cell r="F224">
            <v>5915</v>
          </cell>
          <cell r="G224">
            <v>5915</v>
          </cell>
          <cell r="H224">
            <v>5667</v>
          </cell>
          <cell r="I224">
            <v>5541</v>
          </cell>
          <cell r="J224">
            <v>5541</v>
          </cell>
          <cell r="K224">
            <v>5289</v>
          </cell>
        </row>
        <row r="225">
          <cell r="A225" t="str">
            <v>12JVNZN</v>
          </cell>
          <cell r="B225" t="str">
            <v>REAJ.P.L/C. LICIT.CART.HIP.ANAP AC.1901 B.COMER.</v>
          </cell>
          <cell r="C225">
            <v>15277</v>
          </cell>
          <cell r="D225">
            <v>14969</v>
          </cell>
          <cell r="E225">
            <v>14795</v>
          </cell>
          <cell r="F225">
            <v>14712</v>
          </cell>
          <cell r="G225">
            <v>14771</v>
          </cell>
          <cell r="H225">
            <v>14089</v>
          </cell>
          <cell r="I225">
            <v>13754</v>
          </cell>
          <cell r="J225">
            <v>13741</v>
          </cell>
          <cell r="K225">
            <v>13135</v>
          </cell>
        </row>
        <row r="226">
          <cell r="A226" t="str">
            <v>12JXNZN</v>
          </cell>
          <cell r="B226" t="str">
            <v>COMPRA PAGARES DEL BC C/PACTO RETROV. BCOM.</v>
          </cell>
          <cell r="C226">
            <v>63000</v>
          </cell>
          <cell r="D226">
            <v>0</v>
          </cell>
          <cell r="E226">
            <v>0</v>
          </cell>
          <cell r="F226">
            <v>0</v>
          </cell>
          <cell r="G226">
            <v>0</v>
          </cell>
          <cell r="H226">
            <v>0</v>
          </cell>
          <cell r="I226">
            <v>0</v>
          </cell>
          <cell r="J226">
            <v>0</v>
          </cell>
          <cell r="K226">
            <v>0</v>
          </cell>
        </row>
        <row r="227">
          <cell r="A227" t="str">
            <v>12MQNZN</v>
          </cell>
          <cell r="B227" t="str">
            <v>SALDOS DE PRECIO POR VENTA DE ACTIVO FIJO,</v>
          </cell>
          <cell r="C227">
            <v>0</v>
          </cell>
          <cell r="D227">
            <v>0</v>
          </cell>
          <cell r="E227">
            <v>0</v>
          </cell>
          <cell r="F227">
            <v>0</v>
          </cell>
          <cell r="G227">
            <v>0</v>
          </cell>
          <cell r="H227">
            <v>0</v>
          </cell>
          <cell r="I227">
            <v>0</v>
          </cell>
          <cell r="J227">
            <v>0</v>
          </cell>
          <cell r="K227">
            <v>0</v>
          </cell>
        </row>
        <row r="228">
          <cell r="A228" t="str">
            <v>13DZNZN</v>
          </cell>
          <cell r="B228" t="str">
            <v xml:space="preserve">VTAS.CBIO.PZO.C/FINANC.EN </v>
          </cell>
          <cell r="C228">
            <v>0</v>
          </cell>
          <cell r="D228">
            <v>0</v>
          </cell>
          <cell r="E228">
            <v>0</v>
          </cell>
          <cell r="F228">
            <v>0</v>
          </cell>
          <cell r="G228">
            <v>0</v>
          </cell>
          <cell r="H228">
            <v>0</v>
          </cell>
          <cell r="I228">
            <v>0</v>
          </cell>
          <cell r="J228">
            <v>0</v>
          </cell>
          <cell r="K228">
            <v>0</v>
          </cell>
        </row>
        <row r="229">
          <cell r="A229" t="str">
            <v>12EANZN</v>
          </cell>
          <cell r="B229" t="str">
            <v>REAJ.P.COBRAR.S.VTA.CBIO. C.FTO.EN ME O.INST</v>
          </cell>
          <cell r="C229">
            <v>0</v>
          </cell>
          <cell r="D229">
            <v>0</v>
          </cell>
          <cell r="E229">
            <v>0</v>
          </cell>
          <cell r="F229">
            <v>0</v>
          </cell>
          <cell r="G229">
            <v>0</v>
          </cell>
          <cell r="H229">
            <v>0</v>
          </cell>
          <cell r="I229">
            <v>0</v>
          </cell>
          <cell r="J229">
            <v>0</v>
          </cell>
          <cell r="K229">
            <v>0</v>
          </cell>
        </row>
        <row r="230">
          <cell r="A230" t="str">
            <v>13CANZN</v>
          </cell>
          <cell r="B230" t="str">
            <v xml:space="preserve">REF.REAJUSTABLES OTRAS INSTITUCIONES, </v>
          </cell>
          <cell r="C230">
            <v>0</v>
          </cell>
          <cell r="D230">
            <v>0</v>
          </cell>
          <cell r="E230">
            <v>0</v>
          </cell>
          <cell r="F230">
            <v>0</v>
          </cell>
          <cell r="G230">
            <v>0</v>
          </cell>
          <cell r="H230">
            <v>0</v>
          </cell>
          <cell r="I230">
            <v>0</v>
          </cell>
          <cell r="J230">
            <v>0</v>
          </cell>
          <cell r="K230">
            <v>0</v>
          </cell>
        </row>
        <row r="231">
          <cell r="A231" t="str">
            <v>12MRNZN</v>
          </cell>
          <cell r="B231" t="str">
            <v>PAGARES ADQUIRIDOS OTRAS INSTITUCIONES</v>
          </cell>
          <cell r="C231">
            <v>0</v>
          </cell>
          <cell r="D231">
            <v>0</v>
          </cell>
          <cell r="E231">
            <v>0</v>
          </cell>
          <cell r="F231">
            <v>0</v>
          </cell>
          <cell r="G231">
            <v>0</v>
          </cell>
          <cell r="H231">
            <v>0</v>
          </cell>
          <cell r="I231">
            <v>0</v>
          </cell>
          <cell r="J231">
            <v>0</v>
          </cell>
          <cell r="K231">
            <v>0</v>
          </cell>
        </row>
        <row r="232">
          <cell r="A232" t="str">
            <v>12MNNZN</v>
          </cell>
          <cell r="B232" t="str">
            <v>REDESCUENTOS A SOCIEDADES FINANCIERAS,</v>
          </cell>
          <cell r="C232">
            <v>0</v>
          </cell>
          <cell r="D232">
            <v>0</v>
          </cell>
          <cell r="E232">
            <v>0</v>
          </cell>
          <cell r="F232">
            <v>0</v>
          </cell>
          <cell r="G232">
            <v>0</v>
          </cell>
          <cell r="H232">
            <v>0</v>
          </cell>
          <cell r="I232">
            <v>0</v>
          </cell>
          <cell r="J232">
            <v>0</v>
          </cell>
          <cell r="K232">
            <v>0</v>
          </cell>
        </row>
        <row r="233">
          <cell r="A233" t="str">
            <v>12DENZN</v>
          </cell>
          <cell r="B233" t="str">
            <v xml:space="preserve">CONV.CRED.OPERAC.CAF </v>
          </cell>
          <cell r="C233">
            <v>0</v>
          </cell>
          <cell r="D233">
            <v>0</v>
          </cell>
          <cell r="E233">
            <v>0</v>
          </cell>
          <cell r="F233">
            <v>0</v>
          </cell>
          <cell r="G233">
            <v>0</v>
          </cell>
          <cell r="H233">
            <v>0</v>
          </cell>
          <cell r="I233">
            <v>0</v>
          </cell>
          <cell r="J233">
            <v>0</v>
          </cell>
          <cell r="K233">
            <v>0</v>
          </cell>
        </row>
        <row r="234">
          <cell r="A234" t="str">
            <v>12BWNZN</v>
          </cell>
          <cell r="B234" t="str">
            <v xml:space="preserve">CRED.AAP.NAC.DEL.2824 </v>
          </cell>
          <cell r="C234">
            <v>0</v>
          </cell>
          <cell r="D234">
            <v>0</v>
          </cell>
          <cell r="E234">
            <v>0</v>
          </cell>
          <cell r="F234">
            <v>0</v>
          </cell>
          <cell r="G234">
            <v>0</v>
          </cell>
          <cell r="H234">
            <v>0</v>
          </cell>
          <cell r="I234">
            <v>0</v>
          </cell>
          <cell r="J234">
            <v>0</v>
          </cell>
          <cell r="K234">
            <v>0</v>
          </cell>
        </row>
        <row r="235">
          <cell r="A235" t="str">
            <v>12BZNZN</v>
          </cell>
          <cell r="B235" t="str">
            <v xml:space="preserve">L/C AAP NAC.DL 2824 </v>
          </cell>
          <cell r="C235">
            <v>0</v>
          </cell>
          <cell r="D235">
            <v>0</v>
          </cell>
          <cell r="E235">
            <v>0</v>
          </cell>
          <cell r="F235">
            <v>0</v>
          </cell>
          <cell r="G235">
            <v>0</v>
          </cell>
          <cell r="H235">
            <v>0</v>
          </cell>
          <cell r="I235">
            <v>0</v>
          </cell>
          <cell r="J235">
            <v>0</v>
          </cell>
          <cell r="K235">
            <v>0</v>
          </cell>
        </row>
        <row r="236">
          <cell r="A236" t="str">
            <v>12EGNZN</v>
          </cell>
          <cell r="B236" t="str">
            <v xml:space="preserve">LC INSTIT.FINANCIERAS NO BANCARIAS </v>
          </cell>
          <cell r="C236">
            <v>0</v>
          </cell>
          <cell r="D236">
            <v>0</v>
          </cell>
          <cell r="E236">
            <v>0</v>
          </cell>
          <cell r="F236">
            <v>0</v>
          </cell>
          <cell r="G236">
            <v>0</v>
          </cell>
          <cell r="H236">
            <v>0</v>
          </cell>
          <cell r="I236">
            <v>0</v>
          </cell>
          <cell r="J236">
            <v>0</v>
          </cell>
          <cell r="K236">
            <v>0</v>
          </cell>
        </row>
        <row r="237">
          <cell r="A237" t="str">
            <v>12GKNZN</v>
          </cell>
          <cell r="B237" t="str">
            <v xml:space="preserve">LIN.REAJ.A BCOS. FOMENTO </v>
          </cell>
          <cell r="C237">
            <v>0</v>
          </cell>
          <cell r="D237">
            <v>0</v>
          </cell>
          <cell r="E237">
            <v>0</v>
          </cell>
          <cell r="F237">
            <v>0</v>
          </cell>
          <cell r="G237">
            <v>0</v>
          </cell>
          <cell r="H237">
            <v>0</v>
          </cell>
          <cell r="I237">
            <v>0</v>
          </cell>
          <cell r="J237">
            <v>0</v>
          </cell>
          <cell r="K237">
            <v>0</v>
          </cell>
        </row>
        <row r="238">
          <cell r="A238" t="str">
            <v>12CJNZN</v>
          </cell>
          <cell r="B238" t="str">
            <v xml:space="preserve">LC.PROGRAM.ORG.INTERNACIONALES OTRAS INSTITUC. </v>
          </cell>
          <cell r="C238">
            <v>209</v>
          </cell>
          <cell r="D238">
            <v>209</v>
          </cell>
          <cell r="E238">
            <v>209</v>
          </cell>
          <cell r="F238">
            <v>209</v>
          </cell>
          <cell r="G238">
            <v>209</v>
          </cell>
          <cell r="H238">
            <v>209</v>
          </cell>
          <cell r="I238">
            <v>209</v>
          </cell>
          <cell r="J238">
            <v>209</v>
          </cell>
          <cell r="K238">
            <v>209</v>
          </cell>
        </row>
        <row r="239">
          <cell r="A239" t="str">
            <v>12ELNZN</v>
          </cell>
          <cell r="B239" t="str">
            <v xml:space="preserve">REAJ P/COBRAR S/REFIN OTR INSTITUCIONES, </v>
          </cell>
          <cell r="C239">
            <v>0</v>
          </cell>
          <cell r="D239">
            <v>0</v>
          </cell>
          <cell r="E239">
            <v>0</v>
          </cell>
          <cell r="F239">
            <v>0</v>
          </cell>
          <cell r="G239">
            <v>0</v>
          </cell>
          <cell r="H239">
            <v>0</v>
          </cell>
          <cell r="I239">
            <v>0</v>
          </cell>
          <cell r="J239">
            <v>0</v>
          </cell>
          <cell r="K239">
            <v>0</v>
          </cell>
        </row>
        <row r="240">
          <cell r="A240" t="str">
            <v>13CLNZN</v>
          </cell>
          <cell r="B240" t="str">
            <v>REAJ.P/COB.LC.INST.FINAN.NO BANCARIAS,</v>
          </cell>
          <cell r="C240">
            <v>0</v>
          </cell>
          <cell r="D240">
            <v>0</v>
          </cell>
          <cell r="E240">
            <v>0</v>
          </cell>
          <cell r="F240">
            <v>0</v>
          </cell>
          <cell r="G240">
            <v>0</v>
          </cell>
          <cell r="H240">
            <v>0</v>
          </cell>
          <cell r="I240">
            <v>0</v>
          </cell>
          <cell r="J240">
            <v>0</v>
          </cell>
          <cell r="K240">
            <v>0</v>
          </cell>
        </row>
        <row r="241">
          <cell r="A241" t="str">
            <v>12NFNZN</v>
          </cell>
          <cell r="B241" t="str">
            <v xml:space="preserve">REAJ.P/COBRAR S/L.C.REAJUSTABLE BCOS. FOMENTO </v>
          </cell>
          <cell r="C241">
            <v>0</v>
          </cell>
          <cell r="D241">
            <v>0</v>
          </cell>
          <cell r="E241">
            <v>0</v>
          </cell>
          <cell r="F241">
            <v>0</v>
          </cell>
          <cell r="G241">
            <v>0</v>
          </cell>
          <cell r="H241">
            <v>0</v>
          </cell>
          <cell r="I241">
            <v>0</v>
          </cell>
          <cell r="J241">
            <v>0</v>
          </cell>
          <cell r="K241">
            <v>0</v>
          </cell>
        </row>
        <row r="242">
          <cell r="A242" t="str">
            <v>13BYNZN</v>
          </cell>
          <cell r="B242" t="str">
            <v>REAJ P/COBRAR S/L C AAP DL 2824,</v>
          </cell>
          <cell r="C242">
            <v>0</v>
          </cell>
          <cell r="D242">
            <v>0</v>
          </cell>
          <cell r="E242">
            <v>0</v>
          </cell>
          <cell r="F242">
            <v>0</v>
          </cell>
          <cell r="G242">
            <v>0</v>
          </cell>
          <cell r="H242">
            <v>0</v>
          </cell>
          <cell r="I242">
            <v>0</v>
          </cell>
          <cell r="J242">
            <v>0</v>
          </cell>
          <cell r="K242">
            <v>0</v>
          </cell>
        </row>
        <row r="243">
          <cell r="A243" t="str">
            <v>13DLNZN</v>
          </cell>
          <cell r="B243" t="str">
            <v>REAJ.P.COBRAR S.LC.PROG.ORG.INTER.OTRO.INSTITUC</v>
          </cell>
          <cell r="C243">
            <v>11167</v>
          </cell>
          <cell r="D243">
            <v>11167</v>
          </cell>
          <cell r="E243">
            <v>11167</v>
          </cell>
          <cell r="F243">
            <v>11167</v>
          </cell>
          <cell r="G243">
            <v>11167</v>
          </cell>
          <cell r="H243">
            <v>11167</v>
          </cell>
          <cell r="I243">
            <v>11167</v>
          </cell>
          <cell r="J243">
            <v>11167</v>
          </cell>
          <cell r="K243">
            <v>11167</v>
          </cell>
        </row>
        <row r="244">
          <cell r="A244" t="str">
            <v>13CPNZN</v>
          </cell>
          <cell r="B244" t="str">
            <v>REAJ.P/COB.VENTA BIENES RAICES</v>
          </cell>
          <cell r="C244">
            <v>0</v>
          </cell>
          <cell r="D244">
            <v>0</v>
          </cell>
          <cell r="E244">
            <v>0</v>
          </cell>
          <cell r="F244">
            <v>0</v>
          </cell>
          <cell r="G244">
            <v>0</v>
          </cell>
          <cell r="H244">
            <v>0</v>
          </cell>
          <cell r="I244">
            <v>0</v>
          </cell>
          <cell r="J244">
            <v>0</v>
          </cell>
          <cell r="K244">
            <v>0</v>
          </cell>
        </row>
        <row r="245">
          <cell r="A245" t="str">
            <v>12FXNZN</v>
          </cell>
          <cell r="B245" t="str">
            <v>PRESTAMOS DE URGENCIA OTRAS INSTITUCIONES</v>
          </cell>
          <cell r="C245">
            <v>0</v>
          </cell>
          <cell r="D245">
            <v>0</v>
          </cell>
          <cell r="E245">
            <v>0</v>
          </cell>
          <cell r="F245">
            <v>0</v>
          </cell>
          <cell r="G245">
            <v>0</v>
          </cell>
          <cell r="H245">
            <v>0</v>
          </cell>
          <cell r="I245">
            <v>0</v>
          </cell>
          <cell r="J245">
            <v>0</v>
          </cell>
          <cell r="K245">
            <v>0</v>
          </cell>
        </row>
        <row r="246">
          <cell r="A246" t="str">
            <v>12APNZN</v>
          </cell>
          <cell r="B246" t="str">
            <v>CONSOLIDAC. PREST.URGENCIA OTRAS INSTITUCIONES</v>
          </cell>
          <cell r="C246">
            <v>0</v>
          </cell>
          <cell r="D246">
            <v>0</v>
          </cell>
          <cell r="E246">
            <v>0</v>
          </cell>
          <cell r="F246">
            <v>0</v>
          </cell>
          <cell r="G246">
            <v>0</v>
          </cell>
          <cell r="H246">
            <v>0</v>
          </cell>
          <cell r="I246">
            <v>0</v>
          </cell>
          <cell r="J246">
            <v>0</v>
          </cell>
          <cell r="K246">
            <v>0</v>
          </cell>
        </row>
        <row r="247">
          <cell r="A247" t="str">
            <v>12AWNZN</v>
          </cell>
          <cell r="B247" t="str">
            <v>FONDOS LICITADOS A OTRAS INSTITUCIONES</v>
          </cell>
          <cell r="C247">
            <v>0</v>
          </cell>
          <cell r="D247">
            <v>0</v>
          </cell>
          <cell r="E247">
            <v>0</v>
          </cell>
          <cell r="F247">
            <v>0</v>
          </cell>
          <cell r="G247">
            <v>0</v>
          </cell>
          <cell r="H247">
            <v>0</v>
          </cell>
          <cell r="I247">
            <v>0</v>
          </cell>
          <cell r="J247">
            <v>0</v>
          </cell>
          <cell r="K247">
            <v>0</v>
          </cell>
        </row>
        <row r="248">
          <cell r="A248" t="str">
            <v>12AXNZN</v>
          </cell>
          <cell r="B248" t="str">
            <v>REAJ.P.RECIB.P.FDOS.LICITADOS A OTRAS INSTITUC.,</v>
          </cell>
          <cell r="C248">
            <v>0</v>
          </cell>
          <cell r="D248">
            <v>0</v>
          </cell>
          <cell r="E248">
            <v>0</v>
          </cell>
          <cell r="F248">
            <v>0</v>
          </cell>
          <cell r="G248">
            <v>0</v>
          </cell>
          <cell r="H248">
            <v>0</v>
          </cell>
          <cell r="I248">
            <v>0</v>
          </cell>
          <cell r="J248">
            <v>0</v>
          </cell>
          <cell r="K248">
            <v>0</v>
          </cell>
        </row>
        <row r="249">
          <cell r="A249" t="str">
            <v>12CENZN</v>
          </cell>
          <cell r="B249" t="str">
            <v>BONOS ADQUIRIDOS A OTRAS INSTITUCIONES</v>
          </cell>
          <cell r="C249">
            <v>0</v>
          </cell>
          <cell r="D249">
            <v>0</v>
          </cell>
          <cell r="E249">
            <v>0</v>
          </cell>
          <cell r="F249">
            <v>0</v>
          </cell>
          <cell r="G249">
            <v>0</v>
          </cell>
          <cell r="H249">
            <v>0</v>
          </cell>
          <cell r="I249">
            <v>0</v>
          </cell>
          <cell r="J249">
            <v>0</v>
          </cell>
          <cell r="K249">
            <v>0</v>
          </cell>
        </row>
        <row r="250">
          <cell r="A250" t="str">
            <v>12CLNZN</v>
          </cell>
          <cell r="B250" t="str">
            <v>REAJ.P.COBRAR S.BONOS DE OTRAS INSTITUCIONES</v>
          </cell>
          <cell r="C250">
            <v>0</v>
          </cell>
          <cell r="D250">
            <v>0</v>
          </cell>
          <cell r="E250">
            <v>0</v>
          </cell>
          <cell r="F250">
            <v>0</v>
          </cell>
          <cell r="G250">
            <v>0</v>
          </cell>
          <cell r="H250">
            <v>0</v>
          </cell>
          <cell r="I250">
            <v>0</v>
          </cell>
          <cell r="J250">
            <v>0</v>
          </cell>
          <cell r="K250">
            <v>0</v>
          </cell>
        </row>
        <row r="251">
          <cell r="A251" t="str">
            <v>12CMNZN</v>
          </cell>
          <cell r="B251" t="str">
            <v xml:space="preserve">CARTERA ADQ.C.PACTO RETROVTA.OT.INSTITUC.(ACDO 148, </v>
          </cell>
          <cell r="C251">
            <v>0</v>
          </cell>
          <cell r="D251">
            <v>0</v>
          </cell>
          <cell r="E251">
            <v>0</v>
          </cell>
          <cell r="F251">
            <v>0</v>
          </cell>
          <cell r="G251">
            <v>0</v>
          </cell>
          <cell r="H251">
            <v>0</v>
          </cell>
          <cell r="I251">
            <v>0</v>
          </cell>
          <cell r="J251">
            <v>0</v>
          </cell>
          <cell r="K251">
            <v>0</v>
          </cell>
        </row>
        <row r="252">
          <cell r="A252" t="str">
            <v>-</v>
          </cell>
          <cell r="B252" t="str">
            <v xml:space="preserve">PRESTAMOS PARA CUBRIR DEFICIT DE ENCAJE O.INSTITUC, </v>
          </cell>
          <cell r="C252">
            <v>0</v>
          </cell>
          <cell r="D252">
            <v>0</v>
          </cell>
          <cell r="E252">
            <v>0</v>
          </cell>
          <cell r="F252">
            <v>0</v>
          </cell>
          <cell r="G252">
            <v>0</v>
          </cell>
          <cell r="H252">
            <v>0</v>
          </cell>
          <cell r="I252">
            <v>0</v>
          </cell>
          <cell r="J252">
            <v>0</v>
          </cell>
          <cell r="K252">
            <v>0</v>
          </cell>
        </row>
        <row r="253">
          <cell r="A253" t="str">
            <v>12MVNZN</v>
          </cell>
          <cell r="B253" t="str">
            <v>DOCUMENTOS CDTO.HIPOTECARIO ADQ.OTRAS INSTITUC.</v>
          </cell>
          <cell r="C253">
            <v>0</v>
          </cell>
          <cell r="D253">
            <v>0</v>
          </cell>
          <cell r="E253">
            <v>0</v>
          </cell>
          <cell r="F253">
            <v>0</v>
          </cell>
          <cell r="G253">
            <v>0</v>
          </cell>
          <cell r="H253">
            <v>0</v>
          </cell>
          <cell r="I253">
            <v>0</v>
          </cell>
          <cell r="J253">
            <v>0</v>
          </cell>
          <cell r="K253">
            <v>0</v>
          </cell>
        </row>
        <row r="254">
          <cell r="A254" t="str">
            <v>12MWNZN</v>
          </cell>
          <cell r="B254" t="str">
            <v>REAJ.P.COB.S.CPRA.DOC.CRED.HIPOT.ADQ.OT.INSTIT</v>
          </cell>
          <cell r="C254">
            <v>0</v>
          </cell>
          <cell r="D254">
            <v>0</v>
          </cell>
          <cell r="E254">
            <v>0</v>
          </cell>
          <cell r="F254">
            <v>0</v>
          </cell>
          <cell r="G254">
            <v>0</v>
          </cell>
          <cell r="H254">
            <v>0</v>
          </cell>
          <cell r="I254">
            <v>0</v>
          </cell>
          <cell r="J254">
            <v>0</v>
          </cell>
          <cell r="K254">
            <v>0</v>
          </cell>
        </row>
        <row r="255">
          <cell r="A255" t="str">
            <v>-</v>
          </cell>
          <cell r="B255" t="str">
            <v xml:space="preserve">ANTICIPOS DE CREDITOS AL SISTEMA FINANC.OTRAS INST, </v>
          </cell>
          <cell r="C255">
            <v>0</v>
          </cell>
          <cell r="D255">
            <v>0</v>
          </cell>
          <cell r="E255">
            <v>0</v>
          </cell>
          <cell r="F255">
            <v>0</v>
          </cell>
          <cell r="G255">
            <v>0</v>
          </cell>
          <cell r="H255">
            <v>0</v>
          </cell>
          <cell r="I255">
            <v>0</v>
          </cell>
          <cell r="J255">
            <v>0</v>
          </cell>
          <cell r="K255">
            <v>0</v>
          </cell>
        </row>
        <row r="256">
          <cell r="A256" t="str">
            <v>12MYNZN</v>
          </cell>
          <cell r="B256" t="str">
            <v>CONSOLIDACION PRESTAMOS URGENCIA OT.INSTITUC.</v>
          </cell>
          <cell r="C256">
            <v>0</v>
          </cell>
          <cell r="D256">
            <v>0</v>
          </cell>
          <cell r="E256">
            <v>0</v>
          </cell>
          <cell r="F256">
            <v>0</v>
          </cell>
          <cell r="G256">
            <v>0</v>
          </cell>
          <cell r="H256">
            <v>0</v>
          </cell>
          <cell r="I256">
            <v>0</v>
          </cell>
          <cell r="J256">
            <v>0</v>
          </cell>
          <cell r="K256">
            <v>0</v>
          </cell>
        </row>
        <row r="257">
          <cell r="A257" t="str">
            <v>12DJNZN</v>
          </cell>
          <cell r="B257" t="str">
            <v>L.C. P.REPROGRAMACION DEUDAS OTRAS INSTITUC.</v>
          </cell>
          <cell r="C257">
            <v>0</v>
          </cell>
          <cell r="D257">
            <v>0</v>
          </cell>
          <cell r="E257">
            <v>0</v>
          </cell>
          <cell r="F257">
            <v>0</v>
          </cell>
          <cell r="G257">
            <v>0</v>
          </cell>
          <cell r="H257">
            <v>0</v>
          </cell>
          <cell r="I257">
            <v>0</v>
          </cell>
          <cell r="J257">
            <v>0</v>
          </cell>
          <cell r="K257">
            <v>0</v>
          </cell>
        </row>
        <row r="258">
          <cell r="A258" t="str">
            <v>12DKNZN</v>
          </cell>
          <cell r="B258" t="str">
            <v>REAJ.P.COB.S.LC.REPROG.DEUDAS OTRAS INSTITUC</v>
          </cell>
          <cell r="C258">
            <v>0</v>
          </cell>
          <cell r="D258">
            <v>0</v>
          </cell>
          <cell r="E258">
            <v>0</v>
          </cell>
          <cell r="F258">
            <v>0</v>
          </cell>
          <cell r="G258">
            <v>0</v>
          </cell>
          <cell r="H258">
            <v>0</v>
          </cell>
          <cell r="I258">
            <v>0</v>
          </cell>
          <cell r="J258">
            <v>0</v>
          </cell>
          <cell r="K258">
            <v>0</v>
          </cell>
        </row>
        <row r="259">
          <cell r="A259" t="str">
            <v>12DLNZN</v>
          </cell>
          <cell r="B259" t="str">
            <v xml:space="preserve">DCTOS.VCDOS P.CRED.C.REC.ORG.INT.A FAVOR FISCO </v>
          </cell>
          <cell r="C259">
            <v>0</v>
          </cell>
          <cell r="D259">
            <v>0</v>
          </cell>
          <cell r="E259">
            <v>0</v>
          </cell>
          <cell r="F259">
            <v>0</v>
          </cell>
          <cell r="G259">
            <v>0</v>
          </cell>
          <cell r="H259">
            <v>0</v>
          </cell>
          <cell r="I259">
            <v>0</v>
          </cell>
          <cell r="J259">
            <v>0</v>
          </cell>
          <cell r="K259">
            <v>0</v>
          </cell>
        </row>
        <row r="260">
          <cell r="A260" t="str">
            <v>-</v>
          </cell>
          <cell r="B260" t="str">
            <v>OPER.CRED.EMITIDAS P.BCOS.EN LIQ.Y PAG.A B.CENT.</v>
          </cell>
          <cell r="C260">
            <v>0</v>
          </cell>
          <cell r="D260">
            <v>0</v>
          </cell>
          <cell r="E260">
            <v>0</v>
          </cell>
          <cell r="F260">
            <v>0</v>
          </cell>
          <cell r="G260">
            <v>0</v>
          </cell>
          <cell r="H260">
            <v>0</v>
          </cell>
          <cell r="I260">
            <v>0</v>
          </cell>
          <cell r="J260">
            <v>0</v>
          </cell>
          <cell r="K260">
            <v>0</v>
          </cell>
        </row>
        <row r="261">
          <cell r="A261" t="str">
            <v>12HQNZN</v>
          </cell>
          <cell r="B261" t="str">
            <v>LINEA CREDITO CORTO PLAZO A SOCIEDADES FINANC.</v>
          </cell>
          <cell r="C261">
            <v>0</v>
          </cell>
          <cell r="D261">
            <v>0</v>
          </cell>
          <cell r="E261">
            <v>0</v>
          </cell>
          <cell r="F261">
            <v>0</v>
          </cell>
          <cell r="G261">
            <v>0</v>
          </cell>
          <cell r="H261">
            <v>0</v>
          </cell>
          <cell r="I261">
            <v>0</v>
          </cell>
          <cell r="J261">
            <v>0</v>
          </cell>
          <cell r="K261">
            <v>0</v>
          </cell>
        </row>
        <row r="262">
          <cell r="A262" t="str">
            <v>12HLNZN</v>
          </cell>
          <cell r="B262" t="str">
            <v xml:space="preserve">REAJ.P.COBRAR S/L/C.CORTO PLAZO OTRAS INSTITUCIONE, </v>
          </cell>
          <cell r="C262">
            <v>0</v>
          </cell>
          <cell r="D262">
            <v>0</v>
          </cell>
          <cell r="E262">
            <v>0</v>
          </cell>
          <cell r="F262">
            <v>0</v>
          </cell>
          <cell r="G262">
            <v>0</v>
          </cell>
          <cell r="H262">
            <v>0</v>
          </cell>
          <cell r="I262">
            <v>0</v>
          </cell>
          <cell r="J262">
            <v>0</v>
          </cell>
          <cell r="K262">
            <v>0</v>
          </cell>
        </row>
        <row r="263">
          <cell r="A263" t="str">
            <v>12DVNZN</v>
          </cell>
          <cell r="B263" t="str">
            <v xml:space="preserve">LC.P.REPROGRAM.DEUDAS HIPOTECARIAS OTRAS INSTITUC., </v>
          </cell>
          <cell r="C263">
            <v>0</v>
          </cell>
          <cell r="D263">
            <v>0</v>
          </cell>
          <cell r="E263">
            <v>0</v>
          </cell>
          <cell r="F263">
            <v>0</v>
          </cell>
          <cell r="G263">
            <v>0</v>
          </cell>
          <cell r="H263">
            <v>0</v>
          </cell>
          <cell r="I263">
            <v>0</v>
          </cell>
          <cell r="J263">
            <v>0</v>
          </cell>
          <cell r="K263">
            <v>0</v>
          </cell>
        </row>
        <row r="264">
          <cell r="A264" t="str">
            <v>12DWNZN</v>
          </cell>
          <cell r="B264" t="str">
            <v xml:space="preserve">REAJ.P.COB. S.LC.REPROGRAM.DEUD.HIPOTEC.OTRAS INST, </v>
          </cell>
          <cell r="C264">
            <v>0</v>
          </cell>
          <cell r="D264">
            <v>0</v>
          </cell>
          <cell r="E264">
            <v>0</v>
          </cell>
          <cell r="F264">
            <v>0</v>
          </cell>
          <cell r="G264">
            <v>0</v>
          </cell>
          <cell r="H264">
            <v>0</v>
          </cell>
          <cell r="I264">
            <v>0</v>
          </cell>
          <cell r="J264">
            <v>0</v>
          </cell>
          <cell r="K264">
            <v>0</v>
          </cell>
        </row>
        <row r="265">
          <cell r="A265" t="str">
            <v>12DXNZN</v>
          </cell>
          <cell r="B265" t="str">
            <v xml:space="preserve">CONTRATOS VTAS.CARTERAS ADQ.INST.FINANC.LIQ.OT.INS, </v>
          </cell>
          <cell r="C265">
            <v>0</v>
          </cell>
          <cell r="D265">
            <v>0</v>
          </cell>
          <cell r="E265">
            <v>0</v>
          </cell>
          <cell r="F265">
            <v>0</v>
          </cell>
          <cell r="G265">
            <v>0</v>
          </cell>
          <cell r="H265">
            <v>0</v>
          </cell>
          <cell r="I265">
            <v>0</v>
          </cell>
          <cell r="J265">
            <v>0</v>
          </cell>
          <cell r="K265">
            <v>0</v>
          </cell>
        </row>
        <row r="266">
          <cell r="A266" t="str">
            <v>12DYNZN</v>
          </cell>
          <cell r="B266" t="str">
            <v>REAJ.P.COB.S.CONTR.VTAS.CARTERA ADQ.INS.FIN.LIQ.O.</v>
          </cell>
          <cell r="C266">
            <v>0</v>
          </cell>
          <cell r="D266">
            <v>0</v>
          </cell>
          <cell r="E266">
            <v>0</v>
          </cell>
          <cell r="F266">
            <v>0</v>
          </cell>
          <cell r="G266">
            <v>0</v>
          </cell>
          <cell r="H266">
            <v>0</v>
          </cell>
          <cell r="I266">
            <v>0</v>
          </cell>
          <cell r="J266">
            <v>0</v>
          </cell>
          <cell r="K266">
            <v>0</v>
          </cell>
        </row>
        <row r="267">
          <cell r="A267" t="str">
            <v>12DZNZN</v>
          </cell>
          <cell r="B267" t="str">
            <v>LINEA CREDITO PARA CAPITAL DE TRABAJO OTR.INST.</v>
          </cell>
          <cell r="C267">
            <v>0</v>
          </cell>
          <cell r="D267">
            <v>0</v>
          </cell>
          <cell r="E267">
            <v>0</v>
          </cell>
          <cell r="F267">
            <v>0</v>
          </cell>
          <cell r="G267">
            <v>0</v>
          </cell>
          <cell r="H267">
            <v>0</v>
          </cell>
          <cell r="I267">
            <v>0</v>
          </cell>
          <cell r="J267">
            <v>0</v>
          </cell>
          <cell r="K267">
            <v>0</v>
          </cell>
        </row>
        <row r="268">
          <cell r="A268" t="str">
            <v>12EMNZN</v>
          </cell>
          <cell r="B268" t="str">
            <v>REAJ.P.COB.P.LC. P.CAPITAL DE TRABAJO OTR.INSTITUC</v>
          </cell>
          <cell r="C268">
            <v>0</v>
          </cell>
          <cell r="D268">
            <v>0</v>
          </cell>
          <cell r="E268">
            <v>0</v>
          </cell>
          <cell r="F268">
            <v>0</v>
          </cell>
          <cell r="G268">
            <v>0</v>
          </cell>
          <cell r="H268">
            <v>0</v>
          </cell>
          <cell r="I268">
            <v>0</v>
          </cell>
          <cell r="J268">
            <v>0</v>
          </cell>
          <cell r="K268">
            <v>0</v>
          </cell>
        </row>
        <row r="269">
          <cell r="A269" t="str">
            <v>12MDNZN</v>
          </cell>
          <cell r="B269" t="str">
            <v xml:space="preserve">REAJ.P.COBRAR S.PAGARES ADQUIRIDOS OTRAS INSTITUC., </v>
          </cell>
          <cell r="C269">
            <v>0</v>
          </cell>
          <cell r="D269">
            <v>0</v>
          </cell>
          <cell r="E269">
            <v>0</v>
          </cell>
          <cell r="F269">
            <v>0</v>
          </cell>
          <cell r="G269">
            <v>0</v>
          </cell>
          <cell r="H269">
            <v>0</v>
          </cell>
          <cell r="I269">
            <v>0</v>
          </cell>
          <cell r="J269">
            <v>0</v>
          </cell>
          <cell r="K269">
            <v>0</v>
          </cell>
        </row>
        <row r="270">
          <cell r="A270" t="str">
            <v>12HENZN</v>
          </cell>
          <cell r="B270" t="str">
            <v xml:space="preserve">COMPRA CARTERA C/PACTO DE REVTA.P.CONTADO OT.INST., </v>
          </cell>
          <cell r="C270">
            <v>0</v>
          </cell>
          <cell r="D270">
            <v>0</v>
          </cell>
          <cell r="E270">
            <v>0</v>
          </cell>
          <cell r="F270">
            <v>0</v>
          </cell>
          <cell r="G270">
            <v>0</v>
          </cell>
          <cell r="H270">
            <v>0</v>
          </cell>
          <cell r="I270">
            <v>0</v>
          </cell>
          <cell r="J270">
            <v>0</v>
          </cell>
          <cell r="K270">
            <v>0</v>
          </cell>
        </row>
        <row r="271">
          <cell r="A271" t="str">
            <v>12HFNZN</v>
          </cell>
          <cell r="B271" t="str">
            <v xml:space="preserve">REAJ.COMP.CART.C/PACTO DE REVTA.P.CONTADO OT.INST., </v>
          </cell>
          <cell r="C271">
            <v>0</v>
          </cell>
          <cell r="D271">
            <v>0</v>
          </cell>
          <cell r="E271">
            <v>0</v>
          </cell>
          <cell r="F271">
            <v>0</v>
          </cell>
          <cell r="G271">
            <v>0</v>
          </cell>
          <cell r="H271">
            <v>0</v>
          </cell>
          <cell r="I271">
            <v>0</v>
          </cell>
          <cell r="J271">
            <v>0</v>
          </cell>
          <cell r="K271">
            <v>0</v>
          </cell>
        </row>
        <row r="272">
          <cell r="A272" t="str">
            <v>12MXNZN</v>
          </cell>
          <cell r="B272" t="str">
            <v>REPROG.CRED.DE CONSUMO OTRAS INSTITUCIONES,</v>
          </cell>
          <cell r="C272">
            <v>0</v>
          </cell>
          <cell r="D272">
            <v>0</v>
          </cell>
          <cell r="E272">
            <v>0</v>
          </cell>
          <cell r="F272">
            <v>0</v>
          </cell>
          <cell r="G272">
            <v>0</v>
          </cell>
          <cell r="H272">
            <v>0</v>
          </cell>
          <cell r="I272">
            <v>0</v>
          </cell>
          <cell r="J272">
            <v>0</v>
          </cell>
          <cell r="K272">
            <v>0</v>
          </cell>
        </row>
        <row r="273">
          <cell r="A273" t="str">
            <v>12MZNZN</v>
          </cell>
          <cell r="B273" t="str">
            <v xml:space="preserve">REAJ.P.COBRAR S.REPROG.CRED.CONSUMO OT.INSTITUCION, </v>
          </cell>
          <cell r="C273">
            <v>0</v>
          </cell>
          <cell r="D273">
            <v>0</v>
          </cell>
          <cell r="E273">
            <v>0</v>
          </cell>
          <cell r="F273">
            <v>0</v>
          </cell>
          <cell r="G273">
            <v>0</v>
          </cell>
          <cell r="H273">
            <v>0</v>
          </cell>
          <cell r="I273">
            <v>0</v>
          </cell>
          <cell r="J273">
            <v>0</v>
          </cell>
          <cell r="K273">
            <v>0</v>
          </cell>
        </row>
        <row r="274">
          <cell r="A274" t="str">
            <v>12NGNZN</v>
          </cell>
          <cell r="B274" t="str">
            <v>REPROG.DEUDAS SECTOR PRODUC.(ACDO.1578)O.INSTIT</v>
          </cell>
          <cell r="C274">
            <v>0</v>
          </cell>
          <cell r="D274">
            <v>0</v>
          </cell>
          <cell r="E274">
            <v>0</v>
          </cell>
          <cell r="F274">
            <v>0</v>
          </cell>
          <cell r="G274">
            <v>0</v>
          </cell>
          <cell r="H274">
            <v>0</v>
          </cell>
          <cell r="I274">
            <v>0</v>
          </cell>
          <cell r="J274">
            <v>0</v>
          </cell>
          <cell r="K274">
            <v>0</v>
          </cell>
        </row>
        <row r="275">
          <cell r="A275" t="str">
            <v>12NPNZN</v>
          </cell>
          <cell r="B275" t="str">
            <v>REAJ.P.COBRAR S.REPROG.DEUDAS SEC.PROD.O.INSTIT</v>
          </cell>
          <cell r="C275">
            <v>0</v>
          </cell>
          <cell r="D275">
            <v>0</v>
          </cell>
          <cell r="E275">
            <v>0</v>
          </cell>
          <cell r="F275">
            <v>0</v>
          </cell>
          <cell r="G275">
            <v>0</v>
          </cell>
          <cell r="H275">
            <v>0</v>
          </cell>
          <cell r="I275">
            <v>0</v>
          </cell>
          <cell r="J275">
            <v>0</v>
          </cell>
          <cell r="K275">
            <v>0</v>
          </cell>
        </row>
        <row r="276">
          <cell r="A276" t="str">
            <v>12NSNZN</v>
          </cell>
          <cell r="B276" t="str">
            <v>DESCUENTO DE INSTRUMENTOS FINANCIEROS OT.INSTIT</v>
          </cell>
          <cell r="C276">
            <v>0</v>
          </cell>
          <cell r="D276">
            <v>0</v>
          </cell>
          <cell r="E276">
            <v>0</v>
          </cell>
          <cell r="F276">
            <v>0</v>
          </cell>
          <cell r="G276">
            <v>0</v>
          </cell>
          <cell r="H276">
            <v>0</v>
          </cell>
          <cell r="I276">
            <v>0</v>
          </cell>
          <cell r="J276">
            <v>0</v>
          </cell>
          <cell r="K276">
            <v>0</v>
          </cell>
        </row>
        <row r="277">
          <cell r="A277" t="str">
            <v>12NTNZN</v>
          </cell>
          <cell r="B277" t="str">
            <v>REAJ.P.COBRAR S.DESC.INSTRUM.FINANC.OT.INSTIT</v>
          </cell>
          <cell r="C277">
            <v>0</v>
          </cell>
          <cell r="D277">
            <v>0</v>
          </cell>
          <cell r="E277">
            <v>0</v>
          </cell>
          <cell r="F277">
            <v>0</v>
          </cell>
          <cell r="G277">
            <v>0</v>
          </cell>
          <cell r="H277">
            <v>0</v>
          </cell>
          <cell r="I277">
            <v>0</v>
          </cell>
          <cell r="J277">
            <v>0</v>
          </cell>
          <cell r="K277">
            <v>0</v>
          </cell>
        </row>
        <row r="278">
          <cell r="A278" t="str">
            <v>12NWNZN</v>
          </cell>
          <cell r="B278" t="str">
            <v>LINEA DE CREDITO DE MEDIANO PLAZO A OT.INSTITUC</v>
          </cell>
          <cell r="C278">
            <v>0</v>
          </cell>
          <cell r="D278">
            <v>0</v>
          </cell>
          <cell r="E278">
            <v>0</v>
          </cell>
          <cell r="F278">
            <v>0</v>
          </cell>
          <cell r="G278">
            <v>0</v>
          </cell>
          <cell r="H278">
            <v>0</v>
          </cell>
          <cell r="I278">
            <v>0</v>
          </cell>
          <cell r="J278">
            <v>0</v>
          </cell>
          <cell r="K278">
            <v>0</v>
          </cell>
        </row>
        <row r="279">
          <cell r="A279" t="str">
            <v>12NXNZN</v>
          </cell>
          <cell r="B279" t="str">
            <v>REAJ.P.COB.S.L/C DE MEDIANO PLAZO A OT.INSTITUC.</v>
          </cell>
          <cell r="C279">
            <v>0</v>
          </cell>
          <cell r="D279">
            <v>0</v>
          </cell>
          <cell r="E279">
            <v>0</v>
          </cell>
          <cell r="F279">
            <v>0</v>
          </cell>
          <cell r="G279">
            <v>0</v>
          </cell>
          <cell r="H279">
            <v>0</v>
          </cell>
          <cell r="I279">
            <v>0</v>
          </cell>
          <cell r="J279">
            <v>0</v>
          </cell>
          <cell r="K279">
            <v>0</v>
          </cell>
        </row>
        <row r="280">
          <cell r="A280" t="str">
            <v>12HMNZN</v>
          </cell>
          <cell r="B280" t="str">
            <v>CREDITOS P.DEPOS.AC.1657-09 OTRAS INSTITUCIONES,</v>
          </cell>
          <cell r="C280">
            <v>0</v>
          </cell>
          <cell r="D280">
            <v>0</v>
          </cell>
          <cell r="E280">
            <v>0</v>
          </cell>
          <cell r="F280">
            <v>0</v>
          </cell>
          <cell r="G280">
            <v>0</v>
          </cell>
          <cell r="H280">
            <v>0</v>
          </cell>
          <cell r="I280">
            <v>0</v>
          </cell>
          <cell r="J280">
            <v>0</v>
          </cell>
          <cell r="K280">
            <v>0</v>
          </cell>
        </row>
        <row r="281">
          <cell r="A281" t="str">
            <v>12HXNZN</v>
          </cell>
          <cell r="B281" t="str">
            <v xml:space="preserve">CRED.MODAL.UNO TIP 91-365 OTRAS INSTITUCIONES </v>
          </cell>
          <cell r="C281">
            <v>0</v>
          </cell>
          <cell r="D281">
            <v>0</v>
          </cell>
          <cell r="E281">
            <v>0</v>
          </cell>
          <cell r="F281">
            <v>0</v>
          </cell>
          <cell r="G281">
            <v>0</v>
          </cell>
          <cell r="H281">
            <v>0</v>
          </cell>
          <cell r="I281">
            <v>0</v>
          </cell>
          <cell r="J281">
            <v>0</v>
          </cell>
          <cell r="K281">
            <v>0</v>
          </cell>
        </row>
        <row r="282">
          <cell r="A282" t="str">
            <v>-</v>
          </cell>
          <cell r="B282" t="str">
            <v>CRED MODALIDAD DOS TIP 30-89 DIAS OTRAS INSTITUCIO,</v>
          </cell>
          <cell r="C282">
            <v>0</v>
          </cell>
          <cell r="D282">
            <v>0</v>
          </cell>
          <cell r="E282">
            <v>0</v>
          </cell>
          <cell r="F282">
            <v>0</v>
          </cell>
          <cell r="G282">
            <v>0</v>
          </cell>
          <cell r="H282">
            <v>0</v>
          </cell>
          <cell r="I282">
            <v>0</v>
          </cell>
          <cell r="J282">
            <v>0</v>
          </cell>
          <cell r="K282">
            <v>0</v>
          </cell>
        </row>
        <row r="283">
          <cell r="A283" t="str">
            <v>-</v>
          </cell>
          <cell r="B283" t="str">
            <v xml:space="preserve">C PARA CONSTITUIR RESERVA TECNICA OTRAS INSTITUCIO, </v>
          </cell>
          <cell r="C283">
            <v>0</v>
          </cell>
          <cell r="D283">
            <v>0</v>
          </cell>
          <cell r="E283">
            <v>0</v>
          </cell>
          <cell r="F283">
            <v>0</v>
          </cell>
          <cell r="G283">
            <v>0</v>
          </cell>
          <cell r="H283">
            <v>0</v>
          </cell>
          <cell r="I283">
            <v>0</v>
          </cell>
          <cell r="J283">
            <v>0</v>
          </cell>
          <cell r="K283">
            <v>0</v>
          </cell>
        </row>
        <row r="284">
          <cell r="A284" t="str">
            <v>-</v>
          </cell>
          <cell r="B284" t="str">
            <v xml:space="preserve">COBRAR S/L/C PARA CONSTITUIR RESERVA TECNICA OTS I, </v>
          </cell>
          <cell r="C284">
            <v>0</v>
          </cell>
          <cell r="D284">
            <v>0</v>
          </cell>
          <cell r="E284">
            <v>0</v>
          </cell>
          <cell r="F284">
            <v>0</v>
          </cell>
          <cell r="G284">
            <v>0</v>
          </cell>
          <cell r="H284">
            <v>0</v>
          </cell>
          <cell r="I284">
            <v>0</v>
          </cell>
          <cell r="J284">
            <v>0</v>
          </cell>
          <cell r="K284">
            <v>0</v>
          </cell>
        </row>
        <row r="285">
          <cell r="A285" t="str">
            <v>12JHNZN</v>
          </cell>
          <cell r="B285" t="str">
            <v xml:space="preserve">CREDITO INSA SA EN LIQUIDACION ACDO 1792, </v>
          </cell>
          <cell r="C285">
            <v>0</v>
          </cell>
          <cell r="D285">
            <v>0</v>
          </cell>
          <cell r="E285">
            <v>0</v>
          </cell>
          <cell r="F285">
            <v>0</v>
          </cell>
          <cell r="G285">
            <v>0</v>
          </cell>
          <cell r="H285">
            <v>0</v>
          </cell>
          <cell r="I285">
            <v>0</v>
          </cell>
          <cell r="J285">
            <v>0</v>
          </cell>
          <cell r="K285">
            <v>0</v>
          </cell>
        </row>
        <row r="286">
          <cell r="A286" t="str">
            <v>12JINZN</v>
          </cell>
          <cell r="B286" t="str">
            <v>REAJ.P.COBRAR S/CRED.INSA SA EN LIQUIDAC.ACDO.1792,</v>
          </cell>
          <cell r="C286">
            <v>0</v>
          </cell>
          <cell r="D286">
            <v>0</v>
          </cell>
          <cell r="E286">
            <v>0</v>
          </cell>
          <cell r="F286">
            <v>0</v>
          </cell>
          <cell r="G286">
            <v>0</v>
          </cell>
          <cell r="H286">
            <v>0</v>
          </cell>
          <cell r="I286">
            <v>0</v>
          </cell>
          <cell r="J286">
            <v>0</v>
          </cell>
          <cell r="K286">
            <v>0</v>
          </cell>
        </row>
        <row r="287">
          <cell r="A287" t="str">
            <v>12JQNZN</v>
          </cell>
          <cell r="B287" t="str">
            <v>L/C LIC.CARTERA HIPOT.ANAP ACDO.1901 O.INST</v>
          </cell>
          <cell r="C287">
            <v>0</v>
          </cell>
          <cell r="D287">
            <v>0</v>
          </cell>
          <cell r="E287">
            <v>0</v>
          </cell>
          <cell r="F287">
            <v>0</v>
          </cell>
          <cell r="G287">
            <v>0</v>
          </cell>
          <cell r="H287">
            <v>0</v>
          </cell>
          <cell r="I287">
            <v>0</v>
          </cell>
          <cell r="J287">
            <v>0</v>
          </cell>
          <cell r="K287">
            <v>0</v>
          </cell>
        </row>
        <row r="288">
          <cell r="A288" t="str">
            <v>12JRNZN</v>
          </cell>
          <cell r="B288" t="str">
            <v>REAJ.P/COB.L/C LIC.CARTERA HIP.ANAP AC.1901 O.INS,</v>
          </cell>
          <cell r="C288">
            <v>0</v>
          </cell>
          <cell r="D288">
            <v>0</v>
          </cell>
          <cell r="E288">
            <v>0</v>
          </cell>
          <cell r="F288">
            <v>0</v>
          </cell>
          <cell r="G288">
            <v>0</v>
          </cell>
          <cell r="H288">
            <v>0</v>
          </cell>
          <cell r="I288">
            <v>0</v>
          </cell>
          <cell r="J288">
            <v>0</v>
          </cell>
          <cell r="K288">
            <v>0</v>
          </cell>
        </row>
        <row r="289">
          <cell r="A289" t="str">
            <v>12JWNZN</v>
          </cell>
          <cell r="B289" t="str">
            <v xml:space="preserve">LIQUIDACION SINAP LEY 18900 </v>
          </cell>
          <cell r="C289">
            <v>365253</v>
          </cell>
          <cell r="D289">
            <v>366445</v>
          </cell>
          <cell r="E289">
            <v>370127</v>
          </cell>
          <cell r="F289">
            <v>375520</v>
          </cell>
          <cell r="G289">
            <v>378139</v>
          </cell>
          <cell r="H289">
            <v>378503</v>
          </cell>
          <cell r="I289">
            <v>379624</v>
          </cell>
          <cell r="J289">
            <v>380931</v>
          </cell>
          <cell r="K289">
            <v>382875</v>
          </cell>
        </row>
        <row r="290">
          <cell r="A290" t="str">
            <v>12JZNZN</v>
          </cell>
          <cell r="B290" t="str">
            <v>PACTO RETROVENTA OTRAS INSTITUC.,</v>
          </cell>
          <cell r="C290">
            <v>0</v>
          </cell>
          <cell r="D290">
            <v>0</v>
          </cell>
          <cell r="E290">
            <v>0</v>
          </cell>
          <cell r="F290">
            <v>0</v>
          </cell>
          <cell r="G290">
            <v>0</v>
          </cell>
          <cell r="H290">
            <v>0</v>
          </cell>
          <cell r="I290">
            <v>0</v>
          </cell>
          <cell r="J290">
            <v>0</v>
          </cell>
          <cell r="K290">
            <v>0</v>
          </cell>
        </row>
        <row r="291">
          <cell r="A291" t="str">
            <v>12JYNZN</v>
          </cell>
          <cell r="B291" t="str">
            <v>SALDO DE PRECIO LEY N| 19.396</v>
          </cell>
          <cell r="C291">
            <v>0</v>
          </cell>
          <cell r="D291">
            <v>0</v>
          </cell>
          <cell r="E291">
            <v>0</v>
          </cell>
          <cell r="F291">
            <v>0</v>
          </cell>
          <cell r="G291">
            <v>0</v>
          </cell>
          <cell r="H291">
            <v>0</v>
          </cell>
          <cell r="I291">
            <v>0</v>
          </cell>
          <cell r="J291">
            <v>0</v>
          </cell>
          <cell r="K291">
            <v>0</v>
          </cell>
        </row>
        <row r="292">
          <cell r="A292" t="str">
            <v>12BCXZN</v>
          </cell>
          <cell r="B292" t="str">
            <v xml:space="preserve">  .CRÉDITO INTERNO M/E</v>
          </cell>
          <cell r="C292">
            <v>13324</v>
          </cell>
          <cell r="D292">
            <v>13671</v>
          </cell>
          <cell r="E292">
            <v>13198</v>
          </cell>
          <cell r="F292">
            <v>12824</v>
          </cell>
          <cell r="G292">
            <v>12987</v>
          </cell>
          <cell r="H292">
            <v>12501</v>
          </cell>
          <cell r="I292">
            <v>12646</v>
          </cell>
          <cell r="J292">
            <v>12499</v>
          </cell>
          <cell r="K292">
            <v>11937</v>
          </cell>
        </row>
        <row r="293">
          <cell r="A293" t="str">
            <v>12KEEZN</v>
          </cell>
          <cell r="B293" t="str">
            <v xml:space="preserve">ACCIONES  BIRF  </v>
          </cell>
          <cell r="C293">
            <v>0</v>
          </cell>
          <cell r="D293">
            <v>0</v>
          </cell>
          <cell r="E293">
            <v>0</v>
          </cell>
          <cell r="F293">
            <v>0</v>
          </cell>
          <cell r="G293">
            <v>0</v>
          </cell>
          <cell r="H293">
            <v>0</v>
          </cell>
          <cell r="I293">
            <v>0</v>
          </cell>
          <cell r="J293">
            <v>0</v>
          </cell>
          <cell r="K293">
            <v>0</v>
          </cell>
        </row>
        <row r="294">
          <cell r="A294" t="str">
            <v>12KDEZN</v>
          </cell>
          <cell r="B294" t="str">
            <v xml:space="preserve">ACCIONES  CFI   </v>
          </cell>
          <cell r="C294">
            <v>0</v>
          </cell>
          <cell r="D294">
            <v>0</v>
          </cell>
          <cell r="E294">
            <v>0</v>
          </cell>
          <cell r="F294">
            <v>0</v>
          </cell>
          <cell r="G294">
            <v>0</v>
          </cell>
          <cell r="H294">
            <v>0</v>
          </cell>
          <cell r="I294">
            <v>0</v>
          </cell>
          <cell r="J294">
            <v>0</v>
          </cell>
          <cell r="K294">
            <v>0</v>
          </cell>
        </row>
        <row r="295">
          <cell r="A295" t="str">
            <v>-</v>
          </cell>
          <cell r="B295" t="str">
            <v xml:space="preserve">SUSCRIPCION ACCIONES AIF  </v>
          </cell>
          <cell r="C295">
            <v>0</v>
          </cell>
          <cell r="D295">
            <v>0</v>
          </cell>
          <cell r="E295">
            <v>0</v>
          </cell>
          <cell r="F295">
            <v>0</v>
          </cell>
          <cell r="G295">
            <v>0</v>
          </cell>
          <cell r="H295">
            <v>0</v>
          </cell>
          <cell r="I295">
            <v>0</v>
          </cell>
          <cell r="J295">
            <v>0</v>
          </cell>
          <cell r="K295">
            <v>0</v>
          </cell>
        </row>
        <row r="296">
          <cell r="A296" t="str">
            <v>-</v>
          </cell>
          <cell r="B296" t="str">
            <v xml:space="preserve">SUSCRIP.ACCIONES DL 2085 </v>
          </cell>
          <cell r="C296">
            <v>0</v>
          </cell>
          <cell r="D296">
            <v>0</v>
          </cell>
          <cell r="E296">
            <v>0</v>
          </cell>
          <cell r="F296">
            <v>0</v>
          </cell>
          <cell r="G296">
            <v>0</v>
          </cell>
          <cell r="H296">
            <v>0</v>
          </cell>
          <cell r="I296">
            <v>0</v>
          </cell>
          <cell r="J296">
            <v>0</v>
          </cell>
          <cell r="K296">
            <v>0</v>
          </cell>
        </row>
        <row r="297">
          <cell r="A297" t="str">
            <v>12ABEZN</v>
          </cell>
          <cell r="B297" t="str">
            <v>LIN.CRED.FISCO-PLANE TESOR.</v>
          </cell>
          <cell r="C297">
            <v>0</v>
          </cell>
          <cell r="D297">
            <v>0</v>
          </cell>
          <cell r="E297">
            <v>0</v>
          </cell>
          <cell r="F297">
            <v>0</v>
          </cell>
          <cell r="G297">
            <v>0</v>
          </cell>
          <cell r="H297">
            <v>0</v>
          </cell>
          <cell r="I297">
            <v>0</v>
          </cell>
          <cell r="J297">
            <v>0</v>
          </cell>
          <cell r="K297">
            <v>0</v>
          </cell>
        </row>
        <row r="298">
          <cell r="A298" t="str">
            <v>12ACEZN</v>
          </cell>
          <cell r="B298" t="str">
            <v>CONSOL.DEUDA FISCO.OTR.SP</v>
          </cell>
          <cell r="C298">
            <v>0</v>
          </cell>
          <cell r="D298">
            <v>0</v>
          </cell>
          <cell r="E298">
            <v>0</v>
          </cell>
          <cell r="F298">
            <v>0</v>
          </cell>
          <cell r="G298">
            <v>0</v>
          </cell>
          <cell r="H298">
            <v>0</v>
          </cell>
          <cell r="I298">
            <v>0</v>
          </cell>
          <cell r="J298">
            <v>0</v>
          </cell>
          <cell r="K298">
            <v>0</v>
          </cell>
        </row>
        <row r="299">
          <cell r="A299" t="str">
            <v>12ADEZN</v>
          </cell>
          <cell r="B299" t="str">
            <v>PRESTAMOS AL FISCO</v>
          </cell>
          <cell r="C299">
            <v>0</v>
          </cell>
          <cell r="D299">
            <v>0</v>
          </cell>
          <cell r="E299">
            <v>0</v>
          </cell>
          <cell r="F299">
            <v>0</v>
          </cell>
          <cell r="G299">
            <v>0</v>
          </cell>
          <cell r="H299">
            <v>0</v>
          </cell>
          <cell r="I299">
            <v>0</v>
          </cell>
          <cell r="J299">
            <v>0</v>
          </cell>
          <cell r="K299">
            <v>0</v>
          </cell>
        </row>
        <row r="300">
          <cell r="A300" t="str">
            <v>12AFEZN</v>
          </cell>
          <cell r="B300" t="str">
            <v>PAGO CTA-RENEG.DEUDA EXTER.</v>
          </cell>
          <cell r="C300">
            <v>0</v>
          </cell>
          <cell r="D300">
            <v>0</v>
          </cell>
          <cell r="E300">
            <v>0</v>
          </cell>
          <cell r="F300">
            <v>0</v>
          </cell>
          <cell r="G300">
            <v>0</v>
          </cell>
          <cell r="H300">
            <v>0</v>
          </cell>
          <cell r="I300">
            <v>0</v>
          </cell>
          <cell r="J300">
            <v>0</v>
          </cell>
          <cell r="K300">
            <v>0</v>
          </cell>
        </row>
        <row r="301">
          <cell r="A301" t="str">
            <v>12HREZN</v>
          </cell>
          <cell r="B301" t="str">
            <v xml:space="preserve">LETRAS DE CREDITO CON GARANTIA ESTATAL FINAN.DAVEN, </v>
          </cell>
          <cell r="C301">
            <v>0</v>
          </cell>
          <cell r="D301">
            <v>0</v>
          </cell>
          <cell r="E301">
            <v>0</v>
          </cell>
          <cell r="F301">
            <v>0</v>
          </cell>
          <cell r="G301">
            <v>0</v>
          </cell>
          <cell r="H301">
            <v>0</v>
          </cell>
          <cell r="I301">
            <v>0</v>
          </cell>
          <cell r="J301">
            <v>0</v>
          </cell>
          <cell r="K301">
            <v>0</v>
          </cell>
        </row>
        <row r="302">
          <cell r="A302" t="str">
            <v>-</v>
          </cell>
          <cell r="B302" t="str">
            <v xml:space="preserve">REAJ.P/COBRAR LTS.CRED.C.GAR.ESTATAL FINANC.DAVENS, </v>
          </cell>
          <cell r="C302">
            <v>0</v>
          </cell>
          <cell r="D302">
            <v>0</v>
          </cell>
          <cell r="E302">
            <v>0</v>
          </cell>
          <cell r="F302">
            <v>0</v>
          </cell>
          <cell r="G302">
            <v>0</v>
          </cell>
          <cell r="H302">
            <v>0</v>
          </cell>
          <cell r="I302">
            <v>0</v>
          </cell>
          <cell r="J302">
            <v>0</v>
          </cell>
          <cell r="K302">
            <v>0</v>
          </cell>
        </row>
        <row r="303">
          <cell r="A303" t="str">
            <v>-</v>
          </cell>
          <cell r="B303" t="str">
            <v>BONOS BANCARIOS AC.1475 CON GARANTIA ESTATAL</v>
          </cell>
          <cell r="C303">
            <v>0</v>
          </cell>
          <cell r="D303">
            <v>0</v>
          </cell>
          <cell r="E303">
            <v>0</v>
          </cell>
          <cell r="F303">
            <v>0</v>
          </cell>
          <cell r="G303">
            <v>0</v>
          </cell>
          <cell r="H303">
            <v>0</v>
          </cell>
          <cell r="I303">
            <v>0</v>
          </cell>
          <cell r="J303">
            <v>0</v>
          </cell>
          <cell r="K303">
            <v>0</v>
          </cell>
        </row>
        <row r="304">
          <cell r="A304" t="str">
            <v>-</v>
          </cell>
          <cell r="B304" t="str">
            <v>REAJ.P/COBRAR B.BANCARIOS AC.1475 CON,</v>
          </cell>
          <cell r="C304">
            <v>0</v>
          </cell>
          <cell r="D304">
            <v>0</v>
          </cell>
          <cell r="E304">
            <v>0</v>
          </cell>
          <cell r="F304">
            <v>0</v>
          </cell>
          <cell r="G304">
            <v>0</v>
          </cell>
          <cell r="H304">
            <v>0</v>
          </cell>
          <cell r="I304">
            <v>0</v>
          </cell>
          <cell r="J304">
            <v>0</v>
          </cell>
          <cell r="K304">
            <v>0</v>
          </cell>
        </row>
        <row r="305">
          <cell r="A305" t="str">
            <v>13CAEZN</v>
          </cell>
          <cell r="B305" t="str">
            <v>PTMOS.P/IMPORT.INST.SEMIFISC.</v>
          </cell>
          <cell r="C305">
            <v>1039</v>
          </cell>
          <cell r="D305">
            <v>1065</v>
          </cell>
          <cell r="E305">
            <v>1030</v>
          </cell>
          <cell r="F305">
            <v>1025</v>
          </cell>
          <cell r="G305">
            <v>1108</v>
          </cell>
          <cell r="H305">
            <v>837</v>
          </cell>
          <cell r="I305">
            <v>841</v>
          </cell>
          <cell r="J305">
            <v>799</v>
          </cell>
          <cell r="K305">
            <v>810</v>
          </cell>
        </row>
        <row r="306">
          <cell r="A306" t="str">
            <v>12BIEZN</v>
          </cell>
          <cell r="B306" t="str">
            <v>L/C CONVENIO BID INSTIT.SEMIFISCALES</v>
          </cell>
          <cell r="C306">
            <v>0</v>
          </cell>
          <cell r="D306">
            <v>0</v>
          </cell>
          <cell r="E306">
            <v>0</v>
          </cell>
          <cell r="F306">
            <v>0</v>
          </cell>
          <cell r="G306">
            <v>0</v>
          </cell>
          <cell r="H306">
            <v>0</v>
          </cell>
          <cell r="I306">
            <v>0</v>
          </cell>
          <cell r="J306">
            <v>0</v>
          </cell>
          <cell r="K306">
            <v>0</v>
          </cell>
        </row>
        <row r="307">
          <cell r="A307" t="str">
            <v>-</v>
          </cell>
          <cell r="B307" t="str">
            <v>CRED.CAJA.CTRL.DL.2824</v>
          </cell>
          <cell r="C307">
            <v>0</v>
          </cell>
          <cell r="D307">
            <v>0</v>
          </cell>
          <cell r="E307">
            <v>0</v>
          </cell>
          <cell r="F307">
            <v>0</v>
          </cell>
          <cell r="G307">
            <v>0</v>
          </cell>
          <cell r="H307">
            <v>0</v>
          </cell>
          <cell r="I307">
            <v>0</v>
          </cell>
          <cell r="J307">
            <v>0</v>
          </cell>
          <cell r="K307">
            <v>0</v>
          </cell>
        </row>
        <row r="308">
          <cell r="A308" t="str">
            <v>-</v>
          </cell>
          <cell r="B308" t="str">
            <v xml:space="preserve">L/C CAJA CENTRAL DL.2824 </v>
          </cell>
          <cell r="C308">
            <v>0</v>
          </cell>
          <cell r="D308">
            <v>0</v>
          </cell>
          <cell r="E308">
            <v>0</v>
          </cell>
          <cell r="F308">
            <v>0</v>
          </cell>
          <cell r="G308">
            <v>0</v>
          </cell>
          <cell r="H308">
            <v>0</v>
          </cell>
          <cell r="I308">
            <v>0</v>
          </cell>
          <cell r="J308">
            <v>0</v>
          </cell>
          <cell r="K308">
            <v>0</v>
          </cell>
        </row>
        <row r="309">
          <cell r="A309" t="str">
            <v>12DGEZN</v>
          </cell>
          <cell r="B309" t="str">
            <v xml:space="preserve">CRED.AREA SOC.ADM.DELEG. </v>
          </cell>
          <cell r="C309">
            <v>0</v>
          </cell>
          <cell r="D309">
            <v>0</v>
          </cell>
          <cell r="E309">
            <v>0</v>
          </cell>
          <cell r="F309">
            <v>0</v>
          </cell>
          <cell r="G309">
            <v>0</v>
          </cell>
          <cell r="H309">
            <v>0</v>
          </cell>
          <cell r="I309">
            <v>0</v>
          </cell>
          <cell r="J309">
            <v>0</v>
          </cell>
          <cell r="K309">
            <v>0</v>
          </cell>
        </row>
        <row r="310">
          <cell r="A310" t="str">
            <v>-</v>
          </cell>
          <cell r="B310" t="str">
            <v xml:space="preserve">DEUD.POR CJE.VHR-CAR SINAP </v>
          </cell>
          <cell r="C310">
            <v>0</v>
          </cell>
          <cell r="D310">
            <v>0</v>
          </cell>
          <cell r="E310">
            <v>0</v>
          </cell>
          <cell r="F310">
            <v>0</v>
          </cell>
          <cell r="G310">
            <v>0</v>
          </cell>
          <cell r="H310">
            <v>0</v>
          </cell>
          <cell r="I310">
            <v>0</v>
          </cell>
          <cell r="J310">
            <v>0</v>
          </cell>
          <cell r="K310">
            <v>0</v>
          </cell>
        </row>
        <row r="311">
          <cell r="A311" t="str">
            <v>-</v>
          </cell>
          <cell r="B311" t="str">
            <v>REAJ P/COBRAR S/CRED AREA SOCIAL EN ADM,</v>
          </cell>
          <cell r="C311">
            <v>0</v>
          </cell>
          <cell r="D311">
            <v>0</v>
          </cell>
          <cell r="E311">
            <v>0</v>
          </cell>
          <cell r="F311">
            <v>0</v>
          </cell>
          <cell r="G311">
            <v>0</v>
          </cell>
          <cell r="H311">
            <v>0</v>
          </cell>
          <cell r="I311">
            <v>0</v>
          </cell>
          <cell r="J311">
            <v>0</v>
          </cell>
          <cell r="K311">
            <v>0</v>
          </cell>
        </row>
        <row r="312">
          <cell r="A312" t="str">
            <v>-</v>
          </cell>
          <cell r="B312" t="str">
            <v>REAJ P/COBRAR S/L C CCAP DL 2824,</v>
          </cell>
          <cell r="C312">
            <v>0</v>
          </cell>
          <cell r="D312">
            <v>0</v>
          </cell>
          <cell r="E312">
            <v>0</v>
          </cell>
          <cell r="F312">
            <v>0</v>
          </cell>
          <cell r="G312">
            <v>0</v>
          </cell>
          <cell r="H312">
            <v>0</v>
          </cell>
          <cell r="I312">
            <v>0</v>
          </cell>
          <cell r="J312">
            <v>0</v>
          </cell>
          <cell r="K312">
            <v>0</v>
          </cell>
        </row>
        <row r="313">
          <cell r="A313" t="str">
            <v>-</v>
          </cell>
          <cell r="B313" t="str">
            <v xml:space="preserve">REAJ P/COBRAR S/DEUDORES CANJE VHR A CAR, </v>
          </cell>
          <cell r="C313">
            <v>0</v>
          </cell>
          <cell r="D313">
            <v>0</v>
          </cell>
          <cell r="E313">
            <v>0</v>
          </cell>
          <cell r="F313">
            <v>0</v>
          </cell>
          <cell r="G313">
            <v>0</v>
          </cell>
          <cell r="H313">
            <v>0</v>
          </cell>
          <cell r="I313">
            <v>0</v>
          </cell>
          <cell r="J313">
            <v>0</v>
          </cell>
          <cell r="K313">
            <v>0</v>
          </cell>
        </row>
        <row r="314">
          <cell r="A314" t="str">
            <v>-</v>
          </cell>
          <cell r="B314" t="str">
            <v xml:space="preserve">LC.PROGRAM.ORG.INTERN. INST.SEMIF.AUT.Y OTRAS  </v>
          </cell>
          <cell r="C314">
            <v>0</v>
          </cell>
          <cell r="D314">
            <v>0</v>
          </cell>
          <cell r="E314">
            <v>0</v>
          </cell>
          <cell r="F314">
            <v>0</v>
          </cell>
          <cell r="G314">
            <v>0</v>
          </cell>
          <cell r="H314">
            <v>0</v>
          </cell>
          <cell r="I314">
            <v>0</v>
          </cell>
          <cell r="J314">
            <v>0</v>
          </cell>
          <cell r="K314">
            <v>0</v>
          </cell>
        </row>
        <row r="315">
          <cell r="A315" t="str">
            <v>-</v>
          </cell>
          <cell r="B315" t="str">
            <v>REAJ.P.COBRAR S.LC.PROG.ORG.INT.INST.SEMIF.AUT.</v>
          </cell>
          <cell r="C315">
            <v>0</v>
          </cell>
          <cell r="D315">
            <v>0</v>
          </cell>
          <cell r="E315">
            <v>0</v>
          </cell>
          <cell r="F315">
            <v>0</v>
          </cell>
          <cell r="G315">
            <v>0</v>
          </cell>
          <cell r="H315">
            <v>0</v>
          </cell>
          <cell r="I315">
            <v>0</v>
          </cell>
          <cell r="J315">
            <v>0</v>
          </cell>
          <cell r="K315">
            <v>0</v>
          </cell>
        </row>
        <row r="316">
          <cell r="A316" t="str">
            <v>12EREZN</v>
          </cell>
          <cell r="B316" t="str">
            <v xml:space="preserve">REFINANCIAMIENTO CORFO  </v>
          </cell>
          <cell r="C316">
            <v>0</v>
          </cell>
          <cell r="D316">
            <v>0</v>
          </cell>
          <cell r="E316">
            <v>0</v>
          </cell>
          <cell r="F316">
            <v>0</v>
          </cell>
          <cell r="G316">
            <v>0</v>
          </cell>
          <cell r="H316">
            <v>0</v>
          </cell>
          <cell r="I316">
            <v>0</v>
          </cell>
          <cell r="J316">
            <v>0</v>
          </cell>
          <cell r="K316">
            <v>0</v>
          </cell>
        </row>
        <row r="317">
          <cell r="A317" t="str">
            <v>-</v>
          </cell>
          <cell r="B317" t="str">
            <v xml:space="preserve">REAJ.P.COBRAR S.REFINANC.A CORFO </v>
          </cell>
          <cell r="C317">
            <v>0</v>
          </cell>
          <cell r="D317">
            <v>0</v>
          </cell>
          <cell r="E317">
            <v>0</v>
          </cell>
          <cell r="F317">
            <v>0</v>
          </cell>
          <cell r="G317">
            <v>0</v>
          </cell>
          <cell r="H317">
            <v>0</v>
          </cell>
          <cell r="I317">
            <v>0</v>
          </cell>
          <cell r="J317">
            <v>0</v>
          </cell>
          <cell r="K317">
            <v>0</v>
          </cell>
        </row>
        <row r="318">
          <cell r="A318" t="str">
            <v>12BEEZN</v>
          </cell>
          <cell r="B318" t="str">
            <v xml:space="preserve">PAGARES CORFO ACDO.1045 </v>
          </cell>
          <cell r="C318">
            <v>0</v>
          </cell>
          <cell r="D318">
            <v>0</v>
          </cell>
          <cell r="E318">
            <v>0</v>
          </cell>
          <cell r="F318">
            <v>0</v>
          </cell>
          <cell r="G318">
            <v>0</v>
          </cell>
          <cell r="H318">
            <v>0</v>
          </cell>
          <cell r="I318">
            <v>0</v>
          </cell>
          <cell r="J318">
            <v>0</v>
          </cell>
          <cell r="K318">
            <v>0</v>
          </cell>
        </row>
        <row r="319">
          <cell r="A319" t="str">
            <v>-</v>
          </cell>
          <cell r="B319" t="str">
            <v>VALORES POR RECIBIR DE CORFO LEY 18401</v>
          </cell>
          <cell r="C319">
            <v>0</v>
          </cell>
          <cell r="D319">
            <v>0</v>
          </cell>
          <cell r="E319">
            <v>0</v>
          </cell>
          <cell r="F319">
            <v>0</v>
          </cell>
          <cell r="G319">
            <v>0</v>
          </cell>
          <cell r="H319">
            <v>0</v>
          </cell>
          <cell r="I319">
            <v>0</v>
          </cell>
          <cell r="J319">
            <v>0</v>
          </cell>
          <cell r="K319">
            <v>0</v>
          </cell>
        </row>
        <row r="320">
          <cell r="A320" t="str">
            <v>-</v>
          </cell>
          <cell r="B320" t="str">
            <v xml:space="preserve">DEUDORES POR CANJE DE VHR A CAR </v>
          </cell>
          <cell r="C320">
            <v>0</v>
          </cell>
          <cell r="D320">
            <v>0</v>
          </cell>
          <cell r="E320">
            <v>0</v>
          </cell>
          <cell r="F320">
            <v>0</v>
          </cell>
          <cell r="G320">
            <v>0</v>
          </cell>
          <cell r="H320">
            <v>0</v>
          </cell>
          <cell r="I320">
            <v>0</v>
          </cell>
          <cell r="J320">
            <v>0</v>
          </cell>
          <cell r="K320">
            <v>0</v>
          </cell>
        </row>
        <row r="321">
          <cell r="A321" t="str">
            <v>-</v>
          </cell>
          <cell r="B321" t="str">
            <v>GTOS.JUD.Y NOTARIALES L/C TRANSP.CORFO AC 1513</v>
          </cell>
          <cell r="C321">
            <v>0</v>
          </cell>
          <cell r="D321">
            <v>0</v>
          </cell>
          <cell r="E321">
            <v>0</v>
          </cell>
          <cell r="F321">
            <v>0</v>
          </cell>
          <cell r="G321">
            <v>0</v>
          </cell>
          <cell r="H321">
            <v>0</v>
          </cell>
          <cell r="I321">
            <v>0</v>
          </cell>
          <cell r="J321">
            <v>0</v>
          </cell>
          <cell r="K321">
            <v>0</v>
          </cell>
        </row>
        <row r="322">
          <cell r="A322" t="str">
            <v>-</v>
          </cell>
          <cell r="B322" t="str">
            <v>DEUDORES EN CTA.CTE. BCO.DEL ESTADO</v>
          </cell>
          <cell r="C322">
            <v>0</v>
          </cell>
          <cell r="D322">
            <v>0</v>
          </cell>
          <cell r="E322">
            <v>0</v>
          </cell>
          <cell r="F322">
            <v>0</v>
          </cell>
          <cell r="G322">
            <v>0</v>
          </cell>
          <cell r="H322">
            <v>0</v>
          </cell>
          <cell r="I322">
            <v>0</v>
          </cell>
          <cell r="J322">
            <v>0</v>
          </cell>
          <cell r="K322">
            <v>0</v>
          </cell>
        </row>
        <row r="323">
          <cell r="A323" t="str">
            <v>-</v>
          </cell>
          <cell r="B323" t="str">
            <v xml:space="preserve">PTMO.P/IMPORT.AUTOS P/LISIADOS-BCO.ESTADO </v>
          </cell>
          <cell r="C323">
            <v>0</v>
          </cell>
          <cell r="D323">
            <v>0</v>
          </cell>
          <cell r="E323">
            <v>0</v>
          </cell>
          <cell r="F323">
            <v>0</v>
          </cell>
          <cell r="G323">
            <v>0</v>
          </cell>
          <cell r="H323">
            <v>0</v>
          </cell>
          <cell r="I323">
            <v>0</v>
          </cell>
          <cell r="J323">
            <v>0</v>
          </cell>
          <cell r="K323">
            <v>0</v>
          </cell>
        </row>
        <row r="324">
          <cell r="A324" t="str">
            <v>-</v>
          </cell>
          <cell r="B324" t="str">
            <v>REFINANC.REAJUST.BCO.ESTADO</v>
          </cell>
          <cell r="C324">
            <v>0</v>
          </cell>
          <cell r="D324">
            <v>0</v>
          </cell>
          <cell r="E324">
            <v>0</v>
          </cell>
          <cell r="F324">
            <v>0</v>
          </cell>
          <cell r="G324">
            <v>0</v>
          </cell>
          <cell r="H324">
            <v>0</v>
          </cell>
          <cell r="I324">
            <v>0</v>
          </cell>
          <cell r="J324">
            <v>0</v>
          </cell>
          <cell r="K324">
            <v>0</v>
          </cell>
        </row>
        <row r="325">
          <cell r="A325" t="str">
            <v>12FHEZN</v>
          </cell>
          <cell r="B325" t="str">
            <v xml:space="preserve">REFINANC.BCOS ESTADO </v>
          </cell>
          <cell r="C325">
            <v>0</v>
          </cell>
          <cell r="D325">
            <v>0</v>
          </cell>
          <cell r="E325">
            <v>0</v>
          </cell>
          <cell r="F325">
            <v>0</v>
          </cell>
          <cell r="G325">
            <v>0</v>
          </cell>
          <cell r="H325">
            <v>0</v>
          </cell>
          <cell r="I325">
            <v>0</v>
          </cell>
          <cell r="J325">
            <v>0</v>
          </cell>
          <cell r="K325">
            <v>0</v>
          </cell>
        </row>
        <row r="326">
          <cell r="A326" t="str">
            <v>12FIEZN</v>
          </cell>
          <cell r="B326" t="str">
            <v>PRESTAMOS PARA IMPORTACIONES BCO.DEL ESTADO,</v>
          </cell>
          <cell r="C326">
            <v>0</v>
          </cell>
          <cell r="D326">
            <v>0</v>
          </cell>
          <cell r="E326">
            <v>0</v>
          </cell>
          <cell r="F326">
            <v>0</v>
          </cell>
          <cell r="G326">
            <v>0</v>
          </cell>
          <cell r="H326">
            <v>0</v>
          </cell>
          <cell r="I326">
            <v>0</v>
          </cell>
          <cell r="J326">
            <v>0</v>
          </cell>
          <cell r="K326">
            <v>0</v>
          </cell>
        </row>
        <row r="327">
          <cell r="A327" t="str">
            <v>12MMEZN</v>
          </cell>
          <cell r="B327" t="str">
            <v xml:space="preserve">LINEA DE CREDITO DE LIQUIDEZ BECH </v>
          </cell>
          <cell r="C327">
            <v>0</v>
          </cell>
          <cell r="D327">
            <v>0</v>
          </cell>
          <cell r="E327">
            <v>0</v>
          </cell>
          <cell r="F327">
            <v>0</v>
          </cell>
          <cell r="G327">
            <v>0</v>
          </cell>
          <cell r="H327">
            <v>0</v>
          </cell>
          <cell r="I327">
            <v>0</v>
          </cell>
          <cell r="J327">
            <v>0</v>
          </cell>
          <cell r="K327">
            <v>0</v>
          </cell>
        </row>
        <row r="328">
          <cell r="A328" t="str">
            <v>-</v>
          </cell>
          <cell r="B328" t="str">
            <v xml:space="preserve">REFIN.CRED.XI REG.B.ESTADO </v>
          </cell>
          <cell r="C328">
            <v>0</v>
          </cell>
          <cell r="D328">
            <v>0</v>
          </cell>
          <cell r="E328">
            <v>0</v>
          </cell>
          <cell r="F328">
            <v>0</v>
          </cell>
          <cell r="G328">
            <v>0</v>
          </cell>
          <cell r="H328">
            <v>0</v>
          </cell>
          <cell r="I328">
            <v>0</v>
          </cell>
          <cell r="J328">
            <v>0</v>
          </cell>
          <cell r="K328">
            <v>0</v>
          </cell>
        </row>
        <row r="329">
          <cell r="A329" t="str">
            <v>-</v>
          </cell>
          <cell r="B329" t="str">
            <v>REAJ P/COBRAR S/REFIN REAJ BCO ESTADO</v>
          </cell>
          <cell r="C329">
            <v>0</v>
          </cell>
          <cell r="D329">
            <v>0</v>
          </cell>
          <cell r="E329">
            <v>0</v>
          </cell>
          <cell r="F329">
            <v>0</v>
          </cell>
          <cell r="G329">
            <v>0</v>
          </cell>
          <cell r="H329">
            <v>0</v>
          </cell>
          <cell r="I329">
            <v>0</v>
          </cell>
          <cell r="J329">
            <v>0</v>
          </cell>
          <cell r="K329">
            <v>0</v>
          </cell>
        </row>
        <row r="330">
          <cell r="A330" t="str">
            <v>-</v>
          </cell>
          <cell r="B330" t="str">
            <v xml:space="preserve">LC.PROGRAM.ORG.INTERNACIONALES BCO. ESTADO  </v>
          </cell>
          <cell r="C330">
            <v>0</v>
          </cell>
          <cell r="D330">
            <v>0</v>
          </cell>
          <cell r="E330">
            <v>0</v>
          </cell>
          <cell r="F330">
            <v>0</v>
          </cell>
          <cell r="G330">
            <v>0</v>
          </cell>
          <cell r="H330">
            <v>0</v>
          </cell>
          <cell r="I330">
            <v>0</v>
          </cell>
          <cell r="J330">
            <v>0</v>
          </cell>
          <cell r="K330">
            <v>0</v>
          </cell>
        </row>
        <row r="331">
          <cell r="A331" t="str">
            <v>-</v>
          </cell>
          <cell r="B331" t="str">
            <v xml:space="preserve">REAJ.P.COBRAR S.LC.PROG.ORG.INTER.BCO. ESTADO </v>
          </cell>
          <cell r="C331">
            <v>0</v>
          </cell>
          <cell r="D331">
            <v>0</v>
          </cell>
          <cell r="E331">
            <v>0</v>
          </cell>
          <cell r="F331">
            <v>0</v>
          </cell>
          <cell r="G331">
            <v>0</v>
          </cell>
          <cell r="H331">
            <v>0</v>
          </cell>
          <cell r="I331">
            <v>0</v>
          </cell>
          <cell r="J331">
            <v>0</v>
          </cell>
          <cell r="K331">
            <v>0</v>
          </cell>
        </row>
        <row r="332">
          <cell r="A332" t="str">
            <v>-</v>
          </cell>
          <cell r="B332" t="str">
            <v>REAJ P/COBRAR S/L C XI REGION BCO ESTADO</v>
          </cell>
          <cell r="C332">
            <v>0</v>
          </cell>
          <cell r="D332">
            <v>0</v>
          </cell>
          <cell r="E332">
            <v>0</v>
          </cell>
          <cell r="F332">
            <v>0</v>
          </cell>
          <cell r="G332">
            <v>0</v>
          </cell>
          <cell r="H332">
            <v>0</v>
          </cell>
          <cell r="I332">
            <v>0</v>
          </cell>
          <cell r="J332">
            <v>0</v>
          </cell>
          <cell r="K332">
            <v>0</v>
          </cell>
        </row>
        <row r="333">
          <cell r="A333" t="str">
            <v>-</v>
          </cell>
          <cell r="B333" t="str">
            <v xml:space="preserve">PRESTAMOS DE URGENCIA BCO.DEL ESTADO </v>
          </cell>
          <cell r="C333">
            <v>0</v>
          </cell>
          <cell r="D333">
            <v>0</v>
          </cell>
          <cell r="E333">
            <v>0</v>
          </cell>
          <cell r="F333">
            <v>0</v>
          </cell>
          <cell r="G333">
            <v>0</v>
          </cell>
          <cell r="H333">
            <v>0</v>
          </cell>
          <cell r="I333">
            <v>0</v>
          </cell>
          <cell r="J333">
            <v>0</v>
          </cell>
          <cell r="K333">
            <v>0</v>
          </cell>
        </row>
        <row r="334">
          <cell r="A334" t="str">
            <v>12AMEZN</v>
          </cell>
          <cell r="B334" t="str">
            <v>ANTICIPO POR SALDO DE PREC.PAGARE ADQ.BCO.ESTAD.</v>
          </cell>
          <cell r="C334">
            <v>0</v>
          </cell>
          <cell r="D334">
            <v>0</v>
          </cell>
          <cell r="E334">
            <v>0</v>
          </cell>
          <cell r="F334">
            <v>0</v>
          </cell>
          <cell r="G334">
            <v>0</v>
          </cell>
          <cell r="H334">
            <v>0</v>
          </cell>
          <cell r="I334">
            <v>0</v>
          </cell>
          <cell r="J334">
            <v>0</v>
          </cell>
          <cell r="K334">
            <v>0</v>
          </cell>
        </row>
        <row r="335">
          <cell r="A335" t="str">
            <v>-</v>
          </cell>
          <cell r="B335" t="str">
            <v xml:space="preserve">BONOS ADQUIRIDOS A BCO.DEL ESTADO </v>
          </cell>
          <cell r="C335">
            <v>0</v>
          </cell>
          <cell r="D335">
            <v>0</v>
          </cell>
          <cell r="E335">
            <v>0</v>
          </cell>
          <cell r="F335">
            <v>0</v>
          </cell>
          <cell r="G335">
            <v>0</v>
          </cell>
          <cell r="H335">
            <v>0</v>
          </cell>
          <cell r="I335">
            <v>0</v>
          </cell>
          <cell r="J335">
            <v>0</v>
          </cell>
          <cell r="K335">
            <v>0</v>
          </cell>
        </row>
        <row r="336">
          <cell r="A336" t="str">
            <v>-</v>
          </cell>
          <cell r="B336" t="str">
            <v xml:space="preserve">REAJ.P.COBRAR S/BONOS BCO.DEL ESTADO </v>
          </cell>
          <cell r="C336">
            <v>0</v>
          </cell>
          <cell r="D336">
            <v>0</v>
          </cell>
          <cell r="E336">
            <v>0</v>
          </cell>
          <cell r="F336">
            <v>0</v>
          </cell>
          <cell r="G336">
            <v>0</v>
          </cell>
          <cell r="H336">
            <v>0</v>
          </cell>
          <cell r="I336">
            <v>0</v>
          </cell>
          <cell r="J336">
            <v>0</v>
          </cell>
          <cell r="K336">
            <v>0</v>
          </cell>
        </row>
        <row r="337">
          <cell r="A337" t="str">
            <v>12CNEZN</v>
          </cell>
          <cell r="B337" t="str">
            <v xml:space="preserve">LINEA CREDITO A BCO.ESTADO P.CPRA.CARTERA AL 70% </v>
          </cell>
          <cell r="C337">
            <v>0</v>
          </cell>
          <cell r="D337">
            <v>0</v>
          </cell>
          <cell r="E337">
            <v>0</v>
          </cell>
          <cell r="F337">
            <v>0</v>
          </cell>
          <cell r="G337">
            <v>0</v>
          </cell>
          <cell r="H337">
            <v>0</v>
          </cell>
          <cell r="I337">
            <v>0</v>
          </cell>
          <cell r="J337">
            <v>0</v>
          </cell>
          <cell r="K337">
            <v>0</v>
          </cell>
        </row>
        <row r="338">
          <cell r="A338" t="str">
            <v>-</v>
          </cell>
          <cell r="B338" t="str">
            <v xml:space="preserve">DESCUENTOS INSTRUMENTOS FINANCIEROS BCO.DEL ESTADO, </v>
          </cell>
          <cell r="C338">
            <v>0</v>
          </cell>
          <cell r="D338">
            <v>0</v>
          </cell>
          <cell r="E338">
            <v>0</v>
          </cell>
          <cell r="F338">
            <v>0</v>
          </cell>
          <cell r="G338">
            <v>0</v>
          </cell>
          <cell r="H338">
            <v>0</v>
          </cell>
          <cell r="I338">
            <v>0</v>
          </cell>
          <cell r="J338">
            <v>0</v>
          </cell>
          <cell r="K338">
            <v>0</v>
          </cell>
        </row>
        <row r="339">
          <cell r="A339" t="str">
            <v>-</v>
          </cell>
          <cell r="B339" t="str">
            <v xml:space="preserve">DOCUMENTOS CRED.HIPOTEC.ADQ.BCO.ESTADO </v>
          </cell>
          <cell r="C339">
            <v>0</v>
          </cell>
          <cell r="D339">
            <v>0</v>
          </cell>
          <cell r="E339">
            <v>0</v>
          </cell>
          <cell r="F339">
            <v>0</v>
          </cell>
          <cell r="G339">
            <v>0</v>
          </cell>
          <cell r="H339">
            <v>0</v>
          </cell>
          <cell r="I339">
            <v>0</v>
          </cell>
          <cell r="J339">
            <v>0</v>
          </cell>
          <cell r="K339">
            <v>0</v>
          </cell>
        </row>
        <row r="340">
          <cell r="A340" t="str">
            <v>-</v>
          </cell>
          <cell r="B340" t="str">
            <v>REAJ.P.COB.S.CPRA.DOC.CRED.HIPOT.ADQ.BCO.ESTADO</v>
          </cell>
          <cell r="C340">
            <v>0</v>
          </cell>
          <cell r="D340">
            <v>0</v>
          </cell>
          <cell r="E340">
            <v>0</v>
          </cell>
          <cell r="F340">
            <v>0</v>
          </cell>
          <cell r="G340">
            <v>0</v>
          </cell>
          <cell r="H340">
            <v>0</v>
          </cell>
          <cell r="I340">
            <v>0</v>
          </cell>
          <cell r="J340">
            <v>0</v>
          </cell>
          <cell r="K340">
            <v>0</v>
          </cell>
        </row>
        <row r="341">
          <cell r="A341" t="str">
            <v>-</v>
          </cell>
          <cell r="B341" t="str">
            <v xml:space="preserve">REAJ.P.COB.S.LC.BCO.ESTADO P.CPRA.CARTERA 70 %  </v>
          </cell>
          <cell r="C341">
            <v>0</v>
          </cell>
          <cell r="D341">
            <v>0</v>
          </cell>
          <cell r="E341">
            <v>0</v>
          </cell>
          <cell r="F341">
            <v>0</v>
          </cell>
          <cell r="G341">
            <v>0</v>
          </cell>
          <cell r="H341">
            <v>0</v>
          </cell>
          <cell r="I341">
            <v>0</v>
          </cell>
          <cell r="J341">
            <v>0</v>
          </cell>
          <cell r="K341">
            <v>0</v>
          </cell>
        </row>
        <row r="342">
          <cell r="A342" t="str">
            <v>12CPEZN</v>
          </cell>
          <cell r="B342" t="str">
            <v xml:space="preserve">ANTIC.DE CRED.AL SISTEMA FINANCIERO BECH </v>
          </cell>
          <cell r="C342">
            <v>0</v>
          </cell>
          <cell r="D342">
            <v>0</v>
          </cell>
          <cell r="E342">
            <v>0</v>
          </cell>
          <cell r="F342">
            <v>0</v>
          </cell>
          <cell r="G342">
            <v>0</v>
          </cell>
          <cell r="H342">
            <v>0</v>
          </cell>
          <cell r="I342">
            <v>0</v>
          </cell>
          <cell r="J342">
            <v>0</v>
          </cell>
          <cell r="K342">
            <v>0</v>
          </cell>
        </row>
        <row r="343">
          <cell r="A343" t="str">
            <v>12CVEZN</v>
          </cell>
          <cell r="B343" t="str">
            <v xml:space="preserve">L.CREDITO.P.REPROGRAMACION DEUDAS BCO.ESTADO </v>
          </cell>
          <cell r="C343">
            <v>0</v>
          </cell>
          <cell r="D343">
            <v>0</v>
          </cell>
          <cell r="E343">
            <v>0</v>
          </cell>
          <cell r="F343">
            <v>0</v>
          </cell>
          <cell r="G343">
            <v>0</v>
          </cell>
          <cell r="H343">
            <v>0</v>
          </cell>
          <cell r="I343">
            <v>0</v>
          </cell>
          <cell r="J343">
            <v>0</v>
          </cell>
          <cell r="K343">
            <v>0</v>
          </cell>
        </row>
        <row r="344">
          <cell r="A344" t="str">
            <v>-</v>
          </cell>
          <cell r="B344" t="str">
            <v xml:space="preserve">REAJ.P.COB.S.LC.P.REPROGRAM.DEUDAS BCO.ESTADO </v>
          </cell>
          <cell r="C344">
            <v>0</v>
          </cell>
          <cell r="D344">
            <v>0</v>
          </cell>
          <cell r="E344">
            <v>0</v>
          </cell>
          <cell r="F344">
            <v>0</v>
          </cell>
          <cell r="G344">
            <v>0</v>
          </cell>
          <cell r="H344">
            <v>0</v>
          </cell>
          <cell r="I344">
            <v>0</v>
          </cell>
          <cell r="J344">
            <v>0</v>
          </cell>
          <cell r="K344">
            <v>0</v>
          </cell>
        </row>
        <row r="345">
          <cell r="A345" t="str">
            <v>-</v>
          </cell>
          <cell r="B345" t="str">
            <v>REAJ.P..COB.S.DESC.INST.FINANC.BCO.DEL ESTADO</v>
          </cell>
          <cell r="C345">
            <v>0</v>
          </cell>
          <cell r="D345">
            <v>0</v>
          </cell>
          <cell r="E345">
            <v>0</v>
          </cell>
          <cell r="F345">
            <v>0</v>
          </cell>
          <cell r="G345">
            <v>0</v>
          </cell>
          <cell r="H345">
            <v>0</v>
          </cell>
          <cell r="I345">
            <v>0</v>
          </cell>
          <cell r="J345">
            <v>0</v>
          </cell>
          <cell r="K345">
            <v>0</v>
          </cell>
        </row>
        <row r="346">
          <cell r="A346" t="str">
            <v>-</v>
          </cell>
          <cell r="B346" t="str">
            <v xml:space="preserve">LINEA DE CREDITO DE CORTO PLAZO A BANCO DEL ESTADO, </v>
          </cell>
          <cell r="C346">
            <v>0</v>
          </cell>
          <cell r="D346">
            <v>0</v>
          </cell>
          <cell r="E346">
            <v>0</v>
          </cell>
          <cell r="F346">
            <v>0</v>
          </cell>
          <cell r="G346">
            <v>0</v>
          </cell>
          <cell r="H346">
            <v>0</v>
          </cell>
          <cell r="I346">
            <v>0</v>
          </cell>
          <cell r="J346">
            <v>0</v>
          </cell>
          <cell r="K346">
            <v>0</v>
          </cell>
        </row>
        <row r="347">
          <cell r="A347" t="str">
            <v>-</v>
          </cell>
          <cell r="B347" t="str">
            <v>COBRAR S/L/C DE CORTO PLAZO BANCO DEL ESTADO</v>
          </cell>
          <cell r="C347">
            <v>0</v>
          </cell>
          <cell r="D347">
            <v>0</v>
          </cell>
          <cell r="E347">
            <v>0</v>
          </cell>
          <cell r="F347">
            <v>0</v>
          </cell>
          <cell r="G347">
            <v>0</v>
          </cell>
          <cell r="H347">
            <v>0</v>
          </cell>
          <cell r="I347">
            <v>0</v>
          </cell>
          <cell r="J347">
            <v>0</v>
          </cell>
          <cell r="K347">
            <v>0</v>
          </cell>
        </row>
        <row r="348">
          <cell r="A348" t="str">
            <v>-</v>
          </cell>
          <cell r="B348" t="str">
            <v xml:space="preserve">LC.REPROGRAMACION DEUDAS HIPOTECARIAS BCO.ESTADO </v>
          </cell>
          <cell r="C348">
            <v>0</v>
          </cell>
          <cell r="D348">
            <v>0</v>
          </cell>
          <cell r="E348">
            <v>0</v>
          </cell>
          <cell r="F348">
            <v>0</v>
          </cell>
          <cell r="G348">
            <v>0</v>
          </cell>
          <cell r="H348">
            <v>0</v>
          </cell>
          <cell r="I348">
            <v>0</v>
          </cell>
          <cell r="J348">
            <v>0</v>
          </cell>
          <cell r="K348">
            <v>0</v>
          </cell>
        </row>
        <row r="349">
          <cell r="A349" t="str">
            <v>-</v>
          </cell>
          <cell r="B349" t="str">
            <v xml:space="preserve">REAJ.P.COB.S/LC.P.REPROGRAM.DEUDAS HIP.BCO.ESTADO, </v>
          </cell>
          <cell r="C349">
            <v>0</v>
          </cell>
          <cell r="D349">
            <v>0</v>
          </cell>
          <cell r="E349">
            <v>0</v>
          </cell>
          <cell r="F349">
            <v>0</v>
          </cell>
          <cell r="G349">
            <v>0</v>
          </cell>
          <cell r="H349">
            <v>0</v>
          </cell>
          <cell r="I349">
            <v>0</v>
          </cell>
          <cell r="J349">
            <v>0</v>
          </cell>
          <cell r="K349">
            <v>0</v>
          </cell>
        </row>
        <row r="350">
          <cell r="A350" t="str">
            <v>-</v>
          </cell>
          <cell r="B350" t="str">
            <v xml:space="preserve">LC.P.CONTRATO CON BCO.ESTADO POR CESION CARTERA, </v>
          </cell>
          <cell r="C350">
            <v>0</v>
          </cell>
          <cell r="D350">
            <v>0</v>
          </cell>
          <cell r="E350">
            <v>0</v>
          </cell>
          <cell r="F350">
            <v>0</v>
          </cell>
          <cell r="G350">
            <v>0</v>
          </cell>
          <cell r="H350">
            <v>0</v>
          </cell>
          <cell r="I350">
            <v>0</v>
          </cell>
          <cell r="J350">
            <v>0</v>
          </cell>
          <cell r="K350">
            <v>0</v>
          </cell>
        </row>
        <row r="351">
          <cell r="A351" t="str">
            <v>-</v>
          </cell>
          <cell r="B351" t="str">
            <v xml:space="preserve">REAJ.P.COB.P.LC.CONTR.C.BCO.ESTADO P.CESION CARTER, </v>
          </cell>
          <cell r="C351">
            <v>0</v>
          </cell>
          <cell r="D351">
            <v>0</v>
          </cell>
          <cell r="E351">
            <v>0</v>
          </cell>
          <cell r="F351">
            <v>0</v>
          </cell>
          <cell r="G351">
            <v>0</v>
          </cell>
          <cell r="H351">
            <v>0</v>
          </cell>
          <cell r="I351">
            <v>0</v>
          </cell>
          <cell r="J351">
            <v>0</v>
          </cell>
          <cell r="K351">
            <v>0</v>
          </cell>
        </row>
        <row r="352">
          <cell r="A352" t="str">
            <v>-</v>
          </cell>
          <cell r="B352" t="str">
            <v>LINEA DE CREDITO PARA CAPITAL DE TRABAJO BECH</v>
          </cell>
          <cell r="C352">
            <v>0</v>
          </cell>
          <cell r="D352">
            <v>0</v>
          </cell>
          <cell r="E352">
            <v>0</v>
          </cell>
          <cell r="F352">
            <v>0</v>
          </cell>
          <cell r="G352">
            <v>0</v>
          </cell>
          <cell r="H352">
            <v>0</v>
          </cell>
          <cell r="I352">
            <v>0</v>
          </cell>
          <cell r="J352">
            <v>0</v>
          </cell>
          <cell r="K352">
            <v>0</v>
          </cell>
        </row>
        <row r="353">
          <cell r="A353" t="str">
            <v>-</v>
          </cell>
          <cell r="B353" t="str">
            <v xml:space="preserve">REAJ.P.COBRAR P.LC P.CAPITAL DE TRABAJO BECH </v>
          </cell>
          <cell r="C353">
            <v>0</v>
          </cell>
          <cell r="D353">
            <v>0</v>
          </cell>
          <cell r="E353">
            <v>0</v>
          </cell>
          <cell r="F353">
            <v>0</v>
          </cell>
          <cell r="G353">
            <v>0</v>
          </cell>
          <cell r="H353">
            <v>0</v>
          </cell>
          <cell r="I353">
            <v>0</v>
          </cell>
          <cell r="J353">
            <v>0</v>
          </cell>
          <cell r="K353">
            <v>0</v>
          </cell>
        </row>
        <row r="354">
          <cell r="A354" t="str">
            <v>12EXEZN</v>
          </cell>
          <cell r="B354" t="str">
            <v xml:space="preserve">L.C PARA PAGO OBLIG.C.EXTERIOR DEL BUF Y BHC </v>
          </cell>
          <cell r="C354">
            <v>12285</v>
          </cell>
          <cell r="D354">
            <v>12606</v>
          </cell>
          <cell r="E354">
            <v>12168</v>
          </cell>
          <cell r="F354">
            <v>11799</v>
          </cell>
          <cell r="G354">
            <v>11879</v>
          </cell>
          <cell r="H354">
            <v>11664</v>
          </cell>
          <cell r="I354">
            <v>11805</v>
          </cell>
          <cell r="J354">
            <v>11700</v>
          </cell>
          <cell r="K354">
            <v>11127</v>
          </cell>
        </row>
        <row r="355">
          <cell r="A355" t="str">
            <v>12CAEZN</v>
          </cell>
          <cell r="B355" t="str">
            <v xml:space="preserve">REPROG.DEUDAS S.PRODUCTIVO (ACDO.1578) B.ESTADO </v>
          </cell>
          <cell r="C355">
            <v>0</v>
          </cell>
          <cell r="D355">
            <v>0</v>
          </cell>
          <cell r="E355">
            <v>0</v>
          </cell>
          <cell r="F355">
            <v>0</v>
          </cell>
          <cell r="G355">
            <v>0</v>
          </cell>
          <cell r="H355">
            <v>0</v>
          </cell>
          <cell r="I355">
            <v>0</v>
          </cell>
          <cell r="J355">
            <v>0</v>
          </cell>
          <cell r="K355">
            <v>0</v>
          </cell>
        </row>
        <row r="356">
          <cell r="A356" t="str">
            <v>-</v>
          </cell>
          <cell r="B356" t="str">
            <v xml:space="preserve">REAJ.P.COBRAR S.REPROG.DEUDAS SEC.PROD.(ACDO 1578), </v>
          </cell>
          <cell r="C356">
            <v>0</v>
          </cell>
          <cell r="D356">
            <v>0</v>
          </cell>
          <cell r="E356">
            <v>0</v>
          </cell>
          <cell r="F356">
            <v>0</v>
          </cell>
          <cell r="G356">
            <v>0</v>
          </cell>
          <cell r="H356">
            <v>0</v>
          </cell>
          <cell r="I356">
            <v>0</v>
          </cell>
          <cell r="J356">
            <v>0</v>
          </cell>
          <cell r="K356">
            <v>0</v>
          </cell>
        </row>
        <row r="357">
          <cell r="A357" t="str">
            <v>-</v>
          </cell>
          <cell r="B357" t="str">
            <v xml:space="preserve">LINEA DE CREDITO DE MEDIANO PLAZO </v>
          </cell>
          <cell r="C357">
            <v>0</v>
          </cell>
          <cell r="D357">
            <v>0</v>
          </cell>
          <cell r="E357">
            <v>0</v>
          </cell>
          <cell r="F357">
            <v>0</v>
          </cell>
          <cell r="G357">
            <v>0</v>
          </cell>
          <cell r="H357">
            <v>0</v>
          </cell>
          <cell r="I357">
            <v>0</v>
          </cell>
          <cell r="J357">
            <v>0</v>
          </cell>
          <cell r="K357">
            <v>0</v>
          </cell>
        </row>
        <row r="358">
          <cell r="A358" t="str">
            <v>-</v>
          </cell>
          <cell r="B358" t="str">
            <v xml:space="preserve">REAJ.P.COB.LC.MEDIANO PLAZO BECH </v>
          </cell>
          <cell r="C358">
            <v>0</v>
          </cell>
          <cell r="D358">
            <v>0</v>
          </cell>
          <cell r="E358">
            <v>0</v>
          </cell>
          <cell r="F358">
            <v>0</v>
          </cell>
          <cell r="G358">
            <v>0</v>
          </cell>
          <cell r="H358">
            <v>0</v>
          </cell>
          <cell r="I358">
            <v>0</v>
          </cell>
          <cell r="J358">
            <v>0</v>
          </cell>
          <cell r="K358">
            <v>0</v>
          </cell>
        </row>
        <row r="359">
          <cell r="A359" t="str">
            <v>-</v>
          </cell>
          <cell r="B359" t="str">
            <v xml:space="preserve">LC.DEPOSITOS ACDO.1657 BANCO DEL ESTADO </v>
          </cell>
          <cell r="C359">
            <v>0</v>
          </cell>
          <cell r="D359">
            <v>0</v>
          </cell>
          <cell r="E359">
            <v>0</v>
          </cell>
          <cell r="F359">
            <v>0</v>
          </cell>
          <cell r="G359">
            <v>0</v>
          </cell>
          <cell r="H359">
            <v>0</v>
          </cell>
          <cell r="I359">
            <v>0</v>
          </cell>
          <cell r="J359">
            <v>0</v>
          </cell>
          <cell r="K359">
            <v>0</v>
          </cell>
        </row>
        <row r="360">
          <cell r="A360" t="str">
            <v>-</v>
          </cell>
          <cell r="B360" t="str">
            <v xml:space="preserve">CRED.MODALIDAD UNO LIBOR AJUSTADA AC 1686 BECH </v>
          </cell>
          <cell r="C360">
            <v>0</v>
          </cell>
          <cell r="D360">
            <v>0</v>
          </cell>
          <cell r="E360">
            <v>0</v>
          </cell>
          <cell r="F360">
            <v>0</v>
          </cell>
          <cell r="G360">
            <v>0</v>
          </cell>
          <cell r="H360">
            <v>0</v>
          </cell>
          <cell r="I360">
            <v>0</v>
          </cell>
          <cell r="J360">
            <v>0</v>
          </cell>
          <cell r="K360">
            <v>0</v>
          </cell>
        </row>
        <row r="361">
          <cell r="A361" t="str">
            <v>-</v>
          </cell>
          <cell r="B361" t="str">
            <v xml:space="preserve">CRED.MOD.UNO TIP 91-365 BCO.DEL ESTADO </v>
          </cell>
          <cell r="C361">
            <v>0</v>
          </cell>
          <cell r="D361">
            <v>0</v>
          </cell>
          <cell r="E361">
            <v>0</v>
          </cell>
          <cell r="F361">
            <v>0</v>
          </cell>
          <cell r="G361">
            <v>0</v>
          </cell>
          <cell r="H361">
            <v>0</v>
          </cell>
          <cell r="I361">
            <v>0</v>
          </cell>
          <cell r="J361">
            <v>0</v>
          </cell>
          <cell r="K361">
            <v>0</v>
          </cell>
        </row>
        <row r="362">
          <cell r="A362" t="str">
            <v>-</v>
          </cell>
          <cell r="B362" t="str">
            <v xml:space="preserve">CRED.MODAL.DOS TIP 91-365 BCO.ESTADO </v>
          </cell>
          <cell r="C362">
            <v>0</v>
          </cell>
          <cell r="D362">
            <v>0</v>
          </cell>
          <cell r="E362">
            <v>0</v>
          </cell>
          <cell r="F362">
            <v>0</v>
          </cell>
          <cell r="G362">
            <v>0</v>
          </cell>
          <cell r="H362">
            <v>0</v>
          </cell>
          <cell r="I362">
            <v>0</v>
          </cell>
          <cell r="J362">
            <v>0</v>
          </cell>
          <cell r="K362">
            <v>0</v>
          </cell>
        </row>
        <row r="363">
          <cell r="A363" t="str">
            <v>-</v>
          </cell>
          <cell r="B363" t="str">
            <v xml:space="preserve">CRED MODALIDAD DOS TIP 30-89 DIAS BCO DEL ESTADO, </v>
          </cell>
          <cell r="C363">
            <v>0</v>
          </cell>
          <cell r="D363">
            <v>0</v>
          </cell>
          <cell r="E363">
            <v>0</v>
          </cell>
          <cell r="F363">
            <v>0</v>
          </cell>
          <cell r="G363">
            <v>0</v>
          </cell>
          <cell r="H363">
            <v>0</v>
          </cell>
          <cell r="I363">
            <v>0</v>
          </cell>
          <cell r="J363">
            <v>0</v>
          </cell>
          <cell r="K363">
            <v>0</v>
          </cell>
        </row>
        <row r="364">
          <cell r="A364" t="str">
            <v>-</v>
          </cell>
          <cell r="B364" t="str">
            <v xml:space="preserve">L/C PARA CONSTITUIR RESERVA TECNICA BANCO ESTADO </v>
          </cell>
          <cell r="C364">
            <v>0</v>
          </cell>
          <cell r="D364">
            <v>0</v>
          </cell>
          <cell r="E364">
            <v>0</v>
          </cell>
          <cell r="F364">
            <v>0</v>
          </cell>
          <cell r="G364">
            <v>0</v>
          </cell>
          <cell r="H364">
            <v>0</v>
          </cell>
          <cell r="I364">
            <v>0</v>
          </cell>
          <cell r="J364">
            <v>0</v>
          </cell>
          <cell r="K364">
            <v>0</v>
          </cell>
        </row>
        <row r="365">
          <cell r="A365" t="str">
            <v>-</v>
          </cell>
          <cell r="B365" t="str">
            <v xml:space="preserve">REAJ.P/COBR S/L/C PARA CONSTITUIR RES.TEC.BECH </v>
          </cell>
          <cell r="C365">
            <v>0</v>
          </cell>
          <cell r="D365">
            <v>0</v>
          </cell>
          <cell r="E365">
            <v>0</v>
          </cell>
          <cell r="F365">
            <v>0</v>
          </cell>
          <cell r="G365">
            <v>0</v>
          </cell>
          <cell r="H365">
            <v>0</v>
          </cell>
          <cell r="I365">
            <v>0</v>
          </cell>
          <cell r="J365">
            <v>0</v>
          </cell>
          <cell r="K365">
            <v>0</v>
          </cell>
        </row>
        <row r="366">
          <cell r="A366" t="str">
            <v>-</v>
          </cell>
          <cell r="B366" t="str">
            <v xml:space="preserve">L/C P.LICIT.CART.HIPOT.ANAP AC.1901 BCO.ESTADO </v>
          </cell>
          <cell r="C366">
            <v>0</v>
          </cell>
          <cell r="D366">
            <v>0</v>
          </cell>
          <cell r="E366">
            <v>0</v>
          </cell>
          <cell r="F366">
            <v>0</v>
          </cell>
          <cell r="G366">
            <v>0</v>
          </cell>
          <cell r="H366">
            <v>0</v>
          </cell>
          <cell r="I366">
            <v>0</v>
          </cell>
          <cell r="J366">
            <v>0</v>
          </cell>
          <cell r="K366">
            <v>0</v>
          </cell>
        </row>
        <row r="367">
          <cell r="A367" t="str">
            <v>-</v>
          </cell>
          <cell r="B367" t="str">
            <v xml:space="preserve">REAJ.P.L/C.LICIT.CART.HIP.ANAP.AC.1901 BECH </v>
          </cell>
          <cell r="C367">
            <v>0</v>
          </cell>
          <cell r="D367">
            <v>0</v>
          </cell>
          <cell r="E367">
            <v>0</v>
          </cell>
          <cell r="F367">
            <v>0</v>
          </cell>
          <cell r="G367">
            <v>0</v>
          </cell>
          <cell r="H367">
            <v>0</v>
          </cell>
          <cell r="I367">
            <v>0</v>
          </cell>
          <cell r="J367">
            <v>0</v>
          </cell>
          <cell r="K367">
            <v>0</v>
          </cell>
        </row>
        <row r="368">
          <cell r="A368" t="str">
            <v>-</v>
          </cell>
          <cell r="B368" t="str">
            <v>LTS.CREDITO POR CESION DE CARTERA HIP.BUF-BHC BECH, BBC, BCC</v>
          </cell>
          <cell r="C368">
            <v>0</v>
          </cell>
          <cell r="D368">
            <v>0</v>
          </cell>
          <cell r="E368">
            <v>0</v>
          </cell>
          <cell r="F368">
            <v>0</v>
          </cell>
          <cell r="G368">
            <v>0</v>
          </cell>
          <cell r="H368">
            <v>0</v>
          </cell>
          <cell r="I368">
            <v>0</v>
          </cell>
          <cell r="J368">
            <v>0</v>
          </cell>
          <cell r="K368">
            <v>0</v>
          </cell>
        </row>
        <row r="369">
          <cell r="A369" t="str">
            <v>-</v>
          </cell>
          <cell r="B369" t="str">
            <v xml:space="preserve">REAJ.P.COB.S.LTS.CRED.CS.CART.HIP.BUF-BHC BECH, </v>
          </cell>
          <cell r="C369">
            <v>0</v>
          </cell>
          <cell r="D369">
            <v>0</v>
          </cell>
          <cell r="E369">
            <v>0</v>
          </cell>
          <cell r="F369">
            <v>0</v>
          </cell>
          <cell r="G369">
            <v>0</v>
          </cell>
          <cell r="H369">
            <v>0</v>
          </cell>
          <cell r="I369">
            <v>0</v>
          </cell>
          <cell r="J369">
            <v>0</v>
          </cell>
          <cell r="K369">
            <v>0</v>
          </cell>
        </row>
        <row r="370">
          <cell r="A370" t="str">
            <v>-</v>
          </cell>
          <cell r="B370" t="str">
            <v>PACTO RETROVENTA BCO.DEL ESTADO,</v>
          </cell>
          <cell r="C370">
            <v>0</v>
          </cell>
          <cell r="D370">
            <v>0</v>
          </cell>
          <cell r="E370">
            <v>0</v>
          </cell>
          <cell r="F370">
            <v>0</v>
          </cell>
          <cell r="G370">
            <v>0</v>
          </cell>
          <cell r="H370">
            <v>0</v>
          </cell>
          <cell r="I370">
            <v>0</v>
          </cell>
          <cell r="J370">
            <v>0</v>
          </cell>
          <cell r="K370">
            <v>0</v>
          </cell>
        </row>
        <row r="371">
          <cell r="A371" t="str">
            <v>-</v>
          </cell>
          <cell r="B371" t="str">
            <v>REFIN.REAJ.BCOS COMERC</v>
          </cell>
          <cell r="C371">
            <v>0</v>
          </cell>
          <cell r="D371">
            <v>0</v>
          </cell>
          <cell r="E371">
            <v>0</v>
          </cell>
          <cell r="F371">
            <v>0</v>
          </cell>
          <cell r="G371">
            <v>0</v>
          </cell>
          <cell r="H371">
            <v>0</v>
          </cell>
          <cell r="I371">
            <v>0</v>
          </cell>
          <cell r="J371">
            <v>0</v>
          </cell>
          <cell r="K371">
            <v>0</v>
          </cell>
        </row>
        <row r="372">
          <cell r="A372" t="str">
            <v>12FBEZN</v>
          </cell>
          <cell r="B372" t="str">
            <v>PRESTAMOS PARA IMPORTACIONES BCOS.COMERC.Y FOMENTO</v>
          </cell>
          <cell r="C372">
            <v>0</v>
          </cell>
          <cell r="D372">
            <v>0</v>
          </cell>
          <cell r="E372">
            <v>0</v>
          </cell>
          <cell r="F372">
            <v>0</v>
          </cell>
          <cell r="G372">
            <v>0</v>
          </cell>
          <cell r="H372">
            <v>0</v>
          </cell>
          <cell r="I372">
            <v>0</v>
          </cell>
          <cell r="J372">
            <v>0</v>
          </cell>
          <cell r="K372">
            <v>0</v>
          </cell>
        </row>
        <row r="373">
          <cell r="A373" t="str">
            <v>-</v>
          </cell>
          <cell r="B373" t="str">
            <v>DEUDORES EN CTA.CTE.BCOS.COMERCIALES</v>
          </cell>
          <cell r="C373">
            <v>0</v>
          </cell>
          <cell r="D373">
            <v>0</v>
          </cell>
          <cell r="E373">
            <v>0</v>
          </cell>
          <cell r="F373">
            <v>0</v>
          </cell>
          <cell r="G373">
            <v>0</v>
          </cell>
          <cell r="H373">
            <v>0</v>
          </cell>
          <cell r="I373">
            <v>0</v>
          </cell>
          <cell r="J373">
            <v>0</v>
          </cell>
          <cell r="K373">
            <v>0</v>
          </cell>
        </row>
        <row r="374">
          <cell r="A374" t="str">
            <v>12FCEZN</v>
          </cell>
          <cell r="B374" t="str">
            <v xml:space="preserve">REFINANC.BCOS COMERCIALES </v>
          </cell>
          <cell r="C374">
            <v>0</v>
          </cell>
          <cell r="D374">
            <v>0</v>
          </cell>
          <cell r="E374">
            <v>0</v>
          </cell>
          <cell r="F374">
            <v>0</v>
          </cell>
          <cell r="G374">
            <v>0</v>
          </cell>
          <cell r="H374">
            <v>0</v>
          </cell>
          <cell r="I374">
            <v>0</v>
          </cell>
          <cell r="J374">
            <v>0</v>
          </cell>
          <cell r="K374">
            <v>0</v>
          </cell>
        </row>
        <row r="375">
          <cell r="A375" t="str">
            <v>-</v>
          </cell>
          <cell r="B375" t="str">
            <v xml:space="preserve">PTMO.P/IMPORT.AUTOS P/LISIADOS-BCOS.COMERCIALES </v>
          </cell>
          <cell r="C375">
            <v>0</v>
          </cell>
          <cell r="D375">
            <v>0</v>
          </cell>
          <cell r="E375">
            <v>0</v>
          </cell>
          <cell r="F375">
            <v>0</v>
          </cell>
          <cell r="G375">
            <v>0</v>
          </cell>
          <cell r="H375">
            <v>0</v>
          </cell>
          <cell r="I375">
            <v>0</v>
          </cell>
          <cell r="J375">
            <v>0</v>
          </cell>
          <cell r="K375">
            <v>0</v>
          </cell>
        </row>
        <row r="376">
          <cell r="A376" t="str">
            <v>12MGEZN</v>
          </cell>
          <cell r="B376" t="str">
            <v>LINEA DE CREDITO DE LIQUIDEZ A BANCOS COMERC.</v>
          </cell>
          <cell r="C376">
            <v>0</v>
          </cell>
          <cell r="D376">
            <v>0</v>
          </cell>
          <cell r="E376">
            <v>0</v>
          </cell>
          <cell r="F376">
            <v>0</v>
          </cell>
          <cell r="G376">
            <v>0</v>
          </cell>
          <cell r="H376">
            <v>0</v>
          </cell>
          <cell r="I376">
            <v>0</v>
          </cell>
          <cell r="J376">
            <v>0</v>
          </cell>
          <cell r="K376">
            <v>0</v>
          </cell>
        </row>
        <row r="377">
          <cell r="A377" t="str">
            <v>-</v>
          </cell>
          <cell r="B377" t="str">
            <v xml:space="preserve">REAJ P/COBRAR S/REFLN REAJ BCO COMER, </v>
          </cell>
          <cell r="C377">
            <v>0</v>
          </cell>
          <cell r="D377">
            <v>0</v>
          </cell>
          <cell r="E377">
            <v>0</v>
          </cell>
          <cell r="F377">
            <v>0</v>
          </cell>
          <cell r="G377">
            <v>0</v>
          </cell>
          <cell r="H377">
            <v>0</v>
          </cell>
          <cell r="I377">
            <v>0</v>
          </cell>
          <cell r="J377">
            <v>0</v>
          </cell>
          <cell r="K377">
            <v>0</v>
          </cell>
        </row>
        <row r="378">
          <cell r="A378" t="str">
            <v>12BTEZN</v>
          </cell>
          <cell r="B378" t="str">
            <v xml:space="preserve">LC.PROGRAM.ORG.INTERNACIONALES BCOS.COMERCIALES </v>
          </cell>
          <cell r="C378">
            <v>0</v>
          </cell>
          <cell r="D378">
            <v>0</v>
          </cell>
          <cell r="E378">
            <v>0</v>
          </cell>
          <cell r="F378">
            <v>0</v>
          </cell>
          <cell r="G378">
            <v>0</v>
          </cell>
          <cell r="H378">
            <v>0</v>
          </cell>
          <cell r="I378">
            <v>0</v>
          </cell>
          <cell r="J378">
            <v>0</v>
          </cell>
          <cell r="K378">
            <v>0</v>
          </cell>
        </row>
        <row r="379">
          <cell r="A379" t="str">
            <v>-</v>
          </cell>
          <cell r="B379" t="str">
            <v xml:space="preserve">REAJ.P.COBRAR S.LC.PROG.ORG.INTER.BCOS.COMERC. </v>
          </cell>
          <cell r="C379">
            <v>0</v>
          </cell>
          <cell r="D379">
            <v>0</v>
          </cell>
          <cell r="E379">
            <v>0</v>
          </cell>
          <cell r="F379">
            <v>0</v>
          </cell>
          <cell r="G379">
            <v>0</v>
          </cell>
          <cell r="H379">
            <v>0</v>
          </cell>
          <cell r="I379">
            <v>0</v>
          </cell>
          <cell r="J379">
            <v>0</v>
          </cell>
          <cell r="K379">
            <v>0</v>
          </cell>
        </row>
        <row r="380">
          <cell r="A380" t="str">
            <v>-</v>
          </cell>
          <cell r="B380" t="str">
            <v xml:space="preserve">SOBREGIROS CTAS.CTES BANCOS NACIONALES </v>
          </cell>
          <cell r="C380">
            <v>0</v>
          </cell>
          <cell r="D380">
            <v>0</v>
          </cell>
          <cell r="E380">
            <v>0</v>
          </cell>
          <cell r="F380">
            <v>0</v>
          </cell>
          <cell r="G380">
            <v>0</v>
          </cell>
          <cell r="H380">
            <v>0</v>
          </cell>
          <cell r="I380">
            <v>0</v>
          </cell>
          <cell r="J380">
            <v>0</v>
          </cell>
          <cell r="K380">
            <v>0</v>
          </cell>
        </row>
        <row r="381">
          <cell r="A381" t="str">
            <v>-</v>
          </cell>
          <cell r="B381" t="str">
            <v xml:space="preserve">PAG.ADQ.BCOS.COMERCIALES EN LIQ </v>
          </cell>
          <cell r="C381">
            <v>0</v>
          </cell>
          <cell r="D381">
            <v>0</v>
          </cell>
          <cell r="E381">
            <v>0</v>
          </cell>
          <cell r="F381">
            <v>0</v>
          </cell>
          <cell r="G381">
            <v>0</v>
          </cell>
          <cell r="H381">
            <v>0</v>
          </cell>
          <cell r="I381">
            <v>0</v>
          </cell>
          <cell r="J381">
            <v>0</v>
          </cell>
          <cell r="K381">
            <v>0</v>
          </cell>
        </row>
        <row r="382">
          <cell r="A382" t="str">
            <v>-</v>
          </cell>
          <cell r="B382" t="str">
            <v xml:space="preserve">CONSOLIDAC. PREST.URGENCIA BCOS. COMERCIALES </v>
          </cell>
          <cell r="C382">
            <v>0</v>
          </cell>
          <cell r="D382">
            <v>0</v>
          </cell>
          <cell r="E382">
            <v>0</v>
          </cell>
          <cell r="F382">
            <v>0</v>
          </cell>
          <cell r="G382">
            <v>0</v>
          </cell>
          <cell r="H382">
            <v>0</v>
          </cell>
          <cell r="I382">
            <v>0</v>
          </cell>
          <cell r="J382">
            <v>0</v>
          </cell>
          <cell r="K382">
            <v>0</v>
          </cell>
        </row>
        <row r="383">
          <cell r="A383" t="str">
            <v>-</v>
          </cell>
          <cell r="B383" t="str">
            <v>FONDOS LICITADOS A BANCOS COMERCIALES,</v>
          </cell>
          <cell r="C383">
            <v>0</v>
          </cell>
          <cell r="D383">
            <v>0</v>
          </cell>
          <cell r="E383">
            <v>0</v>
          </cell>
          <cell r="F383">
            <v>0</v>
          </cell>
          <cell r="G383">
            <v>0</v>
          </cell>
          <cell r="H383">
            <v>0</v>
          </cell>
          <cell r="I383">
            <v>0</v>
          </cell>
          <cell r="J383">
            <v>0</v>
          </cell>
          <cell r="K383">
            <v>0</v>
          </cell>
        </row>
        <row r="384">
          <cell r="A384" t="str">
            <v>-</v>
          </cell>
          <cell r="B384" t="str">
            <v>REAJ.P.RECIBIR P.FDOS.LICITADOS A BCOS.COMERC</v>
          </cell>
          <cell r="C384">
            <v>0</v>
          </cell>
          <cell r="D384">
            <v>0</v>
          </cell>
          <cell r="E384">
            <v>0</v>
          </cell>
          <cell r="F384">
            <v>0</v>
          </cell>
          <cell r="G384">
            <v>0</v>
          </cell>
          <cell r="H384">
            <v>0</v>
          </cell>
          <cell r="I384">
            <v>0</v>
          </cell>
          <cell r="J384">
            <v>0</v>
          </cell>
          <cell r="K384">
            <v>0</v>
          </cell>
        </row>
        <row r="385">
          <cell r="A385" t="str">
            <v>-</v>
          </cell>
          <cell r="B385" t="str">
            <v>BONOS ADQUIRIDOS A BCOS.COMERCIALES</v>
          </cell>
          <cell r="C385">
            <v>0</v>
          </cell>
          <cell r="D385">
            <v>0</v>
          </cell>
          <cell r="E385">
            <v>0</v>
          </cell>
          <cell r="F385">
            <v>0</v>
          </cell>
          <cell r="G385">
            <v>0</v>
          </cell>
          <cell r="H385">
            <v>0</v>
          </cell>
          <cell r="I385">
            <v>0</v>
          </cell>
          <cell r="J385">
            <v>0</v>
          </cell>
          <cell r="K385">
            <v>0</v>
          </cell>
        </row>
        <row r="386">
          <cell r="A386" t="str">
            <v>-</v>
          </cell>
          <cell r="B386" t="str">
            <v xml:space="preserve">REAJ.P.COBRAR S.BONOS BCOS.COMERCIALES </v>
          </cell>
          <cell r="C386">
            <v>0</v>
          </cell>
          <cell r="D386">
            <v>0</v>
          </cell>
          <cell r="E386">
            <v>0</v>
          </cell>
          <cell r="F386">
            <v>0</v>
          </cell>
          <cell r="G386">
            <v>0</v>
          </cell>
          <cell r="H386">
            <v>0</v>
          </cell>
          <cell r="I386">
            <v>0</v>
          </cell>
          <cell r="J386">
            <v>0</v>
          </cell>
          <cell r="K386">
            <v>0</v>
          </cell>
        </row>
        <row r="387">
          <cell r="A387" t="str">
            <v>-</v>
          </cell>
          <cell r="B387" t="str">
            <v xml:space="preserve">CARTERA ADQ.C.PACTO DE RETOVTA.BCOS.COM.(ACDO.1488, </v>
          </cell>
          <cell r="C387">
            <v>0</v>
          </cell>
          <cell r="D387">
            <v>0</v>
          </cell>
          <cell r="E387">
            <v>0</v>
          </cell>
          <cell r="F387">
            <v>0</v>
          </cell>
          <cell r="G387">
            <v>0</v>
          </cell>
          <cell r="H387">
            <v>0</v>
          </cell>
          <cell r="I387">
            <v>0</v>
          </cell>
          <cell r="J387">
            <v>0</v>
          </cell>
          <cell r="K387">
            <v>0</v>
          </cell>
        </row>
        <row r="388">
          <cell r="A388" t="str">
            <v>-</v>
          </cell>
          <cell r="B388" t="str">
            <v xml:space="preserve">PRESTAMOS PARA CUBRIR DEFICIT DE ENCAJE BCOS.COMER, </v>
          </cell>
          <cell r="C388">
            <v>0</v>
          </cell>
          <cell r="D388">
            <v>0</v>
          </cell>
          <cell r="E388">
            <v>0</v>
          </cell>
          <cell r="F388">
            <v>0</v>
          </cell>
          <cell r="G388">
            <v>0</v>
          </cell>
          <cell r="H388">
            <v>0</v>
          </cell>
          <cell r="I388">
            <v>0</v>
          </cell>
          <cell r="J388">
            <v>0</v>
          </cell>
          <cell r="K388">
            <v>0</v>
          </cell>
        </row>
        <row r="389">
          <cell r="A389" t="str">
            <v>-</v>
          </cell>
          <cell r="B389" t="str">
            <v xml:space="preserve">DOCUMENTOS DE CDTO.HIPOTECARIO ADQ.BCOS.COMERC. </v>
          </cell>
          <cell r="C389">
            <v>0</v>
          </cell>
          <cell r="D389">
            <v>0</v>
          </cell>
          <cell r="E389">
            <v>0</v>
          </cell>
          <cell r="F389">
            <v>0</v>
          </cell>
          <cell r="G389">
            <v>0</v>
          </cell>
          <cell r="H389">
            <v>0</v>
          </cell>
          <cell r="I389">
            <v>0</v>
          </cell>
          <cell r="J389">
            <v>0</v>
          </cell>
          <cell r="K389">
            <v>0</v>
          </cell>
        </row>
        <row r="390">
          <cell r="A390" t="str">
            <v>-</v>
          </cell>
          <cell r="B390" t="str">
            <v>REAJ.COBRAR S.CPRA.DOC.CDTO HIP ADQ.B.COM.</v>
          </cell>
          <cell r="C390">
            <v>0</v>
          </cell>
          <cell r="D390">
            <v>0</v>
          </cell>
          <cell r="E390">
            <v>0</v>
          </cell>
          <cell r="F390">
            <v>0</v>
          </cell>
          <cell r="G390">
            <v>0</v>
          </cell>
          <cell r="H390">
            <v>0</v>
          </cell>
          <cell r="I390">
            <v>0</v>
          </cell>
          <cell r="J390">
            <v>0</v>
          </cell>
          <cell r="K390">
            <v>0</v>
          </cell>
        </row>
        <row r="391">
          <cell r="A391" t="str">
            <v>-</v>
          </cell>
          <cell r="B391" t="str">
            <v xml:space="preserve">ANTICIPOS DE CREDITOS AL SISTEMA FINANC.BCOS.COMER, </v>
          </cell>
          <cell r="C391">
            <v>0</v>
          </cell>
          <cell r="D391">
            <v>0</v>
          </cell>
          <cell r="E391">
            <v>0</v>
          </cell>
          <cell r="F391">
            <v>0</v>
          </cell>
          <cell r="G391">
            <v>0</v>
          </cell>
          <cell r="H391">
            <v>0</v>
          </cell>
          <cell r="I391">
            <v>0</v>
          </cell>
          <cell r="J391">
            <v>0</v>
          </cell>
          <cell r="K391">
            <v>0</v>
          </cell>
        </row>
        <row r="392">
          <cell r="A392" t="str">
            <v>-</v>
          </cell>
          <cell r="B392" t="str">
            <v xml:space="preserve">CONSOLIDACION PRESTAMOS URGENCIA BCOS.COMERCIALES, </v>
          </cell>
          <cell r="C392">
            <v>0</v>
          </cell>
          <cell r="D392">
            <v>0</v>
          </cell>
          <cell r="E392">
            <v>0</v>
          </cell>
          <cell r="F392">
            <v>0</v>
          </cell>
          <cell r="G392">
            <v>0</v>
          </cell>
          <cell r="H392">
            <v>0</v>
          </cell>
          <cell r="I392">
            <v>0</v>
          </cell>
          <cell r="J392">
            <v>0</v>
          </cell>
          <cell r="K392">
            <v>0</v>
          </cell>
        </row>
        <row r="393">
          <cell r="A393" t="str">
            <v>12CREZN</v>
          </cell>
          <cell r="B393" t="str">
            <v>L.CR.P.REPROGRAMACION DEUDAS BCOS.COMERCIALES</v>
          </cell>
          <cell r="C393">
            <v>0</v>
          </cell>
          <cell r="D393">
            <v>0</v>
          </cell>
          <cell r="E393">
            <v>0</v>
          </cell>
          <cell r="F393">
            <v>0</v>
          </cell>
          <cell r="G393">
            <v>0</v>
          </cell>
          <cell r="H393">
            <v>0</v>
          </cell>
          <cell r="I393">
            <v>0</v>
          </cell>
          <cell r="J393">
            <v>0</v>
          </cell>
          <cell r="K393">
            <v>0</v>
          </cell>
        </row>
        <row r="394">
          <cell r="A394" t="str">
            <v>-</v>
          </cell>
          <cell r="B394" t="str">
            <v>REAJ.P.COB.S.LC.REPROG.DEUDAS BCOS.COMERCIALRS</v>
          </cell>
          <cell r="C394">
            <v>0</v>
          </cell>
          <cell r="D394">
            <v>0</v>
          </cell>
          <cell r="E394">
            <v>0</v>
          </cell>
          <cell r="F394">
            <v>0</v>
          </cell>
          <cell r="G394">
            <v>0</v>
          </cell>
          <cell r="H394">
            <v>0</v>
          </cell>
          <cell r="I394">
            <v>0</v>
          </cell>
          <cell r="J394">
            <v>0</v>
          </cell>
          <cell r="K394">
            <v>0</v>
          </cell>
        </row>
        <row r="395">
          <cell r="A395" t="str">
            <v>-</v>
          </cell>
          <cell r="B395" t="str">
            <v>LINEA CREDITO CORTO PLAZO A BCOS.COMERCIALES</v>
          </cell>
          <cell r="C395">
            <v>0</v>
          </cell>
          <cell r="D395">
            <v>0</v>
          </cell>
          <cell r="E395">
            <v>0</v>
          </cell>
          <cell r="F395">
            <v>0</v>
          </cell>
          <cell r="G395">
            <v>0</v>
          </cell>
          <cell r="H395">
            <v>0</v>
          </cell>
          <cell r="I395">
            <v>0</v>
          </cell>
          <cell r="J395">
            <v>0</v>
          </cell>
          <cell r="K395">
            <v>0</v>
          </cell>
        </row>
        <row r="396">
          <cell r="A396" t="str">
            <v>-</v>
          </cell>
          <cell r="B396" t="str">
            <v xml:space="preserve">REAJ.P.COBRAR S/L/C.CORTO PLAZO BANCOS COMERCIALES, </v>
          </cell>
          <cell r="C396">
            <v>0</v>
          </cell>
          <cell r="D396">
            <v>0</v>
          </cell>
          <cell r="E396">
            <v>0</v>
          </cell>
          <cell r="F396">
            <v>0</v>
          </cell>
          <cell r="G396">
            <v>0</v>
          </cell>
          <cell r="H396">
            <v>0</v>
          </cell>
          <cell r="I396">
            <v>0</v>
          </cell>
          <cell r="J396">
            <v>0</v>
          </cell>
          <cell r="K396">
            <v>0</v>
          </cell>
        </row>
        <row r="397">
          <cell r="A397" t="str">
            <v>-</v>
          </cell>
          <cell r="B397" t="str">
            <v xml:space="preserve">REAJUSTES POR COBRAR S.CONSOLID.PRES.URGENCIA </v>
          </cell>
          <cell r="C397">
            <v>0</v>
          </cell>
          <cell r="D397">
            <v>0</v>
          </cell>
          <cell r="E397">
            <v>0</v>
          </cell>
          <cell r="F397">
            <v>0</v>
          </cell>
          <cell r="G397">
            <v>0</v>
          </cell>
          <cell r="H397">
            <v>0</v>
          </cell>
          <cell r="I397">
            <v>0</v>
          </cell>
          <cell r="J397">
            <v>0</v>
          </cell>
          <cell r="K397">
            <v>0</v>
          </cell>
        </row>
        <row r="398">
          <cell r="A398" t="str">
            <v>-</v>
          </cell>
          <cell r="B398" t="str">
            <v xml:space="preserve">LC.P.REPROGRAM.DEUDAS HIPOTECARIAS BCOS.COMERCIALE, </v>
          </cell>
          <cell r="C398">
            <v>0</v>
          </cell>
          <cell r="D398">
            <v>0</v>
          </cell>
          <cell r="E398">
            <v>0</v>
          </cell>
          <cell r="F398">
            <v>0</v>
          </cell>
          <cell r="G398">
            <v>0</v>
          </cell>
          <cell r="H398">
            <v>0</v>
          </cell>
          <cell r="I398">
            <v>0</v>
          </cell>
          <cell r="J398">
            <v>0</v>
          </cell>
          <cell r="K398">
            <v>0</v>
          </cell>
        </row>
        <row r="399">
          <cell r="A399" t="str">
            <v>-</v>
          </cell>
          <cell r="B399" t="str">
            <v xml:space="preserve">REAJ.P.COB.S.LC.REPROGRAM.DEUDAS HIPOT.BCOS.COMERC, </v>
          </cell>
          <cell r="C399">
            <v>0</v>
          </cell>
          <cell r="D399">
            <v>0</v>
          </cell>
          <cell r="E399">
            <v>0</v>
          </cell>
          <cell r="F399">
            <v>0</v>
          </cell>
          <cell r="G399">
            <v>0</v>
          </cell>
          <cell r="H399">
            <v>0</v>
          </cell>
          <cell r="I399">
            <v>0</v>
          </cell>
          <cell r="J399">
            <v>0</v>
          </cell>
          <cell r="K399">
            <v>0</v>
          </cell>
        </row>
        <row r="400">
          <cell r="A400" t="str">
            <v>-</v>
          </cell>
          <cell r="B400" t="str">
            <v xml:space="preserve">CONTRATOS VTAS.CARTERA ADQ.A INST.FINANC.LIQ.B.COM, </v>
          </cell>
          <cell r="C400">
            <v>0</v>
          </cell>
          <cell r="D400">
            <v>0</v>
          </cell>
          <cell r="E400">
            <v>0</v>
          </cell>
          <cell r="F400">
            <v>0</v>
          </cell>
          <cell r="G400">
            <v>0</v>
          </cell>
          <cell r="H400">
            <v>0</v>
          </cell>
          <cell r="I400">
            <v>0</v>
          </cell>
          <cell r="J400">
            <v>0</v>
          </cell>
          <cell r="K400">
            <v>0</v>
          </cell>
        </row>
        <row r="401">
          <cell r="A401" t="str">
            <v>-</v>
          </cell>
          <cell r="B401" t="str">
            <v>REAJ.P.COB S.CONTR.VTAS.CARTERA ADQ.INS.FIN.LIQ.B.,</v>
          </cell>
          <cell r="C401">
            <v>0</v>
          </cell>
          <cell r="D401">
            <v>0</v>
          </cell>
          <cell r="E401">
            <v>0</v>
          </cell>
          <cell r="F401">
            <v>0</v>
          </cell>
          <cell r="G401">
            <v>0</v>
          </cell>
          <cell r="H401">
            <v>0</v>
          </cell>
          <cell r="I401">
            <v>0</v>
          </cell>
          <cell r="J401">
            <v>0</v>
          </cell>
          <cell r="K401">
            <v>0</v>
          </cell>
        </row>
        <row r="402">
          <cell r="A402" t="str">
            <v>-</v>
          </cell>
          <cell r="B402" t="str">
            <v>LINEA CREDITO PARA CAPITAL DE TRABAJO BCOS.COM.,</v>
          </cell>
          <cell r="C402">
            <v>0</v>
          </cell>
          <cell r="D402">
            <v>0</v>
          </cell>
          <cell r="E402">
            <v>0</v>
          </cell>
          <cell r="F402">
            <v>0</v>
          </cell>
          <cell r="G402">
            <v>0</v>
          </cell>
          <cell r="H402">
            <v>0</v>
          </cell>
          <cell r="I402">
            <v>0</v>
          </cell>
          <cell r="J402">
            <v>0</v>
          </cell>
          <cell r="K402">
            <v>0</v>
          </cell>
        </row>
        <row r="403">
          <cell r="A403" t="str">
            <v>-</v>
          </cell>
          <cell r="B403" t="str">
            <v>REAJ.P.COB.LC PARA CAPITAL DE TRABAJO BCOS.COM.,</v>
          </cell>
          <cell r="C403">
            <v>0</v>
          </cell>
          <cell r="D403">
            <v>0</v>
          </cell>
          <cell r="E403">
            <v>0</v>
          </cell>
          <cell r="F403">
            <v>0</v>
          </cell>
          <cell r="G403">
            <v>0</v>
          </cell>
          <cell r="H403">
            <v>0</v>
          </cell>
          <cell r="I403">
            <v>0</v>
          </cell>
          <cell r="J403">
            <v>0</v>
          </cell>
          <cell r="K403">
            <v>0</v>
          </cell>
        </row>
        <row r="404">
          <cell r="A404" t="str">
            <v>-</v>
          </cell>
          <cell r="B404" t="str">
            <v xml:space="preserve">PRESTAMO A BANCOS COMERCIALES </v>
          </cell>
          <cell r="C404">
            <v>0</v>
          </cell>
          <cell r="D404">
            <v>0</v>
          </cell>
          <cell r="E404">
            <v>0</v>
          </cell>
          <cell r="F404">
            <v>0</v>
          </cell>
          <cell r="G404">
            <v>0</v>
          </cell>
          <cell r="H404">
            <v>0</v>
          </cell>
          <cell r="I404">
            <v>0</v>
          </cell>
          <cell r="J404">
            <v>0</v>
          </cell>
          <cell r="K404">
            <v>0</v>
          </cell>
        </row>
        <row r="405">
          <cell r="A405" t="str">
            <v>-</v>
          </cell>
          <cell r="B405" t="str">
            <v xml:space="preserve">REAJ.P.COB.POR PRESTAMOS A BANCOS COMERCIALES </v>
          </cell>
          <cell r="C405">
            <v>0</v>
          </cell>
          <cell r="D405">
            <v>0</v>
          </cell>
          <cell r="E405">
            <v>0</v>
          </cell>
          <cell r="F405">
            <v>0</v>
          </cell>
          <cell r="G405">
            <v>0</v>
          </cell>
          <cell r="H405">
            <v>0</v>
          </cell>
          <cell r="I405">
            <v>0</v>
          </cell>
          <cell r="J405">
            <v>0</v>
          </cell>
          <cell r="K405">
            <v>0</v>
          </cell>
        </row>
        <row r="406">
          <cell r="A406" t="str">
            <v>-</v>
          </cell>
          <cell r="B406" t="str">
            <v xml:space="preserve">COMPRA CARTERA C/PACTO DE REVENTA P.CONTADO B.COM., </v>
          </cell>
          <cell r="C406">
            <v>0</v>
          </cell>
          <cell r="D406">
            <v>0</v>
          </cell>
          <cell r="E406">
            <v>0</v>
          </cell>
          <cell r="F406">
            <v>0</v>
          </cell>
          <cell r="G406">
            <v>0</v>
          </cell>
          <cell r="H406">
            <v>0</v>
          </cell>
          <cell r="I406">
            <v>0</v>
          </cell>
          <cell r="J406">
            <v>0</v>
          </cell>
          <cell r="K406">
            <v>0</v>
          </cell>
        </row>
        <row r="407">
          <cell r="A407" t="str">
            <v>-</v>
          </cell>
          <cell r="B407" t="str">
            <v xml:space="preserve">REAJ.COMP.CART.C/PACTO DE REVENTA P.CONTADO B.COM., </v>
          </cell>
          <cell r="C407">
            <v>0</v>
          </cell>
          <cell r="D407">
            <v>0</v>
          </cell>
          <cell r="E407">
            <v>0</v>
          </cell>
          <cell r="F407">
            <v>0</v>
          </cell>
          <cell r="G407">
            <v>0</v>
          </cell>
          <cell r="H407">
            <v>0</v>
          </cell>
          <cell r="I407">
            <v>0</v>
          </cell>
          <cell r="J407">
            <v>0</v>
          </cell>
          <cell r="K407">
            <v>0</v>
          </cell>
        </row>
        <row r="408">
          <cell r="A408" t="str">
            <v>12CXEZN</v>
          </cell>
          <cell r="B408" t="str">
            <v>REPROG.CRED.DE CONSUMO BCOS.COMERCIALES</v>
          </cell>
          <cell r="C408">
            <v>0</v>
          </cell>
          <cell r="D408">
            <v>0</v>
          </cell>
          <cell r="E408">
            <v>0</v>
          </cell>
          <cell r="F408">
            <v>0</v>
          </cell>
          <cell r="G408">
            <v>0</v>
          </cell>
          <cell r="H408">
            <v>0</v>
          </cell>
          <cell r="I408">
            <v>0</v>
          </cell>
          <cell r="J408">
            <v>0</v>
          </cell>
          <cell r="K408">
            <v>0</v>
          </cell>
        </row>
        <row r="409">
          <cell r="A409" t="str">
            <v>-</v>
          </cell>
          <cell r="B409" t="str">
            <v>REAJ.P.COBRAR S.REPROG.CRED.CONSUMO B.COMERC.</v>
          </cell>
          <cell r="C409">
            <v>0</v>
          </cell>
          <cell r="D409">
            <v>0</v>
          </cell>
          <cell r="E409">
            <v>0</v>
          </cell>
          <cell r="F409">
            <v>0</v>
          </cell>
          <cell r="G409">
            <v>0</v>
          </cell>
          <cell r="H409">
            <v>0</v>
          </cell>
          <cell r="I409">
            <v>0</v>
          </cell>
          <cell r="J409">
            <v>0</v>
          </cell>
          <cell r="K409">
            <v>0</v>
          </cell>
        </row>
        <row r="410">
          <cell r="A410" t="str">
            <v>12CZEZN</v>
          </cell>
          <cell r="B410" t="str">
            <v xml:space="preserve">REPROG.DEUDAS SECTOR PRODUC.(ACDO 1578) B.COMERC., </v>
          </cell>
          <cell r="C410">
            <v>0</v>
          </cell>
          <cell r="D410">
            <v>0</v>
          </cell>
          <cell r="E410">
            <v>0</v>
          </cell>
          <cell r="F410">
            <v>0</v>
          </cell>
          <cell r="G410">
            <v>0</v>
          </cell>
          <cell r="H410">
            <v>0</v>
          </cell>
          <cell r="I410">
            <v>0</v>
          </cell>
          <cell r="J410">
            <v>0</v>
          </cell>
          <cell r="K410">
            <v>0</v>
          </cell>
        </row>
        <row r="411">
          <cell r="A411" t="str">
            <v>12GZEZN</v>
          </cell>
          <cell r="B411" t="str">
            <v xml:space="preserve">REAJ.P.COBRAR S.REPROG.DEUDAS SECTOR PRODUC.B.COM., </v>
          </cell>
          <cell r="C411">
            <v>0</v>
          </cell>
          <cell r="D411">
            <v>0</v>
          </cell>
          <cell r="E411">
            <v>0</v>
          </cell>
          <cell r="F411">
            <v>0</v>
          </cell>
          <cell r="G411">
            <v>0</v>
          </cell>
          <cell r="H411">
            <v>0</v>
          </cell>
          <cell r="I411">
            <v>0</v>
          </cell>
          <cell r="J411">
            <v>0</v>
          </cell>
          <cell r="K411">
            <v>0</v>
          </cell>
        </row>
        <row r="412">
          <cell r="A412" t="str">
            <v>-</v>
          </cell>
          <cell r="B412" t="str">
            <v>DESCUENTO DE INSTRUMENTOS FINANCIEROS B.COMERC.</v>
          </cell>
          <cell r="C412">
            <v>0</v>
          </cell>
          <cell r="D412">
            <v>0</v>
          </cell>
          <cell r="E412">
            <v>0</v>
          </cell>
          <cell r="F412">
            <v>0</v>
          </cell>
          <cell r="G412">
            <v>0</v>
          </cell>
          <cell r="H412">
            <v>0</v>
          </cell>
          <cell r="I412">
            <v>0</v>
          </cell>
          <cell r="J412">
            <v>0</v>
          </cell>
          <cell r="K412">
            <v>0</v>
          </cell>
        </row>
        <row r="413">
          <cell r="A413" t="str">
            <v>-</v>
          </cell>
          <cell r="B413" t="str">
            <v xml:space="preserve">REAJ.P.COBRAR S.DESC.INSTRUM.FINANC.B.COMERC. </v>
          </cell>
          <cell r="C413">
            <v>0</v>
          </cell>
          <cell r="D413">
            <v>0</v>
          </cell>
          <cell r="E413">
            <v>0</v>
          </cell>
          <cell r="F413">
            <v>0</v>
          </cell>
          <cell r="G413">
            <v>0</v>
          </cell>
          <cell r="H413">
            <v>0</v>
          </cell>
          <cell r="I413">
            <v>0</v>
          </cell>
          <cell r="J413">
            <v>0</v>
          </cell>
          <cell r="K413">
            <v>0</v>
          </cell>
        </row>
        <row r="414">
          <cell r="A414" t="str">
            <v>-</v>
          </cell>
          <cell r="B414" t="str">
            <v>LINEA DE CREDITO DE MEDIANO PLAZO A BCOS.COMERC.</v>
          </cell>
          <cell r="C414">
            <v>0</v>
          </cell>
          <cell r="D414">
            <v>0</v>
          </cell>
          <cell r="E414">
            <v>0</v>
          </cell>
          <cell r="F414">
            <v>0</v>
          </cell>
          <cell r="G414">
            <v>0</v>
          </cell>
          <cell r="H414">
            <v>0</v>
          </cell>
          <cell r="I414">
            <v>0</v>
          </cell>
          <cell r="J414">
            <v>0</v>
          </cell>
          <cell r="K414">
            <v>0</v>
          </cell>
        </row>
        <row r="415">
          <cell r="A415" t="str">
            <v>-</v>
          </cell>
          <cell r="B415" t="str">
            <v>REAJ.P.COB.S.LC.DE MEDIANO PLAZO A BCOS.COMERC.</v>
          </cell>
          <cell r="C415">
            <v>0</v>
          </cell>
          <cell r="D415">
            <v>0</v>
          </cell>
          <cell r="E415">
            <v>0</v>
          </cell>
          <cell r="F415">
            <v>0</v>
          </cell>
          <cell r="G415">
            <v>0</v>
          </cell>
          <cell r="H415">
            <v>0</v>
          </cell>
          <cell r="I415">
            <v>0</v>
          </cell>
          <cell r="J415">
            <v>0</v>
          </cell>
          <cell r="K415">
            <v>0</v>
          </cell>
        </row>
        <row r="416">
          <cell r="A416" t="str">
            <v>-</v>
          </cell>
          <cell r="B416" t="str">
            <v xml:space="preserve">CONTRATO NOVACION CARTERA POR OBLIGACION SUBORDINA, </v>
          </cell>
          <cell r="C416">
            <v>0</v>
          </cell>
          <cell r="D416">
            <v>0</v>
          </cell>
          <cell r="E416">
            <v>0</v>
          </cell>
          <cell r="F416">
            <v>0</v>
          </cell>
          <cell r="G416">
            <v>0</v>
          </cell>
          <cell r="H416">
            <v>0</v>
          </cell>
          <cell r="I416">
            <v>0</v>
          </cell>
          <cell r="J416">
            <v>0</v>
          </cell>
          <cell r="K416">
            <v>0</v>
          </cell>
        </row>
        <row r="417">
          <cell r="A417" t="str">
            <v>-</v>
          </cell>
          <cell r="B417" t="str">
            <v xml:space="preserve">REAJUSTES P.COBRAR S.CONTRATO NOVACION CART.SUBOR., </v>
          </cell>
          <cell r="C417">
            <v>0</v>
          </cell>
          <cell r="D417">
            <v>0</v>
          </cell>
          <cell r="E417">
            <v>0</v>
          </cell>
          <cell r="F417">
            <v>0</v>
          </cell>
          <cell r="G417">
            <v>0</v>
          </cell>
          <cell r="H417">
            <v>0</v>
          </cell>
          <cell r="I417">
            <v>0</v>
          </cell>
          <cell r="J417">
            <v>0</v>
          </cell>
          <cell r="K417">
            <v>0</v>
          </cell>
        </row>
        <row r="418">
          <cell r="A418" t="str">
            <v>-</v>
          </cell>
          <cell r="B418" t="str">
            <v xml:space="preserve">CRED.MODALIDAD UNO LIBOR AJUSTADA AC 1686 BCOM </v>
          </cell>
          <cell r="C418">
            <v>0</v>
          </cell>
          <cell r="D418">
            <v>0</v>
          </cell>
          <cell r="E418">
            <v>0</v>
          </cell>
          <cell r="F418">
            <v>0</v>
          </cell>
          <cell r="G418">
            <v>0</v>
          </cell>
          <cell r="H418">
            <v>0</v>
          </cell>
          <cell r="I418">
            <v>0</v>
          </cell>
          <cell r="J418">
            <v>0</v>
          </cell>
          <cell r="K418">
            <v>0</v>
          </cell>
        </row>
        <row r="419">
          <cell r="A419" t="str">
            <v>-</v>
          </cell>
          <cell r="B419" t="str">
            <v xml:space="preserve">CRED.MODALIDAD UNO TIP 91-365 BCOS.COMERCIALES </v>
          </cell>
          <cell r="C419">
            <v>0</v>
          </cell>
          <cell r="D419">
            <v>0</v>
          </cell>
          <cell r="E419">
            <v>0</v>
          </cell>
          <cell r="F419">
            <v>0</v>
          </cell>
          <cell r="G419">
            <v>0</v>
          </cell>
          <cell r="H419">
            <v>0</v>
          </cell>
          <cell r="I419">
            <v>0</v>
          </cell>
          <cell r="J419">
            <v>0</v>
          </cell>
          <cell r="K419">
            <v>0</v>
          </cell>
        </row>
        <row r="420">
          <cell r="A420" t="str">
            <v>-</v>
          </cell>
          <cell r="B420" t="str">
            <v xml:space="preserve">CRED.MODALIDAD DOS LIBOR AJUSTADA AC 1686 BCOM </v>
          </cell>
          <cell r="C420">
            <v>0</v>
          </cell>
          <cell r="D420">
            <v>0</v>
          </cell>
          <cell r="E420">
            <v>0</v>
          </cell>
          <cell r="F420">
            <v>0</v>
          </cell>
          <cell r="G420">
            <v>0</v>
          </cell>
          <cell r="H420">
            <v>0</v>
          </cell>
          <cell r="I420">
            <v>0</v>
          </cell>
          <cell r="J420">
            <v>0</v>
          </cell>
          <cell r="K420">
            <v>0</v>
          </cell>
        </row>
        <row r="421">
          <cell r="A421" t="str">
            <v>-</v>
          </cell>
          <cell r="B421" t="str">
            <v xml:space="preserve">CRED.MODALIDAD DOS TIP 91-365 BCOS.COMERCIALES </v>
          </cell>
          <cell r="C421">
            <v>0</v>
          </cell>
          <cell r="D421">
            <v>0</v>
          </cell>
          <cell r="E421">
            <v>0</v>
          </cell>
          <cell r="F421">
            <v>0</v>
          </cell>
          <cell r="G421">
            <v>0</v>
          </cell>
          <cell r="H421">
            <v>0</v>
          </cell>
          <cell r="I421">
            <v>0</v>
          </cell>
          <cell r="J421">
            <v>0</v>
          </cell>
          <cell r="K421">
            <v>0</v>
          </cell>
        </row>
        <row r="422">
          <cell r="A422" t="str">
            <v>-</v>
          </cell>
          <cell r="B422" t="str">
            <v>CRED.MODALIDAD DOS TIP 30-89 DS BCOS.COMER.</v>
          </cell>
          <cell r="C422">
            <v>0</v>
          </cell>
          <cell r="D422">
            <v>0</v>
          </cell>
          <cell r="E422">
            <v>0</v>
          </cell>
          <cell r="F422">
            <v>0</v>
          </cell>
          <cell r="G422">
            <v>0</v>
          </cell>
          <cell r="H422">
            <v>0</v>
          </cell>
          <cell r="I422">
            <v>0</v>
          </cell>
          <cell r="J422">
            <v>0</v>
          </cell>
          <cell r="K422">
            <v>0</v>
          </cell>
        </row>
        <row r="423">
          <cell r="A423" t="str">
            <v>-</v>
          </cell>
          <cell r="B423" t="str">
            <v xml:space="preserve">REPROGRAMAC.DEUDAS ACDO.1589 BCOS.COMERCIALES </v>
          </cell>
          <cell r="C423">
            <v>0</v>
          </cell>
          <cell r="D423">
            <v>0</v>
          </cell>
          <cell r="E423">
            <v>0</v>
          </cell>
          <cell r="F423">
            <v>0</v>
          </cell>
          <cell r="G423">
            <v>0</v>
          </cell>
          <cell r="H423">
            <v>0</v>
          </cell>
          <cell r="I423">
            <v>0</v>
          </cell>
          <cell r="J423">
            <v>0</v>
          </cell>
          <cell r="K423">
            <v>0</v>
          </cell>
        </row>
        <row r="424">
          <cell r="A424" t="str">
            <v>-</v>
          </cell>
          <cell r="B424" t="str">
            <v>REAJ.P/COBR.S/REPROG.DEUDAS AC.1589 BCOS.COMERC.</v>
          </cell>
          <cell r="C424">
            <v>0</v>
          </cell>
          <cell r="D424">
            <v>0</v>
          </cell>
          <cell r="E424">
            <v>0</v>
          </cell>
          <cell r="F424">
            <v>0</v>
          </cell>
          <cell r="G424">
            <v>0</v>
          </cell>
          <cell r="H424">
            <v>0</v>
          </cell>
          <cell r="I424">
            <v>0</v>
          </cell>
          <cell r="J424">
            <v>0</v>
          </cell>
          <cell r="K424">
            <v>0</v>
          </cell>
        </row>
        <row r="425">
          <cell r="A425" t="str">
            <v>-</v>
          </cell>
          <cell r="B425" t="str">
            <v>L/C P.CONSTITUIR RESERVA TECNICA BCOS.COMERC.</v>
          </cell>
          <cell r="C425">
            <v>0</v>
          </cell>
          <cell r="D425">
            <v>0</v>
          </cell>
          <cell r="E425">
            <v>0</v>
          </cell>
          <cell r="F425">
            <v>0</v>
          </cell>
          <cell r="G425">
            <v>0</v>
          </cell>
          <cell r="H425">
            <v>0</v>
          </cell>
          <cell r="I425">
            <v>0</v>
          </cell>
          <cell r="J425">
            <v>0</v>
          </cell>
          <cell r="K425">
            <v>0</v>
          </cell>
        </row>
        <row r="426">
          <cell r="A426" t="str">
            <v>-</v>
          </cell>
          <cell r="B426" t="str">
            <v xml:space="preserve">REAJ.P.COBRAR S/L/C P.CONSTITUIR RESERVA TEC.BCOM, </v>
          </cell>
          <cell r="C426">
            <v>0</v>
          </cell>
          <cell r="D426">
            <v>0</v>
          </cell>
          <cell r="E426">
            <v>0</v>
          </cell>
          <cell r="F426">
            <v>0</v>
          </cell>
          <cell r="G426">
            <v>0</v>
          </cell>
          <cell r="H426">
            <v>0</v>
          </cell>
          <cell r="I426">
            <v>0</v>
          </cell>
          <cell r="J426">
            <v>0</v>
          </cell>
          <cell r="K426">
            <v>0</v>
          </cell>
        </row>
        <row r="427">
          <cell r="A427" t="str">
            <v>12JKEZN</v>
          </cell>
          <cell r="B427" t="str">
            <v>L/REDES.PARA FINANC.DE EXPORT.AC.1719 BCOS COMER.</v>
          </cell>
          <cell r="C427">
            <v>0</v>
          </cell>
          <cell r="D427">
            <v>0</v>
          </cell>
          <cell r="E427">
            <v>0</v>
          </cell>
          <cell r="F427">
            <v>0</v>
          </cell>
          <cell r="G427">
            <v>0</v>
          </cell>
          <cell r="H427">
            <v>0</v>
          </cell>
          <cell r="I427">
            <v>0</v>
          </cell>
          <cell r="J427">
            <v>0</v>
          </cell>
          <cell r="K427">
            <v>0</v>
          </cell>
        </row>
        <row r="428">
          <cell r="A428" t="str">
            <v>-</v>
          </cell>
          <cell r="B428" t="str">
            <v>L/C P.LICIT.CART.HIPOT.ANAP.AC.1901 BCOS.COMER.</v>
          </cell>
          <cell r="C428">
            <v>0</v>
          </cell>
          <cell r="D428">
            <v>0</v>
          </cell>
          <cell r="E428">
            <v>0</v>
          </cell>
          <cell r="F428">
            <v>0</v>
          </cell>
          <cell r="G428">
            <v>0</v>
          </cell>
          <cell r="H428">
            <v>0</v>
          </cell>
          <cell r="I428">
            <v>0</v>
          </cell>
          <cell r="J428">
            <v>0</v>
          </cell>
          <cell r="K428">
            <v>0</v>
          </cell>
        </row>
        <row r="429">
          <cell r="A429" t="str">
            <v>-</v>
          </cell>
          <cell r="B429" t="str">
            <v>REAJ.P.L/C. LICIT.CART.HIP.ANAP AC.1901 B.COMER.</v>
          </cell>
          <cell r="C429">
            <v>0</v>
          </cell>
          <cell r="D429">
            <v>0</v>
          </cell>
          <cell r="E429">
            <v>0</v>
          </cell>
          <cell r="F429">
            <v>0</v>
          </cell>
          <cell r="G429">
            <v>0</v>
          </cell>
          <cell r="H429">
            <v>0</v>
          </cell>
          <cell r="I429">
            <v>0</v>
          </cell>
          <cell r="J429">
            <v>0</v>
          </cell>
          <cell r="K429">
            <v>0</v>
          </cell>
        </row>
        <row r="430">
          <cell r="A430" t="str">
            <v>-</v>
          </cell>
          <cell r="B430" t="str">
            <v>COMPRA PAGARES DEL BC C/PACTO RETROV. BCOM.</v>
          </cell>
          <cell r="C430">
            <v>0</v>
          </cell>
          <cell r="D430">
            <v>0</v>
          </cell>
          <cell r="E430">
            <v>0</v>
          </cell>
          <cell r="F430">
            <v>0</v>
          </cell>
          <cell r="G430">
            <v>0</v>
          </cell>
          <cell r="H430">
            <v>0</v>
          </cell>
          <cell r="I430">
            <v>0</v>
          </cell>
          <cell r="J430">
            <v>0</v>
          </cell>
          <cell r="K430">
            <v>0</v>
          </cell>
        </row>
        <row r="431">
          <cell r="A431" t="str">
            <v>-</v>
          </cell>
          <cell r="B431" t="str">
            <v xml:space="preserve">SALDOS DE PRECIO POR VENTA DE ACTIVO FIJO, BBC, </v>
          </cell>
          <cell r="C431">
            <v>0</v>
          </cell>
          <cell r="D431">
            <v>0</v>
          </cell>
          <cell r="E431">
            <v>0</v>
          </cell>
          <cell r="F431">
            <v>0</v>
          </cell>
          <cell r="G431">
            <v>0</v>
          </cell>
          <cell r="H431">
            <v>0</v>
          </cell>
          <cell r="I431">
            <v>0</v>
          </cell>
          <cell r="J431">
            <v>0</v>
          </cell>
          <cell r="K431">
            <v>0</v>
          </cell>
        </row>
        <row r="432">
          <cell r="A432" t="str">
            <v>13DAEZN</v>
          </cell>
          <cell r="B432" t="str">
            <v xml:space="preserve">VTAS.CBIO.PZO.C/FINANC.EN </v>
          </cell>
          <cell r="C432">
            <v>0</v>
          </cell>
          <cell r="D432">
            <v>0</v>
          </cell>
          <cell r="E432">
            <v>0</v>
          </cell>
          <cell r="F432">
            <v>0</v>
          </cell>
          <cell r="G432">
            <v>0</v>
          </cell>
          <cell r="H432">
            <v>0</v>
          </cell>
          <cell r="I432">
            <v>0</v>
          </cell>
          <cell r="J432">
            <v>0</v>
          </cell>
          <cell r="K432">
            <v>0</v>
          </cell>
        </row>
        <row r="433">
          <cell r="A433" t="str">
            <v>-</v>
          </cell>
          <cell r="B433" t="str">
            <v>REAJ.P.COBRAR.S.VTA.CBIO. C.FTO.EN ME O.INST.</v>
          </cell>
          <cell r="C433">
            <v>0</v>
          </cell>
          <cell r="D433">
            <v>0</v>
          </cell>
          <cell r="E433">
            <v>0</v>
          </cell>
          <cell r="F433">
            <v>0</v>
          </cell>
          <cell r="G433">
            <v>0</v>
          </cell>
          <cell r="H433">
            <v>0</v>
          </cell>
          <cell r="I433">
            <v>0</v>
          </cell>
          <cell r="J433">
            <v>0</v>
          </cell>
          <cell r="K433">
            <v>0</v>
          </cell>
        </row>
        <row r="434">
          <cell r="A434" t="str">
            <v>-</v>
          </cell>
          <cell r="B434" t="str">
            <v>REF.REAJUSTABLES OTRAS INSTITUCIONES</v>
          </cell>
          <cell r="C434">
            <v>0</v>
          </cell>
          <cell r="D434">
            <v>0</v>
          </cell>
          <cell r="E434">
            <v>0</v>
          </cell>
          <cell r="F434">
            <v>0</v>
          </cell>
          <cell r="G434">
            <v>0</v>
          </cell>
          <cell r="H434">
            <v>0</v>
          </cell>
          <cell r="I434">
            <v>0</v>
          </cell>
          <cell r="J434">
            <v>0</v>
          </cell>
          <cell r="K434">
            <v>0</v>
          </cell>
        </row>
        <row r="435">
          <cell r="A435" t="str">
            <v>12MREZN</v>
          </cell>
          <cell r="B435" t="str">
            <v xml:space="preserve">PAGARES ADQUIRIDOS OTRAS INSTITUCIONES, </v>
          </cell>
          <cell r="C435">
            <v>0</v>
          </cell>
          <cell r="D435">
            <v>0</v>
          </cell>
          <cell r="E435">
            <v>0</v>
          </cell>
          <cell r="F435">
            <v>0</v>
          </cell>
          <cell r="G435">
            <v>0</v>
          </cell>
          <cell r="H435">
            <v>0</v>
          </cell>
          <cell r="I435">
            <v>0</v>
          </cell>
          <cell r="J435">
            <v>0</v>
          </cell>
          <cell r="K435">
            <v>0</v>
          </cell>
        </row>
        <row r="436">
          <cell r="A436" t="str">
            <v>-</v>
          </cell>
          <cell r="B436" t="str">
            <v>REDESCUENTOS A SOCIEDADES FINANCIERAS,</v>
          </cell>
          <cell r="C436">
            <v>0</v>
          </cell>
          <cell r="D436">
            <v>0</v>
          </cell>
          <cell r="E436">
            <v>0</v>
          </cell>
          <cell r="F436">
            <v>0</v>
          </cell>
          <cell r="G436">
            <v>0</v>
          </cell>
          <cell r="H436">
            <v>0</v>
          </cell>
          <cell r="I436">
            <v>0</v>
          </cell>
          <cell r="J436">
            <v>0</v>
          </cell>
          <cell r="K436">
            <v>0</v>
          </cell>
        </row>
        <row r="437">
          <cell r="A437" t="str">
            <v>12DEEZN</v>
          </cell>
          <cell r="B437" t="str">
            <v xml:space="preserve">CONV.CRED.OPERAC.CAF  </v>
          </cell>
          <cell r="C437">
            <v>0</v>
          </cell>
          <cell r="D437">
            <v>0</v>
          </cell>
          <cell r="E437">
            <v>0</v>
          </cell>
          <cell r="F437">
            <v>0</v>
          </cell>
          <cell r="G437">
            <v>0</v>
          </cell>
          <cell r="H437">
            <v>0</v>
          </cell>
          <cell r="I437">
            <v>0</v>
          </cell>
          <cell r="J437">
            <v>0</v>
          </cell>
          <cell r="K437">
            <v>0</v>
          </cell>
        </row>
        <row r="438">
          <cell r="A438" t="str">
            <v>-</v>
          </cell>
          <cell r="B438" t="str">
            <v xml:space="preserve">CRED.AAP.NAC.DEL.2824 </v>
          </cell>
          <cell r="C438">
            <v>0</v>
          </cell>
          <cell r="D438">
            <v>0</v>
          </cell>
          <cell r="E438">
            <v>0</v>
          </cell>
          <cell r="F438">
            <v>0</v>
          </cell>
          <cell r="G438">
            <v>0</v>
          </cell>
          <cell r="H438">
            <v>0</v>
          </cell>
          <cell r="I438">
            <v>0</v>
          </cell>
          <cell r="J438">
            <v>0</v>
          </cell>
          <cell r="K438">
            <v>0</v>
          </cell>
        </row>
        <row r="439">
          <cell r="A439" t="str">
            <v>-</v>
          </cell>
          <cell r="B439" t="str">
            <v xml:space="preserve">L/C AAP NAC.DL 2824 </v>
          </cell>
          <cell r="C439">
            <v>0</v>
          </cell>
          <cell r="D439">
            <v>0</v>
          </cell>
          <cell r="E439">
            <v>0</v>
          </cell>
          <cell r="F439">
            <v>0</v>
          </cell>
          <cell r="G439">
            <v>0</v>
          </cell>
          <cell r="H439">
            <v>0</v>
          </cell>
          <cell r="I439">
            <v>0</v>
          </cell>
          <cell r="J439">
            <v>0</v>
          </cell>
          <cell r="K439">
            <v>0</v>
          </cell>
        </row>
        <row r="440">
          <cell r="A440" t="str">
            <v>-</v>
          </cell>
          <cell r="B440" t="str">
            <v xml:space="preserve">LC INSTIT.FINANCIERAS NO BANCARIAS </v>
          </cell>
          <cell r="C440">
            <v>0</v>
          </cell>
          <cell r="D440">
            <v>0</v>
          </cell>
          <cell r="E440">
            <v>0</v>
          </cell>
          <cell r="F440">
            <v>0</v>
          </cell>
          <cell r="G440">
            <v>0</v>
          </cell>
          <cell r="H440">
            <v>0</v>
          </cell>
          <cell r="I440">
            <v>0</v>
          </cell>
          <cell r="J440">
            <v>0</v>
          </cell>
          <cell r="K440">
            <v>0</v>
          </cell>
        </row>
        <row r="441">
          <cell r="A441" t="str">
            <v>-</v>
          </cell>
          <cell r="B441" t="str">
            <v xml:space="preserve">LIN.REAJ.A BCOS. FOMENTO </v>
          </cell>
          <cell r="C441">
            <v>0</v>
          </cell>
          <cell r="D441">
            <v>0</v>
          </cell>
          <cell r="E441">
            <v>0</v>
          </cell>
          <cell r="F441">
            <v>0</v>
          </cell>
          <cell r="G441">
            <v>0</v>
          </cell>
          <cell r="H441">
            <v>0</v>
          </cell>
          <cell r="I441">
            <v>0</v>
          </cell>
          <cell r="J441">
            <v>0</v>
          </cell>
          <cell r="K441">
            <v>0</v>
          </cell>
        </row>
        <row r="442">
          <cell r="A442" t="str">
            <v>12CJEZN</v>
          </cell>
          <cell r="B442" t="str">
            <v>LC.PROGRAM.ORG.INTERNACIONALES OTRAS INSTITUC.</v>
          </cell>
          <cell r="C442">
            <v>0</v>
          </cell>
          <cell r="D442">
            <v>0</v>
          </cell>
          <cell r="E442">
            <v>0</v>
          </cell>
          <cell r="F442">
            <v>0</v>
          </cell>
          <cell r="G442">
            <v>0</v>
          </cell>
          <cell r="H442">
            <v>0</v>
          </cell>
          <cell r="I442">
            <v>0</v>
          </cell>
          <cell r="J442">
            <v>0</v>
          </cell>
          <cell r="K442">
            <v>0</v>
          </cell>
        </row>
        <row r="443">
          <cell r="A443" t="str">
            <v>-</v>
          </cell>
          <cell r="B443" t="str">
            <v>REAJ P/COBRAR S/REFIN OTR INSTITUCIONES</v>
          </cell>
          <cell r="C443">
            <v>0</v>
          </cell>
          <cell r="D443">
            <v>0</v>
          </cell>
          <cell r="E443">
            <v>0</v>
          </cell>
          <cell r="F443">
            <v>0</v>
          </cell>
          <cell r="G443">
            <v>0</v>
          </cell>
          <cell r="H443">
            <v>0</v>
          </cell>
          <cell r="I443">
            <v>0</v>
          </cell>
          <cell r="J443">
            <v>0</v>
          </cell>
          <cell r="K443">
            <v>0</v>
          </cell>
        </row>
        <row r="444">
          <cell r="A444" t="str">
            <v>-</v>
          </cell>
          <cell r="B444" t="str">
            <v>REAJ.P/COB.LC.INST.FINAN.NO BANCARIAS,</v>
          </cell>
          <cell r="C444">
            <v>0</v>
          </cell>
          <cell r="D444">
            <v>0</v>
          </cell>
          <cell r="E444">
            <v>0</v>
          </cell>
          <cell r="F444">
            <v>0</v>
          </cell>
          <cell r="G444">
            <v>0</v>
          </cell>
          <cell r="H444">
            <v>0</v>
          </cell>
          <cell r="I444">
            <v>0</v>
          </cell>
          <cell r="J444">
            <v>0</v>
          </cell>
          <cell r="K444">
            <v>0</v>
          </cell>
        </row>
        <row r="445">
          <cell r="A445" t="str">
            <v>-</v>
          </cell>
          <cell r="B445" t="str">
            <v xml:space="preserve">REAJ.P/COBRAR S/L.C.REAJUSTABLE BCOS. FOMENTO </v>
          </cell>
          <cell r="C445">
            <v>0</v>
          </cell>
          <cell r="D445">
            <v>0</v>
          </cell>
          <cell r="E445">
            <v>0</v>
          </cell>
          <cell r="F445">
            <v>0</v>
          </cell>
          <cell r="G445">
            <v>0</v>
          </cell>
          <cell r="H445">
            <v>0</v>
          </cell>
          <cell r="I445">
            <v>0</v>
          </cell>
          <cell r="J445">
            <v>0</v>
          </cell>
          <cell r="K445">
            <v>0</v>
          </cell>
        </row>
        <row r="446">
          <cell r="A446" t="str">
            <v>-</v>
          </cell>
          <cell r="B446" t="str">
            <v>REAJ P/COBRAR S/L C AAP DL 2824,</v>
          </cell>
          <cell r="C446">
            <v>0</v>
          </cell>
          <cell r="D446">
            <v>0</v>
          </cell>
          <cell r="E446">
            <v>0</v>
          </cell>
          <cell r="F446">
            <v>0</v>
          </cell>
          <cell r="G446">
            <v>0</v>
          </cell>
          <cell r="H446">
            <v>0</v>
          </cell>
          <cell r="I446">
            <v>0</v>
          </cell>
          <cell r="J446">
            <v>0</v>
          </cell>
          <cell r="K446">
            <v>0</v>
          </cell>
        </row>
        <row r="447">
          <cell r="A447" t="str">
            <v>-</v>
          </cell>
          <cell r="B447" t="str">
            <v>REAJ.P.COBRAR S.LC.PROG.ORG.INTER.OTRO.INSTITUC.</v>
          </cell>
          <cell r="C447">
            <v>0</v>
          </cell>
          <cell r="D447">
            <v>0</v>
          </cell>
          <cell r="E447">
            <v>0</v>
          </cell>
          <cell r="F447">
            <v>0</v>
          </cell>
          <cell r="G447">
            <v>0</v>
          </cell>
          <cell r="H447">
            <v>0</v>
          </cell>
          <cell r="I447">
            <v>0</v>
          </cell>
          <cell r="J447">
            <v>0</v>
          </cell>
          <cell r="K447">
            <v>0</v>
          </cell>
        </row>
        <row r="448">
          <cell r="A448" t="str">
            <v>-</v>
          </cell>
          <cell r="B448" t="str">
            <v xml:space="preserve">REAJ.P/COB.VENTA BIENES RAICES, </v>
          </cell>
          <cell r="C448">
            <v>0</v>
          </cell>
          <cell r="D448">
            <v>0</v>
          </cell>
          <cell r="E448">
            <v>0</v>
          </cell>
          <cell r="F448">
            <v>0</v>
          </cell>
          <cell r="G448">
            <v>0</v>
          </cell>
          <cell r="H448">
            <v>0</v>
          </cell>
          <cell r="I448">
            <v>0</v>
          </cell>
          <cell r="J448">
            <v>0</v>
          </cell>
          <cell r="K448">
            <v>0</v>
          </cell>
        </row>
        <row r="449">
          <cell r="A449" t="str">
            <v>-</v>
          </cell>
          <cell r="B449" t="str">
            <v xml:space="preserve">PRESTAMOS DE URGENCIA OTRAS INSTITUCIONES </v>
          </cell>
          <cell r="C449">
            <v>0</v>
          </cell>
          <cell r="D449">
            <v>0</v>
          </cell>
          <cell r="E449">
            <v>0</v>
          </cell>
          <cell r="F449">
            <v>0</v>
          </cell>
          <cell r="G449">
            <v>0</v>
          </cell>
          <cell r="H449">
            <v>0</v>
          </cell>
          <cell r="I449">
            <v>0</v>
          </cell>
          <cell r="J449">
            <v>0</v>
          </cell>
          <cell r="K449">
            <v>0</v>
          </cell>
        </row>
        <row r="450">
          <cell r="A450" t="str">
            <v>-</v>
          </cell>
          <cell r="B450" t="str">
            <v xml:space="preserve">CONSOLIDAC. PREST.URGENCIA OTRAS INSTITUCIONES </v>
          </cell>
          <cell r="C450">
            <v>0</v>
          </cell>
          <cell r="D450">
            <v>0</v>
          </cell>
          <cell r="E450">
            <v>0</v>
          </cell>
          <cell r="F450">
            <v>0</v>
          </cell>
          <cell r="G450">
            <v>0</v>
          </cell>
          <cell r="H450">
            <v>0</v>
          </cell>
          <cell r="I450">
            <v>0</v>
          </cell>
          <cell r="J450">
            <v>0</v>
          </cell>
          <cell r="K450">
            <v>0</v>
          </cell>
        </row>
        <row r="451">
          <cell r="A451" t="str">
            <v>-</v>
          </cell>
          <cell r="B451" t="str">
            <v>FONDOS LICITADOS A OTRAS INSTITUCIONES,</v>
          </cell>
          <cell r="C451">
            <v>0</v>
          </cell>
          <cell r="D451">
            <v>0</v>
          </cell>
          <cell r="E451">
            <v>0</v>
          </cell>
          <cell r="F451">
            <v>0</v>
          </cell>
          <cell r="G451">
            <v>0</v>
          </cell>
          <cell r="H451">
            <v>0</v>
          </cell>
          <cell r="I451">
            <v>0</v>
          </cell>
          <cell r="J451">
            <v>0</v>
          </cell>
          <cell r="K451">
            <v>0</v>
          </cell>
        </row>
        <row r="452">
          <cell r="A452" t="str">
            <v>-</v>
          </cell>
          <cell r="B452" t="str">
            <v>REAJ.P.RECIB.P.FDOS.LICITADOS A OTRAS INSTITUC.</v>
          </cell>
          <cell r="C452">
            <v>0</v>
          </cell>
          <cell r="D452">
            <v>0</v>
          </cell>
          <cell r="E452">
            <v>0</v>
          </cell>
          <cell r="F452">
            <v>0</v>
          </cell>
          <cell r="G452">
            <v>0</v>
          </cell>
          <cell r="H452">
            <v>0</v>
          </cell>
          <cell r="I452">
            <v>0</v>
          </cell>
          <cell r="J452">
            <v>0</v>
          </cell>
          <cell r="K452">
            <v>0</v>
          </cell>
        </row>
        <row r="453">
          <cell r="A453" t="str">
            <v>-</v>
          </cell>
          <cell r="B453" t="str">
            <v>BONOS ADQUIRIDOS A OTRAS INSTITUCIONES</v>
          </cell>
          <cell r="C453">
            <v>0</v>
          </cell>
          <cell r="D453">
            <v>0</v>
          </cell>
          <cell r="E453">
            <v>0</v>
          </cell>
          <cell r="F453">
            <v>0</v>
          </cell>
          <cell r="G453">
            <v>0</v>
          </cell>
          <cell r="H453">
            <v>0</v>
          </cell>
          <cell r="I453">
            <v>0</v>
          </cell>
          <cell r="J453">
            <v>0</v>
          </cell>
          <cell r="K453">
            <v>0</v>
          </cell>
        </row>
        <row r="454">
          <cell r="A454" t="str">
            <v>-</v>
          </cell>
          <cell r="B454" t="str">
            <v xml:space="preserve">REAJ.P.COBRAR S.BONOS DE OTRAS INSTITUCIONES </v>
          </cell>
          <cell r="C454">
            <v>0</v>
          </cell>
          <cell r="D454">
            <v>0</v>
          </cell>
          <cell r="E454">
            <v>0</v>
          </cell>
          <cell r="F454">
            <v>0</v>
          </cell>
          <cell r="G454">
            <v>0</v>
          </cell>
          <cell r="H454">
            <v>0</v>
          </cell>
          <cell r="I454">
            <v>0</v>
          </cell>
          <cell r="J454">
            <v>0</v>
          </cell>
          <cell r="K454">
            <v>0</v>
          </cell>
        </row>
        <row r="455">
          <cell r="A455" t="str">
            <v>-</v>
          </cell>
          <cell r="B455" t="str">
            <v xml:space="preserve">CARTERA ADQ.C.PACTO RETROVTA.OT.INSTITUC.(ACDO 148, </v>
          </cell>
          <cell r="C455">
            <v>0</v>
          </cell>
          <cell r="D455">
            <v>0</v>
          </cell>
          <cell r="E455">
            <v>0</v>
          </cell>
          <cell r="F455">
            <v>0</v>
          </cell>
          <cell r="G455">
            <v>0</v>
          </cell>
          <cell r="H455">
            <v>0</v>
          </cell>
          <cell r="I455">
            <v>0</v>
          </cell>
          <cell r="J455">
            <v>0</v>
          </cell>
          <cell r="K455">
            <v>0</v>
          </cell>
        </row>
        <row r="456">
          <cell r="A456" t="str">
            <v>-</v>
          </cell>
          <cell r="B456" t="str">
            <v xml:space="preserve">PRESTAMOS PARA CUBRIR DEFICIT DE ENCAJE O.INSTITUC, </v>
          </cell>
          <cell r="C456">
            <v>0</v>
          </cell>
          <cell r="D456">
            <v>0</v>
          </cell>
          <cell r="E456">
            <v>0</v>
          </cell>
          <cell r="F456">
            <v>0</v>
          </cell>
          <cell r="G456">
            <v>0</v>
          </cell>
          <cell r="H456">
            <v>0</v>
          </cell>
          <cell r="I456">
            <v>0</v>
          </cell>
          <cell r="J456">
            <v>0</v>
          </cell>
          <cell r="K456">
            <v>0</v>
          </cell>
        </row>
        <row r="457">
          <cell r="A457" t="str">
            <v>-</v>
          </cell>
          <cell r="B457" t="str">
            <v>DOCUMENTOS CDTO.HIPOTECARIO ADQ.OTRAS INSTITUC.</v>
          </cell>
          <cell r="C457">
            <v>0</v>
          </cell>
          <cell r="D457">
            <v>0</v>
          </cell>
          <cell r="E457">
            <v>0</v>
          </cell>
          <cell r="F457">
            <v>0</v>
          </cell>
          <cell r="G457">
            <v>0</v>
          </cell>
          <cell r="H457">
            <v>0</v>
          </cell>
          <cell r="I457">
            <v>0</v>
          </cell>
          <cell r="J457">
            <v>0</v>
          </cell>
          <cell r="K457">
            <v>0</v>
          </cell>
        </row>
        <row r="458">
          <cell r="A458" t="str">
            <v>-</v>
          </cell>
          <cell r="B458" t="str">
            <v xml:space="preserve">REAJ.P.COB.S.CPRA.DOC.CRED.HIPOT.ADQ.OT.INSTIT. </v>
          </cell>
          <cell r="C458">
            <v>0</v>
          </cell>
          <cell r="D458">
            <v>0</v>
          </cell>
          <cell r="E458">
            <v>0</v>
          </cell>
          <cell r="F458">
            <v>0</v>
          </cell>
          <cell r="G458">
            <v>0</v>
          </cell>
          <cell r="H458">
            <v>0</v>
          </cell>
          <cell r="I458">
            <v>0</v>
          </cell>
          <cell r="J458">
            <v>0</v>
          </cell>
          <cell r="K458">
            <v>0</v>
          </cell>
        </row>
        <row r="459">
          <cell r="A459" t="str">
            <v>-</v>
          </cell>
          <cell r="B459" t="str">
            <v xml:space="preserve">ANTICIPOS DE CREDITOS AL SISTEMA FINANC.OTRAS INST, </v>
          </cell>
          <cell r="C459">
            <v>0</v>
          </cell>
          <cell r="D459">
            <v>0</v>
          </cell>
          <cell r="E459">
            <v>0</v>
          </cell>
          <cell r="F459">
            <v>0</v>
          </cell>
          <cell r="G459">
            <v>0</v>
          </cell>
          <cell r="H459">
            <v>0</v>
          </cell>
          <cell r="I459">
            <v>0</v>
          </cell>
          <cell r="J459">
            <v>0</v>
          </cell>
          <cell r="K459">
            <v>0</v>
          </cell>
        </row>
        <row r="460">
          <cell r="A460" t="str">
            <v>-</v>
          </cell>
          <cell r="B460" t="str">
            <v>CONSOLIDACION PRESTAMOS URGENCIA OT.INSTITUC.</v>
          </cell>
          <cell r="C460">
            <v>0</v>
          </cell>
          <cell r="D460">
            <v>0</v>
          </cell>
          <cell r="E460">
            <v>0</v>
          </cell>
          <cell r="F460">
            <v>0</v>
          </cell>
          <cell r="G460">
            <v>0</v>
          </cell>
          <cell r="H460">
            <v>0</v>
          </cell>
          <cell r="I460">
            <v>0</v>
          </cell>
          <cell r="J460">
            <v>0</v>
          </cell>
          <cell r="K460">
            <v>0</v>
          </cell>
        </row>
        <row r="461">
          <cell r="A461" t="str">
            <v>12DJEZN</v>
          </cell>
          <cell r="B461" t="str">
            <v>L.C. P.REPROGRAMACION DEUDAS OTRAS INSTITUC</v>
          </cell>
          <cell r="C461">
            <v>0</v>
          </cell>
          <cell r="D461">
            <v>0</v>
          </cell>
          <cell r="E461">
            <v>0</v>
          </cell>
          <cell r="F461">
            <v>0</v>
          </cell>
          <cell r="G461">
            <v>0</v>
          </cell>
          <cell r="H461">
            <v>0</v>
          </cell>
          <cell r="I461">
            <v>0</v>
          </cell>
          <cell r="J461">
            <v>0</v>
          </cell>
          <cell r="K461">
            <v>0</v>
          </cell>
        </row>
        <row r="462">
          <cell r="A462" t="str">
            <v>-</v>
          </cell>
          <cell r="B462" t="str">
            <v>REAJ.P.COB.S.LC.REPROG.DEUDAS OTRAS INSTITUC.</v>
          </cell>
          <cell r="C462">
            <v>0</v>
          </cell>
          <cell r="D462">
            <v>0</v>
          </cell>
          <cell r="E462">
            <v>0</v>
          </cell>
          <cell r="F462">
            <v>0</v>
          </cell>
          <cell r="G462">
            <v>0</v>
          </cell>
          <cell r="H462">
            <v>0</v>
          </cell>
          <cell r="I462">
            <v>0</v>
          </cell>
          <cell r="J462">
            <v>0</v>
          </cell>
          <cell r="K462">
            <v>0</v>
          </cell>
        </row>
        <row r="463">
          <cell r="A463" t="str">
            <v>12DLEZN</v>
          </cell>
          <cell r="B463" t="str">
            <v xml:space="preserve">DCTOS.VCDOS P.CRED.C.REC.ORG.INT.A FAVOR FISCO </v>
          </cell>
          <cell r="C463">
            <v>0</v>
          </cell>
          <cell r="D463">
            <v>0</v>
          </cell>
          <cell r="E463">
            <v>0</v>
          </cell>
          <cell r="F463">
            <v>0</v>
          </cell>
          <cell r="G463">
            <v>0</v>
          </cell>
          <cell r="H463">
            <v>0</v>
          </cell>
          <cell r="I463">
            <v>0</v>
          </cell>
          <cell r="J463">
            <v>0</v>
          </cell>
          <cell r="K463">
            <v>0</v>
          </cell>
        </row>
        <row r="464">
          <cell r="A464" t="str">
            <v>12DMEZN</v>
          </cell>
          <cell r="B464" t="str">
            <v>OPER.CRED.EMITIDAS P.BCOS.EN LIQ.Y PAG.A B.CENT</v>
          </cell>
          <cell r="C464">
            <v>0</v>
          </cell>
          <cell r="D464">
            <v>0</v>
          </cell>
          <cell r="E464">
            <v>0</v>
          </cell>
          <cell r="F464">
            <v>0</v>
          </cell>
          <cell r="G464">
            <v>0</v>
          </cell>
          <cell r="H464">
            <v>0</v>
          </cell>
          <cell r="I464">
            <v>0</v>
          </cell>
          <cell r="J464">
            <v>0</v>
          </cell>
          <cell r="K464">
            <v>0</v>
          </cell>
        </row>
        <row r="465">
          <cell r="A465" t="str">
            <v>-</v>
          </cell>
          <cell r="B465" t="str">
            <v>LINEA CREDITO CORTO PLAZO A SOCIEDADES FINANC.</v>
          </cell>
          <cell r="C465">
            <v>0</v>
          </cell>
          <cell r="D465">
            <v>0</v>
          </cell>
          <cell r="E465">
            <v>0</v>
          </cell>
          <cell r="F465">
            <v>0</v>
          </cell>
          <cell r="G465">
            <v>0</v>
          </cell>
          <cell r="H465">
            <v>0</v>
          </cell>
          <cell r="I465">
            <v>0</v>
          </cell>
          <cell r="J465">
            <v>0</v>
          </cell>
          <cell r="K465">
            <v>0</v>
          </cell>
        </row>
        <row r="466">
          <cell r="A466" t="str">
            <v>-</v>
          </cell>
          <cell r="B466" t="str">
            <v xml:space="preserve">REAJ.P.COBRAR S/L/C.CORTO PLAZO OTRAS INSTITUCIONE, </v>
          </cell>
          <cell r="C466">
            <v>0</v>
          </cell>
          <cell r="D466">
            <v>0</v>
          </cell>
          <cell r="E466">
            <v>0</v>
          </cell>
          <cell r="F466">
            <v>0</v>
          </cell>
          <cell r="G466">
            <v>0</v>
          </cell>
          <cell r="H466">
            <v>0</v>
          </cell>
          <cell r="I466">
            <v>0</v>
          </cell>
          <cell r="J466">
            <v>0</v>
          </cell>
          <cell r="K466">
            <v>0</v>
          </cell>
        </row>
        <row r="467">
          <cell r="A467" t="str">
            <v>-</v>
          </cell>
          <cell r="B467" t="str">
            <v xml:space="preserve">LC.P.REPROGRAM.DEUDAS HIPOTECARIAS OTRAS INSTITUC., </v>
          </cell>
          <cell r="C467">
            <v>0</v>
          </cell>
          <cell r="D467">
            <v>0</v>
          </cell>
          <cell r="E467">
            <v>0</v>
          </cell>
          <cell r="F467">
            <v>0</v>
          </cell>
          <cell r="G467">
            <v>0</v>
          </cell>
          <cell r="H467">
            <v>0</v>
          </cell>
          <cell r="I467">
            <v>0</v>
          </cell>
          <cell r="J467">
            <v>0</v>
          </cell>
          <cell r="K467">
            <v>0</v>
          </cell>
        </row>
        <row r="468">
          <cell r="A468" t="str">
            <v>-</v>
          </cell>
          <cell r="B468" t="str">
            <v xml:space="preserve">REAJ.P.COB. S.LC.REPROGRAM.DEUD.HIPOTEC.OTRAS INST, </v>
          </cell>
          <cell r="C468">
            <v>0</v>
          </cell>
          <cell r="D468">
            <v>0</v>
          </cell>
          <cell r="E468">
            <v>0</v>
          </cell>
          <cell r="F468">
            <v>0</v>
          </cell>
          <cell r="G468">
            <v>0</v>
          </cell>
          <cell r="H468">
            <v>0</v>
          </cell>
          <cell r="I468">
            <v>0</v>
          </cell>
          <cell r="J468">
            <v>0</v>
          </cell>
          <cell r="K468">
            <v>0</v>
          </cell>
        </row>
        <row r="469">
          <cell r="A469" t="str">
            <v>-</v>
          </cell>
          <cell r="B469" t="str">
            <v xml:space="preserve">CONTRATOS VTAS.CARTERAS ADQ.INST.FINANC.LIQ.OT.INS, </v>
          </cell>
          <cell r="C469">
            <v>0</v>
          </cell>
          <cell r="D469">
            <v>0</v>
          </cell>
          <cell r="E469">
            <v>0</v>
          </cell>
          <cell r="F469">
            <v>0</v>
          </cell>
          <cell r="G469">
            <v>0</v>
          </cell>
          <cell r="H469">
            <v>0</v>
          </cell>
          <cell r="I469">
            <v>0</v>
          </cell>
          <cell r="J469">
            <v>0</v>
          </cell>
          <cell r="K469">
            <v>0</v>
          </cell>
        </row>
        <row r="470">
          <cell r="A470" t="str">
            <v>-</v>
          </cell>
          <cell r="B470" t="str">
            <v>REAJ.P.COB.S.CONTR.VTAS.CARTERA ADQ.INS.FIN.LIQ.O.,</v>
          </cell>
          <cell r="C470">
            <v>0</v>
          </cell>
          <cell r="D470">
            <v>0</v>
          </cell>
          <cell r="E470">
            <v>0</v>
          </cell>
          <cell r="F470">
            <v>0</v>
          </cell>
          <cell r="G470">
            <v>0</v>
          </cell>
          <cell r="H470">
            <v>0</v>
          </cell>
          <cell r="I470">
            <v>0</v>
          </cell>
          <cell r="J470">
            <v>0</v>
          </cell>
          <cell r="K470">
            <v>0</v>
          </cell>
        </row>
        <row r="471">
          <cell r="A471" t="str">
            <v>-</v>
          </cell>
          <cell r="B471" t="str">
            <v>LINEA CREDITO PARA CAPITAL DE TRABAJO OTR.INST.,</v>
          </cell>
          <cell r="C471">
            <v>0</v>
          </cell>
          <cell r="D471">
            <v>0</v>
          </cell>
          <cell r="E471">
            <v>0</v>
          </cell>
          <cell r="F471">
            <v>0</v>
          </cell>
          <cell r="G471">
            <v>0</v>
          </cell>
          <cell r="H471">
            <v>0</v>
          </cell>
          <cell r="I471">
            <v>0</v>
          </cell>
          <cell r="J471">
            <v>0</v>
          </cell>
          <cell r="K471">
            <v>0</v>
          </cell>
        </row>
        <row r="472">
          <cell r="A472" t="str">
            <v>-</v>
          </cell>
          <cell r="B472" t="str">
            <v>REAJ.P.COB.P.LC. P.CAPITAL DE TRABAJO OTR.INSTITUC,</v>
          </cell>
          <cell r="C472">
            <v>0</v>
          </cell>
          <cell r="D472">
            <v>0</v>
          </cell>
          <cell r="E472">
            <v>0</v>
          </cell>
          <cell r="F472">
            <v>0</v>
          </cell>
          <cell r="G472">
            <v>0</v>
          </cell>
          <cell r="H472">
            <v>0</v>
          </cell>
          <cell r="I472">
            <v>0</v>
          </cell>
          <cell r="J472">
            <v>0</v>
          </cell>
          <cell r="K472">
            <v>0</v>
          </cell>
        </row>
        <row r="473">
          <cell r="A473" t="str">
            <v>-</v>
          </cell>
          <cell r="B473" t="str">
            <v xml:space="preserve">REAJ.P.COBRAR S.PAGARES ADQUIRIDOS OTRAS INSTITUC., </v>
          </cell>
          <cell r="C473">
            <v>0</v>
          </cell>
          <cell r="D473">
            <v>0</v>
          </cell>
          <cell r="E473">
            <v>0</v>
          </cell>
          <cell r="F473">
            <v>0</v>
          </cell>
          <cell r="G473">
            <v>0</v>
          </cell>
          <cell r="H473">
            <v>0</v>
          </cell>
          <cell r="I473">
            <v>0</v>
          </cell>
          <cell r="J473">
            <v>0</v>
          </cell>
          <cell r="K473">
            <v>0</v>
          </cell>
        </row>
        <row r="474">
          <cell r="A474" t="str">
            <v>-</v>
          </cell>
          <cell r="B474" t="str">
            <v xml:space="preserve">COMPRA CARTERA C/PACTO DE REVTA.P.CONTADO OT.INST., </v>
          </cell>
          <cell r="C474">
            <v>0</v>
          </cell>
          <cell r="D474">
            <v>0</v>
          </cell>
          <cell r="E474">
            <v>0</v>
          </cell>
          <cell r="F474">
            <v>0</v>
          </cell>
          <cell r="G474">
            <v>0</v>
          </cell>
          <cell r="H474">
            <v>0</v>
          </cell>
          <cell r="I474">
            <v>0</v>
          </cell>
          <cell r="J474">
            <v>0</v>
          </cell>
          <cell r="K474">
            <v>0</v>
          </cell>
        </row>
        <row r="475">
          <cell r="A475" t="str">
            <v>-</v>
          </cell>
          <cell r="B475" t="str">
            <v xml:space="preserve">REAJ.COMP.CART.C/PACTO DE REVTA.P.CONTADO OT.INST., </v>
          </cell>
          <cell r="C475">
            <v>0</v>
          </cell>
          <cell r="D475">
            <v>0</v>
          </cell>
          <cell r="E475">
            <v>0</v>
          </cell>
          <cell r="F475">
            <v>0</v>
          </cell>
          <cell r="G475">
            <v>0</v>
          </cell>
          <cell r="H475">
            <v>0</v>
          </cell>
          <cell r="I475">
            <v>0</v>
          </cell>
          <cell r="J475">
            <v>0</v>
          </cell>
          <cell r="K475">
            <v>0</v>
          </cell>
        </row>
        <row r="476">
          <cell r="A476" t="str">
            <v>-</v>
          </cell>
          <cell r="B476" t="str">
            <v>REPROG.CRED.DE CONSUMO OTRAS INSTITUCIONES,</v>
          </cell>
          <cell r="C476">
            <v>0</v>
          </cell>
          <cell r="D476">
            <v>0</v>
          </cell>
          <cell r="E476">
            <v>0</v>
          </cell>
          <cell r="F476">
            <v>0</v>
          </cell>
          <cell r="G476">
            <v>0</v>
          </cell>
          <cell r="H476">
            <v>0</v>
          </cell>
          <cell r="I476">
            <v>0</v>
          </cell>
          <cell r="J476">
            <v>0</v>
          </cell>
          <cell r="K476">
            <v>0</v>
          </cell>
        </row>
        <row r="477">
          <cell r="A477" t="str">
            <v>-</v>
          </cell>
          <cell r="B477" t="str">
            <v xml:space="preserve">REAJ.P.COBRAR S.REPROG.CRED.CONSUMO OT.INSTITUCION, </v>
          </cell>
          <cell r="C477">
            <v>0</v>
          </cell>
          <cell r="D477">
            <v>0</v>
          </cell>
          <cell r="E477">
            <v>0</v>
          </cell>
          <cell r="F477">
            <v>0</v>
          </cell>
          <cell r="G477">
            <v>0</v>
          </cell>
          <cell r="H477">
            <v>0</v>
          </cell>
          <cell r="I477">
            <v>0</v>
          </cell>
          <cell r="J477">
            <v>0</v>
          </cell>
          <cell r="K477">
            <v>0</v>
          </cell>
        </row>
        <row r="478">
          <cell r="A478" t="str">
            <v>12NGEZN</v>
          </cell>
          <cell r="B478" t="str">
            <v>REPROG.DEUDAS SECTOR PRODUC.(ACDO.1578)O.INSTIT.</v>
          </cell>
          <cell r="C478">
            <v>0</v>
          </cell>
          <cell r="D478">
            <v>0</v>
          </cell>
          <cell r="E478">
            <v>0</v>
          </cell>
          <cell r="F478">
            <v>0</v>
          </cell>
          <cell r="G478">
            <v>0</v>
          </cell>
          <cell r="H478">
            <v>0</v>
          </cell>
          <cell r="I478">
            <v>0</v>
          </cell>
          <cell r="J478">
            <v>0</v>
          </cell>
          <cell r="K478">
            <v>0</v>
          </cell>
        </row>
        <row r="479">
          <cell r="A479" t="str">
            <v>12NPEZN</v>
          </cell>
          <cell r="B479" t="str">
            <v>REAJ.P.COBRAR S.REPROG.DEUDAS SEC.PROD.O.INSTIT.</v>
          </cell>
          <cell r="C479">
            <v>0</v>
          </cell>
          <cell r="D479">
            <v>0</v>
          </cell>
          <cell r="E479">
            <v>0</v>
          </cell>
          <cell r="F479">
            <v>0</v>
          </cell>
          <cell r="G479">
            <v>0</v>
          </cell>
          <cell r="H479">
            <v>0</v>
          </cell>
          <cell r="I479">
            <v>0</v>
          </cell>
          <cell r="J479">
            <v>0</v>
          </cell>
          <cell r="K479">
            <v>0</v>
          </cell>
        </row>
        <row r="480">
          <cell r="A480" t="str">
            <v>-</v>
          </cell>
          <cell r="B480" t="str">
            <v>DESCUENTO DE INSTRUMENTOS FINANCIEROS OT.INSTIT.</v>
          </cell>
          <cell r="C480">
            <v>0</v>
          </cell>
          <cell r="D480">
            <v>0</v>
          </cell>
          <cell r="E480">
            <v>0</v>
          </cell>
          <cell r="F480">
            <v>0</v>
          </cell>
          <cell r="G480">
            <v>0</v>
          </cell>
          <cell r="H480">
            <v>0</v>
          </cell>
          <cell r="I480">
            <v>0</v>
          </cell>
          <cell r="J480">
            <v>0</v>
          </cell>
          <cell r="K480">
            <v>0</v>
          </cell>
        </row>
        <row r="481">
          <cell r="A481" t="str">
            <v>-</v>
          </cell>
          <cell r="B481" t="str">
            <v>REAJ.P.COBRAR S.DESC.INSTRUM.FINANC.OT.INSTIT.</v>
          </cell>
          <cell r="C481">
            <v>0</v>
          </cell>
          <cell r="D481">
            <v>0</v>
          </cell>
          <cell r="E481">
            <v>0</v>
          </cell>
          <cell r="F481">
            <v>0</v>
          </cell>
          <cell r="G481">
            <v>0</v>
          </cell>
          <cell r="H481">
            <v>0</v>
          </cell>
          <cell r="I481">
            <v>0</v>
          </cell>
          <cell r="J481">
            <v>0</v>
          </cell>
          <cell r="K481">
            <v>0</v>
          </cell>
        </row>
        <row r="482">
          <cell r="A482" t="str">
            <v>-</v>
          </cell>
          <cell r="B482" t="str">
            <v>LINEA DE CREDITO DE MEDIANO PLAZO A OT.INSTITUC.</v>
          </cell>
          <cell r="C482">
            <v>0</v>
          </cell>
          <cell r="D482">
            <v>0</v>
          </cell>
          <cell r="E482">
            <v>0</v>
          </cell>
          <cell r="F482">
            <v>0</v>
          </cell>
          <cell r="G482">
            <v>0</v>
          </cell>
          <cell r="H482">
            <v>0</v>
          </cell>
          <cell r="I482">
            <v>0</v>
          </cell>
          <cell r="J482">
            <v>0</v>
          </cell>
          <cell r="K482">
            <v>0</v>
          </cell>
        </row>
        <row r="483">
          <cell r="A483" t="str">
            <v>-</v>
          </cell>
          <cell r="B483" t="str">
            <v>REAJ.P.COB.S.L/C DE MEDIANO PLAZO A OT.INSTITUC</v>
          </cell>
          <cell r="C483">
            <v>0</v>
          </cell>
          <cell r="D483">
            <v>0</v>
          </cell>
          <cell r="E483">
            <v>0</v>
          </cell>
          <cell r="F483">
            <v>0</v>
          </cell>
          <cell r="G483">
            <v>0</v>
          </cell>
          <cell r="H483">
            <v>0</v>
          </cell>
          <cell r="I483">
            <v>0</v>
          </cell>
          <cell r="J483">
            <v>0</v>
          </cell>
          <cell r="K483">
            <v>0</v>
          </cell>
        </row>
        <row r="484">
          <cell r="A484" t="str">
            <v>-</v>
          </cell>
          <cell r="B484" t="str">
            <v xml:space="preserve">CREDITOS P.DEPOS.AC.1657-09 OTRAS INSTITUCIONES, </v>
          </cell>
          <cell r="C484">
            <v>0</v>
          </cell>
          <cell r="D484">
            <v>0</v>
          </cell>
          <cell r="E484">
            <v>0</v>
          </cell>
          <cell r="F484">
            <v>0</v>
          </cell>
          <cell r="G484">
            <v>0</v>
          </cell>
          <cell r="H484">
            <v>0</v>
          </cell>
          <cell r="I484">
            <v>0</v>
          </cell>
          <cell r="J484">
            <v>0</v>
          </cell>
          <cell r="K484">
            <v>0</v>
          </cell>
        </row>
        <row r="485">
          <cell r="A485" t="str">
            <v>-</v>
          </cell>
          <cell r="B485" t="str">
            <v xml:space="preserve">CRED.MODAL.UNO TIP 91-365 OTRAS INSTITUCIONES </v>
          </cell>
          <cell r="C485">
            <v>0</v>
          </cell>
          <cell r="D485">
            <v>0</v>
          </cell>
          <cell r="E485">
            <v>0</v>
          </cell>
          <cell r="F485">
            <v>0</v>
          </cell>
          <cell r="G485">
            <v>0</v>
          </cell>
          <cell r="H485">
            <v>0</v>
          </cell>
          <cell r="I485">
            <v>0</v>
          </cell>
          <cell r="J485">
            <v>0</v>
          </cell>
          <cell r="K485">
            <v>0</v>
          </cell>
        </row>
        <row r="486">
          <cell r="A486" t="str">
            <v>-</v>
          </cell>
          <cell r="B486" t="str">
            <v xml:space="preserve">CRED MODALIDAD DOS TIP 30-89 DIAS OTRAS INSTITUCIO, </v>
          </cell>
          <cell r="C486">
            <v>0</v>
          </cell>
          <cell r="D486">
            <v>0</v>
          </cell>
          <cell r="E486">
            <v>0</v>
          </cell>
          <cell r="F486">
            <v>0</v>
          </cell>
          <cell r="G486">
            <v>0</v>
          </cell>
          <cell r="H486">
            <v>0</v>
          </cell>
          <cell r="I486">
            <v>0</v>
          </cell>
          <cell r="J486">
            <v>0</v>
          </cell>
          <cell r="K486">
            <v>0</v>
          </cell>
        </row>
        <row r="487">
          <cell r="A487" t="str">
            <v>-</v>
          </cell>
          <cell r="B487" t="str">
            <v xml:space="preserve">C PARA CONSTITUIR RESERVA TECNICA OTRAS INSTITUCIO, </v>
          </cell>
          <cell r="C487">
            <v>0</v>
          </cell>
          <cell r="D487">
            <v>0</v>
          </cell>
          <cell r="E487">
            <v>0</v>
          </cell>
          <cell r="F487">
            <v>0</v>
          </cell>
          <cell r="G487">
            <v>0</v>
          </cell>
          <cell r="H487">
            <v>0</v>
          </cell>
          <cell r="I487">
            <v>0</v>
          </cell>
          <cell r="J487">
            <v>0</v>
          </cell>
          <cell r="K487">
            <v>0</v>
          </cell>
        </row>
        <row r="488">
          <cell r="A488" t="str">
            <v>-</v>
          </cell>
          <cell r="B488" t="str">
            <v xml:space="preserve">COBRAR S/L/C PARA CONSTITUIR RESERVA TECNICA OTS I, </v>
          </cell>
          <cell r="C488">
            <v>0</v>
          </cell>
          <cell r="D488">
            <v>0</v>
          </cell>
          <cell r="E488">
            <v>0</v>
          </cell>
          <cell r="F488">
            <v>0</v>
          </cell>
          <cell r="G488">
            <v>0</v>
          </cell>
          <cell r="H488">
            <v>0</v>
          </cell>
          <cell r="I488">
            <v>0</v>
          </cell>
          <cell r="J488">
            <v>0</v>
          </cell>
          <cell r="K488">
            <v>0</v>
          </cell>
        </row>
        <row r="489">
          <cell r="A489" t="str">
            <v>-</v>
          </cell>
          <cell r="B489" t="str">
            <v>CREDITO INSA SA EN LIQUIDACION ACDO 1792,</v>
          </cell>
          <cell r="C489">
            <v>0</v>
          </cell>
          <cell r="D489">
            <v>0</v>
          </cell>
          <cell r="E489">
            <v>0</v>
          </cell>
          <cell r="F489">
            <v>0</v>
          </cell>
          <cell r="G489">
            <v>0</v>
          </cell>
          <cell r="H489">
            <v>0</v>
          </cell>
          <cell r="I489">
            <v>0</v>
          </cell>
          <cell r="J489">
            <v>0</v>
          </cell>
          <cell r="K489">
            <v>0</v>
          </cell>
        </row>
        <row r="490">
          <cell r="A490" t="str">
            <v>-</v>
          </cell>
          <cell r="B490" t="str">
            <v>REAJ.P.COBRAR S/CRED.INSA SA EN LIQUIDAC.ACDO.1792</v>
          </cell>
          <cell r="C490">
            <v>0</v>
          </cell>
          <cell r="D490">
            <v>0</v>
          </cell>
          <cell r="E490">
            <v>0</v>
          </cell>
          <cell r="F490">
            <v>0</v>
          </cell>
          <cell r="G490">
            <v>0</v>
          </cell>
          <cell r="H490">
            <v>0</v>
          </cell>
          <cell r="I490">
            <v>0</v>
          </cell>
          <cell r="J490">
            <v>0</v>
          </cell>
          <cell r="K490">
            <v>0</v>
          </cell>
        </row>
        <row r="491">
          <cell r="A491" t="str">
            <v>-</v>
          </cell>
          <cell r="B491" t="str">
            <v>L/C LIC.CARTERA HIPOT.ANAP ACDO.1901 O.INST.</v>
          </cell>
          <cell r="C491">
            <v>0</v>
          </cell>
          <cell r="D491">
            <v>0</v>
          </cell>
          <cell r="E491">
            <v>0</v>
          </cell>
          <cell r="F491">
            <v>0</v>
          </cell>
          <cell r="G491">
            <v>0</v>
          </cell>
          <cell r="H491">
            <v>0</v>
          </cell>
          <cell r="I491">
            <v>0</v>
          </cell>
          <cell r="J491">
            <v>0</v>
          </cell>
          <cell r="K491">
            <v>0</v>
          </cell>
        </row>
        <row r="492">
          <cell r="A492" t="str">
            <v>-</v>
          </cell>
          <cell r="B492" t="str">
            <v>REAJ.P/COB.L/C LIC.CARTERA HIP.ANAP AC.1901 O.INS,</v>
          </cell>
          <cell r="C492">
            <v>0</v>
          </cell>
          <cell r="D492">
            <v>0</v>
          </cell>
          <cell r="E492">
            <v>0</v>
          </cell>
          <cell r="F492">
            <v>0</v>
          </cell>
          <cell r="G492">
            <v>0</v>
          </cell>
          <cell r="H492">
            <v>0</v>
          </cell>
          <cell r="I492">
            <v>0</v>
          </cell>
          <cell r="J492">
            <v>0</v>
          </cell>
          <cell r="K492">
            <v>0</v>
          </cell>
        </row>
        <row r="493">
          <cell r="A493" t="str">
            <v>12JWEZN</v>
          </cell>
          <cell r="B493" t="str">
            <v xml:space="preserve">LIQUIDACION SINAP LEY 18900 </v>
          </cell>
          <cell r="C493">
            <v>0</v>
          </cell>
          <cell r="D493">
            <v>0</v>
          </cell>
          <cell r="E493">
            <v>0</v>
          </cell>
          <cell r="F493">
            <v>0</v>
          </cell>
          <cell r="G493">
            <v>0</v>
          </cell>
          <cell r="H493">
            <v>0</v>
          </cell>
          <cell r="I493">
            <v>0</v>
          </cell>
          <cell r="J493">
            <v>0</v>
          </cell>
          <cell r="K493">
            <v>0</v>
          </cell>
        </row>
        <row r="494">
          <cell r="A494" t="str">
            <v>-</v>
          </cell>
          <cell r="B494" t="str">
            <v>PACTO RETROVENTA OTRAS INSTITUC.</v>
          </cell>
          <cell r="C494">
            <v>0</v>
          </cell>
          <cell r="D494">
            <v>0</v>
          </cell>
          <cell r="E494">
            <v>0</v>
          </cell>
          <cell r="F494">
            <v>0</v>
          </cell>
          <cell r="G494">
            <v>0</v>
          </cell>
          <cell r="H494">
            <v>0</v>
          </cell>
          <cell r="I494">
            <v>0</v>
          </cell>
          <cell r="J494">
            <v>0</v>
          </cell>
          <cell r="K494">
            <v>0</v>
          </cell>
        </row>
        <row r="495">
          <cell r="A495" t="str">
            <v>12BDWZN</v>
          </cell>
          <cell r="B495" t="str">
            <v xml:space="preserve">  .INVERSIONES Y OTROS ACT.M/N</v>
          </cell>
          <cell r="C495">
            <v>53194</v>
          </cell>
          <cell r="D495">
            <v>56654</v>
          </cell>
          <cell r="E495">
            <v>60805</v>
          </cell>
          <cell r="F495">
            <v>20724</v>
          </cell>
          <cell r="G495">
            <v>24994</v>
          </cell>
          <cell r="H495">
            <v>28734</v>
          </cell>
          <cell r="I495">
            <v>32729</v>
          </cell>
          <cell r="J495">
            <v>36920</v>
          </cell>
          <cell r="K495">
            <v>40705</v>
          </cell>
        </row>
        <row r="496">
          <cell r="A496" t="str">
            <v>12IFNZN</v>
          </cell>
          <cell r="B496" t="str">
            <v>INT.P/REC.BCOS.COMERCIALES</v>
          </cell>
          <cell r="C496">
            <v>33464</v>
          </cell>
          <cell r="D496">
            <v>36774</v>
          </cell>
          <cell r="E496">
            <v>40759</v>
          </cell>
          <cell r="F496">
            <v>519</v>
          </cell>
          <cell r="G496">
            <v>4561</v>
          </cell>
          <cell r="H496">
            <v>8193</v>
          </cell>
          <cell r="I496">
            <v>12026</v>
          </cell>
          <cell r="J496">
            <v>16002</v>
          </cell>
          <cell r="K496">
            <v>19709</v>
          </cell>
        </row>
        <row r="497">
          <cell r="A497" t="str">
            <v>12IGNZN</v>
          </cell>
          <cell r="B497" t="str">
            <v xml:space="preserve">INT.P/REC.BCO.ESTADO </v>
          </cell>
          <cell r="C497">
            <v>77</v>
          </cell>
          <cell r="D497">
            <v>75</v>
          </cell>
          <cell r="E497">
            <v>78</v>
          </cell>
          <cell r="F497">
            <v>73</v>
          </cell>
          <cell r="G497">
            <v>138</v>
          </cell>
          <cell r="H497">
            <v>82</v>
          </cell>
          <cell r="I497">
            <v>82</v>
          </cell>
          <cell r="J497">
            <v>131</v>
          </cell>
          <cell r="K497">
            <v>44</v>
          </cell>
        </row>
        <row r="498">
          <cell r="A498" t="str">
            <v>12HBNZN</v>
          </cell>
          <cell r="B498" t="str">
            <v xml:space="preserve">INTERESES P/RECIB.FISCO  </v>
          </cell>
          <cell r="C498">
            <v>0</v>
          </cell>
          <cell r="D498">
            <v>0</v>
          </cell>
          <cell r="E498">
            <v>0</v>
          </cell>
          <cell r="F498">
            <v>0</v>
          </cell>
          <cell r="G498">
            <v>0</v>
          </cell>
          <cell r="H498">
            <v>0</v>
          </cell>
          <cell r="I498">
            <v>0</v>
          </cell>
          <cell r="J498">
            <v>0</v>
          </cell>
          <cell r="K498">
            <v>0</v>
          </cell>
        </row>
        <row r="499">
          <cell r="A499" t="str">
            <v>12ICNZN</v>
          </cell>
          <cell r="B499" t="str">
            <v xml:space="preserve">INT.P/REC.OTR.INSTITUC. </v>
          </cell>
          <cell r="C499">
            <v>0</v>
          </cell>
          <cell r="D499">
            <v>0</v>
          </cell>
          <cell r="E499">
            <v>0</v>
          </cell>
          <cell r="F499">
            <v>0</v>
          </cell>
          <cell r="G499">
            <v>0</v>
          </cell>
          <cell r="H499">
            <v>0</v>
          </cell>
          <cell r="I499">
            <v>0</v>
          </cell>
          <cell r="J499">
            <v>0</v>
          </cell>
          <cell r="K499">
            <v>0</v>
          </cell>
        </row>
        <row r="500">
          <cell r="A500" t="str">
            <v>12HDNZN</v>
          </cell>
          <cell r="B500" t="str">
            <v xml:space="preserve">INTER.P/REC.INST.SEMIFISC. </v>
          </cell>
          <cell r="C500">
            <v>0</v>
          </cell>
          <cell r="D500">
            <v>0</v>
          </cell>
          <cell r="E500">
            <v>0</v>
          </cell>
          <cell r="F500">
            <v>0</v>
          </cell>
          <cell r="G500">
            <v>0</v>
          </cell>
          <cell r="H500">
            <v>0</v>
          </cell>
          <cell r="I500">
            <v>0</v>
          </cell>
          <cell r="J500">
            <v>0</v>
          </cell>
          <cell r="K500">
            <v>0</v>
          </cell>
        </row>
        <row r="501">
          <cell r="A501" t="str">
            <v>13DHNZN</v>
          </cell>
          <cell r="B501" t="str">
            <v>INTS.P.REC.P.INVERS.Y VARIOS S/OP.INTERNAS</v>
          </cell>
          <cell r="C501">
            <v>0</v>
          </cell>
          <cell r="D501">
            <v>0</v>
          </cell>
          <cell r="E501">
            <v>0</v>
          </cell>
          <cell r="F501">
            <v>0</v>
          </cell>
          <cell r="G501">
            <v>0</v>
          </cell>
          <cell r="H501">
            <v>0</v>
          </cell>
          <cell r="I501">
            <v>0</v>
          </cell>
          <cell r="J501">
            <v>0</v>
          </cell>
          <cell r="K501">
            <v>0</v>
          </cell>
        </row>
        <row r="502">
          <cell r="A502" t="str">
            <v>13DENZN</v>
          </cell>
          <cell r="B502" t="str">
            <v xml:space="preserve">INT.P.REC.S.LC.PROG.ORG.INT.BANCOS COMERCIALES  </v>
          </cell>
          <cell r="C502">
            <v>0</v>
          </cell>
          <cell r="D502">
            <v>0</v>
          </cell>
          <cell r="E502">
            <v>0</v>
          </cell>
          <cell r="F502">
            <v>0</v>
          </cell>
          <cell r="G502">
            <v>0</v>
          </cell>
          <cell r="H502">
            <v>0</v>
          </cell>
          <cell r="I502">
            <v>0</v>
          </cell>
          <cell r="J502">
            <v>0</v>
          </cell>
          <cell r="K502">
            <v>0</v>
          </cell>
        </row>
        <row r="503">
          <cell r="A503" t="str">
            <v>13AYNZN</v>
          </cell>
          <cell r="B503" t="str">
            <v xml:space="preserve">INT.P.REC.S.LC.PROG.ORG.INT.BANC.ESTADO  </v>
          </cell>
          <cell r="C503">
            <v>0</v>
          </cell>
          <cell r="D503">
            <v>0</v>
          </cell>
          <cell r="E503">
            <v>0</v>
          </cell>
          <cell r="F503">
            <v>0</v>
          </cell>
          <cell r="G503">
            <v>0</v>
          </cell>
          <cell r="H503">
            <v>0</v>
          </cell>
          <cell r="I503">
            <v>0</v>
          </cell>
          <cell r="J503">
            <v>0</v>
          </cell>
          <cell r="K503">
            <v>0</v>
          </cell>
        </row>
        <row r="504">
          <cell r="A504" t="str">
            <v>13BGNZN</v>
          </cell>
          <cell r="B504" t="str">
            <v xml:space="preserve">INT.P.REC.S.LC.PROG.ORG.INT.OTRAS INSTITUCIONES </v>
          </cell>
          <cell r="C504">
            <v>19636</v>
          </cell>
          <cell r="D504">
            <v>19791</v>
          </cell>
          <cell r="E504">
            <v>19952</v>
          </cell>
          <cell r="F504">
            <v>20117</v>
          </cell>
          <cell r="G504">
            <v>20279</v>
          </cell>
          <cell r="H504">
            <v>20445</v>
          </cell>
          <cell r="I504">
            <v>20606</v>
          </cell>
          <cell r="J504">
            <v>20773</v>
          </cell>
          <cell r="K504">
            <v>20939</v>
          </cell>
        </row>
        <row r="505">
          <cell r="A505" t="str">
            <v>13DDNZN</v>
          </cell>
          <cell r="B505" t="str">
            <v>INT.P.REC.S.LC.PROG.ORG.INT.INST.SEMIF.AUT.Y OTR.</v>
          </cell>
          <cell r="C505">
            <v>17</v>
          </cell>
          <cell r="D505">
            <v>14</v>
          </cell>
          <cell r="E505">
            <v>16</v>
          </cell>
          <cell r="F505">
            <v>15</v>
          </cell>
          <cell r="G505">
            <v>16</v>
          </cell>
          <cell r="H505">
            <v>14</v>
          </cell>
          <cell r="I505">
            <v>15</v>
          </cell>
          <cell r="J505">
            <v>14</v>
          </cell>
          <cell r="K505">
            <v>13</v>
          </cell>
        </row>
        <row r="506">
          <cell r="A506" t="str">
            <v>12IRNZN</v>
          </cell>
          <cell r="B506" t="str">
            <v xml:space="preserve">COMISIONES POR RECIBIR SOBRE CUSTODIA AFP, </v>
          </cell>
          <cell r="C506">
            <v>0</v>
          </cell>
          <cell r="D506">
            <v>0</v>
          </cell>
          <cell r="E506">
            <v>0</v>
          </cell>
          <cell r="F506">
            <v>0</v>
          </cell>
          <cell r="G506">
            <v>0</v>
          </cell>
          <cell r="H506">
            <v>0</v>
          </cell>
          <cell r="I506">
            <v>0</v>
          </cell>
          <cell r="J506">
            <v>0</v>
          </cell>
          <cell r="K506">
            <v>0</v>
          </cell>
        </row>
        <row r="507">
          <cell r="A507" t="str">
            <v>13BRNZN</v>
          </cell>
          <cell r="B507" t="str">
            <v xml:space="preserve">COMISIONES POR RECIBIR  </v>
          </cell>
          <cell r="C507">
            <v>0</v>
          </cell>
          <cell r="D507">
            <v>0</v>
          </cell>
          <cell r="E507">
            <v>0</v>
          </cell>
          <cell r="F507">
            <v>0</v>
          </cell>
          <cell r="G507">
            <v>0</v>
          </cell>
          <cell r="H507">
            <v>0</v>
          </cell>
          <cell r="I507">
            <v>0</v>
          </cell>
          <cell r="J507">
            <v>0</v>
          </cell>
          <cell r="K507">
            <v>0</v>
          </cell>
        </row>
        <row r="508">
          <cell r="A508" t="str">
            <v>13DGNZN</v>
          </cell>
          <cell r="B508" t="str">
            <v xml:space="preserve">DIFERENCIAS DE PRECIO POR RECIBIR </v>
          </cell>
          <cell r="C508">
            <v>0</v>
          </cell>
          <cell r="D508">
            <v>0</v>
          </cell>
          <cell r="E508">
            <v>0</v>
          </cell>
          <cell r="F508">
            <v>0</v>
          </cell>
          <cell r="G508">
            <v>0</v>
          </cell>
          <cell r="H508">
            <v>0</v>
          </cell>
          <cell r="I508">
            <v>0</v>
          </cell>
          <cell r="J508">
            <v>0</v>
          </cell>
          <cell r="K508">
            <v>0</v>
          </cell>
        </row>
        <row r="509">
          <cell r="A509" t="str">
            <v>13EVNZN</v>
          </cell>
          <cell r="B509" t="str">
            <v xml:space="preserve">DIFERENCIAL CAMBIARIO POR RECIBIR </v>
          </cell>
          <cell r="C509">
            <v>0</v>
          </cell>
          <cell r="D509">
            <v>0</v>
          </cell>
          <cell r="E509">
            <v>0</v>
          </cell>
          <cell r="F509">
            <v>0</v>
          </cell>
          <cell r="G509">
            <v>0</v>
          </cell>
          <cell r="H509">
            <v>0</v>
          </cell>
          <cell r="I509">
            <v>0</v>
          </cell>
          <cell r="J509">
            <v>0</v>
          </cell>
          <cell r="K509">
            <v>0</v>
          </cell>
        </row>
        <row r="510">
          <cell r="A510" t="str">
            <v>12BDXZN</v>
          </cell>
          <cell r="B510" t="str">
            <v xml:space="preserve">  .INVERSIONES Y OTROS ACT.M/E</v>
          </cell>
          <cell r="C510">
            <v>3</v>
          </cell>
          <cell r="D510">
            <v>5</v>
          </cell>
          <cell r="E510">
            <v>8</v>
          </cell>
          <cell r="F510">
            <v>10</v>
          </cell>
          <cell r="G510">
            <v>14</v>
          </cell>
          <cell r="H510">
            <v>0</v>
          </cell>
          <cell r="I510">
            <v>2</v>
          </cell>
          <cell r="J510">
            <v>4</v>
          </cell>
          <cell r="K510">
            <v>6</v>
          </cell>
        </row>
        <row r="511">
          <cell r="A511" t="str">
            <v>12IDEZN</v>
          </cell>
          <cell r="B511" t="str">
            <v xml:space="preserve">INT.P/REC.BCOS.COMERCIALES </v>
          </cell>
          <cell r="C511">
            <v>0</v>
          </cell>
          <cell r="D511">
            <v>0</v>
          </cell>
          <cell r="E511">
            <v>0</v>
          </cell>
          <cell r="F511">
            <v>0</v>
          </cell>
          <cell r="G511">
            <v>0</v>
          </cell>
          <cell r="H511">
            <v>0</v>
          </cell>
          <cell r="I511">
            <v>0</v>
          </cell>
          <cell r="J511">
            <v>0</v>
          </cell>
          <cell r="K511">
            <v>0</v>
          </cell>
        </row>
        <row r="512">
          <cell r="A512" t="str">
            <v>12IEEZN</v>
          </cell>
          <cell r="B512" t="str">
            <v xml:space="preserve">INT.P/REC.BCO.ESTADO </v>
          </cell>
          <cell r="C512">
            <v>0</v>
          </cell>
          <cell r="D512">
            <v>0</v>
          </cell>
          <cell r="E512">
            <v>0</v>
          </cell>
          <cell r="F512">
            <v>0</v>
          </cell>
          <cell r="G512">
            <v>0</v>
          </cell>
          <cell r="H512">
            <v>0</v>
          </cell>
          <cell r="I512">
            <v>0</v>
          </cell>
          <cell r="J512">
            <v>0</v>
          </cell>
          <cell r="K512">
            <v>0</v>
          </cell>
        </row>
        <row r="513">
          <cell r="A513" t="str">
            <v>12HBEZN</v>
          </cell>
          <cell r="B513" t="str">
            <v xml:space="preserve">INTERESES P/RECIB.FISCO  </v>
          </cell>
          <cell r="C513">
            <v>0</v>
          </cell>
          <cell r="D513">
            <v>0</v>
          </cell>
          <cell r="E513">
            <v>0</v>
          </cell>
          <cell r="F513">
            <v>0</v>
          </cell>
          <cell r="G513">
            <v>0</v>
          </cell>
          <cell r="H513">
            <v>0</v>
          </cell>
          <cell r="I513">
            <v>0</v>
          </cell>
          <cell r="J513">
            <v>0</v>
          </cell>
          <cell r="K513">
            <v>0</v>
          </cell>
        </row>
        <row r="514">
          <cell r="A514" t="str">
            <v>12IBEZN</v>
          </cell>
          <cell r="B514" t="str">
            <v xml:space="preserve">INT.P/REC.OTR.INSTITUC. </v>
          </cell>
          <cell r="C514">
            <v>0</v>
          </cell>
          <cell r="D514">
            <v>0</v>
          </cell>
          <cell r="E514">
            <v>0</v>
          </cell>
          <cell r="F514">
            <v>0</v>
          </cell>
          <cell r="G514">
            <v>0</v>
          </cell>
          <cell r="H514">
            <v>0</v>
          </cell>
          <cell r="I514">
            <v>0</v>
          </cell>
          <cell r="J514">
            <v>0</v>
          </cell>
          <cell r="K514">
            <v>0</v>
          </cell>
        </row>
        <row r="515">
          <cell r="A515" t="str">
            <v>13LAEZN</v>
          </cell>
          <cell r="B515" t="str">
            <v xml:space="preserve">INTER.P/REC.INST.SEMIFISC. </v>
          </cell>
          <cell r="C515">
            <v>3</v>
          </cell>
          <cell r="D515">
            <v>5</v>
          </cell>
          <cell r="E515">
            <v>8</v>
          </cell>
          <cell r="F515">
            <v>10</v>
          </cell>
          <cell r="G515">
            <v>14</v>
          </cell>
          <cell r="H515">
            <v>0</v>
          </cell>
          <cell r="I515">
            <v>2</v>
          </cell>
          <cell r="J515">
            <v>4</v>
          </cell>
          <cell r="K515">
            <v>6</v>
          </cell>
        </row>
        <row r="516">
          <cell r="A516" t="str">
            <v>13DHEZN</v>
          </cell>
          <cell r="B516" t="str">
            <v xml:space="preserve">INTS.P.REC.P.INVERS.Y VARIOS S/OP.INTERNAS </v>
          </cell>
          <cell r="C516">
            <v>0</v>
          </cell>
          <cell r="D516">
            <v>0</v>
          </cell>
          <cell r="E516">
            <v>0</v>
          </cell>
          <cell r="F516">
            <v>0</v>
          </cell>
          <cell r="G516">
            <v>0</v>
          </cell>
          <cell r="H516">
            <v>0</v>
          </cell>
          <cell r="I516">
            <v>0</v>
          </cell>
          <cell r="J516">
            <v>0</v>
          </cell>
          <cell r="K516">
            <v>0</v>
          </cell>
        </row>
        <row r="517">
          <cell r="A517" t="str">
            <v>13DEEZN</v>
          </cell>
          <cell r="B517" t="str">
            <v xml:space="preserve">INT.P.REC.S.LC.PROG.ORG.INT.BANCOS COMERCIALES  </v>
          </cell>
          <cell r="C517">
            <v>0</v>
          </cell>
          <cell r="D517">
            <v>0</v>
          </cell>
          <cell r="E517">
            <v>0</v>
          </cell>
          <cell r="F517">
            <v>0</v>
          </cell>
          <cell r="G517">
            <v>0</v>
          </cell>
          <cell r="H517">
            <v>0</v>
          </cell>
          <cell r="I517">
            <v>0</v>
          </cell>
          <cell r="J517">
            <v>0</v>
          </cell>
          <cell r="K517">
            <v>0</v>
          </cell>
        </row>
        <row r="518">
          <cell r="A518" t="str">
            <v>-</v>
          </cell>
          <cell r="B518" t="str">
            <v xml:space="preserve">INT.P.REC.S.LC.PROG.ORG.INT.BANC.ESTADO  </v>
          </cell>
          <cell r="C518">
            <v>0</v>
          </cell>
          <cell r="D518">
            <v>0</v>
          </cell>
          <cell r="E518">
            <v>0</v>
          </cell>
          <cell r="F518">
            <v>0</v>
          </cell>
          <cell r="G518">
            <v>0</v>
          </cell>
          <cell r="H518">
            <v>0</v>
          </cell>
          <cell r="I518">
            <v>0</v>
          </cell>
          <cell r="J518">
            <v>0</v>
          </cell>
          <cell r="K518">
            <v>0</v>
          </cell>
        </row>
        <row r="519">
          <cell r="A519" t="str">
            <v>13BXEZN</v>
          </cell>
          <cell r="B519" t="str">
            <v xml:space="preserve">INT.P.REC.S.LC.PROG.ORG.INT.OTRAS INSTITUCIONES </v>
          </cell>
          <cell r="C519">
            <v>0</v>
          </cell>
          <cell r="D519">
            <v>0</v>
          </cell>
          <cell r="E519">
            <v>0</v>
          </cell>
          <cell r="F519">
            <v>0</v>
          </cell>
          <cell r="G519">
            <v>0</v>
          </cell>
          <cell r="H519">
            <v>0</v>
          </cell>
          <cell r="I519">
            <v>0</v>
          </cell>
          <cell r="J519">
            <v>0</v>
          </cell>
          <cell r="K519">
            <v>0</v>
          </cell>
        </row>
        <row r="520">
          <cell r="A520" t="str">
            <v>-</v>
          </cell>
          <cell r="B520" t="str">
            <v>INT.P.REC.S.LC.PROG.ORG.INT.INST.SEMIF.AUT.Y OTR.</v>
          </cell>
          <cell r="C520">
            <v>0</v>
          </cell>
          <cell r="D520">
            <v>0</v>
          </cell>
          <cell r="E520">
            <v>0</v>
          </cell>
          <cell r="F520">
            <v>0</v>
          </cell>
          <cell r="G520">
            <v>0</v>
          </cell>
          <cell r="H520">
            <v>0</v>
          </cell>
          <cell r="I520">
            <v>0</v>
          </cell>
          <cell r="J520">
            <v>0</v>
          </cell>
          <cell r="K520">
            <v>0</v>
          </cell>
        </row>
        <row r="521">
          <cell r="A521" t="str">
            <v>-</v>
          </cell>
          <cell r="B521" t="str">
            <v xml:space="preserve">COMISIONES POR RECIBIR SOBRE CUSTODIA AFP, </v>
          </cell>
          <cell r="C521">
            <v>0</v>
          </cell>
          <cell r="D521">
            <v>0</v>
          </cell>
          <cell r="E521">
            <v>0</v>
          </cell>
          <cell r="F521">
            <v>0</v>
          </cell>
          <cell r="G521">
            <v>0</v>
          </cell>
          <cell r="H521">
            <v>0</v>
          </cell>
          <cell r="I521">
            <v>0</v>
          </cell>
          <cell r="J521">
            <v>0</v>
          </cell>
          <cell r="K521">
            <v>0</v>
          </cell>
        </row>
        <row r="522">
          <cell r="A522" t="str">
            <v>-</v>
          </cell>
          <cell r="B522" t="str">
            <v xml:space="preserve">COMISIONES POR RECIBIR  </v>
          </cell>
          <cell r="C522">
            <v>0</v>
          </cell>
          <cell r="D522">
            <v>0</v>
          </cell>
          <cell r="E522">
            <v>0</v>
          </cell>
          <cell r="F522">
            <v>0</v>
          </cell>
          <cell r="G522">
            <v>0</v>
          </cell>
          <cell r="H522">
            <v>0</v>
          </cell>
          <cell r="I522">
            <v>0</v>
          </cell>
          <cell r="J522">
            <v>0</v>
          </cell>
          <cell r="K522">
            <v>0</v>
          </cell>
        </row>
        <row r="523">
          <cell r="A523" t="str">
            <v>-</v>
          </cell>
          <cell r="B523" t="str">
            <v xml:space="preserve">DIFERENCIAS DE PRECIO POR RECIBIR </v>
          </cell>
          <cell r="C523">
            <v>0</v>
          </cell>
          <cell r="D523">
            <v>0</v>
          </cell>
          <cell r="E523">
            <v>0</v>
          </cell>
          <cell r="F523">
            <v>0</v>
          </cell>
          <cell r="G523">
            <v>0</v>
          </cell>
          <cell r="H523">
            <v>0</v>
          </cell>
          <cell r="I523">
            <v>0</v>
          </cell>
          <cell r="J523">
            <v>0</v>
          </cell>
          <cell r="K523">
            <v>0</v>
          </cell>
        </row>
        <row r="524">
          <cell r="A524" t="str">
            <v>-</v>
          </cell>
          <cell r="B524" t="str">
            <v xml:space="preserve">DIFERENCIAL CAMBIARIO POR RECIBIR </v>
          </cell>
          <cell r="C524">
            <v>0</v>
          </cell>
          <cell r="D524">
            <v>0</v>
          </cell>
          <cell r="E524">
            <v>0</v>
          </cell>
          <cell r="F524">
            <v>0</v>
          </cell>
          <cell r="G524">
            <v>0</v>
          </cell>
          <cell r="H524">
            <v>0</v>
          </cell>
          <cell r="I524">
            <v>0</v>
          </cell>
          <cell r="J524">
            <v>0</v>
          </cell>
          <cell r="K524">
            <v>0</v>
          </cell>
        </row>
        <row r="525">
          <cell r="A525" t="str">
            <v>12BEWZN</v>
          </cell>
          <cell r="B525" t="str">
            <v xml:space="preserve">  .ACTIVO FIJO M/N</v>
          </cell>
          <cell r="C525">
            <v>25627</v>
          </cell>
          <cell r="D525">
            <v>25504</v>
          </cell>
          <cell r="E525">
            <v>25735</v>
          </cell>
          <cell r="F525">
            <v>26023</v>
          </cell>
          <cell r="G525">
            <v>25925</v>
          </cell>
          <cell r="H525">
            <v>25877</v>
          </cell>
          <cell r="I525">
            <v>26139</v>
          </cell>
          <cell r="J525">
            <v>25790</v>
          </cell>
          <cell r="K525">
            <v>25889</v>
          </cell>
        </row>
        <row r="526">
          <cell r="A526" t="str">
            <v>13AKNZN</v>
          </cell>
          <cell r="B526" t="str">
            <v>INVER.ACTIV.FIS.BS RAICES.</v>
          </cell>
          <cell r="C526">
            <v>15930</v>
          </cell>
          <cell r="D526">
            <v>15930</v>
          </cell>
          <cell r="E526">
            <v>15930</v>
          </cell>
          <cell r="F526">
            <v>15930</v>
          </cell>
          <cell r="G526">
            <v>15930</v>
          </cell>
          <cell r="H526">
            <v>15930</v>
          </cell>
          <cell r="I526">
            <v>15930</v>
          </cell>
          <cell r="J526">
            <v>15601</v>
          </cell>
          <cell r="K526">
            <v>15601</v>
          </cell>
        </row>
        <row r="527">
          <cell r="A527" t="str">
            <v>13CQNZN</v>
          </cell>
          <cell r="B527" t="str">
            <v xml:space="preserve">CORRECCION MONETARIA PROVIS BS RAICES, </v>
          </cell>
          <cell r="C527">
            <v>-64</v>
          </cell>
          <cell r="D527">
            <v>-48</v>
          </cell>
          <cell r="E527">
            <v>80</v>
          </cell>
          <cell r="F527">
            <v>255</v>
          </cell>
          <cell r="G527">
            <v>239</v>
          </cell>
          <cell r="H527">
            <v>175</v>
          </cell>
          <cell r="I527">
            <v>175</v>
          </cell>
          <cell r="J527">
            <v>172</v>
          </cell>
          <cell r="K527">
            <v>187</v>
          </cell>
        </row>
        <row r="528">
          <cell r="A528" t="str">
            <v>13CDNZN</v>
          </cell>
          <cell r="B528" t="str">
            <v xml:space="preserve">BIENES MUEBLES </v>
          </cell>
          <cell r="C528">
            <v>3235</v>
          </cell>
          <cell r="D528">
            <v>3168</v>
          </cell>
          <cell r="E528">
            <v>3194</v>
          </cell>
          <cell r="F528">
            <v>3227</v>
          </cell>
          <cell r="G528">
            <v>3185</v>
          </cell>
          <cell r="H528">
            <v>3211</v>
          </cell>
          <cell r="I528">
            <v>3473</v>
          </cell>
          <cell r="J528">
            <v>3420</v>
          </cell>
          <cell r="K528">
            <v>3503</v>
          </cell>
        </row>
        <row r="529">
          <cell r="A529" t="str">
            <v>13CRNZN</v>
          </cell>
          <cell r="B529" t="str">
            <v>CORRECCION MONETARIA PROVIS BS MUEBLES,</v>
          </cell>
          <cell r="C529">
            <v>-12</v>
          </cell>
          <cell r="D529">
            <v>-9</v>
          </cell>
          <cell r="E529">
            <v>16</v>
          </cell>
          <cell r="F529">
            <v>50</v>
          </cell>
          <cell r="G529">
            <v>46</v>
          </cell>
          <cell r="H529">
            <v>33</v>
          </cell>
          <cell r="I529">
            <v>33</v>
          </cell>
          <cell r="J529">
            <v>31</v>
          </cell>
          <cell r="K529">
            <v>35</v>
          </cell>
        </row>
        <row r="530">
          <cell r="A530" t="str">
            <v>13DCNZN</v>
          </cell>
          <cell r="B530" t="str">
            <v>CORREC.MONETARIA PROV.S/INSTALACIONES (DEBE),</v>
          </cell>
          <cell r="C530">
            <v>-18</v>
          </cell>
          <cell r="D530">
            <v>-14</v>
          </cell>
          <cell r="E530">
            <v>23</v>
          </cell>
          <cell r="F530">
            <v>72</v>
          </cell>
          <cell r="G530">
            <v>68</v>
          </cell>
          <cell r="H530">
            <v>50</v>
          </cell>
          <cell r="I530">
            <v>50</v>
          </cell>
          <cell r="J530">
            <v>49</v>
          </cell>
          <cell r="K530">
            <v>54</v>
          </cell>
        </row>
        <row r="531">
          <cell r="A531" t="str">
            <v>13BWNZN</v>
          </cell>
          <cell r="B531" t="str">
            <v xml:space="preserve">INSTALACIONES </v>
          </cell>
          <cell r="C531">
            <v>4506</v>
          </cell>
          <cell r="D531">
            <v>4506</v>
          </cell>
          <cell r="E531">
            <v>4506</v>
          </cell>
          <cell r="F531">
            <v>4506</v>
          </cell>
          <cell r="G531">
            <v>4631</v>
          </cell>
          <cell r="H531">
            <v>4631</v>
          </cell>
          <cell r="I531">
            <v>4631</v>
          </cell>
          <cell r="J531">
            <v>4631</v>
          </cell>
          <cell r="K531">
            <v>4631</v>
          </cell>
        </row>
        <row r="532">
          <cell r="A532" t="str">
            <v>13AMNZN</v>
          </cell>
          <cell r="B532" t="str">
            <v>VEHICULOS</v>
          </cell>
          <cell r="C532">
            <v>261</v>
          </cell>
          <cell r="D532">
            <v>188</v>
          </cell>
          <cell r="E532">
            <v>188</v>
          </cell>
          <cell r="F532">
            <v>163</v>
          </cell>
          <cell r="G532">
            <v>163</v>
          </cell>
          <cell r="H532">
            <v>163</v>
          </cell>
          <cell r="I532">
            <v>163</v>
          </cell>
          <cell r="J532">
            <v>202</v>
          </cell>
          <cell r="K532">
            <v>202</v>
          </cell>
        </row>
        <row r="533">
          <cell r="A533" t="str">
            <v>13CSNZN</v>
          </cell>
          <cell r="B533" t="str">
            <v xml:space="preserve">CORRECCION MONETARIA PROVIS. VEHICULOS, </v>
          </cell>
          <cell r="C533">
            <v>-1</v>
          </cell>
          <cell r="D533">
            <v>0</v>
          </cell>
          <cell r="E533">
            <v>1</v>
          </cell>
          <cell r="F533">
            <v>3</v>
          </cell>
          <cell r="G533">
            <v>3</v>
          </cell>
          <cell r="H533">
            <v>2</v>
          </cell>
          <cell r="I533">
            <v>2</v>
          </cell>
          <cell r="J533">
            <v>2</v>
          </cell>
          <cell r="K533">
            <v>2</v>
          </cell>
        </row>
        <row r="534">
          <cell r="A534" t="str">
            <v>13ANNZN</v>
          </cell>
          <cell r="B534" t="str">
            <v>INVER.ACT.FIS.-OBR.CONSTR.</v>
          </cell>
          <cell r="C534">
            <v>123</v>
          </cell>
          <cell r="D534">
            <v>123</v>
          </cell>
          <cell r="E534">
            <v>123</v>
          </cell>
          <cell r="F534">
            <v>124</v>
          </cell>
          <cell r="G534">
            <v>0</v>
          </cell>
          <cell r="H534">
            <v>0</v>
          </cell>
          <cell r="I534">
            <v>0</v>
          </cell>
          <cell r="J534">
            <v>0</v>
          </cell>
          <cell r="K534">
            <v>0</v>
          </cell>
        </row>
        <row r="535">
          <cell r="A535" t="str">
            <v>13AONZN</v>
          </cell>
          <cell r="B535" t="str">
            <v xml:space="preserve">CORRECCION MONETARIA PROVISIONAL DE OBRAS EN CONST, </v>
          </cell>
          <cell r="C535">
            <v>0</v>
          </cell>
          <cell r="D535">
            <v>0</v>
          </cell>
          <cell r="E535">
            <v>1</v>
          </cell>
          <cell r="F535">
            <v>2</v>
          </cell>
          <cell r="G535">
            <v>0</v>
          </cell>
          <cell r="H535">
            <v>0</v>
          </cell>
          <cell r="I535">
            <v>0</v>
          </cell>
          <cell r="J535">
            <v>0</v>
          </cell>
          <cell r="K535">
            <v>0</v>
          </cell>
        </row>
        <row r="536">
          <cell r="A536" t="str">
            <v>13EINZN</v>
          </cell>
          <cell r="B536" t="str">
            <v xml:space="preserve">COLECCION DE BILLETES Y MONEDAS, </v>
          </cell>
          <cell r="C536">
            <v>328</v>
          </cell>
          <cell r="D536">
            <v>328</v>
          </cell>
          <cell r="E536">
            <v>328</v>
          </cell>
          <cell r="F536">
            <v>328</v>
          </cell>
          <cell r="G536">
            <v>328</v>
          </cell>
          <cell r="H536">
            <v>328</v>
          </cell>
          <cell r="I536">
            <v>328</v>
          </cell>
          <cell r="J536">
            <v>328</v>
          </cell>
          <cell r="K536">
            <v>328</v>
          </cell>
        </row>
        <row r="537">
          <cell r="A537" t="str">
            <v>13DBNZN</v>
          </cell>
          <cell r="B537" t="str">
            <v xml:space="preserve">CORREC.MONETARIA PROV.COLECCION BILLETES Y MDAS </v>
          </cell>
          <cell r="C537">
            <v>8</v>
          </cell>
          <cell r="D537">
            <v>8</v>
          </cell>
          <cell r="E537">
            <v>11</v>
          </cell>
          <cell r="F537">
            <v>15</v>
          </cell>
          <cell r="G537">
            <v>-15</v>
          </cell>
          <cell r="H537">
            <v>13</v>
          </cell>
          <cell r="I537">
            <v>13</v>
          </cell>
          <cell r="J537">
            <v>13</v>
          </cell>
          <cell r="K537">
            <v>4</v>
          </cell>
        </row>
        <row r="538">
          <cell r="A538" t="str">
            <v>13APNZN</v>
          </cell>
          <cell r="B538" t="str">
            <v xml:space="preserve">INVER.ACT.FIS.-OBR.DE.ARTE </v>
          </cell>
          <cell r="C538">
            <v>1308</v>
          </cell>
          <cell r="D538">
            <v>1308</v>
          </cell>
          <cell r="E538">
            <v>1308</v>
          </cell>
          <cell r="F538">
            <v>1308</v>
          </cell>
          <cell r="G538">
            <v>1308</v>
          </cell>
          <cell r="H538">
            <v>1308</v>
          </cell>
          <cell r="I538">
            <v>1308</v>
          </cell>
          <cell r="J538">
            <v>1308</v>
          </cell>
          <cell r="K538">
            <v>1308</v>
          </cell>
        </row>
        <row r="539">
          <cell r="A539" t="str">
            <v>13CTNZN</v>
          </cell>
          <cell r="B539" t="str">
            <v xml:space="preserve">CORRECCION MONETARIA PROVIS. OBRAS DE ARTE, </v>
          </cell>
          <cell r="C539">
            <v>-5</v>
          </cell>
          <cell r="D539">
            <v>-4</v>
          </cell>
          <cell r="E539">
            <v>7</v>
          </cell>
          <cell r="F539">
            <v>21</v>
          </cell>
          <cell r="G539">
            <v>20</v>
          </cell>
          <cell r="H539">
            <v>14</v>
          </cell>
          <cell r="I539">
            <v>14</v>
          </cell>
          <cell r="J539">
            <v>14</v>
          </cell>
          <cell r="K539">
            <v>16</v>
          </cell>
        </row>
        <row r="540">
          <cell r="A540" t="str">
            <v>13ARNZN</v>
          </cell>
          <cell r="B540" t="str">
            <v>OTR.INV.-MEDALLAS CONMEMOR.</v>
          </cell>
          <cell r="C540">
            <v>0</v>
          </cell>
          <cell r="D540">
            <v>0</v>
          </cell>
          <cell r="E540">
            <v>0</v>
          </cell>
          <cell r="F540">
            <v>0</v>
          </cell>
          <cell r="G540">
            <v>0</v>
          </cell>
          <cell r="H540">
            <v>0</v>
          </cell>
          <cell r="I540">
            <v>0</v>
          </cell>
          <cell r="J540">
            <v>0</v>
          </cell>
          <cell r="K540">
            <v>0</v>
          </cell>
        </row>
        <row r="541">
          <cell r="A541" t="str">
            <v>13CUNZN</v>
          </cell>
          <cell r="B541" t="str">
            <v xml:space="preserve">CORRECCION MONETARIA PROVIS. MEDALLAS FRN Y OTROS, </v>
          </cell>
          <cell r="C541">
            <v>0</v>
          </cell>
          <cell r="D541">
            <v>0</v>
          </cell>
          <cell r="E541">
            <v>0</v>
          </cell>
          <cell r="F541">
            <v>0</v>
          </cell>
          <cell r="G541">
            <v>0</v>
          </cell>
          <cell r="H541">
            <v>0</v>
          </cell>
          <cell r="I541">
            <v>0</v>
          </cell>
          <cell r="J541">
            <v>0</v>
          </cell>
          <cell r="K541">
            <v>0</v>
          </cell>
        </row>
        <row r="542">
          <cell r="A542" t="str">
            <v>13CWNZN</v>
          </cell>
          <cell r="B542" t="str">
            <v>MEDALLAS CONMEMOR ANOS DE SERVICIOS,</v>
          </cell>
          <cell r="C542">
            <v>8</v>
          </cell>
          <cell r="D542">
            <v>0</v>
          </cell>
          <cell r="E542">
            <v>0</v>
          </cell>
          <cell r="F542">
            <v>0</v>
          </cell>
          <cell r="G542">
            <v>0</v>
          </cell>
          <cell r="H542">
            <v>0</v>
          </cell>
          <cell r="I542">
            <v>0</v>
          </cell>
          <cell r="J542">
            <v>0</v>
          </cell>
          <cell r="K542">
            <v>0</v>
          </cell>
        </row>
        <row r="543">
          <cell r="A543" t="str">
            <v>13BUNZN</v>
          </cell>
          <cell r="B543" t="str">
            <v xml:space="preserve">PAEL P/IMPRESION BILLETES </v>
          </cell>
          <cell r="C543">
            <v>7</v>
          </cell>
          <cell r="D543">
            <v>7</v>
          </cell>
          <cell r="E543">
            <v>7</v>
          </cell>
          <cell r="F543">
            <v>7</v>
          </cell>
          <cell r="G543">
            <v>7</v>
          </cell>
          <cell r="H543">
            <v>7</v>
          </cell>
          <cell r="I543">
            <v>7</v>
          </cell>
          <cell r="J543">
            <v>7</v>
          </cell>
          <cell r="K543">
            <v>7</v>
          </cell>
        </row>
        <row r="544">
          <cell r="A544" t="str">
            <v>13BVNZN</v>
          </cell>
          <cell r="B544" t="str">
            <v xml:space="preserve">METALES NO PREC.P/ACUNAC  </v>
          </cell>
          <cell r="C544">
            <v>0</v>
          </cell>
          <cell r="D544">
            <v>0</v>
          </cell>
          <cell r="E544">
            <v>0</v>
          </cell>
          <cell r="F544">
            <v>0</v>
          </cell>
          <cell r="G544">
            <v>0</v>
          </cell>
          <cell r="H544">
            <v>0</v>
          </cell>
          <cell r="I544">
            <v>0</v>
          </cell>
          <cell r="J544">
            <v>0</v>
          </cell>
          <cell r="K544">
            <v>0</v>
          </cell>
        </row>
        <row r="545">
          <cell r="A545" t="str">
            <v>13CZNZN</v>
          </cell>
          <cell r="B545" t="str">
            <v>CORRECCION MON PROV RE EXISTENCIAS</v>
          </cell>
          <cell r="C545">
            <v>1</v>
          </cell>
          <cell r="D545">
            <v>1</v>
          </cell>
          <cell r="E545">
            <v>0</v>
          </cell>
          <cell r="F545">
            <v>0</v>
          </cell>
          <cell r="G545">
            <v>0</v>
          </cell>
          <cell r="H545">
            <v>0</v>
          </cell>
          <cell r="I545">
            <v>0</v>
          </cell>
          <cell r="J545">
            <v>0</v>
          </cell>
          <cell r="K545">
            <v>-1</v>
          </cell>
        </row>
        <row r="546">
          <cell r="A546" t="str">
            <v>13CONZN</v>
          </cell>
          <cell r="B546" t="str">
            <v xml:space="preserve">PAPEL DE SEGURIDAD </v>
          </cell>
          <cell r="C546">
            <v>12</v>
          </cell>
          <cell r="D546">
            <v>12</v>
          </cell>
          <cell r="E546">
            <v>12</v>
          </cell>
          <cell r="F546">
            <v>12</v>
          </cell>
          <cell r="G546">
            <v>12</v>
          </cell>
          <cell r="H546">
            <v>12</v>
          </cell>
          <cell r="I546">
            <v>12</v>
          </cell>
          <cell r="J546">
            <v>12</v>
          </cell>
          <cell r="K546">
            <v>12</v>
          </cell>
        </row>
        <row r="547">
          <cell r="A547" t="str">
            <v>12BEXZN</v>
          </cell>
          <cell r="B547" t="str">
            <v xml:space="preserve">  .ACTIVO FIJO M/E</v>
          </cell>
          <cell r="C547">
            <v>859</v>
          </cell>
          <cell r="D547">
            <v>919</v>
          </cell>
          <cell r="E547">
            <v>922</v>
          </cell>
          <cell r="F547">
            <v>902</v>
          </cell>
          <cell r="G547">
            <v>884</v>
          </cell>
          <cell r="H547">
            <v>863</v>
          </cell>
          <cell r="I547">
            <v>887</v>
          </cell>
          <cell r="J547">
            <v>898</v>
          </cell>
          <cell r="K547">
            <v>857</v>
          </cell>
        </row>
        <row r="548">
          <cell r="A548" t="str">
            <v>-</v>
          </cell>
          <cell r="B548" t="str">
            <v>INVER.ACTIV.FIS.BS RAICES.</v>
          </cell>
          <cell r="C548">
            <v>0</v>
          </cell>
          <cell r="D548">
            <v>0</v>
          </cell>
          <cell r="E548">
            <v>0</v>
          </cell>
          <cell r="F548">
            <v>0</v>
          </cell>
          <cell r="G548">
            <v>0</v>
          </cell>
          <cell r="H548">
            <v>0</v>
          </cell>
          <cell r="I548">
            <v>0</v>
          </cell>
          <cell r="J548">
            <v>0</v>
          </cell>
          <cell r="K548">
            <v>0</v>
          </cell>
        </row>
        <row r="549">
          <cell r="A549" t="str">
            <v>-</v>
          </cell>
          <cell r="B549" t="str">
            <v>CORRECCION MONETARIA PROVIS BS RAICES,</v>
          </cell>
          <cell r="C549">
            <v>0</v>
          </cell>
          <cell r="D549">
            <v>0</v>
          </cell>
          <cell r="E549">
            <v>0</v>
          </cell>
          <cell r="F549">
            <v>0</v>
          </cell>
          <cell r="G549">
            <v>0</v>
          </cell>
          <cell r="H549">
            <v>0</v>
          </cell>
          <cell r="I549">
            <v>0</v>
          </cell>
          <cell r="J549">
            <v>0</v>
          </cell>
          <cell r="K549">
            <v>0</v>
          </cell>
        </row>
        <row r="550">
          <cell r="A550" t="str">
            <v>-</v>
          </cell>
          <cell r="B550" t="str">
            <v xml:space="preserve">BIENES MUEBLES </v>
          </cell>
          <cell r="C550">
            <v>0</v>
          </cell>
          <cell r="D550">
            <v>0</v>
          </cell>
          <cell r="E550">
            <v>0</v>
          </cell>
          <cell r="F550">
            <v>0</v>
          </cell>
          <cell r="G550">
            <v>0</v>
          </cell>
          <cell r="H550">
            <v>0</v>
          </cell>
          <cell r="I550">
            <v>0</v>
          </cell>
          <cell r="J550">
            <v>0</v>
          </cell>
          <cell r="K550">
            <v>0</v>
          </cell>
        </row>
        <row r="551">
          <cell r="A551" t="str">
            <v>-</v>
          </cell>
          <cell r="B551" t="str">
            <v>CORRECCION MONETARIA PROVIS BS MUEBLES,</v>
          </cell>
          <cell r="C551">
            <v>0</v>
          </cell>
          <cell r="D551">
            <v>0</v>
          </cell>
          <cell r="E551">
            <v>0</v>
          </cell>
          <cell r="F551">
            <v>0</v>
          </cell>
          <cell r="G551">
            <v>0</v>
          </cell>
          <cell r="H551">
            <v>0</v>
          </cell>
          <cell r="I551">
            <v>0</v>
          </cell>
          <cell r="J551">
            <v>0</v>
          </cell>
          <cell r="K551">
            <v>0</v>
          </cell>
        </row>
        <row r="552">
          <cell r="A552" t="str">
            <v>-</v>
          </cell>
          <cell r="B552" t="str">
            <v>CORREC.MONETARIA PROV.S/INSTALACIONES (DEBE),</v>
          </cell>
          <cell r="C552">
            <v>0</v>
          </cell>
          <cell r="D552">
            <v>0</v>
          </cell>
          <cell r="E552">
            <v>0</v>
          </cell>
          <cell r="F552">
            <v>0</v>
          </cell>
          <cell r="G552">
            <v>0</v>
          </cell>
          <cell r="H552">
            <v>0</v>
          </cell>
          <cell r="I552">
            <v>0</v>
          </cell>
          <cell r="J552">
            <v>0</v>
          </cell>
          <cell r="K552">
            <v>0</v>
          </cell>
        </row>
        <row r="553">
          <cell r="A553" t="str">
            <v>-</v>
          </cell>
          <cell r="B553" t="str">
            <v xml:space="preserve">INSTALACIONES </v>
          </cell>
          <cell r="C553">
            <v>0</v>
          </cell>
          <cell r="D553">
            <v>0</v>
          </cell>
          <cell r="E553">
            <v>0</v>
          </cell>
          <cell r="F553">
            <v>0</v>
          </cell>
          <cell r="G553">
            <v>0</v>
          </cell>
          <cell r="H553">
            <v>0</v>
          </cell>
          <cell r="I553">
            <v>0</v>
          </cell>
          <cell r="J553">
            <v>0</v>
          </cell>
          <cell r="K553">
            <v>0</v>
          </cell>
        </row>
        <row r="554">
          <cell r="A554" t="str">
            <v>-</v>
          </cell>
          <cell r="B554" t="str">
            <v xml:space="preserve">VEHICULOS, </v>
          </cell>
          <cell r="C554">
            <v>0</v>
          </cell>
          <cell r="D554">
            <v>0</v>
          </cell>
          <cell r="E554">
            <v>0</v>
          </cell>
          <cell r="F554">
            <v>0</v>
          </cell>
          <cell r="G554">
            <v>0</v>
          </cell>
          <cell r="H554">
            <v>0</v>
          </cell>
          <cell r="I554">
            <v>0</v>
          </cell>
          <cell r="J554">
            <v>0</v>
          </cell>
          <cell r="K554">
            <v>0</v>
          </cell>
        </row>
        <row r="555">
          <cell r="A555" t="str">
            <v>-</v>
          </cell>
          <cell r="B555" t="str">
            <v>CORRECCION MONETARIA PROVIS. VEHICULOS,</v>
          </cell>
          <cell r="C555">
            <v>0</v>
          </cell>
          <cell r="D555">
            <v>0</v>
          </cell>
          <cell r="E555">
            <v>0</v>
          </cell>
          <cell r="F555">
            <v>0</v>
          </cell>
          <cell r="G555">
            <v>0</v>
          </cell>
          <cell r="H555">
            <v>0</v>
          </cell>
          <cell r="I555">
            <v>0</v>
          </cell>
          <cell r="J555">
            <v>0</v>
          </cell>
          <cell r="K555">
            <v>0</v>
          </cell>
        </row>
        <row r="556">
          <cell r="A556" t="str">
            <v>-</v>
          </cell>
          <cell r="B556" t="str">
            <v>INVER.ACT.FIS.-OBR.CONSTR.</v>
          </cell>
          <cell r="C556">
            <v>0</v>
          </cell>
          <cell r="D556">
            <v>0</v>
          </cell>
          <cell r="E556">
            <v>0</v>
          </cell>
          <cell r="F556">
            <v>0</v>
          </cell>
          <cell r="G556">
            <v>0</v>
          </cell>
          <cell r="H556">
            <v>0</v>
          </cell>
          <cell r="I556">
            <v>0</v>
          </cell>
          <cell r="J556">
            <v>0</v>
          </cell>
          <cell r="K556">
            <v>0</v>
          </cell>
        </row>
        <row r="557">
          <cell r="A557" t="str">
            <v>-</v>
          </cell>
          <cell r="B557" t="str">
            <v xml:space="preserve">CORRECCION MONETARIA PROVISIONAL DE OBRAS EN CONST, </v>
          </cell>
          <cell r="C557">
            <v>0</v>
          </cell>
          <cell r="D557">
            <v>0</v>
          </cell>
          <cell r="E557">
            <v>0</v>
          </cell>
          <cell r="F557">
            <v>0</v>
          </cell>
          <cell r="G557">
            <v>0</v>
          </cell>
          <cell r="H557">
            <v>0</v>
          </cell>
          <cell r="I557">
            <v>0</v>
          </cell>
          <cell r="J557">
            <v>0</v>
          </cell>
          <cell r="K557">
            <v>0</v>
          </cell>
        </row>
        <row r="558">
          <cell r="A558" t="str">
            <v>13EIEZN</v>
          </cell>
          <cell r="B558" t="str">
            <v>COLECCION DE BILLETES Y MONEDAS</v>
          </cell>
          <cell r="C558">
            <v>859</v>
          </cell>
          <cell r="D558">
            <v>919</v>
          </cell>
          <cell r="E558">
            <v>922</v>
          </cell>
          <cell r="F558">
            <v>902</v>
          </cell>
          <cell r="G558">
            <v>884</v>
          </cell>
          <cell r="H558">
            <v>863</v>
          </cell>
          <cell r="I558">
            <v>887</v>
          </cell>
          <cell r="J558">
            <v>898</v>
          </cell>
          <cell r="K558">
            <v>857</v>
          </cell>
        </row>
        <row r="559">
          <cell r="A559" t="str">
            <v>-</v>
          </cell>
          <cell r="B559" t="str">
            <v xml:space="preserve">CORREC.MONETARIA PROV.COLECCION BILLETES Y MDAS </v>
          </cell>
          <cell r="C559">
            <v>0</v>
          </cell>
          <cell r="D559">
            <v>0</v>
          </cell>
          <cell r="E559">
            <v>0</v>
          </cell>
          <cell r="F559">
            <v>0</v>
          </cell>
          <cell r="G559">
            <v>0</v>
          </cell>
          <cell r="H559">
            <v>0</v>
          </cell>
          <cell r="I559">
            <v>0</v>
          </cell>
          <cell r="J559">
            <v>0</v>
          </cell>
          <cell r="K559">
            <v>0</v>
          </cell>
        </row>
        <row r="560">
          <cell r="A560" t="str">
            <v>-</v>
          </cell>
          <cell r="B560" t="str">
            <v xml:space="preserve">INVER.ACT.FIS.-OBR.DE.ARTE </v>
          </cell>
          <cell r="C560">
            <v>0</v>
          </cell>
          <cell r="D560">
            <v>0</v>
          </cell>
          <cell r="E560">
            <v>0</v>
          </cell>
          <cell r="F560">
            <v>0</v>
          </cell>
          <cell r="G560">
            <v>0</v>
          </cell>
          <cell r="H560">
            <v>0</v>
          </cell>
          <cell r="I560">
            <v>0</v>
          </cell>
          <cell r="J560">
            <v>0</v>
          </cell>
          <cell r="K560">
            <v>0</v>
          </cell>
        </row>
        <row r="561">
          <cell r="A561" t="str">
            <v>-</v>
          </cell>
          <cell r="B561" t="str">
            <v>CORRECCION MONETARIA PROVIS. OBRAS DE ARTE,</v>
          </cell>
          <cell r="C561">
            <v>0</v>
          </cell>
          <cell r="D561">
            <v>0</v>
          </cell>
          <cell r="E561">
            <v>0</v>
          </cell>
          <cell r="F561">
            <v>0</v>
          </cell>
          <cell r="G561">
            <v>0</v>
          </cell>
          <cell r="H561">
            <v>0</v>
          </cell>
          <cell r="I561">
            <v>0</v>
          </cell>
          <cell r="J561">
            <v>0</v>
          </cell>
          <cell r="K561">
            <v>0</v>
          </cell>
        </row>
        <row r="562">
          <cell r="A562" t="str">
            <v>-</v>
          </cell>
          <cell r="B562" t="str">
            <v>OTR.INV.-MEDALLAS CONMEMOR.</v>
          </cell>
          <cell r="C562">
            <v>0</v>
          </cell>
          <cell r="D562">
            <v>0</v>
          </cell>
          <cell r="E562">
            <v>0</v>
          </cell>
          <cell r="F562">
            <v>0</v>
          </cell>
          <cell r="G562">
            <v>0</v>
          </cell>
          <cell r="H562">
            <v>0</v>
          </cell>
          <cell r="I562">
            <v>0</v>
          </cell>
          <cell r="J562">
            <v>0</v>
          </cell>
          <cell r="K562">
            <v>0</v>
          </cell>
        </row>
        <row r="563">
          <cell r="A563" t="str">
            <v>-</v>
          </cell>
          <cell r="B563" t="str">
            <v xml:space="preserve">CORRECCION MONETARIA PROVIS. MEDALLAS FRN Y OTROS, </v>
          </cell>
          <cell r="C563">
            <v>0</v>
          </cell>
          <cell r="D563">
            <v>0</v>
          </cell>
          <cell r="E563">
            <v>0</v>
          </cell>
          <cell r="F563">
            <v>0</v>
          </cell>
          <cell r="G563">
            <v>0</v>
          </cell>
          <cell r="H563">
            <v>0</v>
          </cell>
          <cell r="I563">
            <v>0</v>
          </cell>
          <cell r="J563">
            <v>0</v>
          </cell>
          <cell r="K563">
            <v>0</v>
          </cell>
        </row>
        <row r="564">
          <cell r="A564" t="str">
            <v>-</v>
          </cell>
          <cell r="B564" t="str">
            <v>MEDALLAS CONMEMOR ANOS DE SERVICIOS,</v>
          </cell>
          <cell r="C564">
            <v>0</v>
          </cell>
          <cell r="D564">
            <v>0</v>
          </cell>
          <cell r="E564">
            <v>0</v>
          </cell>
          <cell r="F564">
            <v>0</v>
          </cell>
          <cell r="G564">
            <v>0</v>
          </cell>
          <cell r="H564">
            <v>0</v>
          </cell>
          <cell r="I564">
            <v>0</v>
          </cell>
          <cell r="J564">
            <v>0</v>
          </cell>
          <cell r="K564">
            <v>0</v>
          </cell>
        </row>
        <row r="565">
          <cell r="A565" t="str">
            <v>13BUEZN</v>
          </cell>
          <cell r="B565" t="str">
            <v xml:space="preserve">PAEL P/IMPRESION BILLETES </v>
          </cell>
          <cell r="C565">
            <v>0</v>
          </cell>
          <cell r="D565">
            <v>0</v>
          </cell>
          <cell r="E565">
            <v>0</v>
          </cell>
          <cell r="F565">
            <v>0</v>
          </cell>
          <cell r="G565">
            <v>0</v>
          </cell>
          <cell r="H565">
            <v>0</v>
          </cell>
          <cell r="I565">
            <v>0</v>
          </cell>
          <cell r="J565">
            <v>0</v>
          </cell>
          <cell r="K565">
            <v>0</v>
          </cell>
        </row>
        <row r="566">
          <cell r="A566" t="str">
            <v>-</v>
          </cell>
          <cell r="B566" t="str">
            <v xml:space="preserve">METALES NO PREC.P/ACUNAC  </v>
          </cell>
          <cell r="C566">
            <v>0</v>
          </cell>
          <cell r="D566">
            <v>0</v>
          </cell>
          <cell r="E566">
            <v>0</v>
          </cell>
          <cell r="F566">
            <v>0</v>
          </cell>
          <cell r="G566">
            <v>0</v>
          </cell>
          <cell r="H566">
            <v>0</v>
          </cell>
          <cell r="I566">
            <v>0</v>
          </cell>
          <cell r="J566">
            <v>0</v>
          </cell>
          <cell r="K566">
            <v>0</v>
          </cell>
        </row>
        <row r="567">
          <cell r="A567" t="str">
            <v>-</v>
          </cell>
          <cell r="B567" t="str">
            <v xml:space="preserve">CORRECCION MON PROV RE EXISTENCIAS </v>
          </cell>
          <cell r="C567">
            <v>0</v>
          </cell>
          <cell r="D567">
            <v>0</v>
          </cell>
          <cell r="E567">
            <v>0</v>
          </cell>
          <cell r="F567">
            <v>0</v>
          </cell>
          <cell r="G567">
            <v>0</v>
          </cell>
          <cell r="H567">
            <v>0</v>
          </cell>
          <cell r="I567">
            <v>0</v>
          </cell>
          <cell r="J567">
            <v>0</v>
          </cell>
          <cell r="K567">
            <v>0</v>
          </cell>
        </row>
        <row r="568">
          <cell r="A568" t="str">
            <v>-</v>
          </cell>
          <cell r="B568" t="str">
            <v xml:space="preserve">PAPEL DE SEGURIDAD </v>
          </cell>
          <cell r="C568">
            <v>0</v>
          </cell>
          <cell r="D568">
            <v>0</v>
          </cell>
          <cell r="E568">
            <v>0</v>
          </cell>
          <cell r="F568">
            <v>0</v>
          </cell>
          <cell r="G568">
            <v>0</v>
          </cell>
          <cell r="H568">
            <v>0</v>
          </cell>
          <cell r="I568">
            <v>0</v>
          </cell>
          <cell r="J568">
            <v>0</v>
          </cell>
          <cell r="K568">
            <v>0</v>
          </cell>
        </row>
        <row r="569">
          <cell r="A569" t="str">
            <v>12BFWZN</v>
          </cell>
          <cell r="B569" t="str">
            <v xml:space="preserve">  .CUENTAS DIVERSAS M/N</v>
          </cell>
          <cell r="C569">
            <v>18034725</v>
          </cell>
          <cell r="D569">
            <v>18380936</v>
          </cell>
          <cell r="E569">
            <v>17743984</v>
          </cell>
          <cell r="F569">
            <v>17662759</v>
          </cell>
          <cell r="G569">
            <v>17833845</v>
          </cell>
          <cell r="H569">
            <v>17370216</v>
          </cell>
          <cell r="I569">
            <v>17419921</v>
          </cell>
          <cell r="J569">
            <v>17133335</v>
          </cell>
          <cell r="K569">
            <v>16501717</v>
          </cell>
        </row>
        <row r="570">
          <cell r="A570" t="str">
            <v>13AUNZN</v>
          </cell>
          <cell r="B570" t="str">
            <v>OFICINAS</v>
          </cell>
          <cell r="C570">
            <v>0</v>
          </cell>
          <cell r="D570">
            <v>0</v>
          </cell>
          <cell r="E570">
            <v>0</v>
          </cell>
          <cell r="F570">
            <v>0</v>
          </cell>
          <cell r="G570">
            <v>0</v>
          </cell>
          <cell r="H570">
            <v>0</v>
          </cell>
          <cell r="I570">
            <v>0</v>
          </cell>
          <cell r="J570">
            <v>0</v>
          </cell>
          <cell r="K570">
            <v>0</v>
          </cell>
        </row>
        <row r="571">
          <cell r="A571" t="str">
            <v>13ATNZN</v>
          </cell>
          <cell r="B571" t="str">
            <v xml:space="preserve">OPERACIONES PENDIENTES </v>
          </cell>
          <cell r="C571">
            <v>247</v>
          </cell>
          <cell r="D571">
            <v>247</v>
          </cell>
          <cell r="E571">
            <v>252</v>
          </cell>
          <cell r="F571">
            <v>241</v>
          </cell>
          <cell r="G571">
            <v>280</v>
          </cell>
          <cell r="H571">
            <v>281</v>
          </cell>
          <cell r="I571">
            <v>249</v>
          </cell>
          <cell r="J571">
            <v>277</v>
          </cell>
          <cell r="K571">
            <v>287</v>
          </cell>
        </row>
        <row r="572">
          <cell r="A572" t="str">
            <v>13BLNZN</v>
          </cell>
          <cell r="B572" t="str">
            <v xml:space="preserve">GASTOS ANTICIPADOS </v>
          </cell>
          <cell r="C572">
            <v>92</v>
          </cell>
          <cell r="D572">
            <v>82</v>
          </cell>
          <cell r="E572">
            <v>73</v>
          </cell>
          <cell r="F572">
            <v>63</v>
          </cell>
          <cell r="G572">
            <v>54</v>
          </cell>
          <cell r="H572">
            <v>45</v>
          </cell>
          <cell r="I572">
            <v>36</v>
          </cell>
          <cell r="J572">
            <v>27</v>
          </cell>
          <cell r="K572">
            <v>36</v>
          </cell>
        </row>
        <row r="573">
          <cell r="A573" t="str">
            <v>12MLNZN</v>
          </cell>
          <cell r="B573" t="str">
            <v xml:space="preserve">INTS.PAG.ANTIC.P/VTAS.PDBC </v>
          </cell>
          <cell r="C573">
            <v>40046</v>
          </cell>
          <cell r="D573">
            <v>37085</v>
          </cell>
          <cell r="E573">
            <v>32919</v>
          </cell>
          <cell r="F573">
            <v>30917</v>
          </cell>
          <cell r="G573">
            <v>27523</v>
          </cell>
          <cell r="H573">
            <v>24763</v>
          </cell>
          <cell r="I573">
            <v>22578</v>
          </cell>
          <cell r="J573">
            <v>20364</v>
          </cell>
          <cell r="K573">
            <v>18261</v>
          </cell>
        </row>
        <row r="574">
          <cell r="A574" t="str">
            <v>12AQNZN</v>
          </cell>
          <cell r="B574" t="str">
            <v xml:space="preserve">INTERES PAG.ANTICIP.POR VTAS DE PDBC </v>
          </cell>
          <cell r="C574">
            <v>115</v>
          </cell>
          <cell r="D574">
            <v>40</v>
          </cell>
          <cell r="E574">
            <v>7</v>
          </cell>
          <cell r="F574">
            <v>0</v>
          </cell>
          <cell r="G574">
            <v>27</v>
          </cell>
          <cell r="H574">
            <v>17</v>
          </cell>
          <cell r="I574">
            <v>7</v>
          </cell>
          <cell r="J574">
            <v>0</v>
          </cell>
          <cell r="K574">
            <v>0</v>
          </cell>
        </row>
        <row r="575">
          <cell r="A575" t="str">
            <v>13DNNZN</v>
          </cell>
          <cell r="B575" t="str">
            <v>INTERESES Y DESC.PAGADOS ANTICIPADAMENTE</v>
          </cell>
          <cell r="C575">
            <v>344745</v>
          </cell>
          <cell r="D575">
            <v>334783</v>
          </cell>
          <cell r="E575">
            <v>327170</v>
          </cell>
          <cell r="F575">
            <v>320576</v>
          </cell>
          <cell r="G575">
            <v>309547</v>
          </cell>
          <cell r="H575">
            <v>301220</v>
          </cell>
          <cell r="I575">
            <v>294380</v>
          </cell>
          <cell r="J575">
            <v>286522</v>
          </cell>
          <cell r="K575">
            <v>276834</v>
          </cell>
        </row>
        <row r="576">
          <cell r="A576" t="str">
            <v>-</v>
          </cell>
          <cell r="B576" t="str">
            <v xml:space="preserve">EGRESOS SUJETOS A LIQUID.FINAL S.CONT.EURODOLARES, </v>
          </cell>
          <cell r="C576">
            <v>0</v>
          </cell>
          <cell r="D576">
            <v>0</v>
          </cell>
          <cell r="E576">
            <v>0</v>
          </cell>
          <cell r="F576">
            <v>0</v>
          </cell>
          <cell r="G576">
            <v>0</v>
          </cell>
          <cell r="H576">
            <v>0</v>
          </cell>
          <cell r="I576">
            <v>0</v>
          </cell>
          <cell r="J576">
            <v>0</v>
          </cell>
          <cell r="K576">
            <v>0</v>
          </cell>
        </row>
        <row r="577">
          <cell r="A577" t="str">
            <v>-</v>
          </cell>
          <cell r="B577" t="str">
            <v xml:space="preserve">COMISIONES PAGADAS Y NO DEVENGADAS POR CRED.EXT </v>
          </cell>
          <cell r="C577">
            <v>0</v>
          </cell>
          <cell r="D577">
            <v>0</v>
          </cell>
          <cell r="E577">
            <v>0</v>
          </cell>
          <cell r="F577">
            <v>0</v>
          </cell>
          <cell r="G577">
            <v>0</v>
          </cell>
          <cell r="H577">
            <v>0</v>
          </cell>
          <cell r="I577">
            <v>0</v>
          </cell>
          <cell r="J577">
            <v>0</v>
          </cell>
          <cell r="K577">
            <v>0</v>
          </cell>
        </row>
        <row r="578">
          <cell r="A578" t="str">
            <v>13EYNZN</v>
          </cell>
          <cell r="B578" t="str">
            <v xml:space="preserve">CARGO DIFERIDO POR INDEMNIZACION ANOS DE SERVICIO, </v>
          </cell>
          <cell r="C578">
            <v>0</v>
          </cell>
          <cell r="D578">
            <v>0</v>
          </cell>
          <cell r="E578">
            <v>0</v>
          </cell>
          <cell r="F578">
            <v>0</v>
          </cell>
          <cell r="G578">
            <v>0</v>
          </cell>
          <cell r="H578">
            <v>0</v>
          </cell>
          <cell r="I578">
            <v>0</v>
          </cell>
          <cell r="J578">
            <v>0</v>
          </cell>
          <cell r="K578">
            <v>0</v>
          </cell>
        </row>
        <row r="579">
          <cell r="A579" t="str">
            <v>13FBNZN</v>
          </cell>
          <cell r="B579" t="str">
            <v xml:space="preserve">FONDOS POR RENDIR </v>
          </cell>
          <cell r="C579">
            <v>0</v>
          </cell>
          <cell r="D579">
            <v>7</v>
          </cell>
          <cell r="E579">
            <v>6</v>
          </cell>
          <cell r="F579">
            <v>11</v>
          </cell>
          <cell r="G579">
            <v>8</v>
          </cell>
          <cell r="H579">
            <v>6</v>
          </cell>
          <cell r="I579">
            <v>9</v>
          </cell>
          <cell r="J579">
            <v>5</v>
          </cell>
          <cell r="K579">
            <v>2</v>
          </cell>
        </row>
        <row r="580">
          <cell r="A580" t="str">
            <v>13FCNZN</v>
          </cell>
          <cell r="B580" t="str">
            <v>ANTICIPOS</v>
          </cell>
          <cell r="C580">
            <v>204</v>
          </cell>
          <cell r="D580">
            <v>250</v>
          </cell>
          <cell r="E580">
            <v>258</v>
          </cell>
          <cell r="F580">
            <v>213</v>
          </cell>
          <cell r="G580">
            <v>186</v>
          </cell>
          <cell r="H580">
            <v>215</v>
          </cell>
          <cell r="I580">
            <v>199</v>
          </cell>
          <cell r="J580">
            <v>215</v>
          </cell>
          <cell r="K580">
            <v>238</v>
          </cell>
        </row>
        <row r="581">
          <cell r="A581" t="str">
            <v>-</v>
          </cell>
          <cell r="B581" t="str">
            <v>DESCUENTOS POR PAGARES FISCO LEY 18768</v>
          </cell>
          <cell r="C581">
            <v>0</v>
          </cell>
          <cell r="D581">
            <v>0</v>
          </cell>
          <cell r="E581">
            <v>0</v>
          </cell>
          <cell r="F581">
            <v>0</v>
          </cell>
          <cell r="G581">
            <v>0</v>
          </cell>
          <cell r="H581">
            <v>0</v>
          </cell>
          <cell r="I581">
            <v>0</v>
          </cell>
          <cell r="J581">
            <v>0</v>
          </cell>
          <cell r="K581">
            <v>0</v>
          </cell>
        </row>
        <row r="582">
          <cell r="A582" t="str">
            <v>13FENZN</v>
          </cell>
          <cell r="B582" t="str">
            <v xml:space="preserve">DESCUENTOS POR EFECTUAR EN VENTA DE PAGARES A AFP, </v>
          </cell>
          <cell r="C582">
            <v>0</v>
          </cell>
          <cell r="D582">
            <v>0</v>
          </cell>
          <cell r="E582">
            <v>0</v>
          </cell>
          <cell r="F582">
            <v>0</v>
          </cell>
          <cell r="G582">
            <v>0</v>
          </cell>
          <cell r="H582">
            <v>0</v>
          </cell>
          <cell r="I582">
            <v>0</v>
          </cell>
          <cell r="J582">
            <v>0</v>
          </cell>
          <cell r="K582">
            <v>0</v>
          </cell>
        </row>
        <row r="583">
          <cell r="A583" t="str">
            <v>-</v>
          </cell>
          <cell r="B583" t="str">
            <v>TITULOS RECONOCIMIENTO DEUDA CAP XIX DEL CNCI POR,</v>
          </cell>
          <cell r="C583">
            <v>0</v>
          </cell>
          <cell r="D583">
            <v>0</v>
          </cell>
          <cell r="E583">
            <v>0</v>
          </cell>
          <cell r="F583">
            <v>0</v>
          </cell>
          <cell r="G583">
            <v>0</v>
          </cell>
          <cell r="H583">
            <v>0</v>
          </cell>
          <cell r="I583">
            <v>0</v>
          </cell>
          <cell r="J583">
            <v>0</v>
          </cell>
          <cell r="K583">
            <v>0</v>
          </cell>
        </row>
        <row r="584">
          <cell r="A584" t="str">
            <v>-</v>
          </cell>
          <cell r="B584" t="str">
            <v xml:space="preserve">DOLARES P.REC.DE BCOS.P.COMP.MESA DE DINERO </v>
          </cell>
          <cell r="C584">
            <v>0</v>
          </cell>
          <cell r="D584">
            <v>0</v>
          </cell>
          <cell r="E584">
            <v>0</v>
          </cell>
          <cell r="F584">
            <v>0</v>
          </cell>
          <cell r="G584">
            <v>0</v>
          </cell>
          <cell r="H584">
            <v>0</v>
          </cell>
          <cell r="I584">
            <v>0</v>
          </cell>
          <cell r="J584">
            <v>0</v>
          </cell>
          <cell r="K584">
            <v>0</v>
          </cell>
        </row>
        <row r="585">
          <cell r="A585" t="str">
            <v>13FGNZN</v>
          </cell>
          <cell r="B585" t="str">
            <v>PESOS P.REC.DE BCOS.P.VTA.DOLARES MESA DE DINERO</v>
          </cell>
          <cell r="C585">
            <v>0</v>
          </cell>
          <cell r="D585">
            <v>0</v>
          </cell>
          <cell r="E585">
            <v>0</v>
          </cell>
          <cell r="F585">
            <v>0</v>
          </cell>
          <cell r="G585">
            <v>0</v>
          </cell>
          <cell r="H585">
            <v>0</v>
          </cell>
          <cell r="I585">
            <v>0</v>
          </cell>
          <cell r="J585">
            <v>0</v>
          </cell>
          <cell r="K585">
            <v>0</v>
          </cell>
        </row>
        <row r="586">
          <cell r="A586" t="str">
            <v>12MKNZN</v>
          </cell>
          <cell r="B586" t="str">
            <v>CPRA.PDBC C/PACTO RETROVTA.</v>
          </cell>
          <cell r="C586">
            <v>0</v>
          </cell>
          <cell r="D586">
            <v>0</v>
          </cell>
          <cell r="E586">
            <v>0</v>
          </cell>
          <cell r="F586">
            <v>0</v>
          </cell>
          <cell r="G586">
            <v>0</v>
          </cell>
          <cell r="H586">
            <v>0</v>
          </cell>
          <cell r="I586">
            <v>0</v>
          </cell>
          <cell r="J586">
            <v>0</v>
          </cell>
          <cell r="K586">
            <v>0</v>
          </cell>
        </row>
        <row r="587">
          <cell r="A587" t="str">
            <v>12ARNZN</v>
          </cell>
          <cell r="B587" t="str">
            <v xml:space="preserve">COMPRA DE PDBC CON PACTO DE RETROVENTA </v>
          </cell>
          <cell r="C587">
            <v>0</v>
          </cell>
          <cell r="D587">
            <v>0</v>
          </cell>
          <cell r="E587">
            <v>0</v>
          </cell>
          <cell r="F587">
            <v>0</v>
          </cell>
          <cell r="G587">
            <v>0</v>
          </cell>
          <cell r="H587">
            <v>0</v>
          </cell>
          <cell r="I587">
            <v>0</v>
          </cell>
          <cell r="J587">
            <v>0</v>
          </cell>
          <cell r="K587">
            <v>0</v>
          </cell>
        </row>
        <row r="588">
          <cell r="A588" t="str">
            <v>12ASNZN</v>
          </cell>
          <cell r="B588" t="str">
            <v>REAJ.P/RECIBIR POR PDBC COMPRADOS CON PACTO RETR.</v>
          </cell>
          <cell r="C588">
            <v>0</v>
          </cell>
          <cell r="D588">
            <v>0</v>
          </cell>
          <cell r="E588">
            <v>0</v>
          </cell>
          <cell r="F588">
            <v>0</v>
          </cell>
          <cell r="G588">
            <v>0</v>
          </cell>
          <cell r="H588">
            <v>0</v>
          </cell>
          <cell r="I588">
            <v>0</v>
          </cell>
          <cell r="J588">
            <v>0</v>
          </cell>
          <cell r="K588">
            <v>0</v>
          </cell>
        </row>
        <row r="589">
          <cell r="A589" t="str">
            <v>13ASNZN</v>
          </cell>
          <cell r="B589" t="str">
            <v>CANJE</v>
          </cell>
          <cell r="C589">
            <v>17</v>
          </cell>
          <cell r="D589">
            <v>10</v>
          </cell>
          <cell r="E589">
            <v>4</v>
          </cell>
          <cell r="F589">
            <v>9177</v>
          </cell>
          <cell r="G589">
            <v>13</v>
          </cell>
          <cell r="H589">
            <v>12</v>
          </cell>
          <cell r="I589">
            <v>5</v>
          </cell>
          <cell r="J589">
            <v>14</v>
          </cell>
          <cell r="K589">
            <v>10</v>
          </cell>
        </row>
        <row r="590">
          <cell r="A590" t="str">
            <v>-</v>
          </cell>
          <cell r="B590" t="str">
            <v xml:space="preserve">DEUDORES P/ARBITRAJES A FUTURO </v>
          </cell>
          <cell r="C590">
            <v>0</v>
          </cell>
          <cell r="D590">
            <v>0</v>
          </cell>
          <cell r="E590">
            <v>0</v>
          </cell>
          <cell r="F590">
            <v>0</v>
          </cell>
          <cell r="G590">
            <v>0</v>
          </cell>
          <cell r="H590">
            <v>0</v>
          </cell>
          <cell r="I590">
            <v>0</v>
          </cell>
          <cell r="J590">
            <v>0</v>
          </cell>
          <cell r="K590">
            <v>0</v>
          </cell>
        </row>
        <row r="591">
          <cell r="A591" t="str">
            <v>13AGNZN</v>
          </cell>
          <cell r="B591" t="str">
            <v xml:space="preserve">DOCUMENTOS VENCIDOS  </v>
          </cell>
          <cell r="C591">
            <v>55</v>
          </cell>
          <cell r="D591">
            <v>55</v>
          </cell>
          <cell r="E591">
            <v>14</v>
          </cell>
          <cell r="F591">
            <v>9</v>
          </cell>
          <cell r="G591">
            <v>9</v>
          </cell>
          <cell r="H591">
            <v>9</v>
          </cell>
          <cell r="I591">
            <v>9</v>
          </cell>
          <cell r="J591">
            <v>9</v>
          </cell>
          <cell r="K591">
            <v>9</v>
          </cell>
        </row>
        <row r="592">
          <cell r="A592" t="str">
            <v>13AHNZN</v>
          </cell>
          <cell r="B592" t="str">
            <v xml:space="preserve">DOCUM.EN COBRO JUDICIAL </v>
          </cell>
          <cell r="C592">
            <v>0</v>
          </cell>
          <cell r="D592">
            <v>0</v>
          </cell>
          <cell r="E592">
            <v>0</v>
          </cell>
          <cell r="F592">
            <v>0</v>
          </cell>
          <cell r="G592">
            <v>0</v>
          </cell>
          <cell r="H592">
            <v>0</v>
          </cell>
          <cell r="I592">
            <v>0</v>
          </cell>
          <cell r="J592">
            <v>0</v>
          </cell>
          <cell r="K592">
            <v>0</v>
          </cell>
        </row>
        <row r="593">
          <cell r="A593" t="str">
            <v>13BMNZN</v>
          </cell>
          <cell r="B593" t="str">
            <v xml:space="preserve">DOCUMENTOS CASTIGADOS </v>
          </cell>
          <cell r="C593">
            <v>0</v>
          </cell>
          <cell r="D593">
            <v>0</v>
          </cell>
          <cell r="E593">
            <v>0</v>
          </cell>
          <cell r="F593">
            <v>0</v>
          </cell>
          <cell r="G593">
            <v>0</v>
          </cell>
          <cell r="H593">
            <v>0</v>
          </cell>
          <cell r="I593">
            <v>0</v>
          </cell>
          <cell r="J593">
            <v>0</v>
          </cell>
          <cell r="K593">
            <v>0</v>
          </cell>
        </row>
        <row r="594">
          <cell r="A594" t="str">
            <v>14AENZN</v>
          </cell>
          <cell r="B594" t="str">
            <v>CAJA ME  CUENTAS DIVERSAS,</v>
          </cell>
          <cell r="C594">
            <v>1945332</v>
          </cell>
          <cell r="D594">
            <v>1887051</v>
          </cell>
          <cell r="E594">
            <v>1793110</v>
          </cell>
          <cell r="F594">
            <v>2085568</v>
          </cell>
          <cell r="G594">
            <v>1995378</v>
          </cell>
          <cell r="H594">
            <v>2121063</v>
          </cell>
          <cell r="I594">
            <v>2077592</v>
          </cell>
          <cell r="J594">
            <v>2019148</v>
          </cell>
          <cell r="K594">
            <v>1947257</v>
          </cell>
        </row>
        <row r="595">
          <cell r="A595" t="str">
            <v>13CVNZN</v>
          </cell>
          <cell r="B595" t="str">
            <v xml:space="preserve">BILLETES INUTILIZADOS Y NO DESTRUIDOS </v>
          </cell>
          <cell r="C595">
            <v>0</v>
          </cell>
          <cell r="D595">
            <v>0</v>
          </cell>
          <cell r="E595">
            <v>0</v>
          </cell>
          <cell r="F595">
            <v>0</v>
          </cell>
          <cell r="G595">
            <v>0</v>
          </cell>
          <cell r="H595">
            <v>0</v>
          </cell>
          <cell r="I595">
            <v>0</v>
          </cell>
          <cell r="J595">
            <v>0</v>
          </cell>
          <cell r="K595">
            <v>0</v>
          </cell>
        </row>
        <row r="596">
          <cell r="A596" t="str">
            <v>13BQNZN</v>
          </cell>
          <cell r="B596" t="str">
            <v>CUENTA CON ESTADIO</v>
          </cell>
          <cell r="C596">
            <v>0</v>
          </cell>
          <cell r="D596">
            <v>0</v>
          </cell>
          <cell r="E596">
            <v>0</v>
          </cell>
          <cell r="F596">
            <v>0</v>
          </cell>
          <cell r="G596">
            <v>0</v>
          </cell>
          <cell r="H596">
            <v>0</v>
          </cell>
          <cell r="I596">
            <v>0</v>
          </cell>
          <cell r="J596">
            <v>0</v>
          </cell>
          <cell r="K596">
            <v>0</v>
          </cell>
        </row>
        <row r="597">
          <cell r="A597" t="str">
            <v>12FKNZN</v>
          </cell>
          <cell r="B597" t="str">
            <v xml:space="preserve">CORRESP.EN PAIS-BCO.ESTADO </v>
          </cell>
          <cell r="C597">
            <v>0</v>
          </cell>
          <cell r="D597">
            <v>0</v>
          </cell>
          <cell r="E597">
            <v>0</v>
          </cell>
          <cell r="F597">
            <v>0</v>
          </cell>
          <cell r="G597">
            <v>0</v>
          </cell>
          <cell r="H597">
            <v>0</v>
          </cell>
          <cell r="I597">
            <v>0</v>
          </cell>
          <cell r="J597">
            <v>0</v>
          </cell>
          <cell r="K597">
            <v>0</v>
          </cell>
        </row>
        <row r="598">
          <cell r="A598" t="str">
            <v>14AFNZN</v>
          </cell>
          <cell r="B598" t="str">
            <v xml:space="preserve">REMESAS EN TRANSITO </v>
          </cell>
          <cell r="C598">
            <v>-9000</v>
          </cell>
          <cell r="D598">
            <v>0</v>
          </cell>
          <cell r="E598">
            <v>20</v>
          </cell>
          <cell r="F598">
            <v>0</v>
          </cell>
          <cell r="G598">
            <v>0</v>
          </cell>
          <cell r="H598">
            <v>0</v>
          </cell>
          <cell r="I598">
            <v>0</v>
          </cell>
          <cell r="J598">
            <v>0</v>
          </cell>
          <cell r="K598">
            <v>0</v>
          </cell>
        </row>
        <row r="599">
          <cell r="A599" t="str">
            <v>13BPNZN</v>
          </cell>
          <cell r="B599" t="str">
            <v>CUENTA CON BALNEARIO</v>
          </cell>
          <cell r="C599">
            <v>0</v>
          </cell>
          <cell r="D599">
            <v>0</v>
          </cell>
          <cell r="E599">
            <v>0</v>
          </cell>
          <cell r="F599">
            <v>0</v>
          </cell>
          <cell r="G599">
            <v>0</v>
          </cell>
          <cell r="H599">
            <v>0</v>
          </cell>
          <cell r="I599">
            <v>0</v>
          </cell>
          <cell r="J599">
            <v>0</v>
          </cell>
          <cell r="K599">
            <v>0</v>
          </cell>
        </row>
        <row r="600">
          <cell r="A600" t="str">
            <v>-</v>
          </cell>
          <cell r="B600" t="str">
            <v xml:space="preserve">INTS.P/REC.SUJ.ANALISIS </v>
          </cell>
          <cell r="C600">
            <v>0</v>
          </cell>
          <cell r="D600">
            <v>0</v>
          </cell>
          <cell r="E600">
            <v>0</v>
          </cell>
          <cell r="F600">
            <v>0</v>
          </cell>
          <cell r="G600">
            <v>0</v>
          </cell>
          <cell r="H600">
            <v>0</v>
          </cell>
          <cell r="I600">
            <v>0</v>
          </cell>
          <cell r="J600">
            <v>0</v>
          </cell>
          <cell r="K600">
            <v>0</v>
          </cell>
        </row>
        <row r="601">
          <cell r="A601" t="str">
            <v>13AQNZN</v>
          </cell>
          <cell r="B601" t="str">
            <v xml:space="preserve">ANTICIPO CRED AGRIC BID IC-CH </v>
          </cell>
          <cell r="C601">
            <v>0</v>
          </cell>
          <cell r="D601">
            <v>0</v>
          </cell>
          <cell r="E601">
            <v>0</v>
          </cell>
          <cell r="F601">
            <v>0</v>
          </cell>
          <cell r="G601">
            <v>0</v>
          </cell>
          <cell r="H601">
            <v>0</v>
          </cell>
          <cell r="I601">
            <v>0</v>
          </cell>
          <cell r="J601">
            <v>0</v>
          </cell>
          <cell r="K601">
            <v>0</v>
          </cell>
        </row>
        <row r="602">
          <cell r="A602" t="str">
            <v>13AWNZN</v>
          </cell>
          <cell r="B602" t="str">
            <v>ANTICIPOS PARA BENEFICIO DEL PERSONAL</v>
          </cell>
          <cell r="C602">
            <v>14</v>
          </cell>
          <cell r="D602">
            <v>13</v>
          </cell>
          <cell r="E602">
            <v>12</v>
          </cell>
          <cell r="F602">
            <v>25</v>
          </cell>
          <cell r="G602">
            <v>39</v>
          </cell>
          <cell r="H602">
            <v>38</v>
          </cell>
          <cell r="I602">
            <v>31</v>
          </cell>
          <cell r="J602">
            <v>25</v>
          </cell>
          <cell r="K602">
            <v>20</v>
          </cell>
        </row>
        <row r="603">
          <cell r="A603" t="str">
            <v>12AFNZN</v>
          </cell>
          <cell r="B603" t="str">
            <v xml:space="preserve">IMPTOS.VTAS.SERV.IVA-CRE.FISC, </v>
          </cell>
          <cell r="C603">
            <v>2501</v>
          </cell>
          <cell r="D603">
            <v>2497</v>
          </cell>
          <cell r="E603">
            <v>2499</v>
          </cell>
          <cell r="F603">
            <v>2524</v>
          </cell>
          <cell r="G603">
            <v>2553</v>
          </cell>
          <cell r="H603">
            <v>2559</v>
          </cell>
          <cell r="I603">
            <v>2555</v>
          </cell>
          <cell r="J603">
            <v>2557</v>
          </cell>
          <cell r="K603">
            <v>2554</v>
          </cell>
        </row>
        <row r="604">
          <cell r="A604" t="str">
            <v>13ACNZN</v>
          </cell>
          <cell r="B604" t="str">
            <v xml:space="preserve">IMPORT.DEL BCO.EN TRAMITE </v>
          </cell>
          <cell r="C604">
            <v>3</v>
          </cell>
          <cell r="D604">
            <v>3</v>
          </cell>
          <cell r="E604">
            <v>3</v>
          </cell>
          <cell r="F604">
            <v>3</v>
          </cell>
          <cell r="G604">
            <v>0</v>
          </cell>
          <cell r="H604">
            <v>0</v>
          </cell>
          <cell r="I604">
            <v>0</v>
          </cell>
          <cell r="J604">
            <v>0</v>
          </cell>
          <cell r="K604">
            <v>0</v>
          </cell>
        </row>
        <row r="605">
          <cell r="A605" t="str">
            <v>13AENZN</v>
          </cell>
          <cell r="B605" t="str">
            <v xml:space="preserve">CUENTAS DIVERSAS  </v>
          </cell>
          <cell r="C605">
            <v>149</v>
          </cell>
          <cell r="D605">
            <v>149</v>
          </cell>
          <cell r="E605">
            <v>149</v>
          </cell>
          <cell r="F605">
            <v>149</v>
          </cell>
          <cell r="G605">
            <v>150</v>
          </cell>
          <cell r="H605">
            <v>150</v>
          </cell>
          <cell r="I605">
            <v>150</v>
          </cell>
          <cell r="J605">
            <v>150</v>
          </cell>
          <cell r="K605">
            <v>141</v>
          </cell>
        </row>
        <row r="606">
          <cell r="A606" t="str">
            <v>13AFNZN</v>
          </cell>
          <cell r="B606" t="str">
            <v xml:space="preserve">VARIOS DEUDORES  </v>
          </cell>
          <cell r="C606">
            <v>0</v>
          </cell>
          <cell r="D606">
            <v>1</v>
          </cell>
          <cell r="E606">
            <v>0</v>
          </cell>
          <cell r="F606">
            <v>0</v>
          </cell>
          <cell r="G606">
            <v>3</v>
          </cell>
          <cell r="H606">
            <v>0</v>
          </cell>
          <cell r="I606">
            <v>0</v>
          </cell>
          <cell r="J606">
            <v>227</v>
          </cell>
          <cell r="K606">
            <v>0</v>
          </cell>
        </row>
        <row r="607">
          <cell r="A607" t="str">
            <v>13DMNZN</v>
          </cell>
          <cell r="B607" t="str">
            <v xml:space="preserve">APORTE A ISAPRE </v>
          </cell>
          <cell r="C607">
            <v>0</v>
          </cell>
          <cell r="D607">
            <v>0</v>
          </cell>
          <cell r="E607">
            <v>0</v>
          </cell>
          <cell r="F607">
            <v>0</v>
          </cell>
          <cell r="G607">
            <v>0</v>
          </cell>
          <cell r="H607">
            <v>0</v>
          </cell>
          <cell r="I607">
            <v>0</v>
          </cell>
          <cell r="J607">
            <v>0</v>
          </cell>
          <cell r="K607">
            <v>0</v>
          </cell>
        </row>
        <row r="608">
          <cell r="A608" t="str">
            <v>-</v>
          </cell>
          <cell r="B608" t="str">
            <v>DIVISAS ARBITRADAS A FUTURO</v>
          </cell>
          <cell r="C608">
            <v>0</v>
          </cell>
          <cell r="D608">
            <v>0</v>
          </cell>
          <cell r="E608">
            <v>0</v>
          </cell>
          <cell r="F608">
            <v>0</v>
          </cell>
          <cell r="G608">
            <v>0</v>
          </cell>
          <cell r="H608">
            <v>0</v>
          </cell>
          <cell r="I608">
            <v>0</v>
          </cell>
          <cell r="J608">
            <v>0</v>
          </cell>
          <cell r="K608">
            <v>0</v>
          </cell>
        </row>
        <row r="609">
          <cell r="A609" t="str">
            <v>13DSNZN</v>
          </cell>
          <cell r="B609" t="str">
            <v>PAGARES FISCO POR TRANSFERENCIAS</v>
          </cell>
          <cell r="C609">
            <v>335102</v>
          </cell>
          <cell r="D609">
            <v>335102</v>
          </cell>
          <cell r="E609">
            <v>335102</v>
          </cell>
          <cell r="F609">
            <v>335102</v>
          </cell>
          <cell r="G609">
            <v>335102</v>
          </cell>
          <cell r="H609">
            <v>313149</v>
          </cell>
          <cell r="I609">
            <v>313149</v>
          </cell>
          <cell r="J609">
            <v>313149</v>
          </cell>
          <cell r="K609">
            <v>313149</v>
          </cell>
        </row>
        <row r="610">
          <cell r="A610" t="str">
            <v>13DTNZN</v>
          </cell>
          <cell r="B610" t="str">
            <v>REAJ.P.RECIB.S.PAGARES FISCO LEY 18267 ART.39,</v>
          </cell>
          <cell r="C610">
            <v>-1222</v>
          </cell>
          <cell r="D610">
            <v>-1384</v>
          </cell>
          <cell r="E610">
            <v>617</v>
          </cell>
          <cell r="F610">
            <v>4216</v>
          </cell>
          <cell r="G610">
            <v>5191</v>
          </cell>
          <cell r="H610">
            <v>-627</v>
          </cell>
          <cell r="I610">
            <v>-1002</v>
          </cell>
          <cell r="J610">
            <v>-1224</v>
          </cell>
          <cell r="K610">
            <v>-878</v>
          </cell>
        </row>
        <row r="611">
          <cell r="A611" t="str">
            <v>13DUNZN</v>
          </cell>
          <cell r="B611" t="str">
            <v>INTERESES POR RECIBIR SOBRE PAGARES FISCO</v>
          </cell>
          <cell r="C611">
            <v>425</v>
          </cell>
          <cell r="D611">
            <v>702</v>
          </cell>
          <cell r="E611">
            <v>985</v>
          </cell>
          <cell r="F611">
            <v>1278</v>
          </cell>
          <cell r="G611">
            <v>1565</v>
          </cell>
          <cell r="H611">
            <v>138</v>
          </cell>
          <cell r="I611">
            <v>397</v>
          </cell>
          <cell r="J611">
            <v>656</v>
          </cell>
          <cell r="K611">
            <v>916</v>
          </cell>
        </row>
        <row r="612">
          <cell r="A612" t="str">
            <v>-</v>
          </cell>
          <cell r="B612" t="str">
            <v xml:space="preserve">MONEDA CORRIENTE CONTRA FONDOS DE RESERVA, </v>
          </cell>
          <cell r="C612">
            <v>0</v>
          </cell>
          <cell r="D612">
            <v>0</v>
          </cell>
          <cell r="E612">
            <v>0</v>
          </cell>
          <cell r="F612">
            <v>0</v>
          </cell>
          <cell r="G612">
            <v>0</v>
          </cell>
          <cell r="H612">
            <v>0</v>
          </cell>
          <cell r="I612">
            <v>0</v>
          </cell>
          <cell r="J612">
            <v>0</v>
          </cell>
          <cell r="K612">
            <v>0</v>
          </cell>
        </row>
        <row r="613">
          <cell r="A613" t="str">
            <v>-</v>
          </cell>
          <cell r="B613" t="str">
            <v>EQUIVALENTE POR COMPRA DE CAMBIO FMI,</v>
          </cell>
          <cell r="C613">
            <v>0</v>
          </cell>
          <cell r="D613">
            <v>0</v>
          </cell>
          <cell r="E613">
            <v>0</v>
          </cell>
          <cell r="F613">
            <v>0</v>
          </cell>
          <cell r="G613">
            <v>0</v>
          </cell>
          <cell r="H613">
            <v>0</v>
          </cell>
          <cell r="I613">
            <v>0</v>
          </cell>
          <cell r="J613">
            <v>0</v>
          </cell>
          <cell r="K613">
            <v>0</v>
          </cell>
        </row>
        <row r="614">
          <cell r="A614" t="str">
            <v>-</v>
          </cell>
          <cell r="B614" t="str">
            <v xml:space="preserve">CAMBIO PROVISIONAL COMPRA DE DOLARES USA CON PACTO, </v>
          </cell>
          <cell r="C614">
            <v>0</v>
          </cell>
          <cell r="D614">
            <v>0</v>
          </cell>
          <cell r="E614">
            <v>0</v>
          </cell>
          <cell r="F614">
            <v>0</v>
          </cell>
          <cell r="G614">
            <v>0</v>
          </cell>
          <cell r="H614">
            <v>0</v>
          </cell>
          <cell r="I614">
            <v>0</v>
          </cell>
          <cell r="J614">
            <v>0</v>
          </cell>
          <cell r="K614">
            <v>0</v>
          </cell>
        </row>
        <row r="615">
          <cell r="A615" t="str">
            <v>-</v>
          </cell>
          <cell r="B615" t="str">
            <v>CAMBIO PROVISIONA</v>
          </cell>
          <cell r="C615">
            <v>534110</v>
          </cell>
          <cell r="D615">
            <v>894644</v>
          </cell>
          <cell r="E615">
            <v>340554</v>
          </cell>
          <cell r="F615">
            <v>-52603</v>
          </cell>
          <cell r="G615">
            <v>216687</v>
          </cell>
          <cell r="H615">
            <v>-139598</v>
          </cell>
          <cell r="I615">
            <v>2017</v>
          </cell>
          <cell r="J615">
            <v>-217554</v>
          </cell>
          <cell r="K615">
            <v>-720194</v>
          </cell>
        </row>
        <row r="616">
          <cell r="A616" t="str">
            <v>-</v>
          </cell>
          <cell r="B616" t="str">
            <v>CAMBIO DE US$</v>
          </cell>
          <cell r="C616">
            <v>11697185</v>
          </cell>
          <cell r="D616">
            <v>11751068</v>
          </cell>
          <cell r="E616">
            <v>11836487</v>
          </cell>
          <cell r="F616">
            <v>11963590</v>
          </cell>
          <cell r="G616">
            <v>12086421</v>
          </cell>
          <cell r="H616">
            <v>11949700</v>
          </cell>
          <cell r="I616">
            <v>11867504</v>
          </cell>
          <cell r="J616">
            <v>11852492</v>
          </cell>
          <cell r="K616">
            <v>11812422</v>
          </cell>
        </row>
        <row r="617">
          <cell r="A617" t="str">
            <v>-</v>
          </cell>
          <cell r="B617" t="str">
            <v>CAMBIO DE $ AUST</v>
          </cell>
          <cell r="C617">
            <v>114481</v>
          </cell>
          <cell r="D617">
            <v>66867</v>
          </cell>
          <cell r="E617">
            <v>-1195</v>
          </cell>
          <cell r="F617">
            <v>-1184</v>
          </cell>
          <cell r="G617">
            <v>-1184</v>
          </cell>
          <cell r="H617">
            <v>-1184</v>
          </cell>
          <cell r="I617">
            <v>-1184</v>
          </cell>
          <cell r="J617">
            <v>-1184</v>
          </cell>
          <cell r="K617">
            <v>66421</v>
          </cell>
        </row>
        <row r="618">
          <cell r="A618" t="str">
            <v>-</v>
          </cell>
          <cell r="B618" t="str">
            <v xml:space="preserve">CAMBIOS DE $ CAN, </v>
          </cell>
          <cell r="C618">
            <v>28527</v>
          </cell>
          <cell r="D618">
            <v>12918</v>
          </cell>
          <cell r="E618">
            <v>-1286</v>
          </cell>
          <cell r="F618">
            <v>-210</v>
          </cell>
          <cell r="G618">
            <v>-210</v>
          </cell>
          <cell r="H618">
            <v>-210</v>
          </cell>
          <cell r="I618">
            <v>-210</v>
          </cell>
          <cell r="J618">
            <v>-210</v>
          </cell>
          <cell r="K618">
            <v>-210</v>
          </cell>
        </row>
        <row r="619">
          <cell r="A619" t="str">
            <v>-</v>
          </cell>
          <cell r="B619" t="str">
            <v>CAMBIO DE CRD</v>
          </cell>
          <cell r="C619">
            <v>82997</v>
          </cell>
          <cell r="D619">
            <v>83534</v>
          </cell>
          <cell r="E619">
            <v>83534</v>
          </cell>
          <cell r="F619">
            <v>69318</v>
          </cell>
          <cell r="G619">
            <v>69318</v>
          </cell>
          <cell r="H619">
            <v>55183</v>
          </cell>
          <cell r="I619">
            <v>55183</v>
          </cell>
          <cell r="J619">
            <v>46544</v>
          </cell>
          <cell r="K619">
            <v>46544</v>
          </cell>
        </row>
        <row r="620">
          <cell r="A620" t="str">
            <v>-</v>
          </cell>
          <cell r="B620" t="str">
            <v>CAMBIO DE CR.N</v>
          </cell>
          <cell r="C620">
            <v>24976</v>
          </cell>
          <cell r="D620">
            <v>24976</v>
          </cell>
          <cell r="E620">
            <v>24976</v>
          </cell>
          <cell r="F620">
            <v>39929</v>
          </cell>
          <cell r="G620">
            <v>39929</v>
          </cell>
          <cell r="H620">
            <v>55355</v>
          </cell>
          <cell r="I620">
            <v>42767</v>
          </cell>
          <cell r="J620">
            <v>52106</v>
          </cell>
          <cell r="K620">
            <v>52106</v>
          </cell>
        </row>
        <row r="621">
          <cell r="A621" t="str">
            <v>-</v>
          </cell>
          <cell r="B621" t="str">
            <v>CAMBIOS DE CR.S</v>
          </cell>
          <cell r="C621">
            <v>9107</v>
          </cell>
          <cell r="D621">
            <v>1721</v>
          </cell>
          <cell r="E621">
            <v>-252</v>
          </cell>
          <cell r="F621">
            <v>-243</v>
          </cell>
          <cell r="G621">
            <v>652</v>
          </cell>
          <cell r="H621">
            <v>632</v>
          </cell>
          <cell r="I621">
            <v>1473</v>
          </cell>
          <cell r="J621">
            <v>1473</v>
          </cell>
          <cell r="K621">
            <v>1473</v>
          </cell>
        </row>
        <row r="622">
          <cell r="A622" t="str">
            <v>-</v>
          </cell>
          <cell r="B622" t="str">
            <v>CAMBIO DE PESOS ANDINOS</v>
          </cell>
          <cell r="C622">
            <v>0</v>
          </cell>
          <cell r="D622">
            <v>0</v>
          </cell>
          <cell r="E622">
            <v>0</v>
          </cell>
          <cell r="F622">
            <v>0</v>
          </cell>
          <cell r="G622">
            <v>0</v>
          </cell>
          <cell r="H622">
            <v>0</v>
          </cell>
          <cell r="I622">
            <v>0</v>
          </cell>
          <cell r="J622">
            <v>0</v>
          </cell>
          <cell r="K622">
            <v>0</v>
          </cell>
        </row>
        <row r="623">
          <cell r="A623" t="str">
            <v>-</v>
          </cell>
          <cell r="B623" t="str">
            <v>CAMBIO DE FL H</v>
          </cell>
          <cell r="C623">
            <v>0</v>
          </cell>
          <cell r="D623">
            <v>0</v>
          </cell>
          <cell r="E623">
            <v>0</v>
          </cell>
          <cell r="F623">
            <v>0</v>
          </cell>
          <cell r="G623">
            <v>0</v>
          </cell>
          <cell r="H623">
            <v>0</v>
          </cell>
          <cell r="I623">
            <v>0</v>
          </cell>
          <cell r="J623">
            <v>0</v>
          </cell>
          <cell r="K623">
            <v>0</v>
          </cell>
        </row>
        <row r="624">
          <cell r="A624" t="str">
            <v>-</v>
          </cell>
          <cell r="B624" t="str">
            <v>CAMBIO DE FR.B</v>
          </cell>
          <cell r="C624">
            <v>0</v>
          </cell>
          <cell r="D624">
            <v>0</v>
          </cell>
          <cell r="E624">
            <v>0</v>
          </cell>
          <cell r="F624">
            <v>0</v>
          </cell>
          <cell r="G624">
            <v>0</v>
          </cell>
          <cell r="H624">
            <v>0</v>
          </cell>
          <cell r="I624">
            <v>0</v>
          </cell>
          <cell r="J624">
            <v>0</v>
          </cell>
          <cell r="K624">
            <v>0</v>
          </cell>
        </row>
        <row r="625">
          <cell r="A625" t="str">
            <v>-</v>
          </cell>
          <cell r="B625" t="str">
            <v>CAMBIO DE FR.F</v>
          </cell>
          <cell r="C625">
            <v>0</v>
          </cell>
          <cell r="D625">
            <v>0</v>
          </cell>
          <cell r="E625">
            <v>0</v>
          </cell>
          <cell r="F625">
            <v>0</v>
          </cell>
          <cell r="G625">
            <v>0</v>
          </cell>
          <cell r="H625">
            <v>0</v>
          </cell>
          <cell r="I625">
            <v>0</v>
          </cell>
          <cell r="J625">
            <v>0</v>
          </cell>
          <cell r="K625">
            <v>0</v>
          </cell>
        </row>
        <row r="626">
          <cell r="A626" t="str">
            <v>-</v>
          </cell>
          <cell r="B626" t="str">
            <v>CAMBIO DE FR.S</v>
          </cell>
          <cell r="C626">
            <v>41</v>
          </cell>
          <cell r="D626">
            <v>45</v>
          </cell>
          <cell r="E626">
            <v>45</v>
          </cell>
          <cell r="F626">
            <v>43</v>
          </cell>
          <cell r="G626">
            <v>43</v>
          </cell>
          <cell r="H626">
            <v>44</v>
          </cell>
          <cell r="I626">
            <v>44</v>
          </cell>
          <cell r="J626">
            <v>44</v>
          </cell>
          <cell r="K626">
            <v>39</v>
          </cell>
        </row>
        <row r="627">
          <cell r="A627" t="str">
            <v>-</v>
          </cell>
          <cell r="B627" t="str">
            <v>CAMBIO DE L.E</v>
          </cell>
          <cell r="C627">
            <v>591938</v>
          </cell>
          <cell r="D627">
            <v>596790</v>
          </cell>
          <cell r="E627">
            <v>596902</v>
          </cell>
          <cell r="F627">
            <v>576152</v>
          </cell>
          <cell r="G627">
            <v>543184</v>
          </cell>
          <cell r="H627">
            <v>542826</v>
          </cell>
          <cell r="I627">
            <v>627397</v>
          </cell>
          <cell r="J627">
            <v>627141</v>
          </cell>
          <cell r="K627">
            <v>627908</v>
          </cell>
        </row>
        <row r="628">
          <cell r="A628" t="str">
            <v>-</v>
          </cell>
          <cell r="B628" t="str">
            <v>CAMBIO LIT</v>
          </cell>
          <cell r="C628">
            <v>0</v>
          </cell>
          <cell r="D628">
            <v>0</v>
          </cell>
          <cell r="E628">
            <v>0</v>
          </cell>
          <cell r="F628">
            <v>0</v>
          </cell>
          <cell r="G628">
            <v>0</v>
          </cell>
          <cell r="H628">
            <v>0</v>
          </cell>
          <cell r="I628">
            <v>0</v>
          </cell>
          <cell r="J628">
            <v>0</v>
          </cell>
          <cell r="K628">
            <v>0</v>
          </cell>
        </row>
        <row r="629">
          <cell r="A629" t="str">
            <v>-</v>
          </cell>
          <cell r="B629" t="str">
            <v>CAMBIO D.M</v>
          </cell>
          <cell r="C629">
            <v>0</v>
          </cell>
          <cell r="D629">
            <v>0</v>
          </cell>
          <cell r="E629">
            <v>0</v>
          </cell>
          <cell r="F629">
            <v>0</v>
          </cell>
          <cell r="G629">
            <v>0</v>
          </cell>
          <cell r="H629">
            <v>0</v>
          </cell>
          <cell r="I629">
            <v>0</v>
          </cell>
          <cell r="J629">
            <v>0</v>
          </cell>
          <cell r="K629">
            <v>0</v>
          </cell>
        </row>
        <row r="630">
          <cell r="A630" t="str">
            <v>-</v>
          </cell>
          <cell r="B630" t="str">
            <v>CAMBIO DE PESETAS</v>
          </cell>
          <cell r="C630">
            <v>0</v>
          </cell>
          <cell r="D630">
            <v>0</v>
          </cell>
          <cell r="E630">
            <v>0</v>
          </cell>
          <cell r="F630">
            <v>0</v>
          </cell>
          <cell r="G630">
            <v>0</v>
          </cell>
          <cell r="H630">
            <v>0</v>
          </cell>
          <cell r="I630">
            <v>0</v>
          </cell>
          <cell r="J630">
            <v>0</v>
          </cell>
          <cell r="K630">
            <v>0</v>
          </cell>
        </row>
        <row r="631">
          <cell r="A631" t="str">
            <v>-</v>
          </cell>
          <cell r="B631" t="str">
            <v>CAMBIO DE US$ MESA DE DINERO</v>
          </cell>
          <cell r="C631">
            <v>-572201</v>
          </cell>
          <cell r="D631">
            <v>-572201</v>
          </cell>
          <cell r="E631">
            <v>-572778</v>
          </cell>
          <cell r="F631">
            <v>-572778</v>
          </cell>
          <cell r="G631">
            <v>-572778</v>
          </cell>
          <cell r="H631">
            <v>-572778</v>
          </cell>
          <cell r="I631">
            <v>-572778</v>
          </cell>
          <cell r="J631">
            <v>-572778</v>
          </cell>
          <cell r="K631">
            <v>-572778</v>
          </cell>
        </row>
        <row r="632">
          <cell r="A632" t="str">
            <v>-</v>
          </cell>
          <cell r="B632" t="str">
            <v>CAMBIO DE SCH.AUST</v>
          </cell>
          <cell r="C632">
            <v>0</v>
          </cell>
          <cell r="D632">
            <v>0</v>
          </cell>
          <cell r="E632">
            <v>0</v>
          </cell>
          <cell r="F632">
            <v>0</v>
          </cell>
          <cell r="G632">
            <v>0</v>
          </cell>
          <cell r="H632">
            <v>0</v>
          </cell>
          <cell r="I632">
            <v>0</v>
          </cell>
          <cell r="J632">
            <v>0</v>
          </cell>
          <cell r="K632">
            <v>0</v>
          </cell>
        </row>
        <row r="633">
          <cell r="A633" t="str">
            <v>-</v>
          </cell>
          <cell r="B633" t="str">
            <v>CAMBIO UNIDAD DE CUENTA BID</v>
          </cell>
          <cell r="C633">
            <v>0</v>
          </cell>
          <cell r="D633">
            <v>0</v>
          </cell>
          <cell r="E633">
            <v>0</v>
          </cell>
          <cell r="F633">
            <v>0</v>
          </cell>
          <cell r="G633">
            <v>0</v>
          </cell>
          <cell r="H633">
            <v>0</v>
          </cell>
          <cell r="I633">
            <v>0</v>
          </cell>
          <cell r="J633">
            <v>0</v>
          </cell>
          <cell r="K633">
            <v>0</v>
          </cell>
        </row>
        <row r="634">
          <cell r="A634" t="str">
            <v>-</v>
          </cell>
          <cell r="B634" t="str">
            <v>CAMBIO DE YENS</v>
          </cell>
          <cell r="C634">
            <v>146061</v>
          </cell>
          <cell r="D634">
            <v>203345</v>
          </cell>
          <cell r="E634">
            <v>307681</v>
          </cell>
          <cell r="F634">
            <v>298178</v>
          </cell>
          <cell r="G634">
            <v>282359</v>
          </cell>
          <cell r="H634">
            <v>281217</v>
          </cell>
          <cell r="I634">
            <v>278596</v>
          </cell>
          <cell r="J634">
            <v>278327</v>
          </cell>
          <cell r="K634">
            <v>202944</v>
          </cell>
        </row>
        <row r="635">
          <cell r="A635" t="str">
            <v>-</v>
          </cell>
          <cell r="B635" t="str">
            <v xml:space="preserve">CAMBIO DE MARKKA, </v>
          </cell>
          <cell r="C635">
            <v>0</v>
          </cell>
          <cell r="D635">
            <v>0</v>
          </cell>
          <cell r="E635">
            <v>0</v>
          </cell>
          <cell r="F635">
            <v>0</v>
          </cell>
          <cell r="G635">
            <v>0</v>
          </cell>
          <cell r="H635">
            <v>0</v>
          </cell>
          <cell r="I635">
            <v>0</v>
          </cell>
          <cell r="J635">
            <v>0</v>
          </cell>
          <cell r="K635">
            <v>0</v>
          </cell>
        </row>
        <row r="636">
          <cell r="A636" t="str">
            <v>-</v>
          </cell>
          <cell r="B636" t="str">
            <v>CAMBIO DE DEG</v>
          </cell>
          <cell r="C636">
            <v>97655</v>
          </cell>
          <cell r="D636">
            <v>97655</v>
          </cell>
          <cell r="E636">
            <v>97655</v>
          </cell>
          <cell r="F636">
            <v>97655</v>
          </cell>
          <cell r="G636">
            <v>97655</v>
          </cell>
          <cell r="H636">
            <v>97655</v>
          </cell>
          <cell r="I636">
            <v>97655</v>
          </cell>
          <cell r="J636">
            <v>97655</v>
          </cell>
          <cell r="K636">
            <v>136907</v>
          </cell>
        </row>
        <row r="637">
          <cell r="A637" t="str">
            <v>-</v>
          </cell>
          <cell r="B637" t="str">
            <v>CAMBIO DE $ ORO</v>
          </cell>
          <cell r="C637">
            <v>2219</v>
          </cell>
          <cell r="D637">
            <v>2219</v>
          </cell>
          <cell r="E637">
            <v>2219</v>
          </cell>
          <cell r="F637">
            <v>2219</v>
          </cell>
          <cell r="G637">
            <v>2219</v>
          </cell>
          <cell r="H637">
            <v>2219</v>
          </cell>
          <cell r="I637">
            <v>2219</v>
          </cell>
          <cell r="J637">
            <v>2219</v>
          </cell>
          <cell r="K637">
            <v>2219</v>
          </cell>
        </row>
        <row r="638">
          <cell r="A638" t="str">
            <v>-</v>
          </cell>
          <cell r="B638" t="str">
            <v xml:space="preserve">DEUDORES POR ARBITRAJES A FUTURO </v>
          </cell>
          <cell r="C638">
            <v>0</v>
          </cell>
          <cell r="D638">
            <v>0</v>
          </cell>
          <cell r="E638">
            <v>0</v>
          </cell>
          <cell r="F638">
            <v>0</v>
          </cell>
          <cell r="G638">
            <v>0</v>
          </cell>
          <cell r="H638">
            <v>0</v>
          </cell>
          <cell r="I638">
            <v>0</v>
          </cell>
          <cell r="J638">
            <v>0</v>
          </cell>
          <cell r="K638">
            <v>0</v>
          </cell>
        </row>
        <row r="639">
          <cell r="A639" t="str">
            <v>-</v>
          </cell>
          <cell r="B639" t="str">
            <v>REPROG.DEUDA TRANSPORTE ACDO 1513</v>
          </cell>
          <cell r="C639">
            <v>0</v>
          </cell>
          <cell r="D639">
            <v>0</v>
          </cell>
          <cell r="E639">
            <v>0</v>
          </cell>
          <cell r="F639">
            <v>0</v>
          </cell>
          <cell r="G639">
            <v>0</v>
          </cell>
          <cell r="H639">
            <v>0</v>
          </cell>
          <cell r="I639">
            <v>0</v>
          </cell>
          <cell r="J639">
            <v>0</v>
          </cell>
          <cell r="K639">
            <v>0</v>
          </cell>
        </row>
        <row r="640">
          <cell r="A640" t="str">
            <v>-</v>
          </cell>
          <cell r="B640" t="str">
            <v>CAMBIO ESPECIAL DIFERENCIAL CAMBIARIO</v>
          </cell>
          <cell r="C640">
            <v>0</v>
          </cell>
          <cell r="D640">
            <v>0</v>
          </cell>
          <cell r="E640">
            <v>0</v>
          </cell>
          <cell r="F640">
            <v>0</v>
          </cell>
          <cell r="G640">
            <v>0</v>
          </cell>
          <cell r="H640">
            <v>0</v>
          </cell>
          <cell r="I640">
            <v>0</v>
          </cell>
          <cell r="J640">
            <v>0</v>
          </cell>
          <cell r="K640">
            <v>0</v>
          </cell>
        </row>
        <row r="641">
          <cell r="A641" t="str">
            <v>-</v>
          </cell>
          <cell r="B641" t="str">
            <v>CAMBIO ESPECIAL ACDO 1470</v>
          </cell>
          <cell r="C641">
            <v>0</v>
          </cell>
          <cell r="D641">
            <v>0</v>
          </cell>
          <cell r="E641">
            <v>0</v>
          </cell>
          <cell r="F641">
            <v>0</v>
          </cell>
          <cell r="G641">
            <v>0</v>
          </cell>
          <cell r="H641">
            <v>0</v>
          </cell>
          <cell r="I641">
            <v>0</v>
          </cell>
          <cell r="J641">
            <v>0</v>
          </cell>
          <cell r="K641">
            <v>0</v>
          </cell>
        </row>
        <row r="642">
          <cell r="A642" t="str">
            <v>-</v>
          </cell>
          <cell r="B642" t="str">
            <v>COMPRA DE DOLARES CON PACTO DE RETROVENTA</v>
          </cell>
          <cell r="C642">
            <v>0</v>
          </cell>
          <cell r="D642">
            <v>0</v>
          </cell>
          <cell r="E642">
            <v>0</v>
          </cell>
          <cell r="F642">
            <v>0</v>
          </cell>
          <cell r="G642">
            <v>0</v>
          </cell>
          <cell r="H642">
            <v>0</v>
          </cell>
          <cell r="I642">
            <v>0</v>
          </cell>
          <cell r="J642">
            <v>0</v>
          </cell>
          <cell r="K642">
            <v>0</v>
          </cell>
        </row>
        <row r="643">
          <cell r="A643" t="str">
            <v>-</v>
          </cell>
          <cell r="B643" t="str">
            <v>CAMBIO OPERACIONES EXPRESADAS EN DOLARES</v>
          </cell>
          <cell r="C643">
            <v>0</v>
          </cell>
          <cell r="D643">
            <v>0</v>
          </cell>
          <cell r="E643">
            <v>0</v>
          </cell>
          <cell r="F643">
            <v>0</v>
          </cell>
          <cell r="G643">
            <v>0</v>
          </cell>
          <cell r="H643">
            <v>0</v>
          </cell>
          <cell r="I643">
            <v>0</v>
          </cell>
          <cell r="J643">
            <v>0</v>
          </cell>
          <cell r="K643">
            <v>0</v>
          </cell>
        </row>
        <row r="644">
          <cell r="A644" t="str">
            <v>-</v>
          </cell>
          <cell r="B644" t="str">
            <v xml:space="preserve">CAMBIO COMPRA DOLARES CON PACTO RETROVENTA CAP IV, </v>
          </cell>
          <cell r="C644">
            <v>0</v>
          </cell>
          <cell r="D644">
            <v>0</v>
          </cell>
          <cell r="E644">
            <v>0</v>
          </cell>
          <cell r="F644">
            <v>0</v>
          </cell>
          <cell r="G644">
            <v>0</v>
          </cell>
          <cell r="H644">
            <v>0</v>
          </cell>
          <cell r="I644">
            <v>0</v>
          </cell>
          <cell r="J644">
            <v>0</v>
          </cell>
          <cell r="K644">
            <v>0</v>
          </cell>
        </row>
        <row r="645">
          <cell r="A645" t="str">
            <v>13DPNZN</v>
          </cell>
          <cell r="B645" t="str">
            <v>PRESTAMOS HIPOTECARIOS ESPECIALES</v>
          </cell>
          <cell r="C645">
            <v>47</v>
          </cell>
          <cell r="D645">
            <v>46</v>
          </cell>
          <cell r="E645">
            <v>45</v>
          </cell>
          <cell r="F645">
            <v>47</v>
          </cell>
          <cell r="G645">
            <v>48</v>
          </cell>
          <cell r="H645">
            <v>47</v>
          </cell>
          <cell r="I645">
            <v>55</v>
          </cell>
          <cell r="J645">
            <v>51</v>
          </cell>
          <cell r="K645">
            <v>53</v>
          </cell>
        </row>
        <row r="646">
          <cell r="A646" t="str">
            <v>13DQNZN</v>
          </cell>
          <cell r="B646" t="str">
            <v xml:space="preserve">REAJ.P.RECIBIR S.PRESTAMOS HIPOTECARIOS ESPECIALES, </v>
          </cell>
          <cell r="C646">
            <v>0</v>
          </cell>
          <cell r="D646">
            <v>0</v>
          </cell>
          <cell r="E646">
            <v>0</v>
          </cell>
          <cell r="F646">
            <v>0</v>
          </cell>
          <cell r="G646">
            <v>0</v>
          </cell>
          <cell r="H646">
            <v>0</v>
          </cell>
          <cell r="I646">
            <v>0</v>
          </cell>
          <cell r="J646">
            <v>0</v>
          </cell>
          <cell r="K646">
            <v>0</v>
          </cell>
        </row>
        <row r="647">
          <cell r="A647" t="str">
            <v>-</v>
          </cell>
          <cell r="B647" t="str">
            <v>CAMBIO DE ECU</v>
          </cell>
          <cell r="C647">
            <v>0</v>
          </cell>
          <cell r="D647">
            <v>0</v>
          </cell>
          <cell r="E647">
            <v>0</v>
          </cell>
          <cell r="F647">
            <v>0</v>
          </cell>
          <cell r="G647">
            <v>0</v>
          </cell>
          <cell r="H647">
            <v>0</v>
          </cell>
          <cell r="I647">
            <v>0</v>
          </cell>
          <cell r="J647">
            <v>0</v>
          </cell>
          <cell r="K647">
            <v>0</v>
          </cell>
        </row>
        <row r="648">
          <cell r="A648" t="str">
            <v>-</v>
          </cell>
          <cell r="B648" t="str">
            <v>CAMBIO REPROGRAMACION DEUDAS EXPRESADAS EN US$ ACD</v>
          </cell>
          <cell r="C648">
            <v>0</v>
          </cell>
          <cell r="D648">
            <v>0</v>
          </cell>
          <cell r="E648">
            <v>0</v>
          </cell>
          <cell r="F648">
            <v>0</v>
          </cell>
          <cell r="G648">
            <v>0</v>
          </cell>
          <cell r="H648">
            <v>0</v>
          </cell>
          <cell r="I648">
            <v>0</v>
          </cell>
          <cell r="J648">
            <v>0</v>
          </cell>
          <cell r="K648">
            <v>0</v>
          </cell>
        </row>
        <row r="649">
          <cell r="A649" t="str">
            <v>-</v>
          </cell>
          <cell r="B649" t="str">
            <v>PACTO RETROVENTA CON T/C EN U.F</v>
          </cell>
          <cell r="C649">
            <v>0</v>
          </cell>
          <cell r="D649">
            <v>0</v>
          </cell>
          <cell r="E649">
            <v>0</v>
          </cell>
          <cell r="F649">
            <v>0</v>
          </cell>
          <cell r="G649">
            <v>0</v>
          </cell>
          <cell r="H649">
            <v>0</v>
          </cell>
          <cell r="I649">
            <v>0</v>
          </cell>
          <cell r="J649">
            <v>0</v>
          </cell>
          <cell r="K649">
            <v>0</v>
          </cell>
        </row>
        <row r="650">
          <cell r="A650" t="str">
            <v>-</v>
          </cell>
          <cell r="B650" t="str">
            <v>CAMBIO DE DOLAR NEOZELANDEZ</v>
          </cell>
          <cell r="C650">
            <v>54594</v>
          </cell>
          <cell r="D650">
            <v>45411</v>
          </cell>
          <cell r="E650">
            <v>14400</v>
          </cell>
          <cell r="F650">
            <v>14400</v>
          </cell>
          <cell r="G650">
            <v>14400</v>
          </cell>
          <cell r="H650">
            <v>14400</v>
          </cell>
          <cell r="I650">
            <v>14400</v>
          </cell>
          <cell r="J650">
            <v>14400</v>
          </cell>
          <cell r="K650">
            <v>14400</v>
          </cell>
        </row>
        <row r="651">
          <cell r="A651" t="str">
            <v>13DYNZN</v>
          </cell>
          <cell r="B651" t="str">
            <v xml:space="preserve">BINES RECIBIDOS EN PAGO O ADJUDICADOS </v>
          </cell>
          <cell r="C651">
            <v>0</v>
          </cell>
          <cell r="D651">
            <v>0</v>
          </cell>
          <cell r="E651">
            <v>0</v>
          </cell>
          <cell r="F651">
            <v>0</v>
          </cell>
          <cell r="G651">
            <v>0</v>
          </cell>
          <cell r="H651">
            <v>0</v>
          </cell>
          <cell r="I651">
            <v>0</v>
          </cell>
          <cell r="J651">
            <v>0</v>
          </cell>
          <cell r="K651">
            <v>0</v>
          </cell>
        </row>
        <row r="652">
          <cell r="A652" t="str">
            <v>-</v>
          </cell>
          <cell r="B652" t="str">
            <v>CAMBIO ACUERDO 1578 (DESDOLARIZACION)</v>
          </cell>
          <cell r="C652">
            <v>0</v>
          </cell>
          <cell r="D652">
            <v>0</v>
          </cell>
          <cell r="E652">
            <v>0</v>
          </cell>
          <cell r="F652">
            <v>0</v>
          </cell>
          <cell r="G652">
            <v>0</v>
          </cell>
          <cell r="H652">
            <v>0</v>
          </cell>
          <cell r="I652">
            <v>0</v>
          </cell>
          <cell r="J652">
            <v>0</v>
          </cell>
          <cell r="K652">
            <v>0</v>
          </cell>
        </row>
        <row r="653">
          <cell r="A653" t="str">
            <v>13EENZN</v>
          </cell>
          <cell r="B653" t="str">
            <v>CUENTA CORRIENTE CON CORFO LEY N 18401</v>
          </cell>
          <cell r="C653">
            <v>0</v>
          </cell>
          <cell r="D653">
            <v>0</v>
          </cell>
          <cell r="E653">
            <v>0</v>
          </cell>
          <cell r="F653">
            <v>0</v>
          </cell>
          <cell r="G653">
            <v>0</v>
          </cell>
          <cell r="H653">
            <v>0</v>
          </cell>
          <cell r="I653">
            <v>0</v>
          </cell>
          <cell r="J653">
            <v>0</v>
          </cell>
          <cell r="K653">
            <v>0</v>
          </cell>
        </row>
        <row r="654">
          <cell r="A654" t="str">
            <v>13EDNZN</v>
          </cell>
          <cell r="B654" t="str">
            <v xml:space="preserve">TRANSFERENCIA FISCAL ARTICULO 13 LEY 18401 </v>
          </cell>
          <cell r="C654">
            <v>74864</v>
          </cell>
          <cell r="D654">
            <v>74864</v>
          </cell>
          <cell r="E654">
            <v>74864</v>
          </cell>
          <cell r="F654">
            <v>74864</v>
          </cell>
          <cell r="G654">
            <v>74864</v>
          </cell>
          <cell r="H654">
            <v>74864</v>
          </cell>
          <cell r="I654">
            <v>74864</v>
          </cell>
          <cell r="J654">
            <v>74864</v>
          </cell>
          <cell r="K654">
            <v>74864</v>
          </cell>
        </row>
        <row r="655">
          <cell r="A655" t="str">
            <v>13DINZN</v>
          </cell>
          <cell r="B655" t="str">
            <v>REAJ.P/REC.DE TRANSF.FISCAL ART 13 LEY N 18401</v>
          </cell>
          <cell r="C655">
            <v>115341</v>
          </cell>
          <cell r="D655">
            <v>115249</v>
          </cell>
          <cell r="E655">
            <v>116388</v>
          </cell>
          <cell r="F655">
            <v>118439</v>
          </cell>
          <cell r="G655">
            <v>118994</v>
          </cell>
          <cell r="H655">
            <v>118395</v>
          </cell>
          <cell r="I655">
            <v>118162</v>
          </cell>
          <cell r="J655">
            <v>118026</v>
          </cell>
          <cell r="K655">
            <v>118239</v>
          </cell>
        </row>
        <row r="656">
          <cell r="A656" t="str">
            <v>-</v>
          </cell>
          <cell r="B656" t="str">
            <v>PACTO RETROVENTA CAP IV E 3 CNF</v>
          </cell>
          <cell r="C656">
            <v>0</v>
          </cell>
          <cell r="D656">
            <v>0</v>
          </cell>
          <cell r="E656">
            <v>0</v>
          </cell>
          <cell r="F656">
            <v>0</v>
          </cell>
          <cell r="G656">
            <v>0</v>
          </cell>
          <cell r="H656">
            <v>0</v>
          </cell>
          <cell r="I656">
            <v>0</v>
          </cell>
          <cell r="J656">
            <v>0</v>
          </cell>
          <cell r="K656">
            <v>0</v>
          </cell>
        </row>
        <row r="657">
          <cell r="A657" t="str">
            <v>-</v>
          </cell>
          <cell r="B657" t="str">
            <v xml:space="preserve">CAMBIO SALDO PRECIO PAGARE ADQUIRIDO AL BECH EXPR, </v>
          </cell>
          <cell r="C657">
            <v>0</v>
          </cell>
          <cell r="D657">
            <v>0</v>
          </cell>
          <cell r="E657">
            <v>0</v>
          </cell>
          <cell r="F657">
            <v>0</v>
          </cell>
          <cell r="G657">
            <v>0</v>
          </cell>
          <cell r="H657">
            <v>0</v>
          </cell>
          <cell r="I657">
            <v>0</v>
          </cell>
          <cell r="J657">
            <v>0</v>
          </cell>
          <cell r="K657">
            <v>0</v>
          </cell>
        </row>
        <row r="658">
          <cell r="A658" t="str">
            <v>13ECNZN</v>
          </cell>
          <cell r="B658" t="str">
            <v>CTA CTE ADMINISTRACION BCO.CONTINENTAL L.18430</v>
          </cell>
          <cell r="C658">
            <v>0</v>
          </cell>
          <cell r="D658">
            <v>0</v>
          </cell>
          <cell r="E658">
            <v>0</v>
          </cell>
          <cell r="F658">
            <v>0</v>
          </cell>
          <cell r="G658">
            <v>0</v>
          </cell>
          <cell r="H658">
            <v>0</v>
          </cell>
          <cell r="I658">
            <v>0</v>
          </cell>
          <cell r="J658">
            <v>0</v>
          </cell>
          <cell r="K658">
            <v>0</v>
          </cell>
        </row>
        <row r="659">
          <cell r="A659" t="str">
            <v>-</v>
          </cell>
          <cell r="B659" t="str">
            <v>CAMBIO DE REMMIMBY</v>
          </cell>
          <cell r="C659">
            <v>0</v>
          </cell>
          <cell r="D659">
            <v>0</v>
          </cell>
          <cell r="E659">
            <v>0</v>
          </cell>
          <cell r="F659">
            <v>0</v>
          </cell>
          <cell r="G659">
            <v>0</v>
          </cell>
          <cell r="H659">
            <v>0</v>
          </cell>
          <cell r="I659">
            <v>0</v>
          </cell>
          <cell r="J659">
            <v>0</v>
          </cell>
          <cell r="K659">
            <v>0</v>
          </cell>
        </row>
        <row r="660">
          <cell r="A660" t="str">
            <v>-</v>
          </cell>
          <cell r="B660" t="str">
            <v xml:space="preserve">CAMBIO CERTIFICADOS DE DEPOSITOS EXPR EN US$ ACDO, </v>
          </cell>
          <cell r="C660">
            <v>-3611</v>
          </cell>
          <cell r="D660">
            <v>-3611</v>
          </cell>
          <cell r="E660">
            <v>-3611</v>
          </cell>
          <cell r="F660">
            <v>-3611</v>
          </cell>
          <cell r="G660">
            <v>-3611</v>
          </cell>
          <cell r="H660">
            <v>-3611</v>
          </cell>
          <cell r="I660">
            <v>-2889</v>
          </cell>
          <cell r="J660">
            <v>-2889</v>
          </cell>
          <cell r="K660">
            <v>-2889</v>
          </cell>
        </row>
        <row r="661">
          <cell r="A661" t="str">
            <v>13EGNZN</v>
          </cell>
          <cell r="B661" t="str">
            <v>CUENTA CORRIENTE ADMINISTRACION BCNV LEY 18412</v>
          </cell>
          <cell r="C661">
            <v>0</v>
          </cell>
          <cell r="D661">
            <v>0</v>
          </cell>
          <cell r="E661">
            <v>0</v>
          </cell>
          <cell r="F661">
            <v>0</v>
          </cell>
          <cell r="G661">
            <v>0</v>
          </cell>
          <cell r="H661">
            <v>0</v>
          </cell>
          <cell r="I661">
            <v>0</v>
          </cell>
          <cell r="J661">
            <v>0</v>
          </cell>
          <cell r="K661">
            <v>0</v>
          </cell>
        </row>
        <row r="662">
          <cell r="A662" t="str">
            <v>13EFNZN</v>
          </cell>
          <cell r="B662" t="str">
            <v xml:space="preserve">CREDITO FISCAL COTIZACION ADICIONAL DE SALUD </v>
          </cell>
          <cell r="C662">
            <v>0</v>
          </cell>
          <cell r="D662">
            <v>0</v>
          </cell>
          <cell r="E662">
            <v>0</v>
          </cell>
          <cell r="F662">
            <v>0</v>
          </cell>
          <cell r="G662">
            <v>0</v>
          </cell>
          <cell r="H662">
            <v>0</v>
          </cell>
          <cell r="I662">
            <v>0</v>
          </cell>
          <cell r="J662">
            <v>0</v>
          </cell>
          <cell r="K662">
            <v>0</v>
          </cell>
        </row>
        <row r="663">
          <cell r="A663" t="str">
            <v>13FHNZN</v>
          </cell>
          <cell r="B663" t="str">
            <v xml:space="preserve">MATERIALES EN EXISTENCIA </v>
          </cell>
          <cell r="C663">
            <v>31</v>
          </cell>
          <cell r="D663">
            <v>30</v>
          </cell>
          <cell r="E663">
            <v>30</v>
          </cell>
          <cell r="F663">
            <v>30</v>
          </cell>
          <cell r="G663">
            <v>30</v>
          </cell>
          <cell r="H663">
            <v>29</v>
          </cell>
          <cell r="I663">
            <v>30</v>
          </cell>
          <cell r="J663">
            <v>30</v>
          </cell>
          <cell r="K663">
            <v>30</v>
          </cell>
        </row>
        <row r="664">
          <cell r="A664" t="str">
            <v>12AGNZN</v>
          </cell>
          <cell r="B664" t="str">
            <v xml:space="preserve">CARTERA ADQUIRIDA A INST.FINANCIERAS </v>
          </cell>
          <cell r="C664">
            <v>0</v>
          </cell>
          <cell r="D664">
            <v>0</v>
          </cell>
          <cell r="E664">
            <v>0</v>
          </cell>
          <cell r="F664">
            <v>0</v>
          </cell>
          <cell r="G664">
            <v>0</v>
          </cell>
          <cell r="H664">
            <v>0</v>
          </cell>
          <cell r="I664">
            <v>0</v>
          </cell>
          <cell r="J664">
            <v>0</v>
          </cell>
          <cell r="K664">
            <v>0</v>
          </cell>
        </row>
        <row r="665">
          <cell r="A665" t="str">
            <v>12FZNZN</v>
          </cell>
          <cell r="B665" t="str">
            <v>REAJ.P.REC.S.CARTERA ADQUIRIDA A INST.FINANC.</v>
          </cell>
          <cell r="C665">
            <v>0</v>
          </cell>
          <cell r="D665">
            <v>0</v>
          </cell>
          <cell r="E665">
            <v>0</v>
          </cell>
          <cell r="F665">
            <v>0</v>
          </cell>
          <cell r="G665">
            <v>0</v>
          </cell>
          <cell r="H665">
            <v>0</v>
          </cell>
          <cell r="I665">
            <v>0</v>
          </cell>
          <cell r="J665">
            <v>0</v>
          </cell>
          <cell r="K665">
            <v>0</v>
          </cell>
        </row>
        <row r="666">
          <cell r="A666" t="str">
            <v>13DVNZN</v>
          </cell>
          <cell r="B666" t="str">
            <v xml:space="preserve">COMPRA CARTERA C/PACTO REVENTA PAG.LETRAS AC.1555, </v>
          </cell>
          <cell r="C666">
            <v>0</v>
          </cell>
          <cell r="D666">
            <v>0</v>
          </cell>
          <cell r="E666">
            <v>0</v>
          </cell>
          <cell r="F666">
            <v>0</v>
          </cell>
          <cell r="G666">
            <v>0</v>
          </cell>
          <cell r="H666">
            <v>0</v>
          </cell>
          <cell r="I666">
            <v>0</v>
          </cell>
          <cell r="J666">
            <v>0</v>
          </cell>
          <cell r="K666">
            <v>0</v>
          </cell>
        </row>
        <row r="667">
          <cell r="A667" t="str">
            <v>13DWNZN</v>
          </cell>
          <cell r="B667" t="str">
            <v xml:space="preserve">REAJ.COMP.CART.C/PACTO REVTA.PAG.C.LETRAS AC.1555, </v>
          </cell>
          <cell r="C667">
            <v>0</v>
          </cell>
          <cell r="D667">
            <v>0</v>
          </cell>
          <cell r="E667">
            <v>0</v>
          </cell>
          <cell r="F667">
            <v>0</v>
          </cell>
          <cell r="G667">
            <v>0</v>
          </cell>
          <cell r="H667">
            <v>0</v>
          </cell>
          <cell r="I667">
            <v>0</v>
          </cell>
          <cell r="J667">
            <v>0</v>
          </cell>
          <cell r="K667">
            <v>0</v>
          </cell>
        </row>
        <row r="668">
          <cell r="A668" t="str">
            <v>13EONZN</v>
          </cell>
          <cell r="B668" t="str">
            <v>ARTICULO 19 LEY N° 19396</v>
          </cell>
          <cell r="C668">
            <v>377981</v>
          </cell>
          <cell r="D668">
            <v>378360</v>
          </cell>
          <cell r="E668">
            <v>381396</v>
          </cell>
          <cell r="F668">
            <v>385571</v>
          </cell>
          <cell r="G668">
            <v>385191</v>
          </cell>
          <cell r="H668">
            <v>383673</v>
          </cell>
          <cell r="I668">
            <v>383673</v>
          </cell>
          <cell r="J668">
            <v>383673</v>
          </cell>
          <cell r="K668">
            <v>384053</v>
          </cell>
        </row>
        <row r="669">
          <cell r="A669" t="str">
            <v>13AINZN</v>
          </cell>
          <cell r="B669" t="str">
            <v xml:space="preserve">CUENTAS DE CAMBIOS </v>
          </cell>
          <cell r="C669">
            <v>0</v>
          </cell>
          <cell r="D669">
            <v>0</v>
          </cell>
          <cell r="E669">
            <v>0</v>
          </cell>
          <cell r="F669">
            <v>0</v>
          </cell>
          <cell r="G669">
            <v>0</v>
          </cell>
          <cell r="H669">
            <v>0</v>
          </cell>
          <cell r="I669">
            <v>0</v>
          </cell>
          <cell r="J669">
            <v>0</v>
          </cell>
          <cell r="K669">
            <v>0</v>
          </cell>
        </row>
        <row r="670">
          <cell r="A670" t="str">
            <v>13FINZN</v>
          </cell>
          <cell r="B670" t="str">
            <v>GASTOS ESTADIO EN ESPERA LIQUIDACION SEGURO</v>
          </cell>
          <cell r="C670">
            <v>0</v>
          </cell>
          <cell r="D670">
            <v>0</v>
          </cell>
          <cell r="E670">
            <v>0</v>
          </cell>
          <cell r="F670">
            <v>0</v>
          </cell>
          <cell r="G670">
            <v>0</v>
          </cell>
          <cell r="H670">
            <v>0</v>
          </cell>
          <cell r="I670">
            <v>0</v>
          </cell>
          <cell r="J670">
            <v>0</v>
          </cell>
          <cell r="K670">
            <v>0</v>
          </cell>
        </row>
        <row r="671">
          <cell r="A671" t="str">
            <v>13FJNZN</v>
          </cell>
          <cell r="B671" t="str">
            <v>VALORES P/REC EN REC.VTA. ACCIONES DACION PAGO</v>
          </cell>
          <cell r="C671">
            <v>0</v>
          </cell>
          <cell r="D671">
            <v>0</v>
          </cell>
          <cell r="E671">
            <v>0</v>
          </cell>
          <cell r="F671">
            <v>0</v>
          </cell>
          <cell r="G671">
            <v>0</v>
          </cell>
          <cell r="H671">
            <v>0</v>
          </cell>
          <cell r="I671">
            <v>0</v>
          </cell>
          <cell r="J671">
            <v>0</v>
          </cell>
          <cell r="K671">
            <v>0</v>
          </cell>
        </row>
        <row r="672">
          <cell r="A672" t="str">
            <v>-</v>
          </cell>
          <cell r="B672" t="str">
            <v>CAMBIO DE DOLAR SINGAPUR</v>
          </cell>
          <cell r="C672">
            <v>5</v>
          </cell>
          <cell r="D672">
            <v>5</v>
          </cell>
          <cell r="E672">
            <v>5</v>
          </cell>
          <cell r="F672">
            <v>5</v>
          </cell>
          <cell r="G672">
            <v>5</v>
          </cell>
          <cell r="H672">
            <v>5</v>
          </cell>
          <cell r="I672">
            <v>5</v>
          </cell>
          <cell r="J672">
            <v>5</v>
          </cell>
          <cell r="K672">
            <v>5</v>
          </cell>
        </row>
        <row r="673">
          <cell r="A673" t="str">
            <v>13FKNZN</v>
          </cell>
          <cell r="B673" t="str">
            <v>CUENTA CORRIENTE CON ESTADIO</v>
          </cell>
          <cell r="C673">
            <v>454</v>
          </cell>
          <cell r="D673">
            <v>464</v>
          </cell>
          <cell r="E673">
            <v>466</v>
          </cell>
          <cell r="F673">
            <v>472</v>
          </cell>
          <cell r="G673">
            <v>495</v>
          </cell>
          <cell r="H673">
            <v>502</v>
          </cell>
          <cell r="I673">
            <v>502</v>
          </cell>
          <cell r="J673">
            <v>505</v>
          </cell>
          <cell r="K673">
            <v>500</v>
          </cell>
        </row>
        <row r="674">
          <cell r="A674" t="str">
            <v>13FLNZN</v>
          </cell>
          <cell r="B674" t="str">
            <v>CUENTA CORRIENTE CON BALNEARIO</v>
          </cell>
          <cell r="C674">
            <v>22</v>
          </cell>
          <cell r="D674">
            <v>26</v>
          </cell>
          <cell r="E674">
            <v>29</v>
          </cell>
          <cell r="F674">
            <v>31</v>
          </cell>
          <cell r="G674">
            <v>31</v>
          </cell>
          <cell r="H674">
            <v>17</v>
          </cell>
          <cell r="I674">
            <v>11</v>
          </cell>
          <cell r="J674">
            <v>13</v>
          </cell>
          <cell r="K674">
            <v>16</v>
          </cell>
        </row>
        <row r="675">
          <cell r="A675" t="str">
            <v>-</v>
          </cell>
          <cell r="B675" t="str">
            <v>CAMBIO DE EURO</v>
          </cell>
          <cell r="C675">
            <v>1998343</v>
          </cell>
          <cell r="D675">
            <v>2009079</v>
          </cell>
          <cell r="E675">
            <v>1951530</v>
          </cell>
          <cell r="F675">
            <v>1861707</v>
          </cell>
          <cell r="G675">
            <v>1800781</v>
          </cell>
          <cell r="H675">
            <v>1747127</v>
          </cell>
          <cell r="I675">
            <v>1719418</v>
          </cell>
          <cell r="J675">
            <v>1735616</v>
          </cell>
          <cell r="K675">
            <v>1697206</v>
          </cell>
        </row>
        <row r="676">
          <cell r="A676" t="str">
            <v>22813FMNZN...</v>
          </cell>
          <cell r="B676" t="str">
            <v>INT. Y DESC. PAG ANTICIP. POR BONOS DEL BCENTRAL</v>
          </cell>
          <cell r="C676">
            <v>733</v>
          </cell>
          <cell r="D676">
            <v>739</v>
          </cell>
          <cell r="E676">
            <v>700</v>
          </cell>
          <cell r="F676">
            <v>666</v>
          </cell>
          <cell r="G676">
            <v>694</v>
          </cell>
          <cell r="H676">
            <v>669</v>
          </cell>
          <cell r="I676">
            <v>663</v>
          </cell>
          <cell r="J676">
            <v>645</v>
          </cell>
          <cell r="K676">
            <v>603</v>
          </cell>
        </row>
        <row r="677">
          <cell r="A677" t="str">
            <v>12BFXZN</v>
          </cell>
          <cell r="B677" t="str">
            <v xml:space="preserve">  .CUENTAS DIVERSAS M/E</v>
          </cell>
          <cell r="C677">
            <v>4304768</v>
          </cell>
          <cell r="D677">
            <v>4424383</v>
          </cell>
          <cell r="E677">
            <v>4277484</v>
          </cell>
          <cell r="F677">
            <v>4154481</v>
          </cell>
          <cell r="G677">
            <v>4189445</v>
          </cell>
          <cell r="H677">
            <v>3910045</v>
          </cell>
          <cell r="I677">
            <v>3962349</v>
          </cell>
          <cell r="J677">
            <v>3932349</v>
          </cell>
          <cell r="K677">
            <v>3744578</v>
          </cell>
        </row>
        <row r="678">
          <cell r="A678" t="str">
            <v>13AJEZN</v>
          </cell>
          <cell r="B678" t="str">
            <v xml:space="preserve">OFICINAS </v>
          </cell>
          <cell r="C678">
            <v>0</v>
          </cell>
          <cell r="D678">
            <v>0</v>
          </cell>
          <cell r="E678">
            <v>0</v>
          </cell>
          <cell r="F678">
            <v>0</v>
          </cell>
          <cell r="G678">
            <v>0</v>
          </cell>
          <cell r="H678">
            <v>0</v>
          </cell>
          <cell r="I678">
            <v>0</v>
          </cell>
          <cell r="J678">
            <v>0</v>
          </cell>
          <cell r="K678">
            <v>0</v>
          </cell>
        </row>
        <row r="679">
          <cell r="A679" t="str">
            <v>13AHEZN</v>
          </cell>
          <cell r="B679" t="str">
            <v>OPERACIONES PENDIENTES</v>
          </cell>
          <cell r="C679">
            <v>2</v>
          </cell>
          <cell r="D679">
            <v>2</v>
          </cell>
          <cell r="E679">
            <v>2</v>
          </cell>
          <cell r="F679">
            <v>2</v>
          </cell>
          <cell r="G679">
            <v>16</v>
          </cell>
          <cell r="H679">
            <v>0</v>
          </cell>
          <cell r="I679">
            <v>0</v>
          </cell>
          <cell r="J679">
            <v>1</v>
          </cell>
          <cell r="K679">
            <v>2</v>
          </cell>
        </row>
        <row r="680">
          <cell r="A680" t="str">
            <v>13AXEZN</v>
          </cell>
          <cell r="B680" t="str">
            <v xml:space="preserve">GASTOS ANTICIPADOS </v>
          </cell>
          <cell r="C680">
            <v>43</v>
          </cell>
          <cell r="D680">
            <v>45</v>
          </cell>
          <cell r="E680">
            <v>43</v>
          </cell>
          <cell r="F680">
            <v>42</v>
          </cell>
          <cell r="G680">
            <v>52</v>
          </cell>
          <cell r="H680">
            <v>41</v>
          </cell>
          <cell r="I680">
            <v>42</v>
          </cell>
          <cell r="J680">
            <v>40</v>
          </cell>
          <cell r="K680">
            <v>40</v>
          </cell>
        </row>
        <row r="681">
          <cell r="A681" t="str">
            <v>-</v>
          </cell>
          <cell r="B681" t="str">
            <v>INTS.PAG.ANTIC.P/VTAS.PDBC</v>
          </cell>
          <cell r="C681">
            <v>0</v>
          </cell>
          <cell r="D681">
            <v>0</v>
          </cell>
          <cell r="E681">
            <v>0</v>
          </cell>
          <cell r="F681">
            <v>0</v>
          </cell>
          <cell r="G681">
            <v>0</v>
          </cell>
          <cell r="H681">
            <v>0</v>
          </cell>
          <cell r="I681">
            <v>0</v>
          </cell>
          <cell r="J681">
            <v>0</v>
          </cell>
          <cell r="K681">
            <v>0</v>
          </cell>
        </row>
        <row r="682">
          <cell r="A682" t="str">
            <v>-</v>
          </cell>
          <cell r="B682" t="str">
            <v>INTERES PAG.ANTICIP.POR VTAS DE PDBC</v>
          </cell>
          <cell r="C682">
            <v>0</v>
          </cell>
          <cell r="D682">
            <v>0</v>
          </cell>
          <cell r="E682">
            <v>0</v>
          </cell>
          <cell r="F682">
            <v>0</v>
          </cell>
          <cell r="G682">
            <v>0</v>
          </cell>
          <cell r="H682">
            <v>0</v>
          </cell>
          <cell r="I682">
            <v>0</v>
          </cell>
          <cell r="J682">
            <v>0</v>
          </cell>
          <cell r="K682">
            <v>0</v>
          </cell>
        </row>
        <row r="683">
          <cell r="A683" t="str">
            <v>13DNEZN</v>
          </cell>
          <cell r="B683" t="str">
            <v>INTERESES Y DESC.PAGADOS ANTICIPADAMENTE</v>
          </cell>
          <cell r="C683">
            <v>0</v>
          </cell>
          <cell r="D683">
            <v>0</v>
          </cell>
          <cell r="E683">
            <v>0</v>
          </cell>
          <cell r="F683">
            <v>0</v>
          </cell>
          <cell r="G683">
            <v>0</v>
          </cell>
          <cell r="H683">
            <v>0</v>
          </cell>
          <cell r="I683">
            <v>0</v>
          </cell>
          <cell r="J683">
            <v>0</v>
          </cell>
          <cell r="K683">
            <v>0</v>
          </cell>
        </row>
        <row r="684">
          <cell r="A684" t="str">
            <v>13DVEZN</v>
          </cell>
          <cell r="B684" t="str">
            <v xml:space="preserve">EGRESOS SUJETOS A LIQUID.FINAL S.CONT.EURODOLARES, </v>
          </cell>
          <cell r="C684">
            <v>0</v>
          </cell>
          <cell r="D684">
            <v>0</v>
          </cell>
          <cell r="E684">
            <v>0</v>
          </cell>
          <cell r="F684">
            <v>0</v>
          </cell>
          <cell r="G684">
            <v>0</v>
          </cell>
          <cell r="H684">
            <v>0</v>
          </cell>
          <cell r="I684">
            <v>0</v>
          </cell>
          <cell r="J684">
            <v>0</v>
          </cell>
          <cell r="K684">
            <v>0</v>
          </cell>
        </row>
        <row r="685">
          <cell r="A685" t="str">
            <v>13DOEZN</v>
          </cell>
          <cell r="B685" t="str">
            <v xml:space="preserve">COMISIONES PAGADAS Y NO DEVENGADAS POR CRED.EXT </v>
          </cell>
          <cell r="C685">
            <v>0</v>
          </cell>
          <cell r="D685">
            <v>0</v>
          </cell>
          <cell r="E685">
            <v>0</v>
          </cell>
          <cell r="F685">
            <v>0</v>
          </cell>
          <cell r="G685">
            <v>0</v>
          </cell>
          <cell r="H685">
            <v>0</v>
          </cell>
          <cell r="I685">
            <v>0</v>
          </cell>
          <cell r="J685">
            <v>0</v>
          </cell>
          <cell r="K685">
            <v>0</v>
          </cell>
        </row>
        <row r="686">
          <cell r="A686" t="str">
            <v>-</v>
          </cell>
          <cell r="B686" t="str">
            <v xml:space="preserve">CARGO DIFERIDO POR INDEMNIZACION ANOS DE SERVICIO, </v>
          </cell>
          <cell r="C686">
            <v>0</v>
          </cell>
          <cell r="D686">
            <v>0</v>
          </cell>
          <cell r="E686">
            <v>0</v>
          </cell>
          <cell r="F686">
            <v>0</v>
          </cell>
          <cell r="G686">
            <v>0</v>
          </cell>
          <cell r="H686">
            <v>0</v>
          </cell>
          <cell r="I686">
            <v>0</v>
          </cell>
          <cell r="J686">
            <v>0</v>
          </cell>
          <cell r="K686">
            <v>0</v>
          </cell>
        </row>
        <row r="687">
          <cell r="A687" t="str">
            <v>13FBEZN</v>
          </cell>
          <cell r="B687" t="str">
            <v xml:space="preserve">FONDOS POR RENDIR </v>
          </cell>
          <cell r="C687">
            <v>0</v>
          </cell>
          <cell r="D687">
            <v>0</v>
          </cell>
          <cell r="E687">
            <v>0</v>
          </cell>
          <cell r="F687">
            <v>0</v>
          </cell>
          <cell r="G687">
            <v>0</v>
          </cell>
          <cell r="H687">
            <v>0</v>
          </cell>
          <cell r="I687">
            <v>0</v>
          </cell>
          <cell r="J687">
            <v>0</v>
          </cell>
          <cell r="K687">
            <v>0</v>
          </cell>
        </row>
        <row r="688">
          <cell r="A688" t="str">
            <v>-</v>
          </cell>
          <cell r="B688" t="str">
            <v>ANTICIPOS</v>
          </cell>
          <cell r="C688">
            <v>0</v>
          </cell>
          <cell r="D688">
            <v>0</v>
          </cell>
          <cell r="E688">
            <v>0</v>
          </cell>
          <cell r="F688">
            <v>0</v>
          </cell>
          <cell r="G688">
            <v>0</v>
          </cell>
          <cell r="H688">
            <v>0</v>
          </cell>
          <cell r="I688">
            <v>0</v>
          </cell>
          <cell r="J688">
            <v>0</v>
          </cell>
          <cell r="K688">
            <v>0</v>
          </cell>
        </row>
        <row r="689">
          <cell r="A689" t="str">
            <v>13FDEZN</v>
          </cell>
          <cell r="B689" t="str">
            <v xml:space="preserve">DESCUENTOS POR PAGARES FISCO LEY 18768 </v>
          </cell>
          <cell r="C689">
            <v>0</v>
          </cell>
          <cell r="D689">
            <v>0</v>
          </cell>
          <cell r="E689">
            <v>0</v>
          </cell>
          <cell r="F689">
            <v>0</v>
          </cell>
          <cell r="G689">
            <v>0</v>
          </cell>
          <cell r="H689">
            <v>0</v>
          </cell>
          <cell r="I689">
            <v>0</v>
          </cell>
          <cell r="J689">
            <v>0</v>
          </cell>
          <cell r="K689">
            <v>0</v>
          </cell>
        </row>
        <row r="690">
          <cell r="A690" t="str">
            <v>-</v>
          </cell>
          <cell r="B690" t="str">
            <v xml:space="preserve">DESCUENTOS POR EFECTUAR EN VENTA DE PAGARES A AFP, </v>
          </cell>
          <cell r="C690">
            <v>0</v>
          </cell>
          <cell r="D690">
            <v>0</v>
          </cell>
          <cell r="E690">
            <v>0</v>
          </cell>
          <cell r="F690">
            <v>0</v>
          </cell>
          <cell r="G690">
            <v>0</v>
          </cell>
          <cell r="H690">
            <v>0</v>
          </cell>
          <cell r="I690">
            <v>0</v>
          </cell>
          <cell r="J690">
            <v>0</v>
          </cell>
          <cell r="K690">
            <v>0</v>
          </cell>
        </row>
        <row r="691">
          <cell r="A691" t="str">
            <v>-</v>
          </cell>
          <cell r="B691" t="str">
            <v xml:space="preserve">TITULOS RECONOCIMIENTO DEUDA CAP XIX DEL CNCI POR, </v>
          </cell>
          <cell r="C691">
            <v>0</v>
          </cell>
          <cell r="D691">
            <v>0</v>
          </cell>
          <cell r="E691">
            <v>0</v>
          </cell>
          <cell r="F691">
            <v>0</v>
          </cell>
          <cell r="G691">
            <v>0</v>
          </cell>
          <cell r="H691">
            <v>0</v>
          </cell>
          <cell r="I691">
            <v>0</v>
          </cell>
          <cell r="J691">
            <v>0</v>
          </cell>
          <cell r="K691">
            <v>0</v>
          </cell>
        </row>
        <row r="692">
          <cell r="A692" t="str">
            <v>13FFEZN</v>
          </cell>
          <cell r="B692" t="str">
            <v xml:space="preserve">DOLARES P.REC.DE BCOS.P.COMP.MESA DE DINERO </v>
          </cell>
          <cell r="C692">
            <v>0</v>
          </cell>
          <cell r="D692">
            <v>0</v>
          </cell>
          <cell r="E692">
            <v>0</v>
          </cell>
          <cell r="F692">
            <v>0</v>
          </cell>
          <cell r="G692">
            <v>0</v>
          </cell>
          <cell r="H692">
            <v>0</v>
          </cell>
          <cell r="I692">
            <v>0</v>
          </cell>
          <cell r="J692">
            <v>0</v>
          </cell>
          <cell r="K692">
            <v>0</v>
          </cell>
        </row>
        <row r="693">
          <cell r="A693" t="str">
            <v>-</v>
          </cell>
          <cell r="B693" t="str">
            <v xml:space="preserve">PESOS P.REC.DE BCOS.P.VTA.DOLARES MESA DE DINERO </v>
          </cell>
          <cell r="C693">
            <v>0</v>
          </cell>
          <cell r="D693">
            <v>0</v>
          </cell>
          <cell r="E693">
            <v>0</v>
          </cell>
          <cell r="F693">
            <v>0</v>
          </cell>
          <cell r="G693">
            <v>0</v>
          </cell>
          <cell r="H693">
            <v>0</v>
          </cell>
          <cell r="I693">
            <v>0</v>
          </cell>
          <cell r="J693">
            <v>0</v>
          </cell>
          <cell r="K693">
            <v>0</v>
          </cell>
        </row>
        <row r="694">
          <cell r="A694" t="str">
            <v>-</v>
          </cell>
          <cell r="B694" t="str">
            <v>CPRA.PDBC C/PACTO RETROVTA.</v>
          </cell>
          <cell r="C694">
            <v>0</v>
          </cell>
          <cell r="D694">
            <v>0</v>
          </cell>
          <cell r="E694">
            <v>0</v>
          </cell>
          <cell r="F694">
            <v>0</v>
          </cell>
          <cell r="G694">
            <v>0</v>
          </cell>
          <cell r="H694">
            <v>0</v>
          </cell>
          <cell r="I694">
            <v>0</v>
          </cell>
          <cell r="J694">
            <v>0</v>
          </cell>
          <cell r="K694">
            <v>0</v>
          </cell>
        </row>
        <row r="695">
          <cell r="A695" t="str">
            <v>-</v>
          </cell>
          <cell r="B695" t="str">
            <v xml:space="preserve">COMPRA DE PDBC CON PACTO DE RETROVENTA </v>
          </cell>
          <cell r="C695">
            <v>0</v>
          </cell>
          <cell r="D695">
            <v>0</v>
          </cell>
          <cell r="E695">
            <v>0</v>
          </cell>
          <cell r="F695">
            <v>0</v>
          </cell>
          <cell r="G695">
            <v>0</v>
          </cell>
          <cell r="H695">
            <v>0</v>
          </cell>
          <cell r="I695">
            <v>0</v>
          </cell>
          <cell r="J695">
            <v>0</v>
          </cell>
          <cell r="K695">
            <v>0</v>
          </cell>
        </row>
        <row r="696">
          <cell r="A696" t="str">
            <v>-</v>
          </cell>
          <cell r="B696" t="str">
            <v xml:space="preserve">REAJ.P/RECIBIR POR PDBC COMPRADOS CON PACTO RETR.M, </v>
          </cell>
          <cell r="C696">
            <v>0</v>
          </cell>
          <cell r="D696">
            <v>0</v>
          </cell>
          <cell r="E696">
            <v>0</v>
          </cell>
          <cell r="F696">
            <v>0</v>
          </cell>
          <cell r="G696">
            <v>0</v>
          </cell>
          <cell r="H696">
            <v>0</v>
          </cell>
          <cell r="I696">
            <v>0</v>
          </cell>
          <cell r="J696">
            <v>0</v>
          </cell>
          <cell r="K696">
            <v>0</v>
          </cell>
        </row>
        <row r="697">
          <cell r="A697" t="str">
            <v>-</v>
          </cell>
          <cell r="B697" t="str">
            <v xml:space="preserve">CANJE </v>
          </cell>
          <cell r="C697">
            <v>0</v>
          </cell>
          <cell r="D697">
            <v>0</v>
          </cell>
          <cell r="E697">
            <v>0</v>
          </cell>
          <cell r="F697">
            <v>0</v>
          </cell>
          <cell r="G697">
            <v>0</v>
          </cell>
          <cell r="H697">
            <v>0</v>
          </cell>
          <cell r="I697">
            <v>0</v>
          </cell>
          <cell r="J697">
            <v>0</v>
          </cell>
          <cell r="K697">
            <v>0</v>
          </cell>
        </row>
        <row r="698">
          <cell r="A698" t="str">
            <v>13AIEZN</v>
          </cell>
          <cell r="B698" t="str">
            <v>DEUDORES P/ARBITRAJES A FUTURO</v>
          </cell>
          <cell r="C698">
            <v>0</v>
          </cell>
          <cell r="D698">
            <v>0</v>
          </cell>
          <cell r="E698">
            <v>0</v>
          </cell>
          <cell r="F698">
            <v>0</v>
          </cell>
          <cell r="G698">
            <v>0</v>
          </cell>
          <cell r="H698">
            <v>0</v>
          </cell>
          <cell r="I698">
            <v>0</v>
          </cell>
          <cell r="J698">
            <v>0</v>
          </cell>
          <cell r="K698">
            <v>0</v>
          </cell>
        </row>
        <row r="699">
          <cell r="A699" t="str">
            <v>13ADEZN</v>
          </cell>
          <cell r="B699" t="str">
            <v xml:space="preserve">DOCUMENTOS VENCIDOS  </v>
          </cell>
          <cell r="C699">
            <v>0</v>
          </cell>
          <cell r="D699">
            <v>0</v>
          </cell>
          <cell r="E699">
            <v>0</v>
          </cell>
          <cell r="F699">
            <v>0</v>
          </cell>
          <cell r="G699">
            <v>0</v>
          </cell>
          <cell r="H699">
            <v>0</v>
          </cell>
          <cell r="I699">
            <v>0</v>
          </cell>
          <cell r="J699">
            <v>0</v>
          </cell>
          <cell r="K699">
            <v>0</v>
          </cell>
        </row>
        <row r="700">
          <cell r="A700" t="str">
            <v>-</v>
          </cell>
          <cell r="B700" t="str">
            <v xml:space="preserve">DOCUM.EN COBRO JUDICIAL </v>
          </cell>
          <cell r="C700">
            <v>0</v>
          </cell>
          <cell r="D700">
            <v>0</v>
          </cell>
          <cell r="E700">
            <v>0</v>
          </cell>
          <cell r="F700">
            <v>0</v>
          </cell>
          <cell r="G700">
            <v>0</v>
          </cell>
          <cell r="H700">
            <v>0</v>
          </cell>
          <cell r="I700">
            <v>0</v>
          </cell>
          <cell r="J700">
            <v>0</v>
          </cell>
          <cell r="K700">
            <v>0</v>
          </cell>
        </row>
        <row r="701">
          <cell r="A701" t="str">
            <v>-</v>
          </cell>
          <cell r="B701" t="str">
            <v xml:space="preserve">DOCUMENTOS CASTIGADOS  </v>
          </cell>
          <cell r="C701">
            <v>0</v>
          </cell>
          <cell r="D701">
            <v>0</v>
          </cell>
          <cell r="E701">
            <v>0</v>
          </cell>
          <cell r="F701">
            <v>0</v>
          </cell>
          <cell r="G701">
            <v>0</v>
          </cell>
          <cell r="H701">
            <v>0</v>
          </cell>
          <cell r="I701">
            <v>0</v>
          </cell>
          <cell r="J701">
            <v>0</v>
          </cell>
          <cell r="K701">
            <v>0</v>
          </cell>
        </row>
        <row r="702">
          <cell r="A702" t="str">
            <v>14AEEZN</v>
          </cell>
          <cell r="B702" t="str">
            <v xml:space="preserve">CAJA </v>
          </cell>
          <cell r="C702">
            <v>0</v>
          </cell>
          <cell r="D702">
            <v>0</v>
          </cell>
          <cell r="E702">
            <v>0</v>
          </cell>
          <cell r="F702">
            <v>0</v>
          </cell>
          <cell r="G702">
            <v>0</v>
          </cell>
          <cell r="H702">
            <v>0</v>
          </cell>
          <cell r="I702">
            <v>0</v>
          </cell>
          <cell r="J702">
            <v>0</v>
          </cell>
          <cell r="K702">
            <v>0</v>
          </cell>
        </row>
        <row r="703">
          <cell r="A703" t="str">
            <v>-</v>
          </cell>
          <cell r="B703" t="str">
            <v xml:space="preserve">BILLETES INUTILIZADOS Y NO DESTRUIDOS </v>
          </cell>
          <cell r="C703">
            <v>0</v>
          </cell>
          <cell r="D703">
            <v>0</v>
          </cell>
          <cell r="E703">
            <v>0</v>
          </cell>
          <cell r="F703">
            <v>0</v>
          </cell>
          <cell r="G703">
            <v>0</v>
          </cell>
          <cell r="H703">
            <v>0</v>
          </cell>
          <cell r="I703">
            <v>0</v>
          </cell>
          <cell r="J703">
            <v>0</v>
          </cell>
          <cell r="K703">
            <v>0</v>
          </cell>
        </row>
        <row r="704">
          <cell r="A704" t="str">
            <v>-</v>
          </cell>
          <cell r="B704" t="str">
            <v xml:space="preserve">CUENTA CON ESTADIO    </v>
          </cell>
          <cell r="C704">
            <v>0</v>
          </cell>
          <cell r="D704">
            <v>0</v>
          </cell>
          <cell r="E704">
            <v>0</v>
          </cell>
          <cell r="F704">
            <v>0</v>
          </cell>
          <cell r="G704">
            <v>0</v>
          </cell>
          <cell r="H704">
            <v>0</v>
          </cell>
          <cell r="I704">
            <v>0</v>
          </cell>
          <cell r="J704">
            <v>0</v>
          </cell>
          <cell r="K704">
            <v>0</v>
          </cell>
        </row>
        <row r="705">
          <cell r="A705" t="str">
            <v>-</v>
          </cell>
          <cell r="B705" t="str">
            <v xml:space="preserve">CORRESP.EN PAIS-BCO.ESTADO </v>
          </cell>
          <cell r="C705">
            <v>0</v>
          </cell>
          <cell r="D705">
            <v>0</v>
          </cell>
          <cell r="E705">
            <v>0</v>
          </cell>
          <cell r="F705">
            <v>0</v>
          </cell>
          <cell r="G705">
            <v>0</v>
          </cell>
          <cell r="H705">
            <v>0</v>
          </cell>
          <cell r="I705">
            <v>0</v>
          </cell>
          <cell r="J705">
            <v>0</v>
          </cell>
          <cell r="K705">
            <v>0</v>
          </cell>
        </row>
        <row r="706">
          <cell r="A706" t="str">
            <v>-</v>
          </cell>
          <cell r="B706" t="str">
            <v xml:space="preserve">REMESAS EN TRANSITO </v>
          </cell>
          <cell r="C706">
            <v>0</v>
          </cell>
          <cell r="D706">
            <v>0</v>
          </cell>
          <cell r="E706">
            <v>0</v>
          </cell>
          <cell r="F706">
            <v>0</v>
          </cell>
          <cell r="G706">
            <v>0</v>
          </cell>
          <cell r="H706">
            <v>0</v>
          </cell>
          <cell r="I706">
            <v>0</v>
          </cell>
          <cell r="J706">
            <v>0</v>
          </cell>
          <cell r="K706">
            <v>0</v>
          </cell>
        </row>
        <row r="707">
          <cell r="A707" t="str">
            <v>12AEEZN</v>
          </cell>
          <cell r="B707" t="str">
            <v xml:space="preserve">CUENTA CON BALNEARIO </v>
          </cell>
          <cell r="C707">
            <v>0</v>
          </cell>
          <cell r="D707">
            <v>0</v>
          </cell>
          <cell r="E707">
            <v>0</v>
          </cell>
          <cell r="F707">
            <v>0</v>
          </cell>
          <cell r="G707">
            <v>0</v>
          </cell>
          <cell r="H707">
            <v>0</v>
          </cell>
          <cell r="I707">
            <v>0</v>
          </cell>
          <cell r="J707">
            <v>0</v>
          </cell>
          <cell r="K707">
            <v>0</v>
          </cell>
        </row>
        <row r="708">
          <cell r="A708" t="str">
            <v>13APEZN</v>
          </cell>
          <cell r="B708" t="str">
            <v xml:space="preserve">INTS.P/REC.SUJ.ANALISIS </v>
          </cell>
          <cell r="C708">
            <v>0</v>
          </cell>
          <cell r="D708">
            <v>0</v>
          </cell>
          <cell r="E708">
            <v>0</v>
          </cell>
          <cell r="F708">
            <v>0</v>
          </cell>
          <cell r="G708">
            <v>0</v>
          </cell>
          <cell r="H708">
            <v>0</v>
          </cell>
          <cell r="I708">
            <v>0</v>
          </cell>
          <cell r="J708">
            <v>0</v>
          </cell>
          <cell r="K708">
            <v>9</v>
          </cell>
        </row>
        <row r="709">
          <cell r="A709" t="str">
            <v>13AQEZN</v>
          </cell>
          <cell r="B709" t="str">
            <v xml:space="preserve">ANTICIPO CRED AGRIC BID IC-CH ME, </v>
          </cell>
          <cell r="C709">
            <v>0</v>
          </cell>
          <cell r="D709">
            <v>0</v>
          </cell>
          <cell r="E709">
            <v>0</v>
          </cell>
          <cell r="F709">
            <v>0</v>
          </cell>
          <cell r="G709">
            <v>0</v>
          </cell>
          <cell r="H709">
            <v>0</v>
          </cell>
          <cell r="I709">
            <v>0</v>
          </cell>
          <cell r="J709">
            <v>0</v>
          </cell>
          <cell r="K709">
            <v>0</v>
          </cell>
        </row>
        <row r="710">
          <cell r="A710" t="str">
            <v>-</v>
          </cell>
          <cell r="B710" t="str">
            <v xml:space="preserve">ANTICIPOS PARA BENEFICIO DEL PERSONAL </v>
          </cell>
          <cell r="C710">
            <v>0</v>
          </cell>
          <cell r="D710">
            <v>0</v>
          </cell>
          <cell r="E710">
            <v>0</v>
          </cell>
          <cell r="F710">
            <v>0</v>
          </cell>
          <cell r="G710">
            <v>0</v>
          </cell>
          <cell r="H710">
            <v>0</v>
          </cell>
          <cell r="I710">
            <v>0</v>
          </cell>
          <cell r="J710">
            <v>0</v>
          </cell>
          <cell r="K710">
            <v>0</v>
          </cell>
        </row>
        <row r="711">
          <cell r="A711" t="str">
            <v>-</v>
          </cell>
          <cell r="B711" t="str">
            <v xml:space="preserve">IMPTOS.VTAS.SERV.IVA-CRE.FISC, </v>
          </cell>
          <cell r="C711">
            <v>0</v>
          </cell>
          <cell r="D711">
            <v>0</v>
          </cell>
          <cell r="E711">
            <v>0</v>
          </cell>
          <cell r="F711">
            <v>0</v>
          </cell>
          <cell r="G711">
            <v>0</v>
          </cell>
          <cell r="H711">
            <v>0</v>
          </cell>
          <cell r="I711">
            <v>0</v>
          </cell>
          <cell r="J711">
            <v>0</v>
          </cell>
          <cell r="K711">
            <v>0</v>
          </cell>
        </row>
        <row r="712">
          <cell r="A712" t="str">
            <v>13ABEZN</v>
          </cell>
          <cell r="B712" t="str">
            <v xml:space="preserve">IMPORT.DEL BCO.EN TRAMITE </v>
          </cell>
          <cell r="C712">
            <v>0</v>
          </cell>
          <cell r="D712">
            <v>0</v>
          </cell>
          <cell r="E712">
            <v>0</v>
          </cell>
          <cell r="F712">
            <v>0</v>
          </cell>
          <cell r="G712">
            <v>13</v>
          </cell>
          <cell r="H712">
            <v>13</v>
          </cell>
          <cell r="I712">
            <v>13</v>
          </cell>
          <cell r="J712">
            <v>13</v>
          </cell>
          <cell r="K712">
            <v>12</v>
          </cell>
        </row>
        <row r="713">
          <cell r="A713" t="str">
            <v>13AEEZN</v>
          </cell>
          <cell r="B713" t="str">
            <v xml:space="preserve">CUENTAS DIVERSAS </v>
          </cell>
          <cell r="C713">
            <v>0</v>
          </cell>
          <cell r="D713">
            <v>0</v>
          </cell>
          <cell r="E713">
            <v>0</v>
          </cell>
          <cell r="F713">
            <v>0</v>
          </cell>
          <cell r="G713">
            <v>0</v>
          </cell>
          <cell r="H713">
            <v>0</v>
          </cell>
          <cell r="I713">
            <v>0</v>
          </cell>
          <cell r="J713">
            <v>0</v>
          </cell>
          <cell r="K713">
            <v>0</v>
          </cell>
        </row>
        <row r="714">
          <cell r="A714" t="str">
            <v>13ACEZN</v>
          </cell>
          <cell r="B714" t="str">
            <v xml:space="preserve">VARIOS DEUDORES </v>
          </cell>
          <cell r="C714">
            <v>0</v>
          </cell>
          <cell r="D714">
            <v>0</v>
          </cell>
          <cell r="E714">
            <v>0</v>
          </cell>
          <cell r="F714">
            <v>0</v>
          </cell>
          <cell r="G714">
            <v>0</v>
          </cell>
          <cell r="H714">
            <v>0</v>
          </cell>
          <cell r="I714">
            <v>0</v>
          </cell>
          <cell r="J714">
            <v>0</v>
          </cell>
          <cell r="K714">
            <v>0</v>
          </cell>
        </row>
        <row r="715">
          <cell r="A715" t="str">
            <v>-</v>
          </cell>
          <cell r="B715" t="str">
            <v>APORTE A ISAPRE SPB,</v>
          </cell>
          <cell r="C715">
            <v>0</v>
          </cell>
          <cell r="D715">
            <v>0</v>
          </cell>
          <cell r="E715">
            <v>0</v>
          </cell>
          <cell r="F715">
            <v>0</v>
          </cell>
          <cell r="G715">
            <v>0</v>
          </cell>
          <cell r="H715">
            <v>0</v>
          </cell>
          <cell r="I715">
            <v>0</v>
          </cell>
          <cell r="J715">
            <v>0</v>
          </cell>
          <cell r="K715">
            <v>0</v>
          </cell>
        </row>
        <row r="716">
          <cell r="A716" t="str">
            <v>13AVEZN</v>
          </cell>
          <cell r="B716" t="str">
            <v>DIVISAS ARBITRADAS A FUTURO,</v>
          </cell>
          <cell r="C716">
            <v>0</v>
          </cell>
          <cell r="D716">
            <v>0</v>
          </cell>
          <cell r="E716">
            <v>0</v>
          </cell>
          <cell r="F716">
            <v>0</v>
          </cell>
          <cell r="G716">
            <v>0</v>
          </cell>
          <cell r="H716">
            <v>0</v>
          </cell>
          <cell r="I716">
            <v>0</v>
          </cell>
          <cell r="J716">
            <v>0</v>
          </cell>
          <cell r="K716">
            <v>0</v>
          </cell>
        </row>
        <row r="717">
          <cell r="A717" t="str">
            <v>13DSEZN</v>
          </cell>
          <cell r="B717" t="str">
            <v>PAGARES FISCO POR TRANSFERENCIAS</v>
          </cell>
          <cell r="C717">
            <v>4294171</v>
          </cell>
          <cell r="D717">
            <v>4406446</v>
          </cell>
          <cell r="E717">
            <v>4253354</v>
          </cell>
          <cell r="F717">
            <v>4124472</v>
          </cell>
          <cell r="G717">
            <v>4152540</v>
          </cell>
          <cell r="H717">
            <v>3907282</v>
          </cell>
          <cell r="I717">
            <v>3954412</v>
          </cell>
          <cell r="J717">
            <v>3919387</v>
          </cell>
          <cell r="K717">
            <v>3727394</v>
          </cell>
        </row>
        <row r="718">
          <cell r="A718" t="str">
            <v>-</v>
          </cell>
          <cell r="B718" t="str">
            <v>REAJ.P.RECIB.S.PAGARES FISCO LEY 18267 ART.39</v>
          </cell>
          <cell r="C718">
            <v>0</v>
          </cell>
          <cell r="D718">
            <v>0</v>
          </cell>
          <cell r="E718">
            <v>0</v>
          </cell>
          <cell r="F718">
            <v>0</v>
          </cell>
          <cell r="G718">
            <v>0</v>
          </cell>
          <cell r="H718">
            <v>0</v>
          </cell>
          <cell r="I718">
            <v>0</v>
          </cell>
          <cell r="J718">
            <v>0</v>
          </cell>
          <cell r="K718">
            <v>0</v>
          </cell>
        </row>
        <row r="719">
          <cell r="A719" t="str">
            <v>13DUEZN</v>
          </cell>
          <cell r="B719" t="str">
            <v xml:space="preserve">INTERESES POR RECIBIR SOBRE PAGARES FISCO </v>
          </cell>
          <cell r="C719">
            <v>10552</v>
          </cell>
          <cell r="D719">
            <v>17890</v>
          </cell>
          <cell r="E719">
            <v>24085</v>
          </cell>
          <cell r="F719">
            <v>29965</v>
          </cell>
          <cell r="G719">
            <v>36824</v>
          </cell>
          <cell r="H719">
            <v>2709</v>
          </cell>
          <cell r="I719">
            <v>7882</v>
          </cell>
          <cell r="J719">
            <v>12908</v>
          </cell>
          <cell r="K719">
            <v>17121</v>
          </cell>
        </row>
        <row r="720">
          <cell r="A720" t="str">
            <v>-</v>
          </cell>
          <cell r="B720" t="str">
            <v>MONEDA CORRIENTE CONTRA FONDOS DE RESERVA</v>
          </cell>
          <cell r="C720">
            <v>0</v>
          </cell>
          <cell r="D720">
            <v>0</v>
          </cell>
          <cell r="E720">
            <v>0</v>
          </cell>
          <cell r="F720">
            <v>0</v>
          </cell>
          <cell r="G720">
            <v>0</v>
          </cell>
          <cell r="H720">
            <v>0</v>
          </cell>
          <cell r="I720">
            <v>0</v>
          </cell>
          <cell r="J720">
            <v>0</v>
          </cell>
          <cell r="K720">
            <v>0</v>
          </cell>
        </row>
        <row r="721">
          <cell r="A721" t="str">
            <v>-</v>
          </cell>
          <cell r="B721" t="str">
            <v>EQUIVALENTE POR COMPRA DE CAMBIO FMI,</v>
          </cell>
          <cell r="C721">
            <v>0</v>
          </cell>
          <cell r="D721">
            <v>0</v>
          </cell>
          <cell r="E721">
            <v>0</v>
          </cell>
          <cell r="F721">
            <v>0</v>
          </cell>
          <cell r="G721">
            <v>0</v>
          </cell>
          <cell r="H721">
            <v>0</v>
          </cell>
          <cell r="I721">
            <v>0</v>
          </cell>
          <cell r="J721">
            <v>0</v>
          </cell>
          <cell r="K721">
            <v>0</v>
          </cell>
        </row>
        <row r="722">
          <cell r="A722" t="str">
            <v>-</v>
          </cell>
          <cell r="B722" t="str">
            <v xml:space="preserve">CAMBIO PROVISIONAL COMPRA DE DOLARES USA CON PACTO, </v>
          </cell>
          <cell r="C722">
            <v>0</v>
          </cell>
          <cell r="D722">
            <v>0</v>
          </cell>
          <cell r="E722">
            <v>0</v>
          </cell>
          <cell r="F722">
            <v>0</v>
          </cell>
          <cell r="G722">
            <v>0</v>
          </cell>
          <cell r="H722">
            <v>0</v>
          </cell>
          <cell r="I722">
            <v>0</v>
          </cell>
          <cell r="J722">
            <v>0</v>
          </cell>
          <cell r="K722">
            <v>0</v>
          </cell>
        </row>
        <row r="723">
          <cell r="A723" t="str">
            <v>-</v>
          </cell>
          <cell r="B723" t="str">
            <v>CAMBIO PROVISIONAL</v>
          </cell>
          <cell r="C723">
            <v>0</v>
          </cell>
          <cell r="D723">
            <v>0</v>
          </cell>
          <cell r="E723">
            <v>0</v>
          </cell>
          <cell r="F723">
            <v>0</v>
          </cell>
          <cell r="G723">
            <v>0</v>
          </cell>
          <cell r="H723">
            <v>0</v>
          </cell>
          <cell r="I723">
            <v>0</v>
          </cell>
          <cell r="J723">
            <v>0</v>
          </cell>
          <cell r="K723">
            <v>0</v>
          </cell>
        </row>
        <row r="724">
          <cell r="A724" t="str">
            <v>-</v>
          </cell>
          <cell r="B724" t="str">
            <v>CAMBIO DE US$,</v>
          </cell>
          <cell r="C724">
            <v>0</v>
          </cell>
          <cell r="D724">
            <v>0</v>
          </cell>
          <cell r="E724">
            <v>0</v>
          </cell>
          <cell r="F724">
            <v>0</v>
          </cell>
          <cell r="G724">
            <v>0</v>
          </cell>
          <cell r="H724">
            <v>0</v>
          </cell>
          <cell r="I724">
            <v>0</v>
          </cell>
          <cell r="J724">
            <v>0</v>
          </cell>
          <cell r="K724">
            <v>0</v>
          </cell>
        </row>
        <row r="725">
          <cell r="A725" t="str">
            <v>-</v>
          </cell>
          <cell r="B725" t="str">
            <v>CAMBIO DE $ AUST</v>
          </cell>
          <cell r="C725">
            <v>0</v>
          </cell>
          <cell r="D725">
            <v>0</v>
          </cell>
          <cell r="E725">
            <v>0</v>
          </cell>
          <cell r="F725">
            <v>0</v>
          </cell>
          <cell r="G725">
            <v>0</v>
          </cell>
          <cell r="H725">
            <v>0</v>
          </cell>
          <cell r="I725">
            <v>0</v>
          </cell>
          <cell r="J725">
            <v>0</v>
          </cell>
          <cell r="K725">
            <v>0</v>
          </cell>
        </row>
        <row r="726">
          <cell r="A726" t="str">
            <v>-</v>
          </cell>
          <cell r="B726" t="str">
            <v>CAMBIOS DE $ CAN</v>
          </cell>
          <cell r="C726">
            <v>0</v>
          </cell>
          <cell r="D726">
            <v>0</v>
          </cell>
          <cell r="E726">
            <v>0</v>
          </cell>
          <cell r="F726">
            <v>0</v>
          </cell>
          <cell r="G726">
            <v>0</v>
          </cell>
          <cell r="H726">
            <v>0</v>
          </cell>
          <cell r="I726">
            <v>0</v>
          </cell>
          <cell r="J726">
            <v>0</v>
          </cell>
          <cell r="K726">
            <v>0</v>
          </cell>
        </row>
        <row r="727">
          <cell r="A727" t="str">
            <v>-</v>
          </cell>
          <cell r="B727" t="str">
            <v>CAMBIO DE CRD</v>
          </cell>
          <cell r="C727">
            <v>0</v>
          </cell>
          <cell r="D727">
            <v>0</v>
          </cell>
          <cell r="E727">
            <v>0</v>
          </cell>
          <cell r="F727">
            <v>0</v>
          </cell>
          <cell r="G727">
            <v>0</v>
          </cell>
          <cell r="H727">
            <v>0</v>
          </cell>
          <cell r="I727">
            <v>0</v>
          </cell>
          <cell r="J727">
            <v>0</v>
          </cell>
          <cell r="K727">
            <v>0</v>
          </cell>
        </row>
        <row r="728">
          <cell r="A728" t="str">
            <v>-</v>
          </cell>
          <cell r="B728" t="str">
            <v>CAMBIO DE CR.N,</v>
          </cell>
          <cell r="C728">
            <v>0</v>
          </cell>
          <cell r="D728">
            <v>0</v>
          </cell>
          <cell r="E728">
            <v>0</v>
          </cell>
          <cell r="F728">
            <v>0</v>
          </cell>
          <cell r="G728">
            <v>0</v>
          </cell>
          <cell r="H728">
            <v>0</v>
          </cell>
          <cell r="I728">
            <v>0</v>
          </cell>
          <cell r="J728">
            <v>0</v>
          </cell>
          <cell r="K728">
            <v>0</v>
          </cell>
        </row>
        <row r="729">
          <cell r="A729" t="str">
            <v>-</v>
          </cell>
          <cell r="B729" t="str">
            <v>CAMBIOS DE CR.S.</v>
          </cell>
          <cell r="C729">
            <v>0</v>
          </cell>
          <cell r="D729">
            <v>0</v>
          </cell>
          <cell r="E729">
            <v>0</v>
          </cell>
          <cell r="F729">
            <v>0</v>
          </cell>
          <cell r="G729">
            <v>0</v>
          </cell>
          <cell r="H729">
            <v>0</v>
          </cell>
          <cell r="I729">
            <v>0</v>
          </cell>
          <cell r="J729">
            <v>0</v>
          </cell>
          <cell r="K729">
            <v>0</v>
          </cell>
        </row>
        <row r="730">
          <cell r="A730" t="str">
            <v>-</v>
          </cell>
          <cell r="B730" t="str">
            <v>CAMBIO DE PESOS ANDINOS,</v>
          </cell>
          <cell r="C730">
            <v>0</v>
          </cell>
          <cell r="D730">
            <v>0</v>
          </cell>
          <cell r="E730">
            <v>0</v>
          </cell>
          <cell r="F730">
            <v>0</v>
          </cell>
          <cell r="G730">
            <v>0</v>
          </cell>
          <cell r="H730">
            <v>0</v>
          </cell>
          <cell r="I730">
            <v>0</v>
          </cell>
          <cell r="J730">
            <v>0</v>
          </cell>
          <cell r="K730">
            <v>0</v>
          </cell>
        </row>
        <row r="731">
          <cell r="A731" t="str">
            <v>-</v>
          </cell>
          <cell r="B731" t="str">
            <v>CAMBIO DE FL H</v>
          </cell>
          <cell r="C731">
            <v>0</v>
          </cell>
          <cell r="D731">
            <v>0</v>
          </cell>
          <cell r="E731">
            <v>0</v>
          </cell>
          <cell r="F731">
            <v>0</v>
          </cell>
          <cell r="G731">
            <v>0</v>
          </cell>
          <cell r="H731">
            <v>0</v>
          </cell>
          <cell r="I731">
            <v>0</v>
          </cell>
          <cell r="J731">
            <v>0</v>
          </cell>
          <cell r="K731">
            <v>0</v>
          </cell>
        </row>
        <row r="732">
          <cell r="A732" t="str">
            <v>-</v>
          </cell>
          <cell r="B732" t="str">
            <v>CAMBIO DE FR.B</v>
          </cell>
          <cell r="C732">
            <v>0</v>
          </cell>
          <cell r="D732">
            <v>0</v>
          </cell>
          <cell r="E732">
            <v>0</v>
          </cell>
          <cell r="F732">
            <v>0</v>
          </cell>
          <cell r="G732">
            <v>0</v>
          </cell>
          <cell r="H732">
            <v>0</v>
          </cell>
          <cell r="I732">
            <v>0</v>
          </cell>
          <cell r="J732">
            <v>0</v>
          </cell>
          <cell r="K732">
            <v>0</v>
          </cell>
        </row>
        <row r="733">
          <cell r="A733" t="str">
            <v>-</v>
          </cell>
          <cell r="B733" t="str">
            <v>CAMBIO DE FR.F</v>
          </cell>
          <cell r="C733">
            <v>0</v>
          </cell>
          <cell r="D733">
            <v>0</v>
          </cell>
          <cell r="E733">
            <v>0</v>
          </cell>
          <cell r="F733">
            <v>0</v>
          </cell>
          <cell r="G733">
            <v>0</v>
          </cell>
          <cell r="H733">
            <v>0</v>
          </cell>
          <cell r="I733">
            <v>0</v>
          </cell>
          <cell r="J733">
            <v>0</v>
          </cell>
          <cell r="K733">
            <v>0</v>
          </cell>
        </row>
        <row r="734">
          <cell r="A734" t="str">
            <v>-</v>
          </cell>
          <cell r="B734" t="str">
            <v>CAMBIO DE FR.S</v>
          </cell>
          <cell r="C734">
            <v>0</v>
          </cell>
          <cell r="D734">
            <v>0</v>
          </cell>
          <cell r="E734">
            <v>0</v>
          </cell>
          <cell r="F734">
            <v>0</v>
          </cell>
          <cell r="G734">
            <v>0</v>
          </cell>
          <cell r="H734">
            <v>0</v>
          </cell>
          <cell r="I734">
            <v>0</v>
          </cell>
          <cell r="J734">
            <v>0</v>
          </cell>
          <cell r="K734">
            <v>0</v>
          </cell>
        </row>
        <row r="735">
          <cell r="A735" t="str">
            <v>-</v>
          </cell>
          <cell r="B735" t="str">
            <v>CAMBIO DE L.E</v>
          </cell>
          <cell r="C735">
            <v>0</v>
          </cell>
          <cell r="D735">
            <v>0</v>
          </cell>
          <cell r="E735">
            <v>0</v>
          </cell>
          <cell r="F735">
            <v>0</v>
          </cell>
          <cell r="G735">
            <v>0</v>
          </cell>
          <cell r="H735">
            <v>0</v>
          </cell>
          <cell r="I735">
            <v>0</v>
          </cell>
          <cell r="J735">
            <v>0</v>
          </cell>
          <cell r="K735">
            <v>0</v>
          </cell>
        </row>
        <row r="736">
          <cell r="A736" t="str">
            <v>-</v>
          </cell>
          <cell r="B736" t="str">
            <v>CAMBIO LIT</v>
          </cell>
          <cell r="C736">
            <v>0</v>
          </cell>
          <cell r="D736">
            <v>0</v>
          </cell>
          <cell r="E736">
            <v>0</v>
          </cell>
          <cell r="F736">
            <v>0</v>
          </cell>
          <cell r="G736">
            <v>0</v>
          </cell>
          <cell r="H736">
            <v>0</v>
          </cell>
          <cell r="I736">
            <v>0</v>
          </cell>
          <cell r="J736">
            <v>0</v>
          </cell>
          <cell r="K736">
            <v>0</v>
          </cell>
        </row>
        <row r="737">
          <cell r="A737" t="str">
            <v>-</v>
          </cell>
          <cell r="B737" t="str">
            <v>CAMBIO D.M</v>
          </cell>
          <cell r="C737">
            <v>0</v>
          </cell>
          <cell r="D737">
            <v>0</v>
          </cell>
          <cell r="E737">
            <v>0</v>
          </cell>
          <cell r="F737">
            <v>0</v>
          </cell>
          <cell r="G737">
            <v>0</v>
          </cell>
          <cell r="H737">
            <v>0</v>
          </cell>
          <cell r="I737">
            <v>0</v>
          </cell>
          <cell r="J737">
            <v>0</v>
          </cell>
          <cell r="K737">
            <v>0</v>
          </cell>
        </row>
        <row r="738">
          <cell r="A738" t="str">
            <v>-</v>
          </cell>
          <cell r="B738" t="str">
            <v>CAMBIO DE PESETAS</v>
          </cell>
          <cell r="C738">
            <v>0</v>
          </cell>
          <cell r="D738">
            <v>0</v>
          </cell>
          <cell r="E738">
            <v>0</v>
          </cell>
          <cell r="F738">
            <v>0</v>
          </cell>
          <cell r="G738">
            <v>0</v>
          </cell>
          <cell r="H738">
            <v>0</v>
          </cell>
          <cell r="I738">
            <v>0</v>
          </cell>
          <cell r="J738">
            <v>0</v>
          </cell>
          <cell r="K738">
            <v>0</v>
          </cell>
        </row>
        <row r="739">
          <cell r="A739" t="str">
            <v>-</v>
          </cell>
          <cell r="B739" t="str">
            <v>CAMBIO DE US$ MESA DE DINERO</v>
          </cell>
          <cell r="C739">
            <v>0</v>
          </cell>
          <cell r="D739">
            <v>0</v>
          </cell>
          <cell r="E739">
            <v>0</v>
          </cell>
          <cell r="F739">
            <v>0</v>
          </cell>
          <cell r="G739">
            <v>0</v>
          </cell>
          <cell r="H739">
            <v>0</v>
          </cell>
          <cell r="I739">
            <v>0</v>
          </cell>
          <cell r="J739">
            <v>0</v>
          </cell>
          <cell r="K739">
            <v>0</v>
          </cell>
        </row>
        <row r="740">
          <cell r="A740" t="str">
            <v>-</v>
          </cell>
          <cell r="B740" t="str">
            <v>CAMBIO DE SCH.AUST</v>
          </cell>
          <cell r="C740">
            <v>0</v>
          </cell>
          <cell r="D740">
            <v>0</v>
          </cell>
          <cell r="E740">
            <v>0</v>
          </cell>
          <cell r="F740">
            <v>0</v>
          </cell>
          <cell r="G740">
            <v>0</v>
          </cell>
          <cell r="H740">
            <v>0</v>
          </cell>
          <cell r="I740">
            <v>0</v>
          </cell>
          <cell r="J740">
            <v>0</v>
          </cell>
          <cell r="K740">
            <v>0</v>
          </cell>
        </row>
        <row r="741">
          <cell r="A741" t="str">
            <v>-</v>
          </cell>
          <cell r="B741" t="str">
            <v>CAMBIO UNIDAD DE CUENTA BID</v>
          </cell>
          <cell r="C741">
            <v>0</v>
          </cell>
          <cell r="D741">
            <v>0</v>
          </cell>
          <cell r="E741">
            <v>0</v>
          </cell>
          <cell r="F741">
            <v>0</v>
          </cell>
          <cell r="G741">
            <v>0</v>
          </cell>
          <cell r="H741">
            <v>0</v>
          </cell>
          <cell r="I741">
            <v>0</v>
          </cell>
          <cell r="J741">
            <v>0</v>
          </cell>
          <cell r="K741">
            <v>0</v>
          </cell>
        </row>
        <row r="742">
          <cell r="A742" t="str">
            <v>-</v>
          </cell>
          <cell r="B742" t="str">
            <v>CAMBIO DE YENS</v>
          </cell>
          <cell r="C742">
            <v>0</v>
          </cell>
          <cell r="D742">
            <v>0</v>
          </cell>
          <cell r="E742">
            <v>0</v>
          </cell>
          <cell r="F742">
            <v>0</v>
          </cell>
          <cell r="G742">
            <v>0</v>
          </cell>
          <cell r="H742">
            <v>0</v>
          </cell>
          <cell r="I742">
            <v>0</v>
          </cell>
          <cell r="J742">
            <v>0</v>
          </cell>
          <cell r="K742">
            <v>0</v>
          </cell>
        </row>
        <row r="743">
          <cell r="A743" t="str">
            <v>-</v>
          </cell>
          <cell r="B743" t="str">
            <v>CAMBIO DE MARKKA,</v>
          </cell>
          <cell r="C743">
            <v>0</v>
          </cell>
          <cell r="D743">
            <v>0</v>
          </cell>
          <cell r="E743">
            <v>0</v>
          </cell>
          <cell r="F743">
            <v>0</v>
          </cell>
          <cell r="G743">
            <v>0</v>
          </cell>
          <cell r="H743">
            <v>0</v>
          </cell>
          <cell r="I743">
            <v>0</v>
          </cell>
          <cell r="J743">
            <v>0</v>
          </cell>
          <cell r="K743">
            <v>0</v>
          </cell>
        </row>
        <row r="744">
          <cell r="A744" t="str">
            <v>-</v>
          </cell>
          <cell r="B744" t="str">
            <v>CAMBIO DE DEG</v>
          </cell>
          <cell r="C744">
            <v>0</v>
          </cell>
          <cell r="D744">
            <v>0</v>
          </cell>
          <cell r="E744">
            <v>0</v>
          </cell>
          <cell r="F744">
            <v>0</v>
          </cell>
          <cell r="G744">
            <v>0</v>
          </cell>
          <cell r="H744">
            <v>0</v>
          </cell>
          <cell r="I744">
            <v>0</v>
          </cell>
          <cell r="J744">
            <v>0</v>
          </cell>
          <cell r="K744">
            <v>0</v>
          </cell>
        </row>
        <row r="745">
          <cell r="A745" t="str">
            <v>-</v>
          </cell>
          <cell r="B745" t="str">
            <v>CAMBIO DE $ ORO</v>
          </cell>
          <cell r="C745">
            <v>0</v>
          </cell>
          <cell r="D745">
            <v>0</v>
          </cell>
          <cell r="E745">
            <v>0</v>
          </cell>
          <cell r="F745">
            <v>0</v>
          </cell>
          <cell r="G745">
            <v>0</v>
          </cell>
          <cell r="H745">
            <v>0</v>
          </cell>
          <cell r="I745">
            <v>0</v>
          </cell>
          <cell r="J745">
            <v>0</v>
          </cell>
          <cell r="K745">
            <v>0</v>
          </cell>
        </row>
        <row r="746">
          <cell r="A746" t="str">
            <v>13EWEZN</v>
          </cell>
          <cell r="B746" t="str">
            <v>DEUDORES POR ARBITRAJES A FUTURO</v>
          </cell>
          <cell r="C746">
            <v>0</v>
          </cell>
          <cell r="D746">
            <v>0</v>
          </cell>
          <cell r="E746">
            <v>0</v>
          </cell>
          <cell r="F746">
            <v>0</v>
          </cell>
          <cell r="G746">
            <v>0</v>
          </cell>
          <cell r="H746">
            <v>0</v>
          </cell>
          <cell r="I746">
            <v>0</v>
          </cell>
          <cell r="J746">
            <v>0</v>
          </cell>
          <cell r="K746">
            <v>0</v>
          </cell>
        </row>
        <row r="747">
          <cell r="A747" t="str">
            <v>-</v>
          </cell>
          <cell r="B747" t="str">
            <v>REPROG.DEUDA TRANSPORTE ACDO 1513</v>
          </cell>
          <cell r="C747">
            <v>0</v>
          </cell>
          <cell r="D747">
            <v>0</v>
          </cell>
          <cell r="E747">
            <v>0</v>
          </cell>
          <cell r="F747">
            <v>0</v>
          </cell>
          <cell r="G747">
            <v>0</v>
          </cell>
          <cell r="H747">
            <v>0</v>
          </cell>
          <cell r="I747">
            <v>0</v>
          </cell>
          <cell r="J747">
            <v>0</v>
          </cell>
          <cell r="K747">
            <v>0</v>
          </cell>
        </row>
        <row r="748">
          <cell r="A748" t="str">
            <v>-</v>
          </cell>
          <cell r="B748" t="str">
            <v>CAMBIO ESPECIAL DIFERENCIAL CAMBIARIO</v>
          </cell>
          <cell r="C748">
            <v>0</v>
          </cell>
          <cell r="D748">
            <v>0</v>
          </cell>
          <cell r="E748">
            <v>0</v>
          </cell>
          <cell r="F748">
            <v>0</v>
          </cell>
          <cell r="G748">
            <v>0</v>
          </cell>
          <cell r="H748">
            <v>0</v>
          </cell>
          <cell r="I748">
            <v>0</v>
          </cell>
          <cell r="J748">
            <v>0</v>
          </cell>
          <cell r="K748">
            <v>0</v>
          </cell>
        </row>
        <row r="749">
          <cell r="A749" t="str">
            <v>-</v>
          </cell>
          <cell r="B749" t="str">
            <v>CAMBIO ESPECIAL ACDO 1470,</v>
          </cell>
          <cell r="C749">
            <v>0</v>
          </cell>
          <cell r="D749">
            <v>0</v>
          </cell>
          <cell r="E749">
            <v>0</v>
          </cell>
          <cell r="F749">
            <v>0</v>
          </cell>
          <cell r="G749">
            <v>0</v>
          </cell>
          <cell r="H749">
            <v>0</v>
          </cell>
          <cell r="I749">
            <v>0</v>
          </cell>
          <cell r="J749">
            <v>0</v>
          </cell>
          <cell r="K749">
            <v>0</v>
          </cell>
        </row>
        <row r="750">
          <cell r="A750" t="str">
            <v>12AYEZN</v>
          </cell>
          <cell r="B750" t="str">
            <v>COMPRA DE DOLARES CON PACTO DE RETROVENTA,</v>
          </cell>
          <cell r="C750">
            <v>0</v>
          </cell>
          <cell r="D750">
            <v>0</v>
          </cell>
          <cell r="E750">
            <v>0</v>
          </cell>
          <cell r="F750">
            <v>0</v>
          </cell>
          <cell r="G750">
            <v>0</v>
          </cell>
          <cell r="H750">
            <v>0</v>
          </cell>
          <cell r="I750">
            <v>0</v>
          </cell>
          <cell r="J750">
            <v>0</v>
          </cell>
          <cell r="K750">
            <v>0</v>
          </cell>
        </row>
        <row r="751">
          <cell r="A751" t="str">
            <v>-</v>
          </cell>
          <cell r="B751" t="str">
            <v>CAMBIO OPERACIONES EXPRESADAS EN DOLARES</v>
          </cell>
          <cell r="C751">
            <v>0</v>
          </cell>
          <cell r="D751">
            <v>0</v>
          </cell>
          <cell r="E751">
            <v>0</v>
          </cell>
          <cell r="F751">
            <v>0</v>
          </cell>
          <cell r="G751">
            <v>0</v>
          </cell>
          <cell r="H751">
            <v>0</v>
          </cell>
          <cell r="I751">
            <v>0</v>
          </cell>
          <cell r="J751">
            <v>0</v>
          </cell>
          <cell r="K751">
            <v>0</v>
          </cell>
        </row>
        <row r="752">
          <cell r="A752" t="str">
            <v>-</v>
          </cell>
          <cell r="B752" t="str">
            <v xml:space="preserve">CAMBIO COMPRA DOLARES CON PACTO RETROVENTA CAP IV, </v>
          </cell>
          <cell r="C752">
            <v>0</v>
          </cell>
          <cell r="D752">
            <v>0</v>
          </cell>
          <cell r="E752">
            <v>0</v>
          </cell>
          <cell r="F752">
            <v>0</v>
          </cell>
          <cell r="G752">
            <v>0</v>
          </cell>
          <cell r="H752">
            <v>0</v>
          </cell>
          <cell r="I752">
            <v>0</v>
          </cell>
          <cell r="J752">
            <v>0</v>
          </cell>
          <cell r="K752">
            <v>0</v>
          </cell>
        </row>
        <row r="753">
          <cell r="A753" t="str">
            <v>-</v>
          </cell>
          <cell r="B753" t="str">
            <v xml:space="preserve">PRESTAMOS HIPOTECARIOS ESPECIALES </v>
          </cell>
          <cell r="C753">
            <v>0</v>
          </cell>
          <cell r="D753">
            <v>0</v>
          </cell>
          <cell r="E753">
            <v>0</v>
          </cell>
          <cell r="F753">
            <v>0</v>
          </cell>
          <cell r="G753">
            <v>0</v>
          </cell>
          <cell r="H753">
            <v>0</v>
          </cell>
          <cell r="I753">
            <v>0</v>
          </cell>
          <cell r="J753">
            <v>0</v>
          </cell>
          <cell r="K753">
            <v>0</v>
          </cell>
        </row>
        <row r="754">
          <cell r="A754" t="str">
            <v>-</v>
          </cell>
          <cell r="B754" t="str">
            <v xml:space="preserve">REAJ.P.RECIBIR S.PRESTAMOS HIPOTECARIOS ESPECIALES, </v>
          </cell>
          <cell r="C754">
            <v>0</v>
          </cell>
          <cell r="D754">
            <v>0</v>
          </cell>
          <cell r="E754">
            <v>0</v>
          </cell>
          <cell r="F754">
            <v>0</v>
          </cell>
          <cell r="G754">
            <v>0</v>
          </cell>
          <cell r="H754">
            <v>0</v>
          </cell>
          <cell r="I754">
            <v>0</v>
          </cell>
          <cell r="J754">
            <v>0</v>
          </cell>
          <cell r="K754">
            <v>0</v>
          </cell>
        </row>
        <row r="755">
          <cell r="A755" t="str">
            <v>-</v>
          </cell>
          <cell r="B755" t="str">
            <v>CAMBIO DE ECU</v>
          </cell>
          <cell r="C755">
            <v>0</v>
          </cell>
          <cell r="D755">
            <v>0</v>
          </cell>
          <cell r="E755">
            <v>0</v>
          </cell>
          <cell r="F755">
            <v>0</v>
          </cell>
          <cell r="G755">
            <v>0</v>
          </cell>
          <cell r="H755">
            <v>0</v>
          </cell>
          <cell r="I755">
            <v>0</v>
          </cell>
          <cell r="J755">
            <v>0</v>
          </cell>
          <cell r="K755">
            <v>0</v>
          </cell>
        </row>
        <row r="756">
          <cell r="A756" t="str">
            <v>-</v>
          </cell>
          <cell r="B756" t="str">
            <v>CAMBIO REPROGRAMACION DEUDAS EXPRESADAS EN US$ ACD</v>
          </cell>
          <cell r="C756">
            <v>0</v>
          </cell>
          <cell r="D756">
            <v>0</v>
          </cell>
          <cell r="E756">
            <v>0</v>
          </cell>
          <cell r="F756">
            <v>0</v>
          </cell>
          <cell r="G756">
            <v>0</v>
          </cell>
          <cell r="H756">
            <v>0</v>
          </cell>
          <cell r="I756">
            <v>0</v>
          </cell>
          <cell r="J756">
            <v>0</v>
          </cell>
          <cell r="K756">
            <v>0</v>
          </cell>
        </row>
        <row r="757">
          <cell r="A757" t="str">
            <v>-</v>
          </cell>
          <cell r="B757" t="str">
            <v>PACTO RETROVENTA CON T/C EN U.F.</v>
          </cell>
          <cell r="C757">
            <v>0</v>
          </cell>
          <cell r="D757">
            <v>0</v>
          </cell>
          <cell r="E757">
            <v>0</v>
          </cell>
          <cell r="F757">
            <v>0</v>
          </cell>
          <cell r="G757">
            <v>0</v>
          </cell>
          <cell r="H757">
            <v>0</v>
          </cell>
          <cell r="I757">
            <v>0</v>
          </cell>
          <cell r="J757">
            <v>0</v>
          </cell>
          <cell r="K757">
            <v>0</v>
          </cell>
        </row>
        <row r="758">
          <cell r="A758" t="str">
            <v>-</v>
          </cell>
          <cell r="B758" t="str">
            <v>C REPROG DEUDAS SECTOR PROD EXPR EN US$ AC1578,</v>
          </cell>
          <cell r="C758">
            <v>0</v>
          </cell>
          <cell r="D758">
            <v>0</v>
          </cell>
          <cell r="E758">
            <v>0</v>
          </cell>
          <cell r="F758">
            <v>0</v>
          </cell>
          <cell r="G758">
            <v>0</v>
          </cell>
          <cell r="H758">
            <v>0</v>
          </cell>
          <cell r="I758">
            <v>0</v>
          </cell>
          <cell r="J758">
            <v>0</v>
          </cell>
          <cell r="K758">
            <v>0</v>
          </cell>
        </row>
        <row r="759">
          <cell r="A759" t="str">
            <v>-</v>
          </cell>
          <cell r="B759" t="str">
            <v xml:space="preserve">BINES RECIBIDOS EN PAGO O ADJUDICADOS </v>
          </cell>
          <cell r="C759">
            <v>0</v>
          </cell>
          <cell r="D759">
            <v>0</v>
          </cell>
          <cell r="E759">
            <v>0</v>
          </cell>
          <cell r="F759">
            <v>0</v>
          </cell>
          <cell r="G759">
            <v>0</v>
          </cell>
          <cell r="H759">
            <v>0</v>
          </cell>
          <cell r="I759">
            <v>0</v>
          </cell>
          <cell r="J759">
            <v>0</v>
          </cell>
          <cell r="K759">
            <v>0</v>
          </cell>
        </row>
        <row r="760">
          <cell r="A760" t="str">
            <v>-</v>
          </cell>
          <cell r="B760" t="str">
            <v>CAMBIO ACUERDO 1578 (DESDOLARIZACION)</v>
          </cell>
          <cell r="C760">
            <v>0</v>
          </cell>
          <cell r="D760">
            <v>0</v>
          </cell>
          <cell r="E760">
            <v>0</v>
          </cell>
          <cell r="F760">
            <v>0</v>
          </cell>
          <cell r="G760">
            <v>0</v>
          </cell>
          <cell r="H760">
            <v>0</v>
          </cell>
          <cell r="I760">
            <v>0</v>
          </cell>
          <cell r="J760">
            <v>0</v>
          </cell>
          <cell r="K760">
            <v>0</v>
          </cell>
        </row>
        <row r="761">
          <cell r="A761" t="str">
            <v>-</v>
          </cell>
          <cell r="B761" t="str">
            <v>CUENTA CORRIENTE CON CORFO LEY N 18401</v>
          </cell>
          <cell r="C761">
            <v>0</v>
          </cell>
          <cell r="D761">
            <v>0</v>
          </cell>
          <cell r="E761">
            <v>0</v>
          </cell>
          <cell r="F761">
            <v>0</v>
          </cell>
          <cell r="G761">
            <v>0</v>
          </cell>
          <cell r="H761">
            <v>0</v>
          </cell>
          <cell r="I761">
            <v>0</v>
          </cell>
          <cell r="J761">
            <v>0</v>
          </cell>
          <cell r="K761">
            <v>0</v>
          </cell>
        </row>
        <row r="762">
          <cell r="A762" t="str">
            <v>-</v>
          </cell>
          <cell r="B762" t="str">
            <v>TRANSFERENCIA FISCAL ARTICULO 13 LEY 18401</v>
          </cell>
          <cell r="C762">
            <v>0</v>
          </cell>
          <cell r="D762">
            <v>0</v>
          </cell>
          <cell r="E762">
            <v>0</v>
          </cell>
          <cell r="F762">
            <v>0</v>
          </cell>
          <cell r="G762">
            <v>0</v>
          </cell>
          <cell r="H762">
            <v>0</v>
          </cell>
          <cell r="I762">
            <v>0</v>
          </cell>
          <cell r="J762">
            <v>0</v>
          </cell>
          <cell r="K762">
            <v>0</v>
          </cell>
        </row>
        <row r="763">
          <cell r="A763" t="str">
            <v>-</v>
          </cell>
          <cell r="B763" t="str">
            <v xml:space="preserve">REAJ.P/REC.DE TRANSF.FISCAL ART 13 LEY N 18401 </v>
          </cell>
          <cell r="C763">
            <v>0</v>
          </cell>
          <cell r="D763">
            <v>0</v>
          </cell>
          <cell r="E763">
            <v>0</v>
          </cell>
          <cell r="F763">
            <v>0</v>
          </cell>
          <cell r="G763">
            <v>0</v>
          </cell>
          <cell r="H763">
            <v>0</v>
          </cell>
          <cell r="I763">
            <v>0</v>
          </cell>
          <cell r="J763">
            <v>0</v>
          </cell>
          <cell r="K763">
            <v>0</v>
          </cell>
        </row>
        <row r="764">
          <cell r="A764" t="str">
            <v>-</v>
          </cell>
          <cell r="B764" t="str">
            <v>PACTO RETROVENTA CAP IV E 3 CNF</v>
          </cell>
          <cell r="C764">
            <v>0</v>
          </cell>
          <cell r="D764">
            <v>0</v>
          </cell>
          <cell r="E764">
            <v>0</v>
          </cell>
          <cell r="F764">
            <v>0</v>
          </cell>
          <cell r="G764">
            <v>0</v>
          </cell>
          <cell r="H764">
            <v>0</v>
          </cell>
          <cell r="I764">
            <v>0</v>
          </cell>
          <cell r="J764">
            <v>0</v>
          </cell>
          <cell r="K764">
            <v>0</v>
          </cell>
        </row>
        <row r="765">
          <cell r="A765" t="str">
            <v>-</v>
          </cell>
          <cell r="B765" t="str">
            <v xml:space="preserve">CAMBIO SALDO PRECIO PAGARE ADQUIRIDO AL BECH EXPR, </v>
          </cell>
          <cell r="C765">
            <v>0</v>
          </cell>
          <cell r="D765">
            <v>0</v>
          </cell>
          <cell r="E765">
            <v>0</v>
          </cell>
          <cell r="F765">
            <v>0</v>
          </cell>
          <cell r="G765">
            <v>0</v>
          </cell>
          <cell r="H765">
            <v>0</v>
          </cell>
          <cell r="I765">
            <v>0</v>
          </cell>
          <cell r="J765">
            <v>0</v>
          </cell>
          <cell r="K765">
            <v>0</v>
          </cell>
        </row>
        <row r="766">
          <cell r="A766" t="str">
            <v>13ECEZN</v>
          </cell>
          <cell r="B766" t="str">
            <v xml:space="preserve">CTA CTE ADMINISTRACION BCO.CONTINENTAL L.18430 </v>
          </cell>
          <cell r="C766">
            <v>0</v>
          </cell>
          <cell r="D766">
            <v>0</v>
          </cell>
          <cell r="E766">
            <v>0</v>
          </cell>
          <cell r="F766">
            <v>0</v>
          </cell>
          <cell r="G766">
            <v>0</v>
          </cell>
          <cell r="H766">
            <v>0</v>
          </cell>
          <cell r="I766">
            <v>0</v>
          </cell>
          <cell r="J766">
            <v>0</v>
          </cell>
          <cell r="K766">
            <v>0</v>
          </cell>
        </row>
        <row r="767">
          <cell r="A767" t="str">
            <v>-</v>
          </cell>
          <cell r="B767" t="str">
            <v>CAMBIO DE REMMIMBY</v>
          </cell>
          <cell r="C767">
            <v>0</v>
          </cell>
          <cell r="D767">
            <v>0</v>
          </cell>
          <cell r="E767">
            <v>0</v>
          </cell>
          <cell r="F767">
            <v>0</v>
          </cell>
          <cell r="G767">
            <v>0</v>
          </cell>
          <cell r="H767">
            <v>0</v>
          </cell>
          <cell r="I767">
            <v>0</v>
          </cell>
          <cell r="J767">
            <v>0</v>
          </cell>
          <cell r="K767">
            <v>0</v>
          </cell>
        </row>
        <row r="768">
          <cell r="A768" t="str">
            <v>-</v>
          </cell>
          <cell r="B768" t="str">
            <v xml:space="preserve">CAMBIO CERTIFICADOS DE DEPOSITOS EXPR EN US$ ACDO, </v>
          </cell>
          <cell r="C768">
            <v>0</v>
          </cell>
          <cell r="D768">
            <v>0</v>
          </cell>
          <cell r="E768">
            <v>0</v>
          </cell>
          <cell r="F768">
            <v>0</v>
          </cell>
          <cell r="G768">
            <v>0</v>
          </cell>
          <cell r="H768">
            <v>0</v>
          </cell>
          <cell r="I768">
            <v>0</v>
          </cell>
          <cell r="J768">
            <v>0</v>
          </cell>
          <cell r="K768">
            <v>0</v>
          </cell>
        </row>
        <row r="769">
          <cell r="A769" t="str">
            <v>-</v>
          </cell>
          <cell r="B769" t="str">
            <v xml:space="preserve">CUENTA CORRIENTE ADMINISTRACION BCNV LEY 18412 </v>
          </cell>
          <cell r="C769">
            <v>0</v>
          </cell>
          <cell r="D769">
            <v>0</v>
          </cell>
          <cell r="E769">
            <v>0</v>
          </cell>
          <cell r="F769">
            <v>0</v>
          </cell>
          <cell r="G769">
            <v>0</v>
          </cell>
          <cell r="H769">
            <v>0</v>
          </cell>
          <cell r="I769">
            <v>0</v>
          </cell>
          <cell r="J769">
            <v>0</v>
          </cell>
          <cell r="K769">
            <v>0</v>
          </cell>
        </row>
        <row r="770">
          <cell r="A770" t="str">
            <v>-</v>
          </cell>
          <cell r="B770" t="str">
            <v>CREDITO FISCAL COTIZACION ADICIONAL DE SALUD</v>
          </cell>
          <cell r="C770">
            <v>0</v>
          </cell>
          <cell r="D770">
            <v>0</v>
          </cell>
          <cell r="E770">
            <v>0</v>
          </cell>
          <cell r="F770">
            <v>0</v>
          </cell>
          <cell r="G770">
            <v>0</v>
          </cell>
          <cell r="H770">
            <v>0</v>
          </cell>
          <cell r="I770">
            <v>0</v>
          </cell>
          <cell r="J770">
            <v>0</v>
          </cell>
          <cell r="K770">
            <v>0</v>
          </cell>
        </row>
        <row r="771">
          <cell r="A771" t="str">
            <v>-</v>
          </cell>
          <cell r="B771" t="str">
            <v xml:space="preserve">MATERIALES EN EXISTENCIA </v>
          </cell>
          <cell r="C771">
            <v>0</v>
          </cell>
          <cell r="D771">
            <v>0</v>
          </cell>
          <cell r="E771">
            <v>0</v>
          </cell>
          <cell r="F771">
            <v>0</v>
          </cell>
          <cell r="G771">
            <v>0</v>
          </cell>
          <cell r="H771">
            <v>0</v>
          </cell>
          <cell r="I771">
            <v>0</v>
          </cell>
          <cell r="J771">
            <v>0</v>
          </cell>
          <cell r="K771">
            <v>0</v>
          </cell>
        </row>
        <row r="772">
          <cell r="A772" t="str">
            <v>13DREZN</v>
          </cell>
          <cell r="B772" t="str">
            <v xml:space="preserve">CARTERA ADQUIRIDA A INST.FINANCIERAS </v>
          </cell>
          <cell r="C772">
            <v>0</v>
          </cell>
          <cell r="D772">
            <v>0</v>
          </cell>
          <cell r="E772">
            <v>0</v>
          </cell>
          <cell r="F772">
            <v>0</v>
          </cell>
          <cell r="G772">
            <v>0</v>
          </cell>
          <cell r="H772">
            <v>0</v>
          </cell>
          <cell r="I772">
            <v>0</v>
          </cell>
          <cell r="J772">
            <v>0</v>
          </cell>
          <cell r="K772">
            <v>0</v>
          </cell>
        </row>
        <row r="773">
          <cell r="A773" t="str">
            <v>-</v>
          </cell>
          <cell r="B773" t="str">
            <v>REAJ.P.REC.S.CARTERA ADQUIRIDA A INST.FINANC.</v>
          </cell>
          <cell r="C773">
            <v>0</v>
          </cell>
          <cell r="D773">
            <v>0</v>
          </cell>
          <cell r="E773">
            <v>0</v>
          </cell>
          <cell r="F773">
            <v>0</v>
          </cell>
          <cell r="G773">
            <v>0</v>
          </cell>
          <cell r="H773">
            <v>0</v>
          </cell>
          <cell r="I773">
            <v>0</v>
          </cell>
          <cell r="J773">
            <v>0</v>
          </cell>
          <cell r="K773">
            <v>0</v>
          </cell>
        </row>
        <row r="774">
          <cell r="A774" t="str">
            <v>-</v>
          </cell>
          <cell r="B774" t="str">
            <v xml:space="preserve">COMPRA CARTERA C/PACTO REVENTA PAG.LETRAS AC.1555, </v>
          </cell>
          <cell r="C774">
            <v>0</v>
          </cell>
          <cell r="D774">
            <v>0</v>
          </cell>
          <cell r="E774">
            <v>0</v>
          </cell>
          <cell r="F774">
            <v>0</v>
          </cell>
          <cell r="G774">
            <v>0</v>
          </cell>
          <cell r="H774">
            <v>0</v>
          </cell>
          <cell r="I774">
            <v>0</v>
          </cell>
          <cell r="J774">
            <v>0</v>
          </cell>
          <cell r="K774">
            <v>0</v>
          </cell>
        </row>
        <row r="775">
          <cell r="A775" t="str">
            <v>-</v>
          </cell>
          <cell r="B775" t="str">
            <v>REAJ.COMP.CART.C/PACTO REVTA.PAG.C.LETRAS AC.1555</v>
          </cell>
          <cell r="C775">
            <v>0</v>
          </cell>
          <cell r="D775">
            <v>0</v>
          </cell>
          <cell r="E775">
            <v>0</v>
          </cell>
          <cell r="F775">
            <v>0</v>
          </cell>
          <cell r="G775">
            <v>0</v>
          </cell>
          <cell r="H775">
            <v>0</v>
          </cell>
          <cell r="I775">
            <v>0</v>
          </cell>
          <cell r="J775">
            <v>0</v>
          </cell>
          <cell r="K775">
            <v>0</v>
          </cell>
        </row>
        <row r="776">
          <cell r="A776" t="str">
            <v>12BHWZN</v>
          </cell>
          <cell r="B776" t="str">
            <v xml:space="preserve">  .PERDIDAS MONETARIAS MN</v>
          </cell>
          <cell r="C776">
            <v>132492</v>
          </cell>
          <cell r="D776">
            <v>266435</v>
          </cell>
          <cell r="E776">
            <v>130419</v>
          </cell>
          <cell r="F776">
            <v>204500</v>
          </cell>
          <cell r="G776">
            <v>155015</v>
          </cell>
          <cell r="H776">
            <v>279386</v>
          </cell>
          <cell r="I776">
            <v>178327</v>
          </cell>
          <cell r="J776">
            <v>257036</v>
          </cell>
          <cell r="K776">
            <v>601702</v>
          </cell>
        </row>
        <row r="777">
          <cell r="A777" t="str">
            <v>13PANZN</v>
          </cell>
          <cell r="B777" t="str">
            <v>REAJUSTES PAGADOS</v>
          </cell>
          <cell r="C777">
            <v>0</v>
          </cell>
          <cell r="D777">
            <v>0</v>
          </cell>
          <cell r="E777">
            <v>0</v>
          </cell>
          <cell r="F777">
            <v>0</v>
          </cell>
          <cell r="G777">
            <v>0</v>
          </cell>
          <cell r="H777">
            <v>0</v>
          </cell>
          <cell r="I777">
            <v>0</v>
          </cell>
          <cell r="J777">
            <v>0</v>
          </cell>
          <cell r="K777">
            <v>0</v>
          </cell>
        </row>
        <row r="778">
          <cell r="A778" t="str">
            <v>13PBNZN</v>
          </cell>
          <cell r="B778" t="str">
            <v xml:space="preserve">REAJUSTES PAGADOS S/OBL.FIS.P.ADM.LC.PROG OI BC </v>
          </cell>
          <cell r="C778">
            <v>0</v>
          </cell>
          <cell r="D778">
            <v>0</v>
          </cell>
          <cell r="E778">
            <v>0</v>
          </cell>
          <cell r="F778">
            <v>0</v>
          </cell>
          <cell r="G778">
            <v>0</v>
          </cell>
          <cell r="H778">
            <v>0</v>
          </cell>
          <cell r="I778">
            <v>0</v>
          </cell>
          <cell r="J778">
            <v>0</v>
          </cell>
          <cell r="K778">
            <v>0</v>
          </cell>
        </row>
        <row r="779">
          <cell r="A779" t="str">
            <v>13PCNZN</v>
          </cell>
          <cell r="B779" t="str">
            <v>REAJUSTES PAGADOS S/OBL.FIS.P.ADM.LC.PROG OI BECH, BBC, BCC,</v>
          </cell>
          <cell r="C779">
            <v>0</v>
          </cell>
          <cell r="D779">
            <v>0</v>
          </cell>
          <cell r="E779">
            <v>0</v>
          </cell>
          <cell r="F779">
            <v>0</v>
          </cell>
          <cell r="G779">
            <v>0</v>
          </cell>
          <cell r="H779">
            <v>0</v>
          </cell>
          <cell r="I779">
            <v>0</v>
          </cell>
          <cell r="J779">
            <v>0</v>
          </cell>
          <cell r="K779">
            <v>0</v>
          </cell>
        </row>
        <row r="780">
          <cell r="A780" t="str">
            <v>13PDNZN</v>
          </cell>
          <cell r="B780" t="str">
            <v>REAJUSTES PAGADOS S/OBL.FIS.P.ADM.LC.PROG OI O.INS</v>
          </cell>
          <cell r="C780">
            <v>0</v>
          </cell>
          <cell r="D780">
            <v>0</v>
          </cell>
          <cell r="E780">
            <v>0</v>
          </cell>
          <cell r="F780">
            <v>0</v>
          </cell>
          <cell r="G780">
            <v>0</v>
          </cell>
          <cell r="H780">
            <v>0</v>
          </cell>
          <cell r="I780">
            <v>0</v>
          </cell>
          <cell r="J780">
            <v>0</v>
          </cell>
          <cell r="K780">
            <v>0</v>
          </cell>
        </row>
        <row r="781">
          <cell r="A781" t="str">
            <v>13PENZN</v>
          </cell>
          <cell r="B781" t="str">
            <v>REAJUSTES PAGADOS S/OBL.FIS.P.ADM.LC.PROG OI INS.S,</v>
          </cell>
          <cell r="C781">
            <v>0</v>
          </cell>
          <cell r="D781">
            <v>0</v>
          </cell>
          <cell r="E781">
            <v>0</v>
          </cell>
          <cell r="F781">
            <v>0</v>
          </cell>
          <cell r="G781">
            <v>0</v>
          </cell>
          <cell r="H781">
            <v>0</v>
          </cell>
          <cell r="I781">
            <v>0</v>
          </cell>
          <cell r="J781">
            <v>0</v>
          </cell>
          <cell r="K781">
            <v>0</v>
          </cell>
        </row>
        <row r="782">
          <cell r="A782" t="str">
            <v>13PFNZN</v>
          </cell>
          <cell r="B782" t="str">
            <v>REAJUSTES PAGADOS POR PRBC SOC.FIN.</v>
          </cell>
          <cell r="C782">
            <v>-180</v>
          </cell>
          <cell r="D782">
            <v>-208</v>
          </cell>
          <cell r="E782">
            <v>-118</v>
          </cell>
          <cell r="F782">
            <v>-79</v>
          </cell>
          <cell r="G782">
            <v>-79</v>
          </cell>
          <cell r="H782">
            <v>-84</v>
          </cell>
          <cell r="I782">
            <v>-86</v>
          </cell>
          <cell r="J782">
            <v>-87</v>
          </cell>
          <cell r="K782">
            <v>-87</v>
          </cell>
        </row>
        <row r="783">
          <cell r="A783" t="str">
            <v>13PGNZN</v>
          </cell>
          <cell r="B783" t="str">
            <v xml:space="preserve">REAJUSTES PAGADOS POR PRBC-INTS.S.ENCAJE </v>
          </cell>
          <cell r="C783">
            <v>33060</v>
          </cell>
          <cell r="D783">
            <v>66689</v>
          </cell>
          <cell r="E783">
            <v>21486</v>
          </cell>
          <cell r="F783">
            <v>-19673</v>
          </cell>
          <cell r="G783">
            <v>-4562</v>
          </cell>
          <cell r="H783">
            <v>-40369</v>
          </cell>
          <cell r="I783">
            <v>-18566</v>
          </cell>
          <cell r="J783">
            <v>-36227</v>
          </cell>
          <cell r="K783">
            <v>-135783</v>
          </cell>
        </row>
        <row r="784">
          <cell r="A784" t="str">
            <v>13PHNZN</v>
          </cell>
          <cell r="B784" t="str">
            <v>REAJUSTES PAGADOS S/DEPOSITOS TESGRAL</v>
          </cell>
          <cell r="C784">
            <v>0</v>
          </cell>
          <cell r="D784">
            <v>0</v>
          </cell>
          <cell r="E784">
            <v>0</v>
          </cell>
          <cell r="F784">
            <v>0</v>
          </cell>
          <cell r="G784">
            <v>0</v>
          </cell>
          <cell r="H784">
            <v>0</v>
          </cell>
          <cell r="I784">
            <v>0</v>
          </cell>
          <cell r="J784">
            <v>0</v>
          </cell>
          <cell r="K784">
            <v>0</v>
          </cell>
        </row>
        <row r="785">
          <cell r="A785" t="str">
            <v>13PINZN</v>
          </cell>
          <cell r="B785" t="str">
            <v xml:space="preserve">REAJUSTES PAGADOS S/PAGARES DIF.CAMBIARIO </v>
          </cell>
          <cell r="C785">
            <v>0</v>
          </cell>
          <cell r="D785">
            <v>0</v>
          </cell>
          <cell r="E785">
            <v>0</v>
          </cell>
          <cell r="F785">
            <v>0</v>
          </cell>
          <cell r="G785">
            <v>0</v>
          </cell>
          <cell r="H785">
            <v>0</v>
          </cell>
          <cell r="I785">
            <v>0</v>
          </cell>
          <cell r="J785">
            <v>0</v>
          </cell>
          <cell r="K785">
            <v>0</v>
          </cell>
        </row>
        <row r="786">
          <cell r="A786" t="str">
            <v>13PJNZN</v>
          </cell>
          <cell r="B786" t="str">
            <v xml:space="preserve">REAJUSTES PAGADOS S/PAGARES BC.LETRAS DE CREDITO </v>
          </cell>
          <cell r="C786">
            <v>0</v>
          </cell>
          <cell r="D786">
            <v>0</v>
          </cell>
          <cell r="E786">
            <v>0</v>
          </cell>
          <cell r="F786">
            <v>0</v>
          </cell>
          <cell r="G786">
            <v>0</v>
          </cell>
          <cell r="H786">
            <v>0</v>
          </cell>
          <cell r="I786">
            <v>0</v>
          </cell>
          <cell r="J786">
            <v>0</v>
          </cell>
          <cell r="K786">
            <v>0</v>
          </cell>
        </row>
        <row r="787">
          <cell r="A787" t="str">
            <v>13PKNZN</v>
          </cell>
          <cell r="B787" t="str">
            <v>REAJUSTES PAGADOS S/PAGARES BC.REPROGRAMAC.DEUDAS</v>
          </cell>
          <cell r="C787">
            <v>0</v>
          </cell>
          <cell r="D787">
            <v>0</v>
          </cell>
          <cell r="E787">
            <v>0</v>
          </cell>
          <cell r="F787">
            <v>0</v>
          </cell>
          <cell r="G787">
            <v>0</v>
          </cell>
          <cell r="H787">
            <v>0</v>
          </cell>
          <cell r="I787">
            <v>0</v>
          </cell>
          <cell r="J787">
            <v>0</v>
          </cell>
          <cell r="K787">
            <v>0</v>
          </cell>
        </row>
        <row r="788">
          <cell r="A788" t="str">
            <v>13PLNZN</v>
          </cell>
          <cell r="B788" t="str">
            <v>REAJUSTES PAGADOS S/PAGARES BC.ADQ.BONOS BANCARIOS</v>
          </cell>
          <cell r="C788">
            <v>0</v>
          </cell>
          <cell r="D788">
            <v>0</v>
          </cell>
          <cell r="E788">
            <v>0</v>
          </cell>
          <cell r="F788">
            <v>0</v>
          </cell>
          <cell r="G788">
            <v>0</v>
          </cell>
          <cell r="H788">
            <v>0</v>
          </cell>
          <cell r="I788">
            <v>0</v>
          </cell>
          <cell r="J788">
            <v>0</v>
          </cell>
          <cell r="K788">
            <v>0</v>
          </cell>
        </row>
        <row r="789">
          <cell r="A789" t="str">
            <v>13PMNZN</v>
          </cell>
          <cell r="B789" t="str">
            <v xml:space="preserve">REAJUSTES PAGADOS S/OBLIGAC.C.BANCO ESTADO </v>
          </cell>
          <cell r="C789">
            <v>0</v>
          </cell>
          <cell r="D789">
            <v>0</v>
          </cell>
          <cell r="E789">
            <v>0</v>
          </cell>
          <cell r="F789">
            <v>0</v>
          </cell>
          <cell r="G789">
            <v>0</v>
          </cell>
          <cell r="H789">
            <v>0</v>
          </cell>
          <cell r="I789">
            <v>0</v>
          </cell>
          <cell r="J789">
            <v>0</v>
          </cell>
          <cell r="K789">
            <v>0</v>
          </cell>
        </row>
        <row r="790">
          <cell r="A790" t="str">
            <v>13PNNZN</v>
          </cell>
          <cell r="B790" t="str">
            <v>REAJUSTES PAGADOS S/PAGARES REPROG.DEUDAS HIPOT.</v>
          </cell>
          <cell r="C790">
            <v>0</v>
          </cell>
          <cell r="D790">
            <v>0</v>
          </cell>
          <cell r="E790">
            <v>0</v>
          </cell>
          <cell r="F790">
            <v>0</v>
          </cell>
          <cell r="G790">
            <v>0</v>
          </cell>
          <cell r="H790">
            <v>0</v>
          </cell>
          <cell r="I790">
            <v>0</v>
          </cell>
          <cell r="J790">
            <v>0</v>
          </cell>
          <cell r="K790">
            <v>0</v>
          </cell>
        </row>
        <row r="791">
          <cell r="A791" t="str">
            <v>13PPNZN</v>
          </cell>
          <cell r="B791" t="str">
            <v xml:space="preserve">REAJUSTES PAGADOS S/LETRAS EM.CPRA.CART.ACDO 1555, </v>
          </cell>
          <cell r="C791">
            <v>0</v>
          </cell>
          <cell r="D791">
            <v>0</v>
          </cell>
          <cell r="E791">
            <v>0</v>
          </cell>
          <cell r="F791">
            <v>0</v>
          </cell>
          <cell r="G791">
            <v>0</v>
          </cell>
          <cell r="H791">
            <v>0</v>
          </cell>
          <cell r="I791">
            <v>0</v>
          </cell>
          <cell r="J791">
            <v>0</v>
          </cell>
          <cell r="K791">
            <v>0</v>
          </cell>
        </row>
        <row r="792">
          <cell r="A792" t="str">
            <v>13PQNZN</v>
          </cell>
          <cell r="B792" t="str">
            <v xml:space="preserve">REAJUSTES PAGADOS S/PAGARES CPRA.CART.ACDO.1555, </v>
          </cell>
          <cell r="C792">
            <v>0</v>
          </cell>
          <cell r="D792">
            <v>0</v>
          </cell>
          <cell r="E792">
            <v>0</v>
          </cell>
          <cell r="F792">
            <v>0</v>
          </cell>
          <cell r="G792">
            <v>0</v>
          </cell>
          <cell r="H792">
            <v>0</v>
          </cell>
          <cell r="I792">
            <v>0</v>
          </cell>
          <cell r="J792">
            <v>0</v>
          </cell>
          <cell r="K792">
            <v>0</v>
          </cell>
        </row>
        <row r="793">
          <cell r="A793" t="str">
            <v>13PRNZN</v>
          </cell>
          <cell r="B793" t="str">
            <v>REAJUSTES PAGADOS S/PAGARES BC REPROG.CREDITO CONS</v>
          </cell>
          <cell r="C793">
            <v>0</v>
          </cell>
          <cell r="D793">
            <v>0</v>
          </cell>
          <cell r="E793">
            <v>0</v>
          </cell>
          <cell r="F793">
            <v>0</v>
          </cell>
          <cell r="G793">
            <v>0</v>
          </cell>
          <cell r="H793">
            <v>0</v>
          </cell>
          <cell r="I793">
            <v>0</v>
          </cell>
          <cell r="J793">
            <v>0</v>
          </cell>
          <cell r="K793">
            <v>0</v>
          </cell>
        </row>
        <row r="794">
          <cell r="A794" t="str">
            <v>13PSNZN</v>
          </cell>
          <cell r="B794" t="str">
            <v xml:space="preserve">REAJUSTES PAGADOS S/DEPOS.REPROG.DEUDAS SEC.PROD., </v>
          </cell>
          <cell r="C794">
            <v>0</v>
          </cell>
          <cell r="D794">
            <v>0</v>
          </cell>
          <cell r="E794">
            <v>0</v>
          </cell>
          <cell r="F794">
            <v>0</v>
          </cell>
          <cell r="G794">
            <v>0</v>
          </cell>
          <cell r="H794">
            <v>0</v>
          </cell>
          <cell r="I794">
            <v>0</v>
          </cell>
          <cell r="J794">
            <v>0</v>
          </cell>
          <cell r="K794">
            <v>0</v>
          </cell>
        </row>
        <row r="795">
          <cell r="A795" t="str">
            <v>13PTNZN</v>
          </cell>
          <cell r="B795" t="str">
            <v xml:space="preserve">REAJUSTES PAGADOS S/PAGARES BC REPR.DEV.SEC.PROD., </v>
          </cell>
          <cell r="C795">
            <v>0</v>
          </cell>
          <cell r="D795">
            <v>0</v>
          </cell>
          <cell r="E795">
            <v>0</v>
          </cell>
          <cell r="F795">
            <v>0</v>
          </cell>
          <cell r="G795">
            <v>0</v>
          </cell>
          <cell r="H795">
            <v>0</v>
          </cell>
          <cell r="I795">
            <v>0</v>
          </cell>
          <cell r="J795">
            <v>0</v>
          </cell>
          <cell r="K795">
            <v>0</v>
          </cell>
        </row>
        <row r="796">
          <cell r="A796" t="str">
            <v>13PXNZN</v>
          </cell>
          <cell r="B796" t="str">
            <v>REVAL.CRED.CITIBANK-CHILE AC.1634</v>
          </cell>
          <cell r="C796">
            <v>0</v>
          </cell>
          <cell r="D796">
            <v>0</v>
          </cell>
          <cell r="E796">
            <v>0</v>
          </cell>
          <cell r="F796">
            <v>0</v>
          </cell>
          <cell r="G796">
            <v>0</v>
          </cell>
          <cell r="H796">
            <v>0</v>
          </cell>
          <cell r="I796">
            <v>0</v>
          </cell>
          <cell r="J796">
            <v>0</v>
          </cell>
          <cell r="K796">
            <v>0</v>
          </cell>
        </row>
        <row r="797">
          <cell r="A797" t="str">
            <v>13PYNZN</v>
          </cell>
          <cell r="B797" t="str">
            <v xml:space="preserve">REAJ.PAG.P.CERTIFICADO DE DEPOSITO AC 1695 </v>
          </cell>
          <cell r="C797">
            <v>0</v>
          </cell>
          <cell r="D797">
            <v>0</v>
          </cell>
          <cell r="E797">
            <v>0</v>
          </cell>
          <cell r="F797">
            <v>0</v>
          </cell>
          <cell r="G797">
            <v>0</v>
          </cell>
          <cell r="H797">
            <v>0</v>
          </cell>
          <cell r="I797">
            <v>0</v>
          </cell>
          <cell r="J797">
            <v>0</v>
          </cell>
          <cell r="K797">
            <v>0</v>
          </cell>
        </row>
        <row r="798">
          <cell r="A798" t="str">
            <v>13EHNZN</v>
          </cell>
          <cell r="B798" t="str">
            <v>REVALORIZ.TIT.RECON.DEUDA CAP.19 C.CAMB.INTERN.</v>
          </cell>
          <cell r="C798">
            <v>0</v>
          </cell>
          <cell r="D798">
            <v>0</v>
          </cell>
          <cell r="E798">
            <v>0</v>
          </cell>
          <cell r="F798">
            <v>0</v>
          </cell>
          <cell r="G798">
            <v>0</v>
          </cell>
          <cell r="H798">
            <v>0</v>
          </cell>
          <cell r="I798">
            <v>0</v>
          </cell>
          <cell r="J798">
            <v>0</v>
          </cell>
          <cell r="K798">
            <v>0</v>
          </cell>
        </row>
        <row r="799">
          <cell r="A799" t="str">
            <v>13EJNZN</v>
          </cell>
          <cell r="B799" t="str">
            <v>REAJ.PAG.P/CERTIF.EXPRESADOS EN UF ACDO.1691</v>
          </cell>
          <cell r="C799">
            <v>0</v>
          </cell>
          <cell r="D799">
            <v>0</v>
          </cell>
          <cell r="E799">
            <v>0</v>
          </cell>
          <cell r="F799">
            <v>0</v>
          </cell>
          <cell r="G799">
            <v>0</v>
          </cell>
          <cell r="H799">
            <v>0</v>
          </cell>
          <cell r="I799">
            <v>0</v>
          </cell>
          <cell r="J799">
            <v>0</v>
          </cell>
          <cell r="K799">
            <v>0</v>
          </cell>
        </row>
        <row r="800">
          <cell r="A800" t="str">
            <v>13EKNZN</v>
          </cell>
          <cell r="B800" t="str">
            <v xml:space="preserve">REAJ.PAG.S/OBLIG.P/CONV.DE CRED.REDEN.AC.1674 </v>
          </cell>
          <cell r="C800">
            <v>0</v>
          </cell>
          <cell r="D800">
            <v>0</v>
          </cell>
          <cell r="E800">
            <v>0</v>
          </cell>
          <cell r="F800">
            <v>0</v>
          </cell>
          <cell r="G800">
            <v>0</v>
          </cell>
          <cell r="H800">
            <v>0</v>
          </cell>
          <cell r="I800">
            <v>0</v>
          </cell>
          <cell r="J800">
            <v>0</v>
          </cell>
          <cell r="K800">
            <v>0</v>
          </cell>
        </row>
        <row r="801">
          <cell r="A801" t="str">
            <v>13ELNZN</v>
          </cell>
          <cell r="B801" t="str">
            <v>REAJ.PAG.S/PAGARES BC REPROG.DEUD.INST.FIN.LIQ.158,</v>
          </cell>
          <cell r="C801">
            <v>0</v>
          </cell>
          <cell r="D801">
            <v>0</v>
          </cell>
          <cell r="E801">
            <v>0</v>
          </cell>
          <cell r="F801">
            <v>0</v>
          </cell>
          <cell r="G801">
            <v>0</v>
          </cell>
          <cell r="H801">
            <v>0</v>
          </cell>
          <cell r="I801">
            <v>0</v>
          </cell>
          <cell r="J801">
            <v>0</v>
          </cell>
          <cell r="K801">
            <v>0</v>
          </cell>
        </row>
        <row r="802">
          <cell r="A802" t="str">
            <v>13EMNZN</v>
          </cell>
          <cell r="B802" t="str">
            <v xml:space="preserve">REAJ.PAG.POR DEPOSITOS PARA RESERVA TECNICA, </v>
          </cell>
          <cell r="C802">
            <v>0</v>
          </cell>
          <cell r="D802">
            <v>0</v>
          </cell>
          <cell r="E802">
            <v>0</v>
          </cell>
          <cell r="F802">
            <v>0</v>
          </cell>
          <cell r="G802">
            <v>0</v>
          </cell>
          <cell r="H802">
            <v>0</v>
          </cell>
          <cell r="I802">
            <v>0</v>
          </cell>
          <cell r="J802">
            <v>0</v>
          </cell>
          <cell r="K802">
            <v>0</v>
          </cell>
        </row>
        <row r="803">
          <cell r="A803" t="str">
            <v>13ENNZN</v>
          </cell>
          <cell r="B803" t="str">
            <v xml:space="preserve">REAJ.PAG.P/EFECTOS DE COMERCIO REDENOM.TIT.DEU.EXT, </v>
          </cell>
          <cell r="C803">
            <v>-350</v>
          </cell>
          <cell r="D803">
            <v>-405</v>
          </cell>
          <cell r="E803">
            <v>264</v>
          </cell>
          <cell r="F803">
            <v>1455</v>
          </cell>
          <cell r="G803">
            <v>1776</v>
          </cell>
          <cell r="H803">
            <v>1433</v>
          </cell>
          <cell r="I803">
            <v>1301</v>
          </cell>
          <cell r="J803">
            <v>1224</v>
          </cell>
          <cell r="K803">
            <v>1344</v>
          </cell>
        </row>
        <row r="804">
          <cell r="A804" t="str">
            <v>13EPNZN</v>
          </cell>
          <cell r="B804" t="str">
            <v xml:space="preserve">REAJ.PAG.P.PAGARES REAJ.TASA DE INTERES FLOTANTE </v>
          </cell>
          <cell r="C804">
            <v>-2</v>
          </cell>
          <cell r="D804">
            <v>-3</v>
          </cell>
          <cell r="E804">
            <v>2</v>
          </cell>
          <cell r="F804">
            <v>8</v>
          </cell>
          <cell r="G804">
            <v>9</v>
          </cell>
          <cell r="H804">
            <v>8</v>
          </cell>
          <cell r="I804">
            <v>8</v>
          </cell>
          <cell r="J804">
            <v>8</v>
          </cell>
          <cell r="K804">
            <v>8</v>
          </cell>
        </row>
        <row r="805">
          <cell r="A805" t="str">
            <v>13EQNZN</v>
          </cell>
          <cell r="B805" t="str">
            <v>REAJ.PAG.DE C/DEL BANCO POR SALDOS EN CTAS.ESP</v>
          </cell>
          <cell r="C805">
            <v>-335</v>
          </cell>
          <cell r="D805">
            <v>-387</v>
          </cell>
          <cell r="E805">
            <v>253</v>
          </cell>
          <cell r="F805">
            <v>1404</v>
          </cell>
          <cell r="G805">
            <v>1743</v>
          </cell>
          <cell r="H805">
            <v>1743</v>
          </cell>
          <cell r="I805">
            <v>1743</v>
          </cell>
          <cell r="J805">
            <v>1743</v>
          </cell>
          <cell r="K805">
            <v>1743</v>
          </cell>
        </row>
        <row r="806">
          <cell r="A806" t="str">
            <v>13ERNZN</v>
          </cell>
          <cell r="B806" t="str">
            <v>REAJ.PAG.POR PAGARES EN UF ACDO.1836</v>
          </cell>
          <cell r="C806">
            <v>-523</v>
          </cell>
          <cell r="D806">
            <v>-602</v>
          </cell>
          <cell r="E806">
            <v>375</v>
          </cell>
          <cell r="F806">
            <v>418</v>
          </cell>
          <cell r="G806">
            <v>418</v>
          </cell>
          <cell r="H806">
            <v>418</v>
          </cell>
          <cell r="I806">
            <v>418</v>
          </cell>
          <cell r="J806">
            <v>418</v>
          </cell>
          <cell r="K806">
            <v>418</v>
          </cell>
        </row>
        <row r="807">
          <cell r="A807" t="str">
            <v>13ETNZN</v>
          </cell>
          <cell r="B807" t="str">
            <v>REAJ.PAG.P/DEP.A PLAZO EN UF BECH AC.1868</v>
          </cell>
          <cell r="C807">
            <v>0</v>
          </cell>
          <cell r="D807">
            <v>0</v>
          </cell>
          <cell r="E807">
            <v>0</v>
          </cell>
          <cell r="F807">
            <v>0</v>
          </cell>
          <cell r="G807">
            <v>0</v>
          </cell>
          <cell r="H807">
            <v>0</v>
          </cell>
          <cell r="I807">
            <v>0</v>
          </cell>
          <cell r="J807">
            <v>0</v>
          </cell>
          <cell r="K807">
            <v>0</v>
          </cell>
        </row>
        <row r="808">
          <cell r="A808" t="str">
            <v>13EUNZN</v>
          </cell>
          <cell r="B808" t="str">
            <v xml:space="preserve">REAJ.PAG.S/PAGARES REAJUSTABLES C.PAGO CUPONES PRC, </v>
          </cell>
          <cell r="C808">
            <v>80179</v>
          </cell>
          <cell r="D808">
            <v>162508</v>
          </cell>
          <cell r="E808">
            <v>79647</v>
          </cell>
          <cell r="F808">
            <v>45278</v>
          </cell>
          <cell r="G808">
            <v>77314</v>
          </cell>
          <cell r="H808">
            <v>13437</v>
          </cell>
          <cell r="I808">
            <v>38375</v>
          </cell>
          <cell r="J808">
            <v>11804</v>
          </cell>
          <cell r="K808">
            <v>-103730</v>
          </cell>
        </row>
        <row r="809">
          <cell r="A809" t="str">
            <v>13EZNZN</v>
          </cell>
          <cell r="B809" t="str">
            <v xml:space="preserve">REAJ.POR PAGAR S/PAGARES UF BECH.DEUD.ASUM.DE BUF, </v>
          </cell>
          <cell r="C809">
            <v>0</v>
          </cell>
          <cell r="D809">
            <v>0</v>
          </cell>
          <cell r="E809">
            <v>0</v>
          </cell>
          <cell r="F809">
            <v>0</v>
          </cell>
          <cell r="G809">
            <v>0</v>
          </cell>
          <cell r="H809">
            <v>0</v>
          </cell>
          <cell r="I809">
            <v>0</v>
          </cell>
          <cell r="J809">
            <v>0</v>
          </cell>
          <cell r="K809">
            <v>0</v>
          </cell>
        </row>
        <row r="810">
          <cell r="A810" t="str">
            <v>13PZNZN</v>
          </cell>
          <cell r="B810" t="str">
            <v xml:space="preserve">REAJ.PAGADOS POR SALDO PRECIO EXPRESADO EN US$ 162, </v>
          </cell>
          <cell r="C810">
            <v>0</v>
          </cell>
          <cell r="D810">
            <v>0</v>
          </cell>
          <cell r="E810">
            <v>0</v>
          </cell>
          <cell r="F810">
            <v>0</v>
          </cell>
          <cell r="G810">
            <v>0</v>
          </cell>
          <cell r="H810">
            <v>0</v>
          </cell>
          <cell r="I810">
            <v>0</v>
          </cell>
          <cell r="J810">
            <v>0</v>
          </cell>
          <cell r="K810">
            <v>0</v>
          </cell>
        </row>
        <row r="811">
          <cell r="A811" t="str">
            <v>13QBNZN</v>
          </cell>
          <cell r="B811" t="str">
            <v xml:space="preserve">REAJ.PAG.ACUERDO MARCO SOBRE MEDIO AMBIENTE, BBC, </v>
          </cell>
          <cell r="C811">
            <v>736</v>
          </cell>
          <cell r="D811">
            <v>969</v>
          </cell>
          <cell r="E811">
            <v>651</v>
          </cell>
          <cell r="F811">
            <v>752</v>
          </cell>
          <cell r="G811">
            <v>752</v>
          </cell>
          <cell r="H811">
            <v>752</v>
          </cell>
          <cell r="I811">
            <v>752</v>
          </cell>
          <cell r="J811">
            <v>752</v>
          </cell>
          <cell r="K811">
            <v>752</v>
          </cell>
        </row>
        <row r="812">
          <cell r="A812" t="str">
            <v>13PUNZN</v>
          </cell>
          <cell r="B812" t="str">
            <v>PERDIDAS CAMBIO MONETARIAS</v>
          </cell>
          <cell r="C812">
            <v>17750</v>
          </cell>
          <cell r="D812">
            <v>33270</v>
          </cell>
          <cell r="E812">
            <v>17693</v>
          </cell>
          <cell r="F812">
            <v>152519</v>
          </cell>
          <cell r="G812">
            <v>55394</v>
          </cell>
          <cell r="H812">
            <v>280524</v>
          </cell>
          <cell r="I812">
            <v>133159</v>
          </cell>
          <cell r="J812">
            <v>253983</v>
          </cell>
          <cell r="K812">
            <v>808816</v>
          </cell>
        </row>
        <row r="813">
          <cell r="A813" t="str">
            <v>13PVNZN</v>
          </cell>
          <cell r="B813" t="str">
            <v>PROD.REVAL.CTAS.C.ORG.INTER.</v>
          </cell>
          <cell r="C813">
            <v>0</v>
          </cell>
          <cell r="D813">
            <v>0</v>
          </cell>
          <cell r="E813">
            <v>0</v>
          </cell>
          <cell r="F813">
            <v>0</v>
          </cell>
          <cell r="G813">
            <v>0</v>
          </cell>
          <cell r="H813">
            <v>1246</v>
          </cell>
          <cell r="I813">
            <v>0</v>
          </cell>
          <cell r="J813">
            <v>1701</v>
          </cell>
          <cell r="K813">
            <v>3890</v>
          </cell>
        </row>
        <row r="814">
          <cell r="A814" t="str">
            <v>13PWNZN</v>
          </cell>
          <cell r="B814" t="str">
            <v>CORRECCION MONETARIA DEBE</v>
          </cell>
          <cell r="C814">
            <v>2157</v>
          </cell>
          <cell r="D814">
            <v>4604</v>
          </cell>
          <cell r="E814">
            <v>10166</v>
          </cell>
          <cell r="F814">
            <v>22418</v>
          </cell>
          <cell r="G814">
            <v>22250</v>
          </cell>
          <cell r="H814">
            <v>20278</v>
          </cell>
          <cell r="I814">
            <v>21223</v>
          </cell>
          <cell r="J814">
            <v>21717</v>
          </cell>
          <cell r="K814">
            <v>24331</v>
          </cell>
        </row>
        <row r="815">
          <cell r="A815" t="str">
            <v>13ESNZN</v>
          </cell>
          <cell r="B815" t="str">
            <v>PERDIDAS</v>
          </cell>
          <cell r="C815">
            <v>0</v>
          </cell>
          <cell r="D815">
            <v>0</v>
          </cell>
          <cell r="E815">
            <v>0</v>
          </cell>
          <cell r="F815">
            <v>0</v>
          </cell>
          <cell r="G815">
            <v>0</v>
          </cell>
          <cell r="H815">
            <v>0</v>
          </cell>
          <cell r="I815">
            <v>0</v>
          </cell>
          <cell r="J815">
            <v>0</v>
          </cell>
          <cell r="K815">
            <v>0</v>
          </cell>
        </row>
        <row r="816">
          <cell r="A816" t="str">
            <v>12BIWZN</v>
          </cell>
          <cell r="B816" t="str">
            <v xml:space="preserve">  .OTROS ACTIVOS M/N</v>
          </cell>
          <cell r="C816">
            <v>88777</v>
          </cell>
          <cell r="D816">
            <v>161789</v>
          </cell>
          <cell r="E816">
            <v>236559</v>
          </cell>
          <cell r="F816">
            <v>310794</v>
          </cell>
          <cell r="G816">
            <v>389934</v>
          </cell>
          <cell r="H816">
            <v>457116</v>
          </cell>
          <cell r="I816">
            <v>532048</v>
          </cell>
          <cell r="J816">
            <v>601989</v>
          </cell>
          <cell r="K816">
            <v>742202</v>
          </cell>
        </row>
        <row r="817">
          <cell r="A817" t="str">
            <v>12BJWZN</v>
          </cell>
          <cell r="B817" t="str">
            <v xml:space="preserve"> . .GASTOS DE OPERACIÓN M/N</v>
          </cell>
          <cell r="C817">
            <v>87285</v>
          </cell>
          <cell r="D817">
            <v>159286</v>
          </cell>
          <cell r="E817">
            <v>232090</v>
          </cell>
          <cell r="F817">
            <v>303975</v>
          </cell>
          <cell r="G817">
            <v>381511</v>
          </cell>
          <cell r="H817">
            <v>447278</v>
          </cell>
          <cell r="I817">
            <v>519937</v>
          </cell>
          <cell r="J817">
            <v>587900</v>
          </cell>
          <cell r="K817">
            <v>726283</v>
          </cell>
        </row>
        <row r="818">
          <cell r="A818" t="str">
            <v>12BKWZN</v>
          </cell>
          <cell r="B818" t="str">
            <v xml:space="preserve"> .. GASTOS APOYO OPERACIONAL M/N</v>
          </cell>
          <cell r="C818">
            <v>1492</v>
          </cell>
          <cell r="D818">
            <v>2503</v>
          </cell>
          <cell r="E818">
            <v>4469</v>
          </cell>
          <cell r="F818">
            <v>6819</v>
          </cell>
          <cell r="G818">
            <v>8423</v>
          </cell>
          <cell r="H818">
            <v>9838</v>
          </cell>
          <cell r="I818">
            <v>12111</v>
          </cell>
          <cell r="J818">
            <v>14089</v>
          </cell>
          <cell r="K818">
            <v>15919</v>
          </cell>
        </row>
        <row r="819">
          <cell r="A819" t="str">
            <v>12BIXZN</v>
          </cell>
          <cell r="B819" t="str">
            <v xml:space="preserve">  .OTROS ACTIVOS M/E</v>
          </cell>
          <cell r="C819">
            <v>5110</v>
          </cell>
          <cell r="D819">
            <v>4985</v>
          </cell>
          <cell r="E819">
            <v>12423</v>
          </cell>
          <cell r="F819">
            <v>17537</v>
          </cell>
          <cell r="G819">
            <v>16267</v>
          </cell>
          <cell r="H819">
            <v>24431</v>
          </cell>
          <cell r="I819">
            <v>62768</v>
          </cell>
          <cell r="J819">
            <v>67567</v>
          </cell>
          <cell r="K819">
            <v>48849</v>
          </cell>
        </row>
        <row r="820">
          <cell r="A820" t="str">
            <v>12BJXZN</v>
          </cell>
          <cell r="B820" t="str">
            <v xml:space="preserve">  .  .GASTOS DE OPERACIÓN M/E</v>
          </cell>
          <cell r="C820">
            <v>4942</v>
          </cell>
          <cell r="D820">
            <v>4697</v>
          </cell>
          <cell r="E820">
            <v>12203</v>
          </cell>
          <cell r="F820">
            <v>17033</v>
          </cell>
          <cell r="G820">
            <v>15811</v>
          </cell>
          <cell r="H820">
            <v>23538</v>
          </cell>
          <cell r="I820">
            <v>60053</v>
          </cell>
          <cell r="J820">
            <v>64864</v>
          </cell>
          <cell r="K820">
            <v>47582</v>
          </cell>
        </row>
        <row r="821">
          <cell r="A821" t="str">
            <v>12BKXZN</v>
          </cell>
          <cell r="B821" t="str">
            <v xml:space="preserve">  .  .GASTOS APOYO OPERACIONAL M/E</v>
          </cell>
          <cell r="C821">
            <v>168</v>
          </cell>
          <cell r="D821">
            <v>288</v>
          </cell>
          <cell r="E821">
            <v>220</v>
          </cell>
          <cell r="F821">
            <v>504</v>
          </cell>
          <cell r="G821">
            <v>456</v>
          </cell>
          <cell r="H821">
            <v>893</v>
          </cell>
          <cell r="I821">
            <v>2715</v>
          </cell>
          <cell r="J821">
            <v>2703</v>
          </cell>
          <cell r="K821">
            <v>1267</v>
          </cell>
        </row>
        <row r="822">
          <cell r="A822" t="str">
            <v>17S .ZN</v>
          </cell>
          <cell r="B822" t="str">
            <v>P A S I V O S</v>
          </cell>
          <cell r="C822">
            <v>37125901</v>
          </cell>
          <cell r="D822">
            <v>38047866</v>
          </cell>
          <cell r="E822">
            <v>36798617</v>
          </cell>
          <cell r="F822">
            <v>35621949</v>
          </cell>
          <cell r="G822">
            <v>35910882</v>
          </cell>
          <cell r="H822">
            <v>35001873</v>
          </cell>
          <cell r="I822">
            <v>35119459</v>
          </cell>
          <cell r="J822">
            <v>34767781</v>
          </cell>
          <cell r="K822">
            <v>34077292</v>
          </cell>
        </row>
        <row r="823">
          <cell r="A823" t="str">
            <v>14BAWZN</v>
          </cell>
          <cell r="B823" t="str">
            <v xml:space="preserve">  .PASIVOS C/EXTERIOR MN</v>
          </cell>
          <cell r="C823">
            <v>820322</v>
          </cell>
          <cell r="D823">
            <v>838287</v>
          </cell>
          <cell r="E823">
            <v>810904</v>
          </cell>
          <cell r="F823">
            <v>462730</v>
          </cell>
          <cell r="G823">
            <v>488737</v>
          </cell>
          <cell r="H823">
            <v>501250</v>
          </cell>
          <cell r="I823">
            <v>455005</v>
          </cell>
          <cell r="J823">
            <v>446217</v>
          </cell>
          <cell r="K823">
            <v>402426</v>
          </cell>
        </row>
        <row r="824">
          <cell r="A824" t="str">
            <v>17CCEZN</v>
          </cell>
          <cell r="B824" t="str">
            <v xml:space="preserve">FONDO MONETARIO INTERNACIONAL (CREDITOS) </v>
          </cell>
          <cell r="C824">
            <v>0</v>
          </cell>
          <cell r="D824">
            <v>0</v>
          </cell>
          <cell r="E824">
            <v>0</v>
          </cell>
          <cell r="F824">
            <v>0</v>
          </cell>
          <cell r="G824">
            <v>0</v>
          </cell>
          <cell r="H824">
            <v>0</v>
          </cell>
          <cell r="I824">
            <v>0</v>
          </cell>
          <cell r="J824">
            <v>0</v>
          </cell>
          <cell r="K824">
            <v>0</v>
          </cell>
        </row>
        <row r="825">
          <cell r="A825" t="str">
            <v>-</v>
          </cell>
          <cell r="B825" t="str">
            <v xml:space="preserve">FONDO MONETARIO INTERNACIONAL (CREDITOS) </v>
          </cell>
          <cell r="C825">
            <v>0</v>
          </cell>
          <cell r="D825">
            <v>0</v>
          </cell>
          <cell r="E825">
            <v>0</v>
          </cell>
          <cell r="F825">
            <v>0</v>
          </cell>
          <cell r="G825">
            <v>0</v>
          </cell>
          <cell r="H825">
            <v>0</v>
          </cell>
          <cell r="I825">
            <v>0</v>
          </cell>
          <cell r="J825">
            <v>0</v>
          </cell>
          <cell r="K825">
            <v>0</v>
          </cell>
        </row>
        <row r="826">
          <cell r="A826" t="str">
            <v>-</v>
          </cell>
          <cell r="B826" t="str">
            <v>DEPOSITOS A PLAZO DE BCOS DEL EXTERIOR,</v>
          </cell>
          <cell r="C826">
            <v>0</v>
          </cell>
          <cell r="D826">
            <v>0</v>
          </cell>
          <cell r="E826">
            <v>0</v>
          </cell>
          <cell r="F826">
            <v>0</v>
          </cell>
          <cell r="G826">
            <v>0</v>
          </cell>
          <cell r="H826">
            <v>0</v>
          </cell>
          <cell r="I826">
            <v>0</v>
          </cell>
          <cell r="J826">
            <v>0</v>
          </cell>
          <cell r="K826">
            <v>0</v>
          </cell>
        </row>
        <row r="827">
          <cell r="A827" t="str">
            <v>-</v>
          </cell>
          <cell r="B827" t="str">
            <v>DESC.BONOS GOB-INST-EXT</v>
          </cell>
          <cell r="C827">
            <v>0</v>
          </cell>
          <cell r="D827">
            <v>0</v>
          </cell>
          <cell r="E827">
            <v>0</v>
          </cell>
          <cell r="F827">
            <v>0</v>
          </cell>
          <cell r="G827">
            <v>0</v>
          </cell>
          <cell r="H827">
            <v>0</v>
          </cell>
          <cell r="I827">
            <v>0</v>
          </cell>
          <cell r="J827">
            <v>0</v>
          </cell>
          <cell r="K827">
            <v>0</v>
          </cell>
        </row>
        <row r="828">
          <cell r="A828" t="str">
            <v>-</v>
          </cell>
          <cell r="B828" t="str">
            <v>DESCTO.S/CERT.DEP.BC.EXTRJ.</v>
          </cell>
          <cell r="C828">
            <v>0</v>
          </cell>
          <cell r="D828">
            <v>0</v>
          </cell>
          <cell r="E828">
            <v>0</v>
          </cell>
          <cell r="F828">
            <v>0</v>
          </cell>
          <cell r="G828">
            <v>0</v>
          </cell>
          <cell r="H828">
            <v>0</v>
          </cell>
          <cell r="I828">
            <v>0</v>
          </cell>
          <cell r="J828">
            <v>0</v>
          </cell>
          <cell r="K828">
            <v>0</v>
          </cell>
        </row>
        <row r="829">
          <cell r="A829" t="str">
            <v>-</v>
          </cell>
          <cell r="B829" t="str">
            <v>DESC.S/CERTIF.SCHULDSCHEIND.</v>
          </cell>
          <cell r="C829">
            <v>0</v>
          </cell>
          <cell r="D829">
            <v>0</v>
          </cell>
          <cell r="E829">
            <v>0</v>
          </cell>
          <cell r="F829">
            <v>0</v>
          </cell>
          <cell r="G829">
            <v>0</v>
          </cell>
          <cell r="H829">
            <v>0</v>
          </cell>
          <cell r="I829">
            <v>0</v>
          </cell>
          <cell r="J829">
            <v>0</v>
          </cell>
          <cell r="K829">
            <v>0</v>
          </cell>
        </row>
        <row r="830">
          <cell r="A830" t="str">
            <v>-</v>
          </cell>
          <cell r="B830" t="str">
            <v>DESCUENTO SOBRE PAGARES Y LETRAS</v>
          </cell>
          <cell r="C830">
            <v>0</v>
          </cell>
          <cell r="D830">
            <v>0</v>
          </cell>
          <cell r="E830">
            <v>0</v>
          </cell>
          <cell r="F830">
            <v>0</v>
          </cell>
          <cell r="G830">
            <v>0</v>
          </cell>
          <cell r="H830">
            <v>0</v>
          </cell>
          <cell r="I830">
            <v>0</v>
          </cell>
          <cell r="J830">
            <v>0</v>
          </cell>
          <cell r="K830">
            <v>0</v>
          </cell>
        </row>
        <row r="831">
          <cell r="A831" t="str">
            <v>-</v>
          </cell>
          <cell r="B831" t="str">
            <v xml:space="preserve">DESC. S/LET.DEL TESORO DE GOB. EXTRANJEROS </v>
          </cell>
          <cell r="C831">
            <v>0</v>
          </cell>
          <cell r="D831">
            <v>0</v>
          </cell>
          <cell r="E831">
            <v>0</v>
          </cell>
          <cell r="F831">
            <v>0</v>
          </cell>
          <cell r="G831">
            <v>0</v>
          </cell>
          <cell r="H831">
            <v>0</v>
          </cell>
          <cell r="I831">
            <v>0</v>
          </cell>
          <cell r="J831">
            <v>0</v>
          </cell>
          <cell r="K831">
            <v>0</v>
          </cell>
        </row>
        <row r="832">
          <cell r="A832" t="str">
            <v>-</v>
          </cell>
          <cell r="B832" t="str">
            <v xml:space="preserve">DESCUENTOS SOBRE CERTIFICADOS DE DEPOSITOS </v>
          </cell>
          <cell r="C832">
            <v>0</v>
          </cell>
          <cell r="D832">
            <v>0</v>
          </cell>
          <cell r="E832">
            <v>0</v>
          </cell>
          <cell r="F832">
            <v>0</v>
          </cell>
          <cell r="G832">
            <v>0</v>
          </cell>
          <cell r="H832">
            <v>0</v>
          </cell>
          <cell r="I832">
            <v>0</v>
          </cell>
          <cell r="J832">
            <v>0</v>
          </cell>
          <cell r="K832">
            <v>0</v>
          </cell>
        </row>
        <row r="833">
          <cell r="A833" t="str">
            <v>-</v>
          </cell>
          <cell r="B833" t="str">
            <v xml:space="preserve">AJUSTE A VALOR MERCADO DE INVERSIONES EN EL EXTERI, </v>
          </cell>
          <cell r="C833">
            <v>0</v>
          </cell>
          <cell r="D833">
            <v>0</v>
          </cell>
          <cell r="E833">
            <v>0</v>
          </cell>
          <cell r="F833">
            <v>0</v>
          </cell>
          <cell r="G833">
            <v>0</v>
          </cell>
          <cell r="H833">
            <v>0</v>
          </cell>
          <cell r="I833">
            <v>0</v>
          </cell>
          <cell r="J833">
            <v>0</v>
          </cell>
          <cell r="K833">
            <v>0</v>
          </cell>
        </row>
        <row r="834">
          <cell r="A834" t="str">
            <v>17BWNZN</v>
          </cell>
          <cell r="B834" t="str">
            <v>CORREC MONETARIA PROV TENENCIAS PLATA HABER,</v>
          </cell>
          <cell r="C834">
            <v>0</v>
          </cell>
          <cell r="D834">
            <v>0</v>
          </cell>
          <cell r="E834">
            <v>0</v>
          </cell>
          <cell r="F834">
            <v>0</v>
          </cell>
          <cell r="G834">
            <v>0</v>
          </cell>
          <cell r="H834">
            <v>0</v>
          </cell>
          <cell r="I834">
            <v>0</v>
          </cell>
          <cell r="J834">
            <v>0</v>
          </cell>
          <cell r="K834">
            <v>0</v>
          </cell>
        </row>
        <row r="835">
          <cell r="A835" t="str">
            <v>17CBEZN</v>
          </cell>
          <cell r="B835" t="str">
            <v>FONDO MONETARIO INTERNACIONAL (DEPOSITOS)</v>
          </cell>
          <cell r="C835">
            <v>820322</v>
          </cell>
          <cell r="D835">
            <v>838287</v>
          </cell>
          <cell r="E835">
            <v>810904</v>
          </cell>
          <cell r="F835">
            <v>462730</v>
          </cell>
          <cell r="G835">
            <v>488737</v>
          </cell>
          <cell r="H835">
            <v>501250</v>
          </cell>
          <cell r="I835">
            <v>455005</v>
          </cell>
          <cell r="J835">
            <v>446217</v>
          </cell>
          <cell r="K835">
            <v>402426</v>
          </cell>
        </row>
        <row r="836">
          <cell r="A836" t="str">
            <v>14BAXZN</v>
          </cell>
          <cell r="B836" t="str">
            <v xml:space="preserve">  .PASIVOS C/EXTERIOR ME</v>
          </cell>
          <cell r="C836">
            <v>22721</v>
          </cell>
          <cell r="D836">
            <v>20051</v>
          </cell>
          <cell r="E836">
            <v>23173</v>
          </cell>
          <cell r="F836">
            <v>25549</v>
          </cell>
          <cell r="G836">
            <v>16208</v>
          </cell>
          <cell r="H836">
            <v>20769</v>
          </cell>
          <cell r="I836">
            <v>60200</v>
          </cell>
          <cell r="J836">
            <v>51914</v>
          </cell>
          <cell r="K836">
            <v>23938</v>
          </cell>
        </row>
        <row r="837">
          <cell r="A837" t="str">
            <v>-</v>
          </cell>
          <cell r="B837" t="str">
            <v xml:space="preserve">FONDO MONETARIO INTERNACIONAL (CREDITOS) </v>
          </cell>
          <cell r="C837">
            <v>0</v>
          </cell>
          <cell r="D837">
            <v>0</v>
          </cell>
          <cell r="E837">
            <v>0</v>
          </cell>
          <cell r="F837">
            <v>0</v>
          </cell>
          <cell r="G837">
            <v>0</v>
          </cell>
          <cell r="H837">
            <v>0</v>
          </cell>
          <cell r="I837">
            <v>0</v>
          </cell>
          <cell r="J837">
            <v>0</v>
          </cell>
          <cell r="K837">
            <v>0</v>
          </cell>
        </row>
        <row r="838">
          <cell r="A838" t="str">
            <v>16ANEZN</v>
          </cell>
          <cell r="B838" t="str">
            <v>CONV.RECIPROCOS CREDIT</v>
          </cell>
          <cell r="C838">
            <v>3282</v>
          </cell>
          <cell r="D838">
            <v>3813</v>
          </cell>
          <cell r="E838">
            <v>4710</v>
          </cell>
          <cell r="F838">
            <v>6628</v>
          </cell>
          <cell r="G838">
            <v>1613</v>
          </cell>
          <cell r="H838">
            <v>2663</v>
          </cell>
          <cell r="I838">
            <v>3932</v>
          </cell>
          <cell r="J838">
            <v>6932</v>
          </cell>
          <cell r="K838">
            <v>1297</v>
          </cell>
        </row>
        <row r="839">
          <cell r="A839" t="str">
            <v>15HIEZN</v>
          </cell>
          <cell r="B839" t="str">
            <v>DEPOSITOS A PLAZO DE BCOS DEL EXTERIOR</v>
          </cell>
          <cell r="C839">
            <v>0</v>
          </cell>
          <cell r="D839">
            <v>0</v>
          </cell>
          <cell r="E839">
            <v>0</v>
          </cell>
          <cell r="F839">
            <v>0</v>
          </cell>
          <cell r="G839">
            <v>0</v>
          </cell>
          <cell r="H839">
            <v>0</v>
          </cell>
          <cell r="I839">
            <v>0</v>
          </cell>
          <cell r="J839">
            <v>0</v>
          </cell>
          <cell r="K839">
            <v>0</v>
          </cell>
        </row>
        <row r="840">
          <cell r="A840" t="str">
            <v>17BPEZN</v>
          </cell>
          <cell r="B840" t="str">
            <v>DESC.BONOS GOB-INST-EXT</v>
          </cell>
          <cell r="C840">
            <v>16304</v>
          </cell>
          <cell r="D840">
            <v>15750</v>
          </cell>
          <cell r="E840">
            <v>15153</v>
          </cell>
          <cell r="F840">
            <v>14254</v>
          </cell>
          <cell r="G840">
            <v>14073</v>
          </cell>
          <cell r="H840">
            <v>12248</v>
          </cell>
          <cell r="I840">
            <v>19888</v>
          </cell>
          <cell r="J840">
            <v>17322</v>
          </cell>
          <cell r="K840">
            <v>16456</v>
          </cell>
        </row>
        <row r="841">
          <cell r="A841" t="str">
            <v>17BREZN</v>
          </cell>
          <cell r="B841" t="str">
            <v>DESCTO.S/CERT.DEP.BC.EXTRJ.</v>
          </cell>
          <cell r="C841">
            <v>0</v>
          </cell>
          <cell r="D841">
            <v>0</v>
          </cell>
          <cell r="E841">
            <v>0</v>
          </cell>
          <cell r="F841">
            <v>0</v>
          </cell>
          <cell r="G841">
            <v>0</v>
          </cell>
          <cell r="H841">
            <v>0</v>
          </cell>
          <cell r="I841">
            <v>0</v>
          </cell>
          <cell r="J841">
            <v>0</v>
          </cell>
          <cell r="K841">
            <v>0</v>
          </cell>
        </row>
        <row r="842">
          <cell r="A842" t="str">
            <v>17BSEZN</v>
          </cell>
          <cell r="B842" t="str">
            <v>DESC.S/CERTIF.SCHULDSCHEIND.</v>
          </cell>
          <cell r="C842">
            <v>0</v>
          </cell>
          <cell r="D842">
            <v>0</v>
          </cell>
          <cell r="E842">
            <v>0</v>
          </cell>
          <cell r="F842">
            <v>0</v>
          </cell>
          <cell r="G842">
            <v>0</v>
          </cell>
          <cell r="H842">
            <v>0</v>
          </cell>
          <cell r="I842">
            <v>0</v>
          </cell>
          <cell r="J842">
            <v>0</v>
          </cell>
          <cell r="K842">
            <v>0</v>
          </cell>
        </row>
        <row r="843">
          <cell r="A843" t="str">
            <v>16LDEZN</v>
          </cell>
          <cell r="B843" t="str">
            <v xml:space="preserve">DESCUENTO SOBRE PAGARES Y LETRAS </v>
          </cell>
          <cell r="C843">
            <v>0</v>
          </cell>
          <cell r="D843">
            <v>0</v>
          </cell>
          <cell r="E843">
            <v>0</v>
          </cell>
          <cell r="F843">
            <v>0</v>
          </cell>
          <cell r="G843">
            <v>0</v>
          </cell>
          <cell r="H843">
            <v>0</v>
          </cell>
          <cell r="I843">
            <v>0</v>
          </cell>
          <cell r="J843">
            <v>0</v>
          </cell>
          <cell r="K843">
            <v>0</v>
          </cell>
        </row>
        <row r="844">
          <cell r="A844" t="str">
            <v>17BUEZN</v>
          </cell>
          <cell r="B844" t="str">
            <v xml:space="preserve">DESC. S/LET.DEL TESORO DE GOB. EXTRANJEROS </v>
          </cell>
          <cell r="C844">
            <v>0</v>
          </cell>
          <cell r="D844">
            <v>0</v>
          </cell>
          <cell r="E844">
            <v>0</v>
          </cell>
          <cell r="F844">
            <v>0</v>
          </cell>
          <cell r="G844">
            <v>0</v>
          </cell>
          <cell r="H844">
            <v>0</v>
          </cell>
          <cell r="I844">
            <v>0</v>
          </cell>
          <cell r="J844">
            <v>0</v>
          </cell>
          <cell r="K844">
            <v>0</v>
          </cell>
        </row>
        <row r="845">
          <cell r="A845" t="str">
            <v>16AREZN</v>
          </cell>
          <cell r="B845" t="str">
            <v xml:space="preserve">DESCUENTOS SOBRE CERTIFICADOS DE DEPOSITOS </v>
          </cell>
          <cell r="C845">
            <v>0</v>
          </cell>
          <cell r="D845">
            <v>0</v>
          </cell>
          <cell r="E845">
            <v>0</v>
          </cell>
          <cell r="F845">
            <v>0</v>
          </cell>
          <cell r="G845">
            <v>0</v>
          </cell>
          <cell r="H845">
            <v>0</v>
          </cell>
          <cell r="I845">
            <v>0</v>
          </cell>
          <cell r="J845">
            <v>0</v>
          </cell>
          <cell r="K845">
            <v>0</v>
          </cell>
        </row>
        <row r="846">
          <cell r="A846" t="str">
            <v>16EREZN</v>
          </cell>
          <cell r="B846" t="str">
            <v xml:space="preserve">AJUSTE A VALOR MERCADO DE INVERSIONES EN EL EXTERI, </v>
          </cell>
          <cell r="C846">
            <v>2526</v>
          </cell>
          <cell r="D846">
            <v>77</v>
          </cell>
          <cell r="E846">
            <v>2546</v>
          </cell>
          <cell r="F846">
            <v>3466</v>
          </cell>
          <cell r="G846">
            <v>58</v>
          </cell>
          <cell r="H846">
            <v>5076</v>
          </cell>
          <cell r="I846">
            <v>28231</v>
          </cell>
          <cell r="J846">
            <v>20771</v>
          </cell>
          <cell r="K846">
            <v>4759</v>
          </cell>
        </row>
        <row r="847">
          <cell r="A847" t="str">
            <v>-</v>
          </cell>
          <cell r="B847" t="str">
            <v>CORREC MONETARIA PROV TENENCIAS PLATA HABER,</v>
          </cell>
          <cell r="C847">
            <v>0</v>
          </cell>
          <cell r="D847">
            <v>0</v>
          </cell>
          <cell r="E847">
            <v>0</v>
          </cell>
          <cell r="F847">
            <v>0</v>
          </cell>
          <cell r="G847">
            <v>0</v>
          </cell>
          <cell r="H847">
            <v>0</v>
          </cell>
          <cell r="I847">
            <v>0</v>
          </cell>
          <cell r="J847">
            <v>0</v>
          </cell>
          <cell r="K847">
            <v>0</v>
          </cell>
        </row>
        <row r="848">
          <cell r="A848" t="str">
            <v>-</v>
          </cell>
          <cell r="B848" t="str">
            <v xml:space="preserve">FONDO MONETARIO INTERNACIONAL (DEPOSITOS) </v>
          </cell>
          <cell r="C848">
            <v>0</v>
          </cell>
          <cell r="D848">
            <v>0</v>
          </cell>
          <cell r="E848">
            <v>0</v>
          </cell>
          <cell r="F848">
            <v>0</v>
          </cell>
          <cell r="G848">
            <v>0</v>
          </cell>
          <cell r="H848">
            <v>0</v>
          </cell>
          <cell r="I848">
            <v>0</v>
          </cell>
          <cell r="J848">
            <v>0</v>
          </cell>
          <cell r="K848">
            <v>0</v>
          </cell>
        </row>
        <row r="849">
          <cell r="A849" t="str">
            <v>16AUEZN</v>
          </cell>
          <cell r="B849" t="str">
            <v>DSCTO.S/INSTR.DE INVERS.J.P.MORGAN INV.</v>
          </cell>
          <cell r="C849">
            <v>158</v>
          </cell>
          <cell r="D849">
            <v>158</v>
          </cell>
          <cell r="E849">
            <v>177</v>
          </cell>
          <cell r="F849">
            <v>171</v>
          </cell>
          <cell r="G849">
            <v>104</v>
          </cell>
          <cell r="H849">
            <v>100</v>
          </cell>
          <cell r="I849">
            <v>136</v>
          </cell>
          <cell r="J849">
            <v>261</v>
          </cell>
          <cell r="K849">
            <v>294</v>
          </cell>
        </row>
        <row r="850">
          <cell r="A850" t="str">
            <v>16AVEZN</v>
          </cell>
          <cell r="B850" t="str">
            <v>DSCTO.S/INSTR.DE INVERS.J.P.MORGAN GRENFELL ASSETS.</v>
          </cell>
          <cell r="C850">
            <v>0</v>
          </cell>
          <cell r="D850">
            <v>0</v>
          </cell>
          <cell r="E850">
            <v>0</v>
          </cell>
          <cell r="F850">
            <v>0</v>
          </cell>
          <cell r="G850">
            <v>0</v>
          </cell>
          <cell r="H850">
            <v>0</v>
          </cell>
          <cell r="I850">
            <v>0</v>
          </cell>
          <cell r="J850">
            <v>0</v>
          </cell>
          <cell r="K850">
            <v>0</v>
          </cell>
        </row>
        <row r="851">
          <cell r="A851" t="str">
            <v>16AWEZN</v>
          </cell>
          <cell r="B851" t="str">
            <v>AJUSTE A VALOR MODO DE INV. J.P.MORGAN INV.</v>
          </cell>
          <cell r="C851">
            <v>0</v>
          </cell>
          <cell r="D851">
            <v>0</v>
          </cell>
          <cell r="E851">
            <v>282</v>
          </cell>
          <cell r="F851">
            <v>319</v>
          </cell>
          <cell r="G851">
            <v>10</v>
          </cell>
          <cell r="H851">
            <v>173</v>
          </cell>
          <cell r="I851">
            <v>2945</v>
          </cell>
          <cell r="J851">
            <v>2441</v>
          </cell>
          <cell r="K851">
            <v>357</v>
          </cell>
        </row>
        <row r="852">
          <cell r="A852" t="str">
            <v>16AXEZN</v>
          </cell>
          <cell r="B852" t="str">
            <v>DESC.S.INSTRUMENTOS DE INV. DRESDNER BANK</v>
          </cell>
          <cell r="C852">
            <v>259</v>
          </cell>
          <cell r="D852">
            <v>239</v>
          </cell>
          <cell r="E852">
            <v>116</v>
          </cell>
          <cell r="F852">
            <v>328</v>
          </cell>
          <cell r="G852">
            <v>330</v>
          </cell>
          <cell r="H852">
            <v>320</v>
          </cell>
          <cell r="I852">
            <v>221</v>
          </cell>
          <cell r="J852">
            <v>242</v>
          </cell>
          <cell r="K852">
            <v>126</v>
          </cell>
        </row>
        <row r="853">
          <cell r="A853" t="str">
            <v>16AYEZN</v>
          </cell>
          <cell r="B853" t="str">
            <v>AJUSTE A VALOR MODO DE INV. MORGAN GRENFELL</v>
          </cell>
          <cell r="C853">
            <v>0</v>
          </cell>
          <cell r="D853">
            <v>0</v>
          </cell>
          <cell r="E853">
            <v>0</v>
          </cell>
          <cell r="F853">
            <v>0</v>
          </cell>
          <cell r="G853">
            <v>0</v>
          </cell>
          <cell r="H853">
            <v>0</v>
          </cell>
          <cell r="I853">
            <v>0</v>
          </cell>
          <cell r="J853">
            <v>0</v>
          </cell>
          <cell r="K853">
            <v>0</v>
          </cell>
        </row>
        <row r="854">
          <cell r="A854" t="str">
            <v>16AZEZN</v>
          </cell>
          <cell r="B854" t="str">
            <v>AJUSTE A VALOR MODO DE INV. DRESDNER BANK</v>
          </cell>
          <cell r="C854">
            <v>192</v>
          </cell>
          <cell r="D854">
            <v>14</v>
          </cell>
          <cell r="E854">
            <v>189</v>
          </cell>
          <cell r="F854">
            <v>238</v>
          </cell>
          <cell r="G854">
            <v>13</v>
          </cell>
          <cell r="H854">
            <v>108</v>
          </cell>
          <cell r="I854">
            <v>3102</v>
          </cell>
          <cell r="J854">
            <v>2198</v>
          </cell>
          <cell r="K854">
            <v>223</v>
          </cell>
        </row>
        <row r="855">
          <cell r="A855" t="str">
            <v>22817BWEZN...</v>
          </cell>
          <cell r="B855" t="str">
            <v>DESCUENTOS S/INSTRUMENTOS DE INVERSION SSGA</v>
          </cell>
          <cell r="C855">
            <v>0</v>
          </cell>
          <cell r="D855">
            <v>0</v>
          </cell>
          <cell r="E855">
            <v>0</v>
          </cell>
          <cell r="F855">
            <v>0</v>
          </cell>
          <cell r="G855">
            <v>0</v>
          </cell>
          <cell r="H855">
            <v>0</v>
          </cell>
          <cell r="I855">
            <v>0</v>
          </cell>
          <cell r="J855">
            <v>181</v>
          </cell>
          <cell r="K855">
            <v>334</v>
          </cell>
        </row>
        <row r="856">
          <cell r="A856" t="str">
            <v>22816AOEZN...</v>
          </cell>
          <cell r="B856" t="str">
            <v>AJUSTE A VALOR DE MCDO DE INV EN EL EXTER</v>
          </cell>
          <cell r="C856">
            <v>0</v>
          </cell>
          <cell r="D856">
            <v>0</v>
          </cell>
          <cell r="E856">
            <v>0</v>
          </cell>
          <cell r="F856">
            <v>145</v>
          </cell>
          <cell r="G856">
            <v>7</v>
          </cell>
          <cell r="H856">
            <v>81</v>
          </cell>
          <cell r="I856">
            <v>1745</v>
          </cell>
          <cell r="J856">
            <v>1566</v>
          </cell>
          <cell r="K856">
            <v>92</v>
          </cell>
        </row>
        <row r="857">
          <cell r="A857" t="str">
            <v>14BBWZN</v>
          </cell>
          <cell r="B857" t="str">
            <v xml:space="preserve">  .PASIVOS EXTERNOS M/L PZO.MN</v>
          </cell>
          <cell r="C857">
            <v>148352</v>
          </cell>
          <cell r="D857">
            <v>83789</v>
          </cell>
          <cell r="E857">
            <v>81926</v>
          </cell>
          <cell r="F857">
            <v>80138</v>
          </cell>
          <cell r="G857">
            <v>80550</v>
          </cell>
          <cell r="H857">
            <v>68681</v>
          </cell>
          <cell r="I857">
            <v>69155</v>
          </cell>
          <cell r="J857">
            <v>68606</v>
          </cell>
          <cell r="K857">
            <v>66643</v>
          </cell>
        </row>
        <row r="858">
          <cell r="A858" t="str">
            <v>-</v>
          </cell>
          <cell r="B858" t="str">
            <v>PTMO.CONV.KREDITANSTALT ME, BBC, BCC, NAC</v>
          </cell>
          <cell r="C858">
            <v>0</v>
          </cell>
          <cell r="D858">
            <v>0</v>
          </cell>
          <cell r="E858">
            <v>0</v>
          </cell>
          <cell r="F858">
            <v>0</v>
          </cell>
          <cell r="G858">
            <v>0</v>
          </cell>
          <cell r="H858">
            <v>0</v>
          </cell>
          <cell r="I858">
            <v>0</v>
          </cell>
          <cell r="J858">
            <v>0</v>
          </cell>
          <cell r="K858">
            <v>0</v>
          </cell>
        </row>
        <row r="859">
          <cell r="A859" t="str">
            <v>-</v>
          </cell>
          <cell r="B859" t="str">
            <v>CREDIT.BANK OF NOVA SCOTIA ME, BBC, BCC, NAC</v>
          </cell>
          <cell r="C859">
            <v>0</v>
          </cell>
          <cell r="D859">
            <v>0</v>
          </cell>
          <cell r="E859">
            <v>0</v>
          </cell>
          <cell r="F859">
            <v>0</v>
          </cell>
          <cell r="G859">
            <v>0</v>
          </cell>
          <cell r="H859">
            <v>0</v>
          </cell>
          <cell r="I859">
            <v>0</v>
          </cell>
          <cell r="J859">
            <v>0</v>
          </cell>
          <cell r="K859">
            <v>0</v>
          </cell>
        </row>
        <row r="860">
          <cell r="A860" t="str">
            <v>-</v>
          </cell>
          <cell r="B860" t="str">
            <v>CRED.NATIONALE PARIS ME, BBC, BCC, NAC</v>
          </cell>
          <cell r="C860">
            <v>0</v>
          </cell>
          <cell r="D860">
            <v>0</v>
          </cell>
          <cell r="E860">
            <v>0</v>
          </cell>
          <cell r="F860">
            <v>0</v>
          </cell>
          <cell r="G860">
            <v>0</v>
          </cell>
          <cell r="H860">
            <v>0</v>
          </cell>
          <cell r="I860">
            <v>0</v>
          </cell>
          <cell r="J860">
            <v>0</v>
          </cell>
          <cell r="K860">
            <v>0</v>
          </cell>
        </row>
        <row r="861">
          <cell r="A861" t="str">
            <v>-</v>
          </cell>
          <cell r="B861" t="str">
            <v>CREDITO BID  ME, BBC, BCC, NAC</v>
          </cell>
          <cell r="C861">
            <v>0</v>
          </cell>
          <cell r="D861">
            <v>0</v>
          </cell>
          <cell r="E861">
            <v>0</v>
          </cell>
          <cell r="F861">
            <v>0</v>
          </cell>
          <cell r="G861">
            <v>0</v>
          </cell>
          <cell r="H861">
            <v>0</v>
          </cell>
          <cell r="I861">
            <v>0</v>
          </cell>
          <cell r="J861">
            <v>0</v>
          </cell>
          <cell r="K861">
            <v>0</v>
          </cell>
        </row>
        <row r="862">
          <cell r="A862" t="str">
            <v>-</v>
          </cell>
          <cell r="B862" t="str">
            <v>CRED.CONSOR.BCOS.SUIZOS. ME, BBC, BCC, NAC</v>
          </cell>
          <cell r="C862">
            <v>0</v>
          </cell>
          <cell r="D862">
            <v>0</v>
          </cell>
          <cell r="E862">
            <v>0</v>
          </cell>
          <cell r="F862">
            <v>0</v>
          </cell>
          <cell r="G862">
            <v>0</v>
          </cell>
          <cell r="H862">
            <v>0</v>
          </cell>
          <cell r="I862">
            <v>0</v>
          </cell>
          <cell r="J862">
            <v>0</v>
          </cell>
          <cell r="K862">
            <v>0</v>
          </cell>
        </row>
        <row r="863">
          <cell r="A863" t="str">
            <v>-</v>
          </cell>
          <cell r="B863" t="str">
            <v>SERCOBE-ESPANA   ME, BBC, BCC, NAC</v>
          </cell>
          <cell r="C863">
            <v>0</v>
          </cell>
          <cell r="D863">
            <v>0</v>
          </cell>
          <cell r="E863">
            <v>0</v>
          </cell>
          <cell r="F863">
            <v>0</v>
          </cell>
          <cell r="G863">
            <v>0</v>
          </cell>
          <cell r="H863">
            <v>0</v>
          </cell>
          <cell r="I863">
            <v>0</v>
          </cell>
          <cell r="J863">
            <v>0</v>
          </cell>
          <cell r="K863">
            <v>0</v>
          </cell>
        </row>
        <row r="864">
          <cell r="A864" t="str">
            <v>-</v>
          </cell>
          <cell r="B864" t="str">
            <v>CRED.CONSOR.BCOS.BELGAS ME, BBC, BCC, NAC</v>
          </cell>
          <cell r="C864">
            <v>0</v>
          </cell>
          <cell r="D864">
            <v>0</v>
          </cell>
          <cell r="E864">
            <v>0</v>
          </cell>
          <cell r="F864">
            <v>0</v>
          </cell>
          <cell r="G864">
            <v>0</v>
          </cell>
          <cell r="H864">
            <v>0</v>
          </cell>
          <cell r="I864">
            <v>0</v>
          </cell>
          <cell r="J864">
            <v>0</v>
          </cell>
          <cell r="K864">
            <v>0</v>
          </cell>
        </row>
        <row r="865">
          <cell r="A865" t="str">
            <v>-</v>
          </cell>
          <cell r="B865" t="str">
            <v>CREDITO CHECOSLOVAQUIA  ME, BBC, BCC, NAC</v>
          </cell>
          <cell r="C865">
            <v>0</v>
          </cell>
          <cell r="D865">
            <v>0</v>
          </cell>
          <cell r="E865">
            <v>0</v>
          </cell>
          <cell r="F865">
            <v>0</v>
          </cell>
          <cell r="G865">
            <v>0</v>
          </cell>
          <cell r="H865">
            <v>0</v>
          </cell>
          <cell r="I865">
            <v>0</v>
          </cell>
          <cell r="J865">
            <v>0</v>
          </cell>
          <cell r="K865">
            <v>0</v>
          </cell>
        </row>
        <row r="866">
          <cell r="A866" t="str">
            <v>-</v>
          </cell>
          <cell r="B866" t="str">
            <v>CREDITO AID  ME, BBC, BCC, NAC</v>
          </cell>
          <cell r="C866">
            <v>0</v>
          </cell>
          <cell r="D866">
            <v>0</v>
          </cell>
          <cell r="E866">
            <v>0</v>
          </cell>
          <cell r="F866">
            <v>0</v>
          </cell>
          <cell r="G866">
            <v>0</v>
          </cell>
          <cell r="H866">
            <v>0</v>
          </cell>
          <cell r="I866">
            <v>0</v>
          </cell>
          <cell r="J866">
            <v>0</v>
          </cell>
          <cell r="K866">
            <v>0</v>
          </cell>
        </row>
        <row r="867">
          <cell r="A867" t="str">
            <v>-</v>
          </cell>
          <cell r="B867" t="str">
            <v>BANK OF TOKYO  ME, BBC, BCC, NAC</v>
          </cell>
          <cell r="C867">
            <v>0</v>
          </cell>
          <cell r="D867">
            <v>0</v>
          </cell>
          <cell r="E867">
            <v>0</v>
          </cell>
          <cell r="F867">
            <v>0</v>
          </cell>
          <cell r="G867">
            <v>0</v>
          </cell>
          <cell r="H867">
            <v>0</v>
          </cell>
          <cell r="I867">
            <v>0</v>
          </cell>
          <cell r="J867">
            <v>0</v>
          </cell>
          <cell r="K867">
            <v>0</v>
          </cell>
        </row>
        <row r="868">
          <cell r="A868" t="str">
            <v>-</v>
          </cell>
          <cell r="B868" t="str">
            <v>BANCO DO BRASIL ME, BBC, BCC, NAC</v>
          </cell>
          <cell r="C868">
            <v>0</v>
          </cell>
          <cell r="D868">
            <v>0</v>
          </cell>
          <cell r="E868">
            <v>0</v>
          </cell>
          <cell r="F868">
            <v>0</v>
          </cell>
          <cell r="G868">
            <v>0</v>
          </cell>
          <cell r="H868">
            <v>0</v>
          </cell>
          <cell r="I868">
            <v>0</v>
          </cell>
          <cell r="J868">
            <v>0</v>
          </cell>
          <cell r="K868">
            <v>0</v>
          </cell>
        </row>
        <row r="869">
          <cell r="A869" t="str">
            <v>-</v>
          </cell>
          <cell r="B869" t="str">
            <v>CONSOR.BCOS.AGTE.W.FARGO ME, BBC, BCC, NAC</v>
          </cell>
          <cell r="C869">
            <v>0</v>
          </cell>
          <cell r="D869">
            <v>0</v>
          </cell>
          <cell r="E869">
            <v>0</v>
          </cell>
          <cell r="F869">
            <v>0</v>
          </cell>
          <cell r="G869">
            <v>0</v>
          </cell>
          <cell r="H869">
            <v>0</v>
          </cell>
          <cell r="I869">
            <v>0</v>
          </cell>
          <cell r="J869">
            <v>0</v>
          </cell>
          <cell r="K869">
            <v>0</v>
          </cell>
        </row>
        <row r="870">
          <cell r="A870" t="str">
            <v>-</v>
          </cell>
          <cell r="B870" t="str">
            <v>CREDI.BANCO EXT.ESPANA  ME, BBC, BCC, NAC</v>
          </cell>
          <cell r="C870">
            <v>0</v>
          </cell>
          <cell r="D870">
            <v>0</v>
          </cell>
          <cell r="E870">
            <v>0</v>
          </cell>
          <cell r="F870">
            <v>0</v>
          </cell>
          <cell r="G870">
            <v>0</v>
          </cell>
          <cell r="H870">
            <v>0</v>
          </cell>
          <cell r="I870">
            <v>0</v>
          </cell>
          <cell r="J870">
            <v>0</v>
          </cell>
          <cell r="K870">
            <v>0</v>
          </cell>
        </row>
        <row r="871">
          <cell r="A871" t="str">
            <v>-</v>
          </cell>
          <cell r="B871" t="str">
            <v>CREDITO BULGARIA ME, BBC, BCC, NAC</v>
          </cell>
          <cell r="C871">
            <v>0</v>
          </cell>
          <cell r="D871">
            <v>0</v>
          </cell>
          <cell r="E871">
            <v>0</v>
          </cell>
          <cell r="F871">
            <v>0</v>
          </cell>
          <cell r="G871">
            <v>0</v>
          </cell>
          <cell r="H871">
            <v>0</v>
          </cell>
          <cell r="I871">
            <v>0</v>
          </cell>
          <cell r="J871">
            <v>0</v>
          </cell>
          <cell r="K871">
            <v>0</v>
          </cell>
        </row>
        <row r="872">
          <cell r="A872" t="str">
            <v>-</v>
          </cell>
          <cell r="B872" t="str">
            <v>BCO.NAC.COM.EXTER-MEXICO ME, BBC, BCC, NAC</v>
          </cell>
          <cell r="C872">
            <v>0</v>
          </cell>
          <cell r="D872">
            <v>0</v>
          </cell>
          <cell r="E872">
            <v>0</v>
          </cell>
          <cell r="F872">
            <v>0</v>
          </cell>
          <cell r="G872">
            <v>0</v>
          </cell>
          <cell r="H872">
            <v>0</v>
          </cell>
          <cell r="I872">
            <v>0</v>
          </cell>
          <cell r="J872">
            <v>0</v>
          </cell>
          <cell r="K872">
            <v>0</v>
          </cell>
        </row>
        <row r="873">
          <cell r="A873" t="str">
            <v>-</v>
          </cell>
          <cell r="B873" t="str">
            <v>CREDI.REP.DEMOCR.ALEMANIA  ME, BBC, BCC, NAC</v>
          </cell>
          <cell r="C873">
            <v>0</v>
          </cell>
          <cell r="D873">
            <v>0</v>
          </cell>
          <cell r="E873">
            <v>0</v>
          </cell>
          <cell r="F873">
            <v>0</v>
          </cell>
          <cell r="G873">
            <v>0</v>
          </cell>
          <cell r="H873">
            <v>0</v>
          </cell>
          <cell r="I873">
            <v>0</v>
          </cell>
          <cell r="J873">
            <v>0</v>
          </cell>
          <cell r="K873">
            <v>0</v>
          </cell>
        </row>
        <row r="874">
          <cell r="A874" t="str">
            <v>-</v>
          </cell>
          <cell r="B874" t="str">
            <v>CRED.ARGENTINO  ME, BBC, BCC, NAC</v>
          </cell>
          <cell r="C874">
            <v>0</v>
          </cell>
          <cell r="D874">
            <v>0</v>
          </cell>
          <cell r="E874">
            <v>0</v>
          </cell>
          <cell r="F874">
            <v>0</v>
          </cell>
          <cell r="G874">
            <v>0</v>
          </cell>
          <cell r="H874">
            <v>0</v>
          </cell>
          <cell r="I874">
            <v>0</v>
          </cell>
          <cell r="J874">
            <v>0</v>
          </cell>
          <cell r="K874">
            <v>0</v>
          </cell>
        </row>
        <row r="875">
          <cell r="A875" t="str">
            <v>-</v>
          </cell>
          <cell r="B875" t="str">
            <v>CREDITO MANUFACTURERS HANOVER TRUST CO NEW YORK, BBC, BCC, N</v>
          </cell>
          <cell r="C875">
            <v>0</v>
          </cell>
          <cell r="D875">
            <v>0</v>
          </cell>
          <cell r="E875">
            <v>0</v>
          </cell>
          <cell r="F875">
            <v>0</v>
          </cell>
          <cell r="G875">
            <v>0</v>
          </cell>
          <cell r="H875">
            <v>0</v>
          </cell>
          <cell r="I875">
            <v>0</v>
          </cell>
          <cell r="J875">
            <v>0</v>
          </cell>
          <cell r="K875">
            <v>0</v>
          </cell>
        </row>
        <row r="876">
          <cell r="A876" t="str">
            <v>-</v>
          </cell>
          <cell r="B876" t="str">
            <v>CRED.WESTDEUTSCHG LANDESBANK, BBC, BCC, NAC</v>
          </cell>
          <cell r="C876">
            <v>0</v>
          </cell>
          <cell r="D876">
            <v>0</v>
          </cell>
          <cell r="E876">
            <v>0</v>
          </cell>
          <cell r="F876">
            <v>0</v>
          </cell>
          <cell r="G876">
            <v>0</v>
          </cell>
          <cell r="H876">
            <v>0</v>
          </cell>
          <cell r="I876">
            <v>0</v>
          </cell>
          <cell r="J876">
            <v>0</v>
          </cell>
          <cell r="K876">
            <v>0</v>
          </cell>
        </row>
        <row r="877">
          <cell r="A877" t="str">
            <v>-</v>
          </cell>
          <cell r="B877" t="str">
            <v>CRED.LLOYDS BANK INTERNATIONAL ME, BBC, BCC, NAC</v>
          </cell>
          <cell r="C877">
            <v>0</v>
          </cell>
          <cell r="D877">
            <v>0</v>
          </cell>
          <cell r="E877">
            <v>0</v>
          </cell>
          <cell r="F877">
            <v>0</v>
          </cell>
          <cell r="G877">
            <v>0</v>
          </cell>
          <cell r="H877">
            <v>0</v>
          </cell>
          <cell r="I877">
            <v>0</v>
          </cell>
          <cell r="J877">
            <v>0</v>
          </cell>
          <cell r="K877">
            <v>0</v>
          </cell>
        </row>
        <row r="878">
          <cell r="A878" t="str">
            <v>-</v>
          </cell>
          <cell r="B878" t="str">
            <v>CREDITO AUSTRIA, BBC, BCC, NAC</v>
          </cell>
          <cell r="C878">
            <v>0</v>
          </cell>
          <cell r="D878">
            <v>0</v>
          </cell>
          <cell r="E878">
            <v>0</v>
          </cell>
          <cell r="F878">
            <v>0</v>
          </cell>
          <cell r="G878">
            <v>0</v>
          </cell>
          <cell r="H878">
            <v>0</v>
          </cell>
          <cell r="I878">
            <v>0</v>
          </cell>
          <cell r="J878">
            <v>0</v>
          </cell>
          <cell r="K878">
            <v>0</v>
          </cell>
        </row>
        <row r="879">
          <cell r="A879" t="str">
            <v>-</v>
          </cell>
          <cell r="B879" t="str">
            <v>CREDITO  PERU  ME, BBC, BCC, NAC</v>
          </cell>
          <cell r="C879">
            <v>0</v>
          </cell>
          <cell r="D879">
            <v>0</v>
          </cell>
          <cell r="E879">
            <v>0</v>
          </cell>
          <cell r="F879">
            <v>0</v>
          </cell>
          <cell r="G879">
            <v>0</v>
          </cell>
          <cell r="H879">
            <v>0</v>
          </cell>
          <cell r="I879">
            <v>0</v>
          </cell>
          <cell r="J879">
            <v>0</v>
          </cell>
          <cell r="K879">
            <v>0</v>
          </cell>
        </row>
        <row r="880">
          <cell r="A880" t="str">
            <v>-</v>
          </cell>
          <cell r="B880" t="str">
            <v>CREDITO THE MITSUI BANK LIMITED, BBC, BCC, NAC</v>
          </cell>
          <cell r="C880">
            <v>0</v>
          </cell>
          <cell r="D880">
            <v>0</v>
          </cell>
          <cell r="E880">
            <v>0</v>
          </cell>
          <cell r="F880">
            <v>0</v>
          </cell>
          <cell r="G880">
            <v>0</v>
          </cell>
          <cell r="H880">
            <v>0</v>
          </cell>
          <cell r="I880">
            <v>0</v>
          </cell>
          <cell r="J880">
            <v>0</v>
          </cell>
          <cell r="K880">
            <v>0</v>
          </cell>
        </row>
        <row r="881">
          <cell r="A881" t="str">
            <v>-</v>
          </cell>
          <cell r="B881" t="str">
            <v>CANADIAN IMPERIAL BANK OF COMMERCE LONDON UK ME, BBC, BCC, N</v>
          </cell>
          <cell r="C881">
            <v>0</v>
          </cell>
          <cell r="D881">
            <v>0</v>
          </cell>
          <cell r="E881">
            <v>0</v>
          </cell>
          <cell r="F881">
            <v>0</v>
          </cell>
          <cell r="G881">
            <v>0</v>
          </cell>
          <cell r="H881">
            <v>0</v>
          </cell>
          <cell r="I881">
            <v>0</v>
          </cell>
          <cell r="J881">
            <v>0</v>
          </cell>
          <cell r="K881">
            <v>0</v>
          </cell>
        </row>
        <row r="882">
          <cell r="A882" t="str">
            <v>-</v>
          </cell>
          <cell r="B882" t="str">
            <v>CRED. THE FIRST NATIONAL BANK OF CHICAGO LTD.ME, BBC, BCC, N</v>
          </cell>
          <cell r="C882">
            <v>0</v>
          </cell>
          <cell r="D882">
            <v>0</v>
          </cell>
          <cell r="E882">
            <v>0</v>
          </cell>
          <cell r="F882">
            <v>0</v>
          </cell>
          <cell r="G882">
            <v>0</v>
          </cell>
          <cell r="H882">
            <v>0</v>
          </cell>
          <cell r="I882">
            <v>0</v>
          </cell>
          <cell r="J882">
            <v>0</v>
          </cell>
          <cell r="K882">
            <v>0</v>
          </cell>
        </row>
        <row r="883">
          <cell r="A883" t="str">
            <v>-</v>
          </cell>
          <cell r="B883" t="str">
            <v>RENEG.83-84 (MANUFA HANOVER) US$ 1.300 MILL.ME, BBC, BCC, NA</v>
          </cell>
          <cell r="C883">
            <v>0</v>
          </cell>
          <cell r="D883">
            <v>0</v>
          </cell>
          <cell r="E883">
            <v>0</v>
          </cell>
          <cell r="F883">
            <v>0</v>
          </cell>
          <cell r="G883">
            <v>0</v>
          </cell>
          <cell r="H883">
            <v>0</v>
          </cell>
          <cell r="I883">
            <v>0</v>
          </cell>
          <cell r="J883">
            <v>0</v>
          </cell>
          <cell r="K883">
            <v>0</v>
          </cell>
        </row>
        <row r="884">
          <cell r="A884" t="str">
            <v>-</v>
          </cell>
          <cell r="B884" t="str">
            <v>CONVENIO DE REESTRUCTURACION DE LA DEUDA EXTERNA M, BBC, BCC</v>
          </cell>
          <cell r="C884">
            <v>0</v>
          </cell>
          <cell r="D884">
            <v>0</v>
          </cell>
          <cell r="E884">
            <v>0</v>
          </cell>
          <cell r="F884">
            <v>0</v>
          </cell>
          <cell r="G884">
            <v>0</v>
          </cell>
          <cell r="H884">
            <v>0</v>
          </cell>
          <cell r="I884">
            <v>0</v>
          </cell>
          <cell r="J884">
            <v>0</v>
          </cell>
          <cell r="K884">
            <v>0</v>
          </cell>
        </row>
        <row r="885">
          <cell r="A885" t="str">
            <v>-</v>
          </cell>
          <cell r="B885" t="str">
            <v>CRED.RENEG.83-84 (MANUFACT.HANOVER) US$ 780 MILL.M, BBC, BCC</v>
          </cell>
          <cell r="C885">
            <v>0</v>
          </cell>
          <cell r="D885">
            <v>0</v>
          </cell>
          <cell r="E885">
            <v>0</v>
          </cell>
          <cell r="F885">
            <v>0</v>
          </cell>
          <cell r="G885">
            <v>0</v>
          </cell>
          <cell r="H885">
            <v>0</v>
          </cell>
          <cell r="I885">
            <v>0</v>
          </cell>
          <cell r="J885">
            <v>0</v>
          </cell>
          <cell r="K885">
            <v>0</v>
          </cell>
        </row>
        <row r="886">
          <cell r="A886" t="str">
            <v>-</v>
          </cell>
          <cell r="B886" t="str">
            <v>CREDITO CREDIT SUISSE PANAMA ME, BBC, BCC, NAC</v>
          </cell>
          <cell r="C886">
            <v>0</v>
          </cell>
          <cell r="D886">
            <v>0</v>
          </cell>
          <cell r="E886">
            <v>0</v>
          </cell>
          <cell r="F886">
            <v>0</v>
          </cell>
          <cell r="G886">
            <v>0</v>
          </cell>
          <cell r="H886">
            <v>0</v>
          </cell>
          <cell r="I886">
            <v>0</v>
          </cell>
          <cell r="J886">
            <v>0</v>
          </cell>
          <cell r="K886">
            <v>0</v>
          </cell>
        </row>
        <row r="887">
          <cell r="A887" t="str">
            <v>-</v>
          </cell>
          <cell r="B887" t="str">
            <v>CONVENIO CRED.US$785 MILL.AG.MANUFACTURERS HANOVER, BBC, BCC</v>
          </cell>
          <cell r="C887">
            <v>0</v>
          </cell>
          <cell r="D887">
            <v>0</v>
          </cell>
          <cell r="E887">
            <v>0</v>
          </cell>
          <cell r="F887">
            <v>0</v>
          </cell>
          <cell r="G887">
            <v>0</v>
          </cell>
          <cell r="H887">
            <v>0</v>
          </cell>
          <cell r="I887">
            <v>0</v>
          </cell>
          <cell r="J887">
            <v>0</v>
          </cell>
          <cell r="K887">
            <v>0</v>
          </cell>
        </row>
        <row r="888">
          <cell r="A888" t="str">
            <v>-</v>
          </cell>
          <cell r="B888" t="str">
            <v>PASIVOS CON EL EXTERIOR DEL BCO.CONTIN.ASUM POR BC, BBC, BCC</v>
          </cell>
          <cell r="C888">
            <v>0</v>
          </cell>
          <cell r="D888">
            <v>0</v>
          </cell>
          <cell r="E888">
            <v>0</v>
          </cell>
          <cell r="F888">
            <v>0</v>
          </cell>
          <cell r="G888">
            <v>0</v>
          </cell>
          <cell r="H888">
            <v>0</v>
          </cell>
          <cell r="I888">
            <v>0</v>
          </cell>
          <cell r="J888">
            <v>0</v>
          </cell>
          <cell r="K888">
            <v>0</v>
          </cell>
        </row>
        <row r="889">
          <cell r="A889" t="str">
            <v>-</v>
          </cell>
          <cell r="B889" t="str">
            <v>REESTRUCTURACION DEUDA EXTERNA (1985/1987) ME, BBC, BCC, NAC</v>
          </cell>
          <cell r="C889">
            <v>0</v>
          </cell>
          <cell r="D889">
            <v>0</v>
          </cell>
          <cell r="E889">
            <v>0</v>
          </cell>
          <cell r="F889">
            <v>0</v>
          </cell>
          <cell r="G889">
            <v>0</v>
          </cell>
          <cell r="H889">
            <v>0</v>
          </cell>
          <cell r="I889">
            <v>0</v>
          </cell>
          <cell r="J889">
            <v>0</v>
          </cell>
          <cell r="K889">
            <v>0</v>
          </cell>
        </row>
        <row r="890">
          <cell r="A890" t="str">
            <v>-</v>
          </cell>
          <cell r="B890" t="str">
            <v>REESTRUCTURACION DEUDA EXTERNA 1988-1991 ME, BBC, BCC, NAC</v>
          </cell>
          <cell r="C890">
            <v>0</v>
          </cell>
          <cell r="D890">
            <v>0</v>
          </cell>
          <cell r="E890">
            <v>0</v>
          </cell>
          <cell r="F890">
            <v>0</v>
          </cell>
          <cell r="G890">
            <v>0</v>
          </cell>
          <cell r="H890">
            <v>0</v>
          </cell>
          <cell r="I890">
            <v>0</v>
          </cell>
          <cell r="J890">
            <v>0</v>
          </cell>
          <cell r="K890">
            <v>0</v>
          </cell>
        </row>
        <row r="891">
          <cell r="A891" t="str">
            <v>-</v>
          </cell>
          <cell r="B891" t="str">
            <v>LINEA CREDITO CONTRATO EURODOLARES ME, BBC, BCC, NAC</v>
          </cell>
          <cell r="C891">
            <v>0</v>
          </cell>
          <cell r="D891">
            <v>0</v>
          </cell>
          <cell r="E891">
            <v>0</v>
          </cell>
          <cell r="F891">
            <v>0</v>
          </cell>
          <cell r="G891">
            <v>0</v>
          </cell>
          <cell r="H891">
            <v>0</v>
          </cell>
          <cell r="I891">
            <v>0</v>
          </cell>
          <cell r="J891">
            <v>0</v>
          </cell>
          <cell r="K891">
            <v>0</v>
          </cell>
        </row>
        <row r="892">
          <cell r="A892" t="str">
            <v>-</v>
          </cell>
          <cell r="B892" t="str">
            <v>CREDITO RECIB.C.GAR.DE INST.FINANC.(REPOS), BBC, BCC, NAC</v>
          </cell>
          <cell r="C892">
            <v>0</v>
          </cell>
          <cell r="D892">
            <v>0</v>
          </cell>
          <cell r="E892">
            <v>0</v>
          </cell>
          <cell r="F892">
            <v>0</v>
          </cell>
          <cell r="G892">
            <v>0</v>
          </cell>
          <cell r="H892">
            <v>0</v>
          </cell>
          <cell r="I892">
            <v>0</v>
          </cell>
          <cell r="J892">
            <v>0</v>
          </cell>
          <cell r="K892">
            <v>0</v>
          </cell>
        </row>
        <row r="893">
          <cell r="A893" t="str">
            <v>-</v>
          </cell>
          <cell r="B893" t="str">
            <v>V.A. PAISES SOCIAL. SUJ.RENEG., BBC, BCC, NAC</v>
          </cell>
          <cell r="C893">
            <v>0</v>
          </cell>
          <cell r="D893">
            <v>0</v>
          </cell>
          <cell r="E893">
            <v>0</v>
          </cell>
          <cell r="F893">
            <v>0</v>
          </cell>
          <cell r="G893">
            <v>0</v>
          </cell>
          <cell r="H893">
            <v>0</v>
          </cell>
          <cell r="I893">
            <v>0</v>
          </cell>
          <cell r="J893">
            <v>0</v>
          </cell>
          <cell r="K893">
            <v>0</v>
          </cell>
        </row>
        <row r="894">
          <cell r="A894" t="str">
            <v>-</v>
          </cell>
          <cell r="B894" t="str">
            <v>RENEG.DEUDA EXTERNA ME, BBC, BCC, NAC</v>
          </cell>
          <cell r="C894">
            <v>0</v>
          </cell>
          <cell r="D894">
            <v>0</v>
          </cell>
          <cell r="E894">
            <v>0</v>
          </cell>
          <cell r="F894">
            <v>0</v>
          </cell>
          <cell r="G894">
            <v>0</v>
          </cell>
          <cell r="H894">
            <v>0</v>
          </cell>
          <cell r="I894">
            <v>0</v>
          </cell>
          <cell r="J894">
            <v>0</v>
          </cell>
          <cell r="K894">
            <v>0</v>
          </cell>
        </row>
        <row r="895">
          <cell r="A895" t="str">
            <v>-</v>
          </cell>
          <cell r="B895" t="str">
            <v>DEPOSITOS A PLAZO BCOS. DEL EXTERIOR ME, BBC, BCC, NAC</v>
          </cell>
          <cell r="C895">
            <v>0</v>
          </cell>
          <cell r="D895">
            <v>0</v>
          </cell>
          <cell r="E895">
            <v>0</v>
          </cell>
          <cell r="F895">
            <v>0</v>
          </cell>
          <cell r="G895">
            <v>0</v>
          </cell>
          <cell r="H895">
            <v>0</v>
          </cell>
          <cell r="I895">
            <v>0</v>
          </cell>
          <cell r="J895">
            <v>0</v>
          </cell>
          <cell r="K895">
            <v>0</v>
          </cell>
        </row>
        <row r="896">
          <cell r="A896" t="str">
            <v>-</v>
          </cell>
          <cell r="B896" t="str">
            <v>PAGARE PLAN FINANCIERO 1983-1984 ACDO'1496  ME, BBC, BCC, NA</v>
          </cell>
          <cell r="C896">
            <v>0</v>
          </cell>
          <cell r="D896">
            <v>0</v>
          </cell>
          <cell r="E896">
            <v>0</v>
          </cell>
          <cell r="F896">
            <v>0</v>
          </cell>
          <cell r="G896">
            <v>0</v>
          </cell>
          <cell r="H896">
            <v>0</v>
          </cell>
          <cell r="I896">
            <v>0</v>
          </cell>
          <cell r="J896">
            <v>0</v>
          </cell>
          <cell r="K896">
            <v>0</v>
          </cell>
        </row>
        <row r="897">
          <cell r="A897" t="str">
            <v>-</v>
          </cell>
          <cell r="B897" t="str">
            <v xml:space="preserve">DEPS.AMORTIZAC.DIFERIDOS DE CDTOS.EXT.AC.1506 ME, BBC, BCC, </v>
          </cell>
          <cell r="C897">
            <v>0</v>
          </cell>
          <cell r="D897">
            <v>0</v>
          </cell>
          <cell r="E897">
            <v>0</v>
          </cell>
          <cell r="F897">
            <v>0</v>
          </cell>
          <cell r="G897">
            <v>0</v>
          </cell>
          <cell r="H897">
            <v>0</v>
          </cell>
          <cell r="I897">
            <v>0</v>
          </cell>
          <cell r="J897">
            <v>0</v>
          </cell>
          <cell r="K897">
            <v>0</v>
          </cell>
        </row>
        <row r="898">
          <cell r="A898" t="str">
            <v>-</v>
          </cell>
          <cell r="B898" t="str">
            <v>DEPOSITOS DE BANCOS DEL EXTERIOR P.PLAN FINANC.ME, BBC, BCC,</v>
          </cell>
          <cell r="C898">
            <v>0</v>
          </cell>
          <cell r="D898">
            <v>0</v>
          </cell>
          <cell r="E898">
            <v>0</v>
          </cell>
          <cell r="F898">
            <v>0</v>
          </cell>
          <cell r="G898">
            <v>0</v>
          </cell>
          <cell r="H898">
            <v>0</v>
          </cell>
          <cell r="I898">
            <v>0</v>
          </cell>
          <cell r="J898">
            <v>0</v>
          </cell>
          <cell r="K898">
            <v>0</v>
          </cell>
        </row>
        <row r="899">
          <cell r="A899" t="str">
            <v>-</v>
          </cell>
          <cell r="B899" t="str">
            <v>DEPOSITOS A CTA.PROGRAMA REESTRUCT.DEUDA EXTERNA M, BBC, BCC</v>
          </cell>
          <cell r="C899">
            <v>0</v>
          </cell>
          <cell r="D899">
            <v>0</v>
          </cell>
          <cell r="E899">
            <v>0</v>
          </cell>
          <cell r="F899">
            <v>0</v>
          </cell>
          <cell r="G899">
            <v>0</v>
          </cell>
          <cell r="H899">
            <v>0</v>
          </cell>
          <cell r="I899">
            <v>0</v>
          </cell>
          <cell r="J899">
            <v>0</v>
          </cell>
          <cell r="K899">
            <v>0</v>
          </cell>
        </row>
        <row r="900">
          <cell r="A900" t="str">
            <v>-</v>
          </cell>
          <cell r="B900" t="str">
            <v>DEPOS.AMORTIZACION DIFERIDAS DE CRED.EXT.AC.1619 M, BBC, BCC</v>
          </cell>
          <cell r="C900">
            <v>0</v>
          </cell>
          <cell r="D900">
            <v>0</v>
          </cell>
          <cell r="E900">
            <v>0</v>
          </cell>
          <cell r="F900">
            <v>0</v>
          </cell>
          <cell r="G900">
            <v>0</v>
          </cell>
          <cell r="H900">
            <v>0</v>
          </cell>
          <cell r="I900">
            <v>0</v>
          </cell>
          <cell r="J900">
            <v>0</v>
          </cell>
          <cell r="K900">
            <v>0</v>
          </cell>
        </row>
        <row r="901">
          <cell r="A901" t="str">
            <v>16DXNZN</v>
          </cell>
          <cell r="B901" t="str">
            <v>DEPOSITOS BANCO EXTERIOR DE ESPANA SA ACDO 1872</v>
          </cell>
          <cell r="C901">
            <v>0</v>
          </cell>
          <cell r="D901">
            <v>0</v>
          </cell>
          <cell r="E901">
            <v>0</v>
          </cell>
          <cell r="F901">
            <v>0</v>
          </cell>
          <cell r="G901">
            <v>0</v>
          </cell>
          <cell r="H901">
            <v>0</v>
          </cell>
          <cell r="I901">
            <v>0</v>
          </cell>
          <cell r="J901">
            <v>0</v>
          </cell>
          <cell r="K901">
            <v>0</v>
          </cell>
        </row>
        <row r="902">
          <cell r="A902" t="str">
            <v>-</v>
          </cell>
          <cell r="B902" t="str">
            <v xml:space="preserve">CTA.CTE CORREDORES OPERACIONES A FUTURO HABER </v>
          </cell>
          <cell r="C902">
            <v>0</v>
          </cell>
          <cell r="D902">
            <v>0</v>
          </cell>
          <cell r="E902">
            <v>0</v>
          </cell>
          <cell r="F902">
            <v>0</v>
          </cell>
          <cell r="G902">
            <v>0</v>
          </cell>
          <cell r="H902">
            <v>0</v>
          </cell>
          <cell r="I902">
            <v>0</v>
          </cell>
          <cell r="J902">
            <v>0</v>
          </cell>
          <cell r="K902">
            <v>0</v>
          </cell>
        </row>
        <row r="903">
          <cell r="A903" t="str">
            <v>17DBEZN</v>
          </cell>
          <cell r="B903" t="str">
            <v xml:space="preserve">CTA. CON BIRF </v>
          </cell>
          <cell r="C903">
            <v>23074</v>
          </cell>
          <cell r="D903">
            <v>23074</v>
          </cell>
          <cell r="E903">
            <v>23074</v>
          </cell>
          <cell r="F903">
            <v>23074</v>
          </cell>
          <cell r="G903">
            <v>23074</v>
          </cell>
          <cell r="H903">
            <v>23061</v>
          </cell>
          <cell r="I903">
            <v>23061</v>
          </cell>
          <cell r="J903">
            <v>23061</v>
          </cell>
          <cell r="K903">
            <v>23058</v>
          </cell>
        </row>
        <row r="904">
          <cell r="A904" t="str">
            <v>17DCEZN</v>
          </cell>
          <cell r="B904" t="str">
            <v xml:space="preserve">CTA.CON BID  </v>
          </cell>
          <cell r="C904">
            <v>58259</v>
          </cell>
          <cell r="D904">
            <v>59781</v>
          </cell>
          <cell r="E904">
            <v>57918</v>
          </cell>
          <cell r="F904">
            <v>56130</v>
          </cell>
          <cell r="G904">
            <v>56542</v>
          </cell>
          <cell r="H904">
            <v>44686</v>
          </cell>
          <cell r="I904">
            <v>45160</v>
          </cell>
          <cell r="J904">
            <v>44611</v>
          </cell>
          <cell r="K904">
            <v>42651</v>
          </cell>
        </row>
        <row r="905">
          <cell r="A905" t="str">
            <v>17DDEZN</v>
          </cell>
          <cell r="B905" t="str">
            <v xml:space="preserve">CTA. CON AIF </v>
          </cell>
          <cell r="C905">
            <v>901</v>
          </cell>
          <cell r="D905">
            <v>901</v>
          </cell>
          <cell r="E905">
            <v>901</v>
          </cell>
          <cell r="F905">
            <v>901</v>
          </cell>
          <cell r="G905">
            <v>901</v>
          </cell>
          <cell r="H905">
            <v>901</v>
          </cell>
          <cell r="I905">
            <v>901</v>
          </cell>
          <cell r="J905">
            <v>901</v>
          </cell>
          <cell r="K905">
            <v>901</v>
          </cell>
        </row>
        <row r="906">
          <cell r="A906" t="str">
            <v>17DEEZN</v>
          </cell>
          <cell r="B906" t="str">
            <v>BID-OBLIG.AUM.CAP.ORDIN.</v>
          </cell>
          <cell r="C906">
            <v>66085</v>
          </cell>
          <cell r="D906">
            <v>0</v>
          </cell>
          <cell r="E906">
            <v>0</v>
          </cell>
          <cell r="F906">
            <v>0</v>
          </cell>
          <cell r="G906">
            <v>0</v>
          </cell>
          <cell r="H906">
            <v>0</v>
          </cell>
          <cell r="I906">
            <v>0</v>
          </cell>
          <cell r="J906">
            <v>0</v>
          </cell>
          <cell r="K906">
            <v>0</v>
          </cell>
        </row>
        <row r="907">
          <cell r="A907" t="str">
            <v>17DIEZN</v>
          </cell>
          <cell r="B907" t="str">
            <v>CTA.CON AIF.CTA.F</v>
          </cell>
          <cell r="C907">
            <v>0</v>
          </cell>
          <cell r="D907">
            <v>0</v>
          </cell>
          <cell r="E907">
            <v>0</v>
          </cell>
          <cell r="F907">
            <v>0</v>
          </cell>
          <cell r="G907">
            <v>0</v>
          </cell>
          <cell r="H907">
            <v>0</v>
          </cell>
          <cell r="I907">
            <v>0</v>
          </cell>
          <cell r="J907">
            <v>0</v>
          </cell>
          <cell r="K907">
            <v>0</v>
          </cell>
        </row>
        <row r="908">
          <cell r="A908" t="str">
            <v>-</v>
          </cell>
          <cell r="B908" t="str">
            <v xml:space="preserve">DIR.VIAL.MOP.FDO.ROT.2DO.PROY.PTMO.BIRF 2297 </v>
          </cell>
          <cell r="C908">
            <v>0</v>
          </cell>
          <cell r="D908">
            <v>0</v>
          </cell>
          <cell r="E908">
            <v>0</v>
          </cell>
          <cell r="F908">
            <v>0</v>
          </cell>
          <cell r="G908">
            <v>0</v>
          </cell>
          <cell r="H908">
            <v>0</v>
          </cell>
          <cell r="I908">
            <v>0</v>
          </cell>
          <cell r="J908">
            <v>0</v>
          </cell>
          <cell r="K908">
            <v>0</v>
          </cell>
        </row>
        <row r="909">
          <cell r="A909" t="str">
            <v>17EUNZN</v>
          </cell>
          <cell r="B909" t="str">
            <v xml:space="preserve">ORGANISMO MULTILATERAL DE GARANTIA DE INVERSIONES, </v>
          </cell>
          <cell r="C909">
            <v>33</v>
          </cell>
          <cell r="D909">
            <v>33</v>
          </cell>
          <cell r="E909">
            <v>33</v>
          </cell>
          <cell r="F909">
            <v>33</v>
          </cell>
          <cell r="G909">
            <v>33</v>
          </cell>
          <cell r="H909">
            <v>33</v>
          </cell>
          <cell r="I909">
            <v>33</v>
          </cell>
          <cell r="J909">
            <v>33</v>
          </cell>
          <cell r="K909">
            <v>33</v>
          </cell>
        </row>
        <row r="910">
          <cell r="A910" t="str">
            <v>-</v>
          </cell>
          <cell r="B910" t="str">
            <v xml:space="preserve">CUENTA ESPECIAL FONDOS ROTATORIOS PARA CRED.EXIMB., </v>
          </cell>
          <cell r="C910">
            <v>0</v>
          </cell>
          <cell r="D910">
            <v>0</v>
          </cell>
          <cell r="E910">
            <v>0</v>
          </cell>
          <cell r="F910">
            <v>0</v>
          </cell>
          <cell r="G910">
            <v>0</v>
          </cell>
          <cell r="H910">
            <v>0</v>
          </cell>
          <cell r="I910">
            <v>0</v>
          </cell>
          <cell r="J910">
            <v>0</v>
          </cell>
          <cell r="K910">
            <v>0</v>
          </cell>
        </row>
        <row r="911">
          <cell r="A911" t="str">
            <v>14BBXZN</v>
          </cell>
          <cell r="B911" t="str">
            <v xml:space="preserve">  .PASIVOS EXTERNOS M/L PZO.ME</v>
          </cell>
          <cell r="C911">
            <v>945</v>
          </cell>
          <cell r="D911">
            <v>68782</v>
          </cell>
          <cell r="E911">
            <v>66392</v>
          </cell>
          <cell r="F911">
            <v>64381</v>
          </cell>
          <cell r="G911">
            <v>64819</v>
          </cell>
          <cell r="H911">
            <v>63643</v>
          </cell>
          <cell r="I911">
            <v>64297</v>
          </cell>
          <cell r="J911">
            <v>63727</v>
          </cell>
          <cell r="K911">
            <v>60605</v>
          </cell>
        </row>
        <row r="912">
          <cell r="A912" t="str">
            <v>16CBEZN</v>
          </cell>
          <cell r="B912" t="str">
            <v>PTMO.CONV.KREDITANSTALT ME, BBC, BCC, EXT</v>
          </cell>
          <cell r="C912">
            <v>0</v>
          </cell>
          <cell r="D912">
            <v>0</v>
          </cell>
          <cell r="E912">
            <v>0</v>
          </cell>
          <cell r="F912">
            <v>0</v>
          </cell>
          <cell r="G912">
            <v>0</v>
          </cell>
          <cell r="H912">
            <v>0</v>
          </cell>
          <cell r="I912">
            <v>0</v>
          </cell>
          <cell r="J912">
            <v>0</v>
          </cell>
          <cell r="K912">
            <v>0</v>
          </cell>
        </row>
        <row r="913">
          <cell r="A913" t="str">
            <v>16DHEZN</v>
          </cell>
          <cell r="B913" t="str">
            <v>CREDIT.BANK OF NOVA SCOTIA ME, BBC, BCC, EXT</v>
          </cell>
          <cell r="C913">
            <v>0</v>
          </cell>
          <cell r="D913">
            <v>0</v>
          </cell>
          <cell r="E913">
            <v>0</v>
          </cell>
          <cell r="F913">
            <v>0</v>
          </cell>
          <cell r="G913">
            <v>0</v>
          </cell>
          <cell r="H913">
            <v>0</v>
          </cell>
          <cell r="I913">
            <v>0</v>
          </cell>
          <cell r="J913">
            <v>0</v>
          </cell>
          <cell r="K913">
            <v>0</v>
          </cell>
        </row>
        <row r="914">
          <cell r="A914" t="str">
            <v>16CEEZN</v>
          </cell>
          <cell r="B914" t="str">
            <v>CRED.NATIONALE PARIS ME, BBC, BCC, EXT</v>
          </cell>
          <cell r="C914">
            <v>0</v>
          </cell>
          <cell r="D914">
            <v>0</v>
          </cell>
          <cell r="E914">
            <v>0</v>
          </cell>
          <cell r="F914">
            <v>0</v>
          </cell>
          <cell r="G914">
            <v>0</v>
          </cell>
          <cell r="H914">
            <v>0</v>
          </cell>
          <cell r="I914">
            <v>0</v>
          </cell>
          <cell r="J914">
            <v>0</v>
          </cell>
          <cell r="K914">
            <v>0</v>
          </cell>
        </row>
        <row r="915">
          <cell r="A915" t="str">
            <v>16CFEZN</v>
          </cell>
          <cell r="B915" t="str">
            <v>CREDITO BID  ME, BBC, BCC, EXT</v>
          </cell>
          <cell r="C915">
            <v>0</v>
          </cell>
          <cell r="D915">
            <v>0</v>
          </cell>
          <cell r="E915">
            <v>0</v>
          </cell>
          <cell r="F915">
            <v>0</v>
          </cell>
          <cell r="G915">
            <v>0</v>
          </cell>
          <cell r="H915">
            <v>0</v>
          </cell>
          <cell r="I915">
            <v>0</v>
          </cell>
          <cell r="J915">
            <v>0</v>
          </cell>
          <cell r="K915">
            <v>0</v>
          </cell>
        </row>
        <row r="916">
          <cell r="A916" t="str">
            <v>16DFEZN</v>
          </cell>
          <cell r="B916" t="str">
            <v>CRED.CONSOR.BCOS.SUIZOS. ME, BBC, BCC, EXT</v>
          </cell>
          <cell r="C916">
            <v>0</v>
          </cell>
          <cell r="D916">
            <v>0</v>
          </cell>
          <cell r="E916">
            <v>0</v>
          </cell>
          <cell r="F916">
            <v>0</v>
          </cell>
          <cell r="G916">
            <v>0</v>
          </cell>
          <cell r="H916">
            <v>0</v>
          </cell>
          <cell r="I916">
            <v>0</v>
          </cell>
          <cell r="J916">
            <v>0</v>
          </cell>
          <cell r="K916">
            <v>0</v>
          </cell>
        </row>
        <row r="917">
          <cell r="A917" t="str">
            <v>16CGEZN</v>
          </cell>
          <cell r="B917" t="str">
            <v>SERCOBE-ESPANA   ME, BBC, BCC, EXT</v>
          </cell>
          <cell r="C917">
            <v>0</v>
          </cell>
          <cell r="D917">
            <v>0</v>
          </cell>
          <cell r="E917">
            <v>0</v>
          </cell>
          <cell r="F917">
            <v>0</v>
          </cell>
          <cell r="G917">
            <v>0</v>
          </cell>
          <cell r="H917">
            <v>0</v>
          </cell>
          <cell r="I917">
            <v>0</v>
          </cell>
          <cell r="J917">
            <v>0</v>
          </cell>
          <cell r="K917">
            <v>0</v>
          </cell>
        </row>
        <row r="918">
          <cell r="A918" t="str">
            <v>16CHEZN</v>
          </cell>
          <cell r="B918" t="str">
            <v>CRED.CONSOR.BCOS.BELGAS ME, BBC, BCC, EXT</v>
          </cell>
          <cell r="C918">
            <v>0</v>
          </cell>
          <cell r="D918">
            <v>0</v>
          </cell>
          <cell r="E918">
            <v>0</v>
          </cell>
          <cell r="F918">
            <v>0</v>
          </cell>
          <cell r="G918">
            <v>0</v>
          </cell>
          <cell r="H918">
            <v>0</v>
          </cell>
          <cell r="I918">
            <v>0</v>
          </cell>
          <cell r="J918">
            <v>0</v>
          </cell>
          <cell r="K918">
            <v>0</v>
          </cell>
        </row>
        <row r="919">
          <cell r="A919" t="str">
            <v>16CIEZN</v>
          </cell>
          <cell r="B919" t="str">
            <v>CREDITO CHECOSLOVAQUIA  ME, BBC, BCC, EXT</v>
          </cell>
          <cell r="C919">
            <v>0</v>
          </cell>
          <cell r="D919">
            <v>0</v>
          </cell>
          <cell r="E919">
            <v>0</v>
          </cell>
          <cell r="F919">
            <v>0</v>
          </cell>
          <cell r="G919">
            <v>0</v>
          </cell>
          <cell r="H919">
            <v>0</v>
          </cell>
          <cell r="I919">
            <v>0</v>
          </cell>
          <cell r="J919">
            <v>0</v>
          </cell>
          <cell r="K919">
            <v>0</v>
          </cell>
        </row>
        <row r="920">
          <cell r="A920" t="str">
            <v>16CJEZN</v>
          </cell>
          <cell r="B920" t="str">
            <v>CREDITO AID  ME, BBC, BCC, EXT</v>
          </cell>
          <cell r="C920">
            <v>945</v>
          </cell>
          <cell r="D920">
            <v>970</v>
          </cell>
          <cell r="E920">
            <v>936</v>
          </cell>
          <cell r="F920">
            <v>908</v>
          </cell>
          <cell r="G920">
            <v>914</v>
          </cell>
          <cell r="H920">
            <v>898</v>
          </cell>
          <cell r="I920">
            <v>795</v>
          </cell>
          <cell r="J920">
            <v>788</v>
          </cell>
          <cell r="K920">
            <v>749</v>
          </cell>
        </row>
        <row r="921">
          <cell r="A921" t="str">
            <v>16CPEZN</v>
          </cell>
          <cell r="B921" t="str">
            <v>BANK OF TOKYO  ME, BBC, BCC, EXT</v>
          </cell>
          <cell r="C921">
            <v>0</v>
          </cell>
          <cell r="D921">
            <v>0</v>
          </cell>
          <cell r="E921">
            <v>0</v>
          </cell>
          <cell r="F921">
            <v>0</v>
          </cell>
          <cell r="G921">
            <v>0</v>
          </cell>
          <cell r="H921">
            <v>0</v>
          </cell>
          <cell r="I921">
            <v>0</v>
          </cell>
          <cell r="J921">
            <v>0</v>
          </cell>
          <cell r="K921">
            <v>0</v>
          </cell>
        </row>
        <row r="922">
          <cell r="A922" t="str">
            <v>16CQEZN</v>
          </cell>
          <cell r="B922" t="str">
            <v>BANCO DO BRASIL ME, BBC, BCC, EXT</v>
          </cell>
          <cell r="C922">
            <v>0</v>
          </cell>
          <cell r="D922">
            <v>0</v>
          </cell>
          <cell r="E922">
            <v>0</v>
          </cell>
          <cell r="F922">
            <v>0</v>
          </cell>
          <cell r="G922">
            <v>0</v>
          </cell>
          <cell r="H922">
            <v>0</v>
          </cell>
          <cell r="I922">
            <v>0</v>
          </cell>
          <cell r="J922">
            <v>0</v>
          </cell>
          <cell r="K922">
            <v>0</v>
          </cell>
        </row>
        <row r="923">
          <cell r="A923" t="str">
            <v>16CCEZN</v>
          </cell>
          <cell r="B923" t="str">
            <v>CONSOR.BCOS.AGTE.W.FARGO ME, BBC, BCC, EXT</v>
          </cell>
          <cell r="C923">
            <v>0</v>
          </cell>
          <cell r="D923">
            <v>0</v>
          </cell>
          <cell r="E923">
            <v>0</v>
          </cell>
          <cell r="F923">
            <v>0</v>
          </cell>
          <cell r="G923">
            <v>0</v>
          </cell>
          <cell r="H923">
            <v>0</v>
          </cell>
          <cell r="I923">
            <v>0</v>
          </cell>
          <cell r="J923">
            <v>0</v>
          </cell>
          <cell r="K923">
            <v>0</v>
          </cell>
        </row>
        <row r="924">
          <cell r="A924" t="str">
            <v>16DIEZN</v>
          </cell>
          <cell r="B924" t="str">
            <v>CREDI.BANCO EXT.ESPANA  ME, BBC, BCC, EXT</v>
          </cell>
          <cell r="C924">
            <v>0</v>
          </cell>
          <cell r="D924">
            <v>0</v>
          </cell>
          <cell r="E924">
            <v>0</v>
          </cell>
          <cell r="F924">
            <v>0</v>
          </cell>
          <cell r="G924">
            <v>0</v>
          </cell>
          <cell r="H924">
            <v>0</v>
          </cell>
          <cell r="I924">
            <v>0</v>
          </cell>
          <cell r="J924">
            <v>0</v>
          </cell>
          <cell r="K924">
            <v>0</v>
          </cell>
        </row>
        <row r="925">
          <cell r="A925" t="str">
            <v>16CUEZN</v>
          </cell>
          <cell r="B925" t="str">
            <v>CREDITO BULGARIA ME, BBC, BCC, EXT</v>
          </cell>
          <cell r="C925">
            <v>0</v>
          </cell>
          <cell r="D925">
            <v>0</v>
          </cell>
          <cell r="E925">
            <v>0</v>
          </cell>
          <cell r="F925">
            <v>0</v>
          </cell>
          <cell r="G925">
            <v>0</v>
          </cell>
          <cell r="H925">
            <v>0</v>
          </cell>
          <cell r="I925">
            <v>0</v>
          </cell>
          <cell r="J925">
            <v>0</v>
          </cell>
          <cell r="K925">
            <v>0</v>
          </cell>
        </row>
        <row r="926">
          <cell r="A926" t="str">
            <v>16CVEZN</v>
          </cell>
          <cell r="B926" t="str">
            <v>BCO.NAC.COM.EXTER-MEXICO ME, BBC, BCC, EXT</v>
          </cell>
          <cell r="C926">
            <v>0</v>
          </cell>
          <cell r="D926">
            <v>0</v>
          </cell>
          <cell r="E926">
            <v>0</v>
          </cell>
          <cell r="F926">
            <v>0</v>
          </cell>
          <cell r="G926">
            <v>0</v>
          </cell>
          <cell r="H926">
            <v>0</v>
          </cell>
          <cell r="I926">
            <v>0</v>
          </cell>
          <cell r="J926">
            <v>0</v>
          </cell>
          <cell r="K926">
            <v>0</v>
          </cell>
        </row>
        <row r="927">
          <cell r="A927" t="str">
            <v>16CWEZN</v>
          </cell>
          <cell r="B927" t="str">
            <v>CREDI.REP.DEMOCR.ALEMANIA  ME, BBC, BCC, EXT</v>
          </cell>
          <cell r="C927">
            <v>0</v>
          </cell>
          <cell r="D927">
            <v>0</v>
          </cell>
          <cell r="E927">
            <v>0</v>
          </cell>
          <cell r="F927">
            <v>0</v>
          </cell>
          <cell r="G927">
            <v>0</v>
          </cell>
          <cell r="H927">
            <v>0</v>
          </cell>
          <cell r="I927">
            <v>0</v>
          </cell>
          <cell r="J927">
            <v>0</v>
          </cell>
          <cell r="K927">
            <v>0</v>
          </cell>
        </row>
        <row r="928">
          <cell r="A928" t="str">
            <v>16DAEZN</v>
          </cell>
          <cell r="B928" t="str">
            <v>CRED.ARGENTINO  ME, BBC, BCC, EXT</v>
          </cell>
          <cell r="C928">
            <v>0</v>
          </cell>
          <cell r="D928">
            <v>0</v>
          </cell>
          <cell r="E928">
            <v>0</v>
          </cell>
          <cell r="F928">
            <v>0</v>
          </cell>
          <cell r="G928">
            <v>0</v>
          </cell>
          <cell r="H928">
            <v>0</v>
          </cell>
          <cell r="I928">
            <v>0</v>
          </cell>
          <cell r="J928">
            <v>0</v>
          </cell>
          <cell r="K928">
            <v>0</v>
          </cell>
        </row>
        <row r="929">
          <cell r="A929" t="str">
            <v>16DPEZN</v>
          </cell>
          <cell r="B929" t="str">
            <v>CREDITO MANUFACTURERS HANOVER TRUST CO NEW YORK, BBC, BCC, E</v>
          </cell>
          <cell r="C929">
            <v>0</v>
          </cell>
          <cell r="D929">
            <v>0</v>
          </cell>
          <cell r="E929">
            <v>0</v>
          </cell>
          <cell r="F929">
            <v>0</v>
          </cell>
          <cell r="G929">
            <v>0</v>
          </cell>
          <cell r="H929">
            <v>0</v>
          </cell>
          <cell r="I929">
            <v>0</v>
          </cell>
          <cell r="J929">
            <v>0</v>
          </cell>
          <cell r="K929">
            <v>0</v>
          </cell>
        </row>
        <row r="930">
          <cell r="A930" t="str">
            <v>16DLEZN</v>
          </cell>
          <cell r="B930" t="str">
            <v>CRED.WESTDEUTSCHG LANDESBANK, BBC, BCC, EXT</v>
          </cell>
          <cell r="C930">
            <v>0</v>
          </cell>
          <cell r="D930">
            <v>0</v>
          </cell>
          <cell r="E930">
            <v>0</v>
          </cell>
          <cell r="F930">
            <v>0</v>
          </cell>
          <cell r="G930">
            <v>0</v>
          </cell>
          <cell r="H930">
            <v>0</v>
          </cell>
          <cell r="I930">
            <v>0</v>
          </cell>
          <cell r="J930">
            <v>0</v>
          </cell>
          <cell r="K930">
            <v>0</v>
          </cell>
        </row>
        <row r="931">
          <cell r="A931" t="str">
            <v>16DMEZN</v>
          </cell>
          <cell r="B931" t="str">
            <v>CRED.LLOYDS BANK INTERNATIONAL ME, BBC, BCC, EXT</v>
          </cell>
          <cell r="C931">
            <v>0</v>
          </cell>
          <cell r="D931">
            <v>0</v>
          </cell>
          <cell r="E931">
            <v>0</v>
          </cell>
          <cell r="F931">
            <v>0</v>
          </cell>
          <cell r="G931">
            <v>0</v>
          </cell>
          <cell r="H931">
            <v>0</v>
          </cell>
          <cell r="I931">
            <v>0</v>
          </cell>
          <cell r="J931">
            <v>0</v>
          </cell>
          <cell r="K931">
            <v>0</v>
          </cell>
        </row>
        <row r="932">
          <cell r="A932" t="str">
            <v>16DNEZN</v>
          </cell>
          <cell r="B932" t="str">
            <v>CREDITO AUSTRIA, BBC, BCC, EXT</v>
          </cell>
          <cell r="C932">
            <v>0</v>
          </cell>
          <cell r="D932">
            <v>0</v>
          </cell>
          <cell r="E932">
            <v>0</v>
          </cell>
          <cell r="F932">
            <v>0</v>
          </cell>
          <cell r="G932">
            <v>0</v>
          </cell>
          <cell r="H932">
            <v>0</v>
          </cell>
          <cell r="I932">
            <v>0</v>
          </cell>
          <cell r="J932">
            <v>0</v>
          </cell>
          <cell r="K932">
            <v>0</v>
          </cell>
        </row>
        <row r="933">
          <cell r="A933" t="str">
            <v>16DKEZN</v>
          </cell>
          <cell r="B933" t="str">
            <v>CREDITO  PERU  ME, BBC, BCC, EXT</v>
          </cell>
          <cell r="C933">
            <v>0</v>
          </cell>
          <cell r="D933">
            <v>0</v>
          </cell>
          <cell r="E933">
            <v>0</v>
          </cell>
          <cell r="F933">
            <v>0</v>
          </cell>
          <cell r="G933">
            <v>0</v>
          </cell>
          <cell r="H933">
            <v>0</v>
          </cell>
          <cell r="I933">
            <v>0</v>
          </cell>
          <cell r="J933">
            <v>0</v>
          </cell>
          <cell r="K933">
            <v>0</v>
          </cell>
        </row>
        <row r="934">
          <cell r="A934" t="str">
            <v>16DQEZN</v>
          </cell>
          <cell r="B934" t="str">
            <v>CREDITO THE MITSUI BANK LIMITED, BBC, BCC, EXT</v>
          </cell>
          <cell r="C934">
            <v>0</v>
          </cell>
          <cell r="D934">
            <v>0</v>
          </cell>
          <cell r="E934">
            <v>0</v>
          </cell>
          <cell r="F934">
            <v>0</v>
          </cell>
          <cell r="G934">
            <v>0</v>
          </cell>
          <cell r="H934">
            <v>0</v>
          </cell>
          <cell r="I934">
            <v>0</v>
          </cell>
          <cell r="J934">
            <v>0</v>
          </cell>
          <cell r="K934">
            <v>0</v>
          </cell>
        </row>
        <row r="935">
          <cell r="A935" t="str">
            <v>16CYEZN</v>
          </cell>
          <cell r="B935" t="str">
            <v>CANADIAN IMPERIAL BANK OF COMMERCE LONDON UK ME, BBC, BCC, E</v>
          </cell>
          <cell r="C935">
            <v>0</v>
          </cell>
          <cell r="D935">
            <v>0</v>
          </cell>
          <cell r="E935">
            <v>0</v>
          </cell>
          <cell r="F935">
            <v>0</v>
          </cell>
          <cell r="G935">
            <v>0</v>
          </cell>
          <cell r="H935">
            <v>0</v>
          </cell>
          <cell r="I935">
            <v>0</v>
          </cell>
          <cell r="J935">
            <v>0</v>
          </cell>
          <cell r="K935">
            <v>0</v>
          </cell>
        </row>
        <row r="936">
          <cell r="A936" t="str">
            <v>16CZEZN</v>
          </cell>
          <cell r="B936" t="str">
            <v>CRED. THE FIRST NATIONAL BANK OF CHICAGO LTD.ME, BBC, BCC, E</v>
          </cell>
          <cell r="C936">
            <v>0</v>
          </cell>
          <cell r="D936">
            <v>0</v>
          </cell>
          <cell r="E936">
            <v>0</v>
          </cell>
          <cell r="F936">
            <v>0</v>
          </cell>
          <cell r="G936">
            <v>0</v>
          </cell>
          <cell r="H936">
            <v>0</v>
          </cell>
          <cell r="I936">
            <v>0</v>
          </cell>
          <cell r="J936">
            <v>0</v>
          </cell>
          <cell r="K936">
            <v>0</v>
          </cell>
        </row>
        <row r="937">
          <cell r="A937" t="str">
            <v>16DREZN</v>
          </cell>
          <cell r="B937" t="str">
            <v>RENEG.83-84 (MANUFA HANOVER) US$ 1.300 MILL.ME, BBC, BCC, EX</v>
          </cell>
          <cell r="C937">
            <v>0</v>
          </cell>
          <cell r="D937">
            <v>0</v>
          </cell>
          <cell r="E937">
            <v>0</v>
          </cell>
          <cell r="F937">
            <v>0</v>
          </cell>
          <cell r="G937">
            <v>0</v>
          </cell>
          <cell r="H937">
            <v>0</v>
          </cell>
          <cell r="I937">
            <v>0</v>
          </cell>
          <cell r="J937">
            <v>0</v>
          </cell>
          <cell r="K937">
            <v>0</v>
          </cell>
        </row>
        <row r="938">
          <cell r="A938" t="str">
            <v>16DTEZN</v>
          </cell>
          <cell r="B938" t="str">
            <v>CONVENIO DE REESTRUCTURACION DE LA DEUDA EXTERNA M, BBC, BCC</v>
          </cell>
          <cell r="C938">
            <v>0</v>
          </cell>
          <cell r="D938">
            <v>0</v>
          </cell>
          <cell r="E938">
            <v>0</v>
          </cell>
          <cell r="F938">
            <v>0</v>
          </cell>
          <cell r="G938">
            <v>0</v>
          </cell>
          <cell r="H938">
            <v>0</v>
          </cell>
          <cell r="I938">
            <v>0</v>
          </cell>
          <cell r="J938">
            <v>0</v>
          </cell>
          <cell r="K938">
            <v>0</v>
          </cell>
        </row>
        <row r="939">
          <cell r="A939" t="str">
            <v>16DUEZN</v>
          </cell>
          <cell r="B939" t="str">
            <v>CRED.RENEG.83-84 (MANUFACT.HANOVER) US$ 780 MILL.M, BBC, BCC</v>
          </cell>
          <cell r="C939">
            <v>0</v>
          </cell>
          <cell r="D939">
            <v>0</v>
          </cell>
          <cell r="E939">
            <v>0</v>
          </cell>
          <cell r="F939">
            <v>0</v>
          </cell>
          <cell r="G939">
            <v>0</v>
          </cell>
          <cell r="H939">
            <v>0</v>
          </cell>
          <cell r="I939">
            <v>0</v>
          </cell>
          <cell r="J939">
            <v>0</v>
          </cell>
          <cell r="K939">
            <v>0</v>
          </cell>
        </row>
        <row r="940">
          <cell r="A940" t="str">
            <v>16DVEZN</v>
          </cell>
          <cell r="B940" t="str">
            <v>CREDITO CREDIT SUISSE PANAMA ME, BBC, BCC, EXT</v>
          </cell>
          <cell r="C940">
            <v>0</v>
          </cell>
          <cell r="D940">
            <v>0</v>
          </cell>
          <cell r="E940">
            <v>0</v>
          </cell>
          <cell r="F940">
            <v>0</v>
          </cell>
          <cell r="G940">
            <v>0</v>
          </cell>
          <cell r="H940">
            <v>0</v>
          </cell>
          <cell r="I940">
            <v>0</v>
          </cell>
          <cell r="J940">
            <v>0</v>
          </cell>
          <cell r="K940">
            <v>0</v>
          </cell>
        </row>
        <row r="941">
          <cell r="A941" t="str">
            <v>16DYEZN</v>
          </cell>
          <cell r="B941" t="str">
            <v>CONVENIO CRED.US$785 MILL.AG.MANUFACTURERS HANOVER, BBC, BCC</v>
          </cell>
          <cell r="C941">
            <v>0</v>
          </cell>
          <cell r="D941">
            <v>0</v>
          </cell>
          <cell r="E941">
            <v>0</v>
          </cell>
          <cell r="F941">
            <v>0</v>
          </cell>
          <cell r="G941">
            <v>0</v>
          </cell>
          <cell r="H941">
            <v>0</v>
          </cell>
          <cell r="I941">
            <v>0</v>
          </cell>
          <cell r="J941">
            <v>0</v>
          </cell>
          <cell r="K941">
            <v>0</v>
          </cell>
        </row>
        <row r="942">
          <cell r="A942" t="str">
            <v>16ASEZN</v>
          </cell>
          <cell r="B942" t="str">
            <v>PASIVOS CON EL EXTERIOR DEL BCO.CONTIN.ASUM POR BC, BBC, BCC</v>
          </cell>
          <cell r="C942">
            <v>0</v>
          </cell>
          <cell r="D942">
            <v>0</v>
          </cell>
          <cell r="E942">
            <v>0</v>
          </cell>
          <cell r="F942">
            <v>0</v>
          </cell>
          <cell r="G942">
            <v>0</v>
          </cell>
          <cell r="H942">
            <v>0</v>
          </cell>
          <cell r="I942">
            <v>0</v>
          </cell>
          <cell r="J942">
            <v>0</v>
          </cell>
          <cell r="K942">
            <v>0</v>
          </cell>
        </row>
        <row r="943">
          <cell r="A943" t="str">
            <v>16DZEZN</v>
          </cell>
          <cell r="B943" t="str">
            <v>REESTRUCTURACION DEUDA EXTERNA (1985/1987) ME, BBC, BCC, EXT</v>
          </cell>
          <cell r="C943">
            <v>0</v>
          </cell>
          <cell r="D943">
            <v>0</v>
          </cell>
          <cell r="E943">
            <v>0</v>
          </cell>
          <cell r="F943">
            <v>0</v>
          </cell>
          <cell r="G943">
            <v>0</v>
          </cell>
          <cell r="H943">
            <v>0</v>
          </cell>
          <cell r="I943">
            <v>0</v>
          </cell>
          <cell r="J943">
            <v>0</v>
          </cell>
          <cell r="K943">
            <v>0</v>
          </cell>
        </row>
        <row r="944">
          <cell r="A944" t="str">
            <v>16ATEZN</v>
          </cell>
          <cell r="B944" t="str">
            <v>REESTRUCTURACION DEUDA EXTERNA 1988-1991 ME, BBC, BCC, EXT</v>
          </cell>
          <cell r="C944">
            <v>0</v>
          </cell>
          <cell r="D944">
            <v>0</v>
          </cell>
          <cell r="E944">
            <v>0</v>
          </cell>
          <cell r="F944">
            <v>0</v>
          </cell>
          <cell r="G944">
            <v>0</v>
          </cell>
          <cell r="H944">
            <v>0</v>
          </cell>
          <cell r="I944">
            <v>0</v>
          </cell>
          <cell r="J944">
            <v>0</v>
          </cell>
          <cell r="K944">
            <v>0</v>
          </cell>
        </row>
        <row r="945">
          <cell r="A945" t="str">
            <v>16COEZN</v>
          </cell>
          <cell r="B945" t="str">
            <v>LINEA CREDITO CONTRATO EURODOLARES ME, BBC, BCC, EXT</v>
          </cell>
          <cell r="C945">
            <v>0</v>
          </cell>
          <cell r="D945">
            <v>0</v>
          </cell>
          <cell r="E945">
            <v>0</v>
          </cell>
          <cell r="F945">
            <v>0</v>
          </cell>
          <cell r="G945">
            <v>0</v>
          </cell>
          <cell r="H945">
            <v>0</v>
          </cell>
          <cell r="I945">
            <v>0</v>
          </cell>
          <cell r="J945">
            <v>0</v>
          </cell>
          <cell r="K945">
            <v>0</v>
          </cell>
        </row>
        <row r="946">
          <cell r="A946" t="str">
            <v>16EBEZN</v>
          </cell>
          <cell r="B946" t="str">
            <v>CREDITO RECIB.C.GAR.DE INST.FINANC.(REPOS), BBC, BCC, EXT</v>
          </cell>
          <cell r="C946">
            <v>0</v>
          </cell>
          <cell r="D946">
            <v>0</v>
          </cell>
          <cell r="E946">
            <v>0</v>
          </cell>
          <cell r="F946">
            <v>0</v>
          </cell>
          <cell r="G946">
            <v>0</v>
          </cell>
          <cell r="H946">
            <v>0</v>
          </cell>
          <cell r="I946">
            <v>0</v>
          </cell>
          <cell r="J946">
            <v>0</v>
          </cell>
          <cell r="K946">
            <v>0</v>
          </cell>
        </row>
        <row r="947">
          <cell r="A947" t="str">
            <v>16BQEZN</v>
          </cell>
          <cell r="B947" t="str">
            <v>V.A. PAISES SOCIAL. SUJ.RENEG., BBC, BCC, EXT</v>
          </cell>
          <cell r="C947">
            <v>0</v>
          </cell>
          <cell r="D947">
            <v>0</v>
          </cell>
          <cell r="E947">
            <v>0</v>
          </cell>
          <cell r="F947">
            <v>0</v>
          </cell>
          <cell r="G947">
            <v>0</v>
          </cell>
          <cell r="H947">
            <v>0</v>
          </cell>
          <cell r="I947">
            <v>0</v>
          </cell>
          <cell r="J947">
            <v>0</v>
          </cell>
          <cell r="K947">
            <v>0</v>
          </cell>
        </row>
        <row r="948">
          <cell r="A948" t="str">
            <v>16CNEZN</v>
          </cell>
          <cell r="B948" t="str">
            <v>RENEG.DEUDA EXTERNA ME, BBC, BCC, EXT</v>
          </cell>
          <cell r="C948">
            <v>0</v>
          </cell>
          <cell r="D948">
            <v>0</v>
          </cell>
          <cell r="E948">
            <v>0</v>
          </cell>
          <cell r="F948">
            <v>0</v>
          </cell>
          <cell r="G948">
            <v>0</v>
          </cell>
          <cell r="H948">
            <v>0</v>
          </cell>
          <cell r="I948">
            <v>0</v>
          </cell>
          <cell r="J948">
            <v>0</v>
          </cell>
          <cell r="K948">
            <v>0</v>
          </cell>
        </row>
        <row r="949">
          <cell r="A949" t="str">
            <v>16LEEZN</v>
          </cell>
          <cell r="B949" t="str">
            <v>DEPOSITOS A PLAZO BCOS. DEL EXTERIOR ME, BBC, BCC, EXT</v>
          </cell>
          <cell r="C949">
            <v>0</v>
          </cell>
          <cell r="D949">
            <v>0</v>
          </cell>
          <cell r="E949">
            <v>0</v>
          </cell>
          <cell r="F949">
            <v>0</v>
          </cell>
          <cell r="G949">
            <v>0</v>
          </cell>
          <cell r="H949">
            <v>0</v>
          </cell>
          <cell r="I949">
            <v>0</v>
          </cell>
          <cell r="J949">
            <v>0</v>
          </cell>
          <cell r="K949">
            <v>0</v>
          </cell>
        </row>
        <row r="950">
          <cell r="A950" t="str">
            <v>16DDEZN</v>
          </cell>
          <cell r="B950" t="str">
            <v>PAGARE PLAN FINANCIERO 1983-1984 ACDO'1496  ME, BBC, BCC, EX</v>
          </cell>
          <cell r="C950">
            <v>0</v>
          </cell>
          <cell r="D950">
            <v>0</v>
          </cell>
          <cell r="E950">
            <v>0</v>
          </cell>
          <cell r="F950">
            <v>0</v>
          </cell>
          <cell r="G950">
            <v>0</v>
          </cell>
          <cell r="H950">
            <v>0</v>
          </cell>
          <cell r="I950">
            <v>0</v>
          </cell>
          <cell r="J950">
            <v>0</v>
          </cell>
          <cell r="K950">
            <v>0</v>
          </cell>
        </row>
        <row r="951">
          <cell r="A951" t="str">
            <v>16CXEZN</v>
          </cell>
          <cell r="B951" t="str">
            <v xml:space="preserve">DEPS.AMORTIZAC.DIFERIDOS DE CDTOS.EXT.AC.1506 ME, BBC, BCC, </v>
          </cell>
          <cell r="C951">
            <v>0</v>
          </cell>
          <cell r="D951">
            <v>0</v>
          </cell>
          <cell r="E951">
            <v>0</v>
          </cell>
          <cell r="F951">
            <v>0</v>
          </cell>
          <cell r="G951">
            <v>0</v>
          </cell>
          <cell r="H951">
            <v>0</v>
          </cell>
          <cell r="I951">
            <v>0</v>
          </cell>
          <cell r="J951">
            <v>0</v>
          </cell>
          <cell r="K951">
            <v>0</v>
          </cell>
        </row>
        <row r="952">
          <cell r="A952" t="str">
            <v>16AMEZN</v>
          </cell>
          <cell r="B952" t="str">
            <v>DEPOSITOS DE BANCOS DEL EXTERIOR P.PLAN FINANC.ME, BBC, BCC,</v>
          </cell>
          <cell r="C952">
            <v>0</v>
          </cell>
          <cell r="D952">
            <v>0</v>
          </cell>
          <cell r="E952">
            <v>0</v>
          </cell>
          <cell r="F952">
            <v>0</v>
          </cell>
          <cell r="G952">
            <v>0</v>
          </cell>
          <cell r="H952">
            <v>0</v>
          </cell>
          <cell r="I952">
            <v>0</v>
          </cell>
          <cell r="J952">
            <v>0</v>
          </cell>
          <cell r="K952">
            <v>0</v>
          </cell>
        </row>
        <row r="953">
          <cell r="A953" t="str">
            <v>16DSEZN</v>
          </cell>
          <cell r="B953" t="str">
            <v>DEPOSITOS A CTA.PROGRAMA REESTRUCT.DEUDA EXTERNA M, BBC, BCC</v>
          </cell>
          <cell r="C953">
            <v>0</v>
          </cell>
          <cell r="D953">
            <v>0</v>
          </cell>
          <cell r="E953">
            <v>0</v>
          </cell>
          <cell r="F953">
            <v>0</v>
          </cell>
          <cell r="G953">
            <v>0</v>
          </cell>
          <cell r="H953">
            <v>0</v>
          </cell>
          <cell r="I953">
            <v>0</v>
          </cell>
          <cell r="J953">
            <v>0</v>
          </cell>
          <cell r="K953">
            <v>0</v>
          </cell>
        </row>
        <row r="954">
          <cell r="A954" t="str">
            <v>16DWEZN</v>
          </cell>
          <cell r="B954" t="str">
            <v>DEPOS.AMORTIZACION DIFERIDAS DE CRED.EXT.AC.1619 M, BBC, BCC</v>
          </cell>
          <cell r="C954">
            <v>0</v>
          </cell>
          <cell r="D954">
            <v>0</v>
          </cell>
          <cell r="E954">
            <v>0</v>
          </cell>
          <cell r="F954">
            <v>0</v>
          </cell>
          <cell r="G954">
            <v>0</v>
          </cell>
          <cell r="H954">
            <v>0</v>
          </cell>
          <cell r="I954">
            <v>0</v>
          </cell>
          <cell r="J954">
            <v>0</v>
          </cell>
          <cell r="K954">
            <v>0</v>
          </cell>
        </row>
        <row r="955">
          <cell r="A955" t="str">
            <v>16DXEZN</v>
          </cell>
          <cell r="B955" t="str">
            <v>DEPOSITOS BANCO EXTERIOR DE ESPANA SA ACDO 1872 MN, BBC, BCC</v>
          </cell>
          <cell r="C955">
            <v>0</v>
          </cell>
          <cell r="D955">
            <v>0</v>
          </cell>
          <cell r="E955">
            <v>0</v>
          </cell>
          <cell r="F955">
            <v>0</v>
          </cell>
          <cell r="G955">
            <v>0</v>
          </cell>
          <cell r="H955">
            <v>0</v>
          </cell>
          <cell r="I955">
            <v>0</v>
          </cell>
          <cell r="J955">
            <v>0</v>
          </cell>
          <cell r="K955">
            <v>0</v>
          </cell>
        </row>
        <row r="956">
          <cell r="A956" t="str">
            <v>16EAEZN</v>
          </cell>
          <cell r="B956" t="str">
            <v xml:space="preserve">CTA.CTE CORREDORES OPERACIONES A FUTURO HABER ME, BBC, BCC, </v>
          </cell>
          <cell r="C956">
            <v>0</v>
          </cell>
          <cell r="D956">
            <v>0</v>
          </cell>
          <cell r="E956">
            <v>0</v>
          </cell>
          <cell r="F956">
            <v>0</v>
          </cell>
          <cell r="G956">
            <v>0</v>
          </cell>
          <cell r="H956">
            <v>0</v>
          </cell>
          <cell r="I956">
            <v>0</v>
          </cell>
          <cell r="J956">
            <v>0</v>
          </cell>
          <cell r="K956">
            <v>0</v>
          </cell>
        </row>
        <row r="957">
          <cell r="A957" t="str">
            <v>-</v>
          </cell>
          <cell r="B957" t="str">
            <v>CTA. CON BIRF MN, BBC, BCC, EXT</v>
          </cell>
          <cell r="C957">
            <v>0</v>
          </cell>
          <cell r="D957">
            <v>0</v>
          </cell>
          <cell r="E957">
            <v>0</v>
          </cell>
          <cell r="F957">
            <v>0</v>
          </cell>
          <cell r="G957">
            <v>0</v>
          </cell>
          <cell r="H957">
            <v>0</v>
          </cell>
          <cell r="I957">
            <v>0</v>
          </cell>
          <cell r="J957">
            <v>0</v>
          </cell>
          <cell r="K957">
            <v>0</v>
          </cell>
        </row>
        <row r="958">
          <cell r="A958" t="str">
            <v>-</v>
          </cell>
          <cell r="B958" t="str">
            <v>CTA.CON BID  MN, BBC, BCC, EXT</v>
          </cell>
          <cell r="C958">
            <v>0</v>
          </cell>
          <cell r="D958">
            <v>0</v>
          </cell>
          <cell r="E958">
            <v>0</v>
          </cell>
          <cell r="F958">
            <v>0</v>
          </cell>
          <cell r="G958">
            <v>0</v>
          </cell>
          <cell r="H958">
            <v>0</v>
          </cell>
          <cell r="I958">
            <v>0</v>
          </cell>
          <cell r="J958">
            <v>0</v>
          </cell>
          <cell r="K958">
            <v>0</v>
          </cell>
        </row>
        <row r="959">
          <cell r="A959" t="str">
            <v>-</v>
          </cell>
          <cell r="B959" t="str">
            <v>CTA. CON AIF MN, BBC, BCC, EXT</v>
          </cell>
          <cell r="C959">
            <v>0</v>
          </cell>
          <cell r="D959">
            <v>0</v>
          </cell>
          <cell r="E959">
            <v>0</v>
          </cell>
          <cell r="F959">
            <v>0</v>
          </cell>
          <cell r="G959">
            <v>0</v>
          </cell>
          <cell r="H959">
            <v>0</v>
          </cell>
          <cell r="I959">
            <v>0</v>
          </cell>
          <cell r="J959">
            <v>0</v>
          </cell>
          <cell r="K959">
            <v>0</v>
          </cell>
        </row>
        <row r="960">
          <cell r="A960" t="str">
            <v>17EBEZN</v>
          </cell>
          <cell r="B960" t="str">
            <v>BID-OBLIG.AUM.CAP.ORDIN. ME, BBC, BCC, EXT</v>
          </cell>
          <cell r="C960">
            <v>0</v>
          </cell>
          <cell r="D960">
            <v>67812</v>
          </cell>
          <cell r="E960">
            <v>65456</v>
          </cell>
          <cell r="F960">
            <v>63473</v>
          </cell>
          <cell r="G960">
            <v>63905</v>
          </cell>
          <cell r="H960">
            <v>62745</v>
          </cell>
          <cell r="I960">
            <v>63502</v>
          </cell>
          <cell r="J960">
            <v>62939</v>
          </cell>
          <cell r="K960">
            <v>59856</v>
          </cell>
        </row>
        <row r="961">
          <cell r="A961" t="str">
            <v>-</v>
          </cell>
          <cell r="B961" t="str">
            <v>CTA.CON AIF.CTA.F MN, BBC, BCC, EXT</v>
          </cell>
          <cell r="C961">
            <v>0</v>
          </cell>
          <cell r="D961">
            <v>0</v>
          </cell>
          <cell r="E961">
            <v>0</v>
          </cell>
          <cell r="F961">
            <v>0</v>
          </cell>
          <cell r="G961">
            <v>0</v>
          </cell>
          <cell r="H961">
            <v>0</v>
          </cell>
          <cell r="I961">
            <v>0</v>
          </cell>
          <cell r="J961">
            <v>0</v>
          </cell>
          <cell r="K961">
            <v>0</v>
          </cell>
        </row>
        <row r="962">
          <cell r="A962" t="str">
            <v>17DUEZN</v>
          </cell>
          <cell r="B962" t="str">
            <v>DIR.VIAL.MOP.FDO.ROT.2DO.PROY.PTMO.BIRF 2297 ME, BBC, BCC, E</v>
          </cell>
          <cell r="C962">
            <v>0</v>
          </cell>
          <cell r="D962">
            <v>0</v>
          </cell>
          <cell r="E962">
            <v>0</v>
          </cell>
          <cell r="F962">
            <v>0</v>
          </cell>
          <cell r="G962">
            <v>0</v>
          </cell>
          <cell r="H962">
            <v>0</v>
          </cell>
          <cell r="I962">
            <v>0</v>
          </cell>
          <cell r="J962">
            <v>0</v>
          </cell>
          <cell r="K962">
            <v>0</v>
          </cell>
        </row>
        <row r="963">
          <cell r="A963" t="str">
            <v>-</v>
          </cell>
          <cell r="B963" t="str">
            <v>ORGANISMO MULTILATERAL DE GARANTIA DE INVERSIONES, BBC, BCC,</v>
          </cell>
          <cell r="C963">
            <v>0</v>
          </cell>
          <cell r="D963">
            <v>0</v>
          </cell>
          <cell r="E963">
            <v>0</v>
          </cell>
          <cell r="F963">
            <v>0</v>
          </cell>
          <cell r="G963">
            <v>0</v>
          </cell>
          <cell r="H963">
            <v>0</v>
          </cell>
          <cell r="I963">
            <v>0</v>
          </cell>
          <cell r="J963">
            <v>0</v>
          </cell>
          <cell r="K963">
            <v>0</v>
          </cell>
        </row>
        <row r="964">
          <cell r="A964" t="str">
            <v>17EZEZN</v>
          </cell>
          <cell r="B964" t="str">
            <v>CUENTA ESPECIAL FONDOS ROTATORIOS PARA CRED.EXIMB., BBC, BCC</v>
          </cell>
          <cell r="C964">
            <v>0</v>
          </cell>
          <cell r="D964">
            <v>0</v>
          </cell>
          <cell r="E964">
            <v>0</v>
          </cell>
          <cell r="F964">
            <v>0</v>
          </cell>
          <cell r="G964">
            <v>0</v>
          </cell>
          <cell r="H964">
            <v>0</v>
          </cell>
          <cell r="I964">
            <v>0</v>
          </cell>
          <cell r="J964">
            <v>0</v>
          </cell>
          <cell r="K964">
            <v>0</v>
          </cell>
        </row>
        <row r="965">
          <cell r="A965" t="str">
            <v>14BCWZN</v>
          </cell>
          <cell r="B965" t="str">
            <v xml:space="preserve">  .OTROS PASIVOS C/EXTERIOR MN</v>
          </cell>
          <cell r="C965">
            <v>0</v>
          </cell>
          <cell r="D965">
            <v>0</v>
          </cell>
          <cell r="E965">
            <v>0</v>
          </cell>
          <cell r="F965">
            <v>0</v>
          </cell>
          <cell r="G965">
            <v>0</v>
          </cell>
          <cell r="H965">
            <v>0</v>
          </cell>
          <cell r="I965">
            <v>0</v>
          </cell>
          <cell r="J965">
            <v>0</v>
          </cell>
          <cell r="K965">
            <v>0</v>
          </cell>
        </row>
        <row r="966">
          <cell r="A966" t="str">
            <v>-</v>
          </cell>
          <cell r="B966" t="str">
            <v>INTERESES POR PAGAR ME, BBC, BCC, NAC</v>
          </cell>
          <cell r="C966">
            <v>0</v>
          </cell>
          <cell r="D966">
            <v>0</v>
          </cell>
          <cell r="E966">
            <v>0</v>
          </cell>
          <cell r="F966">
            <v>0</v>
          </cell>
          <cell r="G966">
            <v>0</v>
          </cell>
          <cell r="H966">
            <v>0</v>
          </cell>
          <cell r="I966">
            <v>0</v>
          </cell>
          <cell r="J966">
            <v>0</v>
          </cell>
          <cell r="K966">
            <v>0</v>
          </cell>
        </row>
        <row r="967">
          <cell r="A967" t="str">
            <v>14GLNZN</v>
          </cell>
          <cell r="B967" t="str">
            <v>COMISIONES POR PAGAR ME, BBC, BCC, NAC</v>
          </cell>
          <cell r="C967">
            <v>0</v>
          </cell>
          <cell r="D967">
            <v>0</v>
          </cell>
          <cell r="E967">
            <v>0</v>
          </cell>
          <cell r="F967">
            <v>0</v>
          </cell>
          <cell r="G967">
            <v>0</v>
          </cell>
          <cell r="H967">
            <v>0</v>
          </cell>
          <cell r="I967">
            <v>0</v>
          </cell>
          <cell r="J967">
            <v>0</v>
          </cell>
          <cell r="K967">
            <v>0</v>
          </cell>
        </row>
        <row r="968">
          <cell r="A968" t="str">
            <v>-</v>
          </cell>
          <cell r="B968" t="str">
            <v>PERDIDAS POR PAGAR SOBRE CONTRATOS COBERT.FUTURO M, BBC, BCC</v>
          </cell>
          <cell r="C968">
            <v>0</v>
          </cell>
          <cell r="D968">
            <v>0</v>
          </cell>
          <cell r="E968">
            <v>0</v>
          </cell>
          <cell r="F968">
            <v>0</v>
          </cell>
          <cell r="G968">
            <v>0</v>
          </cell>
          <cell r="H968">
            <v>0</v>
          </cell>
          <cell r="I968">
            <v>0</v>
          </cell>
          <cell r="J968">
            <v>0</v>
          </cell>
          <cell r="K968">
            <v>0</v>
          </cell>
        </row>
        <row r="969">
          <cell r="A969" t="str">
            <v>-</v>
          </cell>
          <cell r="B969" t="str">
            <v>VARIOS ACREEDORES INTS.POR CANC.CON ORIGEN C.18-19, BBC, BCC</v>
          </cell>
          <cell r="C969">
            <v>0</v>
          </cell>
          <cell r="D969">
            <v>0</v>
          </cell>
          <cell r="E969">
            <v>0</v>
          </cell>
          <cell r="F969">
            <v>0</v>
          </cell>
          <cell r="G969">
            <v>0</v>
          </cell>
          <cell r="H969">
            <v>0</v>
          </cell>
          <cell r="I969">
            <v>0</v>
          </cell>
          <cell r="J969">
            <v>0</v>
          </cell>
          <cell r="K969">
            <v>0</v>
          </cell>
        </row>
        <row r="970">
          <cell r="A970" t="str">
            <v>-</v>
          </cell>
          <cell r="B970" t="str">
            <v>DIFERENCIA DE PRECIO POR PAGAR POR SWAP ORO, BBC, BCC, NAC</v>
          </cell>
          <cell r="C970">
            <v>0</v>
          </cell>
          <cell r="D970">
            <v>0</v>
          </cell>
          <cell r="E970">
            <v>0</v>
          </cell>
          <cell r="F970">
            <v>0</v>
          </cell>
          <cell r="G970">
            <v>0</v>
          </cell>
          <cell r="H970">
            <v>0</v>
          </cell>
          <cell r="I970">
            <v>0</v>
          </cell>
          <cell r="J970">
            <v>0</v>
          </cell>
          <cell r="K970">
            <v>0</v>
          </cell>
        </row>
        <row r="971">
          <cell r="A971" t="str">
            <v>-</v>
          </cell>
          <cell r="B971" t="str">
            <v>ASIGNACIONES DEG, BBC, BCC, NAC</v>
          </cell>
          <cell r="C971">
            <v>0</v>
          </cell>
          <cell r="D971">
            <v>0</v>
          </cell>
          <cell r="E971">
            <v>0</v>
          </cell>
          <cell r="F971">
            <v>0</v>
          </cell>
          <cell r="G971">
            <v>0</v>
          </cell>
          <cell r="H971">
            <v>0</v>
          </cell>
          <cell r="I971">
            <v>0</v>
          </cell>
          <cell r="J971">
            <v>0</v>
          </cell>
          <cell r="K971">
            <v>0</v>
          </cell>
        </row>
        <row r="972">
          <cell r="A972" t="str">
            <v>-</v>
          </cell>
          <cell r="B972" t="str">
            <v>OBLIGACION DE RECOMPRA ORO VENDIDO ME, BBC, BCC, NAC</v>
          </cell>
          <cell r="C972">
            <v>0</v>
          </cell>
          <cell r="D972">
            <v>0</v>
          </cell>
          <cell r="E972">
            <v>0</v>
          </cell>
          <cell r="F972">
            <v>0</v>
          </cell>
          <cell r="G972">
            <v>0</v>
          </cell>
          <cell r="H972">
            <v>0</v>
          </cell>
          <cell r="I972">
            <v>0</v>
          </cell>
          <cell r="J972">
            <v>0</v>
          </cell>
          <cell r="K972">
            <v>0</v>
          </cell>
        </row>
        <row r="973">
          <cell r="A973" t="str">
            <v>14BCXZN</v>
          </cell>
          <cell r="B973" t="str">
            <v xml:space="preserve">  .OTROS PASIVOS C/EXTERIOR ME</v>
          </cell>
          <cell r="C973">
            <v>124252</v>
          </cell>
          <cell r="D973">
            <v>126539</v>
          </cell>
          <cell r="E973">
            <v>122594</v>
          </cell>
          <cell r="F973">
            <v>119935</v>
          </cell>
          <cell r="G973">
            <v>123510</v>
          </cell>
          <cell r="H973">
            <v>119802</v>
          </cell>
          <cell r="I973">
            <v>120626</v>
          </cell>
          <cell r="J973">
            <v>117997</v>
          </cell>
          <cell r="K973">
            <v>116610</v>
          </cell>
        </row>
        <row r="974">
          <cell r="A974" t="str">
            <v>17BGEZN</v>
          </cell>
          <cell r="B974" t="str">
            <v>INTERESES POR PAGAR ME, BBC, BCC, EXT</v>
          </cell>
          <cell r="C974">
            <v>612</v>
          </cell>
          <cell r="D974">
            <v>190</v>
          </cell>
          <cell r="E974">
            <v>374</v>
          </cell>
          <cell r="F974">
            <v>548</v>
          </cell>
          <cell r="G974">
            <v>11</v>
          </cell>
          <cell r="H974">
            <v>343</v>
          </cell>
          <cell r="I974">
            <v>494</v>
          </cell>
          <cell r="J974">
            <v>180</v>
          </cell>
          <cell r="K974">
            <v>304</v>
          </cell>
        </row>
        <row r="975">
          <cell r="A975" t="str">
            <v>14GLEZN</v>
          </cell>
          <cell r="B975" t="str">
            <v>COMISIONES POR PAGAR ME, BBC, BCC, EXT</v>
          </cell>
          <cell r="C975">
            <v>0</v>
          </cell>
          <cell r="D975">
            <v>0</v>
          </cell>
          <cell r="E975">
            <v>0</v>
          </cell>
          <cell r="F975">
            <v>0</v>
          </cell>
          <cell r="G975">
            <v>0</v>
          </cell>
          <cell r="H975">
            <v>0</v>
          </cell>
          <cell r="I975">
            <v>0</v>
          </cell>
          <cell r="J975">
            <v>0</v>
          </cell>
          <cell r="K975">
            <v>0</v>
          </cell>
        </row>
        <row r="976">
          <cell r="A976" t="str">
            <v>14GIEZN</v>
          </cell>
          <cell r="B976" t="str">
            <v>PERDIDAS POR PAGAR SOBRE CONTRATOS COBERT.FUTURO M, BBC, BCC</v>
          </cell>
          <cell r="C976">
            <v>0</v>
          </cell>
          <cell r="D976">
            <v>0</v>
          </cell>
          <cell r="E976">
            <v>0</v>
          </cell>
          <cell r="F976">
            <v>0</v>
          </cell>
          <cell r="G976">
            <v>0</v>
          </cell>
          <cell r="H976">
            <v>0</v>
          </cell>
          <cell r="I976">
            <v>0</v>
          </cell>
          <cell r="J976">
            <v>0</v>
          </cell>
          <cell r="K976">
            <v>0</v>
          </cell>
        </row>
        <row r="977">
          <cell r="A977" t="str">
            <v>17EIEZN</v>
          </cell>
          <cell r="B977" t="str">
            <v>VARIOS ACREEDORES INTS.POR CANC.CON ORIGEN C.18-19, BBC, BCC</v>
          </cell>
          <cell r="C977">
            <v>393</v>
          </cell>
          <cell r="D977">
            <v>403</v>
          </cell>
          <cell r="E977">
            <v>389</v>
          </cell>
          <cell r="F977">
            <v>377</v>
          </cell>
          <cell r="G977">
            <v>380</v>
          </cell>
          <cell r="H977">
            <v>373</v>
          </cell>
          <cell r="I977">
            <v>377</v>
          </cell>
          <cell r="J977">
            <v>374</v>
          </cell>
          <cell r="K977">
            <v>356</v>
          </cell>
        </row>
        <row r="978">
          <cell r="A978" t="str">
            <v>14GOEZN</v>
          </cell>
          <cell r="B978" t="str">
            <v>DIFERENCIA DE PRECIO POR PAGAR POR SWAP ORO, BBC, BCC, EXT</v>
          </cell>
          <cell r="C978">
            <v>0</v>
          </cell>
          <cell r="D978">
            <v>0</v>
          </cell>
          <cell r="E978">
            <v>0</v>
          </cell>
          <cell r="F978">
            <v>0</v>
          </cell>
          <cell r="G978">
            <v>0</v>
          </cell>
          <cell r="H978">
            <v>0</v>
          </cell>
          <cell r="I978">
            <v>0</v>
          </cell>
          <cell r="J978">
            <v>0</v>
          </cell>
          <cell r="K978">
            <v>0</v>
          </cell>
        </row>
        <row r="979">
          <cell r="A979" t="str">
            <v xml:space="preserve"> .1BDEZN</v>
          </cell>
          <cell r="B979" t="str">
            <v>ASIGNACIONES DEG, BBC, BCC, EXT</v>
          </cell>
          <cell r="C979">
            <v>123247</v>
          </cell>
          <cell r="D979">
            <v>125946</v>
          </cell>
          <cell r="E979">
            <v>121831</v>
          </cell>
          <cell r="F979">
            <v>119010</v>
          </cell>
          <cell r="G979">
            <v>123119</v>
          </cell>
          <cell r="H979">
            <v>119086</v>
          </cell>
          <cell r="I979">
            <v>119755</v>
          </cell>
          <cell r="J979">
            <v>117443</v>
          </cell>
          <cell r="K979">
            <v>115950</v>
          </cell>
        </row>
        <row r="980">
          <cell r="A980" t="str">
            <v>17BOEZN</v>
          </cell>
          <cell r="B980" t="str">
            <v>OBLIGACION DE RECOMPRA ORO VENDIDO ME, BBC, BCC, EXT</v>
          </cell>
          <cell r="C980">
            <v>0</v>
          </cell>
          <cell r="D980">
            <v>0</v>
          </cell>
          <cell r="E980">
            <v>0</v>
          </cell>
          <cell r="F980">
            <v>0</v>
          </cell>
          <cell r="G980">
            <v>0</v>
          </cell>
          <cell r="H980">
            <v>0</v>
          </cell>
          <cell r="I980">
            <v>0</v>
          </cell>
          <cell r="J980">
            <v>0</v>
          </cell>
          <cell r="K980">
            <v>0</v>
          </cell>
        </row>
        <row r="981">
          <cell r="A981" t="str">
            <v>17FNEZN</v>
          </cell>
          <cell r="B981" t="str">
            <v>AJUSTE A VALOR DE MERCADO POR, BBC, BCC, NAC</v>
          </cell>
          <cell r="C981">
            <v>0</v>
          </cell>
          <cell r="D981">
            <v>0</v>
          </cell>
          <cell r="E981">
            <v>0</v>
          </cell>
          <cell r="F981">
            <v>0</v>
          </cell>
          <cell r="G981">
            <v>0</v>
          </cell>
          <cell r="H981">
            <v>0</v>
          </cell>
          <cell r="I981">
            <v>0</v>
          </cell>
          <cell r="J981">
            <v>0</v>
          </cell>
          <cell r="K981">
            <v>0</v>
          </cell>
        </row>
        <row r="982">
          <cell r="A982" t="str">
            <v>14BDWZN</v>
          </cell>
          <cell r="B982" t="str">
            <v xml:space="preserve">  .BILLETES Y MONEDAS EN CIRC.</v>
          </cell>
          <cell r="C982">
            <v>3640919</v>
          </cell>
          <cell r="D982">
            <v>3606886</v>
          </cell>
          <cell r="E982">
            <v>3501935</v>
          </cell>
          <cell r="F982">
            <v>3800155</v>
          </cell>
          <cell r="G982">
            <v>3742105</v>
          </cell>
          <cell r="H982">
            <v>3821842</v>
          </cell>
          <cell r="I982">
            <v>3750427</v>
          </cell>
          <cell r="J982">
            <v>3695592</v>
          </cell>
          <cell r="K982">
            <v>3630794</v>
          </cell>
        </row>
        <row r="983">
          <cell r="A983" t="str">
            <v>14ABNZN</v>
          </cell>
          <cell r="B983" t="str">
            <v>BILLETES DEL BANCO, BBC, BCC, NAC</v>
          </cell>
          <cell r="C983">
            <v>3526314</v>
          </cell>
          <cell r="D983">
            <v>3487492</v>
          </cell>
          <cell r="E983">
            <v>3387199</v>
          </cell>
          <cell r="F983">
            <v>3683576</v>
          </cell>
          <cell r="G983">
            <v>3622883</v>
          </cell>
          <cell r="H983">
            <v>3701572</v>
          </cell>
          <cell r="I983">
            <v>3628367</v>
          </cell>
          <cell r="J983">
            <v>3571125</v>
          </cell>
          <cell r="K983">
            <v>3503894</v>
          </cell>
        </row>
        <row r="984">
          <cell r="A984" t="str">
            <v>14ADNZN</v>
          </cell>
          <cell r="B984" t="str">
            <v>MONEDA DIVISIONARIA MN, BBC, BCC, NAC</v>
          </cell>
          <cell r="C984">
            <v>112411</v>
          </cell>
          <cell r="D984">
            <v>112496</v>
          </cell>
          <cell r="E984">
            <v>114676</v>
          </cell>
          <cell r="F984">
            <v>116504</v>
          </cell>
          <cell r="G984">
            <v>118333</v>
          </cell>
          <cell r="H984">
            <v>120161</v>
          </cell>
          <cell r="I984">
            <v>121990</v>
          </cell>
          <cell r="J984">
            <v>124232</v>
          </cell>
          <cell r="K984">
            <v>126069</v>
          </cell>
        </row>
        <row r="985">
          <cell r="A985" t="str">
            <v>14DBNZN</v>
          </cell>
          <cell r="B985" t="str">
            <v>CUENTAS CORRIENTES ADMINISTRATIVAS DEL BANCO, BBC, BCC, NAC</v>
          </cell>
          <cell r="C985">
            <v>2158</v>
          </cell>
          <cell r="D985">
            <v>6882</v>
          </cell>
          <cell r="E985">
            <v>28</v>
          </cell>
          <cell r="F985">
            <v>35</v>
          </cell>
          <cell r="G985">
            <v>829</v>
          </cell>
          <cell r="H985">
            <v>78</v>
          </cell>
          <cell r="I985">
            <v>62</v>
          </cell>
          <cell r="J985">
            <v>208</v>
          </cell>
          <cell r="K985">
            <v>802</v>
          </cell>
        </row>
        <row r="986">
          <cell r="A986" t="str">
            <v>14DCNZN</v>
          </cell>
          <cell r="B986" t="str">
            <v>CHEQUES DE LA GERENCIA MN, BBC, BCC, NAC</v>
          </cell>
          <cell r="C986">
            <v>36</v>
          </cell>
          <cell r="D986">
            <v>16</v>
          </cell>
          <cell r="E986">
            <v>32</v>
          </cell>
          <cell r="F986">
            <v>40</v>
          </cell>
          <cell r="G986">
            <v>60</v>
          </cell>
          <cell r="H986">
            <v>31</v>
          </cell>
          <cell r="I986">
            <v>8</v>
          </cell>
          <cell r="J986">
            <v>27</v>
          </cell>
          <cell r="K986">
            <v>29</v>
          </cell>
        </row>
        <row r="987">
          <cell r="A987" t="str">
            <v>14AKNZN</v>
          </cell>
          <cell r="B987" t="str">
            <v>CTAS.CTES.SECTOR NO FINANCIERO MN, BBC, BCC, NAC</v>
          </cell>
          <cell r="C987">
            <v>0</v>
          </cell>
          <cell r="D987">
            <v>0</v>
          </cell>
          <cell r="E987">
            <v>0</v>
          </cell>
          <cell r="F987">
            <v>0</v>
          </cell>
          <cell r="G987">
            <v>0</v>
          </cell>
          <cell r="H987">
            <v>0</v>
          </cell>
          <cell r="I987">
            <v>0</v>
          </cell>
          <cell r="J987">
            <v>0</v>
          </cell>
          <cell r="K987">
            <v>0</v>
          </cell>
        </row>
        <row r="988">
          <cell r="A988" t="str">
            <v>14BEWZN</v>
          </cell>
          <cell r="B988" t="str">
            <v xml:space="preserve">  .DEPOSITOS DE INST.FINANC.MN</v>
          </cell>
          <cell r="C988">
            <v>117952</v>
          </cell>
          <cell r="D988">
            <v>261020</v>
          </cell>
          <cell r="E988">
            <v>164882</v>
          </cell>
          <cell r="F988">
            <v>98029</v>
          </cell>
          <cell r="G988">
            <v>218355</v>
          </cell>
          <cell r="H988">
            <v>156257</v>
          </cell>
          <cell r="I988">
            <v>225488</v>
          </cell>
          <cell r="J988">
            <v>118351</v>
          </cell>
          <cell r="K988">
            <v>156812</v>
          </cell>
        </row>
        <row r="989">
          <cell r="A989" t="str">
            <v>14FCNZN</v>
          </cell>
          <cell r="B989" t="str">
            <v>CTAS.CTES.BCO.ESTADO MN, BBC, BCC, NAC</v>
          </cell>
          <cell r="C989">
            <v>26537</v>
          </cell>
          <cell r="D989">
            <v>59330</v>
          </cell>
          <cell r="E989">
            <v>4317</v>
          </cell>
          <cell r="F989">
            <v>3777</v>
          </cell>
          <cell r="G989">
            <v>47044</v>
          </cell>
          <cell r="H989">
            <v>11895</v>
          </cell>
          <cell r="I989">
            <v>12688</v>
          </cell>
          <cell r="J989">
            <v>3450</v>
          </cell>
          <cell r="K989">
            <v>22357</v>
          </cell>
        </row>
        <row r="990">
          <cell r="A990" t="str">
            <v>14FENZN</v>
          </cell>
          <cell r="B990" t="str">
            <v>DEPOSITOS PARA RESERVA TECNICA BANCO DEL ESTADO  M, BBC, BCC</v>
          </cell>
          <cell r="C990">
            <v>0</v>
          </cell>
          <cell r="D990">
            <v>0</v>
          </cell>
          <cell r="E990">
            <v>0</v>
          </cell>
          <cell r="F990">
            <v>0</v>
          </cell>
          <cell r="G990">
            <v>0</v>
          </cell>
          <cell r="H990">
            <v>0</v>
          </cell>
          <cell r="I990">
            <v>0</v>
          </cell>
          <cell r="J990">
            <v>0</v>
          </cell>
          <cell r="K990">
            <v>0</v>
          </cell>
        </row>
        <row r="991">
          <cell r="A991" t="str">
            <v>14FFNZN</v>
          </cell>
          <cell r="B991" t="str">
            <v>REAJ P/PAG DEP.RES.TECNICA BECH MN, BBC, BCC, NAC</v>
          </cell>
          <cell r="C991">
            <v>0</v>
          </cell>
          <cell r="D991">
            <v>0</v>
          </cell>
          <cell r="E991">
            <v>0</v>
          </cell>
          <cell r="F991">
            <v>0</v>
          </cell>
          <cell r="G991">
            <v>0</v>
          </cell>
          <cell r="H991">
            <v>0</v>
          </cell>
          <cell r="I991">
            <v>0</v>
          </cell>
          <cell r="J991">
            <v>0</v>
          </cell>
          <cell r="K991">
            <v>0</v>
          </cell>
        </row>
        <row r="992">
          <cell r="A992" t="str">
            <v>14FBNZN</v>
          </cell>
          <cell r="B992" t="str">
            <v>CTAS.CTES.INSTITUCIONES FINANCIERAS PRIVADAS MN, BBC, BCC, N</v>
          </cell>
          <cell r="C992">
            <v>88263</v>
          </cell>
          <cell r="D992">
            <v>198538</v>
          </cell>
          <cell r="E992">
            <v>157408</v>
          </cell>
          <cell r="F992">
            <v>93232</v>
          </cell>
          <cell r="G992">
            <v>170291</v>
          </cell>
          <cell r="H992">
            <v>143342</v>
          </cell>
          <cell r="I992">
            <v>211779</v>
          </cell>
          <cell r="J992">
            <v>113881</v>
          </cell>
          <cell r="K992">
            <v>133428</v>
          </cell>
        </row>
        <row r="993">
          <cell r="A993" t="str">
            <v>14FDNZN</v>
          </cell>
          <cell r="B993" t="str">
            <v>RETENCIONES JUDICIALES EN CTAS.CTES MN, BBC, BCC, NAC</v>
          </cell>
          <cell r="C993">
            <v>3152</v>
          </cell>
          <cell r="D993">
            <v>3152</v>
          </cell>
          <cell r="E993">
            <v>3157</v>
          </cell>
          <cell r="F993">
            <v>1020</v>
          </cell>
          <cell r="G993">
            <v>1020</v>
          </cell>
          <cell r="H993">
            <v>1020</v>
          </cell>
          <cell r="I993">
            <v>1021</v>
          </cell>
          <cell r="J993">
            <v>1020</v>
          </cell>
          <cell r="K993">
            <v>1027</v>
          </cell>
        </row>
        <row r="994">
          <cell r="A994" t="str">
            <v>14DDNZN</v>
          </cell>
          <cell r="B994" t="str">
            <v>DEPOSITO PARA RESERVA TECNICA INSTITUC.FINANCIERAS, BBC, BCC</v>
          </cell>
          <cell r="C994">
            <v>0</v>
          </cell>
          <cell r="D994">
            <v>0</v>
          </cell>
          <cell r="E994">
            <v>0</v>
          </cell>
          <cell r="F994">
            <v>0</v>
          </cell>
          <cell r="G994">
            <v>0</v>
          </cell>
          <cell r="H994">
            <v>0</v>
          </cell>
          <cell r="I994">
            <v>0</v>
          </cell>
          <cell r="J994">
            <v>0</v>
          </cell>
          <cell r="K994">
            <v>0</v>
          </cell>
        </row>
        <row r="995">
          <cell r="A995" t="str">
            <v>14DENZN</v>
          </cell>
          <cell r="B995" t="str">
            <v>REAJ.P.PGAR P.DEPOSITOS P.RESERVA TEC.INST.FINANC., BBC, BCC</v>
          </cell>
          <cell r="C995">
            <v>0</v>
          </cell>
          <cell r="D995">
            <v>0</v>
          </cell>
          <cell r="E995">
            <v>0</v>
          </cell>
          <cell r="F995">
            <v>0</v>
          </cell>
          <cell r="G995">
            <v>0</v>
          </cell>
          <cell r="H995">
            <v>0</v>
          </cell>
          <cell r="I995">
            <v>0</v>
          </cell>
          <cell r="J995">
            <v>0</v>
          </cell>
          <cell r="K995">
            <v>0</v>
          </cell>
        </row>
        <row r="996">
          <cell r="A996" t="str">
            <v>14BEXZN</v>
          </cell>
          <cell r="B996" t="str">
            <v xml:space="preserve">  .DEPOSITOS DE INST.FINANC.ME</v>
          </cell>
          <cell r="C996">
            <v>0</v>
          </cell>
          <cell r="D996">
            <v>0</v>
          </cell>
          <cell r="E996">
            <v>0</v>
          </cell>
          <cell r="F996">
            <v>0</v>
          </cell>
          <cell r="G996">
            <v>0</v>
          </cell>
          <cell r="H996">
            <v>0</v>
          </cell>
          <cell r="I996">
            <v>0</v>
          </cell>
          <cell r="J996">
            <v>0</v>
          </cell>
          <cell r="K996">
            <v>0</v>
          </cell>
        </row>
        <row r="997">
          <cell r="A997" t="str">
            <v>-</v>
          </cell>
          <cell r="B997" t="str">
            <v>CTAS.CTES.BCO.ESTADO MN, BBC, BCC, EXT</v>
          </cell>
          <cell r="C997">
            <v>0</v>
          </cell>
          <cell r="D997">
            <v>0</v>
          </cell>
          <cell r="E997">
            <v>0</v>
          </cell>
          <cell r="F997">
            <v>0</v>
          </cell>
          <cell r="G997">
            <v>0</v>
          </cell>
          <cell r="H997">
            <v>0</v>
          </cell>
          <cell r="I997">
            <v>0</v>
          </cell>
          <cell r="J997">
            <v>0</v>
          </cell>
          <cell r="K997">
            <v>0</v>
          </cell>
        </row>
        <row r="998">
          <cell r="A998" t="str">
            <v>-</v>
          </cell>
          <cell r="B998" t="str">
            <v>DEPOSITOS PARA RESERVA TECNICA BANCO DEL ESTADO  M, BBC, BCC</v>
          </cell>
          <cell r="C998">
            <v>0</v>
          </cell>
          <cell r="D998">
            <v>0</v>
          </cell>
          <cell r="E998">
            <v>0</v>
          </cell>
          <cell r="F998">
            <v>0</v>
          </cell>
          <cell r="G998">
            <v>0</v>
          </cell>
          <cell r="H998">
            <v>0</v>
          </cell>
          <cell r="I998">
            <v>0</v>
          </cell>
          <cell r="J998">
            <v>0</v>
          </cell>
          <cell r="K998">
            <v>0</v>
          </cell>
        </row>
        <row r="999">
          <cell r="A999" t="str">
            <v>-</v>
          </cell>
          <cell r="B999" t="str">
            <v>REAJ P/PAG DEP.RES.TECNICA BECH MN, BBC, BCC, EXT</v>
          </cell>
          <cell r="C999">
            <v>0</v>
          </cell>
          <cell r="D999">
            <v>0</v>
          </cell>
          <cell r="E999">
            <v>0</v>
          </cell>
          <cell r="F999">
            <v>0</v>
          </cell>
          <cell r="G999">
            <v>0</v>
          </cell>
          <cell r="H999">
            <v>0</v>
          </cell>
          <cell r="I999">
            <v>0</v>
          </cell>
          <cell r="J999">
            <v>0</v>
          </cell>
          <cell r="K999">
            <v>0</v>
          </cell>
        </row>
        <row r="1000">
          <cell r="A1000" t="str">
            <v>-</v>
          </cell>
          <cell r="B1000" t="str">
            <v>CTAS.CTES.INSTITUCIONES FINANCIERAS PRIVADAS MN, BBC, BCC, E</v>
          </cell>
          <cell r="C1000">
            <v>0</v>
          </cell>
          <cell r="D1000">
            <v>0</v>
          </cell>
          <cell r="E1000">
            <v>0</v>
          </cell>
          <cell r="F1000">
            <v>0</v>
          </cell>
          <cell r="G1000">
            <v>0</v>
          </cell>
          <cell r="H1000">
            <v>0</v>
          </cell>
          <cell r="I1000">
            <v>0</v>
          </cell>
          <cell r="J1000">
            <v>0</v>
          </cell>
          <cell r="K1000">
            <v>0</v>
          </cell>
        </row>
        <row r="1001">
          <cell r="A1001" t="str">
            <v>14FDEZN</v>
          </cell>
          <cell r="B1001" t="str">
            <v>RETENCIONES JUDICIALES EN CTAS.CTES MN, BBC, BCC, EXT</v>
          </cell>
          <cell r="C1001">
            <v>0</v>
          </cell>
          <cell r="D1001">
            <v>0</v>
          </cell>
          <cell r="E1001">
            <v>0</v>
          </cell>
          <cell r="F1001">
            <v>0</v>
          </cell>
          <cell r="G1001">
            <v>0</v>
          </cell>
          <cell r="H1001">
            <v>0</v>
          </cell>
          <cell r="I1001">
            <v>0</v>
          </cell>
          <cell r="J1001">
            <v>0</v>
          </cell>
          <cell r="K1001">
            <v>0</v>
          </cell>
        </row>
        <row r="1002">
          <cell r="A1002" t="str">
            <v>-</v>
          </cell>
          <cell r="B1002" t="str">
            <v>DEPOSITO PARA RESERVA TECNICA INSTITUC.FINANCIERAS, BBC, BCC</v>
          </cell>
          <cell r="C1002">
            <v>0</v>
          </cell>
          <cell r="D1002">
            <v>0</v>
          </cell>
          <cell r="E1002">
            <v>0</v>
          </cell>
          <cell r="F1002">
            <v>0</v>
          </cell>
          <cell r="G1002">
            <v>0</v>
          </cell>
          <cell r="H1002">
            <v>0</v>
          </cell>
          <cell r="I1002">
            <v>0</v>
          </cell>
          <cell r="J1002">
            <v>0</v>
          </cell>
          <cell r="K1002">
            <v>0</v>
          </cell>
        </row>
        <row r="1003">
          <cell r="A1003" t="str">
            <v>-</v>
          </cell>
          <cell r="B1003" t="str">
            <v>REAJ.P.PGAR P.DEPOSITOS P.RESERVA TEC.INST.FINANC., BBC, BCC</v>
          </cell>
          <cell r="C1003">
            <v>0</v>
          </cell>
          <cell r="D1003">
            <v>0</v>
          </cell>
          <cell r="E1003">
            <v>0</v>
          </cell>
          <cell r="F1003">
            <v>0</v>
          </cell>
          <cell r="G1003">
            <v>0</v>
          </cell>
          <cell r="H1003">
            <v>0</v>
          </cell>
          <cell r="I1003">
            <v>0</v>
          </cell>
          <cell r="J1003">
            <v>0</v>
          </cell>
          <cell r="K1003">
            <v>0</v>
          </cell>
        </row>
        <row r="1004">
          <cell r="A1004" t="str">
            <v>-</v>
          </cell>
          <cell r="B1004" t="str">
            <v>CTAS.CTES.SINAP Y OTR.INST.MN, BBC, BCC, EXT</v>
          </cell>
          <cell r="C1004">
            <v>0</v>
          </cell>
          <cell r="D1004">
            <v>0</v>
          </cell>
          <cell r="E1004">
            <v>0</v>
          </cell>
          <cell r="F1004">
            <v>0</v>
          </cell>
          <cell r="G1004">
            <v>0</v>
          </cell>
          <cell r="H1004">
            <v>0</v>
          </cell>
          <cell r="I1004">
            <v>0</v>
          </cell>
          <cell r="J1004">
            <v>0</v>
          </cell>
          <cell r="K1004">
            <v>0</v>
          </cell>
        </row>
        <row r="1005">
          <cell r="A1005" t="str">
            <v>14BFWZN</v>
          </cell>
          <cell r="B1005" t="str">
            <v xml:space="preserve">  .DEPOS.Y OBLIG.FISCO MN</v>
          </cell>
          <cell r="C1005">
            <v>148139</v>
          </cell>
          <cell r="D1005">
            <v>139883</v>
          </cell>
          <cell r="E1005">
            <v>161360</v>
          </cell>
          <cell r="F1005">
            <v>137653</v>
          </cell>
          <cell r="G1005">
            <v>31134</v>
          </cell>
          <cell r="H1005">
            <v>16476</v>
          </cell>
          <cell r="I1005">
            <v>16528</v>
          </cell>
          <cell r="J1005">
            <v>17393</v>
          </cell>
          <cell r="K1005">
            <v>19627</v>
          </cell>
        </row>
        <row r="1006">
          <cell r="A1006" t="str">
            <v>17EANZN</v>
          </cell>
          <cell r="B1006" t="str">
            <v>CTAS.CTES.FISCO ME, BBC, BCC, NAC</v>
          </cell>
          <cell r="C1006">
            <v>123470</v>
          </cell>
          <cell r="D1006">
            <v>115136</v>
          </cell>
          <cell r="E1006">
            <v>137074</v>
          </cell>
          <cell r="F1006">
            <v>122289</v>
          </cell>
          <cell r="G1006">
            <v>15877</v>
          </cell>
          <cell r="H1006">
            <v>1323</v>
          </cell>
          <cell r="I1006">
            <v>1456</v>
          </cell>
          <cell r="J1006">
            <v>2451</v>
          </cell>
          <cell r="K1006">
            <v>4791</v>
          </cell>
        </row>
        <row r="1007">
          <cell r="A1007" t="str">
            <v>-</v>
          </cell>
          <cell r="B1007" t="str">
            <v>CUENTA ESPECIAL TESORERIA GENERAL DE LA REPUBLICA, BBC, BCC,</v>
          </cell>
          <cell r="C1007">
            <v>0</v>
          </cell>
          <cell r="D1007">
            <v>0</v>
          </cell>
          <cell r="E1007">
            <v>0</v>
          </cell>
          <cell r="F1007">
            <v>0</v>
          </cell>
          <cell r="G1007">
            <v>0</v>
          </cell>
          <cell r="H1007">
            <v>0</v>
          </cell>
          <cell r="I1007">
            <v>0</v>
          </cell>
          <cell r="J1007">
            <v>0</v>
          </cell>
          <cell r="K1007">
            <v>0</v>
          </cell>
        </row>
        <row r="1008">
          <cell r="A1008" t="str">
            <v>-</v>
          </cell>
          <cell r="B1008" t="str">
            <v>OBLIG.FISCO S/CRE.EXT.CANC.ME, BBC, BCC, NAC</v>
          </cell>
          <cell r="C1008">
            <v>0</v>
          </cell>
          <cell r="D1008">
            <v>0</v>
          </cell>
          <cell r="E1008">
            <v>0</v>
          </cell>
          <cell r="F1008">
            <v>0</v>
          </cell>
          <cell r="G1008">
            <v>0</v>
          </cell>
          <cell r="H1008">
            <v>0</v>
          </cell>
          <cell r="I1008">
            <v>0</v>
          </cell>
          <cell r="J1008">
            <v>0</v>
          </cell>
          <cell r="K1008">
            <v>0</v>
          </cell>
        </row>
        <row r="1009">
          <cell r="A1009" t="str">
            <v>-</v>
          </cell>
          <cell r="B1009" t="str">
            <v>OBLIG.C.FISCO P.ADM LC.PROGR.ORGAN.INTERNAC.(P/C)M, BBC, BCC</v>
          </cell>
          <cell r="C1009">
            <v>0</v>
          </cell>
          <cell r="D1009">
            <v>0</v>
          </cell>
          <cell r="E1009">
            <v>0</v>
          </cell>
          <cell r="F1009">
            <v>0</v>
          </cell>
          <cell r="G1009">
            <v>0</v>
          </cell>
          <cell r="H1009">
            <v>0</v>
          </cell>
          <cell r="I1009">
            <v>0</v>
          </cell>
          <cell r="J1009">
            <v>0</v>
          </cell>
          <cell r="K1009">
            <v>0</v>
          </cell>
        </row>
        <row r="1010">
          <cell r="A1010" t="str">
            <v>17CLNZN</v>
          </cell>
          <cell r="B1010" t="str">
            <v>OBLIG.C.FISCO P.ADM LC.PROGR.ORGAN.INTERNAC.(COL), BBC, BCC,</v>
          </cell>
          <cell r="C1010">
            <v>307</v>
          </cell>
          <cell r="D1010">
            <v>305</v>
          </cell>
          <cell r="E1010">
            <v>303</v>
          </cell>
          <cell r="F1010">
            <v>301</v>
          </cell>
          <cell r="G1010">
            <v>298</v>
          </cell>
          <cell r="H1010">
            <v>296</v>
          </cell>
          <cell r="I1010">
            <v>294</v>
          </cell>
          <cell r="J1010">
            <v>292</v>
          </cell>
          <cell r="K1010">
            <v>290</v>
          </cell>
        </row>
        <row r="1011">
          <cell r="A1011" t="str">
            <v>17CMNZN</v>
          </cell>
          <cell r="B1011" t="str">
            <v>REAJ.P.PAGAR S.OBLIG.C.FISCO P.ADM.LC PR.ORG.INT.M, BBC, BCC</v>
          </cell>
          <cell r="C1011">
            <v>15373</v>
          </cell>
          <cell r="D1011">
            <v>15270</v>
          </cell>
          <cell r="E1011">
            <v>15166</v>
          </cell>
          <cell r="F1011">
            <v>15063</v>
          </cell>
          <cell r="G1011">
            <v>14959</v>
          </cell>
          <cell r="H1011">
            <v>14856</v>
          </cell>
          <cell r="I1011">
            <v>14753</v>
          </cell>
          <cell r="J1011">
            <v>14649</v>
          </cell>
          <cell r="K1011">
            <v>14546</v>
          </cell>
        </row>
        <row r="1012">
          <cell r="A1012" t="str">
            <v>17AFNZN</v>
          </cell>
          <cell r="B1012" t="str">
            <v>DEPOSITOS TESGRAL MN, BBC, BCC, NAC</v>
          </cell>
          <cell r="C1012">
            <v>0</v>
          </cell>
          <cell r="D1012">
            <v>0</v>
          </cell>
          <cell r="E1012">
            <v>0</v>
          </cell>
          <cell r="F1012">
            <v>0</v>
          </cell>
          <cell r="G1012">
            <v>0</v>
          </cell>
          <cell r="H1012">
            <v>0</v>
          </cell>
          <cell r="I1012">
            <v>0</v>
          </cell>
          <cell r="J1012">
            <v>0</v>
          </cell>
          <cell r="K1012">
            <v>0</v>
          </cell>
        </row>
        <row r="1013">
          <cell r="A1013" t="str">
            <v>17AKNZN</v>
          </cell>
          <cell r="B1013" t="str">
            <v>REAJUSTES POR PAGAR SOBRE DEPOSITOS TESGRAL MN, BBC, BCC, NA</v>
          </cell>
          <cell r="C1013">
            <v>0</v>
          </cell>
          <cell r="D1013">
            <v>0</v>
          </cell>
          <cell r="E1013">
            <v>0</v>
          </cell>
          <cell r="F1013">
            <v>0</v>
          </cell>
          <cell r="G1013">
            <v>0</v>
          </cell>
          <cell r="H1013">
            <v>0</v>
          </cell>
          <cell r="I1013">
            <v>0</v>
          </cell>
          <cell r="J1013">
            <v>0</v>
          </cell>
          <cell r="K1013">
            <v>0</v>
          </cell>
        </row>
        <row r="1014">
          <cell r="A1014" t="str">
            <v>17AMNZN</v>
          </cell>
          <cell r="B1014" t="str">
            <v>OBLIGAC.C.FISCO P.ADM.L.CDTO.PROG.ORG.INT. ME, BBC, BCC, NAC</v>
          </cell>
          <cell r="C1014">
            <v>0</v>
          </cell>
          <cell r="D1014">
            <v>0</v>
          </cell>
          <cell r="E1014">
            <v>0</v>
          </cell>
          <cell r="F1014">
            <v>0</v>
          </cell>
          <cell r="G1014">
            <v>0</v>
          </cell>
          <cell r="H1014">
            <v>0</v>
          </cell>
          <cell r="I1014">
            <v>0</v>
          </cell>
          <cell r="J1014">
            <v>0</v>
          </cell>
          <cell r="K1014">
            <v>0</v>
          </cell>
        </row>
        <row r="1015">
          <cell r="A1015" t="str">
            <v>-</v>
          </cell>
          <cell r="B1015" t="str">
            <v>OBLIGACIONES C.FISCO S.CREDITO EXTERNO, BBC, BCC, NAC</v>
          </cell>
          <cell r="C1015">
            <v>0</v>
          </cell>
          <cell r="D1015">
            <v>0</v>
          </cell>
          <cell r="E1015">
            <v>0</v>
          </cell>
          <cell r="F1015">
            <v>0</v>
          </cell>
          <cell r="G1015">
            <v>0</v>
          </cell>
          <cell r="H1015">
            <v>0</v>
          </cell>
          <cell r="I1015">
            <v>0</v>
          </cell>
          <cell r="J1015">
            <v>0</v>
          </cell>
          <cell r="K1015">
            <v>0</v>
          </cell>
        </row>
        <row r="1016">
          <cell r="A1016" t="str">
            <v>-</v>
          </cell>
          <cell r="B1016" t="str">
            <v>CREDITO US$300 MILL. COFINANCIAMIENTO BCO.MUNDIAL, BBC, BCC,</v>
          </cell>
          <cell r="C1016">
            <v>0</v>
          </cell>
          <cell r="D1016">
            <v>0</v>
          </cell>
          <cell r="E1016">
            <v>0</v>
          </cell>
          <cell r="F1016">
            <v>0</v>
          </cell>
          <cell r="G1016">
            <v>0</v>
          </cell>
          <cell r="H1016">
            <v>0</v>
          </cell>
          <cell r="I1016">
            <v>0</v>
          </cell>
          <cell r="J1016">
            <v>0</v>
          </cell>
          <cell r="K1016">
            <v>0</v>
          </cell>
        </row>
        <row r="1017">
          <cell r="A1017" t="str">
            <v>-</v>
          </cell>
          <cell r="B1017" t="str">
            <v>AC.RENEG.BILATERAL C/GBNOS EXTRANJEROS ME, BBC, BCC, NAC</v>
          </cell>
          <cell r="C1017">
            <v>0</v>
          </cell>
          <cell r="D1017">
            <v>0</v>
          </cell>
          <cell r="E1017">
            <v>0</v>
          </cell>
          <cell r="F1017">
            <v>0</v>
          </cell>
          <cell r="G1017">
            <v>0</v>
          </cell>
          <cell r="H1017">
            <v>0</v>
          </cell>
          <cell r="I1017">
            <v>0</v>
          </cell>
          <cell r="J1017">
            <v>0</v>
          </cell>
          <cell r="K1017">
            <v>0</v>
          </cell>
        </row>
        <row r="1018">
          <cell r="A1018" t="str">
            <v>-</v>
          </cell>
          <cell r="B1018" t="str">
            <v>AC.RENEG.BILAT.GOBIERNOS EXTRANJ 1987-88 ME, BBC, BCC, NAC</v>
          </cell>
          <cell r="C1018">
            <v>0</v>
          </cell>
          <cell r="D1018">
            <v>0</v>
          </cell>
          <cell r="E1018">
            <v>0</v>
          </cell>
          <cell r="F1018">
            <v>0</v>
          </cell>
          <cell r="G1018">
            <v>0</v>
          </cell>
          <cell r="H1018">
            <v>0</v>
          </cell>
          <cell r="I1018">
            <v>0</v>
          </cell>
          <cell r="J1018">
            <v>0</v>
          </cell>
          <cell r="K1018">
            <v>0</v>
          </cell>
        </row>
        <row r="1019">
          <cell r="A1019" t="str">
            <v>-</v>
          </cell>
          <cell r="B1019" t="str">
            <v xml:space="preserve">FONDO DE COMPENSACION PARA LOS INGRESOS COBRE ME, BBC, BCC, </v>
          </cell>
          <cell r="C1019">
            <v>0</v>
          </cell>
          <cell r="D1019">
            <v>0</v>
          </cell>
          <cell r="E1019">
            <v>0</v>
          </cell>
          <cell r="F1019">
            <v>0</v>
          </cell>
          <cell r="G1019">
            <v>0</v>
          </cell>
          <cell r="H1019">
            <v>0</v>
          </cell>
          <cell r="I1019">
            <v>0</v>
          </cell>
          <cell r="J1019">
            <v>0</v>
          </cell>
          <cell r="K1019">
            <v>0</v>
          </cell>
        </row>
        <row r="1020">
          <cell r="A1020" t="str">
            <v>-</v>
          </cell>
          <cell r="B1020" t="str">
            <v xml:space="preserve">TESGRAL-FONDO DE ESTABILIZACION DE PREC.PETROLEO, BBC, BCC, </v>
          </cell>
          <cell r="C1020">
            <v>0</v>
          </cell>
          <cell r="D1020">
            <v>0</v>
          </cell>
          <cell r="E1020">
            <v>0</v>
          </cell>
          <cell r="F1020">
            <v>0</v>
          </cell>
          <cell r="G1020">
            <v>0</v>
          </cell>
          <cell r="H1020">
            <v>0</v>
          </cell>
          <cell r="I1020">
            <v>0</v>
          </cell>
          <cell r="J1020">
            <v>0</v>
          </cell>
          <cell r="K1020">
            <v>0</v>
          </cell>
        </row>
        <row r="1021">
          <cell r="A1021" t="str">
            <v>-</v>
          </cell>
          <cell r="B1021" t="str">
            <v>CONVENIO DONACION AID, BBC, BCC, NAC</v>
          </cell>
          <cell r="C1021">
            <v>0</v>
          </cell>
          <cell r="D1021">
            <v>0</v>
          </cell>
          <cell r="E1021">
            <v>0</v>
          </cell>
          <cell r="F1021">
            <v>0</v>
          </cell>
          <cell r="G1021">
            <v>0</v>
          </cell>
          <cell r="H1021">
            <v>0</v>
          </cell>
          <cell r="I1021">
            <v>0</v>
          </cell>
          <cell r="J1021">
            <v>0</v>
          </cell>
          <cell r="K1021">
            <v>0</v>
          </cell>
        </row>
        <row r="1022">
          <cell r="A1022" t="str">
            <v>-</v>
          </cell>
          <cell r="B1022" t="str">
            <v>CUENTA ESPECIAL TESGRAL BONOS DECR.HAC.935, BBC, BCC, NAC</v>
          </cell>
          <cell r="C1022">
            <v>0</v>
          </cell>
          <cell r="D1022">
            <v>0</v>
          </cell>
          <cell r="E1022">
            <v>0</v>
          </cell>
          <cell r="F1022">
            <v>0</v>
          </cell>
          <cell r="G1022">
            <v>0</v>
          </cell>
          <cell r="H1022">
            <v>0</v>
          </cell>
          <cell r="I1022">
            <v>0</v>
          </cell>
          <cell r="J1022">
            <v>0</v>
          </cell>
          <cell r="K1022">
            <v>0</v>
          </cell>
        </row>
        <row r="1023">
          <cell r="A1023" t="str">
            <v>-</v>
          </cell>
          <cell r="B1023" t="str">
            <v>CUENTA ESPECIAL TESGRAL (DONACIONES), BBC, BCC, NAC</v>
          </cell>
          <cell r="C1023">
            <v>0</v>
          </cell>
          <cell r="D1023">
            <v>0</v>
          </cell>
          <cell r="E1023">
            <v>0</v>
          </cell>
          <cell r="F1023">
            <v>0</v>
          </cell>
          <cell r="G1023">
            <v>0</v>
          </cell>
          <cell r="H1023">
            <v>0</v>
          </cell>
          <cell r="I1023">
            <v>0</v>
          </cell>
          <cell r="J1023">
            <v>0</v>
          </cell>
          <cell r="K1023">
            <v>0</v>
          </cell>
        </row>
        <row r="1024">
          <cell r="A1024" t="str">
            <v>17FFNZN</v>
          </cell>
          <cell r="B1024" t="str">
            <v>ACUERDO MARCO SOBRE MEDIO AMBIENTE MN, BBC, BCC, NAC</v>
          </cell>
          <cell r="C1024">
            <v>0</v>
          </cell>
          <cell r="D1024">
            <v>0</v>
          </cell>
          <cell r="E1024">
            <v>0</v>
          </cell>
          <cell r="F1024">
            <v>0</v>
          </cell>
          <cell r="G1024">
            <v>0</v>
          </cell>
          <cell r="H1024">
            <v>0</v>
          </cell>
          <cell r="I1024">
            <v>0</v>
          </cell>
          <cell r="J1024">
            <v>0</v>
          </cell>
          <cell r="K1024">
            <v>0</v>
          </cell>
        </row>
        <row r="1025">
          <cell r="A1025" t="str">
            <v>17FINZN</v>
          </cell>
          <cell r="B1025" t="str">
            <v>CUENTA ESPECIAL TESGRAL DEPOSITOS A PLAZO AC.235-0, BBC, BCC</v>
          </cell>
          <cell r="C1025">
            <v>8917</v>
          </cell>
          <cell r="D1025">
            <v>8917</v>
          </cell>
          <cell r="E1025">
            <v>8917</v>
          </cell>
          <cell r="F1025">
            <v>0</v>
          </cell>
          <cell r="G1025">
            <v>0</v>
          </cell>
          <cell r="H1025">
            <v>0</v>
          </cell>
          <cell r="I1025">
            <v>0</v>
          </cell>
          <cell r="J1025">
            <v>0</v>
          </cell>
          <cell r="K1025">
            <v>0</v>
          </cell>
        </row>
        <row r="1026">
          <cell r="A1026" t="str">
            <v>17FJNZN</v>
          </cell>
          <cell r="B1026" t="str">
            <v>CUENTA ESPECIAL (INICIATIVA PARA LAS AMERICAS), BBC, BCC, NA</v>
          </cell>
          <cell r="C1026">
            <v>88</v>
          </cell>
          <cell r="D1026">
            <v>38</v>
          </cell>
          <cell r="E1026">
            <v>0</v>
          </cell>
          <cell r="F1026">
            <v>0</v>
          </cell>
          <cell r="G1026">
            <v>0</v>
          </cell>
          <cell r="H1026">
            <v>1</v>
          </cell>
          <cell r="I1026">
            <v>25</v>
          </cell>
          <cell r="J1026">
            <v>1</v>
          </cell>
          <cell r="K1026">
            <v>0</v>
          </cell>
        </row>
        <row r="1027">
          <cell r="A1027" t="str">
            <v>17FKNZN</v>
          </cell>
          <cell r="B1027" t="str">
            <v>REAJ.P.PAGAR CTA.ESP.TESGRAL (INICIATIVA PARA ..), BBC, BCC,</v>
          </cell>
          <cell r="C1027">
            <v>-16</v>
          </cell>
          <cell r="D1027">
            <v>217</v>
          </cell>
          <cell r="E1027">
            <v>-100</v>
          </cell>
          <cell r="F1027">
            <v>0</v>
          </cell>
          <cell r="G1027">
            <v>0</v>
          </cell>
          <cell r="H1027">
            <v>0</v>
          </cell>
          <cell r="I1027">
            <v>0</v>
          </cell>
          <cell r="J1027">
            <v>0</v>
          </cell>
          <cell r="K1027">
            <v>0</v>
          </cell>
        </row>
        <row r="1028">
          <cell r="A1028" t="str">
            <v>-</v>
          </cell>
          <cell r="B1028" t="str">
            <v>DONACION PROGRAMA PAIS ME, BBC, BCC, NAC</v>
          </cell>
          <cell r="C1028">
            <v>0</v>
          </cell>
          <cell r="D1028">
            <v>0</v>
          </cell>
          <cell r="E1028">
            <v>0</v>
          </cell>
          <cell r="F1028">
            <v>0</v>
          </cell>
          <cell r="G1028">
            <v>0</v>
          </cell>
          <cell r="H1028">
            <v>0</v>
          </cell>
          <cell r="I1028">
            <v>0</v>
          </cell>
          <cell r="J1028">
            <v>0</v>
          </cell>
          <cell r="K1028">
            <v>0</v>
          </cell>
        </row>
        <row r="1029">
          <cell r="A1029" t="str">
            <v>17FMNZN</v>
          </cell>
          <cell r="B1029" t="str">
            <v>CUENTA ESPECIAL TESGRAL (CONTR, BBC, BCC, NAC</v>
          </cell>
          <cell r="C1029">
            <v>0</v>
          </cell>
          <cell r="D1029">
            <v>0</v>
          </cell>
          <cell r="E1029">
            <v>0</v>
          </cell>
          <cell r="F1029">
            <v>0</v>
          </cell>
          <cell r="G1029">
            <v>0</v>
          </cell>
          <cell r="H1029">
            <v>0</v>
          </cell>
          <cell r="I1029">
            <v>0</v>
          </cell>
          <cell r="J1029">
            <v>0</v>
          </cell>
          <cell r="K1029">
            <v>0</v>
          </cell>
        </row>
        <row r="1030">
          <cell r="A1030" t="str">
            <v>14BFXZN</v>
          </cell>
          <cell r="B1030" t="str">
            <v xml:space="preserve">  .DEPOS.Y OBLIG.FISCO ME</v>
          </cell>
          <cell r="C1030">
            <v>993924</v>
          </cell>
          <cell r="D1030">
            <v>941187</v>
          </cell>
          <cell r="E1030">
            <v>882288</v>
          </cell>
          <cell r="F1030">
            <v>345407</v>
          </cell>
          <cell r="G1030">
            <v>267257</v>
          </cell>
          <cell r="H1030">
            <v>141013</v>
          </cell>
          <cell r="I1030">
            <v>100477</v>
          </cell>
          <cell r="J1030">
            <v>121567</v>
          </cell>
          <cell r="K1030">
            <v>136353</v>
          </cell>
        </row>
        <row r="1031">
          <cell r="A1031" t="str">
            <v>15ABEZN</v>
          </cell>
          <cell r="B1031" t="str">
            <v>CTAS.CTES.FISCO ME, BBC, BCC, EXT</v>
          </cell>
          <cell r="C1031">
            <v>70185</v>
          </cell>
          <cell r="D1031">
            <v>73315</v>
          </cell>
          <cell r="E1031">
            <v>57949</v>
          </cell>
          <cell r="F1031">
            <v>54765</v>
          </cell>
          <cell r="G1031">
            <v>62930</v>
          </cell>
          <cell r="H1031">
            <v>36789</v>
          </cell>
          <cell r="I1031">
            <v>25173</v>
          </cell>
          <cell r="J1031">
            <v>50786</v>
          </cell>
          <cell r="K1031">
            <v>51538</v>
          </cell>
        </row>
        <row r="1032">
          <cell r="A1032" t="str">
            <v>15AGEZN</v>
          </cell>
          <cell r="B1032" t="str">
            <v>CUENTA ESPECIAL TESORERIA GENERAL DE LA REPUBLICA, BBC, BCC,</v>
          </cell>
          <cell r="C1032">
            <v>0</v>
          </cell>
          <cell r="D1032">
            <v>0</v>
          </cell>
          <cell r="E1032">
            <v>0</v>
          </cell>
          <cell r="F1032">
            <v>0</v>
          </cell>
          <cell r="G1032">
            <v>0</v>
          </cell>
          <cell r="H1032">
            <v>0</v>
          </cell>
          <cell r="I1032">
            <v>0</v>
          </cell>
          <cell r="J1032">
            <v>0</v>
          </cell>
          <cell r="K1032">
            <v>0</v>
          </cell>
        </row>
        <row r="1033">
          <cell r="A1033" t="str">
            <v>16BLEZN</v>
          </cell>
          <cell r="B1033" t="str">
            <v>OBLIG.FISCO S/CRE.EXT.CANC.ME, BBC, BCC, EXT</v>
          </cell>
          <cell r="C1033">
            <v>1036</v>
          </cell>
          <cell r="D1033">
            <v>1062</v>
          </cell>
          <cell r="E1033">
            <v>1027</v>
          </cell>
          <cell r="F1033">
            <v>1022</v>
          </cell>
          <cell r="G1033">
            <v>1105</v>
          </cell>
          <cell r="H1033">
            <v>833</v>
          </cell>
          <cell r="I1033">
            <v>838</v>
          </cell>
          <cell r="J1033">
            <v>795</v>
          </cell>
          <cell r="K1033">
            <v>807</v>
          </cell>
        </row>
        <row r="1034">
          <cell r="A1034" t="str">
            <v>17CKEZN</v>
          </cell>
          <cell r="B1034" t="str">
            <v>OBLIG.C.FISCO P.ADM LC.PROGR.ORGAN.INTERNAC.(P/C)M, BBC, BCC</v>
          </cell>
          <cell r="C1034">
            <v>0</v>
          </cell>
          <cell r="D1034">
            <v>188</v>
          </cell>
          <cell r="E1034">
            <v>358</v>
          </cell>
          <cell r="F1034">
            <v>521</v>
          </cell>
          <cell r="G1034">
            <v>0</v>
          </cell>
          <cell r="H1034">
            <v>171</v>
          </cell>
          <cell r="I1034">
            <v>0</v>
          </cell>
          <cell r="J1034">
            <v>167</v>
          </cell>
          <cell r="K1034">
            <v>317</v>
          </cell>
        </row>
        <row r="1035">
          <cell r="A1035" t="str">
            <v>17CLEZN</v>
          </cell>
          <cell r="B1035" t="str">
            <v>OBLIG.C.FISCO P.ADM LC.PROGR.ORGAN.INTERNAC.(COL), BBC, BCC,</v>
          </cell>
          <cell r="C1035">
            <v>0</v>
          </cell>
          <cell r="D1035">
            <v>0</v>
          </cell>
          <cell r="E1035">
            <v>0</v>
          </cell>
          <cell r="F1035">
            <v>0</v>
          </cell>
          <cell r="G1035">
            <v>0</v>
          </cell>
          <cell r="H1035">
            <v>0</v>
          </cell>
          <cell r="I1035">
            <v>0</v>
          </cell>
          <cell r="J1035">
            <v>0</v>
          </cell>
          <cell r="K1035">
            <v>0</v>
          </cell>
        </row>
        <row r="1036">
          <cell r="A1036" t="str">
            <v>-</v>
          </cell>
          <cell r="B1036" t="str">
            <v>REAJ.P.PAGAR S.OBLIG.C.FISCO P.ADM.LC PR.ORG.INT.M, BBC, BCC</v>
          </cell>
          <cell r="C1036">
            <v>0</v>
          </cell>
          <cell r="D1036">
            <v>0</v>
          </cell>
          <cell r="E1036">
            <v>0</v>
          </cell>
          <cell r="F1036">
            <v>0</v>
          </cell>
          <cell r="G1036">
            <v>0</v>
          </cell>
          <cell r="H1036">
            <v>0</v>
          </cell>
          <cell r="I1036">
            <v>0</v>
          </cell>
          <cell r="J1036">
            <v>0</v>
          </cell>
          <cell r="K1036">
            <v>0</v>
          </cell>
        </row>
        <row r="1037">
          <cell r="A1037" t="str">
            <v>-</v>
          </cell>
          <cell r="B1037" t="str">
            <v>DEPOSITOS TESGRAL MN, BBC, BCC, EXT</v>
          </cell>
          <cell r="C1037">
            <v>0</v>
          </cell>
          <cell r="D1037">
            <v>0</v>
          </cell>
          <cell r="E1037">
            <v>0</v>
          </cell>
          <cell r="F1037">
            <v>0</v>
          </cell>
          <cell r="G1037">
            <v>0</v>
          </cell>
          <cell r="H1037">
            <v>0</v>
          </cell>
          <cell r="I1037">
            <v>0</v>
          </cell>
          <cell r="J1037">
            <v>0</v>
          </cell>
          <cell r="K1037">
            <v>0</v>
          </cell>
        </row>
        <row r="1038">
          <cell r="A1038" t="str">
            <v>-</v>
          </cell>
          <cell r="B1038" t="str">
            <v>REAJUSTES POR PAGAR SOBRE DEPOSITOS TESGRAL MN, BBC, BCC, EX</v>
          </cell>
          <cell r="C1038">
            <v>0</v>
          </cell>
          <cell r="D1038">
            <v>0</v>
          </cell>
          <cell r="E1038">
            <v>0</v>
          </cell>
          <cell r="F1038">
            <v>0</v>
          </cell>
          <cell r="G1038">
            <v>0</v>
          </cell>
          <cell r="H1038">
            <v>0</v>
          </cell>
          <cell r="I1038">
            <v>0</v>
          </cell>
          <cell r="J1038">
            <v>0</v>
          </cell>
          <cell r="K1038">
            <v>0</v>
          </cell>
        </row>
        <row r="1039">
          <cell r="A1039" t="str">
            <v>17AMEZN</v>
          </cell>
          <cell r="B1039" t="str">
            <v>OBLIGAC.C.FISCO P.ADM.L.CDTO.PROG.ORG.INT. ME, BBC, BCC, EXT</v>
          </cell>
          <cell r="C1039">
            <v>0</v>
          </cell>
          <cell r="D1039">
            <v>0</v>
          </cell>
          <cell r="E1039">
            <v>0</v>
          </cell>
          <cell r="F1039">
            <v>0</v>
          </cell>
          <cell r="G1039">
            <v>0</v>
          </cell>
          <cell r="H1039">
            <v>0</v>
          </cell>
          <cell r="I1039">
            <v>0</v>
          </cell>
          <cell r="J1039">
            <v>0</v>
          </cell>
          <cell r="K1039">
            <v>0</v>
          </cell>
        </row>
        <row r="1040">
          <cell r="A1040" t="str">
            <v>17APEZN</v>
          </cell>
          <cell r="B1040" t="str">
            <v>OBLIGACIONES C.FISCO S.CREDITO EXTERNO, BBC, BCC, EXT</v>
          </cell>
          <cell r="C1040">
            <v>42</v>
          </cell>
          <cell r="D1040">
            <v>553</v>
          </cell>
          <cell r="E1040">
            <v>376</v>
          </cell>
          <cell r="F1040">
            <v>554</v>
          </cell>
          <cell r="G1040">
            <v>0</v>
          </cell>
          <cell r="H1040">
            <v>108</v>
          </cell>
          <cell r="I1040">
            <v>0</v>
          </cell>
          <cell r="J1040">
            <v>308</v>
          </cell>
          <cell r="K1040">
            <v>163</v>
          </cell>
        </row>
        <row r="1041">
          <cell r="A1041" t="str">
            <v>17AQEZN</v>
          </cell>
          <cell r="B1041" t="str">
            <v>CREDITO US$300 MILL. COFINANCIAMIENTO BCO.MUNDIAL, BBC, BCC,</v>
          </cell>
          <cell r="C1041">
            <v>0</v>
          </cell>
          <cell r="D1041">
            <v>0</v>
          </cell>
          <cell r="E1041">
            <v>0</v>
          </cell>
          <cell r="F1041">
            <v>0</v>
          </cell>
          <cell r="G1041">
            <v>0</v>
          </cell>
          <cell r="H1041">
            <v>0</v>
          </cell>
          <cell r="I1041">
            <v>0</v>
          </cell>
          <cell r="J1041">
            <v>0</v>
          </cell>
          <cell r="K1041">
            <v>0</v>
          </cell>
        </row>
        <row r="1042">
          <cell r="A1042" t="str">
            <v>17AREZN</v>
          </cell>
          <cell r="B1042" t="str">
            <v>AC.RENEG.BILATERAL C/GBNOS EXTRANJEROS ME, BBC, BCC, EXT</v>
          </cell>
          <cell r="C1042">
            <v>0</v>
          </cell>
          <cell r="D1042">
            <v>0</v>
          </cell>
          <cell r="E1042">
            <v>0</v>
          </cell>
          <cell r="F1042">
            <v>0</v>
          </cell>
          <cell r="G1042">
            <v>0</v>
          </cell>
          <cell r="H1042">
            <v>0</v>
          </cell>
          <cell r="I1042">
            <v>0</v>
          </cell>
          <cell r="J1042">
            <v>0</v>
          </cell>
          <cell r="K1042">
            <v>0</v>
          </cell>
        </row>
        <row r="1043">
          <cell r="A1043" t="str">
            <v>17AWEZN</v>
          </cell>
          <cell r="B1043" t="str">
            <v>AC.RENEG.BILAT.GOBIERNOS EXTRANJ 1987-88 ME, BBC, BCC, EXT</v>
          </cell>
          <cell r="C1043">
            <v>0</v>
          </cell>
          <cell r="D1043">
            <v>0</v>
          </cell>
          <cell r="E1043">
            <v>0</v>
          </cell>
          <cell r="F1043">
            <v>0</v>
          </cell>
          <cell r="G1043">
            <v>0</v>
          </cell>
          <cell r="H1043">
            <v>0</v>
          </cell>
          <cell r="I1043">
            <v>0</v>
          </cell>
          <cell r="J1043">
            <v>0</v>
          </cell>
          <cell r="K1043">
            <v>0</v>
          </cell>
        </row>
        <row r="1044">
          <cell r="A1044" t="str">
            <v>17ANEZN</v>
          </cell>
          <cell r="B1044" t="str">
            <v xml:space="preserve">FONDO DE COMPENSACION PARA LOS INGRESOS COBRE ME, BBC, BCC, </v>
          </cell>
          <cell r="C1044">
            <v>137360</v>
          </cell>
          <cell r="D1044">
            <v>140951</v>
          </cell>
          <cell r="E1044">
            <v>126267</v>
          </cell>
          <cell r="F1044">
            <v>122441</v>
          </cell>
          <cell r="G1044">
            <v>95839</v>
          </cell>
          <cell r="H1044">
            <v>94099</v>
          </cell>
          <cell r="I1044">
            <v>67008</v>
          </cell>
          <cell r="J1044">
            <v>62716</v>
          </cell>
          <cell r="K1044">
            <v>59644</v>
          </cell>
        </row>
        <row r="1045">
          <cell r="A1045" t="str">
            <v>17AOEZN</v>
          </cell>
          <cell r="B1045" t="str">
            <v xml:space="preserve">TESGRAL-FONDO DE ESTABILIZACION DE PREC.PETROLEO, BBC, BCC, </v>
          </cell>
          <cell r="C1045">
            <v>18254</v>
          </cell>
          <cell r="D1045">
            <v>13238</v>
          </cell>
          <cell r="E1045">
            <v>9223</v>
          </cell>
          <cell r="F1045">
            <v>7776</v>
          </cell>
          <cell r="G1045">
            <v>7292</v>
          </cell>
          <cell r="H1045">
            <v>7101</v>
          </cell>
          <cell r="I1045">
            <v>6631</v>
          </cell>
          <cell r="J1045">
            <v>5984</v>
          </cell>
          <cell r="K1045">
            <v>5154</v>
          </cell>
        </row>
        <row r="1046">
          <cell r="A1046" t="str">
            <v>-</v>
          </cell>
          <cell r="B1046" t="str">
            <v>CONVENIO DONACION AID, BBC, BCC, EXT</v>
          </cell>
          <cell r="C1046">
            <v>0</v>
          </cell>
          <cell r="D1046">
            <v>0</v>
          </cell>
          <cell r="E1046">
            <v>0</v>
          </cell>
          <cell r="F1046">
            <v>0</v>
          </cell>
          <cell r="G1046">
            <v>0</v>
          </cell>
          <cell r="H1046">
            <v>0</v>
          </cell>
          <cell r="I1046">
            <v>0</v>
          </cell>
          <cell r="J1046">
            <v>0</v>
          </cell>
          <cell r="K1046">
            <v>0</v>
          </cell>
        </row>
        <row r="1047">
          <cell r="A1047" t="str">
            <v>17FBEZN</v>
          </cell>
          <cell r="B1047" t="str">
            <v>CUENTA ESPECIAL TESGRAL BONOS DECR.HAC.935, BBC, BCC, EXT</v>
          </cell>
          <cell r="C1047">
            <v>0</v>
          </cell>
          <cell r="D1047">
            <v>0</v>
          </cell>
          <cell r="E1047">
            <v>0</v>
          </cell>
          <cell r="F1047">
            <v>0</v>
          </cell>
          <cell r="G1047">
            <v>0</v>
          </cell>
          <cell r="H1047">
            <v>0</v>
          </cell>
          <cell r="I1047">
            <v>0</v>
          </cell>
          <cell r="J1047">
            <v>0</v>
          </cell>
          <cell r="K1047">
            <v>0</v>
          </cell>
        </row>
        <row r="1048">
          <cell r="A1048" t="str">
            <v>17FCEZN</v>
          </cell>
          <cell r="B1048" t="str">
            <v>CUENTA ESPECIAL TESGRAL (DONACIONES), BBC, BCC, EXT</v>
          </cell>
          <cell r="C1048">
            <v>764</v>
          </cell>
          <cell r="D1048">
            <v>845</v>
          </cell>
          <cell r="E1048">
            <v>757</v>
          </cell>
          <cell r="F1048">
            <v>734</v>
          </cell>
          <cell r="G1048">
            <v>766</v>
          </cell>
          <cell r="H1048">
            <v>726</v>
          </cell>
          <cell r="I1048">
            <v>735</v>
          </cell>
          <cell r="J1048">
            <v>754</v>
          </cell>
          <cell r="K1048">
            <v>717</v>
          </cell>
        </row>
        <row r="1049">
          <cell r="A1049" t="str">
            <v>-</v>
          </cell>
          <cell r="B1049" t="str">
            <v>ACUERDO MARCO SOBRE MEDIO AMBIENTE MN, BBC, BCC, EXT</v>
          </cell>
          <cell r="C1049">
            <v>0</v>
          </cell>
          <cell r="D1049">
            <v>0</v>
          </cell>
          <cell r="E1049">
            <v>0</v>
          </cell>
          <cell r="F1049">
            <v>0</v>
          </cell>
          <cell r="G1049">
            <v>0</v>
          </cell>
          <cell r="H1049">
            <v>0</v>
          </cell>
          <cell r="I1049">
            <v>0</v>
          </cell>
          <cell r="J1049">
            <v>0</v>
          </cell>
          <cell r="K1049">
            <v>0</v>
          </cell>
        </row>
        <row r="1050">
          <cell r="A1050" t="str">
            <v>17FIEZN</v>
          </cell>
          <cell r="B1050" t="str">
            <v>CUENTA ESPECIAL TESGRAL DEPOSITOS A PLAZO AC.235-0, BBC, BCC</v>
          </cell>
          <cell r="C1050">
            <v>762362</v>
          </cell>
          <cell r="D1050">
            <v>706941</v>
          </cell>
          <cell r="E1050">
            <v>682380</v>
          </cell>
          <cell r="F1050">
            <v>153760</v>
          </cell>
          <cell r="G1050">
            <v>98116</v>
          </cell>
          <cell r="H1050">
            <v>0</v>
          </cell>
          <cell r="I1050">
            <v>0</v>
          </cell>
          <cell r="J1050">
            <v>0</v>
          </cell>
          <cell r="K1050">
            <v>17959</v>
          </cell>
        </row>
        <row r="1051">
          <cell r="A1051" t="str">
            <v>-</v>
          </cell>
          <cell r="B1051" t="str">
            <v>CUENTA ESPECIAL (INICIATIVA PARA LAS AMERICAS), BBC, BCC, EX</v>
          </cell>
          <cell r="C1051">
            <v>0</v>
          </cell>
          <cell r="D1051">
            <v>0</v>
          </cell>
          <cell r="E1051">
            <v>0</v>
          </cell>
          <cell r="F1051">
            <v>0</v>
          </cell>
          <cell r="G1051">
            <v>0</v>
          </cell>
          <cell r="H1051">
            <v>0</v>
          </cell>
          <cell r="I1051">
            <v>0</v>
          </cell>
          <cell r="J1051">
            <v>0</v>
          </cell>
          <cell r="K1051">
            <v>0</v>
          </cell>
        </row>
        <row r="1052">
          <cell r="A1052" t="str">
            <v>-</v>
          </cell>
          <cell r="B1052" t="str">
            <v>REAJ.P.PAGAR CTA.ESP.TESGRAL (INICIATIVA PARA ..), BBC, BCC,</v>
          </cell>
          <cell r="C1052">
            <v>0</v>
          </cell>
          <cell r="D1052">
            <v>0</v>
          </cell>
          <cell r="E1052">
            <v>0</v>
          </cell>
          <cell r="F1052">
            <v>0</v>
          </cell>
          <cell r="G1052">
            <v>0</v>
          </cell>
          <cell r="H1052">
            <v>0</v>
          </cell>
          <cell r="I1052">
            <v>0</v>
          </cell>
          <cell r="J1052">
            <v>0</v>
          </cell>
          <cell r="K1052">
            <v>0</v>
          </cell>
        </row>
        <row r="1053">
          <cell r="A1053" t="str">
            <v>17FLEZN</v>
          </cell>
          <cell r="B1053" t="str">
            <v>DONACION PROGRAMA PAIS ME, BBC, BCC, EXT</v>
          </cell>
          <cell r="C1053">
            <v>28</v>
          </cell>
          <cell r="D1053">
            <v>99</v>
          </cell>
          <cell r="E1053">
            <v>95</v>
          </cell>
          <cell r="F1053">
            <v>92</v>
          </cell>
          <cell r="G1053">
            <v>93</v>
          </cell>
          <cell r="H1053">
            <v>91</v>
          </cell>
          <cell r="I1053">
            <v>92</v>
          </cell>
          <cell r="J1053">
            <v>57</v>
          </cell>
          <cell r="K1053">
            <v>54</v>
          </cell>
        </row>
        <row r="1054">
          <cell r="A1054" t="str">
            <v>17FMEZN</v>
          </cell>
          <cell r="B1054" t="str">
            <v>CUENTA ESPECIAL TESGRAL (CONTR, BBC, BCC, EXT</v>
          </cell>
          <cell r="C1054">
            <v>2714</v>
          </cell>
          <cell r="D1054">
            <v>2785</v>
          </cell>
          <cell r="E1054">
            <v>2688</v>
          </cell>
          <cell r="F1054">
            <v>2607</v>
          </cell>
          <cell r="G1054">
            <v>0</v>
          </cell>
          <cell r="H1054">
            <v>0</v>
          </cell>
          <cell r="I1054">
            <v>0</v>
          </cell>
          <cell r="J1054">
            <v>0</v>
          </cell>
          <cell r="K1054">
            <v>0</v>
          </cell>
        </row>
        <row r="1055">
          <cell r="A1055" t="str">
            <v>17FOEZN</v>
          </cell>
          <cell r="B1055" t="str">
            <v>OBLIGAC. CON FISCO S/CREDITO EXTERNO-FIDA</v>
          </cell>
          <cell r="C1055">
            <v>28</v>
          </cell>
          <cell r="D1055">
            <v>29</v>
          </cell>
          <cell r="E1055">
            <v>28</v>
          </cell>
          <cell r="F1055">
            <v>27</v>
          </cell>
          <cell r="G1055">
            <v>0</v>
          </cell>
          <cell r="H1055">
            <v>0</v>
          </cell>
          <cell r="I1055">
            <v>0</v>
          </cell>
          <cell r="J1055">
            <v>0</v>
          </cell>
          <cell r="K1055">
            <v>0</v>
          </cell>
        </row>
        <row r="1056">
          <cell r="A1056" t="str">
            <v>17FQEZN</v>
          </cell>
          <cell r="B1056" t="str">
            <v>CUENTA ESPECIAL TEGRAL, FONDO DE INFRAEST.</v>
          </cell>
          <cell r="C1056">
            <v>1151</v>
          </cell>
          <cell r="D1056">
            <v>1181</v>
          </cell>
          <cell r="E1056">
            <v>1140</v>
          </cell>
          <cell r="F1056">
            <v>1108</v>
          </cell>
          <cell r="G1056">
            <v>1116</v>
          </cell>
          <cell r="H1056">
            <v>1095</v>
          </cell>
          <cell r="I1056">
            <v>0</v>
          </cell>
          <cell r="J1056">
            <v>0</v>
          </cell>
          <cell r="K1056">
            <v>0</v>
          </cell>
        </row>
        <row r="1057">
          <cell r="A1057" t="str">
            <v>14BGWZN</v>
          </cell>
          <cell r="B1057" t="str">
            <v xml:space="preserve">  .OTRAS OBLIGACIONES MN</v>
          </cell>
          <cell r="C1057">
            <v>10869</v>
          </cell>
          <cell r="D1057">
            <v>7354</v>
          </cell>
          <cell r="E1057">
            <v>12882</v>
          </cell>
          <cell r="F1057">
            <v>2147</v>
          </cell>
          <cell r="G1057">
            <v>2989</v>
          </cell>
          <cell r="H1057">
            <v>2510</v>
          </cell>
          <cell r="I1057">
            <v>3439</v>
          </cell>
          <cell r="J1057">
            <v>2485</v>
          </cell>
          <cell r="K1057">
            <v>61868</v>
          </cell>
        </row>
        <row r="1058">
          <cell r="A1058" t="str">
            <v>14BBNZN</v>
          </cell>
          <cell r="B1058" t="str">
            <v>CUENTAS CORRIENTES AAP NACIONAL MN, BBC, BCC, NAC</v>
          </cell>
          <cell r="C1058">
            <v>0</v>
          </cell>
          <cell r="D1058">
            <v>0</v>
          </cell>
          <cell r="E1058">
            <v>0</v>
          </cell>
          <cell r="F1058">
            <v>0</v>
          </cell>
          <cell r="G1058">
            <v>0</v>
          </cell>
          <cell r="H1058">
            <v>0</v>
          </cell>
          <cell r="I1058">
            <v>0</v>
          </cell>
          <cell r="J1058">
            <v>0</v>
          </cell>
          <cell r="K1058">
            <v>0</v>
          </cell>
        </row>
        <row r="1059">
          <cell r="A1059" t="str">
            <v>-</v>
          </cell>
          <cell r="B1059" t="str">
            <v xml:space="preserve">CUENTAS CORRIENTES SINAP Y OROS ORG. FINANCIEROS, BBC, BCC, </v>
          </cell>
          <cell r="C1059">
            <v>0</v>
          </cell>
          <cell r="D1059">
            <v>0</v>
          </cell>
          <cell r="E1059">
            <v>0</v>
          </cell>
          <cell r="F1059">
            <v>0</v>
          </cell>
          <cell r="G1059">
            <v>0</v>
          </cell>
          <cell r="H1059">
            <v>0</v>
          </cell>
          <cell r="I1059">
            <v>0</v>
          </cell>
          <cell r="J1059">
            <v>0</v>
          </cell>
          <cell r="K1059">
            <v>0</v>
          </cell>
        </row>
        <row r="1060">
          <cell r="A1060" t="str">
            <v>15DBNZN</v>
          </cell>
          <cell r="B1060" t="str">
            <v>CTAS.CTES.BCOS.COMERC.ME, BBC, BCC, NAC</v>
          </cell>
          <cell r="C1060">
            <v>0</v>
          </cell>
          <cell r="D1060">
            <v>0</v>
          </cell>
          <cell r="E1060">
            <v>0</v>
          </cell>
          <cell r="F1060">
            <v>0</v>
          </cell>
          <cell r="G1060">
            <v>0</v>
          </cell>
          <cell r="H1060">
            <v>0</v>
          </cell>
          <cell r="I1060">
            <v>0</v>
          </cell>
          <cell r="J1060">
            <v>0</v>
          </cell>
          <cell r="K1060">
            <v>0</v>
          </cell>
        </row>
        <row r="1061">
          <cell r="A1061" t="str">
            <v>-</v>
          </cell>
          <cell r="B1061" t="str">
            <v>CTAS.CTES.BCO.ESTADO  ME, BBC, BCC, NAC</v>
          </cell>
          <cell r="C1061">
            <v>0</v>
          </cell>
          <cell r="D1061">
            <v>0</v>
          </cell>
          <cell r="E1061">
            <v>0</v>
          </cell>
          <cell r="F1061">
            <v>0</v>
          </cell>
          <cell r="G1061">
            <v>0</v>
          </cell>
          <cell r="H1061">
            <v>0</v>
          </cell>
          <cell r="I1061">
            <v>0</v>
          </cell>
          <cell r="J1061">
            <v>0</v>
          </cell>
          <cell r="K1061">
            <v>0</v>
          </cell>
        </row>
        <row r="1062">
          <cell r="A1062" t="str">
            <v>15ADNZN</v>
          </cell>
          <cell r="B1062" t="str">
            <v>CTAS. CTES. INSTITUCIONES SEMIFISCALES ME, BBC, BCC, NAC</v>
          </cell>
          <cell r="C1062">
            <v>0</v>
          </cell>
          <cell r="D1062">
            <v>0</v>
          </cell>
          <cell r="E1062">
            <v>0</v>
          </cell>
          <cell r="F1062">
            <v>0</v>
          </cell>
          <cell r="G1062">
            <v>0</v>
          </cell>
          <cell r="H1062">
            <v>0</v>
          </cell>
          <cell r="I1062">
            <v>0</v>
          </cell>
          <cell r="J1062">
            <v>0</v>
          </cell>
          <cell r="K1062">
            <v>0</v>
          </cell>
        </row>
        <row r="1063">
          <cell r="A1063" t="str">
            <v>14CBNZN</v>
          </cell>
          <cell r="B1063" t="str">
            <v>CTAS.CTES.CODELCO-CHILE  ME, BBC, BCC, NAC</v>
          </cell>
          <cell r="C1063">
            <v>0</v>
          </cell>
          <cell r="D1063">
            <v>0</v>
          </cell>
          <cell r="E1063">
            <v>0</v>
          </cell>
          <cell r="F1063">
            <v>1</v>
          </cell>
          <cell r="G1063">
            <v>1</v>
          </cell>
          <cell r="H1063">
            <v>1</v>
          </cell>
          <cell r="I1063">
            <v>1</v>
          </cell>
          <cell r="J1063">
            <v>1</v>
          </cell>
          <cell r="K1063">
            <v>1</v>
          </cell>
        </row>
        <row r="1064">
          <cell r="A1064" t="str">
            <v>17DGEZN</v>
          </cell>
          <cell r="B1064" t="str">
            <v>CUENTAS CTES.ORG.INTERNAC. ME, BBC, BCC, NAC</v>
          </cell>
          <cell r="C1064">
            <v>0</v>
          </cell>
          <cell r="D1064">
            <v>0</v>
          </cell>
          <cell r="E1064">
            <v>0</v>
          </cell>
          <cell r="F1064">
            <v>0</v>
          </cell>
          <cell r="G1064">
            <v>0</v>
          </cell>
          <cell r="H1064">
            <v>0</v>
          </cell>
          <cell r="I1064">
            <v>0</v>
          </cell>
          <cell r="J1064">
            <v>0</v>
          </cell>
          <cell r="K1064">
            <v>0</v>
          </cell>
        </row>
        <row r="1065">
          <cell r="A1065" t="str">
            <v>-</v>
          </cell>
          <cell r="B1065" t="str">
            <v>CTAS.CTES. SECTOR NO FINANCIERO  ME, BBC, BCC, NAC</v>
          </cell>
          <cell r="C1065">
            <v>0</v>
          </cell>
          <cell r="D1065">
            <v>0</v>
          </cell>
          <cell r="E1065">
            <v>0</v>
          </cell>
          <cell r="F1065">
            <v>0</v>
          </cell>
          <cell r="G1065">
            <v>0</v>
          </cell>
          <cell r="H1065">
            <v>0</v>
          </cell>
          <cell r="I1065">
            <v>0</v>
          </cell>
          <cell r="J1065">
            <v>0</v>
          </cell>
          <cell r="K1065">
            <v>0</v>
          </cell>
        </row>
        <row r="1066">
          <cell r="A1066" t="str">
            <v>17DHNZN</v>
          </cell>
          <cell r="B1066" t="str">
            <v>RETENCIONES JUDICIALES EN CTAS.CTES.MN, BBC, BCC, NAC</v>
          </cell>
          <cell r="C1066">
            <v>0</v>
          </cell>
          <cell r="D1066">
            <v>0</v>
          </cell>
          <cell r="E1066">
            <v>0</v>
          </cell>
          <cell r="F1066">
            <v>0</v>
          </cell>
          <cell r="G1066">
            <v>0</v>
          </cell>
          <cell r="H1066">
            <v>0</v>
          </cell>
          <cell r="I1066">
            <v>0</v>
          </cell>
          <cell r="J1066">
            <v>0</v>
          </cell>
          <cell r="K1066">
            <v>0</v>
          </cell>
        </row>
        <row r="1067">
          <cell r="A1067" t="str">
            <v>-</v>
          </cell>
          <cell r="B1067" t="str">
            <v>DEPOSITOS TERCEROS BLANQUEO DIVISAS DL 110, BBC, BCC, NAC</v>
          </cell>
          <cell r="C1067">
            <v>0</v>
          </cell>
          <cell r="D1067">
            <v>0</v>
          </cell>
          <cell r="E1067">
            <v>0</v>
          </cell>
          <cell r="F1067">
            <v>0</v>
          </cell>
          <cell r="G1067">
            <v>0</v>
          </cell>
          <cell r="H1067">
            <v>0</v>
          </cell>
          <cell r="I1067">
            <v>0</v>
          </cell>
          <cell r="J1067">
            <v>0</v>
          </cell>
          <cell r="K1067">
            <v>0</v>
          </cell>
        </row>
        <row r="1068">
          <cell r="A1068" t="str">
            <v>-</v>
          </cell>
          <cell r="B1068" t="str">
            <v>DEP.CHEQUES ME RECIB.COBR.ME, BBC, BCC, NAC</v>
          </cell>
          <cell r="C1068">
            <v>0</v>
          </cell>
          <cell r="D1068">
            <v>0</v>
          </cell>
          <cell r="E1068">
            <v>0</v>
          </cell>
          <cell r="F1068">
            <v>0</v>
          </cell>
          <cell r="G1068">
            <v>0</v>
          </cell>
          <cell r="H1068">
            <v>0</v>
          </cell>
          <cell r="I1068">
            <v>0</v>
          </cell>
          <cell r="J1068">
            <v>0</v>
          </cell>
          <cell r="K1068">
            <v>0</v>
          </cell>
        </row>
        <row r="1069">
          <cell r="A1069" t="str">
            <v>14IBNZN</v>
          </cell>
          <cell r="B1069" t="str">
            <v>VARIOS ACREEDORES MN, BBC, BCC, NAC</v>
          </cell>
          <cell r="C1069">
            <v>7</v>
          </cell>
          <cell r="D1069">
            <v>8</v>
          </cell>
          <cell r="E1069">
            <v>13</v>
          </cell>
          <cell r="F1069">
            <v>13</v>
          </cell>
          <cell r="G1069">
            <v>11</v>
          </cell>
          <cell r="H1069">
            <v>10</v>
          </cell>
          <cell r="I1069">
            <v>11</v>
          </cell>
          <cell r="J1069">
            <v>7</v>
          </cell>
          <cell r="K1069">
            <v>6</v>
          </cell>
        </row>
        <row r="1070">
          <cell r="A1070" t="str">
            <v>-</v>
          </cell>
          <cell r="B1070" t="str">
            <v>CHEQUES DE LA GERENCIA ME, BBC, BCC, NAC</v>
          </cell>
          <cell r="C1070">
            <v>0</v>
          </cell>
          <cell r="D1070">
            <v>0</v>
          </cell>
          <cell r="E1070">
            <v>0</v>
          </cell>
          <cell r="F1070">
            <v>0</v>
          </cell>
          <cell r="G1070">
            <v>0</v>
          </cell>
          <cell r="H1070">
            <v>0</v>
          </cell>
          <cell r="I1070">
            <v>0</v>
          </cell>
          <cell r="J1070">
            <v>0</v>
          </cell>
          <cell r="K1070">
            <v>0</v>
          </cell>
        </row>
        <row r="1071">
          <cell r="A1071" t="str">
            <v>-</v>
          </cell>
          <cell r="B1071" t="str">
            <v>V.A.TESGRAL  ME, BBC, BCC, NAC</v>
          </cell>
          <cell r="C1071">
            <v>0</v>
          </cell>
          <cell r="D1071">
            <v>0</v>
          </cell>
          <cell r="E1071">
            <v>0</v>
          </cell>
          <cell r="F1071">
            <v>0</v>
          </cell>
          <cell r="G1071">
            <v>0</v>
          </cell>
          <cell r="H1071">
            <v>0</v>
          </cell>
          <cell r="I1071">
            <v>0</v>
          </cell>
          <cell r="J1071">
            <v>0</v>
          </cell>
          <cell r="K1071">
            <v>0</v>
          </cell>
        </row>
        <row r="1072">
          <cell r="A1072" t="str">
            <v>-</v>
          </cell>
          <cell r="B1072" t="str">
            <v>TRANSF.BCOS.POR EFECTUAR  ME, BBC, BCC, NAC</v>
          </cell>
          <cell r="C1072">
            <v>0</v>
          </cell>
          <cell r="D1072">
            <v>0</v>
          </cell>
          <cell r="E1072">
            <v>0</v>
          </cell>
          <cell r="F1072">
            <v>0</v>
          </cell>
          <cell r="G1072">
            <v>0</v>
          </cell>
          <cell r="H1072">
            <v>0</v>
          </cell>
          <cell r="I1072">
            <v>0</v>
          </cell>
          <cell r="J1072">
            <v>0</v>
          </cell>
          <cell r="K1072">
            <v>0</v>
          </cell>
        </row>
        <row r="1073">
          <cell r="A1073" t="str">
            <v>17BDNZN</v>
          </cell>
          <cell r="B1073" t="str">
            <v>VRIOS.ACREED.PART.SUJ.PRESC.ME, BBC, BCC, NAC</v>
          </cell>
          <cell r="C1073">
            <v>0</v>
          </cell>
          <cell r="D1073">
            <v>0</v>
          </cell>
          <cell r="E1073">
            <v>0</v>
          </cell>
          <cell r="F1073">
            <v>0</v>
          </cell>
          <cell r="G1073">
            <v>0</v>
          </cell>
          <cell r="H1073">
            <v>0</v>
          </cell>
          <cell r="I1073">
            <v>0</v>
          </cell>
          <cell r="J1073">
            <v>0</v>
          </cell>
          <cell r="K1073">
            <v>0</v>
          </cell>
        </row>
        <row r="1074">
          <cell r="A1074" t="str">
            <v>-</v>
          </cell>
          <cell r="B1074" t="str">
            <v>VRIOS.ACREED.CHEQ.GIR.NO COBR., BBC, BCC, NAC</v>
          </cell>
          <cell r="C1074">
            <v>0</v>
          </cell>
          <cell r="D1074">
            <v>0</v>
          </cell>
          <cell r="E1074">
            <v>0</v>
          </cell>
          <cell r="F1074">
            <v>0</v>
          </cell>
          <cell r="G1074">
            <v>0</v>
          </cell>
          <cell r="H1074">
            <v>0</v>
          </cell>
          <cell r="I1074">
            <v>0</v>
          </cell>
          <cell r="J1074">
            <v>0</v>
          </cell>
          <cell r="K1074">
            <v>0</v>
          </cell>
        </row>
        <row r="1075">
          <cell r="A1075" t="str">
            <v>-</v>
          </cell>
          <cell r="B1075" t="str">
            <v>VRIOS.ACREED.FISCO DL 1444 ME, BBC, BCC, NAC</v>
          </cell>
          <cell r="C1075">
            <v>0</v>
          </cell>
          <cell r="D1075">
            <v>0</v>
          </cell>
          <cell r="E1075">
            <v>0</v>
          </cell>
          <cell r="F1075">
            <v>0</v>
          </cell>
          <cell r="G1075">
            <v>0</v>
          </cell>
          <cell r="H1075">
            <v>0</v>
          </cell>
          <cell r="I1075">
            <v>0</v>
          </cell>
          <cell r="J1075">
            <v>0</v>
          </cell>
          <cell r="K1075">
            <v>0</v>
          </cell>
        </row>
        <row r="1076">
          <cell r="A1076" t="str">
            <v>14IINZN</v>
          </cell>
          <cell r="B1076" t="str">
            <v>SALD. INMOVILIZ. DL 2099 ME, BBC, BCC, NAC</v>
          </cell>
          <cell r="C1076">
            <v>49</v>
          </cell>
          <cell r="D1076">
            <v>49</v>
          </cell>
          <cell r="E1076">
            <v>49</v>
          </cell>
          <cell r="F1076">
            <v>49</v>
          </cell>
          <cell r="G1076">
            <v>48</v>
          </cell>
          <cell r="H1076">
            <v>56</v>
          </cell>
          <cell r="I1076">
            <v>56</v>
          </cell>
          <cell r="J1076">
            <v>55</v>
          </cell>
          <cell r="K1076">
            <v>55</v>
          </cell>
        </row>
        <row r="1077">
          <cell r="A1077" t="str">
            <v>15HGNZN</v>
          </cell>
          <cell r="B1077" t="str">
            <v>DEP. OBLIGATORIOS POR CREDITOS DEL EXTERIOR, BBC, BCC, NAC</v>
          </cell>
          <cell r="C1077">
            <v>0</v>
          </cell>
          <cell r="D1077">
            <v>0</v>
          </cell>
          <cell r="E1077">
            <v>0</v>
          </cell>
          <cell r="F1077">
            <v>0</v>
          </cell>
          <cell r="G1077">
            <v>0</v>
          </cell>
          <cell r="H1077">
            <v>0</v>
          </cell>
          <cell r="I1077">
            <v>0</v>
          </cell>
          <cell r="J1077">
            <v>0</v>
          </cell>
          <cell r="K1077">
            <v>0</v>
          </cell>
        </row>
        <row r="1078">
          <cell r="A1078" t="str">
            <v>17BXNZN</v>
          </cell>
          <cell r="B1078" t="str">
            <v>ACREENCIAS VARIAS PARA SECCION PREVISION MN, BBC, BCC, NAC</v>
          </cell>
          <cell r="C1078">
            <v>1</v>
          </cell>
          <cell r="D1078">
            <v>1</v>
          </cell>
          <cell r="E1078">
            <v>1</v>
          </cell>
          <cell r="F1078">
            <v>1</v>
          </cell>
          <cell r="G1078">
            <v>1</v>
          </cell>
          <cell r="H1078">
            <v>1</v>
          </cell>
          <cell r="I1078">
            <v>1</v>
          </cell>
          <cell r="J1078">
            <v>1</v>
          </cell>
          <cell r="K1078">
            <v>1</v>
          </cell>
        </row>
        <row r="1079">
          <cell r="A1079" t="str">
            <v>14ICNZN</v>
          </cell>
          <cell r="B1079" t="str">
            <v>RETENC.IMPTOS.SEC.PRIV. MN, BBC, BCC, NAC</v>
          </cell>
          <cell r="C1079">
            <v>100</v>
          </cell>
          <cell r="D1079">
            <v>123</v>
          </cell>
          <cell r="E1079">
            <v>91</v>
          </cell>
          <cell r="F1079">
            <v>140</v>
          </cell>
          <cell r="G1079">
            <v>92</v>
          </cell>
          <cell r="H1079">
            <v>77</v>
          </cell>
          <cell r="I1079">
            <v>97</v>
          </cell>
          <cell r="J1079">
            <v>103</v>
          </cell>
          <cell r="K1079">
            <v>111</v>
          </cell>
        </row>
        <row r="1080">
          <cell r="A1080" t="str">
            <v>17BCNZN</v>
          </cell>
          <cell r="B1080" t="str">
            <v>FDO.RECONSTR.ECON.NACIONAL MN, BBC, BCC, NAC</v>
          </cell>
          <cell r="C1080">
            <v>0</v>
          </cell>
          <cell r="D1080">
            <v>0</v>
          </cell>
          <cell r="E1080">
            <v>0</v>
          </cell>
          <cell r="F1080">
            <v>0</v>
          </cell>
          <cell r="G1080">
            <v>0</v>
          </cell>
          <cell r="H1080">
            <v>0</v>
          </cell>
          <cell r="I1080">
            <v>0</v>
          </cell>
          <cell r="J1080">
            <v>0</v>
          </cell>
          <cell r="K1080">
            <v>0</v>
          </cell>
        </row>
        <row r="1081">
          <cell r="A1081" t="str">
            <v>14GDNZN</v>
          </cell>
          <cell r="B1081" t="str">
            <v>SUPINT.DE BCOS.E INST.FINANCIERAS DEP.GTIA.ART36 M, BBC, BCC</v>
          </cell>
          <cell r="C1081">
            <v>0</v>
          </cell>
          <cell r="D1081">
            <v>0</v>
          </cell>
          <cell r="E1081">
            <v>0</v>
          </cell>
          <cell r="F1081">
            <v>0</v>
          </cell>
          <cell r="G1081">
            <v>0</v>
          </cell>
          <cell r="H1081">
            <v>0</v>
          </cell>
          <cell r="I1081">
            <v>0</v>
          </cell>
          <cell r="J1081">
            <v>0</v>
          </cell>
          <cell r="K1081">
            <v>0</v>
          </cell>
        </row>
        <row r="1082">
          <cell r="A1082" t="str">
            <v>17BINZN</v>
          </cell>
          <cell r="B1082" t="str">
            <v>CUENTAS Y DOCTOS.POR PAGAR MN, BBC, BCC, NAC</v>
          </cell>
          <cell r="C1082">
            <v>10372</v>
          </cell>
          <cell r="D1082">
            <v>6815</v>
          </cell>
          <cell r="E1082">
            <v>1384</v>
          </cell>
          <cell r="F1082">
            <v>1608</v>
          </cell>
          <cell r="G1082">
            <v>2499</v>
          </cell>
          <cell r="H1082">
            <v>2030</v>
          </cell>
          <cell r="I1082">
            <v>2951</v>
          </cell>
          <cell r="J1082">
            <v>1993</v>
          </cell>
          <cell r="K1082">
            <v>61361</v>
          </cell>
        </row>
        <row r="1083">
          <cell r="A1083" t="str">
            <v>16BDNZN</v>
          </cell>
          <cell r="B1083" t="str">
            <v>IMPTO.VTAS.SERV.IVA-DEB.FISC., BBC, BCC, NAC</v>
          </cell>
          <cell r="C1083">
            <v>3</v>
          </cell>
          <cell r="D1083">
            <v>3</v>
          </cell>
          <cell r="E1083">
            <v>3</v>
          </cell>
          <cell r="F1083">
            <v>3</v>
          </cell>
          <cell r="G1083">
            <v>3</v>
          </cell>
          <cell r="H1083">
            <v>3</v>
          </cell>
          <cell r="I1083">
            <v>3</v>
          </cell>
          <cell r="J1083">
            <v>2</v>
          </cell>
          <cell r="K1083">
            <v>3</v>
          </cell>
        </row>
        <row r="1084">
          <cell r="A1084" t="str">
            <v>16BENZN</v>
          </cell>
          <cell r="B1084" t="str">
            <v>MULTAS POR ENTERAR TESOR. MN, BBC, BCC, NAC</v>
          </cell>
          <cell r="C1084">
            <v>0</v>
          </cell>
          <cell r="D1084">
            <v>0</v>
          </cell>
          <cell r="E1084">
            <v>0</v>
          </cell>
          <cell r="F1084">
            <v>0</v>
          </cell>
          <cell r="G1084">
            <v>0</v>
          </cell>
          <cell r="H1084">
            <v>0</v>
          </cell>
          <cell r="I1084">
            <v>0</v>
          </cell>
          <cell r="J1084">
            <v>0</v>
          </cell>
          <cell r="K1084">
            <v>0</v>
          </cell>
        </row>
        <row r="1085">
          <cell r="A1085" t="str">
            <v>14GENZN</v>
          </cell>
          <cell r="B1085" t="str">
            <v>DEP.CONST.ENCAJE-CORFO MN, BBC, BCC, NAC</v>
          </cell>
          <cell r="C1085">
            <v>0</v>
          </cell>
          <cell r="D1085">
            <v>0</v>
          </cell>
          <cell r="E1085">
            <v>0</v>
          </cell>
          <cell r="F1085">
            <v>0</v>
          </cell>
          <cell r="G1085">
            <v>0</v>
          </cell>
          <cell r="H1085">
            <v>0</v>
          </cell>
          <cell r="I1085">
            <v>0</v>
          </cell>
          <cell r="J1085">
            <v>0</v>
          </cell>
          <cell r="K1085">
            <v>0</v>
          </cell>
        </row>
        <row r="1086">
          <cell r="A1086" t="str">
            <v>14IHNZN</v>
          </cell>
          <cell r="B1086" t="str">
            <v>ACREEDORES POR VENCIM. DE CAR EX VHR, BBC, BCC, NAC</v>
          </cell>
          <cell r="C1086">
            <v>152</v>
          </cell>
          <cell r="D1086">
            <v>150</v>
          </cell>
          <cell r="E1086">
            <v>154</v>
          </cell>
          <cell r="F1086">
            <v>151</v>
          </cell>
          <cell r="G1086">
            <v>154</v>
          </cell>
          <cell r="H1086">
            <v>154</v>
          </cell>
          <cell r="I1086">
            <v>151</v>
          </cell>
          <cell r="J1086">
            <v>151</v>
          </cell>
          <cell r="K1086">
            <v>162</v>
          </cell>
        </row>
        <row r="1087">
          <cell r="A1087" t="str">
            <v>17BZNZN</v>
          </cell>
          <cell r="B1087" t="str">
            <v xml:space="preserve">COTIZ.AL FDO.INDEMNIZACION VOLUNTARIA P.DEVOLVER, BBC, BCC, </v>
          </cell>
          <cell r="C1087">
            <v>0</v>
          </cell>
          <cell r="D1087">
            <v>0</v>
          </cell>
          <cell r="E1087">
            <v>0</v>
          </cell>
          <cell r="F1087">
            <v>0</v>
          </cell>
          <cell r="G1087">
            <v>0</v>
          </cell>
          <cell r="H1087">
            <v>0</v>
          </cell>
          <cell r="I1087">
            <v>0</v>
          </cell>
          <cell r="J1087">
            <v>0</v>
          </cell>
          <cell r="K1087">
            <v>0</v>
          </cell>
        </row>
        <row r="1088">
          <cell r="A1088" t="str">
            <v>17AJNZN</v>
          </cell>
          <cell r="B1088" t="str">
            <v>CORREC.MONET.PROV.S/COTIZ.AL FDO DE IND.VOLUN.P/DE, BBC, BCC</v>
          </cell>
          <cell r="C1088">
            <v>0</v>
          </cell>
          <cell r="D1088">
            <v>0</v>
          </cell>
          <cell r="E1088">
            <v>0</v>
          </cell>
          <cell r="F1088">
            <v>0</v>
          </cell>
          <cell r="G1088">
            <v>0</v>
          </cell>
          <cell r="H1088">
            <v>0</v>
          </cell>
          <cell r="I1088">
            <v>0</v>
          </cell>
          <cell r="J1088">
            <v>0</v>
          </cell>
          <cell r="K1088">
            <v>0</v>
          </cell>
        </row>
        <row r="1089">
          <cell r="A1089" t="str">
            <v>-</v>
          </cell>
          <cell r="B1089" t="str">
            <v>DEP.OBLIG.P.CREDITOS DEL SISTEMA BANCARIO, BBC, BCC, NAC</v>
          </cell>
          <cell r="C1089">
            <v>0</v>
          </cell>
          <cell r="D1089">
            <v>0</v>
          </cell>
          <cell r="E1089">
            <v>0</v>
          </cell>
          <cell r="F1089">
            <v>0</v>
          </cell>
          <cell r="G1089">
            <v>0</v>
          </cell>
          <cell r="H1089">
            <v>0</v>
          </cell>
          <cell r="I1089">
            <v>0</v>
          </cell>
          <cell r="J1089">
            <v>0</v>
          </cell>
          <cell r="K1089">
            <v>0</v>
          </cell>
        </row>
        <row r="1090">
          <cell r="A1090" t="str">
            <v>14GMNZN</v>
          </cell>
          <cell r="B1090" t="str">
            <v>SALDO PRECIO POR PAGARES ADQ.AL BCO.DEL ESTADO ME, BBC, BCC,</v>
          </cell>
          <cell r="C1090">
            <v>0</v>
          </cell>
          <cell r="D1090">
            <v>0</v>
          </cell>
          <cell r="E1090">
            <v>0</v>
          </cell>
          <cell r="F1090">
            <v>0</v>
          </cell>
          <cell r="G1090">
            <v>0</v>
          </cell>
          <cell r="H1090">
            <v>0</v>
          </cell>
          <cell r="I1090">
            <v>0</v>
          </cell>
          <cell r="J1090">
            <v>0</v>
          </cell>
          <cell r="K1090">
            <v>0</v>
          </cell>
        </row>
        <row r="1091">
          <cell r="A1091" t="str">
            <v>15FDNZN</v>
          </cell>
          <cell r="B1091" t="str">
            <v>DEP.A PLAZO BCOS.NACIONALES Y SECTOR PUBLICO, BBC, BCC, NAC</v>
          </cell>
          <cell r="C1091">
            <v>0</v>
          </cell>
          <cell r="D1091">
            <v>0</v>
          </cell>
          <cell r="E1091">
            <v>0</v>
          </cell>
          <cell r="F1091">
            <v>0</v>
          </cell>
          <cell r="G1091">
            <v>0</v>
          </cell>
          <cell r="H1091">
            <v>0</v>
          </cell>
          <cell r="I1091">
            <v>0</v>
          </cell>
          <cell r="J1091">
            <v>0</v>
          </cell>
          <cell r="K1091">
            <v>0</v>
          </cell>
        </row>
        <row r="1092">
          <cell r="A1092" t="str">
            <v>-</v>
          </cell>
          <cell r="B1092" t="str">
            <v>DEPOS.OBLIG.P.CRED.DEL EXTERIOR ENTREGADOS EN GAR., BBC, BCC</v>
          </cell>
          <cell r="C1092">
            <v>0</v>
          </cell>
          <cell r="D1092">
            <v>0</v>
          </cell>
          <cell r="E1092">
            <v>0</v>
          </cell>
          <cell r="F1092">
            <v>0</v>
          </cell>
          <cell r="G1092">
            <v>0</v>
          </cell>
          <cell r="H1092">
            <v>0</v>
          </cell>
          <cell r="I1092">
            <v>0</v>
          </cell>
          <cell r="J1092">
            <v>0</v>
          </cell>
          <cell r="K1092">
            <v>0</v>
          </cell>
        </row>
        <row r="1093">
          <cell r="A1093" t="str">
            <v>17ECNZN</v>
          </cell>
          <cell r="B1093" t="str">
            <v>OBLIG. C. EL BCO. DEL ESTADO  MN, BBC, BCC, NAC</v>
          </cell>
          <cell r="C1093">
            <v>0</v>
          </cell>
          <cell r="D1093">
            <v>0</v>
          </cell>
          <cell r="E1093">
            <v>0</v>
          </cell>
          <cell r="F1093">
            <v>0</v>
          </cell>
          <cell r="G1093">
            <v>0</v>
          </cell>
          <cell r="H1093">
            <v>0</v>
          </cell>
          <cell r="I1093">
            <v>0</v>
          </cell>
          <cell r="J1093">
            <v>0</v>
          </cell>
          <cell r="K1093">
            <v>0</v>
          </cell>
        </row>
        <row r="1094">
          <cell r="A1094" t="str">
            <v>-</v>
          </cell>
          <cell r="B1094" t="str">
            <v>5%  DEPOSITOS OPERACIONES DE IMPORTACION ME, BBC, BCC, NAC</v>
          </cell>
          <cell r="C1094">
            <v>0</v>
          </cell>
          <cell r="D1094">
            <v>0</v>
          </cell>
          <cell r="E1094">
            <v>0</v>
          </cell>
          <cell r="F1094">
            <v>0</v>
          </cell>
          <cell r="G1094">
            <v>0</v>
          </cell>
          <cell r="H1094">
            <v>0</v>
          </cell>
          <cell r="I1094">
            <v>0</v>
          </cell>
          <cell r="J1094">
            <v>0</v>
          </cell>
          <cell r="K1094">
            <v>0</v>
          </cell>
        </row>
        <row r="1095">
          <cell r="A1095" t="str">
            <v>-</v>
          </cell>
          <cell r="B1095" t="str">
            <v>DEPOSITOS ACDO 1470, BBC, BCC, NAC</v>
          </cell>
          <cell r="C1095">
            <v>0</v>
          </cell>
          <cell r="D1095">
            <v>0</v>
          </cell>
          <cell r="E1095">
            <v>0</v>
          </cell>
          <cell r="F1095">
            <v>0</v>
          </cell>
          <cell r="G1095">
            <v>0</v>
          </cell>
          <cell r="H1095">
            <v>0</v>
          </cell>
          <cell r="I1095">
            <v>0</v>
          </cell>
          <cell r="J1095">
            <v>0</v>
          </cell>
          <cell r="K1095">
            <v>0</v>
          </cell>
        </row>
        <row r="1096">
          <cell r="A1096" t="str">
            <v>15FFNZN</v>
          </cell>
          <cell r="B1096" t="str">
            <v>REAJ.P.PAGAR S.DEP.A PLAZO BCOS.NAC.Y SEC.PUBLICO, BBC, BCC,</v>
          </cell>
          <cell r="C1096">
            <v>0</v>
          </cell>
          <cell r="D1096">
            <v>0</v>
          </cell>
          <cell r="E1096">
            <v>0</v>
          </cell>
          <cell r="F1096">
            <v>0</v>
          </cell>
          <cell r="G1096">
            <v>0</v>
          </cell>
          <cell r="H1096">
            <v>0</v>
          </cell>
          <cell r="I1096">
            <v>0</v>
          </cell>
          <cell r="J1096">
            <v>0</v>
          </cell>
          <cell r="K1096">
            <v>0</v>
          </cell>
        </row>
        <row r="1097">
          <cell r="A1097" t="str">
            <v>-</v>
          </cell>
          <cell r="B1097" t="str">
            <v>DEP.BCO.ESTADO PARA LINEA REFINANCIAMIENTO, BBC, BCC, NAC</v>
          </cell>
          <cell r="C1097">
            <v>0</v>
          </cell>
          <cell r="D1097">
            <v>0</v>
          </cell>
          <cell r="E1097">
            <v>0</v>
          </cell>
          <cell r="F1097">
            <v>0</v>
          </cell>
          <cell r="G1097">
            <v>0</v>
          </cell>
          <cell r="H1097">
            <v>0</v>
          </cell>
          <cell r="I1097">
            <v>0</v>
          </cell>
          <cell r="J1097">
            <v>0</v>
          </cell>
          <cell r="K1097">
            <v>0</v>
          </cell>
        </row>
        <row r="1098">
          <cell r="A1098" t="str">
            <v>15AENZN</v>
          </cell>
          <cell r="B1098" t="str">
            <v>RETENCIONES P.ENTERAR EN INST.DE PREVISION, BBC, BCC, NAC</v>
          </cell>
          <cell r="C1098">
            <v>157</v>
          </cell>
          <cell r="D1098">
            <v>157</v>
          </cell>
          <cell r="E1098">
            <v>153</v>
          </cell>
          <cell r="F1098">
            <v>168</v>
          </cell>
          <cell r="G1098">
            <v>159</v>
          </cell>
          <cell r="H1098">
            <v>158</v>
          </cell>
          <cell r="I1098">
            <v>167</v>
          </cell>
          <cell r="J1098">
            <v>169</v>
          </cell>
          <cell r="K1098">
            <v>166</v>
          </cell>
        </row>
        <row r="1099">
          <cell r="A1099" t="str">
            <v>-</v>
          </cell>
          <cell r="B1099" t="str">
            <v>DEP.A PLAZO EMPRESAS PUBLICAS EXPRESADAS EN US$, BBC, BCC, N</v>
          </cell>
          <cell r="C1099">
            <v>0</v>
          </cell>
          <cell r="D1099">
            <v>0</v>
          </cell>
          <cell r="E1099">
            <v>0</v>
          </cell>
          <cell r="F1099">
            <v>0</v>
          </cell>
          <cell r="G1099">
            <v>0</v>
          </cell>
          <cell r="H1099">
            <v>0</v>
          </cell>
          <cell r="I1099">
            <v>0</v>
          </cell>
          <cell r="J1099">
            <v>0</v>
          </cell>
          <cell r="K1099">
            <v>0</v>
          </cell>
        </row>
        <row r="1100">
          <cell r="A1100" t="str">
            <v>14AGNZN</v>
          </cell>
          <cell r="B1100" t="str">
            <v>DEP.TRANSITORIO P/SUSCRIP.B.C.P/INST.SEC.PUBLICO M, BBC, BCC</v>
          </cell>
          <cell r="C1100">
            <v>0</v>
          </cell>
          <cell r="D1100">
            <v>0</v>
          </cell>
          <cell r="E1100">
            <v>0</v>
          </cell>
          <cell r="F1100">
            <v>0</v>
          </cell>
          <cell r="G1100">
            <v>0</v>
          </cell>
          <cell r="H1100">
            <v>0</v>
          </cell>
          <cell r="I1100">
            <v>0</v>
          </cell>
          <cell r="J1100">
            <v>0</v>
          </cell>
          <cell r="K1100">
            <v>0</v>
          </cell>
        </row>
        <row r="1101">
          <cell r="A1101" t="str">
            <v>-</v>
          </cell>
          <cell r="B1101" t="str">
            <v>DEP.A PLAZO BANCO DEL ESTADO DE CHILE  ME, BBC, BCC, NAC</v>
          </cell>
          <cell r="C1101">
            <v>0</v>
          </cell>
          <cell r="D1101">
            <v>0</v>
          </cell>
          <cell r="E1101">
            <v>0</v>
          </cell>
          <cell r="F1101">
            <v>0</v>
          </cell>
          <cell r="G1101">
            <v>0</v>
          </cell>
          <cell r="H1101">
            <v>0</v>
          </cell>
          <cell r="I1101">
            <v>0</v>
          </cell>
          <cell r="J1101">
            <v>0</v>
          </cell>
          <cell r="K1101">
            <v>0</v>
          </cell>
        </row>
        <row r="1102">
          <cell r="A1102" t="str">
            <v>14AINZN</v>
          </cell>
          <cell r="B1102" t="str">
            <v>DIFERENCIAL CAMBIARIO ACDO.1484 POR PAGAR MN, BBC, BCC, NAC</v>
          </cell>
          <cell r="C1102">
            <v>0</v>
          </cell>
          <cell r="D1102">
            <v>0</v>
          </cell>
          <cell r="E1102">
            <v>0</v>
          </cell>
          <cell r="F1102">
            <v>0</v>
          </cell>
          <cell r="G1102">
            <v>0</v>
          </cell>
          <cell r="H1102">
            <v>0</v>
          </cell>
          <cell r="I1102">
            <v>0</v>
          </cell>
          <cell r="J1102">
            <v>0</v>
          </cell>
          <cell r="K1102">
            <v>0</v>
          </cell>
        </row>
        <row r="1103">
          <cell r="A1103" t="str">
            <v>-</v>
          </cell>
          <cell r="B1103" t="str">
            <v>DEPOS.S.OPERAC.IMPORTACION P.VTA ANTIC.DIVISAS  ME, BBC, BCC</v>
          </cell>
          <cell r="C1103">
            <v>0</v>
          </cell>
          <cell r="D1103">
            <v>0</v>
          </cell>
          <cell r="E1103">
            <v>0</v>
          </cell>
          <cell r="F1103">
            <v>0</v>
          </cell>
          <cell r="G1103">
            <v>0</v>
          </cell>
          <cell r="H1103">
            <v>0</v>
          </cell>
          <cell r="I1103">
            <v>0</v>
          </cell>
          <cell r="J1103">
            <v>0</v>
          </cell>
          <cell r="K1103">
            <v>0</v>
          </cell>
        </row>
        <row r="1104">
          <cell r="A1104" t="str">
            <v>14GQNZN</v>
          </cell>
          <cell r="B1104" t="str">
            <v>PAGARE POR EMITIR P.REPROGRAMACION DE DEUDAS, BBC, BCC, NAC</v>
          </cell>
          <cell r="C1104">
            <v>0</v>
          </cell>
          <cell r="D1104">
            <v>0</v>
          </cell>
          <cell r="E1104">
            <v>0</v>
          </cell>
          <cell r="F1104">
            <v>0</v>
          </cell>
          <cell r="G1104">
            <v>0</v>
          </cell>
          <cell r="H1104">
            <v>0</v>
          </cell>
          <cell r="I1104">
            <v>0</v>
          </cell>
          <cell r="J1104">
            <v>0</v>
          </cell>
          <cell r="K1104">
            <v>0</v>
          </cell>
        </row>
        <row r="1105">
          <cell r="A1105" t="str">
            <v>14GTNZN</v>
          </cell>
          <cell r="B1105" t="str">
            <v>REAJ.POR PAGAR S.OBLIF.C.BCO.ESTADO MN, BBC, BCC, NAC</v>
          </cell>
          <cell r="C1105">
            <v>0</v>
          </cell>
          <cell r="D1105">
            <v>0</v>
          </cell>
          <cell r="E1105">
            <v>0</v>
          </cell>
          <cell r="F1105">
            <v>0</v>
          </cell>
          <cell r="G1105">
            <v>0</v>
          </cell>
          <cell r="H1105">
            <v>0</v>
          </cell>
          <cell r="I1105">
            <v>0</v>
          </cell>
          <cell r="J1105">
            <v>0</v>
          </cell>
          <cell r="K1105">
            <v>0</v>
          </cell>
        </row>
        <row r="1106">
          <cell r="A1106" t="str">
            <v>-</v>
          </cell>
          <cell r="B1106" t="str">
            <v>DEP.BECH P.FINANC.C.GTIA CREDITICIA DEL C.C.C., BBC, BCC, NA</v>
          </cell>
          <cell r="C1106">
            <v>0</v>
          </cell>
          <cell r="D1106">
            <v>0</v>
          </cell>
          <cell r="E1106">
            <v>0</v>
          </cell>
          <cell r="F1106">
            <v>0</v>
          </cell>
          <cell r="G1106">
            <v>0</v>
          </cell>
          <cell r="H1106">
            <v>0</v>
          </cell>
          <cell r="I1106">
            <v>0</v>
          </cell>
          <cell r="J1106">
            <v>0</v>
          </cell>
          <cell r="K1106">
            <v>0</v>
          </cell>
        </row>
        <row r="1107">
          <cell r="A1107" t="str">
            <v>14GUNZN</v>
          </cell>
          <cell r="B1107" t="str">
            <v>DEP.P.REPROG.DEUDAS SECTOR PRODUCTIVO ACDO.1578 ME, BBC, BCC</v>
          </cell>
          <cell r="C1107">
            <v>0</v>
          </cell>
          <cell r="D1107">
            <v>0</v>
          </cell>
          <cell r="E1107">
            <v>0</v>
          </cell>
          <cell r="F1107">
            <v>0</v>
          </cell>
          <cell r="G1107">
            <v>0</v>
          </cell>
          <cell r="H1107">
            <v>0</v>
          </cell>
          <cell r="I1107">
            <v>0</v>
          </cell>
          <cell r="J1107">
            <v>0</v>
          </cell>
          <cell r="K1107">
            <v>0</v>
          </cell>
        </row>
        <row r="1108">
          <cell r="A1108" t="str">
            <v>14GVNZN</v>
          </cell>
          <cell r="B1108" t="str">
            <v>REAJ.P.PAGAR S.DEPOS.P.REPROD.DEUDAS SEC.PRODUC.ME, BBC, BCC</v>
          </cell>
          <cell r="C1108">
            <v>0</v>
          </cell>
          <cell r="D1108">
            <v>0</v>
          </cell>
          <cell r="E1108">
            <v>0</v>
          </cell>
          <cell r="F1108">
            <v>0</v>
          </cell>
          <cell r="G1108">
            <v>0</v>
          </cell>
          <cell r="H1108">
            <v>0</v>
          </cell>
          <cell r="I1108">
            <v>0</v>
          </cell>
          <cell r="J1108">
            <v>0</v>
          </cell>
          <cell r="K1108">
            <v>0</v>
          </cell>
        </row>
        <row r="1109">
          <cell r="A1109" t="str">
            <v>-</v>
          </cell>
          <cell r="B1109" t="str">
            <v>CAPTACIONES CORTO PLAZO EMPRESAS BANCARIAS ME., BBC, BCC, NA</v>
          </cell>
          <cell r="C1109">
            <v>0</v>
          </cell>
          <cell r="D1109">
            <v>0</v>
          </cell>
          <cell r="E1109">
            <v>0</v>
          </cell>
          <cell r="F1109">
            <v>0</v>
          </cell>
          <cell r="G1109">
            <v>0</v>
          </cell>
          <cell r="H1109">
            <v>0</v>
          </cell>
          <cell r="I1109">
            <v>0</v>
          </cell>
          <cell r="J1109">
            <v>0</v>
          </cell>
          <cell r="K1109">
            <v>0</v>
          </cell>
        </row>
        <row r="1110">
          <cell r="A1110" t="str">
            <v>14GXNZN</v>
          </cell>
          <cell r="B1110" t="str">
            <v>CREDITO CITIBANK CHILE (ACUERDO 1634)MN, BBC, BCC, NAC</v>
          </cell>
          <cell r="C1110">
            <v>0</v>
          </cell>
          <cell r="D1110">
            <v>0</v>
          </cell>
          <cell r="E1110">
            <v>0</v>
          </cell>
          <cell r="F1110">
            <v>0</v>
          </cell>
          <cell r="G1110">
            <v>0</v>
          </cell>
          <cell r="H1110">
            <v>0</v>
          </cell>
          <cell r="I1110">
            <v>0</v>
          </cell>
          <cell r="J1110">
            <v>0</v>
          </cell>
          <cell r="K1110">
            <v>0</v>
          </cell>
        </row>
        <row r="1111">
          <cell r="A1111" t="str">
            <v>-</v>
          </cell>
          <cell r="B1111" t="str">
            <v>CERT.DEP.INTRANSF.EXP EN US$ POR EMITIR AC.1649 ME, BBC, BCC</v>
          </cell>
          <cell r="C1111">
            <v>0</v>
          </cell>
          <cell r="D1111">
            <v>0</v>
          </cell>
          <cell r="E1111">
            <v>0</v>
          </cell>
          <cell r="F1111">
            <v>0</v>
          </cell>
          <cell r="G1111">
            <v>0</v>
          </cell>
          <cell r="H1111">
            <v>0</v>
          </cell>
          <cell r="I1111">
            <v>0</v>
          </cell>
          <cell r="J1111">
            <v>0</v>
          </cell>
          <cell r="K1111">
            <v>0</v>
          </cell>
        </row>
        <row r="1112">
          <cell r="A1112" t="str">
            <v>-</v>
          </cell>
          <cell r="B1112" t="str">
            <v>DEPOSITOS ME TRANSITORIOS ACDO 1657-09 ME, BBC, BCC, NAC</v>
          </cell>
          <cell r="C1112">
            <v>0</v>
          </cell>
          <cell r="D1112">
            <v>0</v>
          </cell>
          <cell r="E1112">
            <v>0</v>
          </cell>
          <cell r="F1112">
            <v>0</v>
          </cell>
          <cell r="G1112">
            <v>0</v>
          </cell>
          <cell r="H1112">
            <v>0</v>
          </cell>
          <cell r="I1112">
            <v>0</v>
          </cell>
          <cell r="J1112">
            <v>0</v>
          </cell>
          <cell r="K1112">
            <v>0</v>
          </cell>
        </row>
        <row r="1113">
          <cell r="A1113" t="str">
            <v>-</v>
          </cell>
          <cell r="B1113" t="str">
            <v>DEPOSITOS ME C/LINEA ACDO.1657-09-A  ME, BBC, BCC, NAC</v>
          </cell>
          <cell r="C1113">
            <v>0</v>
          </cell>
          <cell r="D1113">
            <v>0</v>
          </cell>
          <cell r="E1113">
            <v>0</v>
          </cell>
          <cell r="F1113">
            <v>0</v>
          </cell>
          <cell r="G1113">
            <v>0</v>
          </cell>
          <cell r="H1113">
            <v>0</v>
          </cell>
          <cell r="I1113">
            <v>0</v>
          </cell>
          <cell r="J1113">
            <v>0</v>
          </cell>
          <cell r="K1113">
            <v>0</v>
          </cell>
        </row>
        <row r="1114">
          <cell r="A1114" t="str">
            <v>-</v>
          </cell>
          <cell r="B1114" t="str">
            <v>DEPOSITOS ME SIN LINEA ACDO.1657-10, BBC, BCC, NAC</v>
          </cell>
          <cell r="C1114">
            <v>0</v>
          </cell>
          <cell r="D1114">
            <v>0</v>
          </cell>
          <cell r="E1114">
            <v>0</v>
          </cell>
          <cell r="F1114">
            <v>0</v>
          </cell>
          <cell r="G1114">
            <v>0</v>
          </cell>
          <cell r="H1114">
            <v>0</v>
          </cell>
          <cell r="I1114">
            <v>0</v>
          </cell>
          <cell r="J1114">
            <v>0</v>
          </cell>
          <cell r="K1114">
            <v>0</v>
          </cell>
        </row>
        <row r="1115">
          <cell r="A1115" t="str">
            <v>-</v>
          </cell>
          <cell r="B1115" t="str">
            <v>CUENTA ESPECIAL ACUERDO 1657-11, BBC, BCC, NAC</v>
          </cell>
          <cell r="C1115">
            <v>0</v>
          </cell>
          <cell r="D1115">
            <v>0</v>
          </cell>
          <cell r="E1115">
            <v>0</v>
          </cell>
          <cell r="F1115">
            <v>0</v>
          </cell>
          <cell r="G1115">
            <v>0</v>
          </cell>
          <cell r="H1115">
            <v>0</v>
          </cell>
          <cell r="I1115">
            <v>0</v>
          </cell>
          <cell r="J1115">
            <v>0</v>
          </cell>
          <cell r="K1115">
            <v>0</v>
          </cell>
        </row>
        <row r="1116">
          <cell r="A1116" t="str">
            <v>-</v>
          </cell>
          <cell r="B1116" t="str">
            <v>DEPOSITOS ME TRANSITORIOS ACDO 1686, BBC, BCC, NAC</v>
          </cell>
          <cell r="C1116">
            <v>0</v>
          </cell>
          <cell r="D1116">
            <v>0</v>
          </cell>
          <cell r="E1116">
            <v>0</v>
          </cell>
          <cell r="F1116">
            <v>0</v>
          </cell>
          <cell r="G1116">
            <v>0</v>
          </cell>
          <cell r="H1116">
            <v>0</v>
          </cell>
          <cell r="I1116">
            <v>0</v>
          </cell>
          <cell r="J1116">
            <v>0</v>
          </cell>
          <cell r="K1116">
            <v>0</v>
          </cell>
        </row>
        <row r="1117">
          <cell r="A1117" t="str">
            <v>-</v>
          </cell>
          <cell r="B1117" t="str">
            <v>DEPOSITOS ME CON CREDITO ACDO 1686, BBC, BCC, NAC</v>
          </cell>
          <cell r="C1117">
            <v>0</v>
          </cell>
          <cell r="D1117">
            <v>0</v>
          </cell>
          <cell r="E1117">
            <v>0</v>
          </cell>
          <cell r="F1117">
            <v>0</v>
          </cell>
          <cell r="G1117">
            <v>0</v>
          </cell>
          <cell r="H1117">
            <v>0</v>
          </cell>
          <cell r="I1117">
            <v>0</v>
          </cell>
          <cell r="J1117">
            <v>0</v>
          </cell>
          <cell r="K1117">
            <v>0</v>
          </cell>
        </row>
        <row r="1118">
          <cell r="A1118" t="str">
            <v>17AUNZN</v>
          </cell>
          <cell r="B1118" t="str">
            <v>PASIVOS INTERNOS B.CONTINENTAL ASUMIDOS BC.AC.1674, BBC, BCC</v>
          </cell>
          <cell r="C1118">
            <v>0</v>
          </cell>
          <cell r="D1118">
            <v>0</v>
          </cell>
          <cell r="E1118">
            <v>0</v>
          </cell>
          <cell r="F1118">
            <v>0</v>
          </cell>
          <cell r="G1118">
            <v>0</v>
          </cell>
          <cell r="H1118">
            <v>0</v>
          </cell>
          <cell r="I1118">
            <v>0</v>
          </cell>
          <cell r="J1118">
            <v>0</v>
          </cell>
          <cell r="K1118">
            <v>0</v>
          </cell>
        </row>
        <row r="1119">
          <cell r="A1119" t="str">
            <v>17AVNZN</v>
          </cell>
          <cell r="B1119" t="str">
            <v>CUENTA ESPECIAL ENCAJE ACUERDO 143-01-91D705, BBC, BCC, NAC</v>
          </cell>
          <cell r="C1119">
            <v>0</v>
          </cell>
          <cell r="D1119">
            <v>0</v>
          </cell>
          <cell r="E1119">
            <v>0</v>
          </cell>
          <cell r="F1119">
            <v>0</v>
          </cell>
          <cell r="G1119">
            <v>0</v>
          </cell>
          <cell r="H1119">
            <v>0</v>
          </cell>
          <cell r="I1119">
            <v>0</v>
          </cell>
          <cell r="J1119">
            <v>0</v>
          </cell>
          <cell r="K1119">
            <v>0</v>
          </cell>
        </row>
        <row r="1120">
          <cell r="A1120" t="str">
            <v>-</v>
          </cell>
          <cell r="B1120" t="str">
            <v>DEPOSITOS CUENTA N 2 ACUERDO 1686 ME, BBC, BCC, NAC</v>
          </cell>
          <cell r="C1120">
            <v>0</v>
          </cell>
          <cell r="D1120">
            <v>0</v>
          </cell>
          <cell r="E1120">
            <v>0</v>
          </cell>
          <cell r="F1120">
            <v>0</v>
          </cell>
          <cell r="G1120">
            <v>0</v>
          </cell>
          <cell r="H1120">
            <v>0</v>
          </cell>
          <cell r="I1120">
            <v>0</v>
          </cell>
          <cell r="J1120">
            <v>0</v>
          </cell>
          <cell r="K1120">
            <v>0</v>
          </cell>
        </row>
        <row r="1121">
          <cell r="A1121" t="str">
            <v>14HPNZN</v>
          </cell>
          <cell r="B1121" t="str">
            <v>COMISIONES A BENEFICIO FISCAL P.GAR.DEL ESTADO MN, BBC, BCC,</v>
          </cell>
          <cell r="C1121">
            <v>0</v>
          </cell>
          <cell r="D1121">
            <v>0</v>
          </cell>
          <cell r="E1121">
            <v>0</v>
          </cell>
          <cell r="F1121">
            <v>0</v>
          </cell>
          <cell r="G1121">
            <v>0</v>
          </cell>
          <cell r="H1121">
            <v>0</v>
          </cell>
          <cell r="I1121">
            <v>0</v>
          </cell>
          <cell r="J1121">
            <v>0</v>
          </cell>
          <cell r="K1121">
            <v>0</v>
          </cell>
        </row>
        <row r="1122">
          <cell r="A1122" t="str">
            <v>-</v>
          </cell>
          <cell r="B1122" t="str">
            <v>DEPOSITO A LA VISTA "DIVISAS DE POSICION" ME, BBC, BCC, NAC</v>
          </cell>
          <cell r="C1122">
            <v>0</v>
          </cell>
          <cell r="D1122">
            <v>0</v>
          </cell>
          <cell r="E1122">
            <v>0</v>
          </cell>
          <cell r="F1122">
            <v>0</v>
          </cell>
          <cell r="G1122">
            <v>0</v>
          </cell>
          <cell r="H1122">
            <v>0</v>
          </cell>
          <cell r="I1122">
            <v>0</v>
          </cell>
          <cell r="J1122">
            <v>0</v>
          </cell>
          <cell r="K1122">
            <v>0</v>
          </cell>
        </row>
        <row r="1123">
          <cell r="A1123" t="str">
            <v>14HQNZN</v>
          </cell>
          <cell r="B1123" t="str">
            <v>CUPONES NO COBRADOS P.REDENOM.TITULOS DEUDA EXT.MN, BBC, BCC</v>
          </cell>
          <cell r="C1123">
            <v>0</v>
          </cell>
          <cell r="D1123">
            <v>0</v>
          </cell>
          <cell r="E1123">
            <v>0</v>
          </cell>
          <cell r="F1123">
            <v>0</v>
          </cell>
          <cell r="G1123">
            <v>0</v>
          </cell>
          <cell r="H1123">
            <v>0</v>
          </cell>
          <cell r="I1123">
            <v>0</v>
          </cell>
          <cell r="J1123">
            <v>0</v>
          </cell>
          <cell r="K1123">
            <v>0</v>
          </cell>
        </row>
        <row r="1124">
          <cell r="A1124" t="str">
            <v>14HVNZN</v>
          </cell>
          <cell r="B1124" t="str">
            <v>CUPONES VENCIDOS POR PAGAR PTF MN., BBC, BCC, NAC</v>
          </cell>
          <cell r="C1124">
            <v>0</v>
          </cell>
          <cell r="D1124">
            <v>0</v>
          </cell>
          <cell r="E1124">
            <v>0</v>
          </cell>
          <cell r="F1124">
            <v>0</v>
          </cell>
          <cell r="G1124">
            <v>0</v>
          </cell>
          <cell r="H1124">
            <v>0</v>
          </cell>
          <cell r="I1124">
            <v>0</v>
          </cell>
          <cell r="J1124">
            <v>0</v>
          </cell>
          <cell r="K1124">
            <v>0</v>
          </cell>
        </row>
        <row r="1125">
          <cell r="A1125" t="str">
            <v>14IWNZN</v>
          </cell>
          <cell r="B1125" t="str">
            <v>DEPOSITOS A PLAZO EN UF BECH ACDO 1868 MN, BBC, BCC, NAC</v>
          </cell>
          <cell r="C1125">
            <v>0</v>
          </cell>
          <cell r="D1125">
            <v>0</v>
          </cell>
          <cell r="E1125">
            <v>0</v>
          </cell>
          <cell r="F1125">
            <v>0</v>
          </cell>
          <cell r="G1125">
            <v>0</v>
          </cell>
          <cell r="H1125">
            <v>0</v>
          </cell>
          <cell r="I1125">
            <v>0</v>
          </cell>
          <cell r="J1125">
            <v>0</v>
          </cell>
          <cell r="K1125">
            <v>0</v>
          </cell>
        </row>
        <row r="1126">
          <cell r="A1126" t="str">
            <v>14IXNZN</v>
          </cell>
          <cell r="B1126" t="str">
            <v>REAJ PGAR DEPOSITOS A PLAZO UF BECH AC.1868 MN, BBC, BCC, NA</v>
          </cell>
          <cell r="C1126">
            <v>0</v>
          </cell>
          <cell r="D1126">
            <v>0</v>
          </cell>
          <cell r="E1126">
            <v>0</v>
          </cell>
          <cell r="F1126">
            <v>0</v>
          </cell>
          <cell r="G1126">
            <v>0</v>
          </cell>
          <cell r="H1126">
            <v>0</v>
          </cell>
          <cell r="I1126">
            <v>0</v>
          </cell>
          <cell r="J1126">
            <v>0</v>
          </cell>
          <cell r="K1126">
            <v>0</v>
          </cell>
        </row>
        <row r="1127">
          <cell r="A1127" t="str">
            <v>-</v>
          </cell>
          <cell r="B1127" t="str">
            <v xml:space="preserve">PRBC COMPRADOS CON PACTO DE RETROVENTA POR PAGAR, BBC, BCC, </v>
          </cell>
          <cell r="C1127">
            <v>0</v>
          </cell>
          <cell r="D1127">
            <v>0</v>
          </cell>
          <cell r="E1127">
            <v>0</v>
          </cell>
          <cell r="F1127">
            <v>0</v>
          </cell>
          <cell r="G1127">
            <v>0</v>
          </cell>
          <cell r="H1127">
            <v>0</v>
          </cell>
          <cell r="I1127">
            <v>0</v>
          </cell>
          <cell r="J1127">
            <v>0</v>
          </cell>
          <cell r="K1127">
            <v>0</v>
          </cell>
        </row>
        <row r="1128">
          <cell r="A1128" t="str">
            <v>-</v>
          </cell>
          <cell r="B1128" t="str">
            <v xml:space="preserve">CUENTA ESP.ENAP CAP HORN METHANOL LTD.AC.1695 ME, BBC, BCC, </v>
          </cell>
          <cell r="C1128">
            <v>0</v>
          </cell>
          <cell r="D1128">
            <v>0</v>
          </cell>
          <cell r="E1128">
            <v>0</v>
          </cell>
          <cell r="F1128">
            <v>0</v>
          </cell>
          <cell r="G1128">
            <v>0</v>
          </cell>
          <cell r="H1128">
            <v>0</v>
          </cell>
          <cell r="I1128">
            <v>0</v>
          </cell>
          <cell r="J1128">
            <v>0</v>
          </cell>
          <cell r="K1128">
            <v>0</v>
          </cell>
        </row>
        <row r="1129">
          <cell r="A1129" t="str">
            <v>-</v>
          </cell>
          <cell r="B1129" t="str">
            <v>DEPOSITOS BANCO DEL ESTADO DE CHILE ACDO. 1917, BBC, BCC, NA</v>
          </cell>
          <cell r="C1129">
            <v>0</v>
          </cell>
          <cell r="D1129">
            <v>0</v>
          </cell>
          <cell r="E1129">
            <v>0</v>
          </cell>
          <cell r="F1129">
            <v>0</v>
          </cell>
          <cell r="G1129">
            <v>0</v>
          </cell>
          <cell r="H1129">
            <v>0</v>
          </cell>
          <cell r="I1129">
            <v>0</v>
          </cell>
          <cell r="J1129">
            <v>0</v>
          </cell>
          <cell r="K1129">
            <v>0</v>
          </cell>
        </row>
        <row r="1130">
          <cell r="A1130" t="str">
            <v>14IZNZN</v>
          </cell>
          <cell r="B1130" t="str">
            <v>CUPONES VENCIDOS POR PAGAR MN, BBC, BCC, NAC</v>
          </cell>
          <cell r="C1130">
            <v>28</v>
          </cell>
          <cell r="D1130">
            <v>48</v>
          </cell>
          <cell r="E1130">
            <v>34</v>
          </cell>
          <cell r="F1130">
            <v>13</v>
          </cell>
          <cell r="G1130">
            <v>21</v>
          </cell>
          <cell r="H1130">
            <v>20</v>
          </cell>
          <cell r="I1130">
            <v>1</v>
          </cell>
          <cell r="J1130">
            <v>3</v>
          </cell>
          <cell r="K1130">
            <v>2</v>
          </cell>
        </row>
        <row r="1131">
          <cell r="A1131" t="str">
            <v>14JENZN</v>
          </cell>
          <cell r="B1131" t="str">
            <v>DEPOSITO DE LIQUIDEZ INSTITUCI, BBC, BCC, NAC</v>
          </cell>
          <cell r="C1131">
            <v>0</v>
          </cell>
          <cell r="D1131">
            <v>0</v>
          </cell>
          <cell r="E1131">
            <v>11000</v>
          </cell>
          <cell r="F1131">
            <v>0</v>
          </cell>
          <cell r="G1131">
            <v>0</v>
          </cell>
          <cell r="H1131">
            <v>0</v>
          </cell>
          <cell r="I1131">
            <v>0</v>
          </cell>
          <cell r="J1131">
            <v>0</v>
          </cell>
          <cell r="K1131">
            <v>0</v>
          </cell>
        </row>
        <row r="1132">
          <cell r="A1132" t="str">
            <v>14BGXZN</v>
          </cell>
          <cell r="B1132" t="str">
            <v xml:space="preserve">  .OTRAS OBLIGACIONES ME</v>
          </cell>
          <cell r="C1132">
            <v>249889</v>
          </cell>
          <cell r="D1132">
            <v>339021</v>
          </cell>
          <cell r="E1132">
            <v>333864</v>
          </cell>
          <cell r="F1132">
            <v>307436</v>
          </cell>
          <cell r="G1132">
            <v>149647</v>
          </cell>
          <cell r="H1132">
            <v>89042</v>
          </cell>
          <cell r="I1132">
            <v>109187</v>
          </cell>
          <cell r="J1132">
            <v>96066</v>
          </cell>
          <cell r="K1132">
            <v>104896</v>
          </cell>
        </row>
        <row r="1133">
          <cell r="A1133" t="str">
            <v>-</v>
          </cell>
          <cell r="B1133" t="str">
            <v>CUENTAS CORRIENTES AAP NACIONAL MN, BBC, BCC, EXT</v>
          </cell>
          <cell r="C1133">
            <v>0</v>
          </cell>
          <cell r="D1133">
            <v>0</v>
          </cell>
          <cell r="E1133">
            <v>0</v>
          </cell>
          <cell r="F1133">
            <v>0</v>
          </cell>
          <cell r="G1133">
            <v>0</v>
          </cell>
          <cell r="H1133">
            <v>0</v>
          </cell>
          <cell r="I1133">
            <v>0</v>
          </cell>
          <cell r="J1133">
            <v>0</v>
          </cell>
          <cell r="K1133">
            <v>0</v>
          </cell>
        </row>
        <row r="1134">
          <cell r="A1134" t="str">
            <v>15EBEZN</v>
          </cell>
          <cell r="B1134" t="str">
            <v xml:space="preserve">CUENTAS CORRIENTES SINAP Y OROS ORG. FINANCIEROS, BBC, BCC, </v>
          </cell>
          <cell r="C1134">
            <v>0</v>
          </cell>
          <cell r="D1134">
            <v>0</v>
          </cell>
          <cell r="E1134">
            <v>0</v>
          </cell>
          <cell r="F1134">
            <v>0</v>
          </cell>
          <cell r="G1134">
            <v>0</v>
          </cell>
          <cell r="H1134">
            <v>0</v>
          </cell>
          <cell r="I1134">
            <v>0</v>
          </cell>
          <cell r="J1134">
            <v>0</v>
          </cell>
          <cell r="K1134">
            <v>0</v>
          </cell>
        </row>
        <row r="1135">
          <cell r="A1135" t="str">
            <v>15DBEZN</v>
          </cell>
          <cell r="B1135" t="str">
            <v>CTAS.CTES.BCOS.COMERC.ME, BBC, BCC, EXT</v>
          </cell>
          <cell r="C1135">
            <v>244528</v>
          </cell>
          <cell r="D1135">
            <v>334884</v>
          </cell>
          <cell r="E1135">
            <v>332403</v>
          </cell>
          <cell r="F1135">
            <v>298176</v>
          </cell>
          <cell r="G1135">
            <v>71949</v>
          </cell>
          <cell r="H1135">
            <v>79025</v>
          </cell>
          <cell r="I1135">
            <v>97930</v>
          </cell>
          <cell r="J1135">
            <v>87309</v>
          </cell>
          <cell r="K1135">
            <v>96161</v>
          </cell>
        </row>
        <row r="1136">
          <cell r="A1136" t="str">
            <v>15DCEZN</v>
          </cell>
          <cell r="B1136" t="str">
            <v>CTAS.CTES.BCO.ESTADO  ME, BBC, BCC, EXT</v>
          </cell>
          <cell r="C1136">
            <v>82</v>
          </cell>
          <cell r="D1136">
            <v>279</v>
          </cell>
          <cell r="E1136">
            <v>315</v>
          </cell>
          <cell r="F1136">
            <v>4630</v>
          </cell>
          <cell r="G1136">
            <v>4464</v>
          </cell>
          <cell r="H1136">
            <v>7678</v>
          </cell>
          <cell r="I1136">
            <v>3842</v>
          </cell>
          <cell r="J1136">
            <v>7497</v>
          </cell>
          <cell r="K1136">
            <v>7557</v>
          </cell>
        </row>
        <row r="1137">
          <cell r="A1137" t="str">
            <v>15ACEZN</v>
          </cell>
          <cell r="B1137" t="str">
            <v>CTAS. CTES. INSTITUCIONES SEMIFISCALES ME, BBC, BCC, EXT</v>
          </cell>
          <cell r="C1137">
            <v>0</v>
          </cell>
          <cell r="D1137">
            <v>0</v>
          </cell>
          <cell r="E1137">
            <v>0</v>
          </cell>
          <cell r="F1137">
            <v>0</v>
          </cell>
          <cell r="G1137">
            <v>0</v>
          </cell>
          <cell r="H1137">
            <v>0</v>
          </cell>
          <cell r="I1137">
            <v>0</v>
          </cell>
          <cell r="J1137">
            <v>0</v>
          </cell>
          <cell r="K1137">
            <v>0</v>
          </cell>
        </row>
        <row r="1138">
          <cell r="A1138" t="str">
            <v>15BBEZN</v>
          </cell>
          <cell r="B1138" t="str">
            <v>CTAS.CTES.CODELCO-CHILE  ME, BBC, BCC, EXT</v>
          </cell>
          <cell r="C1138">
            <v>33</v>
          </cell>
          <cell r="D1138">
            <v>112</v>
          </cell>
          <cell r="E1138">
            <v>112</v>
          </cell>
          <cell r="F1138">
            <v>308</v>
          </cell>
          <cell r="G1138">
            <v>45</v>
          </cell>
          <cell r="H1138">
            <v>51</v>
          </cell>
          <cell r="I1138">
            <v>16</v>
          </cell>
          <cell r="J1138">
            <v>233</v>
          </cell>
          <cell r="K1138">
            <v>45</v>
          </cell>
        </row>
        <row r="1139">
          <cell r="A1139" t="str">
            <v>17EDEZN</v>
          </cell>
          <cell r="B1139" t="str">
            <v>CUENTAS CTES.ORG.INTERNAC. ME, BBC, BCC, EXT</v>
          </cell>
          <cell r="C1139">
            <v>0</v>
          </cell>
          <cell r="D1139">
            <v>0</v>
          </cell>
          <cell r="E1139">
            <v>0</v>
          </cell>
          <cell r="F1139">
            <v>0</v>
          </cell>
          <cell r="G1139">
            <v>0</v>
          </cell>
          <cell r="H1139">
            <v>0</v>
          </cell>
          <cell r="I1139">
            <v>0</v>
          </cell>
          <cell r="J1139">
            <v>0</v>
          </cell>
          <cell r="K1139">
            <v>0</v>
          </cell>
        </row>
        <row r="1140">
          <cell r="A1140" t="str">
            <v>17DTEZN</v>
          </cell>
          <cell r="B1140" t="str">
            <v>CTAS.CTES. SECTOR NO FINANCIERO  ME, BBC, BCC, EXT</v>
          </cell>
          <cell r="C1140">
            <v>0</v>
          </cell>
          <cell r="D1140">
            <v>0</v>
          </cell>
          <cell r="E1140">
            <v>0</v>
          </cell>
          <cell r="F1140">
            <v>0</v>
          </cell>
          <cell r="G1140">
            <v>0</v>
          </cell>
          <cell r="H1140">
            <v>0</v>
          </cell>
          <cell r="I1140">
            <v>0</v>
          </cell>
          <cell r="J1140">
            <v>0</v>
          </cell>
          <cell r="K1140">
            <v>0</v>
          </cell>
        </row>
        <row r="1141">
          <cell r="A1141" t="str">
            <v>17DHEZN</v>
          </cell>
          <cell r="B1141" t="str">
            <v>RETENCIONES JUDICIALES EN CTAS.CTES.MN, BBC, BCC, EXT</v>
          </cell>
          <cell r="C1141">
            <v>0</v>
          </cell>
          <cell r="D1141">
            <v>0</v>
          </cell>
          <cell r="E1141">
            <v>0</v>
          </cell>
          <cell r="F1141">
            <v>0</v>
          </cell>
          <cell r="G1141">
            <v>0</v>
          </cell>
          <cell r="H1141">
            <v>0</v>
          </cell>
          <cell r="I1141">
            <v>0</v>
          </cell>
          <cell r="J1141">
            <v>0</v>
          </cell>
          <cell r="K1141">
            <v>0</v>
          </cell>
        </row>
        <row r="1142">
          <cell r="A1142" t="str">
            <v>15IDEZN</v>
          </cell>
          <cell r="B1142" t="str">
            <v>DEPOSITOS TERCEROS BLANQUEO DIVISAS DL 110, BBC, BCC, EXT</v>
          </cell>
          <cell r="C1142">
            <v>0</v>
          </cell>
          <cell r="D1142">
            <v>0</v>
          </cell>
          <cell r="E1142">
            <v>0</v>
          </cell>
          <cell r="F1142">
            <v>0</v>
          </cell>
          <cell r="G1142">
            <v>0</v>
          </cell>
          <cell r="H1142">
            <v>0</v>
          </cell>
          <cell r="I1142">
            <v>0</v>
          </cell>
          <cell r="J1142">
            <v>0</v>
          </cell>
          <cell r="K1142">
            <v>0</v>
          </cell>
        </row>
        <row r="1143">
          <cell r="A1143" t="str">
            <v>15HBEZN</v>
          </cell>
          <cell r="B1143" t="str">
            <v>DEP.CHEQUES ME RECIB.COBR.ME, BBC, BCC, EXT</v>
          </cell>
          <cell r="C1143">
            <v>0</v>
          </cell>
          <cell r="D1143">
            <v>0</v>
          </cell>
          <cell r="E1143">
            <v>0</v>
          </cell>
          <cell r="F1143">
            <v>0</v>
          </cell>
          <cell r="G1143">
            <v>0</v>
          </cell>
          <cell r="H1143">
            <v>0</v>
          </cell>
          <cell r="I1143">
            <v>0</v>
          </cell>
          <cell r="J1143">
            <v>0</v>
          </cell>
          <cell r="K1143">
            <v>0</v>
          </cell>
        </row>
        <row r="1144">
          <cell r="A1144" t="str">
            <v>15IFEZN</v>
          </cell>
          <cell r="B1144" t="str">
            <v>VARIOS ACREEDORES MN, BBC, BCC, EXT</v>
          </cell>
          <cell r="C1144">
            <v>0</v>
          </cell>
          <cell r="D1144">
            <v>0</v>
          </cell>
          <cell r="E1144">
            <v>0</v>
          </cell>
          <cell r="F1144">
            <v>0</v>
          </cell>
          <cell r="G1144">
            <v>0</v>
          </cell>
          <cell r="H1144">
            <v>0</v>
          </cell>
          <cell r="I1144">
            <v>0</v>
          </cell>
          <cell r="J1144">
            <v>0</v>
          </cell>
          <cell r="K1144">
            <v>0</v>
          </cell>
        </row>
        <row r="1145">
          <cell r="A1145" t="str">
            <v>15CBEZN</v>
          </cell>
          <cell r="B1145" t="str">
            <v>CHEQUES DE LA GERENCIA ME, BBC, BCC, EXT</v>
          </cell>
          <cell r="C1145">
            <v>0</v>
          </cell>
          <cell r="D1145">
            <v>0</v>
          </cell>
          <cell r="E1145">
            <v>0</v>
          </cell>
          <cell r="F1145">
            <v>0</v>
          </cell>
          <cell r="G1145">
            <v>0</v>
          </cell>
          <cell r="H1145">
            <v>0</v>
          </cell>
          <cell r="I1145">
            <v>0</v>
          </cell>
          <cell r="J1145">
            <v>0</v>
          </cell>
          <cell r="K1145">
            <v>0</v>
          </cell>
        </row>
        <row r="1146">
          <cell r="A1146" t="str">
            <v>16LAEZN</v>
          </cell>
          <cell r="B1146" t="str">
            <v>V.A.TESGRAL  ME, BBC, BCC, EXT</v>
          </cell>
          <cell r="C1146">
            <v>0</v>
          </cell>
          <cell r="D1146">
            <v>0</v>
          </cell>
          <cell r="E1146">
            <v>0</v>
          </cell>
          <cell r="F1146">
            <v>0</v>
          </cell>
          <cell r="G1146">
            <v>0</v>
          </cell>
          <cell r="H1146">
            <v>0</v>
          </cell>
          <cell r="I1146">
            <v>0</v>
          </cell>
          <cell r="J1146">
            <v>0</v>
          </cell>
          <cell r="K1146">
            <v>0</v>
          </cell>
        </row>
        <row r="1147">
          <cell r="A1147" t="str">
            <v>15HCEZN</v>
          </cell>
          <cell r="B1147" t="str">
            <v>TRANSF.BCOS.POR EFECTUAR  ME, BBC, BCC, EXT</v>
          </cell>
          <cell r="C1147">
            <v>1469</v>
          </cell>
          <cell r="D1147">
            <v>0</v>
          </cell>
          <cell r="E1147">
            <v>0</v>
          </cell>
          <cell r="F1147">
            <v>528</v>
          </cell>
          <cell r="G1147">
            <v>355</v>
          </cell>
          <cell r="H1147">
            <v>0</v>
          </cell>
          <cell r="I1147">
            <v>6351</v>
          </cell>
          <cell r="J1147">
            <v>0</v>
          </cell>
          <cell r="K1147">
            <v>333</v>
          </cell>
        </row>
        <row r="1148">
          <cell r="A1148" t="str">
            <v>17BDEZN</v>
          </cell>
          <cell r="B1148" t="str">
            <v>VRIOS.ACREED.PART.SUJ.PRESC.ME, BBC, BCC, EXT</v>
          </cell>
          <cell r="C1148">
            <v>0</v>
          </cell>
          <cell r="D1148">
            <v>0</v>
          </cell>
          <cell r="E1148">
            <v>0</v>
          </cell>
          <cell r="F1148">
            <v>0</v>
          </cell>
          <cell r="G1148">
            <v>0</v>
          </cell>
          <cell r="H1148">
            <v>0</v>
          </cell>
          <cell r="I1148">
            <v>0</v>
          </cell>
          <cell r="J1148">
            <v>0</v>
          </cell>
          <cell r="K1148">
            <v>0</v>
          </cell>
        </row>
        <row r="1149">
          <cell r="A1149" t="str">
            <v>17BEEZN</v>
          </cell>
          <cell r="B1149" t="str">
            <v>VRIOS.ACREED.CHEQ.GIR.NO COBR., BBC, BCC, EXT</v>
          </cell>
          <cell r="C1149">
            <v>1</v>
          </cell>
          <cell r="D1149">
            <v>1</v>
          </cell>
          <cell r="E1149">
            <v>1</v>
          </cell>
          <cell r="F1149">
            <v>1</v>
          </cell>
          <cell r="G1149">
            <v>0</v>
          </cell>
          <cell r="H1149">
            <v>0</v>
          </cell>
          <cell r="I1149">
            <v>0</v>
          </cell>
          <cell r="J1149">
            <v>0</v>
          </cell>
          <cell r="K1149">
            <v>0</v>
          </cell>
        </row>
        <row r="1150">
          <cell r="A1150" t="str">
            <v>16BHEZN</v>
          </cell>
          <cell r="B1150" t="str">
            <v>VRIOS.ACREED.FISCO DL 1444 ME, BBC, BCC, EXT</v>
          </cell>
          <cell r="C1150">
            <v>0</v>
          </cell>
          <cell r="D1150">
            <v>0</v>
          </cell>
          <cell r="E1150">
            <v>0</v>
          </cell>
          <cell r="F1150">
            <v>0</v>
          </cell>
          <cell r="G1150">
            <v>0</v>
          </cell>
          <cell r="H1150">
            <v>0</v>
          </cell>
          <cell r="I1150">
            <v>0</v>
          </cell>
          <cell r="J1150">
            <v>0</v>
          </cell>
          <cell r="K1150">
            <v>0</v>
          </cell>
        </row>
        <row r="1151">
          <cell r="A1151" t="str">
            <v>15INEZN</v>
          </cell>
          <cell r="B1151" t="str">
            <v>SALD. INMOVILIZ. DL 2099 ME, BBC, BCC, EXT</v>
          </cell>
          <cell r="C1151">
            <v>98</v>
          </cell>
          <cell r="D1151">
            <v>101</v>
          </cell>
          <cell r="E1151">
            <v>98</v>
          </cell>
          <cell r="F1151">
            <v>95</v>
          </cell>
          <cell r="G1151">
            <v>93</v>
          </cell>
          <cell r="H1151">
            <v>88</v>
          </cell>
          <cell r="I1151">
            <v>89</v>
          </cell>
          <cell r="J1151">
            <v>87</v>
          </cell>
          <cell r="K1151">
            <v>83</v>
          </cell>
        </row>
        <row r="1152">
          <cell r="A1152" t="str">
            <v>15HGEZN</v>
          </cell>
          <cell r="B1152" t="str">
            <v>DEP. OBLIGATORIOS POR CREDITOS DEL EXTERIOR, BBC, BCC, EXT</v>
          </cell>
          <cell r="C1152">
            <v>0</v>
          </cell>
          <cell r="D1152">
            <v>0</v>
          </cell>
          <cell r="E1152">
            <v>0</v>
          </cell>
          <cell r="F1152">
            <v>0</v>
          </cell>
          <cell r="G1152">
            <v>0</v>
          </cell>
          <cell r="H1152">
            <v>0</v>
          </cell>
          <cell r="I1152">
            <v>0</v>
          </cell>
          <cell r="J1152">
            <v>0</v>
          </cell>
          <cell r="K1152">
            <v>0</v>
          </cell>
        </row>
        <row r="1153">
          <cell r="A1153" t="str">
            <v>17BXEZN</v>
          </cell>
          <cell r="B1153" t="str">
            <v>ACREENCIAS VARIAS PARA SECCION PREVISION MN, BBC, BCC, EXT</v>
          </cell>
          <cell r="C1153">
            <v>0</v>
          </cell>
          <cell r="D1153">
            <v>0</v>
          </cell>
          <cell r="E1153">
            <v>0</v>
          </cell>
          <cell r="F1153">
            <v>0</v>
          </cell>
          <cell r="G1153">
            <v>0</v>
          </cell>
          <cell r="H1153">
            <v>0</v>
          </cell>
          <cell r="I1153">
            <v>0</v>
          </cell>
          <cell r="J1153">
            <v>0</v>
          </cell>
          <cell r="K1153">
            <v>0</v>
          </cell>
        </row>
        <row r="1154">
          <cell r="A1154" t="str">
            <v>14ICEZN</v>
          </cell>
          <cell r="B1154" t="str">
            <v>RETENC.IMPTOS.SEC.PRIV. MN, BBC, BCC, EXT</v>
          </cell>
          <cell r="C1154">
            <v>12</v>
          </cell>
          <cell r="D1154">
            <v>3</v>
          </cell>
          <cell r="E1154">
            <v>11</v>
          </cell>
          <cell r="F1154">
            <v>134</v>
          </cell>
          <cell r="G1154">
            <v>11</v>
          </cell>
          <cell r="H1154">
            <v>68</v>
          </cell>
          <cell r="I1154">
            <v>4</v>
          </cell>
          <cell r="J1154">
            <v>30</v>
          </cell>
          <cell r="K1154">
            <v>6</v>
          </cell>
        </row>
        <row r="1155">
          <cell r="A1155" t="str">
            <v>-</v>
          </cell>
          <cell r="B1155" t="str">
            <v>FDO.RECONSTR.ECON.NACIONAL MN, BBC, BCC, EXT</v>
          </cell>
          <cell r="C1155">
            <v>0</v>
          </cell>
          <cell r="D1155">
            <v>0</v>
          </cell>
          <cell r="E1155">
            <v>0</v>
          </cell>
          <cell r="F1155">
            <v>0</v>
          </cell>
          <cell r="G1155">
            <v>0</v>
          </cell>
          <cell r="H1155">
            <v>0</v>
          </cell>
          <cell r="I1155">
            <v>0</v>
          </cell>
          <cell r="J1155">
            <v>0</v>
          </cell>
          <cell r="K1155">
            <v>0</v>
          </cell>
        </row>
        <row r="1156">
          <cell r="A1156" t="str">
            <v>-</v>
          </cell>
          <cell r="B1156" t="str">
            <v>SUPINT.DE BCOS.E INST.FINANCIERAS DEP.GTIA.ART36 M, BBC, BCC</v>
          </cell>
          <cell r="C1156">
            <v>0</v>
          </cell>
          <cell r="D1156">
            <v>0</v>
          </cell>
          <cell r="E1156">
            <v>0</v>
          </cell>
          <cell r="F1156">
            <v>0</v>
          </cell>
          <cell r="G1156">
            <v>0</v>
          </cell>
          <cell r="H1156">
            <v>0</v>
          </cell>
          <cell r="I1156">
            <v>0</v>
          </cell>
          <cell r="J1156">
            <v>0</v>
          </cell>
          <cell r="K1156">
            <v>0</v>
          </cell>
        </row>
        <row r="1157">
          <cell r="A1157" t="str">
            <v>14AJEZN</v>
          </cell>
          <cell r="B1157" t="str">
            <v>CUENTAS Y DOCTOS.POR PAGAR MN, BBC, BCC, EXT</v>
          </cell>
          <cell r="C1157">
            <v>2536</v>
          </cell>
          <cell r="D1157">
            <v>2541</v>
          </cell>
          <cell r="E1157">
            <v>459</v>
          </cell>
          <cell r="F1157">
            <v>997</v>
          </cell>
          <cell r="G1157">
            <v>1264</v>
          </cell>
          <cell r="H1157">
            <v>1687</v>
          </cell>
          <cell r="I1157">
            <v>582</v>
          </cell>
          <cell r="J1157">
            <v>540</v>
          </cell>
          <cell r="K1157">
            <v>360</v>
          </cell>
        </row>
        <row r="1158">
          <cell r="A1158" t="str">
            <v>-</v>
          </cell>
          <cell r="B1158" t="str">
            <v>IMPTO.VTAS.SERV.IVA-DEB.FISC., BBC, BCC, EXT</v>
          </cell>
          <cell r="C1158">
            <v>0</v>
          </cell>
          <cell r="D1158">
            <v>0</v>
          </cell>
          <cell r="E1158">
            <v>0</v>
          </cell>
          <cell r="F1158">
            <v>0</v>
          </cell>
          <cell r="G1158">
            <v>0</v>
          </cell>
          <cell r="H1158">
            <v>0</v>
          </cell>
          <cell r="I1158">
            <v>0</v>
          </cell>
          <cell r="J1158">
            <v>0</v>
          </cell>
          <cell r="K1158">
            <v>0</v>
          </cell>
        </row>
        <row r="1159">
          <cell r="A1159" t="str">
            <v>16BOEZN</v>
          </cell>
          <cell r="B1159" t="str">
            <v>MULTAS POR ENTERAR TESOR. MN, BBC, BCC, EXT</v>
          </cell>
          <cell r="C1159">
            <v>0</v>
          </cell>
          <cell r="D1159">
            <v>0</v>
          </cell>
          <cell r="E1159">
            <v>0</v>
          </cell>
          <cell r="F1159">
            <v>0</v>
          </cell>
          <cell r="G1159">
            <v>0</v>
          </cell>
          <cell r="H1159">
            <v>0</v>
          </cell>
          <cell r="I1159">
            <v>0</v>
          </cell>
          <cell r="J1159">
            <v>0</v>
          </cell>
          <cell r="K1159">
            <v>0</v>
          </cell>
        </row>
        <row r="1160">
          <cell r="A1160" t="str">
            <v>14GEEZN</v>
          </cell>
          <cell r="B1160" t="str">
            <v>DEP.CONST.ENCAJE-CORFO MN, BBC, BCC, EXT</v>
          </cell>
          <cell r="C1160">
            <v>58</v>
          </cell>
          <cell r="D1160">
            <v>60</v>
          </cell>
          <cell r="E1160">
            <v>58</v>
          </cell>
          <cell r="F1160">
            <v>56</v>
          </cell>
          <cell r="G1160">
            <v>56</v>
          </cell>
          <cell r="H1160">
            <v>55</v>
          </cell>
          <cell r="I1160">
            <v>56</v>
          </cell>
          <cell r="J1160">
            <v>56</v>
          </cell>
          <cell r="K1160">
            <v>52</v>
          </cell>
        </row>
        <row r="1161">
          <cell r="A1161" t="str">
            <v>-</v>
          </cell>
          <cell r="B1161" t="str">
            <v>ACREEDORES POR VENCIM. DE CAR EX VHR, BBC, BCC, EXT</v>
          </cell>
          <cell r="C1161">
            <v>0</v>
          </cell>
          <cell r="D1161">
            <v>0</v>
          </cell>
          <cell r="E1161">
            <v>0</v>
          </cell>
          <cell r="F1161">
            <v>0</v>
          </cell>
          <cell r="G1161">
            <v>0</v>
          </cell>
          <cell r="H1161">
            <v>0</v>
          </cell>
          <cell r="I1161">
            <v>0</v>
          </cell>
          <cell r="J1161">
            <v>0</v>
          </cell>
          <cell r="K1161">
            <v>0</v>
          </cell>
        </row>
        <row r="1162">
          <cell r="A1162" t="str">
            <v>-</v>
          </cell>
          <cell r="B1162" t="str">
            <v xml:space="preserve">COTIZ.AL FDO.INDEMNIZACION VOLUNTARIA P.DEVOLVER, BBC, BCC, </v>
          </cell>
          <cell r="C1162">
            <v>0</v>
          </cell>
          <cell r="D1162">
            <v>0</v>
          </cell>
          <cell r="E1162">
            <v>0</v>
          </cell>
          <cell r="F1162">
            <v>0</v>
          </cell>
          <cell r="G1162">
            <v>0</v>
          </cell>
          <cell r="H1162">
            <v>0</v>
          </cell>
          <cell r="I1162">
            <v>0</v>
          </cell>
          <cell r="J1162">
            <v>0</v>
          </cell>
          <cell r="K1162">
            <v>0</v>
          </cell>
        </row>
        <row r="1163">
          <cell r="A1163" t="str">
            <v>-</v>
          </cell>
          <cell r="B1163" t="str">
            <v>CORREC.MONET.PROV.S/COTIZ.AL FDO DE IND.VOLUN.P/DE, BBC, BCC</v>
          </cell>
          <cell r="C1163">
            <v>0</v>
          </cell>
          <cell r="D1163">
            <v>0</v>
          </cell>
          <cell r="E1163">
            <v>0</v>
          </cell>
          <cell r="F1163">
            <v>0</v>
          </cell>
          <cell r="G1163">
            <v>0</v>
          </cell>
          <cell r="H1163">
            <v>0</v>
          </cell>
          <cell r="I1163">
            <v>0</v>
          </cell>
          <cell r="J1163">
            <v>0</v>
          </cell>
          <cell r="K1163">
            <v>0</v>
          </cell>
        </row>
        <row r="1164">
          <cell r="A1164" t="str">
            <v>15HJEZN</v>
          </cell>
          <cell r="B1164" t="str">
            <v>DEP.OBLIG.P.CREDITOS DEL SISTEMA BANCARIO, BBC, BCC, EXT</v>
          </cell>
          <cell r="C1164">
            <v>0</v>
          </cell>
          <cell r="D1164">
            <v>0</v>
          </cell>
          <cell r="E1164">
            <v>0</v>
          </cell>
          <cell r="F1164">
            <v>0</v>
          </cell>
          <cell r="G1164">
            <v>0</v>
          </cell>
          <cell r="H1164">
            <v>0</v>
          </cell>
          <cell r="I1164">
            <v>0</v>
          </cell>
          <cell r="J1164">
            <v>0</v>
          </cell>
          <cell r="K1164">
            <v>0</v>
          </cell>
        </row>
        <row r="1165">
          <cell r="A1165" t="str">
            <v>14GMEZN</v>
          </cell>
          <cell r="B1165" t="str">
            <v>SALDO PRECIO POR PAGARES ADQ.AL BCO.DEL ESTADO ME, BBC, BCC,</v>
          </cell>
          <cell r="C1165">
            <v>0</v>
          </cell>
          <cell r="D1165">
            <v>0</v>
          </cell>
          <cell r="E1165">
            <v>0</v>
          </cell>
          <cell r="F1165">
            <v>0</v>
          </cell>
          <cell r="G1165">
            <v>0</v>
          </cell>
          <cell r="H1165">
            <v>0</v>
          </cell>
          <cell r="I1165">
            <v>0</v>
          </cell>
          <cell r="J1165">
            <v>0</v>
          </cell>
          <cell r="K1165">
            <v>0</v>
          </cell>
        </row>
        <row r="1166">
          <cell r="A1166" t="str">
            <v>17EEEZN</v>
          </cell>
          <cell r="B1166" t="str">
            <v>DEP.A PLAZO BCOS.NACIONALES Y SECTOR PUBLICO, BBC, BCC, EXT</v>
          </cell>
          <cell r="C1166">
            <v>0</v>
          </cell>
          <cell r="D1166">
            <v>0</v>
          </cell>
          <cell r="E1166">
            <v>0</v>
          </cell>
          <cell r="F1166">
            <v>0</v>
          </cell>
          <cell r="G1166">
            <v>0</v>
          </cell>
          <cell r="H1166">
            <v>0</v>
          </cell>
          <cell r="I1166">
            <v>0</v>
          </cell>
          <cell r="J1166">
            <v>0</v>
          </cell>
          <cell r="K1166">
            <v>0</v>
          </cell>
        </row>
        <row r="1167">
          <cell r="A1167" t="str">
            <v>15IQEZN</v>
          </cell>
          <cell r="B1167" t="str">
            <v>DEPOS.OBLIG.P.CRED.DEL EXTERIOR ENTREGADOS EN GAR., BBC, BCC</v>
          </cell>
          <cell r="C1167">
            <v>0</v>
          </cell>
          <cell r="D1167">
            <v>0</v>
          </cell>
          <cell r="E1167">
            <v>0</v>
          </cell>
          <cell r="F1167">
            <v>0</v>
          </cell>
          <cell r="G1167">
            <v>0</v>
          </cell>
          <cell r="H1167">
            <v>0</v>
          </cell>
          <cell r="I1167">
            <v>0</v>
          </cell>
          <cell r="J1167">
            <v>0</v>
          </cell>
          <cell r="K1167">
            <v>0</v>
          </cell>
        </row>
        <row r="1168">
          <cell r="A1168" t="str">
            <v>17ECEZN</v>
          </cell>
          <cell r="B1168" t="str">
            <v>OBLIG. C. EL BCO. DEL ESTADO  MN, BBC, BCC, EXT</v>
          </cell>
          <cell r="C1168">
            <v>0</v>
          </cell>
          <cell r="D1168">
            <v>0</v>
          </cell>
          <cell r="E1168">
            <v>0</v>
          </cell>
          <cell r="F1168">
            <v>0</v>
          </cell>
          <cell r="G1168">
            <v>0</v>
          </cell>
          <cell r="H1168">
            <v>0</v>
          </cell>
          <cell r="I1168">
            <v>0</v>
          </cell>
          <cell r="J1168">
            <v>0</v>
          </cell>
          <cell r="K1168">
            <v>0</v>
          </cell>
        </row>
        <row r="1169">
          <cell r="A1169" t="str">
            <v>15IREZN</v>
          </cell>
          <cell r="B1169" t="str">
            <v>5%  DEPOSITOS OPERACIONES DE IMPORTACION ME, BBC, BCC, EXT</v>
          </cell>
          <cell r="C1169">
            <v>0</v>
          </cell>
          <cell r="D1169">
            <v>0</v>
          </cell>
          <cell r="E1169">
            <v>0</v>
          </cell>
          <cell r="F1169">
            <v>0</v>
          </cell>
          <cell r="G1169">
            <v>0</v>
          </cell>
          <cell r="H1169">
            <v>0</v>
          </cell>
          <cell r="I1169">
            <v>0</v>
          </cell>
          <cell r="J1169">
            <v>0</v>
          </cell>
          <cell r="K1169">
            <v>0</v>
          </cell>
        </row>
        <row r="1170">
          <cell r="A1170" t="str">
            <v>15FEEZN</v>
          </cell>
          <cell r="B1170" t="str">
            <v>DEPOSITOS ACDO 1470, BBC, BCC, EXT</v>
          </cell>
          <cell r="C1170">
            <v>0</v>
          </cell>
          <cell r="D1170">
            <v>0</v>
          </cell>
          <cell r="E1170">
            <v>0</v>
          </cell>
          <cell r="F1170">
            <v>0</v>
          </cell>
          <cell r="G1170">
            <v>0</v>
          </cell>
          <cell r="H1170">
            <v>0</v>
          </cell>
          <cell r="I1170">
            <v>0</v>
          </cell>
          <cell r="J1170">
            <v>0</v>
          </cell>
          <cell r="K1170">
            <v>0</v>
          </cell>
        </row>
        <row r="1171">
          <cell r="A1171" t="str">
            <v>-</v>
          </cell>
          <cell r="B1171" t="str">
            <v>REAJ.P.PAGAR S.DEP.A PLAZO BCOS.NAC.Y SEC.PUBLICO, BBC, BCC,</v>
          </cell>
          <cell r="C1171">
            <v>0</v>
          </cell>
          <cell r="D1171">
            <v>0</v>
          </cell>
          <cell r="E1171">
            <v>0</v>
          </cell>
          <cell r="F1171">
            <v>0</v>
          </cell>
          <cell r="G1171">
            <v>0</v>
          </cell>
          <cell r="H1171">
            <v>0</v>
          </cell>
          <cell r="I1171">
            <v>0</v>
          </cell>
          <cell r="J1171">
            <v>0</v>
          </cell>
          <cell r="K1171">
            <v>0</v>
          </cell>
        </row>
        <row r="1172">
          <cell r="A1172" t="str">
            <v>15FJEZN</v>
          </cell>
          <cell r="B1172" t="str">
            <v>DEP.BCO.ESTADO PARA LINEA REFINANCIAMIENTO, BBC, BCC, EXT</v>
          </cell>
          <cell r="C1172">
            <v>0</v>
          </cell>
          <cell r="D1172">
            <v>0</v>
          </cell>
          <cell r="E1172">
            <v>0</v>
          </cell>
          <cell r="F1172">
            <v>0</v>
          </cell>
          <cell r="G1172">
            <v>0</v>
          </cell>
          <cell r="H1172">
            <v>0</v>
          </cell>
          <cell r="I1172">
            <v>0</v>
          </cell>
          <cell r="J1172">
            <v>0</v>
          </cell>
          <cell r="K1172">
            <v>0</v>
          </cell>
        </row>
        <row r="1173">
          <cell r="A1173" t="str">
            <v>-</v>
          </cell>
          <cell r="B1173" t="str">
            <v>RETENCIONES P.ENTERAR EN INST.DE PREVISION, BBC, BCC, EXT</v>
          </cell>
          <cell r="C1173">
            <v>0</v>
          </cell>
          <cell r="D1173">
            <v>0</v>
          </cell>
          <cell r="E1173">
            <v>0</v>
          </cell>
          <cell r="F1173">
            <v>0</v>
          </cell>
          <cell r="G1173">
            <v>0</v>
          </cell>
          <cell r="H1173">
            <v>0</v>
          </cell>
          <cell r="I1173">
            <v>0</v>
          </cell>
          <cell r="J1173">
            <v>0</v>
          </cell>
          <cell r="K1173">
            <v>0</v>
          </cell>
        </row>
        <row r="1174">
          <cell r="A1174" t="str">
            <v>15AFEZN</v>
          </cell>
          <cell r="B1174" t="str">
            <v>DEP.A PLAZO EMPRESAS PUBLICAS EXPRESADAS EN US$, BBC, BCC, E</v>
          </cell>
          <cell r="C1174">
            <v>0</v>
          </cell>
          <cell r="D1174">
            <v>0</v>
          </cell>
          <cell r="E1174">
            <v>0</v>
          </cell>
          <cell r="F1174">
            <v>0</v>
          </cell>
          <cell r="G1174">
            <v>0</v>
          </cell>
          <cell r="H1174">
            <v>0</v>
          </cell>
          <cell r="I1174">
            <v>0</v>
          </cell>
          <cell r="J1174">
            <v>0</v>
          </cell>
          <cell r="K1174">
            <v>0</v>
          </cell>
        </row>
        <row r="1175">
          <cell r="A1175" t="str">
            <v>-</v>
          </cell>
          <cell r="B1175" t="str">
            <v>DEP.TRANSITORIO P/SUSCRIP.B.C.P/INST.SEC.PUBLICO M, BBC, BCC</v>
          </cell>
          <cell r="C1175">
            <v>0</v>
          </cell>
          <cell r="D1175">
            <v>0</v>
          </cell>
          <cell r="E1175">
            <v>0</v>
          </cell>
          <cell r="F1175">
            <v>0</v>
          </cell>
          <cell r="G1175">
            <v>0</v>
          </cell>
          <cell r="H1175">
            <v>0</v>
          </cell>
          <cell r="I1175">
            <v>0</v>
          </cell>
          <cell r="J1175">
            <v>0</v>
          </cell>
          <cell r="K1175">
            <v>0</v>
          </cell>
        </row>
        <row r="1176">
          <cell r="A1176" t="str">
            <v>14AHEZN</v>
          </cell>
          <cell r="B1176" t="str">
            <v>DEP.A PLAZO BANCO DEL ESTADO DE CHILE  ME, BBC, BCC, EXT</v>
          </cell>
          <cell r="C1176">
            <v>0</v>
          </cell>
          <cell r="D1176">
            <v>0</v>
          </cell>
          <cell r="E1176">
            <v>0</v>
          </cell>
          <cell r="F1176">
            <v>0</v>
          </cell>
          <cell r="G1176">
            <v>0</v>
          </cell>
          <cell r="H1176">
            <v>0</v>
          </cell>
          <cell r="I1176">
            <v>0</v>
          </cell>
          <cell r="J1176">
            <v>0</v>
          </cell>
          <cell r="K1176">
            <v>0</v>
          </cell>
        </row>
        <row r="1177">
          <cell r="A1177" t="str">
            <v>-</v>
          </cell>
          <cell r="B1177" t="str">
            <v>DIFERENCIAL CAMBIARIO ACDO.1484 POR PAGAR MN, BBC, BCC, EXT</v>
          </cell>
          <cell r="C1177">
            <v>0</v>
          </cell>
          <cell r="D1177">
            <v>0</v>
          </cell>
          <cell r="E1177">
            <v>0</v>
          </cell>
          <cell r="F1177">
            <v>0</v>
          </cell>
          <cell r="G1177">
            <v>0</v>
          </cell>
          <cell r="H1177">
            <v>0</v>
          </cell>
          <cell r="I1177">
            <v>0</v>
          </cell>
          <cell r="J1177">
            <v>0</v>
          </cell>
          <cell r="K1177">
            <v>0</v>
          </cell>
        </row>
        <row r="1178">
          <cell r="A1178" t="str">
            <v>14AMEZN</v>
          </cell>
          <cell r="B1178" t="str">
            <v>DEPOS.S.OPERAC.IMPORTACION P.VTA ANTIC.DIVISAS  ME, BBC, BCC</v>
          </cell>
          <cell r="C1178">
            <v>0</v>
          </cell>
          <cell r="D1178">
            <v>0</v>
          </cell>
          <cell r="E1178">
            <v>0</v>
          </cell>
          <cell r="F1178">
            <v>0</v>
          </cell>
          <cell r="G1178">
            <v>0</v>
          </cell>
          <cell r="H1178">
            <v>0</v>
          </cell>
          <cell r="I1178">
            <v>0</v>
          </cell>
          <cell r="J1178">
            <v>0</v>
          </cell>
          <cell r="K1178">
            <v>0</v>
          </cell>
        </row>
        <row r="1179">
          <cell r="A1179" t="str">
            <v>14GQEZN</v>
          </cell>
          <cell r="B1179" t="str">
            <v>PAGARE POR EMITIR P.REPROGRAMACION DE DEUDAS, BBC, BCC, EXT</v>
          </cell>
          <cell r="C1179">
            <v>0</v>
          </cell>
          <cell r="D1179">
            <v>0</v>
          </cell>
          <cell r="E1179">
            <v>0</v>
          </cell>
          <cell r="F1179">
            <v>0</v>
          </cell>
          <cell r="G1179">
            <v>0</v>
          </cell>
          <cell r="H1179">
            <v>0</v>
          </cell>
          <cell r="I1179">
            <v>0</v>
          </cell>
          <cell r="J1179">
            <v>0</v>
          </cell>
          <cell r="K1179">
            <v>0</v>
          </cell>
        </row>
        <row r="1180">
          <cell r="A1180" t="str">
            <v>-</v>
          </cell>
          <cell r="B1180" t="str">
            <v>REAJ.POR PAGAR S.OBLIF.C.BCO.ESTADO MN, BBC, BCC, EXT</v>
          </cell>
          <cell r="C1180">
            <v>0</v>
          </cell>
          <cell r="D1180">
            <v>0</v>
          </cell>
          <cell r="E1180">
            <v>0</v>
          </cell>
          <cell r="F1180">
            <v>0</v>
          </cell>
          <cell r="G1180">
            <v>0</v>
          </cell>
          <cell r="H1180">
            <v>0</v>
          </cell>
          <cell r="I1180">
            <v>0</v>
          </cell>
          <cell r="J1180">
            <v>0</v>
          </cell>
          <cell r="K1180">
            <v>0</v>
          </cell>
        </row>
        <row r="1181">
          <cell r="A1181" t="str">
            <v>14GSEZN</v>
          </cell>
          <cell r="B1181" t="str">
            <v>DEP.BECH P.FINANC.C.GTIA CREDITICIA DEL C.C.C., BBC, BCC, EX</v>
          </cell>
          <cell r="C1181">
            <v>0</v>
          </cell>
          <cell r="D1181">
            <v>0</v>
          </cell>
          <cell r="E1181">
            <v>0</v>
          </cell>
          <cell r="F1181">
            <v>0</v>
          </cell>
          <cell r="G1181">
            <v>0</v>
          </cell>
          <cell r="H1181">
            <v>0</v>
          </cell>
          <cell r="I1181">
            <v>0</v>
          </cell>
          <cell r="J1181">
            <v>0</v>
          </cell>
          <cell r="K1181">
            <v>0</v>
          </cell>
        </row>
        <row r="1182">
          <cell r="A1182" t="str">
            <v>14GUEZN</v>
          </cell>
          <cell r="B1182" t="str">
            <v>DEP.P.REPROG.DEUDAS SECTOR PRODUCTIVO ACDO.1578 ME, BBC, BCC</v>
          </cell>
          <cell r="C1182">
            <v>0</v>
          </cell>
          <cell r="D1182">
            <v>0</v>
          </cell>
          <cell r="E1182">
            <v>0</v>
          </cell>
          <cell r="F1182">
            <v>0</v>
          </cell>
          <cell r="G1182">
            <v>0</v>
          </cell>
          <cell r="H1182">
            <v>0</v>
          </cell>
          <cell r="I1182">
            <v>0</v>
          </cell>
          <cell r="J1182">
            <v>0</v>
          </cell>
          <cell r="K1182">
            <v>0</v>
          </cell>
        </row>
        <row r="1183">
          <cell r="A1183" t="str">
            <v>14GVEZN</v>
          </cell>
          <cell r="B1183" t="str">
            <v>REAJ.P.PAGAR S.DEPOS.P.REPROD.DEUDAS SEC.PRODUC.ME, BBC, BCC</v>
          </cell>
          <cell r="C1183">
            <v>0</v>
          </cell>
          <cell r="D1183">
            <v>0</v>
          </cell>
          <cell r="E1183">
            <v>0</v>
          </cell>
          <cell r="F1183">
            <v>0</v>
          </cell>
          <cell r="G1183">
            <v>0</v>
          </cell>
          <cell r="H1183">
            <v>0</v>
          </cell>
          <cell r="I1183">
            <v>0</v>
          </cell>
          <cell r="J1183">
            <v>0</v>
          </cell>
          <cell r="K1183">
            <v>0</v>
          </cell>
        </row>
        <row r="1184">
          <cell r="A1184" t="str">
            <v>14GWEZN</v>
          </cell>
          <cell r="B1184" t="str">
            <v>CAPTACIONES CORTO PLAZO EMPRESAS BANCARIAS ME., BBC, BCC, EX</v>
          </cell>
          <cell r="C1184">
            <v>0</v>
          </cell>
          <cell r="D1184">
            <v>0</v>
          </cell>
          <cell r="E1184">
            <v>0</v>
          </cell>
          <cell r="F1184">
            <v>2116</v>
          </cell>
          <cell r="G1184">
            <v>71012</v>
          </cell>
          <cell r="H1184">
            <v>0</v>
          </cell>
          <cell r="I1184">
            <v>0</v>
          </cell>
          <cell r="J1184">
            <v>0</v>
          </cell>
          <cell r="K1184">
            <v>0</v>
          </cell>
        </row>
        <row r="1185">
          <cell r="A1185" t="str">
            <v>-</v>
          </cell>
          <cell r="B1185" t="str">
            <v>CREDITO CITIBANK CHILE (ACUERDO 1634)MN, BBC, BCC, EXT</v>
          </cell>
          <cell r="C1185">
            <v>0</v>
          </cell>
          <cell r="D1185">
            <v>0</v>
          </cell>
          <cell r="E1185">
            <v>0</v>
          </cell>
          <cell r="F1185">
            <v>0</v>
          </cell>
          <cell r="G1185">
            <v>0</v>
          </cell>
          <cell r="H1185">
            <v>0</v>
          </cell>
          <cell r="I1185">
            <v>0</v>
          </cell>
          <cell r="J1185">
            <v>0</v>
          </cell>
          <cell r="K1185">
            <v>0</v>
          </cell>
        </row>
        <row r="1186">
          <cell r="A1186" t="str">
            <v>14GYEZN</v>
          </cell>
          <cell r="B1186" t="str">
            <v>CERT.DEP.INTRANSF.EXP EN US$ POR EMITIR AC.1649 ME, BBC, BCC</v>
          </cell>
          <cell r="C1186">
            <v>0</v>
          </cell>
          <cell r="D1186">
            <v>0</v>
          </cell>
          <cell r="E1186">
            <v>0</v>
          </cell>
          <cell r="F1186">
            <v>0</v>
          </cell>
          <cell r="G1186">
            <v>0</v>
          </cell>
          <cell r="H1186">
            <v>0</v>
          </cell>
          <cell r="I1186">
            <v>0</v>
          </cell>
          <cell r="J1186">
            <v>0</v>
          </cell>
          <cell r="K1186">
            <v>0</v>
          </cell>
        </row>
        <row r="1187">
          <cell r="A1187" t="str">
            <v>14GZEZN</v>
          </cell>
          <cell r="B1187" t="str">
            <v>DEPOSITOS ME TRANSITORIOS ACDO 1657-09 ME, BBC, BCC, EXT</v>
          </cell>
          <cell r="C1187">
            <v>0</v>
          </cell>
          <cell r="D1187">
            <v>0</v>
          </cell>
          <cell r="E1187">
            <v>0</v>
          </cell>
          <cell r="F1187">
            <v>0</v>
          </cell>
          <cell r="G1187">
            <v>0</v>
          </cell>
          <cell r="H1187">
            <v>0</v>
          </cell>
          <cell r="I1187">
            <v>0</v>
          </cell>
          <cell r="J1187">
            <v>0</v>
          </cell>
          <cell r="K1187">
            <v>0</v>
          </cell>
        </row>
        <row r="1188">
          <cell r="A1188" t="str">
            <v>14HJEZN</v>
          </cell>
          <cell r="B1188" t="str">
            <v>DEPOSITOS ME C/LINEA ACDO.1657-09-A  ME, BBC, BCC, EXT</v>
          </cell>
          <cell r="C1188">
            <v>0</v>
          </cell>
          <cell r="D1188">
            <v>0</v>
          </cell>
          <cell r="E1188">
            <v>0</v>
          </cell>
          <cell r="F1188">
            <v>0</v>
          </cell>
          <cell r="G1188">
            <v>0</v>
          </cell>
          <cell r="H1188">
            <v>0</v>
          </cell>
          <cell r="I1188">
            <v>0</v>
          </cell>
          <cell r="J1188">
            <v>0</v>
          </cell>
          <cell r="K1188">
            <v>0</v>
          </cell>
        </row>
        <row r="1189">
          <cell r="A1189" t="str">
            <v>14HKEZN</v>
          </cell>
          <cell r="B1189" t="str">
            <v>DEPOSITOS ME SIN LINEA ACDO.1657-10, BBC, BCC, EXT</v>
          </cell>
          <cell r="C1189">
            <v>0</v>
          </cell>
          <cell r="D1189">
            <v>0</v>
          </cell>
          <cell r="E1189">
            <v>0</v>
          </cell>
          <cell r="F1189">
            <v>0</v>
          </cell>
          <cell r="G1189">
            <v>0</v>
          </cell>
          <cell r="H1189">
            <v>0</v>
          </cell>
          <cell r="I1189">
            <v>0</v>
          </cell>
          <cell r="J1189">
            <v>0</v>
          </cell>
          <cell r="K1189">
            <v>0</v>
          </cell>
        </row>
        <row r="1190">
          <cell r="A1190" t="str">
            <v>14HLEZN</v>
          </cell>
          <cell r="B1190" t="str">
            <v>CUENTA ESPECIAL ACUERDO 1657-11, BBC, BCC, EXT</v>
          </cell>
          <cell r="C1190">
            <v>0</v>
          </cell>
          <cell r="D1190">
            <v>0</v>
          </cell>
          <cell r="E1190">
            <v>0</v>
          </cell>
          <cell r="F1190">
            <v>0</v>
          </cell>
          <cell r="G1190">
            <v>0</v>
          </cell>
          <cell r="H1190">
            <v>0</v>
          </cell>
          <cell r="I1190">
            <v>0</v>
          </cell>
          <cell r="J1190">
            <v>0</v>
          </cell>
          <cell r="K1190">
            <v>0</v>
          </cell>
        </row>
        <row r="1191">
          <cell r="A1191" t="str">
            <v>17ASEZN</v>
          </cell>
          <cell r="B1191" t="str">
            <v>DEPOSITOS ME TRANSITORIOS ACDO 1686, BBC, BCC, EXT</v>
          </cell>
          <cell r="C1191">
            <v>0</v>
          </cell>
          <cell r="D1191">
            <v>0</v>
          </cell>
          <cell r="E1191">
            <v>0</v>
          </cell>
          <cell r="F1191">
            <v>0</v>
          </cell>
          <cell r="G1191">
            <v>0</v>
          </cell>
          <cell r="H1191">
            <v>0</v>
          </cell>
          <cell r="I1191">
            <v>0</v>
          </cell>
          <cell r="J1191">
            <v>0</v>
          </cell>
          <cell r="K1191">
            <v>0</v>
          </cell>
        </row>
        <row r="1192">
          <cell r="A1192" t="str">
            <v>17ATEZN</v>
          </cell>
          <cell r="B1192" t="str">
            <v>DEPOSITOS ME CON CREDITO ACDO 1686, BBC, BCC, EXT</v>
          </cell>
          <cell r="C1192">
            <v>1072</v>
          </cell>
          <cell r="D1192">
            <v>1040</v>
          </cell>
          <cell r="E1192">
            <v>407</v>
          </cell>
          <cell r="F1192">
            <v>395</v>
          </cell>
          <cell r="G1192">
            <v>398</v>
          </cell>
          <cell r="H1192">
            <v>390</v>
          </cell>
          <cell r="I1192">
            <v>317</v>
          </cell>
          <cell r="J1192">
            <v>314</v>
          </cell>
          <cell r="K1192">
            <v>299</v>
          </cell>
        </row>
        <row r="1193">
          <cell r="A1193" t="str">
            <v>-</v>
          </cell>
          <cell r="B1193" t="str">
            <v>PASIVOS INTERNOS B.CONTINENTAL ASUMIDOS BC.AC.1674, BBC, BCC</v>
          </cell>
          <cell r="C1193">
            <v>0</v>
          </cell>
          <cell r="D1193">
            <v>0</v>
          </cell>
          <cell r="E1193">
            <v>0</v>
          </cell>
          <cell r="F1193">
            <v>0</v>
          </cell>
          <cell r="G1193">
            <v>0</v>
          </cell>
          <cell r="H1193">
            <v>0</v>
          </cell>
          <cell r="I1193">
            <v>0</v>
          </cell>
          <cell r="J1193">
            <v>0</v>
          </cell>
          <cell r="K1193">
            <v>0</v>
          </cell>
        </row>
        <row r="1194">
          <cell r="A1194" t="str">
            <v>14HOEZN</v>
          </cell>
          <cell r="B1194" t="str">
            <v>CUENTA ESPECIAL ENCAJE ACUERDO 143-01-91D705, BBC, BCC, EXT</v>
          </cell>
          <cell r="C1194">
            <v>0</v>
          </cell>
          <cell r="D1194">
            <v>0</v>
          </cell>
          <cell r="E1194">
            <v>0</v>
          </cell>
          <cell r="F1194">
            <v>0</v>
          </cell>
          <cell r="G1194">
            <v>0</v>
          </cell>
          <cell r="H1194">
            <v>0</v>
          </cell>
          <cell r="I1194">
            <v>0</v>
          </cell>
          <cell r="J1194">
            <v>0</v>
          </cell>
          <cell r="K1194">
            <v>0</v>
          </cell>
        </row>
        <row r="1195">
          <cell r="A1195" t="str">
            <v>14HREZN</v>
          </cell>
          <cell r="B1195" t="str">
            <v>DEPOSITOS CUENTA N 2 ACUERDO 1686 ME, BBC, BCC, EXT</v>
          </cell>
          <cell r="C1195">
            <v>0</v>
          </cell>
          <cell r="D1195">
            <v>0</v>
          </cell>
          <cell r="E1195">
            <v>0</v>
          </cell>
          <cell r="F1195">
            <v>0</v>
          </cell>
          <cell r="G1195">
            <v>0</v>
          </cell>
          <cell r="H1195">
            <v>0</v>
          </cell>
          <cell r="I1195">
            <v>0</v>
          </cell>
          <cell r="J1195">
            <v>0</v>
          </cell>
          <cell r="K1195">
            <v>0</v>
          </cell>
        </row>
        <row r="1196">
          <cell r="A1196" t="str">
            <v>-</v>
          </cell>
          <cell r="B1196" t="str">
            <v>COMISIONES A BENEFICIO FISCAL P.GAR.DEL ESTADO MN, BBC, BCC,</v>
          </cell>
          <cell r="C1196">
            <v>0</v>
          </cell>
          <cell r="D1196">
            <v>0</v>
          </cell>
          <cell r="E1196">
            <v>0</v>
          </cell>
          <cell r="F1196">
            <v>0</v>
          </cell>
          <cell r="G1196">
            <v>0</v>
          </cell>
          <cell r="H1196">
            <v>0</v>
          </cell>
          <cell r="I1196">
            <v>0</v>
          </cell>
          <cell r="J1196">
            <v>0</v>
          </cell>
          <cell r="K1196">
            <v>0</v>
          </cell>
        </row>
        <row r="1197">
          <cell r="A1197" t="str">
            <v>14HNEZN</v>
          </cell>
          <cell r="B1197" t="str">
            <v>DEPOSITO A LA VISTA "DIVISAS DE POSICION" ME, BBC, BCC, EXT</v>
          </cell>
          <cell r="C1197">
            <v>0</v>
          </cell>
          <cell r="D1197">
            <v>0</v>
          </cell>
          <cell r="E1197">
            <v>0</v>
          </cell>
          <cell r="F1197">
            <v>0</v>
          </cell>
          <cell r="G1197">
            <v>0</v>
          </cell>
          <cell r="H1197">
            <v>0</v>
          </cell>
          <cell r="I1197">
            <v>0</v>
          </cell>
          <cell r="J1197">
            <v>0</v>
          </cell>
          <cell r="K1197">
            <v>0</v>
          </cell>
        </row>
        <row r="1198">
          <cell r="A1198" t="str">
            <v>-</v>
          </cell>
          <cell r="B1198" t="str">
            <v>CUPONES NO COBRADOS P.REDENOM.TITULOS DEUDA EXT.MN, BBC, BCC</v>
          </cell>
          <cell r="C1198">
            <v>0</v>
          </cell>
          <cell r="D1198">
            <v>0</v>
          </cell>
          <cell r="E1198">
            <v>0</v>
          </cell>
          <cell r="F1198">
            <v>0</v>
          </cell>
          <cell r="G1198">
            <v>0</v>
          </cell>
          <cell r="H1198">
            <v>0</v>
          </cell>
          <cell r="I1198">
            <v>0</v>
          </cell>
          <cell r="J1198">
            <v>0</v>
          </cell>
          <cell r="K1198">
            <v>0</v>
          </cell>
        </row>
        <row r="1199">
          <cell r="A1199" t="str">
            <v>-</v>
          </cell>
          <cell r="B1199" t="str">
            <v>CUPONES VENCIDOS POR PAGAR PTF MN., BBC, BCC, EXT</v>
          </cell>
          <cell r="C1199">
            <v>0</v>
          </cell>
          <cell r="D1199">
            <v>0</v>
          </cell>
          <cell r="E1199">
            <v>0</v>
          </cell>
          <cell r="F1199">
            <v>0</v>
          </cell>
          <cell r="G1199">
            <v>0</v>
          </cell>
          <cell r="H1199">
            <v>0</v>
          </cell>
          <cell r="I1199">
            <v>0</v>
          </cell>
          <cell r="J1199">
            <v>0</v>
          </cell>
          <cell r="K1199">
            <v>0</v>
          </cell>
        </row>
        <row r="1200">
          <cell r="A1200" t="str">
            <v>-</v>
          </cell>
          <cell r="B1200" t="str">
            <v>DEPOSITOS A PLAZO EN UF BECH ACDO 1868 MN, BBC, BCC, EXT</v>
          </cell>
          <cell r="C1200">
            <v>0</v>
          </cell>
          <cell r="D1200">
            <v>0</v>
          </cell>
          <cell r="E1200">
            <v>0</v>
          </cell>
          <cell r="F1200">
            <v>0</v>
          </cell>
          <cell r="G1200">
            <v>0</v>
          </cell>
          <cell r="H1200">
            <v>0</v>
          </cell>
          <cell r="I1200">
            <v>0</v>
          </cell>
          <cell r="J1200">
            <v>0</v>
          </cell>
          <cell r="K1200">
            <v>0</v>
          </cell>
        </row>
        <row r="1201">
          <cell r="A1201" t="str">
            <v>-</v>
          </cell>
          <cell r="B1201" t="str">
            <v>REAJ PGAR DEPOSITOS A PLAZO UF BECH AC.1868 MN, BBC, BCC, EX</v>
          </cell>
          <cell r="C1201">
            <v>0</v>
          </cell>
          <cell r="D1201">
            <v>0</v>
          </cell>
          <cell r="E1201">
            <v>0</v>
          </cell>
          <cell r="F1201">
            <v>0</v>
          </cell>
          <cell r="G1201">
            <v>0</v>
          </cell>
          <cell r="H1201">
            <v>0</v>
          </cell>
          <cell r="I1201">
            <v>0</v>
          </cell>
          <cell r="J1201">
            <v>0</v>
          </cell>
          <cell r="K1201">
            <v>0</v>
          </cell>
        </row>
        <row r="1202">
          <cell r="A1202" t="str">
            <v>-</v>
          </cell>
          <cell r="B1202" t="str">
            <v xml:space="preserve">PRBC COMPRADOS CON PACTO DE RETROVENTA POR PAGAR, BBC, BCC, </v>
          </cell>
          <cell r="C1202">
            <v>0</v>
          </cell>
          <cell r="D1202">
            <v>0</v>
          </cell>
          <cell r="E1202">
            <v>0</v>
          </cell>
          <cell r="F1202">
            <v>0</v>
          </cell>
          <cell r="G1202">
            <v>0</v>
          </cell>
          <cell r="H1202">
            <v>0</v>
          </cell>
          <cell r="I1202">
            <v>0</v>
          </cell>
          <cell r="J1202">
            <v>0</v>
          </cell>
          <cell r="K1202">
            <v>0</v>
          </cell>
        </row>
        <row r="1203">
          <cell r="A1203" t="str">
            <v>14IYEZN</v>
          </cell>
          <cell r="B1203" t="str">
            <v xml:space="preserve">CUENTA ESP.ENAP CAP HORN METHANOL LTD.AC.1695 ME, BBC, BCC, </v>
          </cell>
          <cell r="C1203">
            <v>0</v>
          </cell>
          <cell r="D1203">
            <v>0</v>
          </cell>
          <cell r="E1203">
            <v>0</v>
          </cell>
          <cell r="F1203">
            <v>0</v>
          </cell>
          <cell r="G1203">
            <v>0</v>
          </cell>
          <cell r="H1203">
            <v>0</v>
          </cell>
          <cell r="I1203">
            <v>0</v>
          </cell>
          <cell r="J1203">
            <v>0</v>
          </cell>
          <cell r="K1203">
            <v>0</v>
          </cell>
        </row>
        <row r="1204">
          <cell r="A1204" t="str">
            <v>-</v>
          </cell>
          <cell r="B1204" t="str">
            <v>DEPOSITOS BANCO DEL ESTADO DE CHILE ACDO. 1917, BBC, BCC, EX</v>
          </cell>
          <cell r="C1204">
            <v>0</v>
          </cell>
          <cell r="D1204">
            <v>0</v>
          </cell>
          <cell r="E1204">
            <v>0</v>
          </cell>
          <cell r="F1204">
            <v>0</v>
          </cell>
          <cell r="G1204">
            <v>0</v>
          </cell>
          <cell r="H1204">
            <v>0</v>
          </cell>
          <cell r="I1204">
            <v>0</v>
          </cell>
          <cell r="J1204">
            <v>0</v>
          </cell>
          <cell r="K1204">
            <v>0</v>
          </cell>
        </row>
        <row r="1205">
          <cell r="A1205" t="str">
            <v>-</v>
          </cell>
          <cell r="B1205" t="str">
            <v>CUPONES VENCIDOS POR PAGAR MN, BBC, BCC, EXT</v>
          </cell>
          <cell r="C1205">
            <v>0</v>
          </cell>
          <cell r="D1205">
            <v>0</v>
          </cell>
          <cell r="E1205">
            <v>0</v>
          </cell>
          <cell r="F1205">
            <v>0</v>
          </cell>
          <cell r="G1205">
            <v>0</v>
          </cell>
          <cell r="H1205">
            <v>0</v>
          </cell>
          <cell r="I1205">
            <v>0</v>
          </cell>
          <cell r="J1205">
            <v>0</v>
          </cell>
          <cell r="K1205">
            <v>0</v>
          </cell>
        </row>
        <row r="1206">
          <cell r="A1206" t="str">
            <v>-</v>
          </cell>
          <cell r="B1206" t="str">
            <v>DEPOSITO DE LIQUIDEZ INSTITUCI, BBC, BCC, EXT</v>
          </cell>
          <cell r="C1206">
            <v>0</v>
          </cell>
          <cell r="D1206">
            <v>0</v>
          </cell>
          <cell r="E1206">
            <v>0</v>
          </cell>
          <cell r="F1206">
            <v>0</v>
          </cell>
          <cell r="G1206">
            <v>0</v>
          </cell>
          <cell r="H1206">
            <v>0</v>
          </cell>
          <cell r="I1206">
            <v>0</v>
          </cell>
          <cell r="J1206">
            <v>0</v>
          </cell>
          <cell r="K1206">
            <v>0</v>
          </cell>
        </row>
        <row r="1207">
          <cell r="A1207" t="str">
            <v>14BHWZN</v>
          </cell>
          <cell r="B1207" t="str">
            <v xml:space="preserve">  .DOCUM.EMIT.P.B.CENTRAL MN</v>
          </cell>
          <cell r="C1207">
            <v>14129895</v>
          </cell>
          <cell r="D1207">
            <v>14019315</v>
          </cell>
          <cell r="E1207">
            <v>14051669</v>
          </cell>
          <cell r="F1207">
            <v>14119554</v>
          </cell>
          <cell r="G1207">
            <v>14103726</v>
          </cell>
          <cell r="H1207">
            <v>14010513</v>
          </cell>
          <cell r="I1207">
            <v>13973850</v>
          </cell>
          <cell r="J1207">
            <v>14055517</v>
          </cell>
          <cell r="K1207">
            <v>13871975</v>
          </cell>
        </row>
        <row r="1208">
          <cell r="A1208" t="str">
            <v>14IDNZN</v>
          </cell>
          <cell r="B1208" t="str">
            <v>CAR-L.16282 ART.26-50 MN, BBC, BCC, NAC</v>
          </cell>
          <cell r="C1208">
            <v>0</v>
          </cell>
          <cell r="D1208">
            <v>0</v>
          </cell>
          <cell r="E1208">
            <v>0</v>
          </cell>
          <cell r="F1208">
            <v>0</v>
          </cell>
          <cell r="G1208">
            <v>0</v>
          </cell>
          <cell r="H1208">
            <v>0</v>
          </cell>
          <cell r="I1208">
            <v>0</v>
          </cell>
          <cell r="J1208">
            <v>0</v>
          </cell>
          <cell r="K1208">
            <v>0</v>
          </cell>
        </row>
        <row r="1209">
          <cell r="A1209" t="str">
            <v>14IENZN</v>
          </cell>
          <cell r="B1209" t="str">
            <v>CAR-ART.22-DL1078-SER-E  MN, BBC, BCC, NAC</v>
          </cell>
          <cell r="C1209">
            <v>0</v>
          </cell>
          <cell r="D1209">
            <v>0</v>
          </cell>
          <cell r="E1209">
            <v>0</v>
          </cell>
          <cell r="F1209">
            <v>0</v>
          </cell>
          <cell r="G1209">
            <v>0</v>
          </cell>
          <cell r="H1209">
            <v>0</v>
          </cell>
          <cell r="I1209">
            <v>0</v>
          </cell>
          <cell r="J1209">
            <v>0</v>
          </cell>
          <cell r="K1209">
            <v>0</v>
          </cell>
        </row>
        <row r="1210">
          <cell r="A1210" t="str">
            <v>14IJNZN</v>
          </cell>
          <cell r="B1210" t="str">
            <v>CAR SERIE F  MN, BBC, BCC, NAC</v>
          </cell>
          <cell r="C1210">
            <v>0</v>
          </cell>
          <cell r="D1210">
            <v>0</v>
          </cell>
          <cell r="E1210">
            <v>0</v>
          </cell>
          <cell r="F1210">
            <v>0</v>
          </cell>
          <cell r="G1210">
            <v>0</v>
          </cell>
          <cell r="H1210">
            <v>0</v>
          </cell>
          <cell r="I1210">
            <v>0</v>
          </cell>
          <cell r="J1210">
            <v>0</v>
          </cell>
          <cell r="K1210">
            <v>0</v>
          </cell>
        </row>
        <row r="1211">
          <cell r="A1211" t="str">
            <v>14IPNZN</v>
          </cell>
          <cell r="B1211" t="str">
            <v>REAJ.POR PAGAR SOBRE CAR, BBC, BCC, NAC</v>
          </cell>
          <cell r="C1211">
            <v>0</v>
          </cell>
          <cell r="D1211">
            <v>0</v>
          </cell>
          <cell r="E1211">
            <v>0</v>
          </cell>
          <cell r="F1211">
            <v>0</v>
          </cell>
          <cell r="G1211">
            <v>0</v>
          </cell>
          <cell r="H1211">
            <v>0</v>
          </cell>
          <cell r="I1211">
            <v>0</v>
          </cell>
          <cell r="J1211">
            <v>0</v>
          </cell>
          <cell r="K1211">
            <v>0</v>
          </cell>
        </row>
        <row r="1212">
          <cell r="A1212" t="str">
            <v>14GFNZN</v>
          </cell>
          <cell r="B1212" t="str">
            <v>PREV.SOCIAL-PAG.BCO.CTRAL.MN, BBC, BCC, NAC</v>
          </cell>
          <cell r="C1212">
            <v>0</v>
          </cell>
          <cell r="D1212">
            <v>0</v>
          </cell>
          <cell r="E1212">
            <v>0</v>
          </cell>
          <cell r="F1212">
            <v>0</v>
          </cell>
          <cell r="G1212">
            <v>0</v>
          </cell>
          <cell r="H1212">
            <v>0</v>
          </cell>
          <cell r="I1212">
            <v>0</v>
          </cell>
          <cell r="J1212">
            <v>0</v>
          </cell>
          <cell r="K1212">
            <v>0</v>
          </cell>
        </row>
        <row r="1213">
          <cell r="A1213" t="str">
            <v>14GHNZN</v>
          </cell>
          <cell r="B1213" t="str">
            <v>REAJ.P/PAGAR PAGARES PREVISION SOCIAL, BBC, BCC, NAC</v>
          </cell>
          <cell r="C1213">
            <v>0</v>
          </cell>
          <cell r="D1213">
            <v>0</v>
          </cell>
          <cell r="E1213">
            <v>0</v>
          </cell>
          <cell r="F1213">
            <v>0</v>
          </cell>
          <cell r="G1213">
            <v>0</v>
          </cell>
          <cell r="H1213">
            <v>0</v>
          </cell>
          <cell r="I1213">
            <v>0</v>
          </cell>
          <cell r="J1213">
            <v>0</v>
          </cell>
          <cell r="K1213">
            <v>0</v>
          </cell>
        </row>
        <row r="1214">
          <cell r="A1214" t="str">
            <v>-</v>
          </cell>
          <cell r="B1214" t="str">
            <v>CERT.P/COBERT.EXIT.CEPAC. ME, BBC, BCC, NAC</v>
          </cell>
          <cell r="C1214">
            <v>0</v>
          </cell>
          <cell r="D1214">
            <v>0</v>
          </cell>
          <cell r="E1214">
            <v>0</v>
          </cell>
          <cell r="F1214">
            <v>0</v>
          </cell>
          <cell r="G1214">
            <v>0</v>
          </cell>
          <cell r="H1214">
            <v>0</v>
          </cell>
          <cell r="I1214">
            <v>0</v>
          </cell>
          <cell r="J1214">
            <v>0</v>
          </cell>
          <cell r="K1214">
            <v>0</v>
          </cell>
        </row>
        <row r="1215">
          <cell r="A1215" t="str">
            <v>14HFNZN</v>
          </cell>
          <cell r="B1215" t="str">
            <v>PAGARES DESCONTABLES BCO. CENT., BBC, BCC, NAC</v>
          </cell>
          <cell r="C1215">
            <v>3070000</v>
          </cell>
          <cell r="D1215">
            <v>2709000</v>
          </cell>
          <cell r="E1215">
            <v>2796000</v>
          </cell>
          <cell r="F1215">
            <v>3020000</v>
          </cell>
          <cell r="G1215">
            <v>2847000</v>
          </cell>
          <cell r="H1215">
            <v>2741000</v>
          </cell>
          <cell r="I1215">
            <v>2526000</v>
          </cell>
          <cell r="J1215">
            <v>2471350</v>
          </cell>
          <cell r="K1215">
            <v>2432500</v>
          </cell>
        </row>
        <row r="1216">
          <cell r="A1216" t="str">
            <v>17CWNZN</v>
          </cell>
          <cell r="B1216" t="str">
            <v>PAGARES REAJUSTABLES DEL BANCO CENTRAL, BBC, BCC, NAC</v>
          </cell>
          <cell r="C1216">
            <v>42187</v>
          </cell>
          <cell r="D1216">
            <v>25979</v>
          </cell>
          <cell r="E1216">
            <v>8110</v>
          </cell>
          <cell r="F1216">
            <v>0</v>
          </cell>
          <cell r="G1216">
            <v>1702</v>
          </cell>
          <cell r="H1216">
            <v>1702</v>
          </cell>
          <cell r="I1216">
            <v>1702</v>
          </cell>
          <cell r="J1216">
            <v>0</v>
          </cell>
          <cell r="K1216">
            <v>0</v>
          </cell>
        </row>
        <row r="1217">
          <cell r="A1217" t="str">
            <v>17CVNZN</v>
          </cell>
          <cell r="B1217" t="str">
            <v>REAJUSTES P/PAGAR SOBRE PDBC MN, BBC, BCC, NAC</v>
          </cell>
          <cell r="C1217">
            <v>1212</v>
          </cell>
          <cell r="D1217">
            <v>714</v>
          </cell>
          <cell r="E1217">
            <v>282</v>
          </cell>
          <cell r="F1217">
            <v>0</v>
          </cell>
          <cell r="G1217">
            <v>0</v>
          </cell>
          <cell r="H1217">
            <v>-6</v>
          </cell>
          <cell r="I1217">
            <v>-8</v>
          </cell>
          <cell r="J1217">
            <v>0</v>
          </cell>
          <cell r="K1217">
            <v>0</v>
          </cell>
        </row>
        <row r="1218">
          <cell r="A1218" t="str">
            <v>17CYNZN</v>
          </cell>
          <cell r="B1218" t="str">
            <v>PAGARES REAJ.POR INTS.SOBRE ENCAJE MN, BBC, BCC, NAC</v>
          </cell>
          <cell r="C1218">
            <v>0</v>
          </cell>
          <cell r="D1218">
            <v>0</v>
          </cell>
          <cell r="E1218">
            <v>0</v>
          </cell>
          <cell r="F1218">
            <v>0</v>
          </cell>
          <cell r="G1218">
            <v>0</v>
          </cell>
          <cell r="H1218">
            <v>0</v>
          </cell>
          <cell r="I1218">
            <v>0</v>
          </cell>
          <cell r="J1218">
            <v>0</v>
          </cell>
          <cell r="K1218">
            <v>0</v>
          </cell>
        </row>
        <row r="1219">
          <cell r="A1219" t="str">
            <v>17CXNZN</v>
          </cell>
          <cell r="B1219" t="str">
            <v>REAJ.P/PAGAR S/PAGARES REAJ.P/INTS.S/ENCAJE MN, BBC, BCC, NA</v>
          </cell>
          <cell r="C1219">
            <v>0</v>
          </cell>
          <cell r="D1219">
            <v>0</v>
          </cell>
          <cell r="E1219">
            <v>0</v>
          </cell>
          <cell r="F1219">
            <v>0</v>
          </cell>
          <cell r="G1219">
            <v>0</v>
          </cell>
          <cell r="H1219">
            <v>0</v>
          </cell>
          <cell r="I1219">
            <v>0</v>
          </cell>
          <cell r="J1219">
            <v>0</v>
          </cell>
          <cell r="K1219">
            <v>0</v>
          </cell>
        </row>
        <row r="1220">
          <cell r="A1220" t="str">
            <v>-</v>
          </cell>
          <cell r="B1220" t="str">
            <v>PAGARES BCO.CENTRAL P.COMPROMISOS ME, BBC, BCC, NAC</v>
          </cell>
          <cell r="C1220">
            <v>0</v>
          </cell>
          <cell r="D1220">
            <v>0</v>
          </cell>
          <cell r="E1220">
            <v>0</v>
          </cell>
          <cell r="F1220">
            <v>0</v>
          </cell>
          <cell r="G1220">
            <v>0</v>
          </cell>
          <cell r="H1220">
            <v>0</v>
          </cell>
          <cell r="I1220">
            <v>0</v>
          </cell>
          <cell r="J1220">
            <v>0</v>
          </cell>
          <cell r="K1220">
            <v>0</v>
          </cell>
        </row>
        <row r="1221">
          <cell r="A1221" t="str">
            <v>-</v>
          </cell>
          <cell r="B1221" t="str">
            <v>PAGARES EN DOLARES USA BANCO CENTRAL DE CHILE, BBC, BCC, NAC</v>
          </cell>
          <cell r="C1221">
            <v>0</v>
          </cell>
          <cell r="D1221">
            <v>0</v>
          </cell>
          <cell r="E1221">
            <v>0</v>
          </cell>
          <cell r="F1221">
            <v>0</v>
          </cell>
          <cell r="G1221">
            <v>0</v>
          </cell>
          <cell r="H1221">
            <v>0</v>
          </cell>
          <cell r="I1221">
            <v>0</v>
          </cell>
          <cell r="J1221">
            <v>0</v>
          </cell>
          <cell r="K1221">
            <v>0</v>
          </cell>
        </row>
        <row r="1222">
          <cell r="A1222" t="str">
            <v>-</v>
          </cell>
          <cell r="B1222" t="str">
            <v>PAGARES EXPRESADOS EN DOLARES USA (ACDO.1470), BBC, BCC, NAC</v>
          </cell>
          <cell r="C1222">
            <v>0</v>
          </cell>
          <cell r="D1222">
            <v>0</v>
          </cell>
          <cell r="E1222">
            <v>0</v>
          </cell>
          <cell r="F1222">
            <v>0</v>
          </cell>
          <cell r="G1222">
            <v>0</v>
          </cell>
          <cell r="H1222">
            <v>0</v>
          </cell>
          <cell r="I1222">
            <v>0</v>
          </cell>
          <cell r="J1222">
            <v>0</v>
          </cell>
          <cell r="K1222">
            <v>0</v>
          </cell>
        </row>
        <row r="1223">
          <cell r="A1223" t="str">
            <v>14GRNZN</v>
          </cell>
          <cell r="B1223" t="str">
            <v>PAGARES BC.P.INST.SEC.PUB.P.DOLAR PREFERENCIAL MN, BBC, BCC,</v>
          </cell>
          <cell r="C1223">
            <v>0</v>
          </cell>
          <cell r="D1223">
            <v>0</v>
          </cell>
          <cell r="E1223">
            <v>0</v>
          </cell>
          <cell r="F1223">
            <v>0</v>
          </cell>
          <cell r="G1223">
            <v>0</v>
          </cell>
          <cell r="H1223">
            <v>0</v>
          </cell>
          <cell r="I1223">
            <v>0</v>
          </cell>
          <cell r="J1223">
            <v>0</v>
          </cell>
          <cell r="K1223">
            <v>0</v>
          </cell>
        </row>
        <row r="1224">
          <cell r="A1224" t="str">
            <v>14ANNZN</v>
          </cell>
          <cell r="B1224" t="str">
            <v>REAJ.P.PAGAR S.PAGARES BC.P.INST.SEC.PUB.P.DOLAR P, BBC, BCC</v>
          </cell>
          <cell r="C1224">
            <v>0</v>
          </cell>
          <cell r="D1224">
            <v>0</v>
          </cell>
          <cell r="E1224">
            <v>0</v>
          </cell>
          <cell r="F1224">
            <v>0</v>
          </cell>
          <cell r="G1224">
            <v>0</v>
          </cell>
          <cell r="H1224">
            <v>0</v>
          </cell>
          <cell r="I1224">
            <v>0</v>
          </cell>
          <cell r="J1224">
            <v>0</v>
          </cell>
          <cell r="K1224">
            <v>0</v>
          </cell>
        </row>
        <row r="1225">
          <cell r="A1225" t="str">
            <v>14APNZN</v>
          </cell>
          <cell r="B1225" t="str">
            <v>PAGARES POR DIFERENCIAL CAMBIARIO ACDO 1484, BBC, BCC, NAC</v>
          </cell>
          <cell r="C1225">
            <v>0</v>
          </cell>
          <cell r="D1225">
            <v>0</v>
          </cell>
          <cell r="E1225">
            <v>0</v>
          </cell>
          <cell r="F1225">
            <v>0</v>
          </cell>
          <cell r="G1225">
            <v>0</v>
          </cell>
          <cell r="H1225">
            <v>0</v>
          </cell>
          <cell r="I1225">
            <v>0</v>
          </cell>
          <cell r="J1225">
            <v>0</v>
          </cell>
          <cell r="K1225">
            <v>0</v>
          </cell>
        </row>
        <row r="1226">
          <cell r="A1226" t="str">
            <v>14AQNZN</v>
          </cell>
          <cell r="B1226" t="str">
            <v>REAJ.P.PAGAR S.PAGARES DIFERENCIAL CAMB.ACDO 1484, BBC, BCC,</v>
          </cell>
          <cell r="C1226">
            <v>0</v>
          </cell>
          <cell r="D1226">
            <v>0</v>
          </cell>
          <cell r="E1226">
            <v>0</v>
          </cell>
          <cell r="F1226">
            <v>0</v>
          </cell>
          <cell r="G1226">
            <v>0</v>
          </cell>
          <cell r="H1226">
            <v>0</v>
          </cell>
          <cell r="I1226">
            <v>0</v>
          </cell>
          <cell r="J1226">
            <v>0</v>
          </cell>
          <cell r="K1226">
            <v>0</v>
          </cell>
        </row>
        <row r="1227">
          <cell r="A1227" t="str">
            <v>14BRNZN</v>
          </cell>
          <cell r="B1227" t="str">
            <v>PAGARES POR DIFERENCIAL CAMBIARIO VENC.REAJUSTADOS, BBC, BCC</v>
          </cell>
          <cell r="C1227">
            <v>18</v>
          </cell>
          <cell r="D1227">
            <v>18</v>
          </cell>
          <cell r="E1227">
            <v>18</v>
          </cell>
          <cell r="F1227">
            <v>18</v>
          </cell>
          <cell r="G1227">
            <v>18</v>
          </cell>
          <cell r="H1227">
            <v>18</v>
          </cell>
          <cell r="I1227">
            <v>18</v>
          </cell>
          <cell r="J1227">
            <v>18</v>
          </cell>
          <cell r="K1227">
            <v>18</v>
          </cell>
        </row>
        <row r="1228">
          <cell r="A1228" t="str">
            <v>14ASNZN</v>
          </cell>
          <cell r="B1228" t="str">
            <v xml:space="preserve">PAGARE BCO.CENTRAL P.ADQ.DE LETRAS DE CREDITO ME, BBC, BCC, </v>
          </cell>
          <cell r="C1228">
            <v>0</v>
          </cell>
          <cell r="D1228">
            <v>0</v>
          </cell>
          <cell r="E1228">
            <v>0</v>
          </cell>
          <cell r="F1228">
            <v>0</v>
          </cell>
          <cell r="G1228">
            <v>0</v>
          </cell>
          <cell r="H1228">
            <v>0</v>
          </cell>
          <cell r="I1228">
            <v>0</v>
          </cell>
          <cell r="J1228">
            <v>0</v>
          </cell>
          <cell r="K1228">
            <v>0</v>
          </cell>
        </row>
        <row r="1229">
          <cell r="A1229" t="str">
            <v>14AWNZN</v>
          </cell>
          <cell r="B1229" t="str">
            <v>REAJ.P.PAGAR S.PAGARE B.C.LETRAS DE CREDITO, BBC, BCC, NAC</v>
          </cell>
          <cell r="C1229">
            <v>0</v>
          </cell>
          <cell r="D1229">
            <v>0</v>
          </cell>
          <cell r="E1229">
            <v>0</v>
          </cell>
          <cell r="F1229">
            <v>0</v>
          </cell>
          <cell r="G1229">
            <v>0</v>
          </cell>
          <cell r="H1229">
            <v>0</v>
          </cell>
          <cell r="I1229">
            <v>0</v>
          </cell>
          <cell r="J1229">
            <v>0</v>
          </cell>
          <cell r="K1229">
            <v>0</v>
          </cell>
        </row>
        <row r="1230">
          <cell r="A1230" t="str">
            <v>14ARNZN</v>
          </cell>
          <cell r="B1230" t="str">
            <v>PAGARES BC.P.REPROGRAMACION DE DEUDAS ME, BBC, BCC, NAC</v>
          </cell>
          <cell r="C1230">
            <v>0</v>
          </cell>
          <cell r="D1230">
            <v>0</v>
          </cell>
          <cell r="E1230">
            <v>0</v>
          </cell>
          <cell r="F1230">
            <v>0</v>
          </cell>
          <cell r="G1230">
            <v>0</v>
          </cell>
          <cell r="H1230">
            <v>0</v>
          </cell>
          <cell r="I1230">
            <v>0</v>
          </cell>
          <cell r="J1230">
            <v>0</v>
          </cell>
          <cell r="K1230">
            <v>0</v>
          </cell>
        </row>
        <row r="1231">
          <cell r="A1231" t="str">
            <v>14ATNZN</v>
          </cell>
          <cell r="B1231" t="str">
            <v>REAJUSTES P.PAGAR S.PAG.BC.POR REPROG.DE DEUDAS MN, BBC, BCC</v>
          </cell>
          <cell r="C1231">
            <v>0</v>
          </cell>
          <cell r="D1231">
            <v>0</v>
          </cell>
          <cell r="E1231">
            <v>0</v>
          </cell>
          <cell r="F1231">
            <v>0</v>
          </cell>
          <cell r="G1231">
            <v>0</v>
          </cell>
          <cell r="H1231">
            <v>0</v>
          </cell>
          <cell r="I1231">
            <v>0</v>
          </cell>
          <cell r="J1231">
            <v>0</v>
          </cell>
          <cell r="K1231">
            <v>0</v>
          </cell>
        </row>
        <row r="1232">
          <cell r="A1232" t="str">
            <v>14AUNZN</v>
          </cell>
          <cell r="B1232" t="str">
            <v>PAGARES BCO.CENTRAL P.ADQUISICION BONOS BANCARIOS, BBC, BCC,</v>
          </cell>
          <cell r="C1232">
            <v>0</v>
          </cell>
          <cell r="D1232">
            <v>0</v>
          </cell>
          <cell r="E1232">
            <v>0</v>
          </cell>
          <cell r="F1232">
            <v>0</v>
          </cell>
          <cell r="G1232">
            <v>0</v>
          </cell>
          <cell r="H1232">
            <v>0</v>
          </cell>
          <cell r="I1232">
            <v>0</v>
          </cell>
          <cell r="J1232">
            <v>0</v>
          </cell>
          <cell r="K1232">
            <v>0</v>
          </cell>
        </row>
        <row r="1233">
          <cell r="A1233" t="str">
            <v>14AXNZN</v>
          </cell>
          <cell r="B1233" t="str">
            <v>PAGARES REAJUSTABLES CON PAGO EN CUPONES(P.R.C), BBC, BCC, N</v>
          </cell>
          <cell r="C1233">
            <v>3631177</v>
          </cell>
          <cell r="D1233">
            <v>3580186</v>
          </cell>
          <cell r="E1233">
            <v>3530674</v>
          </cell>
          <cell r="F1233">
            <v>3481589</v>
          </cell>
          <cell r="G1233">
            <v>3431965</v>
          </cell>
          <cell r="H1233">
            <v>3384491</v>
          </cell>
          <cell r="I1233">
            <v>3329690</v>
          </cell>
          <cell r="J1233">
            <v>3271668</v>
          </cell>
          <cell r="K1233">
            <v>3212483</v>
          </cell>
        </row>
        <row r="1234">
          <cell r="A1234" t="str">
            <v>14AVNZN</v>
          </cell>
          <cell r="B1234" t="str">
            <v xml:space="preserve">REAJ.P.PAGAR S/PAGARES REAJ.C.PAGO CUPONES (PRC), BBC, BCC, </v>
          </cell>
          <cell r="C1234">
            <v>1289686</v>
          </cell>
          <cell r="D1234">
            <v>1350621</v>
          </cell>
          <cell r="E1234">
            <v>1239518</v>
          </cell>
          <cell r="F1234">
            <v>1168368</v>
          </cell>
          <cell r="G1234">
            <v>1173912</v>
          </cell>
          <cell r="H1234">
            <v>1090690</v>
          </cell>
          <cell r="I1234">
            <v>1096897</v>
          </cell>
          <cell r="J1234">
            <v>1051248</v>
          </cell>
          <cell r="K1234">
            <v>908339</v>
          </cell>
        </row>
        <row r="1235">
          <cell r="A1235" t="str">
            <v>14AYNZN</v>
          </cell>
          <cell r="B1235" t="str">
            <v>PAGARES B.CEN.P.REPROGRAMACION DEUDAS HIPOTECARIAS, BBC, BCC</v>
          </cell>
          <cell r="C1235">
            <v>0</v>
          </cell>
          <cell r="D1235">
            <v>0</v>
          </cell>
          <cell r="E1235">
            <v>0</v>
          </cell>
          <cell r="F1235">
            <v>0</v>
          </cell>
          <cell r="G1235">
            <v>0</v>
          </cell>
          <cell r="H1235">
            <v>0</v>
          </cell>
          <cell r="I1235">
            <v>0</v>
          </cell>
          <cell r="J1235">
            <v>0</v>
          </cell>
          <cell r="K1235">
            <v>0</v>
          </cell>
        </row>
        <row r="1236">
          <cell r="A1236" t="str">
            <v>14AZNZN</v>
          </cell>
          <cell r="B1236" t="str">
            <v>REAJ.P.PAGAR.S.PAGARES P.REPROGRAM.DEUDAS HIPOTEC., BBC, BCC</v>
          </cell>
          <cell r="C1236">
            <v>0</v>
          </cell>
          <cell r="D1236">
            <v>0</v>
          </cell>
          <cell r="E1236">
            <v>0</v>
          </cell>
          <cell r="F1236">
            <v>0</v>
          </cell>
          <cell r="G1236">
            <v>0</v>
          </cell>
          <cell r="H1236">
            <v>0</v>
          </cell>
          <cell r="I1236">
            <v>0</v>
          </cell>
          <cell r="J1236">
            <v>0</v>
          </cell>
          <cell r="K1236">
            <v>0</v>
          </cell>
        </row>
        <row r="1237">
          <cell r="A1237" t="str">
            <v>14BCNZN</v>
          </cell>
          <cell r="B1237" t="str">
            <v>PAGARES BCO.CENTRAL P.DOCTOS DE CRED.HIPOT.ADQ.MN, BBC, BCC,</v>
          </cell>
          <cell r="C1237">
            <v>0</v>
          </cell>
          <cell r="D1237">
            <v>0</v>
          </cell>
          <cell r="E1237">
            <v>0</v>
          </cell>
          <cell r="F1237">
            <v>0</v>
          </cell>
          <cell r="G1237">
            <v>0</v>
          </cell>
          <cell r="H1237">
            <v>0</v>
          </cell>
          <cell r="I1237">
            <v>0</v>
          </cell>
          <cell r="J1237">
            <v>0</v>
          </cell>
          <cell r="K1237">
            <v>0</v>
          </cell>
        </row>
        <row r="1238">
          <cell r="A1238" t="str">
            <v>14BENZN</v>
          </cell>
          <cell r="B1238" t="str">
            <v>PAGARES POR COMPRA DE CARTERA ACDO.1555 MN, BBC, BCC, NAC</v>
          </cell>
          <cell r="C1238">
            <v>0</v>
          </cell>
          <cell r="D1238">
            <v>0</v>
          </cell>
          <cell r="E1238">
            <v>0</v>
          </cell>
          <cell r="F1238">
            <v>0</v>
          </cell>
          <cell r="G1238">
            <v>0</v>
          </cell>
          <cell r="H1238">
            <v>0</v>
          </cell>
          <cell r="I1238">
            <v>0</v>
          </cell>
          <cell r="J1238">
            <v>0</v>
          </cell>
          <cell r="K1238">
            <v>0</v>
          </cell>
        </row>
        <row r="1239">
          <cell r="A1239" t="str">
            <v>14BFNZN</v>
          </cell>
          <cell r="B1239" t="str">
            <v>REAJ.P.PAGAR S.PAGARES P.CPRA. CARTERA ACDO.1555 M, BBC, BCC</v>
          </cell>
          <cell r="C1239">
            <v>0</v>
          </cell>
          <cell r="D1239">
            <v>0</v>
          </cell>
          <cell r="E1239">
            <v>0</v>
          </cell>
          <cell r="F1239">
            <v>0</v>
          </cell>
          <cell r="G1239">
            <v>0</v>
          </cell>
          <cell r="H1239">
            <v>0</v>
          </cell>
          <cell r="I1239">
            <v>0</v>
          </cell>
          <cell r="J1239">
            <v>0</v>
          </cell>
          <cell r="K1239">
            <v>0</v>
          </cell>
        </row>
        <row r="1240">
          <cell r="A1240" t="str">
            <v>14BGNZN</v>
          </cell>
          <cell r="B1240" t="str">
            <v>PAGARES BCO.CENTRAL P.REPROG.CREDITOS DE CONSUMO M, BBC, BCC</v>
          </cell>
          <cell r="C1240">
            <v>0</v>
          </cell>
          <cell r="D1240">
            <v>0</v>
          </cell>
          <cell r="E1240">
            <v>0</v>
          </cell>
          <cell r="F1240">
            <v>0</v>
          </cell>
          <cell r="G1240">
            <v>0</v>
          </cell>
          <cell r="H1240">
            <v>0</v>
          </cell>
          <cell r="I1240">
            <v>0</v>
          </cell>
          <cell r="J1240">
            <v>0</v>
          </cell>
          <cell r="K1240">
            <v>0</v>
          </cell>
        </row>
        <row r="1241">
          <cell r="A1241" t="str">
            <v>14BHNZN</v>
          </cell>
          <cell r="B1241" t="str">
            <v>REAJ.PAGARES B.CENT.P.REPROG.CREDITOS DE CONSUMO M, BBC, BCC</v>
          </cell>
          <cell r="C1241">
            <v>0</v>
          </cell>
          <cell r="D1241">
            <v>0</v>
          </cell>
          <cell r="E1241">
            <v>0</v>
          </cell>
          <cell r="F1241">
            <v>0</v>
          </cell>
          <cell r="G1241">
            <v>0</v>
          </cell>
          <cell r="H1241">
            <v>0</v>
          </cell>
          <cell r="I1241">
            <v>0</v>
          </cell>
          <cell r="J1241">
            <v>0</v>
          </cell>
          <cell r="K1241">
            <v>0</v>
          </cell>
        </row>
        <row r="1242">
          <cell r="A1242" t="str">
            <v>-</v>
          </cell>
          <cell r="B1242" t="str">
            <v>PAGARES B.CENT.EXPR.EN DOLARES C.DESCTO.ACDO 1578M, BBC, BCC</v>
          </cell>
          <cell r="C1242">
            <v>0</v>
          </cell>
          <cell r="D1242">
            <v>0</v>
          </cell>
          <cell r="E1242">
            <v>0</v>
          </cell>
          <cell r="F1242">
            <v>0</v>
          </cell>
          <cell r="G1242">
            <v>0</v>
          </cell>
          <cell r="H1242">
            <v>0</v>
          </cell>
          <cell r="I1242">
            <v>0</v>
          </cell>
          <cell r="J1242">
            <v>0</v>
          </cell>
          <cell r="K1242">
            <v>0</v>
          </cell>
        </row>
        <row r="1243">
          <cell r="A1243" t="str">
            <v>14BLNZN</v>
          </cell>
          <cell r="B1243" t="str">
            <v>PAGARES BC.REPROGRAM.DEUDAS S.PRODUCT.ACDO 1578  M, BBC, BCC</v>
          </cell>
          <cell r="C1243">
            <v>0</v>
          </cell>
          <cell r="D1243">
            <v>0</v>
          </cell>
          <cell r="E1243">
            <v>0</v>
          </cell>
          <cell r="F1243">
            <v>0</v>
          </cell>
          <cell r="G1243">
            <v>0</v>
          </cell>
          <cell r="H1243">
            <v>0</v>
          </cell>
          <cell r="I1243">
            <v>0</v>
          </cell>
          <cell r="J1243">
            <v>0</v>
          </cell>
          <cell r="K1243">
            <v>0</v>
          </cell>
        </row>
        <row r="1244">
          <cell r="A1244" t="str">
            <v>14BMNZN</v>
          </cell>
          <cell r="B1244" t="str">
            <v>REAJ.P.PAGAR P.PAGARES BC.P.REPROG.DEV.SEC.PROD. M, BBC, BCC</v>
          </cell>
          <cell r="C1244">
            <v>0</v>
          </cell>
          <cell r="D1244">
            <v>0</v>
          </cell>
          <cell r="E1244">
            <v>0</v>
          </cell>
          <cell r="F1244">
            <v>0</v>
          </cell>
          <cell r="G1244">
            <v>0</v>
          </cell>
          <cell r="H1244">
            <v>0</v>
          </cell>
          <cell r="I1244">
            <v>0</v>
          </cell>
          <cell r="J1244">
            <v>0</v>
          </cell>
          <cell r="K1244">
            <v>0</v>
          </cell>
        </row>
        <row r="1245">
          <cell r="A1245" t="str">
            <v>-</v>
          </cell>
          <cell r="B1245" t="str">
            <v>PAGARES B.C.P/SALDO PRECIO BCO.DEL ESTADO ME., BBC, BCC, NAC</v>
          </cell>
          <cell r="C1245">
            <v>0</v>
          </cell>
          <cell r="D1245">
            <v>0</v>
          </cell>
          <cell r="E1245">
            <v>0</v>
          </cell>
          <cell r="F1245">
            <v>0</v>
          </cell>
          <cell r="G1245">
            <v>0</v>
          </cell>
          <cell r="H1245">
            <v>0</v>
          </cell>
          <cell r="I1245">
            <v>0</v>
          </cell>
          <cell r="J1245">
            <v>0</v>
          </cell>
          <cell r="K1245">
            <v>0</v>
          </cell>
        </row>
        <row r="1246">
          <cell r="A1246" t="str">
            <v>-</v>
          </cell>
          <cell r="B1246" t="str">
            <v>CERT.DEPOSITOS INTRANSF.EXPRESADOS EN US$ AC.1649, BBC, BCC,</v>
          </cell>
          <cell r="C1246">
            <v>0</v>
          </cell>
          <cell r="D1246">
            <v>0</v>
          </cell>
          <cell r="E1246">
            <v>0</v>
          </cell>
          <cell r="F1246">
            <v>0</v>
          </cell>
          <cell r="G1246">
            <v>0</v>
          </cell>
          <cell r="H1246">
            <v>0</v>
          </cell>
          <cell r="I1246">
            <v>0</v>
          </cell>
          <cell r="J1246">
            <v>0</v>
          </cell>
          <cell r="K1246">
            <v>0</v>
          </cell>
        </row>
        <row r="1247">
          <cell r="A1247" t="str">
            <v>14BTNZN</v>
          </cell>
          <cell r="B1247" t="str">
            <v>CERTIFICADO DE DEPOSITOS ACDO.1695 MN, BBC, BCC, NAC</v>
          </cell>
          <cell r="C1247">
            <v>0</v>
          </cell>
          <cell r="D1247">
            <v>0</v>
          </cell>
          <cell r="E1247">
            <v>0</v>
          </cell>
          <cell r="F1247">
            <v>0</v>
          </cell>
          <cell r="G1247">
            <v>0</v>
          </cell>
          <cell r="H1247">
            <v>0</v>
          </cell>
          <cell r="I1247">
            <v>0</v>
          </cell>
          <cell r="J1247">
            <v>0</v>
          </cell>
          <cell r="K1247">
            <v>0</v>
          </cell>
        </row>
        <row r="1248">
          <cell r="A1248" t="str">
            <v>14BUNZN</v>
          </cell>
          <cell r="B1248" t="str">
            <v>REAJ.P.PAGAR POR CERTIFICADO DE DEPOSITOS AC.1695, BBC, BCC,</v>
          </cell>
          <cell r="C1248">
            <v>0</v>
          </cell>
          <cell r="D1248">
            <v>0</v>
          </cell>
          <cell r="E1248">
            <v>0</v>
          </cell>
          <cell r="F1248">
            <v>0</v>
          </cell>
          <cell r="G1248">
            <v>0</v>
          </cell>
          <cell r="H1248">
            <v>0</v>
          </cell>
          <cell r="I1248">
            <v>0</v>
          </cell>
          <cell r="J1248">
            <v>0</v>
          </cell>
          <cell r="K1248">
            <v>0</v>
          </cell>
        </row>
        <row r="1249">
          <cell r="A1249" t="str">
            <v>14BWNZN</v>
          </cell>
          <cell r="B1249" t="str">
            <v>TIT.RECON.DEU CAP.19 COMPEN.DE NORMAS CAMB.INTERN., BBC, BCC</v>
          </cell>
          <cell r="C1249">
            <v>0</v>
          </cell>
          <cell r="D1249">
            <v>0</v>
          </cell>
          <cell r="E1249">
            <v>0</v>
          </cell>
          <cell r="F1249">
            <v>0</v>
          </cell>
          <cell r="G1249">
            <v>0</v>
          </cell>
          <cell r="H1249">
            <v>0</v>
          </cell>
          <cell r="I1249">
            <v>0</v>
          </cell>
          <cell r="J1249">
            <v>0</v>
          </cell>
          <cell r="K1249">
            <v>0</v>
          </cell>
        </row>
        <row r="1250">
          <cell r="A1250" t="str">
            <v>14HZNZN</v>
          </cell>
          <cell r="B1250" t="str">
            <v>CERTIFICADOS EXPRESADOS EN UF ACDO 1691, BBC, BCC, NAC</v>
          </cell>
          <cell r="C1250">
            <v>0</v>
          </cell>
          <cell r="D1250">
            <v>0</v>
          </cell>
          <cell r="E1250">
            <v>0</v>
          </cell>
          <cell r="F1250">
            <v>0</v>
          </cell>
          <cell r="G1250">
            <v>0</v>
          </cell>
          <cell r="H1250">
            <v>0</v>
          </cell>
          <cell r="I1250">
            <v>0</v>
          </cell>
          <cell r="J1250">
            <v>0</v>
          </cell>
          <cell r="K1250">
            <v>0</v>
          </cell>
        </row>
        <row r="1251">
          <cell r="A1251" t="str">
            <v>14IRNZN</v>
          </cell>
          <cell r="B1251" t="str">
            <v>REAJ.P/PAGAR POR CERTIFICADOS"EXPRESADOS UF"AC.169, BBC, BCC</v>
          </cell>
          <cell r="C1251">
            <v>0</v>
          </cell>
          <cell r="D1251">
            <v>0</v>
          </cell>
          <cell r="E1251">
            <v>0</v>
          </cell>
          <cell r="F1251">
            <v>0</v>
          </cell>
          <cell r="G1251">
            <v>0</v>
          </cell>
          <cell r="H1251">
            <v>0</v>
          </cell>
          <cell r="I1251">
            <v>0</v>
          </cell>
          <cell r="J1251">
            <v>0</v>
          </cell>
          <cell r="K1251">
            <v>0</v>
          </cell>
        </row>
        <row r="1252">
          <cell r="A1252" t="str">
            <v>14BINZN</v>
          </cell>
          <cell r="B1252" t="str">
            <v>PAGARES BC P/REPROG.DEUDAS INS.FIN.LIQ.ACDO 1589 M, BBC, BCC</v>
          </cell>
          <cell r="C1252">
            <v>0</v>
          </cell>
          <cell r="D1252">
            <v>0</v>
          </cell>
          <cell r="E1252">
            <v>0</v>
          </cell>
          <cell r="F1252">
            <v>0</v>
          </cell>
          <cell r="G1252">
            <v>0</v>
          </cell>
          <cell r="H1252">
            <v>0</v>
          </cell>
          <cell r="I1252">
            <v>0</v>
          </cell>
          <cell r="J1252">
            <v>0</v>
          </cell>
          <cell r="K1252">
            <v>0</v>
          </cell>
        </row>
        <row r="1253">
          <cell r="A1253" t="str">
            <v>14BVNZN</v>
          </cell>
          <cell r="B1253" t="str">
            <v>REAJ.P/PGAR S/PAG.BC REPR.DEUD.I.FIN.LIQ.AC 1589 M, BBC, BCC</v>
          </cell>
          <cell r="C1253">
            <v>0</v>
          </cell>
          <cell r="D1253">
            <v>0</v>
          </cell>
          <cell r="E1253">
            <v>0</v>
          </cell>
          <cell r="F1253">
            <v>0</v>
          </cell>
          <cell r="G1253">
            <v>0</v>
          </cell>
          <cell r="H1253">
            <v>0</v>
          </cell>
          <cell r="I1253">
            <v>0</v>
          </cell>
          <cell r="J1253">
            <v>0</v>
          </cell>
          <cell r="K1253">
            <v>0</v>
          </cell>
        </row>
        <row r="1254">
          <cell r="A1254" t="str">
            <v>14GGNZN</v>
          </cell>
          <cell r="B1254" t="str">
            <v>EFECTOS DE COMERCIO POR REDENOM.TITULOS, BBC, BCC, NAC</v>
          </cell>
          <cell r="C1254">
            <v>45407</v>
          </cell>
          <cell r="D1254">
            <v>45407</v>
          </cell>
          <cell r="E1254">
            <v>45407</v>
          </cell>
          <cell r="F1254">
            <v>44967</v>
          </cell>
          <cell r="G1254">
            <v>44967</v>
          </cell>
          <cell r="H1254">
            <v>44570</v>
          </cell>
          <cell r="I1254">
            <v>44197</v>
          </cell>
          <cell r="J1254">
            <v>44197</v>
          </cell>
          <cell r="K1254">
            <v>44197</v>
          </cell>
        </row>
        <row r="1255">
          <cell r="A1255" t="str">
            <v>14GKNZN</v>
          </cell>
          <cell r="B1255" t="str">
            <v>REAJ.P.PGAR.S/EFECTOS DE COM.P.REDENOM. TITULOS MN, BBC, BCC</v>
          </cell>
          <cell r="C1255">
            <v>66177</v>
          </cell>
          <cell r="D1255">
            <v>66123</v>
          </cell>
          <cell r="E1255">
            <v>66792</v>
          </cell>
          <cell r="F1255">
            <v>66628</v>
          </cell>
          <cell r="G1255">
            <v>66949</v>
          </cell>
          <cell r="H1255">
            <v>65412</v>
          </cell>
          <cell r="I1255">
            <v>64173</v>
          </cell>
          <cell r="J1255">
            <v>64096</v>
          </cell>
          <cell r="K1255">
            <v>64216</v>
          </cell>
        </row>
        <row r="1256">
          <cell r="A1256" t="str">
            <v>14HSNZN</v>
          </cell>
          <cell r="B1256" t="str">
            <v>PAGARES REAJ.TASA DE INTERES FLOTANTE (PTF)  MN, BBC, BCC, N</v>
          </cell>
          <cell r="C1256">
            <v>185</v>
          </cell>
          <cell r="D1256">
            <v>185</v>
          </cell>
          <cell r="E1256">
            <v>185</v>
          </cell>
          <cell r="F1256">
            <v>141</v>
          </cell>
          <cell r="G1256">
            <v>89</v>
          </cell>
          <cell r="H1256">
            <v>87</v>
          </cell>
          <cell r="I1256">
            <v>0</v>
          </cell>
          <cell r="J1256">
            <v>0</v>
          </cell>
          <cell r="K1256">
            <v>0</v>
          </cell>
        </row>
        <row r="1257">
          <cell r="A1257" t="str">
            <v>14HTNZN</v>
          </cell>
          <cell r="B1257" t="str">
            <v>REAJ.P/PGAR S/PAGARES REAJ.TASA DE INTS.FLOTANTE M, BBC, BCC</v>
          </cell>
          <cell r="C1257">
            <v>550</v>
          </cell>
          <cell r="D1257">
            <v>549</v>
          </cell>
          <cell r="E1257">
            <v>554</v>
          </cell>
          <cell r="F1257">
            <v>427</v>
          </cell>
          <cell r="G1257">
            <v>268</v>
          </cell>
          <cell r="H1257">
            <v>261</v>
          </cell>
          <cell r="I1257">
            <v>0</v>
          </cell>
          <cell r="J1257">
            <v>0</v>
          </cell>
          <cell r="K1257">
            <v>0</v>
          </cell>
        </row>
        <row r="1258">
          <cell r="A1258" t="str">
            <v>14HUNZN</v>
          </cell>
          <cell r="B1258" t="str">
            <v>PAGARES BCO.CENTRAL CAP.18 COMP.NOR.CAMB.INTERN. M, BBC, BCC</v>
          </cell>
          <cell r="C1258">
            <v>0</v>
          </cell>
          <cell r="D1258">
            <v>0</v>
          </cell>
          <cell r="E1258">
            <v>0</v>
          </cell>
          <cell r="F1258">
            <v>0</v>
          </cell>
          <cell r="G1258">
            <v>0</v>
          </cell>
          <cell r="H1258">
            <v>0</v>
          </cell>
          <cell r="I1258">
            <v>0</v>
          </cell>
          <cell r="J1258">
            <v>0</v>
          </cell>
          <cell r="K1258">
            <v>0</v>
          </cell>
        </row>
        <row r="1259">
          <cell r="A1259" t="str">
            <v>14HWNZN</v>
          </cell>
          <cell r="B1259" t="str">
            <v>PAGARES EN UF.AC 1836 PROV.DE CERTIF.EN US$, BBC, BCC, NAC</v>
          </cell>
          <cell r="C1259">
            <v>159923</v>
          </cell>
          <cell r="D1259">
            <v>159923</v>
          </cell>
          <cell r="E1259">
            <v>159923</v>
          </cell>
          <cell r="F1259">
            <v>0</v>
          </cell>
          <cell r="G1259">
            <v>0</v>
          </cell>
          <cell r="H1259">
            <v>0</v>
          </cell>
          <cell r="I1259">
            <v>0</v>
          </cell>
          <cell r="J1259">
            <v>0</v>
          </cell>
          <cell r="K1259">
            <v>0</v>
          </cell>
        </row>
        <row r="1260">
          <cell r="A1260" t="str">
            <v>14HXNZN</v>
          </cell>
          <cell r="B1260" t="str">
            <v>REAJ.P.PAGAR POR PAGARES EN UF ACDO.1836, BBC, BCC, NAC</v>
          </cell>
          <cell r="C1260">
            <v>3285</v>
          </cell>
          <cell r="D1260">
            <v>3206</v>
          </cell>
          <cell r="E1260">
            <v>4184</v>
          </cell>
          <cell r="F1260">
            <v>0</v>
          </cell>
          <cell r="G1260">
            <v>0</v>
          </cell>
          <cell r="H1260">
            <v>0</v>
          </cell>
          <cell r="I1260">
            <v>0</v>
          </cell>
          <cell r="J1260">
            <v>0</v>
          </cell>
          <cell r="K1260">
            <v>0</v>
          </cell>
        </row>
        <row r="1261">
          <cell r="A1261" t="str">
            <v>14IUNZN</v>
          </cell>
          <cell r="B1261" t="str">
            <v>PAGARES BC POR REPAC.SALDOS DE PRECIO C/BECH MN, BBC, BCC, N</v>
          </cell>
          <cell r="C1261">
            <v>0</v>
          </cell>
          <cell r="D1261">
            <v>0</v>
          </cell>
          <cell r="E1261">
            <v>0</v>
          </cell>
          <cell r="F1261">
            <v>0</v>
          </cell>
          <cell r="G1261">
            <v>0</v>
          </cell>
          <cell r="H1261">
            <v>0</v>
          </cell>
          <cell r="I1261">
            <v>0</v>
          </cell>
          <cell r="J1261">
            <v>0</v>
          </cell>
          <cell r="K1261">
            <v>0</v>
          </cell>
        </row>
        <row r="1262">
          <cell r="A1262" t="str">
            <v>14IVNZN</v>
          </cell>
          <cell r="B1262" t="str">
            <v>REAJ.P.PAGAR POR SALDOS DE PRECIO C/BCO.ESTADO MN, BBC, BCC,</v>
          </cell>
          <cell r="C1262">
            <v>0</v>
          </cell>
          <cell r="D1262">
            <v>0</v>
          </cell>
          <cell r="E1262">
            <v>0</v>
          </cell>
          <cell r="F1262">
            <v>0</v>
          </cell>
          <cell r="G1262">
            <v>0</v>
          </cell>
          <cell r="H1262">
            <v>0</v>
          </cell>
          <cell r="I1262">
            <v>0</v>
          </cell>
          <cell r="J1262">
            <v>0</v>
          </cell>
          <cell r="K1262">
            <v>0</v>
          </cell>
        </row>
        <row r="1263">
          <cell r="A1263" t="str">
            <v>14JCNZN</v>
          </cell>
          <cell r="B1263" t="str">
            <v>PAGARES UF BECH P.DEUDAS ASUMIDAS BUF-BHC AC.91, BBC, BCC, N</v>
          </cell>
          <cell r="C1263">
            <v>0</v>
          </cell>
          <cell r="D1263">
            <v>0</v>
          </cell>
          <cell r="E1263">
            <v>0</v>
          </cell>
          <cell r="F1263">
            <v>0</v>
          </cell>
          <cell r="G1263">
            <v>0</v>
          </cell>
          <cell r="H1263">
            <v>0</v>
          </cell>
          <cell r="I1263">
            <v>0</v>
          </cell>
          <cell r="J1263">
            <v>0</v>
          </cell>
          <cell r="K1263">
            <v>0</v>
          </cell>
        </row>
        <row r="1264">
          <cell r="A1264" t="str">
            <v>14JDNZN</v>
          </cell>
          <cell r="B1264" t="str">
            <v>PAGARES UF BECH P.DEUDAS ASUMIDAS BUF-BHC AC.91, BBC, BCC, N</v>
          </cell>
          <cell r="C1264">
            <v>0</v>
          </cell>
          <cell r="D1264">
            <v>0</v>
          </cell>
          <cell r="E1264">
            <v>0</v>
          </cell>
          <cell r="F1264">
            <v>0</v>
          </cell>
          <cell r="G1264">
            <v>0</v>
          </cell>
          <cell r="H1264">
            <v>0</v>
          </cell>
          <cell r="I1264">
            <v>0</v>
          </cell>
          <cell r="J1264">
            <v>0</v>
          </cell>
          <cell r="K1264">
            <v>0</v>
          </cell>
        </row>
        <row r="1265">
          <cell r="A1265" t="str">
            <v>14JFNZN</v>
          </cell>
          <cell r="B1265" t="str">
            <v>PAGARE CAPITULO XIV C.N.C.I., BBC, BCC, NAC</v>
          </cell>
          <cell r="C1265">
            <v>0</v>
          </cell>
          <cell r="D1265">
            <v>0</v>
          </cell>
          <cell r="E1265">
            <v>0</v>
          </cell>
          <cell r="F1265">
            <v>0</v>
          </cell>
          <cell r="G1265">
            <v>0</v>
          </cell>
          <cell r="H1265">
            <v>0</v>
          </cell>
          <cell r="I1265">
            <v>0</v>
          </cell>
          <cell r="J1265">
            <v>0</v>
          </cell>
          <cell r="K1265">
            <v>0</v>
          </cell>
        </row>
        <row r="1266">
          <cell r="A1266" t="str">
            <v>14JGNZN</v>
          </cell>
          <cell r="B1266" t="str">
            <v>PAGARES REAJUSTABLES EN DOLARES (PRD)</v>
          </cell>
          <cell r="C1266">
            <v>2419471</v>
          </cell>
          <cell r="D1266">
            <v>2419471</v>
          </cell>
          <cell r="E1266">
            <v>2376312</v>
          </cell>
          <cell r="F1266">
            <v>2183676</v>
          </cell>
          <cell r="G1266">
            <v>2036544</v>
          </cell>
          <cell r="H1266">
            <v>1947023</v>
          </cell>
          <cell r="I1266">
            <v>1943798</v>
          </cell>
          <cell r="J1266">
            <v>1943798</v>
          </cell>
          <cell r="K1266">
            <v>1865686</v>
          </cell>
        </row>
        <row r="1267">
          <cell r="A1267" t="str">
            <v>14JHNZN</v>
          </cell>
          <cell r="B1267" t="str">
            <v>CUPONES DE EMISION REAJ. OPC.(CERO) EN US$</v>
          </cell>
          <cell r="C1267">
            <v>538377</v>
          </cell>
          <cell r="D1267">
            <v>536323</v>
          </cell>
          <cell r="E1267">
            <v>533518</v>
          </cell>
          <cell r="F1267">
            <v>526767</v>
          </cell>
          <cell r="G1267">
            <v>523147</v>
          </cell>
          <cell r="H1267">
            <v>521449</v>
          </cell>
          <cell r="I1267">
            <v>516566</v>
          </cell>
          <cell r="J1267">
            <v>514513</v>
          </cell>
          <cell r="K1267">
            <v>484704</v>
          </cell>
        </row>
        <row r="1268">
          <cell r="A1268" t="str">
            <v>14JINZN</v>
          </cell>
          <cell r="B1268" t="str">
            <v>CUPONES DE EMISION REAJ. OPC.(CERO) EN UF</v>
          </cell>
          <cell r="C1268">
            <v>894902</v>
          </cell>
          <cell r="D1268">
            <v>868721</v>
          </cell>
          <cell r="E1268">
            <v>858174</v>
          </cell>
          <cell r="F1268">
            <v>841673</v>
          </cell>
          <cell r="G1268">
            <v>806386</v>
          </cell>
          <cell r="H1268">
            <v>795614</v>
          </cell>
          <cell r="I1268">
            <v>783442</v>
          </cell>
          <cell r="J1268">
            <v>770372</v>
          </cell>
          <cell r="K1268">
            <v>752995</v>
          </cell>
        </row>
        <row r="1269">
          <cell r="A1269" t="str">
            <v>22814JJNZN...</v>
          </cell>
          <cell r="B1269" t="str">
            <v>BONOS DEL BANCO CENTRAL DE CHILE</v>
          </cell>
          <cell r="C1269">
            <v>1948071</v>
          </cell>
          <cell r="D1269">
            <v>2198185</v>
          </cell>
          <cell r="E1269">
            <v>2421395</v>
          </cell>
          <cell r="F1269">
            <v>2818668</v>
          </cell>
          <cell r="G1269">
            <v>3197461</v>
          </cell>
          <cell r="H1269">
            <v>3479467</v>
          </cell>
          <cell r="I1269">
            <v>3705401</v>
          </cell>
          <cell r="J1269">
            <v>3979954</v>
          </cell>
          <cell r="K1269">
            <v>4267301</v>
          </cell>
        </row>
        <row r="1270">
          <cell r="A1270" t="str">
            <v>22814JKNZN...</v>
          </cell>
          <cell r="B1270" t="str">
            <v>REAJUSTES POR PAGAR S/BONOS DEL BCO.CENTRAL</v>
          </cell>
          <cell r="C1270">
            <v>19267</v>
          </cell>
          <cell r="D1270">
            <v>54704</v>
          </cell>
          <cell r="E1270">
            <v>10623</v>
          </cell>
          <cell r="F1270">
            <v>-33368</v>
          </cell>
          <cell r="G1270">
            <v>-26682</v>
          </cell>
          <cell r="H1270">
            <v>-61265</v>
          </cell>
          <cell r="I1270">
            <v>-38026</v>
          </cell>
          <cell r="J1270">
            <v>-55697</v>
          </cell>
          <cell r="K1270">
            <v>-160464</v>
          </cell>
        </row>
        <row r="1271">
          <cell r="A1271" t="str">
            <v>14BHXZN</v>
          </cell>
          <cell r="B1271" t="str">
            <v xml:space="preserve">  .DOCUM.EMIT.P.B.CENTRAL ME</v>
          </cell>
          <cell r="C1271">
            <v>3722</v>
          </cell>
          <cell r="D1271">
            <v>3820</v>
          </cell>
          <cell r="E1271">
            <v>3687</v>
          </cell>
          <cell r="F1271">
            <v>3575</v>
          </cell>
          <cell r="G1271">
            <v>3599</v>
          </cell>
          <cell r="H1271">
            <v>3534</v>
          </cell>
          <cell r="I1271">
            <v>2861</v>
          </cell>
          <cell r="J1271">
            <v>2836</v>
          </cell>
          <cell r="K1271">
            <v>2697</v>
          </cell>
        </row>
        <row r="1272">
          <cell r="A1272" t="str">
            <v>-</v>
          </cell>
          <cell r="B1272" t="str">
            <v>CAR-L.16282 ART.26-50 MN, BBC, BCC, EXT</v>
          </cell>
          <cell r="C1272">
            <v>0</v>
          </cell>
          <cell r="D1272">
            <v>0</v>
          </cell>
          <cell r="E1272">
            <v>0</v>
          </cell>
          <cell r="F1272">
            <v>0</v>
          </cell>
          <cell r="G1272">
            <v>0</v>
          </cell>
          <cell r="H1272">
            <v>0</v>
          </cell>
          <cell r="I1272">
            <v>0</v>
          </cell>
          <cell r="J1272">
            <v>0</v>
          </cell>
          <cell r="K1272">
            <v>0</v>
          </cell>
        </row>
        <row r="1273">
          <cell r="A1273" t="str">
            <v>-</v>
          </cell>
          <cell r="B1273" t="str">
            <v>CAR-ART.22-DL1078-SER-E  MN, BBC, BCC, EXT</v>
          </cell>
          <cell r="C1273">
            <v>0</v>
          </cell>
          <cell r="D1273">
            <v>0</v>
          </cell>
          <cell r="E1273">
            <v>0</v>
          </cell>
          <cell r="F1273">
            <v>0</v>
          </cell>
          <cell r="G1273">
            <v>0</v>
          </cell>
          <cell r="H1273">
            <v>0</v>
          </cell>
          <cell r="I1273">
            <v>0</v>
          </cell>
          <cell r="J1273">
            <v>0</v>
          </cell>
          <cell r="K1273">
            <v>0</v>
          </cell>
        </row>
        <row r="1274">
          <cell r="A1274" t="str">
            <v>-</v>
          </cell>
          <cell r="B1274" t="str">
            <v>CAR SERIE F  MN, BBC, BCC, EXT</v>
          </cell>
          <cell r="C1274">
            <v>0</v>
          </cell>
          <cell r="D1274">
            <v>0</v>
          </cell>
          <cell r="E1274">
            <v>0</v>
          </cell>
          <cell r="F1274">
            <v>0</v>
          </cell>
          <cell r="G1274">
            <v>0</v>
          </cell>
          <cell r="H1274">
            <v>0</v>
          </cell>
          <cell r="I1274">
            <v>0</v>
          </cell>
          <cell r="J1274">
            <v>0</v>
          </cell>
          <cell r="K1274">
            <v>0</v>
          </cell>
        </row>
        <row r="1275">
          <cell r="A1275" t="str">
            <v>-</v>
          </cell>
          <cell r="B1275" t="str">
            <v>REAJ.POR PAGAR SOBRE CAR, BBC, BCC, EXT</v>
          </cell>
          <cell r="C1275">
            <v>0</v>
          </cell>
          <cell r="D1275">
            <v>0</v>
          </cell>
          <cell r="E1275">
            <v>0</v>
          </cell>
          <cell r="F1275">
            <v>0</v>
          </cell>
          <cell r="G1275">
            <v>0</v>
          </cell>
          <cell r="H1275">
            <v>0</v>
          </cell>
          <cell r="I1275">
            <v>0</v>
          </cell>
          <cell r="J1275">
            <v>0</v>
          </cell>
          <cell r="K1275">
            <v>0</v>
          </cell>
        </row>
        <row r="1276">
          <cell r="A1276" t="str">
            <v>-</v>
          </cell>
          <cell r="B1276" t="str">
            <v>PREV.SOCIAL-PAG.BCO.CTRAL.MN, BBC, BCC, EXT</v>
          </cell>
          <cell r="C1276">
            <v>0</v>
          </cell>
          <cell r="D1276">
            <v>0</v>
          </cell>
          <cell r="E1276">
            <v>0</v>
          </cell>
          <cell r="F1276">
            <v>0</v>
          </cell>
          <cell r="G1276">
            <v>0</v>
          </cell>
          <cell r="H1276">
            <v>0</v>
          </cell>
          <cell r="I1276">
            <v>0</v>
          </cell>
          <cell r="J1276">
            <v>0</v>
          </cell>
          <cell r="K1276">
            <v>0</v>
          </cell>
        </row>
        <row r="1277">
          <cell r="A1277" t="str">
            <v>-</v>
          </cell>
          <cell r="B1277" t="str">
            <v>REAJ.P/PAGAR PAGARES PREVISION SOCIAL, BBC, BCC, EXT</v>
          </cell>
          <cell r="C1277">
            <v>0</v>
          </cell>
          <cell r="D1277">
            <v>0</v>
          </cell>
          <cell r="E1277">
            <v>0</v>
          </cell>
          <cell r="F1277">
            <v>0</v>
          </cell>
          <cell r="G1277">
            <v>0</v>
          </cell>
          <cell r="H1277">
            <v>0</v>
          </cell>
          <cell r="I1277">
            <v>0</v>
          </cell>
          <cell r="J1277">
            <v>0</v>
          </cell>
          <cell r="K1277">
            <v>0</v>
          </cell>
        </row>
        <row r="1278">
          <cell r="A1278" t="str">
            <v>15IKEZN</v>
          </cell>
          <cell r="B1278" t="str">
            <v>CERT.P/COBERT.EXIT.CEPAC. ME, BBC, BCC, EXT</v>
          </cell>
          <cell r="C1278">
            <v>0</v>
          </cell>
          <cell r="D1278">
            <v>0</v>
          </cell>
          <cell r="E1278">
            <v>0</v>
          </cell>
          <cell r="F1278">
            <v>0</v>
          </cell>
          <cell r="G1278">
            <v>0</v>
          </cell>
          <cell r="H1278">
            <v>0</v>
          </cell>
          <cell r="I1278">
            <v>0</v>
          </cell>
          <cell r="J1278">
            <v>0</v>
          </cell>
          <cell r="K1278">
            <v>0</v>
          </cell>
        </row>
        <row r="1279">
          <cell r="A1279" t="str">
            <v>-</v>
          </cell>
          <cell r="B1279" t="str">
            <v>PAGARES DESCONTABLES BCO. CENT., BBC, BCC, EXT</v>
          </cell>
          <cell r="C1279">
            <v>0</v>
          </cell>
          <cell r="D1279">
            <v>0</v>
          </cell>
          <cell r="E1279">
            <v>0</v>
          </cell>
          <cell r="F1279">
            <v>0</v>
          </cell>
          <cell r="G1279">
            <v>0</v>
          </cell>
          <cell r="H1279">
            <v>0</v>
          </cell>
          <cell r="I1279">
            <v>0</v>
          </cell>
          <cell r="J1279">
            <v>0</v>
          </cell>
          <cell r="K1279">
            <v>0</v>
          </cell>
        </row>
        <row r="1280">
          <cell r="A1280" t="str">
            <v>-</v>
          </cell>
          <cell r="B1280" t="str">
            <v>PAGARES REAJUSTABLES DEL BANCO CENTRAL, BBC, BCC, EXT</v>
          </cell>
          <cell r="C1280">
            <v>0</v>
          </cell>
          <cell r="D1280">
            <v>0</v>
          </cell>
          <cell r="E1280">
            <v>0</v>
          </cell>
          <cell r="F1280">
            <v>0</v>
          </cell>
          <cell r="G1280">
            <v>0</v>
          </cell>
          <cell r="H1280">
            <v>0</v>
          </cell>
          <cell r="I1280">
            <v>0</v>
          </cell>
          <cell r="J1280">
            <v>0</v>
          </cell>
          <cell r="K1280">
            <v>0</v>
          </cell>
        </row>
        <row r="1281">
          <cell r="A1281" t="str">
            <v>-</v>
          </cell>
          <cell r="B1281" t="str">
            <v>REAJUSTES P/PAGAR SOBRE PDBC MN, BBC, BCC, EXT</v>
          </cell>
          <cell r="C1281">
            <v>0</v>
          </cell>
          <cell r="D1281">
            <v>0</v>
          </cell>
          <cell r="E1281">
            <v>0</v>
          </cell>
          <cell r="F1281">
            <v>0</v>
          </cell>
          <cell r="G1281">
            <v>0</v>
          </cell>
          <cell r="H1281">
            <v>0</v>
          </cell>
          <cell r="I1281">
            <v>0</v>
          </cell>
          <cell r="J1281">
            <v>0</v>
          </cell>
          <cell r="K1281">
            <v>0</v>
          </cell>
        </row>
        <row r="1282">
          <cell r="A1282" t="str">
            <v>-</v>
          </cell>
          <cell r="B1282" t="str">
            <v>PAGARES REAJ.POR INTS.SOBRE ENCAJE MN, BBC, BCC, EXT</v>
          </cell>
          <cell r="C1282">
            <v>0</v>
          </cell>
          <cell r="D1282">
            <v>0</v>
          </cell>
          <cell r="E1282">
            <v>0</v>
          </cell>
          <cell r="F1282">
            <v>0</v>
          </cell>
          <cell r="G1282">
            <v>0</v>
          </cell>
          <cell r="H1282">
            <v>0</v>
          </cell>
          <cell r="I1282">
            <v>0</v>
          </cell>
          <cell r="J1282">
            <v>0</v>
          </cell>
          <cell r="K1282">
            <v>0</v>
          </cell>
        </row>
        <row r="1283">
          <cell r="A1283" t="str">
            <v>-</v>
          </cell>
          <cell r="B1283" t="str">
            <v>REAJ.P/PAGAR S/PAGARES REAJ.P/INTS.S/ENCAJE MN, BBC, BCC, EX</v>
          </cell>
          <cell r="C1283">
            <v>0</v>
          </cell>
          <cell r="D1283">
            <v>0</v>
          </cell>
          <cell r="E1283">
            <v>0</v>
          </cell>
          <cell r="F1283">
            <v>0</v>
          </cell>
          <cell r="G1283">
            <v>0</v>
          </cell>
          <cell r="H1283">
            <v>0</v>
          </cell>
          <cell r="I1283">
            <v>0</v>
          </cell>
          <cell r="J1283">
            <v>0</v>
          </cell>
          <cell r="K1283">
            <v>0</v>
          </cell>
        </row>
        <row r="1284">
          <cell r="A1284" t="str">
            <v>14GNEZN</v>
          </cell>
          <cell r="B1284" t="str">
            <v>PAGARES BCO.CENTRAL P.COMPROMISOS ME, BBC, BCC, EXT</v>
          </cell>
          <cell r="C1284">
            <v>0</v>
          </cell>
          <cell r="D1284">
            <v>0</v>
          </cell>
          <cell r="E1284">
            <v>0</v>
          </cell>
          <cell r="F1284">
            <v>0</v>
          </cell>
          <cell r="G1284">
            <v>0</v>
          </cell>
          <cell r="H1284">
            <v>0</v>
          </cell>
          <cell r="I1284">
            <v>0</v>
          </cell>
          <cell r="J1284">
            <v>0</v>
          </cell>
          <cell r="K1284">
            <v>0</v>
          </cell>
        </row>
        <row r="1285">
          <cell r="A1285" t="str">
            <v>15FCEZN</v>
          </cell>
          <cell r="B1285" t="str">
            <v>PAGARES EN DOLARES USA BANCO CENTRAL DE CHILE, BBC, BCC, EXT</v>
          </cell>
          <cell r="C1285">
            <v>0</v>
          </cell>
          <cell r="D1285">
            <v>0</v>
          </cell>
          <cell r="E1285">
            <v>0</v>
          </cell>
          <cell r="F1285">
            <v>0</v>
          </cell>
          <cell r="G1285">
            <v>0</v>
          </cell>
          <cell r="H1285">
            <v>0</v>
          </cell>
          <cell r="I1285">
            <v>0</v>
          </cell>
          <cell r="J1285">
            <v>0</v>
          </cell>
          <cell r="K1285">
            <v>0</v>
          </cell>
        </row>
        <row r="1286">
          <cell r="A1286" t="str">
            <v>14GPEZN</v>
          </cell>
          <cell r="B1286" t="str">
            <v>PAGARES EXPRESADOS EN DOLARES USA (ACDO.1470), BBC, BCC, EXT</v>
          </cell>
          <cell r="C1286">
            <v>0</v>
          </cell>
          <cell r="D1286">
            <v>0</v>
          </cell>
          <cell r="E1286">
            <v>0</v>
          </cell>
          <cell r="F1286">
            <v>0</v>
          </cell>
          <cell r="G1286">
            <v>0</v>
          </cell>
          <cell r="H1286">
            <v>0</v>
          </cell>
          <cell r="I1286">
            <v>0</v>
          </cell>
          <cell r="J1286">
            <v>0</v>
          </cell>
          <cell r="K1286">
            <v>0</v>
          </cell>
        </row>
        <row r="1287">
          <cell r="A1287" t="str">
            <v>-</v>
          </cell>
          <cell r="B1287" t="str">
            <v>PAGARES BC.P.INST.SEC.PUB.P.DOLAR PREFERENCIAL MN, BBC, BCC,</v>
          </cell>
          <cell r="C1287">
            <v>0</v>
          </cell>
          <cell r="D1287">
            <v>0</v>
          </cell>
          <cell r="E1287">
            <v>0</v>
          </cell>
          <cell r="F1287">
            <v>0</v>
          </cell>
          <cell r="G1287">
            <v>0</v>
          </cell>
          <cell r="H1287">
            <v>0</v>
          </cell>
          <cell r="I1287">
            <v>0</v>
          </cell>
          <cell r="J1287">
            <v>0</v>
          </cell>
          <cell r="K1287">
            <v>0</v>
          </cell>
        </row>
        <row r="1288">
          <cell r="A1288" t="str">
            <v>-</v>
          </cell>
          <cell r="B1288" t="str">
            <v>REAJ.P.PAGAR S.PAGARES BC.P.INST.SEC.PUB.P.DOLAR P, BBC, BCC</v>
          </cell>
          <cell r="C1288">
            <v>0</v>
          </cell>
          <cell r="D1288">
            <v>0</v>
          </cell>
          <cell r="E1288">
            <v>0</v>
          </cell>
          <cell r="F1288">
            <v>0</v>
          </cell>
          <cell r="G1288">
            <v>0</v>
          </cell>
          <cell r="H1288">
            <v>0</v>
          </cell>
          <cell r="I1288">
            <v>0</v>
          </cell>
          <cell r="J1288">
            <v>0</v>
          </cell>
          <cell r="K1288">
            <v>0</v>
          </cell>
        </row>
        <row r="1289">
          <cell r="A1289" t="str">
            <v>-</v>
          </cell>
          <cell r="B1289" t="str">
            <v>PAGARES POR DIFERENCIAL CAMBIARIO ACDO 1484, BBC, BCC, EXT</v>
          </cell>
          <cell r="C1289">
            <v>0</v>
          </cell>
          <cell r="D1289">
            <v>0</v>
          </cell>
          <cell r="E1289">
            <v>0</v>
          </cell>
          <cell r="F1289">
            <v>0</v>
          </cell>
          <cell r="G1289">
            <v>0</v>
          </cell>
          <cell r="H1289">
            <v>0</v>
          </cell>
          <cell r="I1289">
            <v>0</v>
          </cell>
          <cell r="J1289">
            <v>0</v>
          </cell>
          <cell r="K1289">
            <v>0</v>
          </cell>
        </row>
        <row r="1290">
          <cell r="A1290" t="str">
            <v>-</v>
          </cell>
          <cell r="B1290" t="str">
            <v>REAJ.P.PAGAR S.PAGARES DIFERENCIAL CAMB.ACDO 1484, BBC, BCC,</v>
          </cell>
          <cell r="C1290">
            <v>0</v>
          </cell>
          <cell r="D1290">
            <v>0</v>
          </cell>
          <cell r="E1290">
            <v>0</v>
          </cell>
          <cell r="F1290">
            <v>0</v>
          </cell>
          <cell r="G1290">
            <v>0</v>
          </cell>
          <cell r="H1290">
            <v>0</v>
          </cell>
          <cell r="I1290">
            <v>0</v>
          </cell>
          <cell r="J1290">
            <v>0</v>
          </cell>
          <cell r="K1290">
            <v>0</v>
          </cell>
        </row>
        <row r="1291">
          <cell r="A1291" t="str">
            <v>-</v>
          </cell>
          <cell r="B1291" t="str">
            <v>PAGARES POR DIFERENCIAL CAMBIARIO VENC.REAJUSTADOS, BBC, BCC</v>
          </cell>
          <cell r="C1291">
            <v>0</v>
          </cell>
          <cell r="D1291">
            <v>0</v>
          </cell>
          <cell r="E1291">
            <v>0</v>
          </cell>
          <cell r="F1291">
            <v>0</v>
          </cell>
          <cell r="G1291">
            <v>0</v>
          </cell>
          <cell r="H1291">
            <v>0</v>
          </cell>
          <cell r="I1291">
            <v>0</v>
          </cell>
          <cell r="J1291">
            <v>0</v>
          </cell>
          <cell r="K1291">
            <v>0</v>
          </cell>
        </row>
        <row r="1292">
          <cell r="A1292" t="str">
            <v>-</v>
          </cell>
          <cell r="B1292" t="str">
            <v xml:space="preserve">PAGARE BCO.CENTRAL P.ADQ.DE LETRAS DE CREDITO ME, BBC, BCC, </v>
          </cell>
          <cell r="C1292">
            <v>0</v>
          </cell>
          <cell r="D1292">
            <v>0</v>
          </cell>
          <cell r="E1292">
            <v>0</v>
          </cell>
          <cell r="F1292">
            <v>0</v>
          </cell>
          <cell r="G1292">
            <v>0</v>
          </cell>
          <cell r="H1292">
            <v>0</v>
          </cell>
          <cell r="I1292">
            <v>0</v>
          </cell>
          <cell r="J1292">
            <v>0</v>
          </cell>
          <cell r="K1292">
            <v>0</v>
          </cell>
        </row>
        <row r="1293">
          <cell r="A1293" t="str">
            <v>-</v>
          </cell>
          <cell r="B1293" t="str">
            <v>REAJ.P.PAGAR S.PAGARE B.C.LETRAS DE CREDITO, BBC, BCC, EXT</v>
          </cell>
          <cell r="C1293">
            <v>0</v>
          </cell>
          <cell r="D1293">
            <v>0</v>
          </cell>
          <cell r="E1293">
            <v>0</v>
          </cell>
          <cell r="F1293">
            <v>0</v>
          </cell>
          <cell r="G1293">
            <v>0</v>
          </cell>
          <cell r="H1293">
            <v>0</v>
          </cell>
          <cell r="I1293">
            <v>0</v>
          </cell>
          <cell r="J1293">
            <v>0</v>
          </cell>
          <cell r="K1293">
            <v>0</v>
          </cell>
        </row>
        <row r="1294">
          <cell r="A1294" t="str">
            <v>14AREZN</v>
          </cell>
          <cell r="B1294" t="str">
            <v>PAGARES BC.P.REPROGRAMACION DE DEUDAS ME, BBC, BCC, EXT</v>
          </cell>
          <cell r="C1294">
            <v>0</v>
          </cell>
          <cell r="D1294">
            <v>0</v>
          </cell>
          <cell r="E1294">
            <v>0</v>
          </cell>
          <cell r="F1294">
            <v>0</v>
          </cell>
          <cell r="G1294">
            <v>0</v>
          </cell>
          <cell r="H1294">
            <v>0</v>
          </cell>
          <cell r="I1294">
            <v>0</v>
          </cell>
          <cell r="J1294">
            <v>0</v>
          </cell>
          <cell r="K1294">
            <v>0</v>
          </cell>
        </row>
        <row r="1295">
          <cell r="A1295" t="str">
            <v>-</v>
          </cell>
          <cell r="B1295" t="str">
            <v>REAJUSTES P.PAGAR S.PAG.BC.POR REPROG.DE DEUDAS MN, BBC, BCC</v>
          </cell>
          <cell r="C1295">
            <v>0</v>
          </cell>
          <cell r="D1295">
            <v>0</v>
          </cell>
          <cell r="E1295">
            <v>0</v>
          </cell>
          <cell r="F1295">
            <v>0</v>
          </cell>
          <cell r="G1295">
            <v>0</v>
          </cell>
          <cell r="H1295">
            <v>0</v>
          </cell>
          <cell r="I1295">
            <v>0</v>
          </cell>
          <cell r="J1295">
            <v>0</v>
          </cell>
          <cell r="K1295">
            <v>0</v>
          </cell>
        </row>
        <row r="1296">
          <cell r="A1296" t="str">
            <v>-</v>
          </cell>
          <cell r="B1296" t="str">
            <v>PAGARES BCO.CENTRAL P.ADQUISICION BONOS BANCARIOS, BBC, BCC,</v>
          </cell>
          <cell r="C1296">
            <v>0</v>
          </cell>
          <cell r="D1296">
            <v>0</v>
          </cell>
          <cell r="E1296">
            <v>0</v>
          </cell>
          <cell r="F1296">
            <v>0</v>
          </cell>
          <cell r="G1296">
            <v>0</v>
          </cell>
          <cell r="H1296">
            <v>0</v>
          </cell>
          <cell r="I1296">
            <v>0</v>
          </cell>
          <cell r="J1296">
            <v>0</v>
          </cell>
          <cell r="K1296">
            <v>0</v>
          </cell>
        </row>
        <row r="1297">
          <cell r="A1297" t="str">
            <v>-</v>
          </cell>
          <cell r="B1297" t="str">
            <v>PAGARES REAJUSTABLES CON PAGO EN CUPONES(P.R.C), BBC, BCC, E</v>
          </cell>
          <cell r="C1297">
            <v>0</v>
          </cell>
          <cell r="D1297">
            <v>0</v>
          </cell>
          <cell r="E1297">
            <v>0</v>
          </cell>
          <cell r="F1297">
            <v>0</v>
          </cell>
          <cell r="G1297">
            <v>0</v>
          </cell>
          <cell r="H1297">
            <v>0</v>
          </cell>
          <cell r="I1297">
            <v>0</v>
          </cell>
          <cell r="J1297">
            <v>0</v>
          </cell>
          <cell r="K1297">
            <v>0</v>
          </cell>
        </row>
        <row r="1298">
          <cell r="A1298" t="str">
            <v>-</v>
          </cell>
          <cell r="B1298" t="str">
            <v xml:space="preserve">REAJ.P.PAGAR S/PAGARES REAJ.C.PAGO CUPONES (PRC), BBC, BCC, </v>
          </cell>
          <cell r="C1298">
            <v>0</v>
          </cell>
          <cell r="D1298">
            <v>0</v>
          </cell>
          <cell r="E1298">
            <v>0</v>
          </cell>
          <cell r="F1298">
            <v>0</v>
          </cell>
          <cell r="G1298">
            <v>0</v>
          </cell>
          <cell r="H1298">
            <v>0</v>
          </cell>
          <cell r="I1298">
            <v>0</v>
          </cell>
          <cell r="J1298">
            <v>0</v>
          </cell>
          <cell r="K1298">
            <v>0</v>
          </cell>
        </row>
        <row r="1299">
          <cell r="A1299" t="str">
            <v>-</v>
          </cell>
          <cell r="B1299" t="str">
            <v>PAGARES B.CEN.P.REPROGRAMACION DEUDAS HIPOTECARIAS, BBC, BCC</v>
          </cell>
          <cell r="C1299">
            <v>0</v>
          </cell>
          <cell r="D1299">
            <v>0</v>
          </cell>
          <cell r="E1299">
            <v>0</v>
          </cell>
          <cell r="F1299">
            <v>0</v>
          </cell>
          <cell r="G1299">
            <v>0</v>
          </cell>
          <cell r="H1299">
            <v>0</v>
          </cell>
          <cell r="I1299">
            <v>0</v>
          </cell>
          <cell r="J1299">
            <v>0</v>
          </cell>
          <cell r="K1299">
            <v>0</v>
          </cell>
        </row>
        <row r="1300">
          <cell r="A1300" t="str">
            <v>-</v>
          </cell>
          <cell r="B1300" t="str">
            <v>REAJ.P.PAGAR.S.PAGARES P.REPROGRAM.DEUDAS HIPOTEC., BBC, BCC</v>
          </cell>
          <cell r="C1300">
            <v>0</v>
          </cell>
          <cell r="D1300">
            <v>0</v>
          </cell>
          <cell r="E1300">
            <v>0</v>
          </cell>
          <cell r="F1300">
            <v>0</v>
          </cell>
          <cell r="G1300">
            <v>0</v>
          </cell>
          <cell r="H1300">
            <v>0</v>
          </cell>
          <cell r="I1300">
            <v>0</v>
          </cell>
          <cell r="J1300">
            <v>0</v>
          </cell>
          <cell r="K1300">
            <v>0</v>
          </cell>
        </row>
        <row r="1301">
          <cell r="A1301" t="str">
            <v>-</v>
          </cell>
          <cell r="B1301" t="str">
            <v>PAGARES BCO.CENTRAL P.DOCTOS DE CRED.HIPOT.ADQ.MN, BBC, BCC,</v>
          </cell>
          <cell r="C1301">
            <v>0</v>
          </cell>
          <cell r="D1301">
            <v>0</v>
          </cell>
          <cell r="E1301">
            <v>0</v>
          </cell>
          <cell r="F1301">
            <v>0</v>
          </cell>
          <cell r="G1301">
            <v>0</v>
          </cell>
          <cell r="H1301">
            <v>0</v>
          </cell>
          <cell r="I1301">
            <v>0</v>
          </cell>
          <cell r="J1301">
            <v>0</v>
          </cell>
          <cell r="K1301">
            <v>0</v>
          </cell>
        </row>
        <row r="1302">
          <cell r="A1302" t="str">
            <v>-</v>
          </cell>
          <cell r="B1302" t="str">
            <v>PAGARES POR COMPRA DE CARTERA ACDO.1555 MN, BBC, BCC, EXT</v>
          </cell>
          <cell r="C1302">
            <v>0</v>
          </cell>
          <cell r="D1302">
            <v>0</v>
          </cell>
          <cell r="E1302">
            <v>0</v>
          </cell>
          <cell r="F1302">
            <v>0</v>
          </cell>
          <cell r="G1302">
            <v>0</v>
          </cell>
          <cell r="H1302">
            <v>0</v>
          </cell>
          <cell r="I1302">
            <v>0</v>
          </cell>
          <cell r="J1302">
            <v>0</v>
          </cell>
          <cell r="K1302">
            <v>0</v>
          </cell>
        </row>
        <row r="1303">
          <cell r="A1303" t="str">
            <v>-</v>
          </cell>
          <cell r="B1303" t="str">
            <v>REAJ.P.PAGAR S.PAGARES P.CPRA. CARTERA ACDO.1555 M, BBC, BCC</v>
          </cell>
          <cell r="C1303">
            <v>0</v>
          </cell>
          <cell r="D1303">
            <v>0</v>
          </cell>
          <cell r="E1303">
            <v>0</v>
          </cell>
          <cell r="F1303">
            <v>0</v>
          </cell>
          <cell r="G1303">
            <v>0</v>
          </cell>
          <cell r="H1303">
            <v>0</v>
          </cell>
          <cell r="I1303">
            <v>0</v>
          </cell>
          <cell r="J1303">
            <v>0</v>
          </cell>
          <cell r="K1303">
            <v>0</v>
          </cell>
        </row>
        <row r="1304">
          <cell r="A1304" t="str">
            <v>14BGEZN</v>
          </cell>
          <cell r="B1304" t="str">
            <v>PAGARES BCO.CENTRAL P.REPROG.CREDITOS DE CONSUMO M, BBC, BCC</v>
          </cell>
          <cell r="C1304">
            <v>0</v>
          </cell>
          <cell r="D1304">
            <v>0</v>
          </cell>
          <cell r="E1304">
            <v>0</v>
          </cell>
          <cell r="F1304">
            <v>0</v>
          </cell>
          <cell r="G1304">
            <v>0</v>
          </cell>
          <cell r="H1304">
            <v>0</v>
          </cell>
          <cell r="I1304">
            <v>0</v>
          </cell>
          <cell r="J1304">
            <v>0</v>
          </cell>
          <cell r="K1304">
            <v>0</v>
          </cell>
        </row>
        <row r="1305">
          <cell r="A1305" t="str">
            <v>-</v>
          </cell>
          <cell r="B1305" t="str">
            <v>REAJ.PAGARES B.CENT.P.REPROG.CREDITOS DE CONSUMO M, BBC, BCC</v>
          </cell>
          <cell r="C1305">
            <v>0</v>
          </cell>
          <cell r="D1305">
            <v>0</v>
          </cell>
          <cell r="E1305">
            <v>0</v>
          </cell>
          <cell r="F1305">
            <v>0</v>
          </cell>
          <cell r="G1305">
            <v>0</v>
          </cell>
          <cell r="H1305">
            <v>0</v>
          </cell>
          <cell r="I1305">
            <v>0</v>
          </cell>
          <cell r="J1305">
            <v>0</v>
          </cell>
          <cell r="K1305">
            <v>0</v>
          </cell>
        </row>
        <row r="1306">
          <cell r="A1306" t="str">
            <v>14BJEZN</v>
          </cell>
          <cell r="B1306" t="str">
            <v>PAGARES B.CENT.EXPR.EN DOLARES C.DESCTO.ACDO 1578M, BBC, BCC</v>
          </cell>
          <cell r="C1306">
            <v>0</v>
          </cell>
          <cell r="D1306">
            <v>0</v>
          </cell>
          <cell r="E1306">
            <v>0</v>
          </cell>
          <cell r="F1306">
            <v>0</v>
          </cell>
          <cell r="G1306">
            <v>0</v>
          </cell>
          <cell r="H1306">
            <v>0</v>
          </cell>
          <cell r="I1306">
            <v>0</v>
          </cell>
          <cell r="J1306">
            <v>0</v>
          </cell>
          <cell r="K1306">
            <v>0</v>
          </cell>
        </row>
        <row r="1307">
          <cell r="A1307" t="str">
            <v>14BLEZN</v>
          </cell>
          <cell r="B1307" t="str">
            <v>PAGARES BC.REPROGRAM.DEUDAS S.PRODUCT.ACDO 1578  M, BBC, BCC</v>
          </cell>
          <cell r="C1307">
            <v>0</v>
          </cell>
          <cell r="D1307">
            <v>0</v>
          </cell>
          <cell r="E1307">
            <v>0</v>
          </cell>
          <cell r="F1307">
            <v>0</v>
          </cell>
          <cell r="G1307">
            <v>0</v>
          </cell>
          <cell r="H1307">
            <v>0</v>
          </cell>
          <cell r="I1307">
            <v>0</v>
          </cell>
          <cell r="J1307">
            <v>0</v>
          </cell>
          <cell r="K1307">
            <v>0</v>
          </cell>
        </row>
        <row r="1308">
          <cell r="A1308" t="str">
            <v>-</v>
          </cell>
          <cell r="B1308" t="str">
            <v>REAJ.P.PAGAR P.PAGARES BC.P.REPROG.DEV.SEC.PROD. M, BBC, BCC</v>
          </cell>
          <cell r="C1308">
            <v>0</v>
          </cell>
          <cell r="D1308">
            <v>0</v>
          </cell>
          <cell r="E1308">
            <v>0</v>
          </cell>
          <cell r="F1308">
            <v>0</v>
          </cell>
          <cell r="G1308">
            <v>0</v>
          </cell>
          <cell r="H1308">
            <v>0</v>
          </cell>
          <cell r="I1308">
            <v>0</v>
          </cell>
          <cell r="J1308">
            <v>0</v>
          </cell>
          <cell r="K1308">
            <v>0</v>
          </cell>
        </row>
        <row r="1309">
          <cell r="A1309" t="str">
            <v>14BKEZN</v>
          </cell>
          <cell r="B1309" t="str">
            <v>PAGARES B.C.P/SALDO PRECIO BCO.DEL ESTADO ME., BBC, BCC, EXT</v>
          </cell>
          <cell r="C1309">
            <v>0</v>
          </cell>
          <cell r="D1309">
            <v>0</v>
          </cell>
          <cell r="E1309">
            <v>0</v>
          </cell>
          <cell r="F1309">
            <v>0</v>
          </cell>
          <cell r="G1309">
            <v>0</v>
          </cell>
          <cell r="H1309">
            <v>0</v>
          </cell>
          <cell r="I1309">
            <v>0</v>
          </cell>
          <cell r="J1309">
            <v>0</v>
          </cell>
          <cell r="K1309">
            <v>0</v>
          </cell>
        </row>
        <row r="1310">
          <cell r="A1310" t="str">
            <v>14BSEZN</v>
          </cell>
          <cell r="B1310" t="str">
            <v>CERT.DEPOSITOS INTRANSF.EXPRESADOS EN US$ AC.1649, BBC, BCC,</v>
          </cell>
          <cell r="C1310">
            <v>3722</v>
          </cell>
          <cell r="D1310">
            <v>3820</v>
          </cell>
          <cell r="E1310">
            <v>3687</v>
          </cell>
          <cell r="F1310">
            <v>3575</v>
          </cell>
          <cell r="G1310">
            <v>3599</v>
          </cell>
          <cell r="H1310">
            <v>3534</v>
          </cell>
          <cell r="I1310">
            <v>2861</v>
          </cell>
          <cell r="J1310">
            <v>2836</v>
          </cell>
          <cell r="K1310">
            <v>2697</v>
          </cell>
        </row>
        <row r="1311">
          <cell r="A1311" t="str">
            <v>-</v>
          </cell>
          <cell r="B1311" t="str">
            <v>CERTIFICADO DE DEPOSITOS ACDO.1695 MN, BBC, BCC, EXT</v>
          </cell>
          <cell r="C1311">
            <v>0</v>
          </cell>
          <cell r="D1311">
            <v>0</v>
          </cell>
          <cell r="E1311">
            <v>0</v>
          </cell>
          <cell r="F1311">
            <v>0</v>
          </cell>
          <cell r="G1311">
            <v>0</v>
          </cell>
          <cell r="H1311">
            <v>0</v>
          </cell>
          <cell r="I1311">
            <v>0</v>
          </cell>
          <cell r="J1311">
            <v>0</v>
          </cell>
          <cell r="K1311">
            <v>0</v>
          </cell>
        </row>
        <row r="1312">
          <cell r="A1312" t="str">
            <v>-</v>
          </cell>
          <cell r="B1312" t="str">
            <v>REAJ.P.PAGAR POR CERTIFICADO DE DEPOSITOS AC.1695, BBC, BCC,</v>
          </cell>
          <cell r="C1312">
            <v>0</v>
          </cell>
          <cell r="D1312">
            <v>0</v>
          </cell>
          <cell r="E1312">
            <v>0</v>
          </cell>
          <cell r="F1312">
            <v>0</v>
          </cell>
          <cell r="G1312">
            <v>0</v>
          </cell>
          <cell r="H1312">
            <v>0</v>
          </cell>
          <cell r="I1312">
            <v>0</v>
          </cell>
          <cell r="J1312">
            <v>0</v>
          </cell>
          <cell r="K1312">
            <v>0</v>
          </cell>
        </row>
        <row r="1313">
          <cell r="A1313" t="str">
            <v>-</v>
          </cell>
          <cell r="B1313" t="str">
            <v>TIT.RECON.DEU CAP.19 COMPEN.DE NORMAS CAMB.INTERN., BBC, BCC</v>
          </cell>
          <cell r="C1313">
            <v>0</v>
          </cell>
          <cell r="D1313">
            <v>0</v>
          </cell>
          <cell r="E1313">
            <v>0</v>
          </cell>
          <cell r="F1313">
            <v>0</v>
          </cell>
          <cell r="G1313">
            <v>0</v>
          </cell>
          <cell r="H1313">
            <v>0</v>
          </cell>
          <cell r="I1313">
            <v>0</v>
          </cell>
          <cell r="J1313">
            <v>0</v>
          </cell>
          <cell r="K1313">
            <v>0</v>
          </cell>
        </row>
        <row r="1314">
          <cell r="A1314" t="str">
            <v>-</v>
          </cell>
          <cell r="B1314" t="str">
            <v>CERTIFICADOS EXPRESADOS EN UF ACDO 1691, BBC, BCC, EXT</v>
          </cell>
          <cell r="C1314">
            <v>0</v>
          </cell>
          <cell r="D1314">
            <v>0</v>
          </cell>
          <cell r="E1314">
            <v>0</v>
          </cell>
          <cell r="F1314">
            <v>0</v>
          </cell>
          <cell r="G1314">
            <v>0</v>
          </cell>
          <cell r="H1314">
            <v>0</v>
          </cell>
          <cell r="I1314">
            <v>0</v>
          </cell>
          <cell r="J1314">
            <v>0</v>
          </cell>
          <cell r="K1314">
            <v>0</v>
          </cell>
        </row>
        <row r="1315">
          <cell r="A1315" t="str">
            <v>-</v>
          </cell>
          <cell r="B1315" t="str">
            <v>REAJ.P/PAGAR POR CERTIFICADOS"EXPRESADOS UF"AC.169, BBC, BCC</v>
          </cell>
          <cell r="C1315">
            <v>0</v>
          </cell>
          <cell r="D1315">
            <v>0</v>
          </cell>
          <cell r="E1315">
            <v>0</v>
          </cell>
          <cell r="F1315">
            <v>0</v>
          </cell>
          <cell r="G1315">
            <v>0</v>
          </cell>
          <cell r="H1315">
            <v>0</v>
          </cell>
          <cell r="I1315">
            <v>0</v>
          </cell>
          <cell r="J1315">
            <v>0</v>
          </cell>
          <cell r="K1315">
            <v>0</v>
          </cell>
        </row>
        <row r="1316">
          <cell r="A1316" t="str">
            <v>-</v>
          </cell>
          <cell r="B1316" t="str">
            <v>PAGARES BC P/REPROG.DEUDAS INS.FIN.LIQ.ACDO 1589 M, BBC, BCC</v>
          </cell>
          <cell r="C1316">
            <v>0</v>
          </cell>
          <cell r="D1316">
            <v>0</v>
          </cell>
          <cell r="E1316">
            <v>0</v>
          </cell>
          <cell r="F1316">
            <v>0</v>
          </cell>
          <cell r="G1316">
            <v>0</v>
          </cell>
          <cell r="H1316">
            <v>0</v>
          </cell>
          <cell r="I1316">
            <v>0</v>
          </cell>
          <cell r="J1316">
            <v>0</v>
          </cell>
          <cell r="K1316">
            <v>0</v>
          </cell>
        </row>
        <row r="1317">
          <cell r="A1317" t="str">
            <v>-</v>
          </cell>
          <cell r="B1317" t="str">
            <v>REAJ.P/PGAR S/PAG.BC REPR.DEUD.I.FIN.LIQ.AC 1589 M, BBC, BCC</v>
          </cell>
          <cell r="C1317">
            <v>0</v>
          </cell>
          <cell r="D1317">
            <v>0</v>
          </cell>
          <cell r="E1317">
            <v>0</v>
          </cell>
          <cell r="F1317">
            <v>0</v>
          </cell>
          <cell r="G1317">
            <v>0</v>
          </cell>
          <cell r="H1317">
            <v>0</v>
          </cell>
          <cell r="I1317">
            <v>0</v>
          </cell>
          <cell r="J1317">
            <v>0</v>
          </cell>
          <cell r="K1317">
            <v>0</v>
          </cell>
        </row>
        <row r="1318">
          <cell r="A1318" t="str">
            <v>-</v>
          </cell>
          <cell r="B1318" t="str">
            <v>EFECTOS DE COMERCIO POR REDENOM.TITULOS, BBC, BCC, EXT</v>
          </cell>
          <cell r="C1318">
            <v>0</v>
          </cell>
          <cell r="D1318">
            <v>0</v>
          </cell>
          <cell r="E1318">
            <v>0</v>
          </cell>
          <cell r="F1318">
            <v>0</v>
          </cell>
          <cell r="G1318">
            <v>0</v>
          </cell>
          <cell r="H1318">
            <v>0</v>
          </cell>
          <cell r="I1318">
            <v>0</v>
          </cell>
          <cell r="J1318">
            <v>0</v>
          </cell>
          <cell r="K1318">
            <v>0</v>
          </cell>
        </row>
        <row r="1319">
          <cell r="A1319" t="str">
            <v>-</v>
          </cell>
          <cell r="B1319" t="str">
            <v>REAJ.P.PGAR.S/EFECTOS DE COM.P.REDENOM. TITULOS MN, BBC, BCC</v>
          </cell>
          <cell r="C1319">
            <v>0</v>
          </cell>
          <cell r="D1319">
            <v>0</v>
          </cell>
          <cell r="E1319">
            <v>0</v>
          </cell>
          <cell r="F1319">
            <v>0</v>
          </cell>
          <cell r="G1319">
            <v>0</v>
          </cell>
          <cell r="H1319">
            <v>0</v>
          </cell>
          <cell r="I1319">
            <v>0</v>
          </cell>
          <cell r="J1319">
            <v>0</v>
          </cell>
          <cell r="K1319">
            <v>0</v>
          </cell>
        </row>
        <row r="1320">
          <cell r="A1320" t="str">
            <v>-</v>
          </cell>
          <cell r="B1320" t="str">
            <v>PAGARES REAJ.TASA DE INTERES FLOTANTE (PTF)  MN, BBC, BCC, E</v>
          </cell>
          <cell r="C1320">
            <v>0</v>
          </cell>
          <cell r="D1320">
            <v>0</v>
          </cell>
          <cell r="E1320">
            <v>0</v>
          </cell>
          <cell r="F1320">
            <v>0</v>
          </cell>
          <cell r="G1320">
            <v>0</v>
          </cell>
          <cell r="H1320">
            <v>0</v>
          </cell>
          <cell r="I1320">
            <v>0</v>
          </cell>
          <cell r="J1320">
            <v>0</v>
          </cell>
          <cell r="K1320">
            <v>0</v>
          </cell>
        </row>
        <row r="1321">
          <cell r="A1321" t="str">
            <v>-</v>
          </cell>
          <cell r="B1321" t="str">
            <v>REAJ.P/PGAR S/PAGARES REAJ.TASA DE INTS.FLOTANTE M, BBC, BCC</v>
          </cell>
          <cell r="C1321">
            <v>0</v>
          </cell>
          <cell r="D1321">
            <v>0</v>
          </cell>
          <cell r="E1321">
            <v>0</v>
          </cell>
          <cell r="F1321">
            <v>0</v>
          </cell>
          <cell r="G1321">
            <v>0</v>
          </cell>
          <cell r="H1321">
            <v>0</v>
          </cell>
          <cell r="I1321">
            <v>0</v>
          </cell>
          <cell r="J1321">
            <v>0</v>
          </cell>
          <cell r="K1321">
            <v>0</v>
          </cell>
        </row>
        <row r="1322">
          <cell r="A1322" t="str">
            <v>-</v>
          </cell>
          <cell r="B1322" t="str">
            <v>PAGARES BCO.CENTRAL CAP.18 COMP.NOR.CAMB.INTERN. M, BBC, BCC</v>
          </cell>
          <cell r="C1322">
            <v>0</v>
          </cell>
          <cell r="D1322">
            <v>0</v>
          </cell>
          <cell r="E1322">
            <v>0</v>
          </cell>
          <cell r="F1322">
            <v>0</v>
          </cell>
          <cell r="G1322">
            <v>0</v>
          </cell>
          <cell r="H1322">
            <v>0</v>
          </cell>
          <cell r="I1322">
            <v>0</v>
          </cell>
          <cell r="J1322">
            <v>0</v>
          </cell>
          <cell r="K1322">
            <v>0</v>
          </cell>
        </row>
        <row r="1323">
          <cell r="A1323" t="str">
            <v>-</v>
          </cell>
          <cell r="B1323" t="str">
            <v>PAGARES EN UF.AC 1836 PROV.DE CERTIF.EN US$, BBC, BCC, EXT</v>
          </cell>
          <cell r="C1323">
            <v>0</v>
          </cell>
          <cell r="D1323">
            <v>0</v>
          </cell>
          <cell r="E1323">
            <v>0</v>
          </cell>
          <cell r="F1323">
            <v>0</v>
          </cell>
          <cell r="G1323">
            <v>0</v>
          </cell>
          <cell r="H1323">
            <v>0</v>
          </cell>
          <cell r="I1323">
            <v>0</v>
          </cell>
          <cell r="J1323">
            <v>0</v>
          </cell>
          <cell r="K1323">
            <v>0</v>
          </cell>
        </row>
        <row r="1324">
          <cell r="A1324" t="str">
            <v>-</v>
          </cell>
          <cell r="B1324" t="str">
            <v>REAJ.P.PAGAR POR PAGARES EN UF ACDO.1836, BBC, BCC, EXT</v>
          </cell>
          <cell r="C1324">
            <v>0</v>
          </cell>
          <cell r="D1324">
            <v>0</v>
          </cell>
          <cell r="E1324">
            <v>0</v>
          </cell>
          <cell r="F1324">
            <v>0</v>
          </cell>
          <cell r="G1324">
            <v>0</v>
          </cell>
          <cell r="H1324">
            <v>0</v>
          </cell>
          <cell r="I1324">
            <v>0</v>
          </cell>
          <cell r="J1324">
            <v>0</v>
          </cell>
          <cell r="K1324">
            <v>0</v>
          </cell>
        </row>
        <row r="1325">
          <cell r="A1325" t="str">
            <v>-</v>
          </cell>
          <cell r="B1325" t="str">
            <v>PAGARES BC POR REPAC.SALDOS DE PRECIO C/BECH MN, BBC, BCC, E</v>
          </cell>
          <cell r="C1325">
            <v>0</v>
          </cell>
          <cell r="D1325">
            <v>0</v>
          </cell>
          <cell r="E1325">
            <v>0</v>
          </cell>
          <cell r="F1325">
            <v>0</v>
          </cell>
          <cell r="G1325">
            <v>0</v>
          </cell>
          <cell r="H1325">
            <v>0</v>
          </cell>
          <cell r="I1325">
            <v>0</v>
          </cell>
          <cell r="J1325">
            <v>0</v>
          </cell>
          <cell r="K1325">
            <v>0</v>
          </cell>
        </row>
        <row r="1326">
          <cell r="A1326" t="str">
            <v>-</v>
          </cell>
          <cell r="B1326" t="str">
            <v>REAJ.P.PAGAR POR SALDOS DE PRECIO C/BCO.ESTADO MN, BBC, BCC,</v>
          </cell>
          <cell r="C1326">
            <v>0</v>
          </cell>
          <cell r="D1326">
            <v>0</v>
          </cell>
          <cell r="E1326">
            <v>0</v>
          </cell>
          <cell r="F1326">
            <v>0</v>
          </cell>
          <cell r="G1326">
            <v>0</v>
          </cell>
          <cell r="H1326">
            <v>0</v>
          </cell>
          <cell r="I1326">
            <v>0</v>
          </cell>
          <cell r="J1326">
            <v>0</v>
          </cell>
          <cell r="K1326">
            <v>0</v>
          </cell>
        </row>
        <row r="1327">
          <cell r="A1327" t="str">
            <v>-</v>
          </cell>
          <cell r="B1327" t="str">
            <v>PAGARES UF BECH P.DEUDAS ASUMIDAS BUF-BHC AC.91, BBC, BCC, E</v>
          </cell>
          <cell r="C1327">
            <v>0</v>
          </cell>
          <cell r="D1327">
            <v>0</v>
          </cell>
          <cell r="E1327">
            <v>0</v>
          </cell>
          <cell r="F1327">
            <v>0</v>
          </cell>
          <cell r="G1327">
            <v>0</v>
          </cell>
          <cell r="H1327">
            <v>0</v>
          </cell>
          <cell r="I1327">
            <v>0</v>
          </cell>
          <cell r="J1327">
            <v>0</v>
          </cell>
          <cell r="K1327">
            <v>0</v>
          </cell>
        </row>
        <row r="1328">
          <cell r="A1328" t="str">
            <v>-</v>
          </cell>
          <cell r="B1328" t="str">
            <v>REAJ.PAG.UF BECH P.DEUDAS ASUMID. BUF-BHC AC.91, BBC, BCC, E</v>
          </cell>
          <cell r="C1328">
            <v>0</v>
          </cell>
          <cell r="D1328">
            <v>0</v>
          </cell>
          <cell r="E1328">
            <v>0</v>
          </cell>
          <cell r="F1328">
            <v>0</v>
          </cell>
          <cell r="G1328">
            <v>0</v>
          </cell>
          <cell r="H1328">
            <v>0</v>
          </cell>
          <cell r="I1328">
            <v>0</v>
          </cell>
          <cell r="J1328">
            <v>0</v>
          </cell>
          <cell r="K1328">
            <v>0</v>
          </cell>
        </row>
        <row r="1329">
          <cell r="A1329" t="str">
            <v>-</v>
          </cell>
          <cell r="B1329" t="str">
            <v>PAGARE CAPITULO XIV C.N.C.I., BBC, BCC, EXT</v>
          </cell>
          <cell r="C1329">
            <v>0</v>
          </cell>
          <cell r="D1329">
            <v>0</v>
          </cell>
          <cell r="E1329">
            <v>0</v>
          </cell>
          <cell r="F1329">
            <v>0</v>
          </cell>
          <cell r="G1329">
            <v>0</v>
          </cell>
          <cell r="H1329">
            <v>0</v>
          </cell>
          <cell r="I1329">
            <v>0</v>
          </cell>
          <cell r="J1329">
            <v>0</v>
          </cell>
          <cell r="K1329">
            <v>0</v>
          </cell>
        </row>
        <row r="1330">
          <cell r="A1330" t="str">
            <v>14BIWZN</v>
          </cell>
          <cell r="B1330" t="str">
            <v xml:space="preserve">  .OTROS PASIVOS INTERNOS MN</v>
          </cell>
          <cell r="C1330">
            <v>188715</v>
          </cell>
          <cell r="D1330">
            <v>201109</v>
          </cell>
          <cell r="E1330">
            <v>178115</v>
          </cell>
          <cell r="F1330">
            <v>183074</v>
          </cell>
          <cell r="G1330">
            <v>194527</v>
          </cell>
          <cell r="H1330">
            <v>192028</v>
          </cell>
          <cell r="I1330">
            <v>205026</v>
          </cell>
          <cell r="J1330">
            <v>210827</v>
          </cell>
          <cell r="K1330">
            <v>177764</v>
          </cell>
        </row>
        <row r="1331">
          <cell r="A1331" t="str">
            <v>14GJNZN</v>
          </cell>
          <cell r="B1331" t="str">
            <v>INTS.P..PAGAR S/OPERAC. INTERNAS ME, BBC, BCC, NAC</v>
          </cell>
          <cell r="C1331">
            <v>168279</v>
          </cell>
          <cell r="D1331">
            <v>180217</v>
          </cell>
          <cell r="E1331">
            <v>156731</v>
          </cell>
          <cell r="F1331">
            <v>161630</v>
          </cell>
          <cell r="G1331">
            <v>173890</v>
          </cell>
          <cell r="H1331">
            <v>171150</v>
          </cell>
          <cell r="I1331">
            <v>184222</v>
          </cell>
          <cell r="J1331">
            <v>189814</v>
          </cell>
          <cell r="K1331">
            <v>156557</v>
          </cell>
        </row>
        <row r="1332">
          <cell r="A1332" t="str">
            <v>17CENZN</v>
          </cell>
          <cell r="B1332" t="str">
            <v>INT.P.PAGAR S.OBLIG.FISCO P.ADM.LC PR.ORG.INTERN.M, BBC, BCC</v>
          </cell>
          <cell r="C1332">
            <v>0</v>
          </cell>
          <cell r="D1332">
            <v>0</v>
          </cell>
          <cell r="E1332">
            <v>0</v>
          </cell>
          <cell r="F1332">
            <v>0</v>
          </cell>
          <cell r="G1332">
            <v>0</v>
          </cell>
          <cell r="H1332">
            <v>0</v>
          </cell>
          <cell r="I1332">
            <v>0</v>
          </cell>
          <cell r="J1332">
            <v>0</v>
          </cell>
          <cell r="K1332">
            <v>0</v>
          </cell>
        </row>
        <row r="1333">
          <cell r="A1333" t="str">
            <v>17CNNZN</v>
          </cell>
          <cell r="B1333" t="str">
            <v xml:space="preserve">INTS.P/PAGAR S/OBLIG.FISCO ORG.INT.BCO.ESTADO MN, BBC, BCC, </v>
          </cell>
          <cell r="C1333">
            <v>0</v>
          </cell>
          <cell r="D1333">
            <v>0</v>
          </cell>
          <cell r="E1333">
            <v>0</v>
          </cell>
          <cell r="F1333">
            <v>0</v>
          </cell>
          <cell r="G1333">
            <v>0</v>
          </cell>
          <cell r="H1333">
            <v>0</v>
          </cell>
          <cell r="I1333">
            <v>0</v>
          </cell>
          <cell r="J1333">
            <v>0</v>
          </cell>
          <cell r="K1333">
            <v>0</v>
          </cell>
        </row>
        <row r="1334">
          <cell r="A1334" t="str">
            <v>17CPNZN</v>
          </cell>
          <cell r="B1334" t="str">
            <v xml:space="preserve">INTS.P/PAGAR S/OBLIG.FISCO ORG.INT.OTRAS INST.ME, BBC, BCC, </v>
          </cell>
          <cell r="C1334">
            <v>19636</v>
          </cell>
          <cell r="D1334">
            <v>19791</v>
          </cell>
          <cell r="E1334">
            <v>19952</v>
          </cell>
          <cell r="F1334">
            <v>20117</v>
          </cell>
          <cell r="G1334">
            <v>20279</v>
          </cell>
          <cell r="H1334">
            <v>20445</v>
          </cell>
          <cell r="I1334">
            <v>20606</v>
          </cell>
          <cell r="J1334">
            <v>20773</v>
          </cell>
          <cell r="K1334">
            <v>20939</v>
          </cell>
        </row>
        <row r="1335">
          <cell r="A1335" t="str">
            <v>17CRNZN</v>
          </cell>
          <cell r="B1335" t="str">
            <v xml:space="preserve">INTS.P/PAGAR S/OBLIG.FISCO ORG.INT.INS.SEMIF. MN, BBC, BCC, </v>
          </cell>
          <cell r="C1335">
            <v>17</v>
          </cell>
          <cell r="D1335">
            <v>14</v>
          </cell>
          <cell r="E1335">
            <v>16</v>
          </cell>
          <cell r="F1335">
            <v>15</v>
          </cell>
          <cell r="G1335">
            <v>16</v>
          </cell>
          <cell r="H1335">
            <v>14</v>
          </cell>
          <cell r="I1335">
            <v>15</v>
          </cell>
          <cell r="J1335">
            <v>14</v>
          </cell>
          <cell r="K1335">
            <v>0</v>
          </cell>
        </row>
        <row r="1336">
          <cell r="A1336" t="str">
            <v>17CTNZN</v>
          </cell>
          <cell r="B1336" t="str">
            <v>INTS.P/PAGAR S/PAGARES REAJ.P/INTS.S/ENCAJE MN, BBC, BCC, NA</v>
          </cell>
          <cell r="C1336">
            <v>0</v>
          </cell>
          <cell r="D1336">
            <v>0</v>
          </cell>
          <cell r="E1336">
            <v>0</v>
          </cell>
          <cell r="F1336">
            <v>0</v>
          </cell>
          <cell r="G1336">
            <v>0</v>
          </cell>
          <cell r="H1336">
            <v>0</v>
          </cell>
          <cell r="I1336">
            <v>0</v>
          </cell>
          <cell r="J1336">
            <v>0</v>
          </cell>
          <cell r="K1336">
            <v>0</v>
          </cell>
        </row>
        <row r="1337">
          <cell r="A1337" t="str">
            <v>17CQNZN</v>
          </cell>
          <cell r="B1337" t="str">
            <v>INT.P.PAGAR P.PAGARES EN DOLARES BCO.CENTRAL CHILE, BBC, BCC</v>
          </cell>
          <cell r="C1337">
            <v>0</v>
          </cell>
          <cell r="D1337">
            <v>0</v>
          </cell>
          <cell r="E1337">
            <v>0</v>
          </cell>
          <cell r="F1337">
            <v>0</v>
          </cell>
          <cell r="G1337">
            <v>0</v>
          </cell>
          <cell r="H1337">
            <v>0</v>
          </cell>
          <cell r="I1337">
            <v>0</v>
          </cell>
          <cell r="J1337">
            <v>0</v>
          </cell>
          <cell r="K1337">
            <v>0</v>
          </cell>
        </row>
        <row r="1338">
          <cell r="A1338" t="str">
            <v>17CZNZN</v>
          </cell>
          <cell r="B1338" t="str">
            <v>INTERESES P.PAGAR S.PAGARES P.DIF.CAMBIARIO AC 148, BBC, BCC</v>
          </cell>
          <cell r="C1338">
            <v>3</v>
          </cell>
          <cell r="D1338">
            <v>3</v>
          </cell>
          <cell r="E1338">
            <v>3</v>
          </cell>
          <cell r="F1338">
            <v>3</v>
          </cell>
          <cell r="G1338">
            <v>3</v>
          </cell>
          <cell r="H1338">
            <v>3</v>
          </cell>
          <cell r="I1338">
            <v>3</v>
          </cell>
          <cell r="J1338">
            <v>3</v>
          </cell>
          <cell r="K1338">
            <v>3</v>
          </cell>
        </row>
        <row r="1339">
          <cell r="A1339" t="str">
            <v>17EFNZN</v>
          </cell>
          <cell r="B1339" t="str">
            <v>COMISIONES POR PAGAR POR OPS.INTERNAS MN, BBC, BCC, NAC</v>
          </cell>
          <cell r="C1339">
            <v>0</v>
          </cell>
          <cell r="D1339">
            <v>0</v>
          </cell>
          <cell r="E1339">
            <v>0</v>
          </cell>
          <cell r="F1339">
            <v>0</v>
          </cell>
          <cell r="G1339">
            <v>0</v>
          </cell>
          <cell r="H1339">
            <v>0</v>
          </cell>
          <cell r="I1339">
            <v>0</v>
          </cell>
          <cell r="J1339">
            <v>0</v>
          </cell>
          <cell r="K1339">
            <v>0</v>
          </cell>
        </row>
        <row r="1340">
          <cell r="A1340" t="str">
            <v>17EGNZN</v>
          </cell>
          <cell r="B1340" t="str">
            <v>INTS.P.PAGAR P.CERTIF.DEP.INTRANS.EXP.EN US$ ME, BBC, BCC, N</v>
          </cell>
          <cell r="C1340">
            <v>4</v>
          </cell>
          <cell r="D1340">
            <v>9</v>
          </cell>
          <cell r="E1340">
            <v>13</v>
          </cell>
          <cell r="F1340">
            <v>17</v>
          </cell>
          <cell r="G1340">
            <v>21</v>
          </cell>
          <cell r="H1340">
            <v>25</v>
          </cell>
          <cell r="I1340">
            <v>3</v>
          </cell>
          <cell r="J1340">
            <v>5</v>
          </cell>
          <cell r="K1340">
            <v>8</v>
          </cell>
        </row>
        <row r="1341">
          <cell r="A1341" t="str">
            <v>17EHNZN</v>
          </cell>
          <cell r="B1341" t="str">
            <v>DIFERENCIAS DE PRECIOS POR PAGAR MN, BBC, BCC, NAC</v>
          </cell>
          <cell r="C1341">
            <v>0</v>
          </cell>
          <cell r="D1341">
            <v>0</v>
          </cell>
          <cell r="E1341">
            <v>0</v>
          </cell>
          <cell r="F1341">
            <v>0</v>
          </cell>
          <cell r="G1341">
            <v>0</v>
          </cell>
          <cell r="H1341">
            <v>0</v>
          </cell>
          <cell r="I1341">
            <v>0</v>
          </cell>
          <cell r="J1341">
            <v>0</v>
          </cell>
          <cell r="K1341">
            <v>0</v>
          </cell>
        </row>
        <row r="1342">
          <cell r="A1342" t="str">
            <v>17EJNZN</v>
          </cell>
          <cell r="B1342" t="str">
            <v>INTS.P.PAGAR S.CERTIFICADOS DE DEPOSITOS AC.1695 M, BBC, BCC</v>
          </cell>
          <cell r="C1342">
            <v>0</v>
          </cell>
          <cell r="D1342">
            <v>0</v>
          </cell>
          <cell r="E1342">
            <v>0</v>
          </cell>
          <cell r="F1342">
            <v>0</v>
          </cell>
          <cell r="G1342">
            <v>0</v>
          </cell>
          <cell r="H1342">
            <v>0</v>
          </cell>
          <cell r="I1342">
            <v>0</v>
          </cell>
          <cell r="J1342">
            <v>0</v>
          </cell>
          <cell r="K1342">
            <v>0</v>
          </cell>
        </row>
        <row r="1343">
          <cell r="A1343" t="str">
            <v>17EKNZN</v>
          </cell>
          <cell r="B1343" t="str">
            <v>INT.P/PAGAR POR CERTIFICADOS EXPRESADOS UF AC.1691, BBC, BCC</v>
          </cell>
          <cell r="C1343">
            <v>0</v>
          </cell>
          <cell r="D1343">
            <v>0</v>
          </cell>
          <cell r="E1343">
            <v>0</v>
          </cell>
          <cell r="F1343">
            <v>0</v>
          </cell>
          <cell r="G1343">
            <v>0</v>
          </cell>
          <cell r="H1343">
            <v>0</v>
          </cell>
          <cell r="I1343">
            <v>0</v>
          </cell>
          <cell r="J1343">
            <v>0</v>
          </cell>
          <cell r="K1343">
            <v>0</v>
          </cell>
        </row>
        <row r="1344">
          <cell r="A1344" t="str">
            <v>17EMNZN</v>
          </cell>
          <cell r="B1344" t="str">
            <v>INTS.P/PAGAR POR DEPOSITOS DE RESERVA TECNICA, BBC, BCC, NAC</v>
          </cell>
          <cell r="C1344">
            <v>0</v>
          </cell>
          <cell r="D1344">
            <v>0</v>
          </cell>
          <cell r="E1344">
            <v>0</v>
          </cell>
          <cell r="F1344">
            <v>0</v>
          </cell>
          <cell r="G1344">
            <v>0</v>
          </cell>
          <cell r="H1344">
            <v>0</v>
          </cell>
          <cell r="I1344">
            <v>0</v>
          </cell>
          <cell r="J1344">
            <v>0</v>
          </cell>
          <cell r="K1344">
            <v>0</v>
          </cell>
        </row>
        <row r="1345">
          <cell r="A1345" t="str">
            <v>17EPNZN</v>
          </cell>
          <cell r="B1345" t="str">
            <v>INTS.P.PAGAR SOBRE SALDOS EN CUENTAS ESPECIALES ME, BBC, BCC</v>
          </cell>
          <cell r="C1345">
            <v>776</v>
          </cell>
          <cell r="D1345">
            <v>1075</v>
          </cell>
          <cell r="E1345">
            <v>1400</v>
          </cell>
          <cell r="F1345">
            <v>1292</v>
          </cell>
          <cell r="G1345">
            <v>318</v>
          </cell>
          <cell r="H1345">
            <v>391</v>
          </cell>
          <cell r="I1345">
            <v>177</v>
          </cell>
          <cell r="J1345">
            <v>218</v>
          </cell>
          <cell r="K1345">
            <v>257</v>
          </cell>
        </row>
        <row r="1346">
          <cell r="A1346" t="str">
            <v>17ETNZN</v>
          </cell>
          <cell r="B1346" t="str">
            <v>INTS.P.PAGAR POR PAGARES EN UF ACDO.1836, BBC, BCC, NAC</v>
          </cell>
          <cell r="C1346">
            <v>0</v>
          </cell>
          <cell r="D1346">
            <v>0</v>
          </cell>
          <cell r="E1346">
            <v>0</v>
          </cell>
          <cell r="F1346">
            <v>0</v>
          </cell>
          <cell r="G1346">
            <v>0</v>
          </cell>
          <cell r="H1346">
            <v>0</v>
          </cell>
          <cell r="I1346">
            <v>0</v>
          </cell>
          <cell r="J1346">
            <v>0</v>
          </cell>
          <cell r="K1346">
            <v>0</v>
          </cell>
        </row>
        <row r="1347">
          <cell r="A1347" t="str">
            <v>17EONZN</v>
          </cell>
          <cell r="B1347" t="str">
            <v>INTS.P.PAG.S.PAG.UF BECH DEU.ASUM.BUF-BHC AC.91, BBC, BCC, N</v>
          </cell>
          <cell r="C1347">
            <v>0</v>
          </cell>
          <cell r="D1347">
            <v>0</v>
          </cell>
          <cell r="E1347">
            <v>0</v>
          </cell>
          <cell r="F1347">
            <v>0</v>
          </cell>
          <cell r="G1347">
            <v>0</v>
          </cell>
          <cell r="H1347">
            <v>0</v>
          </cell>
          <cell r="I1347">
            <v>0</v>
          </cell>
          <cell r="J1347">
            <v>0</v>
          </cell>
          <cell r="K1347">
            <v>0</v>
          </cell>
        </row>
        <row r="1348">
          <cell r="A1348" t="str">
            <v>14BIXZN</v>
          </cell>
          <cell r="B1348" t="str">
            <v xml:space="preserve">  .OTROS PASIVOS INTERNOS ME</v>
          </cell>
          <cell r="C1348">
            <v>707</v>
          </cell>
          <cell r="D1348">
            <v>1168</v>
          </cell>
          <cell r="E1348">
            <v>1772</v>
          </cell>
          <cell r="F1348">
            <v>243</v>
          </cell>
          <cell r="G1348">
            <v>30</v>
          </cell>
          <cell r="H1348">
            <v>4</v>
          </cell>
          <cell r="I1348">
            <v>3</v>
          </cell>
          <cell r="J1348">
            <v>4</v>
          </cell>
          <cell r="K1348">
            <v>6</v>
          </cell>
        </row>
        <row r="1349">
          <cell r="A1349" t="str">
            <v>14GJEZN</v>
          </cell>
          <cell r="B1349" t="str">
            <v>INTS.P..PAGAR S/OPERAC. INTERNAS ME, BBC, BCC, EXT</v>
          </cell>
          <cell r="C1349">
            <v>233</v>
          </cell>
          <cell r="D1349">
            <v>209</v>
          </cell>
          <cell r="E1349">
            <v>242</v>
          </cell>
          <cell r="F1349">
            <v>238</v>
          </cell>
          <cell r="G1349">
            <v>14</v>
          </cell>
          <cell r="H1349">
            <v>2</v>
          </cell>
          <cell r="I1349">
            <v>3</v>
          </cell>
          <cell r="J1349">
            <v>4</v>
          </cell>
          <cell r="K1349">
            <v>6</v>
          </cell>
        </row>
        <row r="1350">
          <cell r="A1350" t="str">
            <v>17CEEZN</v>
          </cell>
          <cell r="B1350" t="str">
            <v>INT.P.PAGAR S.OBLIG.FISCO P.ADM.LC PR.ORG.INTERN.M, BBC, BCC</v>
          </cell>
          <cell r="C1350">
            <v>0</v>
          </cell>
          <cell r="D1350">
            <v>0</v>
          </cell>
          <cell r="E1350">
            <v>0</v>
          </cell>
          <cell r="F1350">
            <v>0</v>
          </cell>
          <cell r="G1350">
            <v>0</v>
          </cell>
          <cell r="H1350">
            <v>0</v>
          </cell>
          <cell r="I1350">
            <v>0</v>
          </cell>
          <cell r="J1350">
            <v>0</v>
          </cell>
          <cell r="K1350">
            <v>0</v>
          </cell>
        </row>
        <row r="1351">
          <cell r="A1351" t="str">
            <v>-</v>
          </cell>
          <cell r="B1351" t="str">
            <v xml:space="preserve">INTS.P/PAGAR S/OBLIG.FISCO ORG.INT.BCO.ESTADO MN, BBC, BCC, </v>
          </cell>
          <cell r="C1351">
            <v>0</v>
          </cell>
          <cell r="D1351">
            <v>0</v>
          </cell>
          <cell r="E1351">
            <v>0</v>
          </cell>
          <cell r="F1351">
            <v>0</v>
          </cell>
          <cell r="G1351">
            <v>0</v>
          </cell>
          <cell r="H1351">
            <v>0</v>
          </cell>
          <cell r="I1351">
            <v>0</v>
          </cell>
          <cell r="J1351">
            <v>0</v>
          </cell>
          <cell r="K1351">
            <v>0</v>
          </cell>
        </row>
        <row r="1352">
          <cell r="A1352" t="str">
            <v>17CPEZN</v>
          </cell>
          <cell r="B1352" t="str">
            <v xml:space="preserve">INTS.P/PAGAR S/OBLIG.FISCO ORG.INT.OTRAS INST.ME, BBC, BCC, </v>
          </cell>
          <cell r="C1352">
            <v>0</v>
          </cell>
          <cell r="D1352">
            <v>0</v>
          </cell>
          <cell r="E1352">
            <v>0</v>
          </cell>
          <cell r="F1352">
            <v>0</v>
          </cell>
          <cell r="G1352">
            <v>0</v>
          </cell>
          <cell r="H1352">
            <v>0</v>
          </cell>
          <cell r="I1352">
            <v>0</v>
          </cell>
          <cell r="J1352">
            <v>0</v>
          </cell>
          <cell r="K1352">
            <v>0</v>
          </cell>
        </row>
        <row r="1353">
          <cell r="A1353" t="str">
            <v>-</v>
          </cell>
          <cell r="B1353" t="str">
            <v xml:space="preserve">INTS.P/PAGAR S/OBLIG.FISCO ORG.INT.INS.SEMIF. MN, BBC, BCC, </v>
          </cell>
          <cell r="C1353">
            <v>0</v>
          </cell>
          <cell r="D1353">
            <v>0</v>
          </cell>
          <cell r="E1353">
            <v>0</v>
          </cell>
          <cell r="F1353">
            <v>0</v>
          </cell>
          <cell r="G1353">
            <v>0</v>
          </cell>
          <cell r="H1353">
            <v>0</v>
          </cell>
          <cell r="I1353">
            <v>0</v>
          </cell>
          <cell r="J1353">
            <v>0</v>
          </cell>
          <cell r="K1353">
            <v>0</v>
          </cell>
        </row>
        <row r="1354">
          <cell r="A1354" t="str">
            <v>-</v>
          </cell>
          <cell r="B1354" t="str">
            <v>INTS.P/PAGAR S/PAGARES REAJ.P/INTS.S/ENCAJE MN, BBC, BCC, EX</v>
          </cell>
          <cell r="C1354">
            <v>0</v>
          </cell>
          <cell r="D1354">
            <v>0</v>
          </cell>
          <cell r="E1354">
            <v>0</v>
          </cell>
          <cell r="F1354">
            <v>0</v>
          </cell>
          <cell r="G1354">
            <v>0</v>
          </cell>
          <cell r="H1354">
            <v>0</v>
          </cell>
          <cell r="I1354">
            <v>0</v>
          </cell>
          <cell r="J1354">
            <v>0</v>
          </cell>
          <cell r="K1354">
            <v>0</v>
          </cell>
        </row>
        <row r="1355">
          <cell r="A1355" t="str">
            <v>17CQEZN</v>
          </cell>
          <cell r="B1355" t="str">
            <v>INT.P.PAGAR P.PAGARES EN DOLARES BCO.CENTRAL CHILE, BBC, BCC</v>
          </cell>
          <cell r="C1355">
            <v>0</v>
          </cell>
          <cell r="D1355">
            <v>0</v>
          </cell>
          <cell r="E1355">
            <v>0</v>
          </cell>
          <cell r="F1355">
            <v>0</v>
          </cell>
          <cell r="G1355">
            <v>0</v>
          </cell>
          <cell r="H1355">
            <v>0</v>
          </cell>
          <cell r="I1355">
            <v>0</v>
          </cell>
          <cell r="J1355">
            <v>0</v>
          </cell>
          <cell r="K1355">
            <v>0</v>
          </cell>
        </row>
        <row r="1356">
          <cell r="A1356" t="str">
            <v>-</v>
          </cell>
          <cell r="B1356" t="str">
            <v>INTERESES P.PAGAR S.PAGARES P.DIF.CAMBIARIO AC 148, BBC, BCC</v>
          </cell>
          <cell r="C1356">
            <v>0</v>
          </cell>
          <cell r="D1356">
            <v>0</v>
          </cell>
          <cell r="E1356">
            <v>0</v>
          </cell>
          <cell r="F1356">
            <v>0</v>
          </cell>
          <cell r="G1356">
            <v>0</v>
          </cell>
          <cell r="H1356">
            <v>0</v>
          </cell>
          <cell r="I1356">
            <v>0</v>
          </cell>
          <cell r="J1356">
            <v>0</v>
          </cell>
          <cell r="K1356">
            <v>0</v>
          </cell>
        </row>
        <row r="1357">
          <cell r="A1357" t="str">
            <v>-</v>
          </cell>
          <cell r="B1357" t="str">
            <v>COMISIONES POR PAGAR POR OPS.INTERNAS MN, BBC, BCC, EXT</v>
          </cell>
          <cell r="C1357">
            <v>0</v>
          </cell>
          <cell r="D1357">
            <v>0</v>
          </cell>
          <cell r="E1357">
            <v>0</v>
          </cell>
          <cell r="F1357">
            <v>0</v>
          </cell>
          <cell r="G1357">
            <v>0</v>
          </cell>
          <cell r="H1357">
            <v>0</v>
          </cell>
          <cell r="I1357">
            <v>0</v>
          </cell>
          <cell r="J1357">
            <v>0</v>
          </cell>
          <cell r="K1357">
            <v>0</v>
          </cell>
        </row>
        <row r="1358">
          <cell r="A1358" t="str">
            <v>17EGEZN</v>
          </cell>
          <cell r="B1358" t="str">
            <v>INTS.P.PAGAR P.CERTIF.DEP.INTRANS.EXP.EN US$ ME, BBC, BCC, E</v>
          </cell>
          <cell r="C1358">
            <v>0</v>
          </cell>
          <cell r="D1358">
            <v>0</v>
          </cell>
          <cell r="E1358">
            <v>0</v>
          </cell>
          <cell r="F1358">
            <v>0</v>
          </cell>
          <cell r="G1358">
            <v>0</v>
          </cell>
          <cell r="H1358">
            <v>0</v>
          </cell>
          <cell r="I1358">
            <v>0</v>
          </cell>
          <cell r="J1358">
            <v>0</v>
          </cell>
          <cell r="K1358">
            <v>0</v>
          </cell>
        </row>
        <row r="1359">
          <cell r="A1359" t="str">
            <v>-</v>
          </cell>
          <cell r="B1359" t="str">
            <v>DIFERENCIAS DE PRECIOS POR PAGAR MN, BBC, BCC, EXT</v>
          </cell>
          <cell r="C1359">
            <v>0</v>
          </cell>
          <cell r="D1359">
            <v>0</v>
          </cell>
          <cell r="E1359">
            <v>0</v>
          </cell>
          <cell r="F1359">
            <v>0</v>
          </cell>
          <cell r="G1359">
            <v>0</v>
          </cell>
          <cell r="H1359">
            <v>0</v>
          </cell>
          <cell r="I1359">
            <v>0</v>
          </cell>
          <cell r="J1359">
            <v>0</v>
          </cell>
          <cell r="K1359">
            <v>0</v>
          </cell>
        </row>
        <row r="1360">
          <cell r="A1360" t="str">
            <v>-</v>
          </cell>
          <cell r="B1360" t="str">
            <v>INTS.P.PAGAR S.CERTIFICADOS DE DEPOSITOS AC.1695 M, BBC, BCC</v>
          </cell>
          <cell r="C1360">
            <v>0</v>
          </cell>
          <cell r="D1360">
            <v>0</v>
          </cell>
          <cell r="E1360">
            <v>0</v>
          </cell>
          <cell r="F1360">
            <v>0</v>
          </cell>
          <cell r="G1360">
            <v>0</v>
          </cell>
          <cell r="H1360">
            <v>0</v>
          </cell>
          <cell r="I1360">
            <v>0</v>
          </cell>
          <cell r="J1360">
            <v>0</v>
          </cell>
          <cell r="K1360">
            <v>0</v>
          </cell>
        </row>
        <row r="1361">
          <cell r="A1361" t="str">
            <v>-</v>
          </cell>
          <cell r="B1361" t="str">
            <v>INT.P/PAGAR POR CERTIFICADOS EXPRESADOS UF AC.1691, BBC, BCC</v>
          </cell>
          <cell r="C1361">
            <v>0</v>
          </cell>
          <cell r="D1361">
            <v>0</v>
          </cell>
          <cell r="E1361">
            <v>0</v>
          </cell>
          <cell r="F1361">
            <v>0</v>
          </cell>
          <cell r="G1361">
            <v>0</v>
          </cell>
          <cell r="H1361">
            <v>0</v>
          </cell>
          <cell r="I1361">
            <v>0</v>
          </cell>
          <cell r="J1361">
            <v>0</v>
          </cell>
          <cell r="K1361">
            <v>0</v>
          </cell>
        </row>
        <row r="1362">
          <cell r="A1362" t="str">
            <v>-</v>
          </cell>
          <cell r="B1362" t="str">
            <v>INTS.P/PAGAR POR DEPOSITOS DE RESERVA TECNICA, BBC, BCC, EXT</v>
          </cell>
          <cell r="C1362">
            <v>0</v>
          </cell>
          <cell r="D1362">
            <v>0</v>
          </cell>
          <cell r="E1362">
            <v>0</v>
          </cell>
          <cell r="F1362">
            <v>0</v>
          </cell>
          <cell r="G1362">
            <v>0</v>
          </cell>
          <cell r="H1362">
            <v>0</v>
          </cell>
          <cell r="I1362">
            <v>0</v>
          </cell>
          <cell r="J1362">
            <v>0</v>
          </cell>
          <cell r="K1362">
            <v>0</v>
          </cell>
        </row>
        <row r="1363">
          <cell r="A1363" t="str">
            <v>17EPEZN</v>
          </cell>
          <cell r="B1363" t="str">
            <v>INTS.P.PAGAR SOBRE SALDOS EN CUENTAS ESPECIALES ME, BBC, BCC</v>
          </cell>
          <cell r="C1363">
            <v>474</v>
          </cell>
          <cell r="D1363">
            <v>959</v>
          </cell>
          <cell r="E1363">
            <v>1530</v>
          </cell>
          <cell r="F1363">
            <v>5</v>
          </cell>
          <cell r="G1363">
            <v>16</v>
          </cell>
          <cell r="H1363">
            <v>2</v>
          </cell>
          <cell r="I1363">
            <v>0</v>
          </cell>
          <cell r="J1363">
            <v>0</v>
          </cell>
          <cell r="K1363">
            <v>0</v>
          </cell>
        </row>
        <row r="1364">
          <cell r="A1364" t="str">
            <v>-</v>
          </cell>
          <cell r="B1364" t="str">
            <v>INTS.P.PAGAR POR PAGARES EN UF ACDO.1836, BBC, BCC, EXT</v>
          </cell>
          <cell r="C1364">
            <v>0</v>
          </cell>
          <cell r="D1364">
            <v>0</v>
          </cell>
          <cell r="E1364">
            <v>0</v>
          </cell>
          <cell r="F1364">
            <v>0</v>
          </cell>
          <cell r="G1364">
            <v>0</v>
          </cell>
          <cell r="H1364">
            <v>0</v>
          </cell>
          <cell r="I1364">
            <v>0</v>
          </cell>
          <cell r="J1364">
            <v>0</v>
          </cell>
          <cell r="K1364">
            <v>0</v>
          </cell>
        </row>
        <row r="1365">
          <cell r="A1365" t="str">
            <v>-</v>
          </cell>
          <cell r="B1365" t="str">
            <v>INTS.P.PAG.S.PAG.UF BECH DEU.ASUM.BUF-BHC AC.91, BBC, BCC, E</v>
          </cell>
          <cell r="C1365">
            <v>0</v>
          </cell>
          <cell r="D1365">
            <v>0</v>
          </cell>
          <cell r="E1365">
            <v>0</v>
          </cell>
          <cell r="F1365">
            <v>0</v>
          </cell>
          <cell r="G1365">
            <v>0</v>
          </cell>
          <cell r="H1365">
            <v>0</v>
          </cell>
          <cell r="I1365">
            <v>0</v>
          </cell>
          <cell r="J1365">
            <v>0</v>
          </cell>
          <cell r="K1365">
            <v>0</v>
          </cell>
        </row>
        <row r="1366">
          <cell r="A1366" t="str">
            <v>14BJWZN</v>
          </cell>
          <cell r="B1366" t="str">
            <v xml:space="preserve">  .CUENTAS DIVERSAS MN</v>
          </cell>
          <cell r="C1366">
            <v>191544</v>
          </cell>
          <cell r="D1366">
            <v>200784</v>
          </cell>
          <cell r="E1366">
            <v>207234</v>
          </cell>
          <cell r="F1366">
            <v>219121</v>
          </cell>
          <cell r="G1366">
            <v>229238</v>
          </cell>
          <cell r="H1366">
            <v>235539</v>
          </cell>
          <cell r="I1366">
            <v>240955</v>
          </cell>
          <cell r="J1366">
            <v>245285</v>
          </cell>
          <cell r="K1366">
            <v>246257</v>
          </cell>
        </row>
        <row r="1367">
          <cell r="A1367" t="str">
            <v>17BBNZN</v>
          </cell>
          <cell r="B1367" t="str">
            <v>OPERAC. PENDIENTES  ME, BBC, BCC, NAC</v>
          </cell>
          <cell r="C1367">
            <v>197</v>
          </cell>
          <cell r="D1367">
            <v>198</v>
          </cell>
          <cell r="E1367">
            <v>202</v>
          </cell>
          <cell r="F1367">
            <v>206</v>
          </cell>
          <cell r="G1367">
            <v>211</v>
          </cell>
          <cell r="H1367">
            <v>220</v>
          </cell>
          <cell r="I1367">
            <v>220</v>
          </cell>
          <cell r="J1367">
            <v>174</v>
          </cell>
          <cell r="K1367">
            <v>177</v>
          </cell>
        </row>
        <row r="1368">
          <cell r="A1368" t="str">
            <v>17BENZN</v>
          </cell>
          <cell r="B1368" t="str">
            <v>OP.PEND.PART.SUJ.PRESCR.LEG.MN, BBC, BCC, NAC</v>
          </cell>
          <cell r="C1368">
            <v>0</v>
          </cell>
          <cell r="D1368">
            <v>0</v>
          </cell>
          <cell r="E1368">
            <v>0</v>
          </cell>
          <cell r="F1368">
            <v>0</v>
          </cell>
          <cell r="G1368">
            <v>0</v>
          </cell>
          <cell r="H1368">
            <v>0</v>
          </cell>
          <cell r="I1368">
            <v>0</v>
          </cell>
          <cell r="J1368">
            <v>0</v>
          </cell>
          <cell r="K1368">
            <v>0</v>
          </cell>
        </row>
        <row r="1369">
          <cell r="A1369" t="str">
            <v>14IQNZN</v>
          </cell>
          <cell r="B1369" t="str">
            <v>INTER.PERCIB.Y NO DEVENG.ME, BBC, BCC, NAC</v>
          </cell>
          <cell r="C1369">
            <v>0</v>
          </cell>
          <cell r="D1369">
            <v>0</v>
          </cell>
          <cell r="E1369">
            <v>0</v>
          </cell>
          <cell r="F1369">
            <v>0</v>
          </cell>
          <cell r="G1369">
            <v>0</v>
          </cell>
          <cell r="H1369">
            <v>0</v>
          </cell>
          <cell r="I1369">
            <v>0</v>
          </cell>
          <cell r="J1369">
            <v>0</v>
          </cell>
          <cell r="K1369">
            <v>0</v>
          </cell>
        </row>
        <row r="1370">
          <cell r="A1370" t="str">
            <v>17BLNZN</v>
          </cell>
          <cell r="B1370" t="str">
            <v>INGRESOS PERCIB.NO DEVENG.ME, BBC, BCC, NAC</v>
          </cell>
          <cell r="C1370">
            <v>0</v>
          </cell>
          <cell r="D1370">
            <v>0</v>
          </cell>
          <cell r="E1370">
            <v>0</v>
          </cell>
          <cell r="F1370">
            <v>0</v>
          </cell>
          <cell r="G1370">
            <v>0</v>
          </cell>
          <cell r="H1370">
            <v>0</v>
          </cell>
          <cell r="I1370">
            <v>0</v>
          </cell>
          <cell r="J1370">
            <v>0</v>
          </cell>
          <cell r="K1370">
            <v>0</v>
          </cell>
        </row>
        <row r="1371">
          <cell r="A1371" t="str">
            <v>14HHNZN</v>
          </cell>
          <cell r="B1371" t="str">
            <v>INST.PERCIB.ANTICIP.CPRA.PDBC, BBC, BCC, NAC</v>
          </cell>
          <cell r="C1371">
            <v>0</v>
          </cell>
          <cell r="D1371">
            <v>0</v>
          </cell>
          <cell r="E1371">
            <v>0</v>
          </cell>
          <cell r="F1371">
            <v>0</v>
          </cell>
          <cell r="G1371">
            <v>0</v>
          </cell>
          <cell r="H1371">
            <v>0</v>
          </cell>
          <cell r="I1371">
            <v>0</v>
          </cell>
          <cell r="J1371">
            <v>0</v>
          </cell>
          <cell r="K1371">
            <v>0</v>
          </cell>
        </row>
        <row r="1372">
          <cell r="A1372" t="str">
            <v>17CSNZN</v>
          </cell>
          <cell r="B1372" t="str">
            <v>INGRESOS EXTRAORD. RECIBIDOS DEL SINAP MN, BBC, BCC, NAC</v>
          </cell>
          <cell r="C1372">
            <v>95576</v>
          </cell>
          <cell r="D1372">
            <v>93252</v>
          </cell>
          <cell r="E1372">
            <v>89968</v>
          </cell>
          <cell r="F1372">
            <v>86572</v>
          </cell>
          <cell r="G1372">
            <v>83619</v>
          </cell>
          <cell r="H1372">
            <v>80585</v>
          </cell>
          <cell r="I1372">
            <v>78022</v>
          </cell>
          <cell r="J1372">
            <v>74817</v>
          </cell>
          <cell r="K1372">
            <v>71386</v>
          </cell>
        </row>
        <row r="1373">
          <cell r="A1373" t="str">
            <v>17CUNZN</v>
          </cell>
          <cell r="B1373" t="str">
            <v>INTS.PERC.ANTICIP.POR COMPRAS DE PDBC MN, BBC, BCC, NAC</v>
          </cell>
          <cell r="C1373">
            <v>0</v>
          </cell>
          <cell r="D1373">
            <v>0</v>
          </cell>
          <cell r="E1373">
            <v>0</v>
          </cell>
          <cell r="F1373">
            <v>0</v>
          </cell>
          <cell r="G1373">
            <v>0</v>
          </cell>
          <cell r="H1373">
            <v>0</v>
          </cell>
          <cell r="I1373">
            <v>0</v>
          </cell>
          <cell r="J1373">
            <v>0</v>
          </cell>
          <cell r="K1373">
            <v>0</v>
          </cell>
        </row>
        <row r="1374">
          <cell r="A1374" t="str">
            <v>17CINZN</v>
          </cell>
          <cell r="B1374" t="str">
            <v xml:space="preserve">REPARTOS RECIBIDOS DE INSTIT.FINANC.EN LIQUID.MN, BBC, BCC, </v>
          </cell>
          <cell r="C1374">
            <v>0</v>
          </cell>
          <cell r="D1374">
            <v>0</v>
          </cell>
          <cell r="E1374">
            <v>0</v>
          </cell>
          <cell r="F1374">
            <v>0</v>
          </cell>
          <cell r="G1374">
            <v>0</v>
          </cell>
          <cell r="H1374">
            <v>0</v>
          </cell>
          <cell r="I1374">
            <v>0</v>
          </cell>
          <cell r="J1374">
            <v>0</v>
          </cell>
          <cell r="K1374">
            <v>0</v>
          </cell>
        </row>
        <row r="1375">
          <cell r="A1375" t="str">
            <v>-</v>
          </cell>
          <cell r="B1375" t="str">
            <v>INGRESOS SUJETOS A LIQUIDACION FINAL S/CONT.EUROD., BBC, BCC</v>
          </cell>
          <cell r="C1375">
            <v>0</v>
          </cell>
          <cell r="D1375">
            <v>0</v>
          </cell>
          <cell r="E1375">
            <v>0</v>
          </cell>
          <cell r="F1375">
            <v>0</v>
          </cell>
          <cell r="G1375">
            <v>0</v>
          </cell>
          <cell r="H1375">
            <v>0</v>
          </cell>
          <cell r="I1375">
            <v>0</v>
          </cell>
          <cell r="J1375">
            <v>0</v>
          </cell>
          <cell r="K1375">
            <v>0</v>
          </cell>
        </row>
        <row r="1376">
          <cell r="A1376" t="str">
            <v>-</v>
          </cell>
          <cell r="B1376" t="str">
            <v>OPERACIONES CON BUF-BHC PENDIENTES DE REEMBOLSO ME, BBC, BCC</v>
          </cell>
          <cell r="C1376">
            <v>0</v>
          </cell>
          <cell r="D1376">
            <v>0</v>
          </cell>
          <cell r="E1376">
            <v>0</v>
          </cell>
          <cell r="F1376">
            <v>0</v>
          </cell>
          <cell r="G1376">
            <v>0</v>
          </cell>
          <cell r="H1376">
            <v>0</v>
          </cell>
          <cell r="I1376">
            <v>0</v>
          </cell>
          <cell r="J1376">
            <v>0</v>
          </cell>
          <cell r="K1376">
            <v>0</v>
          </cell>
        </row>
        <row r="1377">
          <cell r="A1377" t="str">
            <v>-</v>
          </cell>
          <cell r="B1377" t="str">
            <v>TITULOS RECONOCIMIENTO DEUDA CAP XIX DEL CNCI POR, BBC, BCC,</v>
          </cell>
          <cell r="C1377">
            <v>0</v>
          </cell>
          <cell r="D1377">
            <v>0</v>
          </cell>
          <cell r="E1377">
            <v>0</v>
          </cell>
          <cell r="F1377">
            <v>0</v>
          </cell>
          <cell r="G1377">
            <v>0</v>
          </cell>
          <cell r="H1377">
            <v>0</v>
          </cell>
          <cell r="I1377">
            <v>0</v>
          </cell>
          <cell r="J1377">
            <v>0</v>
          </cell>
          <cell r="K1377">
            <v>0</v>
          </cell>
        </row>
        <row r="1378">
          <cell r="A1378" t="str">
            <v>-</v>
          </cell>
          <cell r="B1378" t="str">
            <v>DOLARES POR ENTREGAR A BANCOS P.VTAS.MESA DINERO M, BBC, BCC</v>
          </cell>
          <cell r="C1378">
            <v>0</v>
          </cell>
          <cell r="D1378">
            <v>0</v>
          </cell>
          <cell r="E1378">
            <v>0</v>
          </cell>
          <cell r="F1378">
            <v>0</v>
          </cell>
          <cell r="G1378">
            <v>0</v>
          </cell>
          <cell r="H1378">
            <v>0</v>
          </cell>
          <cell r="I1378">
            <v>0</v>
          </cell>
          <cell r="J1378">
            <v>0</v>
          </cell>
          <cell r="K1378">
            <v>0</v>
          </cell>
        </row>
        <row r="1379">
          <cell r="A1379" t="str">
            <v>17FHNZN</v>
          </cell>
          <cell r="B1379" t="str">
            <v>PESOS POR ENTREGAR A BCOS.P.COMP.DOL.MESA DINERO M, BBC, BCC</v>
          </cell>
          <cell r="C1379">
            <v>0</v>
          </cell>
          <cell r="D1379">
            <v>0</v>
          </cell>
          <cell r="E1379">
            <v>0</v>
          </cell>
          <cell r="F1379">
            <v>0</v>
          </cell>
          <cell r="G1379">
            <v>0</v>
          </cell>
          <cell r="H1379">
            <v>0</v>
          </cell>
          <cell r="I1379">
            <v>0</v>
          </cell>
          <cell r="J1379">
            <v>0</v>
          </cell>
          <cell r="K1379">
            <v>0</v>
          </cell>
        </row>
        <row r="1380">
          <cell r="A1380" t="str">
            <v>17AENZN</v>
          </cell>
          <cell r="B1380" t="str">
            <v>PROVISIONES   ME, BBC, BCC, NAC</v>
          </cell>
          <cell r="C1380">
            <v>0</v>
          </cell>
          <cell r="D1380">
            <v>0</v>
          </cell>
          <cell r="E1380">
            <v>0</v>
          </cell>
          <cell r="F1380">
            <v>0</v>
          </cell>
          <cell r="G1380">
            <v>0</v>
          </cell>
          <cell r="H1380">
            <v>0</v>
          </cell>
          <cell r="I1380">
            <v>0</v>
          </cell>
          <cell r="J1380">
            <v>0</v>
          </cell>
          <cell r="K1380">
            <v>0</v>
          </cell>
        </row>
        <row r="1381">
          <cell r="A1381" t="str">
            <v>17EQNZN</v>
          </cell>
          <cell r="B1381" t="str">
            <v>PROVISIONES SOBRE COLOCACIONES ME, BBC, BCC, NAC</v>
          </cell>
          <cell r="C1381">
            <v>2</v>
          </cell>
          <cell r="D1381">
            <v>2</v>
          </cell>
          <cell r="E1381">
            <v>2</v>
          </cell>
          <cell r="F1381">
            <v>2</v>
          </cell>
          <cell r="G1381">
            <v>2</v>
          </cell>
          <cell r="H1381">
            <v>2</v>
          </cell>
          <cell r="I1381">
            <v>2</v>
          </cell>
          <cell r="J1381">
            <v>2</v>
          </cell>
          <cell r="K1381">
            <v>2</v>
          </cell>
        </row>
        <row r="1382">
          <cell r="A1382" t="str">
            <v>17ERNZN</v>
          </cell>
          <cell r="B1382" t="str">
            <v>PROVISIONES SOBRE INVERSIONES ME, BBC, BCC, NAC</v>
          </cell>
          <cell r="C1382">
            <v>0</v>
          </cell>
          <cell r="D1382">
            <v>0</v>
          </cell>
          <cell r="E1382">
            <v>0</v>
          </cell>
          <cell r="F1382">
            <v>0</v>
          </cell>
          <cell r="G1382">
            <v>0</v>
          </cell>
          <cell r="H1382">
            <v>0</v>
          </cell>
          <cell r="I1382">
            <v>0</v>
          </cell>
          <cell r="J1382">
            <v>0</v>
          </cell>
          <cell r="K1382">
            <v>0</v>
          </cell>
        </row>
        <row r="1383">
          <cell r="A1383" t="str">
            <v>17ESNZN</v>
          </cell>
          <cell r="B1383" t="str">
            <v>OTRAS PROVISIONES MN, BBC, BCC, NAC</v>
          </cell>
          <cell r="C1383">
            <v>7965</v>
          </cell>
          <cell r="D1383">
            <v>7752</v>
          </cell>
          <cell r="E1383">
            <v>7770</v>
          </cell>
          <cell r="F1383">
            <v>7751</v>
          </cell>
          <cell r="G1383">
            <v>7807</v>
          </cell>
          <cell r="H1383">
            <v>7826</v>
          </cell>
          <cell r="I1383">
            <v>7851</v>
          </cell>
          <cell r="J1383">
            <v>7898</v>
          </cell>
          <cell r="K1383">
            <v>7840</v>
          </cell>
        </row>
        <row r="1384">
          <cell r="A1384" t="str">
            <v>17BNNZN</v>
          </cell>
          <cell r="B1384" t="str">
            <v>REVAL.PROVIS.CAPITAL PROP.MN, BBC, BCC, NAC</v>
          </cell>
          <cell r="C1384">
            <v>0</v>
          </cell>
          <cell r="D1384">
            <v>0</v>
          </cell>
          <cell r="E1384">
            <v>0</v>
          </cell>
          <cell r="F1384">
            <v>0</v>
          </cell>
          <cell r="G1384">
            <v>0</v>
          </cell>
          <cell r="H1384">
            <v>0</v>
          </cell>
          <cell r="I1384">
            <v>0</v>
          </cell>
          <cell r="J1384">
            <v>0</v>
          </cell>
          <cell r="K1384">
            <v>0</v>
          </cell>
        </row>
        <row r="1385">
          <cell r="A1385" t="str">
            <v>-</v>
          </cell>
          <cell r="B1385" t="str">
            <v>FDO.ASIST.TEC.CRED.VIVIENA.ME, BBC, BCC, NAC</v>
          </cell>
          <cell r="C1385">
            <v>0</v>
          </cell>
          <cell r="D1385">
            <v>0</v>
          </cell>
          <cell r="E1385">
            <v>0</v>
          </cell>
          <cell r="F1385">
            <v>0</v>
          </cell>
          <cell r="G1385">
            <v>0</v>
          </cell>
          <cell r="H1385">
            <v>0</v>
          </cell>
          <cell r="I1385">
            <v>0</v>
          </cell>
          <cell r="J1385">
            <v>0</v>
          </cell>
          <cell r="K1385">
            <v>0</v>
          </cell>
        </row>
        <row r="1386">
          <cell r="A1386" t="str">
            <v>-</v>
          </cell>
          <cell r="B1386" t="str">
            <v>FDOS.P/REEMB.CONV.CR.RECPR.ME, BBC, BCC, NAC</v>
          </cell>
          <cell r="C1386">
            <v>0</v>
          </cell>
          <cell r="D1386">
            <v>0</v>
          </cell>
          <cell r="E1386">
            <v>0</v>
          </cell>
          <cell r="F1386">
            <v>0</v>
          </cell>
          <cell r="G1386">
            <v>0</v>
          </cell>
          <cell r="H1386">
            <v>0</v>
          </cell>
          <cell r="I1386">
            <v>0</v>
          </cell>
          <cell r="J1386">
            <v>0</v>
          </cell>
          <cell r="K1386">
            <v>0</v>
          </cell>
        </row>
        <row r="1387">
          <cell r="A1387" t="str">
            <v>-</v>
          </cell>
          <cell r="B1387" t="str">
            <v>CRED.DOCUMENTARIOS  ME, BBC, BCC, NAC</v>
          </cell>
          <cell r="C1387">
            <v>0</v>
          </cell>
          <cell r="D1387">
            <v>0</v>
          </cell>
          <cell r="E1387">
            <v>0</v>
          </cell>
          <cell r="F1387">
            <v>0</v>
          </cell>
          <cell r="G1387">
            <v>0</v>
          </cell>
          <cell r="H1387">
            <v>0</v>
          </cell>
          <cell r="I1387">
            <v>0</v>
          </cell>
          <cell r="J1387">
            <v>0</v>
          </cell>
          <cell r="K1387">
            <v>0</v>
          </cell>
        </row>
        <row r="1388">
          <cell r="A1388" t="str">
            <v>-</v>
          </cell>
          <cell r="B1388" t="str">
            <v>OBLIG.P/VTAS.FUT.PAGADAS  ME, BBC, BCC, NAC</v>
          </cell>
          <cell r="C1388">
            <v>0</v>
          </cell>
          <cell r="D1388">
            <v>0</v>
          </cell>
          <cell r="E1388">
            <v>0</v>
          </cell>
          <cell r="F1388">
            <v>0</v>
          </cell>
          <cell r="G1388">
            <v>0</v>
          </cell>
          <cell r="H1388">
            <v>0</v>
          </cell>
          <cell r="I1388">
            <v>0</v>
          </cell>
          <cell r="J1388">
            <v>0</v>
          </cell>
          <cell r="K1388">
            <v>0</v>
          </cell>
        </row>
        <row r="1389">
          <cell r="A1389" t="str">
            <v>-</v>
          </cell>
          <cell r="B1389" t="str">
            <v>OTR.OBLIG.A FAVOR TERCEROS ME, BBC, BCC, NAC</v>
          </cell>
          <cell r="C1389">
            <v>0</v>
          </cell>
          <cell r="D1389">
            <v>0</v>
          </cell>
          <cell r="E1389">
            <v>0</v>
          </cell>
          <cell r="F1389">
            <v>0</v>
          </cell>
          <cell r="G1389">
            <v>0</v>
          </cell>
          <cell r="H1389">
            <v>0</v>
          </cell>
          <cell r="I1389">
            <v>0</v>
          </cell>
          <cell r="J1389">
            <v>0</v>
          </cell>
          <cell r="K1389">
            <v>0</v>
          </cell>
        </row>
        <row r="1390">
          <cell r="A1390" t="str">
            <v>-</v>
          </cell>
          <cell r="B1390" t="str">
            <v>VENTA CONDICIONAL DIVISAS ME, BBC, BCC, NAC</v>
          </cell>
          <cell r="C1390">
            <v>0</v>
          </cell>
          <cell r="D1390">
            <v>0</v>
          </cell>
          <cell r="E1390">
            <v>0</v>
          </cell>
          <cell r="F1390">
            <v>0</v>
          </cell>
          <cell r="G1390">
            <v>0</v>
          </cell>
          <cell r="H1390">
            <v>0</v>
          </cell>
          <cell r="I1390">
            <v>0</v>
          </cell>
          <cell r="J1390">
            <v>0</v>
          </cell>
          <cell r="K1390">
            <v>0</v>
          </cell>
        </row>
        <row r="1391">
          <cell r="A1391" t="str">
            <v>17CONZN</v>
          </cell>
          <cell r="B1391" t="str">
            <v>DIVISAS ARBITRADAS A FUTURO  HABER, BBC, BCC, NAC</v>
          </cell>
          <cell r="C1391">
            <v>0</v>
          </cell>
          <cell r="D1391">
            <v>0</v>
          </cell>
          <cell r="E1391">
            <v>0</v>
          </cell>
          <cell r="F1391">
            <v>0</v>
          </cell>
          <cell r="G1391">
            <v>0</v>
          </cell>
          <cell r="H1391">
            <v>0</v>
          </cell>
          <cell r="I1391">
            <v>0</v>
          </cell>
          <cell r="J1391">
            <v>0</v>
          </cell>
          <cell r="K1391">
            <v>0</v>
          </cell>
        </row>
        <row r="1392">
          <cell r="A1392" t="str">
            <v>-</v>
          </cell>
          <cell r="B1392" t="str">
            <v>FONDO DE RESERVA ME, BBC, BCC, NAC</v>
          </cell>
          <cell r="C1392">
            <v>0</v>
          </cell>
          <cell r="D1392">
            <v>0</v>
          </cell>
          <cell r="E1392">
            <v>0</v>
          </cell>
          <cell r="F1392">
            <v>0</v>
          </cell>
          <cell r="G1392">
            <v>0</v>
          </cell>
          <cell r="H1392">
            <v>0</v>
          </cell>
          <cell r="I1392">
            <v>0</v>
          </cell>
          <cell r="J1392">
            <v>0</v>
          </cell>
          <cell r="K1392">
            <v>0</v>
          </cell>
        </row>
        <row r="1393">
          <cell r="A1393" t="str">
            <v>-</v>
          </cell>
          <cell r="B1393" t="str">
            <v>EQUIV.P.COMPRA CAMBIO FMI, BBC, BCC, NAC</v>
          </cell>
          <cell r="C1393">
            <v>0</v>
          </cell>
          <cell r="D1393">
            <v>0</v>
          </cell>
          <cell r="E1393">
            <v>0</v>
          </cell>
          <cell r="F1393">
            <v>0</v>
          </cell>
          <cell r="G1393">
            <v>0</v>
          </cell>
          <cell r="H1393">
            <v>0</v>
          </cell>
          <cell r="I1393">
            <v>0</v>
          </cell>
          <cell r="J1393">
            <v>0</v>
          </cell>
          <cell r="K1393">
            <v>0</v>
          </cell>
        </row>
        <row r="1394">
          <cell r="A1394" t="str">
            <v>-</v>
          </cell>
          <cell r="B1394" t="str">
            <v>CONVERSION ME, BBC, BCC, NAC</v>
          </cell>
          <cell r="C1394">
            <v>0</v>
          </cell>
          <cell r="D1394">
            <v>0</v>
          </cell>
          <cell r="E1394">
            <v>0</v>
          </cell>
          <cell r="F1394">
            <v>0</v>
          </cell>
          <cell r="G1394">
            <v>0</v>
          </cell>
          <cell r="H1394">
            <v>0</v>
          </cell>
          <cell r="I1394">
            <v>0</v>
          </cell>
          <cell r="J1394">
            <v>0</v>
          </cell>
          <cell r="K1394">
            <v>0</v>
          </cell>
        </row>
        <row r="1395">
          <cell r="A1395" t="str">
            <v>-</v>
          </cell>
          <cell r="B1395" t="str">
            <v>CONVERSION NUM.15 CEPAC ME, BBC, BCC, NAC</v>
          </cell>
          <cell r="C1395">
            <v>0</v>
          </cell>
          <cell r="D1395">
            <v>0</v>
          </cell>
          <cell r="E1395">
            <v>0</v>
          </cell>
          <cell r="F1395">
            <v>0</v>
          </cell>
          <cell r="G1395">
            <v>0</v>
          </cell>
          <cell r="H1395">
            <v>0</v>
          </cell>
          <cell r="I1395">
            <v>0</v>
          </cell>
          <cell r="J1395">
            <v>0</v>
          </cell>
          <cell r="K1395">
            <v>0</v>
          </cell>
        </row>
        <row r="1396">
          <cell r="A1396" t="str">
            <v>-</v>
          </cell>
          <cell r="B1396" t="str">
            <v>ADEUDADO AL EXTERIOR P/ARBITRAJES A FUTURO ME, BBC, BCC, NAC</v>
          </cell>
          <cell r="C1396">
            <v>0</v>
          </cell>
          <cell r="D1396">
            <v>0</v>
          </cell>
          <cell r="E1396">
            <v>0</v>
          </cell>
          <cell r="F1396">
            <v>0</v>
          </cell>
          <cell r="G1396">
            <v>0</v>
          </cell>
          <cell r="H1396">
            <v>0</v>
          </cell>
          <cell r="I1396">
            <v>0</v>
          </cell>
          <cell r="J1396">
            <v>0</v>
          </cell>
          <cell r="K1396">
            <v>0</v>
          </cell>
        </row>
        <row r="1397">
          <cell r="A1397" t="str">
            <v>-</v>
          </cell>
          <cell r="B1397" t="str">
            <v>CONVERSION DE DOLARES P.PAGARES BCO.CENTRAL, BBC, BCC, NAC</v>
          </cell>
          <cell r="C1397">
            <v>0</v>
          </cell>
          <cell r="D1397">
            <v>0</v>
          </cell>
          <cell r="E1397">
            <v>0</v>
          </cell>
          <cell r="F1397">
            <v>0</v>
          </cell>
          <cell r="G1397">
            <v>0</v>
          </cell>
          <cell r="H1397">
            <v>0</v>
          </cell>
          <cell r="I1397">
            <v>0</v>
          </cell>
          <cell r="J1397">
            <v>0</v>
          </cell>
          <cell r="K1397">
            <v>0</v>
          </cell>
        </row>
        <row r="1398">
          <cell r="A1398" t="str">
            <v>-</v>
          </cell>
          <cell r="B1398" t="str">
            <v>CONVERSION ESPECIAL DIFERENCIAL CAMBIARIO, BBC, BCC, NAC</v>
          </cell>
          <cell r="C1398">
            <v>0</v>
          </cell>
          <cell r="D1398">
            <v>0</v>
          </cell>
          <cell r="E1398">
            <v>0</v>
          </cell>
          <cell r="F1398">
            <v>0</v>
          </cell>
          <cell r="G1398">
            <v>0</v>
          </cell>
          <cell r="H1398">
            <v>0</v>
          </cell>
          <cell r="I1398">
            <v>0</v>
          </cell>
          <cell r="J1398">
            <v>0</v>
          </cell>
          <cell r="K1398">
            <v>0</v>
          </cell>
        </row>
        <row r="1399">
          <cell r="A1399" t="str">
            <v>-</v>
          </cell>
          <cell r="B1399" t="str">
            <v>CONVERSION ESPECIAL ACDO.1470, BBC, BCC, NAC</v>
          </cell>
          <cell r="C1399">
            <v>0</v>
          </cell>
          <cell r="D1399">
            <v>0</v>
          </cell>
          <cell r="E1399">
            <v>0</v>
          </cell>
          <cell r="F1399">
            <v>0</v>
          </cell>
          <cell r="G1399">
            <v>0</v>
          </cell>
          <cell r="H1399">
            <v>0</v>
          </cell>
          <cell r="I1399">
            <v>0</v>
          </cell>
          <cell r="J1399">
            <v>0</v>
          </cell>
          <cell r="K1399">
            <v>0</v>
          </cell>
        </row>
        <row r="1400">
          <cell r="A1400" t="str">
            <v>-</v>
          </cell>
          <cell r="B1400" t="str">
            <v>DIVISAS POR VENDER POR COMPRA DOLARES, BBC, BCC, NAC</v>
          </cell>
          <cell r="C1400">
            <v>0</v>
          </cell>
          <cell r="D1400">
            <v>0</v>
          </cell>
          <cell r="E1400">
            <v>0</v>
          </cell>
          <cell r="F1400">
            <v>0</v>
          </cell>
          <cell r="G1400">
            <v>0</v>
          </cell>
          <cell r="H1400">
            <v>0</v>
          </cell>
          <cell r="I1400">
            <v>0</v>
          </cell>
          <cell r="J1400">
            <v>0</v>
          </cell>
          <cell r="K1400">
            <v>0</v>
          </cell>
        </row>
        <row r="1401">
          <cell r="A1401" t="str">
            <v>-</v>
          </cell>
          <cell r="B1401" t="str">
            <v>CONVERSION OPERACIONES EXPRESADAS EN M/E, BBC, BCC, NAC</v>
          </cell>
          <cell r="C1401">
            <v>0</v>
          </cell>
          <cell r="D1401">
            <v>0</v>
          </cell>
          <cell r="E1401">
            <v>0</v>
          </cell>
          <cell r="F1401">
            <v>0</v>
          </cell>
          <cell r="G1401">
            <v>0</v>
          </cell>
          <cell r="H1401">
            <v>0</v>
          </cell>
          <cell r="I1401">
            <v>0</v>
          </cell>
          <cell r="J1401">
            <v>0</v>
          </cell>
          <cell r="K1401">
            <v>0</v>
          </cell>
        </row>
        <row r="1402">
          <cell r="A1402" t="str">
            <v>-</v>
          </cell>
          <cell r="B1402" t="str">
            <v>INTERESES P.SOBREGIRO SUJETOS A ANALISIS HABER ME, BBC, BCC,</v>
          </cell>
          <cell r="C1402">
            <v>0</v>
          </cell>
          <cell r="D1402">
            <v>0</v>
          </cell>
          <cell r="E1402">
            <v>0</v>
          </cell>
          <cell r="F1402">
            <v>0</v>
          </cell>
          <cell r="G1402">
            <v>0</v>
          </cell>
          <cell r="H1402">
            <v>0</v>
          </cell>
          <cell r="I1402">
            <v>0</v>
          </cell>
          <cell r="J1402">
            <v>0</v>
          </cell>
          <cell r="K1402">
            <v>0</v>
          </cell>
        </row>
        <row r="1403">
          <cell r="A1403" t="str">
            <v>-</v>
          </cell>
          <cell r="B1403" t="str">
            <v xml:space="preserve">CONVERSION COMPRA DOLARES C.PACTO RETROVENTA  ME, BBC, BCC, </v>
          </cell>
          <cell r="C1403">
            <v>0</v>
          </cell>
          <cell r="D1403">
            <v>0</v>
          </cell>
          <cell r="E1403">
            <v>0</v>
          </cell>
          <cell r="F1403">
            <v>0</v>
          </cell>
          <cell r="G1403">
            <v>0</v>
          </cell>
          <cell r="H1403">
            <v>0</v>
          </cell>
          <cell r="I1403">
            <v>0</v>
          </cell>
          <cell r="J1403">
            <v>0</v>
          </cell>
          <cell r="K1403">
            <v>0</v>
          </cell>
        </row>
        <row r="1404">
          <cell r="A1404" t="str">
            <v>-</v>
          </cell>
          <cell r="B1404" t="str">
            <v>CONVERSION VENTA DOLARES C.PACTO RETROCOMPRA ME, BBC, BCC, N</v>
          </cell>
          <cell r="C1404">
            <v>0</v>
          </cell>
          <cell r="D1404">
            <v>0</v>
          </cell>
          <cell r="E1404">
            <v>0</v>
          </cell>
          <cell r="F1404">
            <v>0</v>
          </cell>
          <cell r="G1404">
            <v>0</v>
          </cell>
          <cell r="H1404">
            <v>0</v>
          </cell>
          <cell r="I1404">
            <v>0</v>
          </cell>
          <cell r="J1404">
            <v>0</v>
          </cell>
          <cell r="K1404">
            <v>0</v>
          </cell>
        </row>
        <row r="1405">
          <cell r="A1405" t="str">
            <v>17DRNZN</v>
          </cell>
          <cell r="B1405" t="str">
            <v>RECLAMACIONES TRIBUTARIAS PENDIENTES DE RESOLUCION, BBC, BCC</v>
          </cell>
          <cell r="C1405">
            <v>0</v>
          </cell>
          <cell r="D1405">
            <v>0</v>
          </cell>
          <cell r="E1405">
            <v>0</v>
          </cell>
          <cell r="F1405">
            <v>0</v>
          </cell>
          <cell r="G1405">
            <v>0</v>
          </cell>
          <cell r="H1405">
            <v>0</v>
          </cell>
          <cell r="I1405">
            <v>0</v>
          </cell>
          <cell r="J1405">
            <v>0</v>
          </cell>
          <cell r="K1405">
            <v>0</v>
          </cell>
        </row>
        <row r="1406">
          <cell r="A1406" t="str">
            <v>-</v>
          </cell>
          <cell r="B1406" t="str">
            <v>CONVERSION DE US$ C.PACTO RETROVENTA CON T.C EN UF, BBC, BCC</v>
          </cell>
          <cell r="C1406">
            <v>0</v>
          </cell>
          <cell r="D1406">
            <v>0</v>
          </cell>
          <cell r="E1406">
            <v>0</v>
          </cell>
          <cell r="F1406">
            <v>0</v>
          </cell>
          <cell r="G1406">
            <v>0</v>
          </cell>
          <cell r="H1406">
            <v>0</v>
          </cell>
          <cell r="I1406">
            <v>0</v>
          </cell>
          <cell r="J1406">
            <v>0</v>
          </cell>
          <cell r="K1406">
            <v>0</v>
          </cell>
        </row>
        <row r="1407">
          <cell r="A1407" t="str">
            <v>-</v>
          </cell>
          <cell r="B1407" t="str">
            <v>CONVERSION P.RENEGOCIACION DEUDA TRANSP.ACDO.1513, BBC, BCC,</v>
          </cell>
          <cell r="C1407">
            <v>0</v>
          </cell>
          <cell r="D1407">
            <v>0</v>
          </cell>
          <cell r="E1407">
            <v>0</v>
          </cell>
          <cell r="F1407">
            <v>0</v>
          </cell>
          <cell r="G1407">
            <v>0</v>
          </cell>
          <cell r="H1407">
            <v>0</v>
          </cell>
          <cell r="I1407">
            <v>0</v>
          </cell>
          <cell r="J1407">
            <v>0</v>
          </cell>
          <cell r="K1407">
            <v>0</v>
          </cell>
        </row>
        <row r="1408">
          <cell r="A1408" t="str">
            <v>-</v>
          </cell>
          <cell r="B1408" t="str">
            <v>CONVERSION ACUERDO 1578 (DESDOLARIZACION) ME, BBC, BCC, NAC</v>
          </cell>
          <cell r="C1408">
            <v>0</v>
          </cell>
          <cell r="D1408">
            <v>0</v>
          </cell>
          <cell r="E1408">
            <v>0</v>
          </cell>
          <cell r="F1408">
            <v>0</v>
          </cell>
          <cell r="G1408">
            <v>0</v>
          </cell>
          <cell r="H1408">
            <v>0</v>
          </cell>
          <cell r="I1408">
            <v>0</v>
          </cell>
          <cell r="J1408">
            <v>0</v>
          </cell>
          <cell r="K1408">
            <v>0</v>
          </cell>
        </row>
        <row r="1409">
          <cell r="A1409" t="str">
            <v>-</v>
          </cell>
          <cell r="B1409" t="str">
            <v>CONVERSION COMPRA DOLARES C/PACTO RETROVENTA CAP I, BBC, BCC</v>
          </cell>
          <cell r="C1409">
            <v>0</v>
          </cell>
          <cell r="D1409">
            <v>0</v>
          </cell>
          <cell r="E1409">
            <v>0</v>
          </cell>
          <cell r="F1409">
            <v>0</v>
          </cell>
          <cell r="G1409">
            <v>0</v>
          </cell>
          <cell r="H1409">
            <v>0</v>
          </cell>
          <cell r="I1409">
            <v>0</v>
          </cell>
          <cell r="J1409">
            <v>0</v>
          </cell>
          <cell r="K1409">
            <v>0</v>
          </cell>
        </row>
        <row r="1410">
          <cell r="A1410" t="str">
            <v>17ELNZN</v>
          </cell>
          <cell r="B1410" t="str">
            <v>PASIVOS ASUMIDOS DEL BANCO CONTINENTAL L.18430 MN, BBC, BCC,</v>
          </cell>
          <cell r="C1410">
            <v>4</v>
          </cell>
          <cell r="D1410">
            <v>4</v>
          </cell>
          <cell r="E1410">
            <v>4</v>
          </cell>
          <cell r="F1410">
            <v>4</v>
          </cell>
          <cell r="G1410">
            <v>4</v>
          </cell>
          <cell r="H1410">
            <v>4</v>
          </cell>
          <cell r="I1410">
            <v>4</v>
          </cell>
          <cell r="J1410">
            <v>4</v>
          </cell>
          <cell r="K1410">
            <v>4</v>
          </cell>
        </row>
        <row r="1411">
          <cell r="A1411" t="str">
            <v>17DZNZN</v>
          </cell>
          <cell r="B1411" t="str">
            <v>PASIVOS ASUMIDOS DEL BCNV LEY 18412 ME, BBC, BCC, NAC</v>
          </cell>
          <cell r="C1411">
            <v>0</v>
          </cell>
          <cell r="D1411">
            <v>0</v>
          </cell>
          <cell r="E1411">
            <v>0</v>
          </cell>
          <cell r="F1411">
            <v>0</v>
          </cell>
          <cell r="G1411">
            <v>0</v>
          </cell>
          <cell r="H1411">
            <v>0</v>
          </cell>
          <cell r="I1411">
            <v>0</v>
          </cell>
          <cell r="J1411">
            <v>0</v>
          </cell>
          <cell r="K1411">
            <v>0</v>
          </cell>
        </row>
        <row r="1412">
          <cell r="A1412" t="str">
            <v>-</v>
          </cell>
          <cell r="B1412" t="str">
            <v>CONV.P.REPR.DEUD.TRANSPORTE AC 1845 ME, BBC, BCC, NAC</v>
          </cell>
          <cell r="C1412">
            <v>0</v>
          </cell>
          <cell r="D1412">
            <v>0</v>
          </cell>
          <cell r="E1412">
            <v>0</v>
          </cell>
          <cell r="F1412">
            <v>0</v>
          </cell>
          <cell r="G1412">
            <v>0</v>
          </cell>
          <cell r="H1412">
            <v>0</v>
          </cell>
          <cell r="I1412">
            <v>0</v>
          </cell>
          <cell r="J1412">
            <v>0</v>
          </cell>
          <cell r="K1412">
            <v>0</v>
          </cell>
        </row>
        <row r="1413">
          <cell r="A1413" t="str">
            <v>-</v>
          </cell>
          <cell r="B1413" t="str">
            <v>CONVERSION SALDO PRECIO PAGARE ADQ.AL BECH EXP.DOL, BBC, BCC</v>
          </cell>
          <cell r="C1413">
            <v>0</v>
          </cell>
          <cell r="D1413">
            <v>0</v>
          </cell>
          <cell r="E1413">
            <v>0</v>
          </cell>
          <cell r="F1413">
            <v>0</v>
          </cell>
          <cell r="G1413">
            <v>0</v>
          </cell>
          <cell r="H1413">
            <v>0</v>
          </cell>
          <cell r="I1413">
            <v>0</v>
          </cell>
          <cell r="J1413">
            <v>0</v>
          </cell>
          <cell r="K1413">
            <v>0</v>
          </cell>
        </row>
        <row r="1414">
          <cell r="A1414" t="str">
            <v>-</v>
          </cell>
          <cell r="B1414" t="str">
            <v>CONVERSION CERTIF.DEPOSITOS EXPR.EN US$ AC.1649, BBC, BCC, E</v>
          </cell>
          <cell r="C1414">
            <v>0</v>
          </cell>
          <cell r="D1414">
            <v>0</v>
          </cell>
          <cell r="E1414">
            <v>0</v>
          </cell>
          <cell r="F1414">
            <v>0</v>
          </cell>
          <cell r="G1414">
            <v>0</v>
          </cell>
          <cell r="H1414">
            <v>0</v>
          </cell>
          <cell r="I1414">
            <v>0</v>
          </cell>
          <cell r="J1414">
            <v>0</v>
          </cell>
          <cell r="K1414">
            <v>0</v>
          </cell>
        </row>
        <row r="1415">
          <cell r="A1415" t="str">
            <v>17BPNZN</v>
          </cell>
          <cell r="B1415" t="str">
            <v>DEPRECIACION ACUMULADA BIENES RAICES, BBC, BCC, NAC</v>
          </cell>
          <cell r="C1415">
            <v>6731</v>
          </cell>
          <cell r="D1415">
            <v>6765</v>
          </cell>
          <cell r="E1415">
            <v>6846</v>
          </cell>
          <cell r="F1415">
            <v>6948</v>
          </cell>
          <cell r="G1415">
            <v>6968</v>
          </cell>
          <cell r="H1415">
            <v>6967</v>
          </cell>
          <cell r="I1415">
            <v>6994</v>
          </cell>
          <cell r="J1415">
            <v>6818</v>
          </cell>
          <cell r="K1415">
            <v>6851</v>
          </cell>
        </row>
        <row r="1416">
          <cell r="A1416" t="str">
            <v>17BSNZN</v>
          </cell>
          <cell r="B1416" t="str">
            <v>COR.MONETARIA S/DEP.ACUM. BS RS, BBC, BCC, NAC</v>
          </cell>
          <cell r="C1416">
            <v>0</v>
          </cell>
          <cell r="D1416">
            <v>0</v>
          </cell>
          <cell r="E1416">
            <v>0</v>
          </cell>
          <cell r="F1416">
            <v>0</v>
          </cell>
          <cell r="G1416">
            <v>0</v>
          </cell>
          <cell r="H1416">
            <v>0</v>
          </cell>
          <cell r="I1416">
            <v>0</v>
          </cell>
          <cell r="J1416">
            <v>0</v>
          </cell>
          <cell r="K1416">
            <v>0</v>
          </cell>
        </row>
        <row r="1417">
          <cell r="A1417" t="str">
            <v>17BQNZN</v>
          </cell>
          <cell r="B1417" t="str">
            <v>DEPRECIACION ACUMULADA BIENES MUEBLES, BBC, BCC, NAC</v>
          </cell>
          <cell r="C1417">
            <v>681</v>
          </cell>
          <cell r="D1417">
            <v>669</v>
          </cell>
          <cell r="E1417">
            <v>686</v>
          </cell>
          <cell r="F1417">
            <v>706</v>
          </cell>
          <cell r="G1417">
            <v>703</v>
          </cell>
          <cell r="H1417">
            <v>711</v>
          </cell>
          <cell r="I1417">
            <v>714</v>
          </cell>
          <cell r="J1417">
            <v>722</v>
          </cell>
          <cell r="K1417">
            <v>724</v>
          </cell>
        </row>
        <row r="1418">
          <cell r="A1418" t="str">
            <v>17BTNZN</v>
          </cell>
          <cell r="B1418" t="str">
            <v>COR.MONETARIA S/DEP.ACUM. BS MUEBLES, BBC, BCC, NAC</v>
          </cell>
          <cell r="C1418">
            <v>0</v>
          </cell>
          <cell r="D1418">
            <v>0</v>
          </cell>
          <cell r="E1418">
            <v>0</v>
          </cell>
          <cell r="F1418">
            <v>0</v>
          </cell>
          <cell r="G1418">
            <v>0</v>
          </cell>
          <cell r="H1418">
            <v>0</v>
          </cell>
          <cell r="I1418">
            <v>0</v>
          </cell>
          <cell r="J1418">
            <v>0</v>
          </cell>
          <cell r="K1418">
            <v>0</v>
          </cell>
        </row>
        <row r="1419">
          <cell r="A1419" t="str">
            <v>17BYNZN</v>
          </cell>
          <cell r="B1419" t="str">
            <v>DEPREC.ACUMUL. S/INSTALACIONES MN, BBC, BCC, NAC</v>
          </cell>
          <cell r="C1419">
            <v>1906</v>
          </cell>
          <cell r="D1419">
            <v>1930</v>
          </cell>
          <cell r="E1419">
            <v>1967</v>
          </cell>
          <cell r="F1419">
            <v>2011</v>
          </cell>
          <cell r="G1419">
            <v>2031</v>
          </cell>
          <cell r="H1419">
            <v>2046</v>
          </cell>
          <cell r="I1419">
            <v>2069</v>
          </cell>
          <cell r="J1419">
            <v>2092</v>
          </cell>
          <cell r="K1419">
            <v>2117</v>
          </cell>
        </row>
        <row r="1420">
          <cell r="A1420" t="str">
            <v>17BRNZN</v>
          </cell>
          <cell r="B1420" t="str">
            <v>DEPRECIACION ACUMULADA VEHICULOS, BBC, BCC, NAC</v>
          </cell>
          <cell r="C1420">
            <v>141</v>
          </cell>
          <cell r="D1420">
            <v>76</v>
          </cell>
          <cell r="E1420">
            <v>81</v>
          </cell>
          <cell r="F1420">
            <v>62</v>
          </cell>
          <cell r="G1420">
            <v>67</v>
          </cell>
          <cell r="H1420">
            <v>71</v>
          </cell>
          <cell r="I1420">
            <v>76</v>
          </cell>
          <cell r="J1420">
            <v>80</v>
          </cell>
          <cell r="K1420">
            <v>86</v>
          </cell>
        </row>
        <row r="1421">
          <cell r="A1421" t="str">
            <v>17BVNZN</v>
          </cell>
          <cell r="B1421" t="str">
            <v>COR.MONETARIA S/DEP.ACUM. VEHICULOS, BBC, BCC, NAC</v>
          </cell>
          <cell r="C1421">
            <v>916</v>
          </cell>
          <cell r="D1421">
            <v>939</v>
          </cell>
          <cell r="E1421">
            <v>962</v>
          </cell>
          <cell r="F1421">
            <v>913</v>
          </cell>
          <cell r="G1421">
            <v>898</v>
          </cell>
          <cell r="H1421">
            <v>923</v>
          </cell>
          <cell r="I1421">
            <v>950</v>
          </cell>
          <cell r="J1421">
            <v>899</v>
          </cell>
          <cell r="K1421">
            <v>921</v>
          </cell>
        </row>
        <row r="1422">
          <cell r="A1422" t="str">
            <v>17BUNZN</v>
          </cell>
          <cell r="B1422" t="str">
            <v>CORREC MONETARIA PROV S/MEDALLAS FRN Y OTRAS, BBC, BCC, NAC</v>
          </cell>
          <cell r="C1422">
            <v>0</v>
          </cell>
          <cell r="D1422">
            <v>0</v>
          </cell>
          <cell r="E1422">
            <v>0</v>
          </cell>
          <cell r="F1422">
            <v>0</v>
          </cell>
          <cell r="G1422">
            <v>0</v>
          </cell>
          <cell r="H1422">
            <v>0</v>
          </cell>
          <cell r="I1422">
            <v>0</v>
          </cell>
          <cell r="J1422">
            <v>0</v>
          </cell>
          <cell r="K1422">
            <v>0</v>
          </cell>
        </row>
        <row r="1423">
          <cell r="A1423" t="str">
            <v>17ALNZN</v>
          </cell>
          <cell r="B1423" t="str">
            <v>LETRAS POR ADQ.DE CARTERA A INST.FINANCIERAS ME, BBC, BCC, N</v>
          </cell>
          <cell r="C1423">
            <v>0</v>
          </cell>
          <cell r="D1423">
            <v>0</v>
          </cell>
          <cell r="E1423">
            <v>0</v>
          </cell>
          <cell r="F1423">
            <v>0</v>
          </cell>
          <cell r="G1423">
            <v>0</v>
          </cell>
          <cell r="H1423">
            <v>0</v>
          </cell>
          <cell r="I1423">
            <v>0</v>
          </cell>
          <cell r="J1423">
            <v>0</v>
          </cell>
          <cell r="K1423">
            <v>0</v>
          </cell>
        </row>
        <row r="1424">
          <cell r="A1424" t="str">
            <v>17DPNZN</v>
          </cell>
          <cell r="B1424" t="str">
            <v>REAJ.P.PAGAR S.LTS.P.ADQ.DE CARTERA A INST.FINAN.M, BBC, BCC</v>
          </cell>
          <cell r="C1424">
            <v>0</v>
          </cell>
          <cell r="D1424">
            <v>0</v>
          </cell>
          <cell r="E1424">
            <v>0</v>
          </cell>
          <cell r="F1424">
            <v>0</v>
          </cell>
          <cell r="G1424">
            <v>0</v>
          </cell>
          <cell r="H1424">
            <v>0</v>
          </cell>
          <cell r="I1424">
            <v>0</v>
          </cell>
          <cell r="J1424">
            <v>0</v>
          </cell>
          <cell r="K1424">
            <v>0</v>
          </cell>
        </row>
        <row r="1425">
          <cell r="A1425" t="str">
            <v>17DWNZN</v>
          </cell>
          <cell r="B1425" t="str">
            <v>LETRAS EMITIDAS P.CPRA.DE CARTERA ACDO.1555, BBC, BCC, NAC</v>
          </cell>
          <cell r="C1425">
            <v>0</v>
          </cell>
          <cell r="D1425">
            <v>0</v>
          </cell>
          <cell r="E1425">
            <v>0</v>
          </cell>
          <cell r="F1425">
            <v>0</v>
          </cell>
          <cell r="G1425">
            <v>0</v>
          </cell>
          <cell r="H1425">
            <v>0</v>
          </cell>
          <cell r="I1425">
            <v>0</v>
          </cell>
          <cell r="J1425">
            <v>0</v>
          </cell>
          <cell r="K1425">
            <v>0</v>
          </cell>
        </row>
        <row r="1426">
          <cell r="A1426" t="str">
            <v>17DXNZN</v>
          </cell>
          <cell r="B1426" t="str">
            <v>REAJ.P.PAGAR S.LTS.EMITIDAS P.CPRA.CARTERA AC.1555, BBC, BCC</v>
          </cell>
          <cell r="C1426">
            <v>0</v>
          </cell>
          <cell r="D1426">
            <v>0</v>
          </cell>
          <cell r="E1426">
            <v>0</v>
          </cell>
          <cell r="F1426">
            <v>0</v>
          </cell>
          <cell r="G1426">
            <v>0</v>
          </cell>
          <cell r="H1426">
            <v>0</v>
          </cell>
          <cell r="I1426">
            <v>0</v>
          </cell>
          <cell r="J1426">
            <v>0</v>
          </cell>
          <cell r="K1426">
            <v>0</v>
          </cell>
        </row>
        <row r="1427">
          <cell r="A1427" t="str">
            <v>17FPNZN</v>
          </cell>
          <cell r="B1427" t="str">
            <v>DIFERENCIA PRECIO PERC.Y NO DEVENGADO U$D</v>
          </cell>
          <cell r="C1427">
            <v>0</v>
          </cell>
          <cell r="D1427">
            <v>0</v>
          </cell>
          <cell r="E1427">
            <v>0</v>
          </cell>
          <cell r="F1427">
            <v>0</v>
          </cell>
          <cell r="G1427">
            <v>0</v>
          </cell>
          <cell r="H1427">
            <v>0</v>
          </cell>
          <cell r="I1427">
            <v>0</v>
          </cell>
          <cell r="J1427">
            <v>0</v>
          </cell>
          <cell r="K1427">
            <v>0</v>
          </cell>
        </row>
        <row r="1428">
          <cell r="A1428" t="str">
            <v>22814JLNZN...</v>
          </cell>
          <cell r="B1428" t="str">
            <v>INTERESES RECIB.ANTICIP P/BONOS DEL BCO</v>
          </cell>
          <cell r="C1428">
            <v>77425</v>
          </cell>
          <cell r="D1428">
            <v>89197</v>
          </cell>
          <cell r="E1428">
            <v>98746</v>
          </cell>
          <cell r="F1428">
            <v>113946</v>
          </cell>
          <cell r="G1428">
            <v>126928</v>
          </cell>
          <cell r="H1428">
            <v>136184</v>
          </cell>
          <cell r="I1428">
            <v>144053</v>
          </cell>
          <cell r="J1428">
            <v>151779</v>
          </cell>
          <cell r="K1428">
            <v>156149</v>
          </cell>
        </row>
        <row r="1429">
          <cell r="A1429" t="str">
            <v>14BJXZN</v>
          </cell>
          <cell r="B1429" t="str">
            <v xml:space="preserve">  .CUENTAS DIVERSAS ME</v>
          </cell>
          <cell r="C1429">
            <v>14818713</v>
          </cell>
          <cell r="D1429">
            <v>15228172</v>
          </cell>
          <cell r="E1429">
            <v>14689034</v>
          </cell>
          <cell r="F1429">
            <v>14304365</v>
          </cell>
          <cell r="G1429">
            <v>14587751</v>
          </cell>
          <cell r="H1429">
            <v>14040434</v>
          </cell>
          <cell r="I1429">
            <v>14143695</v>
          </cell>
          <cell r="J1429">
            <v>13925107</v>
          </cell>
          <cell r="K1429">
            <v>13376083</v>
          </cell>
        </row>
        <row r="1430">
          <cell r="A1430" t="str">
            <v>17BBEZN</v>
          </cell>
          <cell r="B1430" t="str">
            <v>OPERAC. PENDIENTES  ME, BBC, BCC, EXT</v>
          </cell>
          <cell r="C1430">
            <v>0</v>
          </cell>
          <cell r="D1430">
            <v>0</v>
          </cell>
          <cell r="E1430">
            <v>0</v>
          </cell>
          <cell r="F1430">
            <v>0</v>
          </cell>
          <cell r="G1430">
            <v>0</v>
          </cell>
          <cell r="H1430">
            <v>2</v>
          </cell>
          <cell r="I1430">
            <v>272</v>
          </cell>
          <cell r="J1430">
            <v>0</v>
          </cell>
          <cell r="K1430">
            <v>320</v>
          </cell>
        </row>
        <row r="1431">
          <cell r="A1431" t="str">
            <v>-</v>
          </cell>
          <cell r="B1431" t="str">
            <v>OP.PEND.PART.SUJ.PRESCR.LEG.MN, BBC, BCC, EXT</v>
          </cell>
          <cell r="C1431">
            <v>0</v>
          </cell>
          <cell r="D1431">
            <v>0</v>
          </cell>
          <cell r="E1431">
            <v>0</v>
          </cell>
          <cell r="F1431">
            <v>0</v>
          </cell>
          <cell r="G1431">
            <v>0</v>
          </cell>
          <cell r="H1431">
            <v>0</v>
          </cell>
          <cell r="I1431">
            <v>0</v>
          </cell>
          <cell r="J1431">
            <v>0</v>
          </cell>
          <cell r="K1431">
            <v>0</v>
          </cell>
        </row>
        <row r="1432">
          <cell r="A1432" t="str">
            <v>17BFEZN</v>
          </cell>
          <cell r="B1432" t="str">
            <v>INTER.PERCIB.Y NO DEVENG.ME, BBC, BCC, EXT</v>
          </cell>
          <cell r="C1432">
            <v>0</v>
          </cell>
          <cell r="D1432">
            <v>0</v>
          </cell>
          <cell r="E1432">
            <v>0</v>
          </cell>
          <cell r="F1432">
            <v>0</v>
          </cell>
          <cell r="G1432">
            <v>0</v>
          </cell>
          <cell r="H1432">
            <v>0</v>
          </cell>
          <cell r="I1432">
            <v>0</v>
          </cell>
          <cell r="J1432">
            <v>0</v>
          </cell>
          <cell r="K1432">
            <v>0</v>
          </cell>
        </row>
        <row r="1433">
          <cell r="A1433" t="str">
            <v>17BVEZN</v>
          </cell>
          <cell r="B1433" t="str">
            <v>INGRESOS PERCIB.NO DEVENG.ME, BBC, BCC, EXT</v>
          </cell>
          <cell r="C1433">
            <v>0</v>
          </cell>
          <cell r="D1433">
            <v>0</v>
          </cell>
          <cell r="E1433">
            <v>0</v>
          </cell>
          <cell r="F1433">
            <v>0</v>
          </cell>
          <cell r="G1433">
            <v>0</v>
          </cell>
          <cell r="H1433">
            <v>0</v>
          </cell>
          <cell r="I1433">
            <v>0</v>
          </cell>
          <cell r="J1433">
            <v>0</v>
          </cell>
          <cell r="K1433">
            <v>0</v>
          </cell>
        </row>
        <row r="1434">
          <cell r="A1434" t="str">
            <v>-</v>
          </cell>
          <cell r="B1434" t="str">
            <v>INST.PERCIB.ANTICIP.CPRA.PDBC, BBC, BCC, EXT</v>
          </cell>
          <cell r="C1434">
            <v>0</v>
          </cell>
          <cell r="D1434">
            <v>0</v>
          </cell>
          <cell r="E1434">
            <v>0</v>
          </cell>
          <cell r="F1434">
            <v>0</v>
          </cell>
          <cell r="G1434">
            <v>0</v>
          </cell>
          <cell r="H1434">
            <v>0</v>
          </cell>
          <cell r="I1434">
            <v>0</v>
          </cell>
          <cell r="J1434">
            <v>0</v>
          </cell>
          <cell r="K1434">
            <v>0</v>
          </cell>
        </row>
        <row r="1435">
          <cell r="A1435" t="str">
            <v>-</v>
          </cell>
          <cell r="B1435" t="str">
            <v>INGRESOS EXTRAORD. RECIBIDOS DEL SINAP MN, BBC, BCC, EXT</v>
          </cell>
          <cell r="C1435">
            <v>0</v>
          </cell>
          <cell r="D1435">
            <v>0</v>
          </cell>
          <cell r="E1435">
            <v>0</v>
          </cell>
          <cell r="F1435">
            <v>0</v>
          </cell>
          <cell r="G1435">
            <v>0</v>
          </cell>
          <cell r="H1435">
            <v>0</v>
          </cell>
          <cell r="I1435">
            <v>0</v>
          </cell>
          <cell r="J1435">
            <v>0</v>
          </cell>
          <cell r="K1435">
            <v>0</v>
          </cell>
        </row>
        <row r="1436">
          <cell r="A1436" t="str">
            <v>-</v>
          </cell>
          <cell r="B1436" t="str">
            <v>INTS.PERC.ANTICIP.POR COMPRAS DE PDBC MN, BBC, BCC, EXT</v>
          </cell>
          <cell r="C1436">
            <v>0</v>
          </cell>
          <cell r="D1436">
            <v>0</v>
          </cell>
          <cell r="E1436">
            <v>0</v>
          </cell>
          <cell r="F1436">
            <v>0</v>
          </cell>
          <cell r="G1436">
            <v>0</v>
          </cell>
          <cell r="H1436">
            <v>0</v>
          </cell>
          <cell r="I1436">
            <v>0</v>
          </cell>
          <cell r="J1436">
            <v>0</v>
          </cell>
          <cell r="K1436">
            <v>0</v>
          </cell>
        </row>
        <row r="1437">
          <cell r="A1437" t="str">
            <v>17CIEZN</v>
          </cell>
          <cell r="B1437" t="str">
            <v xml:space="preserve">REPARTOS RECIBIDOS DE INSTIT.FINANC.EN LIQUID.MN, BBC, BCC, </v>
          </cell>
          <cell r="C1437">
            <v>0</v>
          </cell>
          <cell r="D1437">
            <v>0</v>
          </cell>
          <cell r="E1437">
            <v>0</v>
          </cell>
          <cell r="F1437">
            <v>0</v>
          </cell>
          <cell r="G1437">
            <v>0</v>
          </cell>
          <cell r="H1437">
            <v>0</v>
          </cell>
          <cell r="I1437">
            <v>0</v>
          </cell>
          <cell r="J1437">
            <v>0</v>
          </cell>
          <cell r="K1437">
            <v>0</v>
          </cell>
        </row>
        <row r="1438">
          <cell r="A1438" t="str">
            <v>17EXEZN</v>
          </cell>
          <cell r="B1438" t="str">
            <v>INGRESOS SUJETOS A LIQUIDACION FINAL S/CONT.EUROD., BBC, BCC</v>
          </cell>
          <cell r="C1438">
            <v>0</v>
          </cell>
          <cell r="D1438">
            <v>0</v>
          </cell>
          <cell r="E1438">
            <v>0</v>
          </cell>
          <cell r="F1438">
            <v>0</v>
          </cell>
          <cell r="G1438">
            <v>0</v>
          </cell>
          <cell r="H1438">
            <v>0</v>
          </cell>
          <cell r="I1438">
            <v>0</v>
          </cell>
          <cell r="J1438">
            <v>0</v>
          </cell>
          <cell r="K1438">
            <v>0</v>
          </cell>
        </row>
        <row r="1439">
          <cell r="A1439" t="str">
            <v>17EYEZN</v>
          </cell>
          <cell r="B1439" t="str">
            <v>OPERACIONES CON BUF-BHC PENDIENTES DE REEMBOLSO ME, BBC, BCC</v>
          </cell>
          <cell r="C1439">
            <v>0</v>
          </cell>
          <cell r="D1439">
            <v>0</v>
          </cell>
          <cell r="E1439">
            <v>0</v>
          </cell>
          <cell r="F1439">
            <v>0</v>
          </cell>
          <cell r="G1439">
            <v>0</v>
          </cell>
          <cell r="H1439">
            <v>0</v>
          </cell>
          <cell r="I1439">
            <v>0</v>
          </cell>
          <cell r="J1439">
            <v>0</v>
          </cell>
          <cell r="K1439">
            <v>0</v>
          </cell>
        </row>
        <row r="1440">
          <cell r="A1440" t="str">
            <v>-</v>
          </cell>
          <cell r="B1440" t="str">
            <v>TITULOS RECONOCIMIENTO DEUDA CAP XIX DEL CNCI POR, BBC, BCC,</v>
          </cell>
          <cell r="C1440">
            <v>0</v>
          </cell>
          <cell r="D1440">
            <v>0</v>
          </cell>
          <cell r="E1440">
            <v>0</v>
          </cell>
          <cell r="F1440">
            <v>0</v>
          </cell>
          <cell r="G1440">
            <v>0</v>
          </cell>
          <cell r="H1440">
            <v>0</v>
          </cell>
          <cell r="I1440">
            <v>0</v>
          </cell>
          <cell r="J1440">
            <v>0</v>
          </cell>
          <cell r="K1440">
            <v>0</v>
          </cell>
        </row>
        <row r="1441">
          <cell r="A1441" t="str">
            <v>17FGEZN</v>
          </cell>
          <cell r="B1441" t="str">
            <v>DOLARES POR ENTREGAR A BANCOS P.VTAS.MESA DINERO M, BBC, BCC</v>
          </cell>
          <cell r="C1441">
            <v>0</v>
          </cell>
          <cell r="D1441">
            <v>0</v>
          </cell>
          <cell r="E1441">
            <v>0</v>
          </cell>
          <cell r="F1441">
            <v>0</v>
          </cell>
          <cell r="G1441">
            <v>0</v>
          </cell>
          <cell r="H1441">
            <v>0</v>
          </cell>
          <cell r="I1441">
            <v>0</v>
          </cell>
          <cell r="J1441">
            <v>0</v>
          </cell>
          <cell r="K1441">
            <v>0</v>
          </cell>
        </row>
        <row r="1442">
          <cell r="A1442" t="str">
            <v>-</v>
          </cell>
          <cell r="B1442" t="str">
            <v>PESOS POR ENTREGAR A BCOS.P.COMP.DOL.MESA DINERO M, BBC, BCC</v>
          </cell>
          <cell r="C1442">
            <v>0</v>
          </cell>
          <cell r="D1442">
            <v>0</v>
          </cell>
          <cell r="E1442">
            <v>0</v>
          </cell>
          <cell r="F1442">
            <v>0</v>
          </cell>
          <cell r="G1442">
            <v>0</v>
          </cell>
          <cell r="H1442">
            <v>0</v>
          </cell>
          <cell r="I1442">
            <v>0</v>
          </cell>
          <cell r="J1442">
            <v>0</v>
          </cell>
          <cell r="K1442">
            <v>0</v>
          </cell>
        </row>
        <row r="1443">
          <cell r="A1443" t="str">
            <v>17ABEZN</v>
          </cell>
          <cell r="B1443" t="str">
            <v>PROVISIONES   ME, BBC, BCC, EXT</v>
          </cell>
          <cell r="C1443">
            <v>0</v>
          </cell>
          <cell r="D1443">
            <v>0</v>
          </cell>
          <cell r="E1443">
            <v>0</v>
          </cell>
          <cell r="F1443">
            <v>0</v>
          </cell>
          <cell r="G1443">
            <v>0</v>
          </cell>
          <cell r="H1443">
            <v>0</v>
          </cell>
          <cell r="I1443">
            <v>0</v>
          </cell>
          <cell r="J1443">
            <v>0</v>
          </cell>
          <cell r="K1443">
            <v>0</v>
          </cell>
        </row>
        <row r="1444">
          <cell r="A1444" t="str">
            <v>17EQEZN</v>
          </cell>
          <cell r="B1444" t="str">
            <v>PROVISIONES SOBRE COLOCACIONES ME, BBC, BCC, EXT</v>
          </cell>
          <cell r="C1444">
            <v>12285</v>
          </cell>
          <cell r="D1444">
            <v>12606</v>
          </cell>
          <cell r="E1444">
            <v>12168</v>
          </cell>
          <cell r="F1444">
            <v>11799</v>
          </cell>
          <cell r="G1444">
            <v>11879</v>
          </cell>
          <cell r="H1444">
            <v>11664</v>
          </cell>
          <cell r="I1444">
            <v>11805</v>
          </cell>
          <cell r="J1444">
            <v>11700</v>
          </cell>
          <cell r="K1444">
            <v>11127</v>
          </cell>
        </row>
        <row r="1445">
          <cell r="A1445" t="str">
            <v>17EREZN</v>
          </cell>
          <cell r="B1445" t="str">
            <v>PROVISIONES SOBRE INVERSIONES ME, BBC, BCC, EXT</v>
          </cell>
          <cell r="C1445">
            <v>0</v>
          </cell>
          <cell r="D1445">
            <v>0</v>
          </cell>
          <cell r="E1445">
            <v>0</v>
          </cell>
          <cell r="F1445">
            <v>0</v>
          </cell>
          <cell r="G1445">
            <v>0</v>
          </cell>
          <cell r="H1445">
            <v>0</v>
          </cell>
          <cell r="I1445">
            <v>0</v>
          </cell>
          <cell r="J1445">
            <v>0</v>
          </cell>
          <cell r="K1445">
            <v>0</v>
          </cell>
        </row>
        <row r="1446">
          <cell r="A1446" t="str">
            <v>-</v>
          </cell>
          <cell r="B1446" t="str">
            <v>OTRAS PROVISIONES MN, BBC, BCC, EXT</v>
          </cell>
          <cell r="C1446">
            <v>0</v>
          </cell>
          <cell r="D1446">
            <v>0</v>
          </cell>
          <cell r="E1446">
            <v>0</v>
          </cell>
          <cell r="F1446">
            <v>0</v>
          </cell>
          <cell r="G1446">
            <v>0</v>
          </cell>
          <cell r="H1446">
            <v>0</v>
          </cell>
          <cell r="I1446">
            <v>0</v>
          </cell>
          <cell r="J1446">
            <v>0</v>
          </cell>
          <cell r="K1446">
            <v>0</v>
          </cell>
        </row>
        <row r="1447">
          <cell r="A1447" t="str">
            <v>-</v>
          </cell>
          <cell r="B1447" t="str">
            <v>REVAL.PROVIS.CAPITAL PROP.MN, BBC, BCC, EXT</v>
          </cell>
          <cell r="C1447">
            <v>0</v>
          </cell>
          <cell r="D1447">
            <v>0</v>
          </cell>
          <cell r="E1447">
            <v>0</v>
          </cell>
          <cell r="F1447">
            <v>0</v>
          </cell>
          <cell r="G1447">
            <v>0</v>
          </cell>
          <cell r="H1447">
            <v>0</v>
          </cell>
          <cell r="I1447">
            <v>0</v>
          </cell>
          <cell r="J1447">
            <v>0</v>
          </cell>
          <cell r="K1447">
            <v>0</v>
          </cell>
        </row>
        <row r="1448">
          <cell r="A1448" t="str">
            <v>15FBEZN</v>
          </cell>
          <cell r="B1448" t="str">
            <v>FDO.ASIST.TEC.CRED.VIVIENA.ME, BBC, BCC, EXT</v>
          </cell>
          <cell r="C1448">
            <v>0</v>
          </cell>
          <cell r="D1448">
            <v>0</v>
          </cell>
          <cell r="E1448">
            <v>0</v>
          </cell>
          <cell r="F1448">
            <v>0</v>
          </cell>
          <cell r="G1448">
            <v>0</v>
          </cell>
          <cell r="H1448">
            <v>0</v>
          </cell>
          <cell r="I1448">
            <v>0</v>
          </cell>
          <cell r="J1448">
            <v>0</v>
          </cell>
          <cell r="K1448">
            <v>0</v>
          </cell>
        </row>
        <row r="1449">
          <cell r="A1449" t="str">
            <v>17BQEZN</v>
          </cell>
          <cell r="B1449" t="str">
            <v>FDOS.P/REEMB.CONV.CR.RECPR.ME, BBC, BCC, EXT</v>
          </cell>
          <cell r="C1449">
            <v>1</v>
          </cell>
          <cell r="D1449">
            <v>0</v>
          </cell>
          <cell r="E1449">
            <v>0</v>
          </cell>
          <cell r="F1449">
            <v>0</v>
          </cell>
          <cell r="G1449">
            <v>0</v>
          </cell>
          <cell r="H1449">
            <v>1</v>
          </cell>
          <cell r="I1449">
            <v>0</v>
          </cell>
          <cell r="J1449">
            <v>1</v>
          </cell>
          <cell r="K1449">
            <v>0</v>
          </cell>
        </row>
        <row r="1450">
          <cell r="A1450" t="str">
            <v>16DCEZN</v>
          </cell>
          <cell r="B1450" t="str">
            <v>CRED.DOCUMENTARIOS  ME, BBC, BCC, EXT</v>
          </cell>
          <cell r="C1450">
            <v>0</v>
          </cell>
          <cell r="D1450">
            <v>0</v>
          </cell>
          <cell r="E1450">
            <v>0</v>
          </cell>
          <cell r="F1450">
            <v>0</v>
          </cell>
          <cell r="G1450">
            <v>0</v>
          </cell>
          <cell r="H1450">
            <v>0</v>
          </cell>
          <cell r="I1450">
            <v>0</v>
          </cell>
          <cell r="J1450">
            <v>0</v>
          </cell>
          <cell r="K1450">
            <v>0</v>
          </cell>
        </row>
        <row r="1451">
          <cell r="A1451" t="str">
            <v>15IIEZN</v>
          </cell>
          <cell r="B1451" t="str">
            <v>OBLIG.P/VTAS.FUT.PAGADAS  ME, BBC, BCC, EXT</v>
          </cell>
          <cell r="C1451">
            <v>0</v>
          </cell>
          <cell r="D1451">
            <v>0</v>
          </cell>
          <cell r="E1451">
            <v>0</v>
          </cell>
          <cell r="F1451">
            <v>0</v>
          </cell>
          <cell r="G1451">
            <v>0</v>
          </cell>
          <cell r="H1451">
            <v>0</v>
          </cell>
          <cell r="I1451">
            <v>0</v>
          </cell>
          <cell r="J1451">
            <v>0</v>
          </cell>
          <cell r="K1451">
            <v>0</v>
          </cell>
        </row>
        <row r="1452">
          <cell r="A1452" t="str">
            <v>17BJEZN</v>
          </cell>
          <cell r="B1452" t="str">
            <v>OTR.OBLIG.A FAVOR TERCEROS ME, BBC, BCC, EXT</v>
          </cell>
          <cell r="C1452">
            <v>0</v>
          </cell>
          <cell r="D1452">
            <v>0</v>
          </cell>
          <cell r="E1452">
            <v>0</v>
          </cell>
          <cell r="F1452">
            <v>0</v>
          </cell>
          <cell r="G1452">
            <v>0</v>
          </cell>
          <cell r="H1452">
            <v>0</v>
          </cell>
          <cell r="I1452">
            <v>0</v>
          </cell>
          <cell r="J1452">
            <v>0</v>
          </cell>
          <cell r="K1452">
            <v>0</v>
          </cell>
        </row>
        <row r="1453">
          <cell r="A1453" t="str">
            <v>17BKEZN</v>
          </cell>
          <cell r="B1453" t="str">
            <v>VENTA CONDICIONAL DIVISAS ME, BBC, BCC, EXT</v>
          </cell>
          <cell r="C1453">
            <v>0</v>
          </cell>
          <cell r="D1453">
            <v>0</v>
          </cell>
          <cell r="E1453">
            <v>0</v>
          </cell>
          <cell r="F1453">
            <v>0</v>
          </cell>
          <cell r="G1453">
            <v>0</v>
          </cell>
          <cell r="H1453">
            <v>0</v>
          </cell>
          <cell r="I1453">
            <v>0</v>
          </cell>
          <cell r="J1453">
            <v>0</v>
          </cell>
          <cell r="K1453">
            <v>0</v>
          </cell>
        </row>
        <row r="1454">
          <cell r="A1454" t="str">
            <v>17BTEZN</v>
          </cell>
          <cell r="B1454" t="str">
            <v>DIVISAS ARBITRADAS A FUTURO  HABER, BBC, BCC, EXT</v>
          </cell>
          <cell r="C1454">
            <v>0</v>
          </cell>
          <cell r="D1454">
            <v>0</v>
          </cell>
          <cell r="E1454">
            <v>0</v>
          </cell>
          <cell r="F1454">
            <v>0</v>
          </cell>
          <cell r="G1454">
            <v>0</v>
          </cell>
          <cell r="H1454">
            <v>0</v>
          </cell>
          <cell r="I1454">
            <v>0</v>
          </cell>
          <cell r="J1454">
            <v>0</v>
          </cell>
          <cell r="K1454">
            <v>0</v>
          </cell>
        </row>
        <row r="1455">
          <cell r="A1455" t="str">
            <v>17CGEZN</v>
          </cell>
          <cell r="B1455" t="str">
            <v>FONDO DE RESERVA ME, BBC, BCC, EXT</v>
          </cell>
          <cell r="C1455">
            <v>0</v>
          </cell>
          <cell r="D1455">
            <v>0</v>
          </cell>
          <cell r="E1455">
            <v>0</v>
          </cell>
          <cell r="F1455">
            <v>0</v>
          </cell>
          <cell r="G1455">
            <v>0</v>
          </cell>
          <cell r="H1455">
            <v>0</v>
          </cell>
          <cell r="I1455">
            <v>0</v>
          </cell>
          <cell r="J1455">
            <v>0</v>
          </cell>
          <cell r="K1455">
            <v>0</v>
          </cell>
        </row>
        <row r="1456">
          <cell r="A1456" t="str">
            <v>17CFEZN</v>
          </cell>
          <cell r="B1456" t="str">
            <v>EQUIV.P.COMPRA CAMBIO FMI, BBC, BCC, EXT</v>
          </cell>
          <cell r="C1456">
            <v>0</v>
          </cell>
          <cell r="D1456">
            <v>0</v>
          </cell>
          <cell r="E1456">
            <v>0</v>
          </cell>
          <cell r="F1456">
            <v>0</v>
          </cell>
          <cell r="G1456">
            <v>0</v>
          </cell>
          <cell r="H1456">
            <v>0</v>
          </cell>
          <cell r="I1456">
            <v>0</v>
          </cell>
          <cell r="J1456">
            <v>0</v>
          </cell>
          <cell r="K1456">
            <v>0</v>
          </cell>
        </row>
        <row r="1457">
          <cell r="A1457" t="str">
            <v>17CHEZN</v>
          </cell>
          <cell r="B1457" t="str">
            <v>CONVERSION ME, BBC, BCC, EXT</v>
          </cell>
          <cell r="C1457">
            <v>15399989</v>
          </cell>
          <cell r="D1457">
            <v>15824648</v>
          </cell>
          <cell r="E1457">
            <v>15264782</v>
          </cell>
          <cell r="F1457">
            <v>14862667</v>
          </cell>
          <cell r="G1457">
            <v>15149852</v>
          </cell>
          <cell r="H1457">
            <v>14592329</v>
          </cell>
          <cell r="I1457">
            <v>14701262</v>
          </cell>
          <cell r="J1457">
            <v>14478005</v>
          </cell>
          <cell r="K1457">
            <v>13901578</v>
          </cell>
        </row>
        <row r="1458">
          <cell r="A1458" t="str">
            <v>17CJEZN</v>
          </cell>
          <cell r="B1458" t="str">
            <v>CONVERSION NUM.15 CEPAC ME, BBC, BCC, EXT</v>
          </cell>
          <cell r="C1458">
            <v>-589840</v>
          </cell>
          <cell r="D1458">
            <v>-605262</v>
          </cell>
          <cell r="E1458">
            <v>-584229</v>
          </cell>
          <cell r="F1458">
            <v>-566526</v>
          </cell>
          <cell r="G1458">
            <v>-570381</v>
          </cell>
          <cell r="H1458">
            <v>-560028</v>
          </cell>
          <cell r="I1458">
            <v>-566783</v>
          </cell>
          <cell r="J1458">
            <v>-561763</v>
          </cell>
          <cell r="K1458">
            <v>-534245</v>
          </cell>
        </row>
        <row r="1459">
          <cell r="A1459" t="str">
            <v>17BIEZN</v>
          </cell>
          <cell r="B1459" t="str">
            <v>ADEUDADO AL EXTERIOR P/ARBITRAJES A FUTURO ME, BBC, BCC, EXT</v>
          </cell>
          <cell r="C1459">
            <v>0</v>
          </cell>
          <cell r="D1459">
            <v>0</v>
          </cell>
          <cell r="E1459">
            <v>0</v>
          </cell>
          <cell r="F1459">
            <v>0</v>
          </cell>
          <cell r="G1459">
            <v>0</v>
          </cell>
          <cell r="H1459">
            <v>0</v>
          </cell>
          <cell r="I1459">
            <v>0</v>
          </cell>
          <cell r="J1459">
            <v>0</v>
          </cell>
          <cell r="K1459">
            <v>0</v>
          </cell>
        </row>
        <row r="1460">
          <cell r="A1460" t="str">
            <v>17DKEZN</v>
          </cell>
          <cell r="B1460" t="str">
            <v>CONVERSION DE DOLARES P.PAGARES BCO.CENTRAL, BBC, BCC, EXT</v>
          </cell>
          <cell r="C1460">
            <v>0</v>
          </cell>
          <cell r="D1460">
            <v>0</v>
          </cell>
          <cell r="E1460">
            <v>0</v>
          </cell>
          <cell r="F1460">
            <v>0</v>
          </cell>
          <cell r="G1460">
            <v>0</v>
          </cell>
          <cell r="H1460">
            <v>0</v>
          </cell>
          <cell r="I1460">
            <v>0</v>
          </cell>
          <cell r="J1460">
            <v>0</v>
          </cell>
          <cell r="K1460">
            <v>0</v>
          </cell>
        </row>
        <row r="1461">
          <cell r="A1461" t="str">
            <v>-</v>
          </cell>
          <cell r="B1461" t="str">
            <v>CONVERSION ESPECIAL DIFERENCIAL CAMBIARIO, BBC, BCC, EXT</v>
          </cell>
          <cell r="C1461">
            <v>0</v>
          </cell>
          <cell r="D1461">
            <v>0</v>
          </cell>
          <cell r="E1461">
            <v>0</v>
          </cell>
          <cell r="F1461">
            <v>0</v>
          </cell>
          <cell r="G1461">
            <v>0</v>
          </cell>
          <cell r="H1461">
            <v>0</v>
          </cell>
          <cell r="I1461">
            <v>0</v>
          </cell>
          <cell r="J1461">
            <v>0</v>
          </cell>
          <cell r="K1461">
            <v>0</v>
          </cell>
        </row>
        <row r="1462">
          <cell r="A1462" t="str">
            <v>17DLEZN</v>
          </cell>
          <cell r="B1462" t="str">
            <v>CONVERSION ESPECIAL ACDO.1470, BBC, BCC, EXT</v>
          </cell>
          <cell r="C1462">
            <v>0</v>
          </cell>
          <cell r="D1462">
            <v>0</v>
          </cell>
          <cell r="E1462">
            <v>0</v>
          </cell>
          <cell r="F1462">
            <v>0</v>
          </cell>
          <cell r="G1462">
            <v>0</v>
          </cell>
          <cell r="H1462">
            <v>0</v>
          </cell>
          <cell r="I1462">
            <v>0</v>
          </cell>
          <cell r="J1462">
            <v>0</v>
          </cell>
          <cell r="K1462">
            <v>0</v>
          </cell>
        </row>
        <row r="1463">
          <cell r="A1463" t="str">
            <v>17DJEZN</v>
          </cell>
          <cell r="B1463" t="str">
            <v>DIVISAS POR VENDER POR COMPRA DOLARES, BBC, BCC, EXT</v>
          </cell>
          <cell r="C1463">
            <v>0</v>
          </cell>
          <cell r="D1463">
            <v>0</v>
          </cell>
          <cell r="E1463">
            <v>0</v>
          </cell>
          <cell r="F1463">
            <v>0</v>
          </cell>
          <cell r="G1463">
            <v>0</v>
          </cell>
          <cell r="H1463">
            <v>0</v>
          </cell>
          <cell r="I1463">
            <v>0</v>
          </cell>
          <cell r="J1463">
            <v>0</v>
          </cell>
          <cell r="K1463">
            <v>0</v>
          </cell>
        </row>
        <row r="1464">
          <cell r="A1464" t="str">
            <v>17DMEZN</v>
          </cell>
          <cell r="B1464" t="str">
            <v>CONVERSION OPERACIONES EXPRESADAS EN M/E, BBC, BCC, EXT</v>
          </cell>
          <cell r="C1464">
            <v>0</v>
          </cell>
          <cell r="D1464">
            <v>0</v>
          </cell>
          <cell r="E1464">
            <v>0</v>
          </cell>
          <cell r="F1464">
            <v>0</v>
          </cell>
          <cell r="G1464">
            <v>0</v>
          </cell>
          <cell r="H1464">
            <v>0</v>
          </cell>
          <cell r="I1464">
            <v>0</v>
          </cell>
          <cell r="J1464">
            <v>0</v>
          </cell>
          <cell r="K1464">
            <v>0</v>
          </cell>
        </row>
        <row r="1465">
          <cell r="A1465" t="str">
            <v>17DNEZN</v>
          </cell>
          <cell r="B1465" t="str">
            <v>INTERESES P.SOBREGIRO SUJETOS A ANALISIS HABER ME, BBC, BCC,</v>
          </cell>
          <cell r="C1465">
            <v>0</v>
          </cell>
          <cell r="D1465">
            <v>0</v>
          </cell>
          <cell r="E1465">
            <v>0</v>
          </cell>
          <cell r="F1465">
            <v>0</v>
          </cell>
          <cell r="G1465">
            <v>0</v>
          </cell>
          <cell r="H1465">
            <v>0</v>
          </cell>
          <cell r="I1465">
            <v>0</v>
          </cell>
          <cell r="J1465">
            <v>0</v>
          </cell>
          <cell r="K1465">
            <v>0</v>
          </cell>
        </row>
        <row r="1466">
          <cell r="A1466" t="str">
            <v>17DQEZN</v>
          </cell>
          <cell r="B1466" t="str">
            <v xml:space="preserve">CONVERSION COMPRA DOLARES C.PACTO RETROVENTA  ME, BBC, BCC, </v>
          </cell>
          <cell r="C1466">
            <v>0</v>
          </cell>
          <cell r="D1466">
            <v>0</v>
          </cell>
          <cell r="E1466">
            <v>0</v>
          </cell>
          <cell r="F1466">
            <v>0</v>
          </cell>
          <cell r="G1466">
            <v>0</v>
          </cell>
          <cell r="H1466">
            <v>0</v>
          </cell>
          <cell r="I1466">
            <v>0</v>
          </cell>
          <cell r="J1466">
            <v>0</v>
          </cell>
          <cell r="K1466">
            <v>0</v>
          </cell>
        </row>
        <row r="1467">
          <cell r="A1467" t="str">
            <v>17EVEZN</v>
          </cell>
          <cell r="B1467" t="str">
            <v>CONVERSION VENTA DOLARES C.PACTO RETROCOMPRA ME, BBC, BCC, E</v>
          </cell>
          <cell r="C1467">
            <v>0</v>
          </cell>
          <cell r="D1467">
            <v>0</v>
          </cell>
          <cell r="E1467">
            <v>0</v>
          </cell>
          <cell r="F1467">
            <v>0</v>
          </cell>
          <cell r="G1467">
            <v>0</v>
          </cell>
          <cell r="H1467">
            <v>0</v>
          </cell>
          <cell r="I1467">
            <v>0</v>
          </cell>
          <cell r="J1467">
            <v>0</v>
          </cell>
          <cell r="K1467">
            <v>0</v>
          </cell>
        </row>
        <row r="1468">
          <cell r="A1468" t="str">
            <v>17DREZN</v>
          </cell>
          <cell r="B1468" t="str">
            <v>RECLAMACIONES TRIBUTARIAS PENDIENTES DE RESOLUCION, BBC, BCC</v>
          </cell>
          <cell r="C1468">
            <v>0</v>
          </cell>
          <cell r="D1468">
            <v>0</v>
          </cell>
          <cell r="E1468">
            <v>0</v>
          </cell>
          <cell r="F1468">
            <v>0</v>
          </cell>
          <cell r="G1468">
            <v>0</v>
          </cell>
          <cell r="H1468">
            <v>0</v>
          </cell>
          <cell r="I1468">
            <v>0</v>
          </cell>
          <cell r="J1468">
            <v>0</v>
          </cell>
          <cell r="K1468">
            <v>0</v>
          </cell>
        </row>
        <row r="1469">
          <cell r="A1469" t="str">
            <v>17DSEZN</v>
          </cell>
          <cell r="B1469" t="str">
            <v>CONVERSION DE US$ C.PACTO RETROVENTA CON T.C EN UF, BBC, BCC</v>
          </cell>
          <cell r="C1469">
            <v>0</v>
          </cell>
          <cell r="D1469">
            <v>0</v>
          </cell>
          <cell r="E1469">
            <v>0</v>
          </cell>
          <cell r="F1469">
            <v>0</v>
          </cell>
          <cell r="G1469">
            <v>0</v>
          </cell>
          <cell r="H1469">
            <v>0</v>
          </cell>
          <cell r="I1469">
            <v>0</v>
          </cell>
          <cell r="J1469">
            <v>0</v>
          </cell>
          <cell r="K1469">
            <v>0</v>
          </cell>
        </row>
        <row r="1470">
          <cell r="A1470" t="str">
            <v>17DVEZN</v>
          </cell>
          <cell r="B1470" t="str">
            <v>CONVERSION P.RENEGOCIACION DEUDA TRANSP.ACDO.1513, BBC, BCC,</v>
          </cell>
          <cell r="C1470">
            <v>0</v>
          </cell>
          <cell r="D1470">
            <v>0</v>
          </cell>
          <cell r="E1470">
            <v>0</v>
          </cell>
          <cell r="F1470">
            <v>0</v>
          </cell>
          <cell r="G1470">
            <v>0</v>
          </cell>
          <cell r="H1470">
            <v>0</v>
          </cell>
          <cell r="I1470">
            <v>0</v>
          </cell>
          <cell r="J1470">
            <v>0</v>
          </cell>
          <cell r="K1470">
            <v>0</v>
          </cell>
        </row>
        <row r="1471">
          <cell r="A1471" t="str">
            <v>17DYEZN</v>
          </cell>
          <cell r="B1471" t="str">
            <v>CONVERSION ACUERDO 1578 (DESDOLARIZACION) ME, BBC, BCC, EXT</v>
          </cell>
          <cell r="C1471">
            <v>0</v>
          </cell>
          <cell r="D1471">
            <v>0</v>
          </cell>
          <cell r="E1471">
            <v>0</v>
          </cell>
          <cell r="F1471">
            <v>0</v>
          </cell>
          <cell r="G1471">
            <v>0</v>
          </cell>
          <cell r="H1471">
            <v>0</v>
          </cell>
          <cell r="I1471">
            <v>0</v>
          </cell>
          <cell r="J1471">
            <v>0</v>
          </cell>
          <cell r="K1471">
            <v>0</v>
          </cell>
        </row>
        <row r="1472">
          <cell r="A1472" t="str">
            <v>17ENEZN</v>
          </cell>
          <cell r="B1472" t="str">
            <v>CONVERSION COMPRA DOLARES C/PACTO RETROVENTA CAP I, BBC, BCC</v>
          </cell>
          <cell r="C1472">
            <v>0</v>
          </cell>
          <cell r="D1472">
            <v>0</v>
          </cell>
          <cell r="E1472">
            <v>0</v>
          </cell>
          <cell r="F1472">
            <v>0</v>
          </cell>
          <cell r="G1472">
            <v>0</v>
          </cell>
          <cell r="H1472">
            <v>0</v>
          </cell>
          <cell r="I1472">
            <v>0</v>
          </cell>
          <cell r="J1472">
            <v>0</v>
          </cell>
          <cell r="K1472">
            <v>0</v>
          </cell>
        </row>
        <row r="1473">
          <cell r="A1473" t="str">
            <v>17ELEZN</v>
          </cell>
          <cell r="B1473" t="str">
            <v>PASIVOS ASUMIDOS DEL BANCO CONTINENTAL L.18430 MN, BBC, BCC,</v>
          </cell>
          <cell r="C1473">
            <v>0</v>
          </cell>
          <cell r="D1473">
            <v>0</v>
          </cell>
          <cell r="E1473">
            <v>0</v>
          </cell>
          <cell r="F1473">
            <v>0</v>
          </cell>
          <cell r="G1473">
            <v>0</v>
          </cell>
          <cell r="H1473">
            <v>0</v>
          </cell>
          <cell r="I1473">
            <v>0</v>
          </cell>
          <cell r="J1473">
            <v>0</v>
          </cell>
          <cell r="K1473">
            <v>0</v>
          </cell>
        </row>
        <row r="1474">
          <cell r="A1474" t="str">
            <v>17DZEZN</v>
          </cell>
          <cell r="B1474" t="str">
            <v>PASIVOS ASUMIDOS DEL BCNV LEY 18412 ME, BBC, BCC, EXT</v>
          </cell>
          <cell r="C1474">
            <v>0</v>
          </cell>
          <cell r="D1474">
            <v>0</v>
          </cell>
          <cell r="E1474">
            <v>0</v>
          </cell>
          <cell r="F1474">
            <v>0</v>
          </cell>
          <cell r="G1474">
            <v>0</v>
          </cell>
          <cell r="H1474">
            <v>0</v>
          </cell>
          <cell r="I1474">
            <v>0</v>
          </cell>
          <cell r="J1474">
            <v>0</v>
          </cell>
          <cell r="K1474">
            <v>0</v>
          </cell>
        </row>
        <row r="1475">
          <cell r="A1475" t="str">
            <v>17EWEZN</v>
          </cell>
          <cell r="B1475" t="str">
            <v>CONV.P.REPR.DEUD.TRANSPORTE AC 1845 ME, BBC, BCC, EXT</v>
          </cell>
          <cell r="C1475">
            <v>0</v>
          </cell>
          <cell r="D1475">
            <v>0</v>
          </cell>
          <cell r="E1475">
            <v>0</v>
          </cell>
          <cell r="F1475">
            <v>0</v>
          </cell>
          <cell r="G1475">
            <v>0</v>
          </cell>
          <cell r="H1475">
            <v>0</v>
          </cell>
          <cell r="I1475">
            <v>0</v>
          </cell>
          <cell r="J1475">
            <v>0</v>
          </cell>
          <cell r="K1475">
            <v>0</v>
          </cell>
        </row>
        <row r="1476">
          <cell r="A1476" t="str">
            <v>17FEEZN</v>
          </cell>
          <cell r="B1476" t="str">
            <v>CONVERSION SALDO PRECIO PAGARE ADQ.AL BECH EXP.DOL, BBC, BCC</v>
          </cell>
          <cell r="C1476">
            <v>0</v>
          </cell>
          <cell r="D1476">
            <v>0</v>
          </cell>
          <cell r="E1476">
            <v>0</v>
          </cell>
          <cell r="F1476">
            <v>0</v>
          </cell>
          <cell r="G1476">
            <v>0</v>
          </cell>
          <cell r="H1476">
            <v>0</v>
          </cell>
          <cell r="I1476">
            <v>0</v>
          </cell>
          <cell r="J1476">
            <v>0</v>
          </cell>
          <cell r="K1476">
            <v>0</v>
          </cell>
        </row>
        <row r="1477">
          <cell r="A1477" t="str">
            <v>17FDEZN</v>
          </cell>
          <cell r="B1477" t="str">
            <v>CONVERSION CERTIF.DEPOSITOS EXPR.EN US$ AC.1649, BBC, BCC, E</v>
          </cell>
          <cell r="C1477">
            <v>-3722</v>
          </cell>
          <cell r="D1477">
            <v>-3820</v>
          </cell>
          <cell r="E1477">
            <v>-3687</v>
          </cell>
          <cell r="F1477">
            <v>-3575</v>
          </cell>
          <cell r="G1477">
            <v>-3599</v>
          </cell>
          <cell r="H1477">
            <v>-3534</v>
          </cell>
          <cell r="I1477">
            <v>-2861</v>
          </cell>
          <cell r="J1477">
            <v>-2836</v>
          </cell>
          <cell r="K1477">
            <v>-2697</v>
          </cell>
        </row>
        <row r="1478">
          <cell r="A1478" t="str">
            <v>-</v>
          </cell>
          <cell r="B1478" t="str">
            <v>DEPRECIACION ACUMULADA BIENES RAICES, BBC, BCC, EXT</v>
          </cell>
          <cell r="C1478">
            <v>0</v>
          </cell>
          <cell r="D1478">
            <v>0</v>
          </cell>
          <cell r="E1478">
            <v>0</v>
          </cell>
          <cell r="F1478">
            <v>0</v>
          </cell>
          <cell r="G1478">
            <v>0</v>
          </cell>
          <cell r="H1478">
            <v>0</v>
          </cell>
          <cell r="I1478">
            <v>0</v>
          </cell>
          <cell r="J1478">
            <v>0</v>
          </cell>
          <cell r="K1478">
            <v>0</v>
          </cell>
        </row>
        <row r="1479">
          <cell r="A1479" t="str">
            <v>-</v>
          </cell>
          <cell r="B1479" t="str">
            <v>COR.MONETARIA S/DEP.ACUM. BS RS, BBC, BCC, EXT</v>
          </cell>
          <cell r="C1479">
            <v>0</v>
          </cell>
          <cell r="D1479">
            <v>0</v>
          </cell>
          <cell r="E1479">
            <v>0</v>
          </cell>
          <cell r="F1479">
            <v>0</v>
          </cell>
          <cell r="G1479">
            <v>0</v>
          </cell>
          <cell r="H1479">
            <v>0</v>
          </cell>
          <cell r="I1479">
            <v>0</v>
          </cell>
          <cell r="J1479">
            <v>0</v>
          </cell>
          <cell r="K1479">
            <v>0</v>
          </cell>
        </row>
        <row r="1480">
          <cell r="A1480" t="str">
            <v>-</v>
          </cell>
          <cell r="B1480" t="str">
            <v>DEPRECIACION ACUMULADA BIENES MUEBLES, BBC, BCC, EXT</v>
          </cell>
          <cell r="C1480">
            <v>0</v>
          </cell>
          <cell r="D1480">
            <v>0</v>
          </cell>
          <cell r="E1480">
            <v>0</v>
          </cell>
          <cell r="F1480">
            <v>0</v>
          </cell>
          <cell r="G1480">
            <v>0</v>
          </cell>
          <cell r="H1480">
            <v>0</v>
          </cell>
          <cell r="I1480">
            <v>0</v>
          </cell>
          <cell r="J1480">
            <v>0</v>
          </cell>
          <cell r="K1480">
            <v>0</v>
          </cell>
        </row>
        <row r="1481">
          <cell r="A1481" t="str">
            <v>-</v>
          </cell>
          <cell r="B1481" t="str">
            <v>COR.MONETARIA S/DEP.ACUM. BS MUEBLES, BBC, BCC, EXT</v>
          </cell>
          <cell r="C1481">
            <v>0</v>
          </cell>
          <cell r="D1481">
            <v>0</v>
          </cell>
          <cell r="E1481">
            <v>0</v>
          </cell>
          <cell r="F1481">
            <v>0</v>
          </cell>
          <cell r="G1481">
            <v>0</v>
          </cell>
          <cell r="H1481">
            <v>0</v>
          </cell>
          <cell r="I1481">
            <v>0</v>
          </cell>
          <cell r="J1481">
            <v>0</v>
          </cell>
          <cell r="K1481">
            <v>0</v>
          </cell>
        </row>
        <row r="1482">
          <cell r="A1482" t="str">
            <v>-</v>
          </cell>
          <cell r="B1482" t="str">
            <v>DEPREC.ACUMUL. S/INSTALACIONES MN, BBC, BCC, EXT</v>
          </cell>
          <cell r="C1482">
            <v>0</v>
          </cell>
          <cell r="D1482">
            <v>0</v>
          </cell>
          <cell r="E1482">
            <v>0</v>
          </cell>
          <cell r="F1482">
            <v>0</v>
          </cell>
          <cell r="G1482">
            <v>0</v>
          </cell>
          <cell r="H1482">
            <v>0</v>
          </cell>
          <cell r="I1482">
            <v>0</v>
          </cell>
          <cell r="J1482">
            <v>0</v>
          </cell>
          <cell r="K1482">
            <v>0</v>
          </cell>
        </row>
        <row r="1483">
          <cell r="A1483" t="str">
            <v>-</v>
          </cell>
          <cell r="B1483" t="str">
            <v>DEPRECIACION ACUMULADA VEHICULOS, BBC, BCC, EXT</v>
          </cell>
          <cell r="C1483">
            <v>0</v>
          </cell>
          <cell r="D1483">
            <v>0</v>
          </cell>
          <cell r="E1483">
            <v>0</v>
          </cell>
          <cell r="F1483">
            <v>0</v>
          </cell>
          <cell r="G1483">
            <v>0</v>
          </cell>
          <cell r="H1483">
            <v>0</v>
          </cell>
          <cell r="I1483">
            <v>0</v>
          </cell>
          <cell r="J1483">
            <v>0</v>
          </cell>
          <cell r="K1483">
            <v>0</v>
          </cell>
        </row>
        <row r="1484">
          <cell r="A1484" t="str">
            <v>-</v>
          </cell>
          <cell r="B1484" t="str">
            <v>COR.MONETARIA S/DEP.ACUM. VEHICULOS, BBC, BCC, EXT</v>
          </cell>
          <cell r="C1484">
            <v>0</v>
          </cell>
          <cell r="D1484">
            <v>0</v>
          </cell>
          <cell r="E1484">
            <v>0</v>
          </cell>
          <cell r="F1484">
            <v>0</v>
          </cell>
          <cell r="G1484">
            <v>0</v>
          </cell>
          <cell r="H1484">
            <v>0</v>
          </cell>
          <cell r="I1484">
            <v>0</v>
          </cell>
          <cell r="J1484">
            <v>0</v>
          </cell>
          <cell r="K1484">
            <v>0</v>
          </cell>
        </row>
        <row r="1485">
          <cell r="A1485" t="str">
            <v>-</v>
          </cell>
          <cell r="B1485" t="str">
            <v>CORREC MONETARIA PROV S/MEDALLAS FRN Y OTRAS, BBC, BCC, EXT</v>
          </cell>
          <cell r="C1485">
            <v>0</v>
          </cell>
          <cell r="D1485">
            <v>0</v>
          </cell>
          <cell r="E1485">
            <v>0</v>
          </cell>
          <cell r="F1485">
            <v>0</v>
          </cell>
          <cell r="G1485">
            <v>0</v>
          </cell>
          <cell r="H1485">
            <v>0</v>
          </cell>
          <cell r="I1485">
            <v>0</v>
          </cell>
          <cell r="J1485">
            <v>0</v>
          </cell>
          <cell r="K1485">
            <v>0</v>
          </cell>
        </row>
        <row r="1486">
          <cell r="A1486" t="str">
            <v>17ALEZN</v>
          </cell>
          <cell r="B1486" t="str">
            <v>LETRAS POR ADQ.DE CARTERA A INST.FINANCIERAS ME, BBC, BCC, E</v>
          </cell>
          <cell r="C1486">
            <v>0</v>
          </cell>
          <cell r="D1486">
            <v>0</v>
          </cell>
          <cell r="E1486">
            <v>0</v>
          </cell>
          <cell r="F1486">
            <v>0</v>
          </cell>
          <cell r="G1486">
            <v>0</v>
          </cell>
          <cell r="H1486">
            <v>0</v>
          </cell>
          <cell r="I1486">
            <v>0</v>
          </cell>
          <cell r="J1486">
            <v>0</v>
          </cell>
          <cell r="K1486">
            <v>0</v>
          </cell>
        </row>
        <row r="1487">
          <cell r="A1487" t="str">
            <v>-</v>
          </cell>
          <cell r="B1487" t="str">
            <v>REAJ.P.PAGAR S.LTS.P.ADQ.DE CARTERA A INST.FINAN.M, BBC, BCC</v>
          </cell>
          <cell r="C1487">
            <v>0</v>
          </cell>
          <cell r="D1487">
            <v>0</v>
          </cell>
          <cell r="E1487">
            <v>0</v>
          </cell>
          <cell r="F1487">
            <v>0</v>
          </cell>
          <cell r="G1487">
            <v>0</v>
          </cell>
          <cell r="H1487">
            <v>0</v>
          </cell>
          <cell r="I1487">
            <v>0</v>
          </cell>
          <cell r="J1487">
            <v>0</v>
          </cell>
          <cell r="K1487">
            <v>0</v>
          </cell>
        </row>
        <row r="1488">
          <cell r="A1488" t="str">
            <v>-</v>
          </cell>
          <cell r="B1488" t="str">
            <v>LETRAS EMITIDAS P.CPRA.DE CARTERA ACDO.1555, BBC, BCC, EXT</v>
          </cell>
          <cell r="C1488">
            <v>0</v>
          </cell>
          <cell r="D1488">
            <v>0</v>
          </cell>
          <cell r="E1488">
            <v>0</v>
          </cell>
          <cell r="F1488">
            <v>0</v>
          </cell>
          <cell r="G1488">
            <v>0</v>
          </cell>
          <cell r="H1488">
            <v>0</v>
          </cell>
          <cell r="I1488">
            <v>0</v>
          </cell>
          <cell r="J1488">
            <v>0</v>
          </cell>
          <cell r="K1488">
            <v>0</v>
          </cell>
        </row>
        <row r="1489">
          <cell r="A1489" t="str">
            <v>-</v>
          </cell>
          <cell r="B1489" t="str">
            <v>REAJ.P.PAGAR S.LTS.EMITIDAS P.CPRA.CARTERA AC.1555, BBC, BCC</v>
          </cell>
          <cell r="C1489">
            <v>0</v>
          </cell>
          <cell r="D1489">
            <v>0</v>
          </cell>
          <cell r="E1489">
            <v>0</v>
          </cell>
          <cell r="F1489">
            <v>0</v>
          </cell>
          <cell r="G1489">
            <v>0</v>
          </cell>
          <cell r="H1489">
            <v>0</v>
          </cell>
          <cell r="I1489">
            <v>0</v>
          </cell>
          <cell r="J1489">
            <v>0</v>
          </cell>
          <cell r="K1489">
            <v>0</v>
          </cell>
        </row>
        <row r="1490">
          <cell r="A1490" t="str">
            <v>14BKWZN</v>
          </cell>
          <cell r="B1490" t="str">
            <v xml:space="preserve">  .CAPITAL Y RESERVAS</v>
          </cell>
          <cell r="C1490">
            <v>873508</v>
          </cell>
          <cell r="D1490">
            <v>874385</v>
          </cell>
          <cell r="E1490">
            <v>881401</v>
          </cell>
          <cell r="F1490">
            <v>891048</v>
          </cell>
          <cell r="G1490">
            <v>890171</v>
          </cell>
          <cell r="H1490">
            <v>886663</v>
          </cell>
          <cell r="I1490">
            <v>886663</v>
          </cell>
          <cell r="J1490">
            <v>886663</v>
          </cell>
          <cell r="K1490">
            <v>887540</v>
          </cell>
        </row>
        <row r="1491">
          <cell r="A1491" t="str">
            <v>17ABNZN</v>
          </cell>
          <cell r="B1491" t="str">
            <v>CAPITAL  MN, BBC, BCC, NAC</v>
          </cell>
          <cell r="C1491">
            <v>877016</v>
          </cell>
          <cell r="D1491">
            <v>877016</v>
          </cell>
          <cell r="E1491">
            <v>877016</v>
          </cell>
          <cell r="F1491">
            <v>877016</v>
          </cell>
          <cell r="G1491">
            <v>877016</v>
          </cell>
          <cell r="H1491">
            <v>877016</v>
          </cell>
          <cell r="I1491">
            <v>877016</v>
          </cell>
          <cell r="J1491">
            <v>877016</v>
          </cell>
          <cell r="K1491">
            <v>877016</v>
          </cell>
        </row>
        <row r="1492">
          <cell r="A1492" t="str">
            <v>-</v>
          </cell>
          <cell r="B1492" t="str">
            <v>RESERVA LEGAL, BBC, BCC, NAC</v>
          </cell>
          <cell r="C1492">
            <v>0</v>
          </cell>
          <cell r="D1492">
            <v>0</v>
          </cell>
          <cell r="E1492">
            <v>0</v>
          </cell>
          <cell r="F1492">
            <v>0</v>
          </cell>
          <cell r="G1492">
            <v>0</v>
          </cell>
          <cell r="H1492">
            <v>0</v>
          </cell>
          <cell r="I1492">
            <v>0</v>
          </cell>
          <cell r="J1492">
            <v>0</v>
          </cell>
          <cell r="K1492">
            <v>0</v>
          </cell>
        </row>
        <row r="1493">
          <cell r="A1493" t="str">
            <v>17ADNZN</v>
          </cell>
          <cell r="B1493" t="str">
            <v>FONDO DE FLUCTUACIONES MN, BBC, BCC, NAC</v>
          </cell>
          <cell r="C1493">
            <v>0</v>
          </cell>
          <cell r="D1493">
            <v>0</v>
          </cell>
          <cell r="E1493">
            <v>0</v>
          </cell>
          <cell r="F1493">
            <v>0</v>
          </cell>
          <cell r="G1493">
            <v>0</v>
          </cell>
          <cell r="H1493">
            <v>0</v>
          </cell>
          <cell r="I1493">
            <v>0</v>
          </cell>
          <cell r="J1493">
            <v>0</v>
          </cell>
          <cell r="K1493">
            <v>0</v>
          </cell>
        </row>
        <row r="1494">
          <cell r="A1494" t="str">
            <v>17ACNZN</v>
          </cell>
          <cell r="B1494" t="str">
            <v>FONDO EVENTUALIDADES MN, BBC, BCC, NAC</v>
          </cell>
          <cell r="C1494">
            <v>0</v>
          </cell>
          <cell r="D1494">
            <v>0</v>
          </cell>
          <cell r="E1494">
            <v>0</v>
          </cell>
          <cell r="F1494">
            <v>0</v>
          </cell>
          <cell r="G1494">
            <v>0</v>
          </cell>
          <cell r="H1494">
            <v>0</v>
          </cell>
          <cell r="I1494">
            <v>0</v>
          </cell>
          <cell r="J1494">
            <v>0</v>
          </cell>
          <cell r="K1494">
            <v>0</v>
          </cell>
        </row>
        <row r="1495">
          <cell r="A1495" t="str">
            <v>17AGNZN</v>
          </cell>
          <cell r="B1495" t="str">
            <v>REVALORIZACION CAP.PROPIO MN, BBC, BCC, NAC</v>
          </cell>
          <cell r="C1495">
            <v>0</v>
          </cell>
          <cell r="D1495">
            <v>0</v>
          </cell>
          <cell r="E1495">
            <v>0</v>
          </cell>
          <cell r="F1495">
            <v>0</v>
          </cell>
          <cell r="G1495">
            <v>0</v>
          </cell>
          <cell r="H1495">
            <v>0</v>
          </cell>
          <cell r="I1495">
            <v>0</v>
          </cell>
          <cell r="J1495">
            <v>0</v>
          </cell>
          <cell r="K1495">
            <v>0</v>
          </cell>
        </row>
        <row r="1496">
          <cell r="A1496" t="str">
            <v>17AXNZN</v>
          </cell>
          <cell r="B1496" t="str">
            <v>REVALORIZACION PROVISIONAL CAPITAL PROPIO MN, BBC, BCC, NAC</v>
          </cell>
          <cell r="C1496">
            <v>-3508</v>
          </cell>
          <cell r="D1496">
            <v>-2631</v>
          </cell>
          <cell r="E1496">
            <v>4385</v>
          </cell>
          <cell r="F1496">
            <v>14032</v>
          </cell>
          <cell r="G1496">
            <v>13155</v>
          </cell>
          <cell r="H1496">
            <v>9647</v>
          </cell>
          <cell r="I1496">
            <v>9647</v>
          </cell>
          <cell r="J1496">
            <v>9647</v>
          </cell>
          <cell r="K1496">
            <v>10524</v>
          </cell>
        </row>
        <row r="1497">
          <cell r="A1497" t="str">
            <v>14BMWZN</v>
          </cell>
          <cell r="B1497" t="str">
            <v xml:space="preserve">  .UTILIDADES MONETARIAS MN</v>
          </cell>
          <cell r="C1497">
            <v>558232</v>
          </cell>
          <cell r="D1497">
            <v>939199</v>
          </cell>
          <cell r="E1497">
            <v>376107</v>
          </cell>
          <cell r="F1497">
            <v>140097</v>
          </cell>
          <cell r="G1497">
            <v>323549</v>
          </cell>
          <cell r="H1497">
            <v>180417</v>
          </cell>
          <cell r="I1497">
            <v>175319</v>
          </cell>
          <cell r="J1497">
            <v>73912</v>
          </cell>
          <cell r="K1497">
            <v>131071</v>
          </cell>
        </row>
        <row r="1498">
          <cell r="A1498" t="str">
            <v>17JBNZN</v>
          </cell>
          <cell r="B1498" t="str">
            <v>REAJ.GANAD.S/CRED.OTORG.A CAJA CENTRAL AA Y PP MN, BBC, BCC,</v>
          </cell>
          <cell r="C1498">
            <v>-128</v>
          </cell>
          <cell r="D1498">
            <v>-148</v>
          </cell>
          <cell r="E1498">
            <v>96</v>
          </cell>
          <cell r="F1498">
            <v>536</v>
          </cell>
          <cell r="G1498">
            <v>655</v>
          </cell>
          <cell r="H1498">
            <v>526</v>
          </cell>
          <cell r="I1498">
            <v>477</v>
          </cell>
          <cell r="J1498">
            <v>447</v>
          </cell>
          <cell r="K1498">
            <v>493</v>
          </cell>
        </row>
        <row r="1499">
          <cell r="A1499" t="str">
            <v>17JCNZN</v>
          </cell>
          <cell r="B1499" t="str">
            <v>REAJ.GANAD.S/LC PROG.ORG.INT.INST.SEMIF.AUT Y OTRA, BBC, BCC</v>
          </cell>
          <cell r="C1499">
            <v>0</v>
          </cell>
          <cell r="D1499">
            <v>0</v>
          </cell>
          <cell r="E1499">
            <v>0</v>
          </cell>
          <cell r="F1499">
            <v>0</v>
          </cell>
          <cell r="G1499">
            <v>0</v>
          </cell>
          <cell r="H1499">
            <v>0</v>
          </cell>
          <cell r="I1499">
            <v>0</v>
          </cell>
          <cell r="J1499">
            <v>0</v>
          </cell>
          <cell r="K1499">
            <v>0</v>
          </cell>
        </row>
        <row r="1500">
          <cell r="A1500" t="str">
            <v>17JDNZN</v>
          </cell>
          <cell r="B1500" t="str">
            <v>REAJ.GANAD.S/REF.REAJ.BANCO DEL ESTADO MN, BBC, BCC, NAC</v>
          </cell>
          <cell r="C1500">
            <v>0</v>
          </cell>
          <cell r="D1500">
            <v>0</v>
          </cell>
          <cell r="E1500">
            <v>0</v>
          </cell>
          <cell r="F1500">
            <v>0</v>
          </cell>
          <cell r="G1500">
            <v>0</v>
          </cell>
          <cell r="H1500">
            <v>0</v>
          </cell>
          <cell r="I1500">
            <v>0</v>
          </cell>
          <cell r="J1500">
            <v>0</v>
          </cell>
          <cell r="K1500">
            <v>0</v>
          </cell>
        </row>
        <row r="1501">
          <cell r="A1501" t="str">
            <v>17JENZN</v>
          </cell>
          <cell r="B1501" t="str">
            <v>REAJ.GANAD.S/LC PROG.ORG.INTER.BANCO DEL ESTADO MN, BBC, BCC</v>
          </cell>
          <cell r="C1501">
            <v>0</v>
          </cell>
          <cell r="D1501">
            <v>0</v>
          </cell>
          <cell r="E1501">
            <v>0</v>
          </cell>
          <cell r="F1501">
            <v>0</v>
          </cell>
          <cell r="G1501">
            <v>0</v>
          </cell>
          <cell r="H1501">
            <v>0</v>
          </cell>
          <cell r="I1501">
            <v>0</v>
          </cell>
          <cell r="J1501">
            <v>0</v>
          </cell>
          <cell r="K1501">
            <v>0</v>
          </cell>
        </row>
        <row r="1502">
          <cell r="A1502" t="str">
            <v>17JFNZN</v>
          </cell>
          <cell r="B1502" t="str">
            <v xml:space="preserve">REAJ.GANAD.S/REFIN.REAJUST.BANCOS COMERCIALES MN, BBC, BCC, </v>
          </cell>
          <cell r="C1502">
            <v>0</v>
          </cell>
          <cell r="D1502">
            <v>0</v>
          </cell>
          <cell r="E1502">
            <v>0</v>
          </cell>
          <cell r="F1502">
            <v>0</v>
          </cell>
          <cell r="G1502">
            <v>0</v>
          </cell>
          <cell r="H1502">
            <v>0</v>
          </cell>
          <cell r="I1502">
            <v>0</v>
          </cell>
          <cell r="J1502">
            <v>0</v>
          </cell>
          <cell r="K1502">
            <v>0</v>
          </cell>
        </row>
        <row r="1503">
          <cell r="A1503" t="str">
            <v>17JGNZN</v>
          </cell>
          <cell r="B1503" t="str">
            <v>REAJ.GANAD.S/LC PROG.ORG.INTER.BANCOS COMERCIALES, BBC, BCC,</v>
          </cell>
          <cell r="C1503">
            <v>0</v>
          </cell>
          <cell r="D1503">
            <v>0</v>
          </cell>
          <cell r="E1503">
            <v>0</v>
          </cell>
          <cell r="F1503">
            <v>0</v>
          </cell>
          <cell r="G1503">
            <v>0</v>
          </cell>
          <cell r="H1503">
            <v>0</v>
          </cell>
          <cell r="I1503">
            <v>0</v>
          </cell>
          <cell r="J1503">
            <v>0</v>
          </cell>
          <cell r="K1503">
            <v>0</v>
          </cell>
        </row>
        <row r="1504">
          <cell r="A1504" t="str">
            <v>17JHNZN</v>
          </cell>
          <cell r="B1504" t="str">
            <v>REAJ.GANAD.S/REFIN.REAJUST.OTRAS INSTITUCIONES MN, BBC, BCC,</v>
          </cell>
          <cell r="C1504">
            <v>0</v>
          </cell>
          <cell r="D1504">
            <v>0</v>
          </cell>
          <cell r="E1504">
            <v>0</v>
          </cell>
          <cell r="F1504">
            <v>0</v>
          </cell>
          <cell r="G1504">
            <v>0</v>
          </cell>
          <cell r="H1504">
            <v>0</v>
          </cell>
          <cell r="I1504">
            <v>0</v>
          </cell>
          <cell r="J1504">
            <v>0</v>
          </cell>
          <cell r="K1504">
            <v>0</v>
          </cell>
        </row>
        <row r="1505">
          <cell r="A1505" t="str">
            <v>17JJNZN</v>
          </cell>
          <cell r="B1505" t="str">
            <v>REAJ.GANAD.S/CRED.OTORGADOS A AAP NACIONAL MN, BBC, BCC, NAC</v>
          </cell>
          <cell r="C1505">
            <v>-468</v>
          </cell>
          <cell r="D1505">
            <v>-540</v>
          </cell>
          <cell r="E1505">
            <v>352</v>
          </cell>
          <cell r="F1505">
            <v>1959</v>
          </cell>
          <cell r="G1505">
            <v>2394</v>
          </cell>
          <cell r="H1505">
            <v>1925</v>
          </cell>
          <cell r="I1505">
            <v>1743</v>
          </cell>
          <cell r="J1505">
            <v>1635</v>
          </cell>
          <cell r="K1505">
            <v>1803</v>
          </cell>
        </row>
        <row r="1506">
          <cell r="A1506" t="str">
            <v>17JKNZN</v>
          </cell>
          <cell r="B1506" t="str">
            <v>REAJ.GANAD.S/LC PROG.ORG.INTERN OTRAS INSTITUC.MN, BBC, BCC,</v>
          </cell>
          <cell r="C1506">
            <v>0</v>
          </cell>
          <cell r="D1506">
            <v>0</v>
          </cell>
          <cell r="E1506">
            <v>0</v>
          </cell>
          <cell r="F1506">
            <v>0</v>
          </cell>
          <cell r="G1506">
            <v>0</v>
          </cell>
          <cell r="H1506">
            <v>0</v>
          </cell>
          <cell r="I1506">
            <v>0</v>
          </cell>
          <cell r="J1506">
            <v>0</v>
          </cell>
          <cell r="K1506">
            <v>0</v>
          </cell>
        </row>
        <row r="1507">
          <cell r="A1507" t="str">
            <v>17JONZN</v>
          </cell>
          <cell r="B1507" t="str">
            <v>REAJUSTES GAN.CONSOLIDACION PRES.URGNCIA B.COM.MN, BBC, BCC,</v>
          </cell>
          <cell r="C1507">
            <v>0</v>
          </cell>
          <cell r="D1507">
            <v>0</v>
          </cell>
          <cell r="E1507">
            <v>0</v>
          </cell>
          <cell r="F1507">
            <v>0</v>
          </cell>
          <cell r="G1507">
            <v>0</v>
          </cell>
          <cell r="H1507">
            <v>0</v>
          </cell>
          <cell r="I1507">
            <v>0</v>
          </cell>
          <cell r="J1507">
            <v>0</v>
          </cell>
          <cell r="K1507">
            <v>0</v>
          </cell>
        </row>
        <row r="1508">
          <cell r="A1508" t="str">
            <v>17JLNZN</v>
          </cell>
          <cell r="B1508" t="str">
            <v>REAJ.GANAD.S/VTA.DE ACTIVOS FIJOS MN, BBC, BCC, NAC</v>
          </cell>
          <cell r="C1508">
            <v>0</v>
          </cell>
          <cell r="D1508">
            <v>0</v>
          </cell>
          <cell r="E1508">
            <v>0</v>
          </cell>
          <cell r="F1508">
            <v>0</v>
          </cell>
          <cell r="G1508">
            <v>0</v>
          </cell>
          <cell r="H1508">
            <v>0</v>
          </cell>
          <cell r="I1508">
            <v>0</v>
          </cell>
          <cell r="J1508">
            <v>0</v>
          </cell>
          <cell r="K1508">
            <v>0</v>
          </cell>
        </row>
        <row r="1509">
          <cell r="A1509" t="str">
            <v>17JMNZN</v>
          </cell>
          <cell r="B1509" t="str">
            <v>REAJ.GANAD.P/COMPRAS DE PRBC C.PACTO DE RETROVENTA, BBC, BCC</v>
          </cell>
          <cell r="C1509">
            <v>0</v>
          </cell>
          <cell r="D1509">
            <v>0</v>
          </cell>
          <cell r="E1509">
            <v>0</v>
          </cell>
          <cell r="F1509">
            <v>0</v>
          </cell>
          <cell r="G1509">
            <v>0</v>
          </cell>
          <cell r="H1509">
            <v>0</v>
          </cell>
          <cell r="I1509">
            <v>0</v>
          </cell>
          <cell r="J1509">
            <v>0</v>
          </cell>
          <cell r="K1509">
            <v>0</v>
          </cell>
        </row>
        <row r="1510">
          <cell r="A1510" t="str">
            <v>17JNNZN</v>
          </cell>
          <cell r="B1510" t="str">
            <v>REAJ.GANAD.CONSOLID.PAGARES BCOS.COMERCIALES MN, BBC, BCC, N</v>
          </cell>
          <cell r="C1510">
            <v>0</v>
          </cell>
          <cell r="D1510">
            <v>0</v>
          </cell>
          <cell r="E1510">
            <v>0</v>
          </cell>
          <cell r="F1510">
            <v>0</v>
          </cell>
          <cell r="G1510">
            <v>0</v>
          </cell>
          <cell r="H1510">
            <v>0</v>
          </cell>
          <cell r="I1510">
            <v>0</v>
          </cell>
          <cell r="J1510">
            <v>0</v>
          </cell>
          <cell r="K1510">
            <v>0</v>
          </cell>
        </row>
        <row r="1511">
          <cell r="A1511" t="str">
            <v>17JPNZN</v>
          </cell>
          <cell r="B1511" t="str">
            <v>REAJ.GANAD.CONSOLID.PAGARES OTRAS INSTITUCIONES MN, BBC, BCC</v>
          </cell>
          <cell r="C1511">
            <v>0</v>
          </cell>
          <cell r="D1511">
            <v>0</v>
          </cell>
          <cell r="E1511">
            <v>0</v>
          </cell>
          <cell r="F1511">
            <v>0</v>
          </cell>
          <cell r="G1511">
            <v>0</v>
          </cell>
          <cell r="H1511">
            <v>0</v>
          </cell>
          <cell r="I1511">
            <v>0</v>
          </cell>
          <cell r="J1511">
            <v>0</v>
          </cell>
          <cell r="K1511">
            <v>0</v>
          </cell>
        </row>
        <row r="1512">
          <cell r="A1512" t="str">
            <v>17NGNZN</v>
          </cell>
          <cell r="B1512" t="str">
            <v>REAJ.GAN.L/C LICIT.CART.HIPOT.ANAP AC 1901 BECH MN, BBC, BCC</v>
          </cell>
          <cell r="C1512">
            <v>-42</v>
          </cell>
          <cell r="D1512">
            <v>-48</v>
          </cell>
          <cell r="E1512">
            <v>29</v>
          </cell>
          <cell r="F1512">
            <v>164</v>
          </cell>
          <cell r="G1512">
            <v>200</v>
          </cell>
          <cell r="H1512">
            <v>162</v>
          </cell>
          <cell r="I1512">
            <v>147</v>
          </cell>
          <cell r="J1512">
            <v>139</v>
          </cell>
          <cell r="K1512">
            <v>152</v>
          </cell>
        </row>
        <row r="1513">
          <cell r="A1513" t="str">
            <v>17NHNZN</v>
          </cell>
          <cell r="B1513" t="str">
            <v>REAJ.GAN.L/C LICIT.CART.HIPOT.ANAP AC 1901 B.COM M, BBC, BCC</v>
          </cell>
          <cell r="C1513">
            <v>-69</v>
          </cell>
          <cell r="D1513">
            <v>-80</v>
          </cell>
          <cell r="E1513">
            <v>47</v>
          </cell>
          <cell r="F1513">
            <v>270</v>
          </cell>
          <cell r="G1513">
            <v>330</v>
          </cell>
          <cell r="H1513">
            <v>267</v>
          </cell>
          <cell r="I1513">
            <v>243</v>
          </cell>
          <cell r="J1513">
            <v>230</v>
          </cell>
          <cell r="K1513">
            <v>251</v>
          </cell>
        </row>
        <row r="1514">
          <cell r="A1514" t="str">
            <v>17JQNZN</v>
          </cell>
          <cell r="B1514" t="str">
            <v>REAJ.GANAD.P/FONDOS LICITADOS A BANCO DEL ESTADO M, BBC, BCC</v>
          </cell>
          <cell r="C1514">
            <v>0</v>
          </cell>
          <cell r="D1514">
            <v>0</v>
          </cell>
          <cell r="E1514">
            <v>0</v>
          </cell>
          <cell r="F1514">
            <v>0</v>
          </cell>
          <cell r="G1514">
            <v>0</v>
          </cell>
          <cell r="H1514">
            <v>0</v>
          </cell>
          <cell r="I1514">
            <v>0</v>
          </cell>
          <cell r="J1514">
            <v>0</v>
          </cell>
          <cell r="K1514">
            <v>0</v>
          </cell>
        </row>
        <row r="1515">
          <cell r="A1515" t="str">
            <v>17JRNZN</v>
          </cell>
          <cell r="B1515" t="str">
            <v>REAJ.GANAD.P/FONDOS LICITADOS A BANCOS COMERCIALES, BBC, BCC</v>
          </cell>
          <cell r="C1515">
            <v>0</v>
          </cell>
          <cell r="D1515">
            <v>0</v>
          </cell>
          <cell r="E1515">
            <v>0</v>
          </cell>
          <cell r="F1515">
            <v>0</v>
          </cell>
          <cell r="G1515">
            <v>0</v>
          </cell>
          <cell r="H1515">
            <v>0</v>
          </cell>
          <cell r="I1515">
            <v>0</v>
          </cell>
          <cell r="J1515">
            <v>0</v>
          </cell>
          <cell r="K1515">
            <v>0</v>
          </cell>
        </row>
        <row r="1516">
          <cell r="A1516" t="str">
            <v>17JSNZN</v>
          </cell>
          <cell r="B1516" t="str">
            <v>REAJ.GANAD.P/FONDOS LICITADOS A OTRAS INSTITUCIONE, BBC, BCC</v>
          </cell>
          <cell r="C1516">
            <v>0</v>
          </cell>
          <cell r="D1516">
            <v>0</v>
          </cell>
          <cell r="E1516">
            <v>0</v>
          </cell>
          <cell r="F1516">
            <v>0</v>
          </cell>
          <cell r="G1516">
            <v>0</v>
          </cell>
          <cell r="H1516">
            <v>0</v>
          </cell>
          <cell r="I1516">
            <v>0</v>
          </cell>
          <cell r="J1516">
            <v>0</v>
          </cell>
          <cell r="K1516">
            <v>0</v>
          </cell>
        </row>
        <row r="1517">
          <cell r="A1517" t="str">
            <v>17JTNZN</v>
          </cell>
          <cell r="B1517" t="str">
            <v>REAJ.GANAD.S/CARTERA ADQUIRIDA A INTS.FINANCIERAS, BBC, BCC,</v>
          </cell>
          <cell r="C1517">
            <v>0</v>
          </cell>
          <cell r="D1517">
            <v>0</v>
          </cell>
          <cell r="E1517">
            <v>0</v>
          </cell>
          <cell r="F1517">
            <v>0</v>
          </cell>
          <cell r="G1517">
            <v>0</v>
          </cell>
          <cell r="H1517">
            <v>0</v>
          </cell>
          <cell r="I1517">
            <v>0</v>
          </cell>
          <cell r="J1517">
            <v>0</v>
          </cell>
          <cell r="K1517">
            <v>0</v>
          </cell>
        </row>
        <row r="1518">
          <cell r="A1518" t="str">
            <v>17JUNZN</v>
          </cell>
          <cell r="B1518" t="str">
            <v>REAJ.GANAD.S/BONOS Y PAGARES ADQ.ACDO.1475 B.COMER, BBC, BCC</v>
          </cell>
          <cell r="C1518">
            <v>0</v>
          </cell>
          <cell r="D1518">
            <v>0</v>
          </cell>
          <cell r="E1518">
            <v>0</v>
          </cell>
          <cell r="F1518">
            <v>0</v>
          </cell>
          <cell r="G1518">
            <v>0</v>
          </cell>
          <cell r="H1518">
            <v>0</v>
          </cell>
          <cell r="I1518">
            <v>0</v>
          </cell>
          <cell r="J1518">
            <v>0</v>
          </cell>
          <cell r="K1518">
            <v>0</v>
          </cell>
        </row>
        <row r="1519">
          <cell r="A1519" t="str">
            <v>17JVNZN</v>
          </cell>
          <cell r="B1519" t="str">
            <v>REAJ.GANAD.S/BONOS Y PAGARES ADQ.ACDO.1475 B.ESTAD, BBC, BCC</v>
          </cell>
          <cell r="C1519">
            <v>0</v>
          </cell>
          <cell r="D1519">
            <v>0</v>
          </cell>
          <cell r="E1519">
            <v>0</v>
          </cell>
          <cell r="F1519">
            <v>0</v>
          </cell>
          <cell r="G1519">
            <v>0</v>
          </cell>
          <cell r="H1519">
            <v>0</v>
          </cell>
          <cell r="I1519">
            <v>0</v>
          </cell>
          <cell r="J1519">
            <v>0</v>
          </cell>
          <cell r="K1519">
            <v>0</v>
          </cell>
        </row>
        <row r="1520">
          <cell r="A1520" t="str">
            <v>17JWNZN</v>
          </cell>
          <cell r="B1520" t="str">
            <v>REAJ.GANAD.S/BONOS Y PAGARES ADQ.ACDO.1475 OT.INST, BBC, BCC</v>
          </cell>
          <cell r="C1520">
            <v>0</v>
          </cell>
          <cell r="D1520">
            <v>0</v>
          </cell>
          <cell r="E1520">
            <v>0</v>
          </cell>
          <cell r="F1520">
            <v>0</v>
          </cell>
          <cell r="G1520">
            <v>0</v>
          </cell>
          <cell r="H1520">
            <v>0</v>
          </cell>
          <cell r="I1520">
            <v>0</v>
          </cell>
          <cell r="J1520">
            <v>0</v>
          </cell>
          <cell r="K1520">
            <v>0</v>
          </cell>
        </row>
        <row r="1521">
          <cell r="A1521" t="str">
            <v>17JXNZN</v>
          </cell>
          <cell r="B1521" t="str">
            <v>REAJ.GANAD.S/LC A BCO.ESTADO P/CPRA.CARTERA 70%  M, BBC, BCC</v>
          </cell>
          <cell r="C1521">
            <v>0</v>
          </cell>
          <cell r="D1521">
            <v>0</v>
          </cell>
          <cell r="E1521">
            <v>0</v>
          </cell>
          <cell r="F1521">
            <v>0</v>
          </cell>
          <cell r="G1521">
            <v>0</v>
          </cell>
          <cell r="H1521">
            <v>0</v>
          </cell>
          <cell r="I1521">
            <v>0</v>
          </cell>
          <cell r="J1521">
            <v>0</v>
          </cell>
          <cell r="K1521">
            <v>0</v>
          </cell>
        </row>
        <row r="1522">
          <cell r="A1522" t="str">
            <v>17JYNZN</v>
          </cell>
          <cell r="B1522" t="str">
            <v>REAJ.GANAD.S/CPRA.DCTOS.DE CRED.ADQ.BCOS COMERC. M, BBC, BCC</v>
          </cell>
          <cell r="C1522">
            <v>-17</v>
          </cell>
          <cell r="D1522">
            <v>-20</v>
          </cell>
          <cell r="E1522">
            <v>12</v>
          </cell>
          <cell r="F1522">
            <v>57</v>
          </cell>
          <cell r="G1522">
            <v>70</v>
          </cell>
          <cell r="H1522">
            <v>57</v>
          </cell>
          <cell r="I1522">
            <v>53</v>
          </cell>
          <cell r="J1522">
            <v>51</v>
          </cell>
          <cell r="K1522">
            <v>54</v>
          </cell>
        </row>
        <row r="1523">
          <cell r="A1523" t="str">
            <v>17JZNZN</v>
          </cell>
          <cell r="B1523" t="str">
            <v>REAJ.GANAD.S/CPRA.DCTOS.CRED.ADQ.BCO.ESTADO MN, BBC, BCC, NA</v>
          </cell>
          <cell r="C1523">
            <v>0</v>
          </cell>
          <cell r="D1523">
            <v>0</v>
          </cell>
          <cell r="E1523">
            <v>0</v>
          </cell>
          <cell r="F1523">
            <v>1</v>
          </cell>
          <cell r="G1523">
            <v>1</v>
          </cell>
          <cell r="H1523">
            <v>1</v>
          </cell>
          <cell r="I1523">
            <v>1</v>
          </cell>
          <cell r="J1523">
            <v>1</v>
          </cell>
          <cell r="K1523">
            <v>1</v>
          </cell>
        </row>
        <row r="1524">
          <cell r="A1524" t="str">
            <v>17KANZN</v>
          </cell>
          <cell r="B1524" t="str">
            <v>REAJ.GANAD.S/CPRA.DCTOS.CRED.ADQ.OTRAS INSTITUC.MN, BBC, BCC</v>
          </cell>
          <cell r="C1524">
            <v>0</v>
          </cell>
          <cell r="D1524">
            <v>0</v>
          </cell>
          <cell r="E1524">
            <v>0</v>
          </cell>
          <cell r="F1524">
            <v>0</v>
          </cell>
          <cell r="G1524">
            <v>0</v>
          </cell>
          <cell r="H1524">
            <v>0</v>
          </cell>
          <cell r="I1524">
            <v>0</v>
          </cell>
          <cell r="J1524">
            <v>0</v>
          </cell>
          <cell r="K1524">
            <v>0</v>
          </cell>
        </row>
        <row r="1525">
          <cell r="A1525" t="str">
            <v>17KBNZN</v>
          </cell>
          <cell r="B1525" t="str">
            <v>REAJ.GANAD.S/LC POR REPROGRAMAC.DEUDAS BCO.ESTADO, BBC, BCC,</v>
          </cell>
          <cell r="C1525">
            <v>0</v>
          </cell>
          <cell r="D1525">
            <v>0</v>
          </cell>
          <cell r="E1525">
            <v>0</v>
          </cell>
          <cell r="F1525">
            <v>0</v>
          </cell>
          <cell r="G1525">
            <v>0</v>
          </cell>
          <cell r="H1525">
            <v>0</v>
          </cell>
          <cell r="I1525">
            <v>0</v>
          </cell>
          <cell r="J1525">
            <v>0</v>
          </cell>
          <cell r="K1525">
            <v>0</v>
          </cell>
        </row>
        <row r="1526">
          <cell r="A1526" t="str">
            <v>17KCNZN</v>
          </cell>
          <cell r="B1526" t="str">
            <v>REAJ.GANAD.S/LC POR REPROGRAMAC.DEUDAS BCOS.COMER., BBC, BCC</v>
          </cell>
          <cell r="C1526">
            <v>0</v>
          </cell>
          <cell r="D1526">
            <v>0</v>
          </cell>
          <cell r="E1526">
            <v>0</v>
          </cell>
          <cell r="F1526">
            <v>0</v>
          </cell>
          <cell r="G1526">
            <v>0</v>
          </cell>
          <cell r="H1526">
            <v>0</v>
          </cell>
          <cell r="I1526">
            <v>0</v>
          </cell>
          <cell r="J1526">
            <v>0</v>
          </cell>
          <cell r="K1526">
            <v>0</v>
          </cell>
        </row>
        <row r="1527">
          <cell r="A1527" t="str">
            <v>17KDNZN</v>
          </cell>
          <cell r="B1527" t="str">
            <v>REAJ.GANAD.S/LC POR REPROGRAMAC.DEUDAS OT.INSTITUC, BBC, BCC</v>
          </cell>
          <cell r="C1527">
            <v>0</v>
          </cell>
          <cell r="D1527">
            <v>0</v>
          </cell>
          <cell r="E1527">
            <v>0</v>
          </cell>
          <cell r="F1527">
            <v>0</v>
          </cell>
          <cell r="G1527">
            <v>0</v>
          </cell>
          <cell r="H1527">
            <v>0</v>
          </cell>
          <cell r="I1527">
            <v>0</v>
          </cell>
          <cell r="J1527">
            <v>0</v>
          </cell>
          <cell r="K1527">
            <v>0</v>
          </cell>
        </row>
        <row r="1528">
          <cell r="A1528" t="str">
            <v>17KENZN</v>
          </cell>
          <cell r="B1528" t="str">
            <v>REAJ.GANAD.S/DESC.INSTRUM.FINANC.BCO.DEL ESTADO MN, BBC, BCC</v>
          </cell>
          <cell r="C1528">
            <v>0</v>
          </cell>
          <cell r="D1528">
            <v>0</v>
          </cell>
          <cell r="E1528">
            <v>0</v>
          </cell>
          <cell r="F1528">
            <v>0</v>
          </cell>
          <cell r="G1528">
            <v>0</v>
          </cell>
          <cell r="H1528">
            <v>0</v>
          </cell>
          <cell r="I1528">
            <v>0</v>
          </cell>
          <cell r="J1528">
            <v>0</v>
          </cell>
          <cell r="K1528">
            <v>0</v>
          </cell>
        </row>
        <row r="1529">
          <cell r="A1529" t="str">
            <v>17KFNZN</v>
          </cell>
          <cell r="B1529" t="str">
            <v>REAJ.GANAD.S/LC REPROGRAM.DEUDAS HIPOTEC.B.ESTADO, BBC, BCC,</v>
          </cell>
          <cell r="C1529">
            <v>8</v>
          </cell>
          <cell r="D1529">
            <v>16</v>
          </cell>
          <cell r="E1529">
            <v>34</v>
          </cell>
          <cell r="F1529">
            <v>57</v>
          </cell>
          <cell r="G1529">
            <v>69</v>
          </cell>
          <cell r="H1529">
            <v>72</v>
          </cell>
          <cell r="I1529">
            <v>77</v>
          </cell>
          <cell r="J1529">
            <v>83</v>
          </cell>
          <cell r="K1529">
            <v>89</v>
          </cell>
        </row>
        <row r="1530">
          <cell r="A1530" t="str">
            <v>17KGNZN</v>
          </cell>
          <cell r="B1530" t="str">
            <v>REAJ.GANAD.S/LC REPROGRAM.DEUDAS HIPOTEC.B.COMERC., BBC, BCC</v>
          </cell>
          <cell r="C1530">
            <v>-77</v>
          </cell>
          <cell r="D1530">
            <v>-86</v>
          </cell>
          <cell r="E1530">
            <v>67</v>
          </cell>
          <cell r="F1530">
            <v>335</v>
          </cell>
          <cell r="G1530">
            <v>409</v>
          </cell>
          <cell r="H1530">
            <v>338</v>
          </cell>
          <cell r="I1530">
            <v>313</v>
          </cell>
          <cell r="J1530">
            <v>300</v>
          </cell>
          <cell r="K1530">
            <v>326</v>
          </cell>
        </row>
        <row r="1531">
          <cell r="A1531" t="str">
            <v>17KHNZN</v>
          </cell>
          <cell r="B1531" t="str">
            <v>REAJ.GANAD.S/LC REPROGRAM.DEUDAS HIPOTEC.OT.INSTIT, BBC, BCC</v>
          </cell>
          <cell r="C1531">
            <v>0</v>
          </cell>
          <cell r="D1531">
            <v>0</v>
          </cell>
          <cell r="E1531">
            <v>0</v>
          </cell>
          <cell r="F1531">
            <v>0</v>
          </cell>
          <cell r="G1531">
            <v>0</v>
          </cell>
          <cell r="H1531">
            <v>0</v>
          </cell>
          <cell r="I1531">
            <v>0</v>
          </cell>
          <cell r="J1531">
            <v>0</v>
          </cell>
          <cell r="K1531">
            <v>0</v>
          </cell>
        </row>
        <row r="1532">
          <cell r="A1532" t="str">
            <v>17KINZN</v>
          </cell>
          <cell r="B1532" t="str">
            <v>REAJ.GANAD.S/CONT.VTA.CART.ADQ.INST.FINAN.LIQ BCOM, BBC, BCC</v>
          </cell>
          <cell r="C1532">
            <v>-1</v>
          </cell>
          <cell r="D1532">
            <v>-1</v>
          </cell>
          <cell r="E1532">
            <v>0</v>
          </cell>
          <cell r="F1532">
            <v>2</v>
          </cell>
          <cell r="G1532">
            <v>2</v>
          </cell>
          <cell r="H1532">
            <v>2</v>
          </cell>
          <cell r="I1532">
            <v>2</v>
          </cell>
          <cell r="J1532">
            <v>2</v>
          </cell>
          <cell r="K1532">
            <v>2</v>
          </cell>
        </row>
        <row r="1533">
          <cell r="A1533" t="str">
            <v>17KJNZN</v>
          </cell>
          <cell r="B1533" t="str">
            <v>REAJ.GANAD.S/CONT.VTA.CART.ADQ.INST.FINAN.LIQ O.IN, BBC, BCC</v>
          </cell>
          <cell r="C1533">
            <v>0</v>
          </cell>
          <cell r="D1533">
            <v>0</v>
          </cell>
          <cell r="E1533">
            <v>0</v>
          </cell>
          <cell r="F1533">
            <v>0</v>
          </cell>
          <cell r="G1533">
            <v>0</v>
          </cell>
          <cell r="H1533">
            <v>0</v>
          </cell>
          <cell r="I1533">
            <v>0</v>
          </cell>
          <cell r="J1533">
            <v>0</v>
          </cell>
          <cell r="K1533">
            <v>0</v>
          </cell>
        </row>
        <row r="1534">
          <cell r="A1534" t="str">
            <v>17KKNZN</v>
          </cell>
          <cell r="B1534" t="str">
            <v>REAJ.GANAD.S/LC CONTRATO C.BECH P.CESION CARTERA M, BBC, BCC</v>
          </cell>
          <cell r="C1534">
            <v>0</v>
          </cell>
          <cell r="D1534">
            <v>0</v>
          </cell>
          <cell r="E1534">
            <v>0</v>
          </cell>
          <cell r="F1534">
            <v>0</v>
          </cell>
          <cell r="G1534">
            <v>0</v>
          </cell>
          <cell r="H1534">
            <v>0</v>
          </cell>
          <cell r="I1534">
            <v>0</v>
          </cell>
          <cell r="J1534">
            <v>0</v>
          </cell>
          <cell r="K1534">
            <v>0</v>
          </cell>
        </row>
        <row r="1535">
          <cell r="A1535" t="str">
            <v>17KLNZN</v>
          </cell>
          <cell r="B1535" t="str">
            <v>REAJ.GANAD.S/LC P.CAPITAL DE TRABAJO BCOS.COMERC., BBC, BCC,</v>
          </cell>
          <cell r="C1535">
            <v>0</v>
          </cell>
          <cell r="D1535">
            <v>0</v>
          </cell>
          <cell r="E1535">
            <v>0</v>
          </cell>
          <cell r="F1535">
            <v>0</v>
          </cell>
          <cell r="G1535">
            <v>0</v>
          </cell>
          <cell r="H1535">
            <v>0</v>
          </cell>
          <cell r="I1535">
            <v>0</v>
          </cell>
          <cell r="J1535">
            <v>0</v>
          </cell>
          <cell r="K1535">
            <v>0</v>
          </cell>
        </row>
        <row r="1536">
          <cell r="A1536" t="str">
            <v>17KMNZN</v>
          </cell>
          <cell r="B1536" t="str">
            <v>REAJ.GANAD.S/LC P.CAPITAL DE TRABAJO OTRAS INSTIT., BBC, BCC</v>
          </cell>
          <cell r="C1536">
            <v>0</v>
          </cell>
          <cell r="D1536">
            <v>0</v>
          </cell>
          <cell r="E1536">
            <v>0</v>
          </cell>
          <cell r="F1536">
            <v>0</v>
          </cell>
          <cell r="G1536">
            <v>0</v>
          </cell>
          <cell r="H1536">
            <v>0</v>
          </cell>
          <cell r="I1536">
            <v>0</v>
          </cell>
          <cell r="J1536">
            <v>0</v>
          </cell>
          <cell r="K1536">
            <v>0</v>
          </cell>
        </row>
        <row r="1537">
          <cell r="A1537" t="str">
            <v>17KNNZN</v>
          </cell>
          <cell r="B1537" t="str">
            <v>REAJ.GANAD.S/LC P.CAPITAL DE TRABAJO BANCO ESTADO, BBC, BCC,</v>
          </cell>
          <cell r="C1537">
            <v>0</v>
          </cell>
          <cell r="D1537">
            <v>0</v>
          </cell>
          <cell r="E1537">
            <v>0</v>
          </cell>
          <cell r="F1537">
            <v>0</v>
          </cell>
          <cell r="G1537">
            <v>0</v>
          </cell>
          <cell r="H1537">
            <v>0</v>
          </cell>
          <cell r="I1537">
            <v>0</v>
          </cell>
          <cell r="J1537">
            <v>0</v>
          </cell>
          <cell r="K1537">
            <v>0</v>
          </cell>
        </row>
        <row r="1538">
          <cell r="A1538" t="str">
            <v>17KPNZN</v>
          </cell>
          <cell r="B1538" t="str">
            <v>REAJ.GANAD.S/PRESTAMOS ESPECIALES, BBC, BCC, NAC</v>
          </cell>
          <cell r="C1538">
            <v>0</v>
          </cell>
          <cell r="D1538">
            <v>0</v>
          </cell>
          <cell r="E1538">
            <v>0</v>
          </cell>
          <cell r="F1538">
            <v>0</v>
          </cell>
          <cell r="G1538">
            <v>0</v>
          </cell>
          <cell r="H1538">
            <v>0</v>
          </cell>
          <cell r="I1538">
            <v>0</v>
          </cell>
          <cell r="J1538">
            <v>0</v>
          </cell>
          <cell r="K1538">
            <v>0</v>
          </cell>
        </row>
        <row r="1539">
          <cell r="A1539" t="str">
            <v>17KQNZN</v>
          </cell>
          <cell r="B1539" t="str">
            <v>REAJ.GANAD.S/REFINANCIAMIENTOS A CORFO MN, BBC, BCC, NAC</v>
          </cell>
          <cell r="C1539">
            <v>0</v>
          </cell>
          <cell r="D1539">
            <v>0</v>
          </cell>
          <cell r="E1539">
            <v>0</v>
          </cell>
          <cell r="F1539">
            <v>0</v>
          </cell>
          <cell r="G1539">
            <v>0</v>
          </cell>
          <cell r="H1539">
            <v>0</v>
          </cell>
          <cell r="I1539">
            <v>0</v>
          </cell>
          <cell r="J1539">
            <v>0</v>
          </cell>
          <cell r="K1539">
            <v>0</v>
          </cell>
        </row>
        <row r="1540">
          <cell r="A1540" t="str">
            <v>17KRNZN</v>
          </cell>
          <cell r="B1540" t="str">
            <v>REAJ.GANAD.S/PRESTAMOS A BANCOS COMERCIALES MN, BBC, BCC, NA</v>
          </cell>
          <cell r="C1540">
            <v>0</v>
          </cell>
          <cell r="D1540">
            <v>0</v>
          </cell>
          <cell r="E1540">
            <v>0</v>
          </cell>
          <cell r="F1540">
            <v>0</v>
          </cell>
          <cell r="G1540">
            <v>0</v>
          </cell>
          <cell r="H1540">
            <v>0</v>
          </cell>
          <cell r="I1540">
            <v>0</v>
          </cell>
          <cell r="J1540">
            <v>0</v>
          </cell>
          <cell r="K1540">
            <v>0</v>
          </cell>
        </row>
        <row r="1541">
          <cell r="A1541" t="str">
            <v>17KSNZN</v>
          </cell>
          <cell r="B1541" t="str">
            <v>REAJ.GANAD.S/PAGARES ADQUIRIDOS A OTRAS INSTITUC., BBC, BCC,</v>
          </cell>
          <cell r="C1541">
            <v>0</v>
          </cell>
          <cell r="D1541">
            <v>0</v>
          </cell>
          <cell r="E1541">
            <v>0</v>
          </cell>
          <cell r="F1541">
            <v>0</v>
          </cell>
          <cell r="G1541">
            <v>0</v>
          </cell>
          <cell r="H1541">
            <v>0</v>
          </cell>
          <cell r="I1541">
            <v>0</v>
          </cell>
          <cell r="J1541">
            <v>0</v>
          </cell>
          <cell r="K1541">
            <v>0</v>
          </cell>
        </row>
        <row r="1542">
          <cell r="A1542" t="str">
            <v>17KTNZN</v>
          </cell>
          <cell r="B1542" t="str">
            <v xml:space="preserve">REAJ.GANAD.S/PAGARES FISCO POR TRANSFERENCIAS MN, BBC, BCC, </v>
          </cell>
          <cell r="C1542">
            <v>-1049</v>
          </cell>
          <cell r="D1542">
            <v>-1211</v>
          </cell>
          <cell r="E1542">
            <v>790</v>
          </cell>
          <cell r="F1542">
            <v>4389</v>
          </cell>
          <cell r="G1542">
            <v>5364</v>
          </cell>
          <cell r="H1542">
            <v>4373</v>
          </cell>
          <cell r="I1542">
            <v>3997</v>
          </cell>
          <cell r="J1542">
            <v>3776</v>
          </cell>
          <cell r="K1542">
            <v>4121</v>
          </cell>
        </row>
        <row r="1543">
          <cell r="A1543" t="str">
            <v>17KUNZN</v>
          </cell>
          <cell r="B1543" t="str">
            <v>REAJ.GANAD.S/CPRA.CARTERA C.PACTO REVTA.PCDO.BCOM., BBC, BCC</v>
          </cell>
          <cell r="C1543">
            <v>0</v>
          </cell>
          <cell r="D1543">
            <v>0</v>
          </cell>
          <cell r="E1543">
            <v>0</v>
          </cell>
          <cell r="F1543">
            <v>0</v>
          </cell>
          <cell r="G1543">
            <v>0</v>
          </cell>
          <cell r="H1543">
            <v>0</v>
          </cell>
          <cell r="I1543">
            <v>0</v>
          </cell>
          <cell r="J1543">
            <v>0</v>
          </cell>
          <cell r="K1543">
            <v>0</v>
          </cell>
        </row>
        <row r="1544">
          <cell r="A1544" t="str">
            <v>17KVNZN</v>
          </cell>
          <cell r="B1544" t="str">
            <v>REAJ.GANAD.S/CPRA.CARTERA C.PACTO REVTA.PCDO.O.INS, BBC, BCC</v>
          </cell>
          <cell r="C1544">
            <v>0</v>
          </cell>
          <cell r="D1544">
            <v>0</v>
          </cell>
          <cell r="E1544">
            <v>0</v>
          </cell>
          <cell r="F1544">
            <v>0</v>
          </cell>
          <cell r="G1544">
            <v>0</v>
          </cell>
          <cell r="H1544">
            <v>0</v>
          </cell>
          <cell r="I1544">
            <v>0</v>
          </cell>
          <cell r="J1544">
            <v>0</v>
          </cell>
          <cell r="K1544">
            <v>0</v>
          </cell>
        </row>
        <row r="1545">
          <cell r="A1545" t="str">
            <v>17KWNZN</v>
          </cell>
          <cell r="B1545" t="str">
            <v>REAJ.GANAD.S/CPRA.CARTERA C.PACTO REVTA PLTS.AC155, BBC, BCC</v>
          </cell>
          <cell r="C1545">
            <v>0</v>
          </cell>
          <cell r="D1545">
            <v>0</v>
          </cell>
          <cell r="E1545">
            <v>0</v>
          </cell>
          <cell r="F1545">
            <v>0</v>
          </cell>
          <cell r="G1545">
            <v>0</v>
          </cell>
          <cell r="H1545">
            <v>0</v>
          </cell>
          <cell r="I1545">
            <v>0</v>
          </cell>
          <cell r="J1545">
            <v>0</v>
          </cell>
          <cell r="K1545">
            <v>0</v>
          </cell>
        </row>
        <row r="1546">
          <cell r="A1546" t="str">
            <v>17KXNZN</v>
          </cell>
          <cell r="B1546" t="str">
            <v>REAJ.GANAD.S/DEUDORES P/CANJE DE VHR A CAR MN, BBC, BCC, NAC</v>
          </cell>
          <cell r="C1546">
            <v>0</v>
          </cell>
          <cell r="D1546">
            <v>0</v>
          </cell>
          <cell r="E1546">
            <v>0</v>
          </cell>
          <cell r="F1546">
            <v>0</v>
          </cell>
          <cell r="G1546">
            <v>0</v>
          </cell>
          <cell r="H1546">
            <v>0</v>
          </cell>
          <cell r="I1546">
            <v>0</v>
          </cell>
          <cell r="J1546">
            <v>0</v>
          </cell>
          <cell r="K1546">
            <v>0</v>
          </cell>
        </row>
        <row r="1547">
          <cell r="A1547" t="str">
            <v>17KYNZN</v>
          </cell>
          <cell r="B1547" t="str">
            <v>REAJ.GANAD.S/REPROG.CRED.DE CONSUMO BCOMER.MN, BBC, BCC, NAC</v>
          </cell>
          <cell r="C1547">
            <v>0</v>
          </cell>
          <cell r="D1547">
            <v>0</v>
          </cell>
          <cell r="E1547">
            <v>0</v>
          </cell>
          <cell r="F1547">
            <v>0</v>
          </cell>
          <cell r="G1547">
            <v>0</v>
          </cell>
          <cell r="H1547">
            <v>0</v>
          </cell>
          <cell r="I1547">
            <v>0</v>
          </cell>
          <cell r="J1547">
            <v>0</v>
          </cell>
          <cell r="K1547">
            <v>0</v>
          </cell>
        </row>
        <row r="1548">
          <cell r="A1548" t="str">
            <v>17KZNZN</v>
          </cell>
          <cell r="B1548" t="str">
            <v>REAJ.GANAD.S/REPROG.CRED.CONSUMO BCO.ESTADO MN, BBC, BCC, NA</v>
          </cell>
          <cell r="C1548">
            <v>-2700</v>
          </cell>
          <cell r="D1548">
            <v>-3118</v>
          </cell>
          <cell r="E1548">
            <v>2034</v>
          </cell>
          <cell r="F1548">
            <v>11302</v>
          </cell>
          <cell r="G1548">
            <v>13875</v>
          </cell>
          <cell r="H1548">
            <v>11099</v>
          </cell>
          <cell r="I1548">
            <v>10023</v>
          </cell>
          <cell r="J1548">
            <v>9388</v>
          </cell>
          <cell r="K1548">
            <v>10378</v>
          </cell>
        </row>
        <row r="1549">
          <cell r="A1549" t="str">
            <v>17MANZN</v>
          </cell>
          <cell r="B1549" t="str">
            <v>REAJ.GANAD.S/REPROG.CRED.CONSUMO OTRAS INSTITUC.MN, BBC, BCC</v>
          </cell>
          <cell r="C1549">
            <v>0</v>
          </cell>
          <cell r="D1549">
            <v>0</v>
          </cell>
          <cell r="E1549">
            <v>0</v>
          </cell>
          <cell r="F1549">
            <v>0</v>
          </cell>
          <cell r="G1549">
            <v>0</v>
          </cell>
          <cell r="H1549">
            <v>0</v>
          </cell>
          <cell r="I1549">
            <v>0</v>
          </cell>
          <cell r="J1549">
            <v>0</v>
          </cell>
          <cell r="K1549">
            <v>0</v>
          </cell>
        </row>
        <row r="1550">
          <cell r="A1550" t="str">
            <v>17MBNZN</v>
          </cell>
          <cell r="B1550" t="str">
            <v xml:space="preserve">REAJ.GANAD.S/REPROG.DEUDAS SEC.PROD.AC.1578 BECH, BBC, BCC, </v>
          </cell>
          <cell r="C1550">
            <v>0</v>
          </cell>
          <cell r="D1550">
            <v>0</v>
          </cell>
          <cell r="E1550">
            <v>0</v>
          </cell>
          <cell r="F1550">
            <v>0</v>
          </cell>
          <cell r="G1550">
            <v>0</v>
          </cell>
          <cell r="H1550">
            <v>0</v>
          </cell>
          <cell r="I1550">
            <v>0</v>
          </cell>
          <cell r="J1550">
            <v>0</v>
          </cell>
          <cell r="K1550">
            <v>0</v>
          </cell>
        </row>
        <row r="1551">
          <cell r="A1551" t="str">
            <v>17MCNZN</v>
          </cell>
          <cell r="B1551" t="str">
            <v>REAJ.GANAD.S/REPROG.DEUDAS SEC.PROD.AC.1578 BCOM., BBC, BCC,</v>
          </cell>
          <cell r="C1551">
            <v>0</v>
          </cell>
          <cell r="D1551">
            <v>0</v>
          </cell>
          <cell r="E1551">
            <v>0</v>
          </cell>
          <cell r="F1551">
            <v>0</v>
          </cell>
          <cell r="G1551">
            <v>0</v>
          </cell>
          <cell r="H1551">
            <v>0</v>
          </cell>
          <cell r="I1551">
            <v>0</v>
          </cell>
          <cell r="J1551">
            <v>0</v>
          </cell>
          <cell r="K1551">
            <v>0</v>
          </cell>
        </row>
        <row r="1552">
          <cell r="A1552" t="str">
            <v>17MDNZN</v>
          </cell>
          <cell r="B1552" t="str">
            <v>REAJ.GANAD.S/REPROG.DEUDAS SEC.PROD.AC.1578 O.INST, BBC, BCC</v>
          </cell>
          <cell r="C1552">
            <v>0</v>
          </cell>
          <cell r="D1552">
            <v>0</v>
          </cell>
          <cell r="E1552">
            <v>0</v>
          </cell>
          <cell r="F1552">
            <v>0</v>
          </cell>
          <cell r="G1552">
            <v>0</v>
          </cell>
          <cell r="H1552">
            <v>0</v>
          </cell>
          <cell r="I1552">
            <v>0</v>
          </cell>
          <cell r="J1552">
            <v>0</v>
          </cell>
          <cell r="K1552">
            <v>0</v>
          </cell>
        </row>
        <row r="1553">
          <cell r="A1553" t="str">
            <v>17MENZN</v>
          </cell>
          <cell r="B1553" t="str">
            <v>REAJ.GANAD.S/DESCTO.INSTR.FINANCIEROS B.COMERCIALE, BBC, BCC</v>
          </cell>
          <cell r="C1553">
            <v>0</v>
          </cell>
          <cell r="D1553">
            <v>0</v>
          </cell>
          <cell r="E1553">
            <v>0</v>
          </cell>
          <cell r="F1553">
            <v>0</v>
          </cell>
          <cell r="G1553">
            <v>0</v>
          </cell>
          <cell r="H1553">
            <v>0</v>
          </cell>
          <cell r="I1553">
            <v>0</v>
          </cell>
          <cell r="J1553">
            <v>0</v>
          </cell>
          <cell r="K1553">
            <v>0</v>
          </cell>
        </row>
        <row r="1554">
          <cell r="A1554" t="str">
            <v>17MFNZN</v>
          </cell>
          <cell r="B1554" t="str">
            <v>REAJ.GANAD.S/DESCTO.INSTR.FINANCIEROS OTRAS INSTIT, BBC, BCC</v>
          </cell>
          <cell r="C1554">
            <v>0</v>
          </cell>
          <cell r="D1554">
            <v>0</v>
          </cell>
          <cell r="E1554">
            <v>0</v>
          </cell>
          <cell r="F1554">
            <v>0</v>
          </cell>
          <cell r="G1554">
            <v>0</v>
          </cell>
          <cell r="H1554">
            <v>0</v>
          </cell>
          <cell r="I1554">
            <v>0</v>
          </cell>
          <cell r="J1554">
            <v>0</v>
          </cell>
          <cell r="K1554">
            <v>0</v>
          </cell>
        </row>
        <row r="1555">
          <cell r="A1555" t="str">
            <v>17MGNZN</v>
          </cell>
          <cell r="B1555" t="str">
            <v>REAJ.GANAD.S/VTA.DE CBIO A PLAZO C/FTO M/E O.INST., BBC, BCC</v>
          </cell>
          <cell r="C1555">
            <v>0</v>
          </cell>
          <cell r="D1555">
            <v>0</v>
          </cell>
          <cell r="E1555">
            <v>0</v>
          </cell>
          <cell r="F1555">
            <v>0</v>
          </cell>
          <cell r="G1555">
            <v>0</v>
          </cell>
          <cell r="H1555">
            <v>0</v>
          </cell>
          <cell r="I1555">
            <v>0</v>
          </cell>
          <cell r="J1555">
            <v>0</v>
          </cell>
          <cell r="K1555">
            <v>0</v>
          </cell>
        </row>
        <row r="1556">
          <cell r="A1556" t="str">
            <v>17MHNZN</v>
          </cell>
          <cell r="B1556" t="str">
            <v>REAJ.GANAD.S/LC MEDIANO PLAZO BANCOS COMERCIALES M, BBC, BCC</v>
          </cell>
          <cell r="C1556">
            <v>0</v>
          </cell>
          <cell r="D1556">
            <v>0</v>
          </cell>
          <cell r="E1556">
            <v>0</v>
          </cell>
          <cell r="F1556">
            <v>0</v>
          </cell>
          <cell r="G1556">
            <v>0</v>
          </cell>
          <cell r="H1556">
            <v>0</v>
          </cell>
          <cell r="I1556">
            <v>0</v>
          </cell>
          <cell r="J1556">
            <v>0</v>
          </cell>
          <cell r="K1556">
            <v>0</v>
          </cell>
        </row>
        <row r="1557">
          <cell r="A1557" t="str">
            <v>17MINZN</v>
          </cell>
          <cell r="B1557" t="str">
            <v>REAJ.GANAD.S/LC MEDIANO PLAZO OTRAS INSTITUCIONES, BBC, BCC,</v>
          </cell>
          <cell r="C1557">
            <v>0</v>
          </cell>
          <cell r="D1557">
            <v>0</v>
          </cell>
          <cell r="E1557">
            <v>0</v>
          </cell>
          <cell r="F1557">
            <v>0</v>
          </cell>
          <cell r="G1557">
            <v>0</v>
          </cell>
          <cell r="H1557">
            <v>0</v>
          </cell>
          <cell r="I1557">
            <v>0</v>
          </cell>
          <cell r="J1557">
            <v>0</v>
          </cell>
          <cell r="K1557">
            <v>0</v>
          </cell>
        </row>
        <row r="1558">
          <cell r="A1558" t="str">
            <v>17MJNZN</v>
          </cell>
          <cell r="B1558" t="str">
            <v>REAJ.GANAD.S/LC MEDIANO PLAZO BANCO DEL ESTADO MN, BBC, BCC,</v>
          </cell>
          <cell r="C1558">
            <v>0</v>
          </cell>
          <cell r="D1558">
            <v>0</v>
          </cell>
          <cell r="E1558">
            <v>0</v>
          </cell>
          <cell r="F1558">
            <v>0</v>
          </cell>
          <cell r="G1558">
            <v>0</v>
          </cell>
          <cell r="H1558">
            <v>0</v>
          </cell>
          <cell r="I1558">
            <v>0</v>
          </cell>
          <cell r="J1558">
            <v>0</v>
          </cell>
          <cell r="K1558">
            <v>0</v>
          </cell>
        </row>
        <row r="1559">
          <cell r="A1559" t="str">
            <v>17MPNZN</v>
          </cell>
          <cell r="B1559" t="str">
            <v>REAJ.GAN S/CREDITO P/DEP ACDO 1657-09 OTRAS INST., BBC, BCC,</v>
          </cell>
          <cell r="C1559">
            <v>0</v>
          </cell>
          <cell r="D1559">
            <v>0</v>
          </cell>
          <cell r="E1559">
            <v>0</v>
          </cell>
          <cell r="F1559">
            <v>0</v>
          </cell>
          <cell r="G1559">
            <v>0</v>
          </cell>
          <cell r="H1559">
            <v>0</v>
          </cell>
          <cell r="I1559">
            <v>0</v>
          </cell>
          <cell r="J1559">
            <v>0</v>
          </cell>
          <cell r="K1559">
            <v>0</v>
          </cell>
        </row>
        <row r="1560">
          <cell r="A1560" t="str">
            <v>17MQNZN</v>
          </cell>
          <cell r="B1560" t="str">
            <v>REAJ.GAN.S/L/C.P.DEPOSITOS ACDO.1657-09 BECH MN, BBC, BCC, N</v>
          </cell>
          <cell r="C1560">
            <v>0</v>
          </cell>
          <cell r="D1560">
            <v>0</v>
          </cell>
          <cell r="E1560">
            <v>0</v>
          </cell>
          <cell r="F1560">
            <v>0</v>
          </cell>
          <cell r="G1560">
            <v>0</v>
          </cell>
          <cell r="H1560">
            <v>0</v>
          </cell>
          <cell r="I1560">
            <v>0</v>
          </cell>
          <cell r="J1560">
            <v>0</v>
          </cell>
          <cell r="K1560">
            <v>0</v>
          </cell>
        </row>
        <row r="1561">
          <cell r="A1561" t="str">
            <v>17MRNZN</v>
          </cell>
          <cell r="B1561" t="str">
            <v>REAJ.GAN POR VALORES P.RECIBIR CORFO LEY 18401, BBC, BCC, NA</v>
          </cell>
          <cell r="C1561">
            <v>-5</v>
          </cell>
          <cell r="D1561">
            <v>-6</v>
          </cell>
          <cell r="E1561">
            <v>4</v>
          </cell>
          <cell r="F1561">
            <v>21</v>
          </cell>
          <cell r="G1561">
            <v>25</v>
          </cell>
          <cell r="H1561">
            <v>21</v>
          </cell>
          <cell r="I1561">
            <v>19</v>
          </cell>
          <cell r="J1561">
            <v>18</v>
          </cell>
          <cell r="K1561">
            <v>19</v>
          </cell>
        </row>
        <row r="1562">
          <cell r="A1562" t="str">
            <v>17MYNZN</v>
          </cell>
          <cell r="B1562" t="str">
            <v>REAJ.GAN.P.TRANS.FISCAL ART.13 LEY 18401 MN, BBC, BCC, NAC</v>
          </cell>
          <cell r="C1562">
            <v>-597</v>
          </cell>
          <cell r="D1562">
            <v>-690</v>
          </cell>
          <cell r="E1562">
            <v>450</v>
          </cell>
          <cell r="F1562">
            <v>2500</v>
          </cell>
          <cell r="G1562">
            <v>3056</v>
          </cell>
          <cell r="H1562">
            <v>2456</v>
          </cell>
          <cell r="I1562">
            <v>2224</v>
          </cell>
          <cell r="J1562">
            <v>2087</v>
          </cell>
          <cell r="K1562">
            <v>2301</v>
          </cell>
        </row>
        <row r="1563">
          <cell r="A1563" t="str">
            <v>17MSNZN</v>
          </cell>
          <cell r="B1563" t="str">
            <v>REAJ GAN.S/CRED.MOD.UNO LIBOR AJUSTADO AC.1686 BCO, BBC, BCC</v>
          </cell>
          <cell r="C1563">
            <v>-2</v>
          </cell>
          <cell r="D1563">
            <v>-2</v>
          </cell>
          <cell r="E1563">
            <v>1</v>
          </cell>
          <cell r="F1563">
            <v>1</v>
          </cell>
          <cell r="G1563">
            <v>1</v>
          </cell>
          <cell r="H1563">
            <v>1</v>
          </cell>
          <cell r="I1563">
            <v>1</v>
          </cell>
          <cell r="J1563">
            <v>1</v>
          </cell>
          <cell r="K1563">
            <v>1</v>
          </cell>
        </row>
        <row r="1564">
          <cell r="A1564" t="str">
            <v>17MTNZN</v>
          </cell>
          <cell r="B1564" t="str">
            <v>REAJ.GAN S/CRED MOD UNO LIBOR AJUSTADO AC1686 BECH, BBC, BCC</v>
          </cell>
          <cell r="C1564">
            <v>0</v>
          </cell>
          <cell r="D1564">
            <v>0</v>
          </cell>
          <cell r="E1564">
            <v>0</v>
          </cell>
          <cell r="F1564">
            <v>0</v>
          </cell>
          <cell r="G1564">
            <v>0</v>
          </cell>
          <cell r="H1564">
            <v>0</v>
          </cell>
          <cell r="I1564">
            <v>0</v>
          </cell>
          <cell r="J1564">
            <v>0</v>
          </cell>
          <cell r="K1564">
            <v>0</v>
          </cell>
        </row>
        <row r="1565">
          <cell r="A1565" t="str">
            <v>17NBNZN</v>
          </cell>
          <cell r="B1565" t="str">
            <v>REAJ.GAN S/CRED.MOD UNO TIP 91-365 BCOS COMERC., BBC, BCC, N</v>
          </cell>
          <cell r="C1565">
            <v>0</v>
          </cell>
          <cell r="D1565">
            <v>0</v>
          </cell>
          <cell r="E1565">
            <v>0</v>
          </cell>
          <cell r="F1565">
            <v>0</v>
          </cell>
          <cell r="G1565">
            <v>0</v>
          </cell>
          <cell r="H1565">
            <v>0</v>
          </cell>
          <cell r="I1565">
            <v>0</v>
          </cell>
          <cell r="J1565">
            <v>0</v>
          </cell>
          <cell r="K1565">
            <v>0</v>
          </cell>
        </row>
        <row r="1566">
          <cell r="A1566" t="str">
            <v>17NFNZN</v>
          </cell>
          <cell r="B1566" t="str">
            <v>REAJ.GAN.S.CRED.MOD.UNO.TIP 91-365 BCO.DEL ESTADO, BBC, BCC,</v>
          </cell>
          <cell r="C1566">
            <v>0</v>
          </cell>
          <cell r="D1566">
            <v>0</v>
          </cell>
          <cell r="E1566">
            <v>0</v>
          </cell>
          <cell r="F1566">
            <v>0</v>
          </cell>
          <cell r="G1566">
            <v>0</v>
          </cell>
          <cell r="H1566">
            <v>0</v>
          </cell>
          <cell r="I1566">
            <v>0</v>
          </cell>
          <cell r="J1566">
            <v>0</v>
          </cell>
          <cell r="K1566">
            <v>0</v>
          </cell>
        </row>
        <row r="1567">
          <cell r="A1567" t="str">
            <v>17MVNZN</v>
          </cell>
          <cell r="B1567" t="str">
            <v>REAJ.GAN S/CRED MOD DOS LIBOR AJUST.AC.1686 B.COM, BBC, BCC,</v>
          </cell>
          <cell r="C1567">
            <v>-2</v>
          </cell>
          <cell r="D1567">
            <v>-2</v>
          </cell>
          <cell r="E1567">
            <v>1</v>
          </cell>
          <cell r="F1567">
            <v>7</v>
          </cell>
          <cell r="G1567">
            <v>9</v>
          </cell>
          <cell r="H1567">
            <v>7</v>
          </cell>
          <cell r="I1567">
            <v>6</v>
          </cell>
          <cell r="J1567">
            <v>6</v>
          </cell>
          <cell r="K1567">
            <v>6</v>
          </cell>
        </row>
        <row r="1568">
          <cell r="A1568" t="str">
            <v>17MZNZN</v>
          </cell>
          <cell r="B1568" t="str">
            <v>REAJ.GAN.S.CRED MOD.DOS LIB.AJUS.AC1686 OT.INST.MN, BBC, BCC</v>
          </cell>
          <cell r="C1568">
            <v>0</v>
          </cell>
          <cell r="D1568">
            <v>0</v>
          </cell>
          <cell r="E1568">
            <v>0</v>
          </cell>
          <cell r="F1568">
            <v>0</v>
          </cell>
          <cell r="G1568">
            <v>0</v>
          </cell>
          <cell r="H1568">
            <v>0</v>
          </cell>
          <cell r="I1568">
            <v>0</v>
          </cell>
          <cell r="J1568">
            <v>0</v>
          </cell>
          <cell r="K1568">
            <v>0</v>
          </cell>
        </row>
        <row r="1569">
          <cell r="A1569" t="str">
            <v>17AYNZN</v>
          </cell>
          <cell r="B1569" t="str">
            <v>REAJ.GAN.S.CRED.MOD.DOS TIP 91-365 BCOS.COMERC.MN, BBC, BCC,</v>
          </cell>
          <cell r="C1569">
            <v>0</v>
          </cell>
          <cell r="D1569">
            <v>0</v>
          </cell>
          <cell r="E1569">
            <v>0</v>
          </cell>
          <cell r="F1569">
            <v>0</v>
          </cell>
          <cell r="G1569">
            <v>0</v>
          </cell>
          <cell r="H1569">
            <v>0</v>
          </cell>
          <cell r="I1569">
            <v>0</v>
          </cell>
          <cell r="J1569">
            <v>0</v>
          </cell>
          <cell r="K1569">
            <v>0</v>
          </cell>
        </row>
        <row r="1570">
          <cell r="A1570" t="str">
            <v>17MWNZN</v>
          </cell>
          <cell r="B1570" t="str">
            <v>REAJ GAN S/CRED MOD DOS TIP 91-365 BECH, BBC, BCC, NAC</v>
          </cell>
          <cell r="C1570">
            <v>0</v>
          </cell>
          <cell r="D1570">
            <v>0</v>
          </cell>
          <cell r="E1570">
            <v>0</v>
          </cell>
          <cell r="F1570">
            <v>0</v>
          </cell>
          <cell r="G1570">
            <v>0</v>
          </cell>
          <cell r="H1570">
            <v>0</v>
          </cell>
          <cell r="I1570">
            <v>0</v>
          </cell>
          <cell r="J1570">
            <v>0</v>
          </cell>
          <cell r="K1570">
            <v>0</v>
          </cell>
        </row>
        <row r="1571">
          <cell r="A1571" t="str">
            <v>17MXNZN</v>
          </cell>
          <cell r="B1571" t="str">
            <v>REAJ.GAN P/VALORES REC.POR VENTA ACCIONES MN, BBC, BCC, NAC</v>
          </cell>
          <cell r="C1571">
            <v>0</v>
          </cell>
          <cell r="D1571">
            <v>0</v>
          </cell>
          <cell r="E1571">
            <v>0</v>
          </cell>
          <cell r="F1571">
            <v>0</v>
          </cell>
          <cell r="G1571">
            <v>0</v>
          </cell>
          <cell r="H1571">
            <v>0</v>
          </cell>
          <cell r="I1571">
            <v>0</v>
          </cell>
          <cell r="J1571">
            <v>0</v>
          </cell>
          <cell r="K1571">
            <v>0</v>
          </cell>
        </row>
        <row r="1572">
          <cell r="A1572" t="str">
            <v>17NANZN</v>
          </cell>
          <cell r="B1572" t="str">
            <v>REAJ.GAN POR REPROGRAMACION OPERACIONES CAF, BBC, BCC, NAC</v>
          </cell>
          <cell r="C1572">
            <v>0</v>
          </cell>
          <cell r="D1572">
            <v>0</v>
          </cell>
          <cell r="E1572">
            <v>0</v>
          </cell>
          <cell r="F1572">
            <v>0</v>
          </cell>
          <cell r="G1572">
            <v>0</v>
          </cell>
          <cell r="H1572">
            <v>0</v>
          </cell>
          <cell r="I1572">
            <v>0</v>
          </cell>
          <cell r="J1572">
            <v>0</v>
          </cell>
          <cell r="K1572">
            <v>0</v>
          </cell>
        </row>
        <row r="1573">
          <cell r="A1573" t="str">
            <v>17NCNZN</v>
          </cell>
          <cell r="B1573" t="str">
            <v>REAJ.GAN.S/REPROGRAMACION DEUDAS AC.1589 BCOS.COM., BBC, BCC</v>
          </cell>
          <cell r="C1573">
            <v>0</v>
          </cell>
          <cell r="D1573">
            <v>0</v>
          </cell>
          <cell r="E1573">
            <v>0</v>
          </cell>
          <cell r="F1573">
            <v>0</v>
          </cell>
          <cell r="G1573">
            <v>0</v>
          </cell>
          <cell r="H1573">
            <v>0</v>
          </cell>
          <cell r="I1573">
            <v>0</v>
          </cell>
          <cell r="J1573">
            <v>0</v>
          </cell>
          <cell r="K1573">
            <v>0</v>
          </cell>
        </row>
        <row r="1574">
          <cell r="A1574" t="str">
            <v>17AZNZN</v>
          </cell>
          <cell r="B1574" t="str">
            <v>REAJ.GAN.S.L.C PARA CONSTITUIR RESERVA TECNICA BC, BBC, BCC,</v>
          </cell>
          <cell r="C1574">
            <v>0</v>
          </cell>
          <cell r="D1574">
            <v>0</v>
          </cell>
          <cell r="E1574">
            <v>0</v>
          </cell>
          <cell r="F1574">
            <v>0</v>
          </cell>
          <cell r="G1574">
            <v>0</v>
          </cell>
          <cell r="H1574">
            <v>0</v>
          </cell>
          <cell r="I1574">
            <v>0</v>
          </cell>
          <cell r="J1574">
            <v>0</v>
          </cell>
          <cell r="K1574">
            <v>0</v>
          </cell>
        </row>
        <row r="1575">
          <cell r="A1575" t="str">
            <v>17NJNZN</v>
          </cell>
          <cell r="B1575" t="str">
            <v>REAJ.GAN.S/L/C CONST.RESERVA TECNICA OTS.INST., BBC, BCC, NA</v>
          </cell>
          <cell r="C1575">
            <v>0</v>
          </cell>
          <cell r="D1575">
            <v>0</v>
          </cell>
          <cell r="E1575">
            <v>0</v>
          </cell>
          <cell r="F1575">
            <v>0</v>
          </cell>
          <cell r="G1575">
            <v>0</v>
          </cell>
          <cell r="H1575">
            <v>0</v>
          </cell>
          <cell r="I1575">
            <v>0</v>
          </cell>
          <cell r="J1575">
            <v>0</v>
          </cell>
          <cell r="K1575">
            <v>0</v>
          </cell>
        </row>
        <row r="1576">
          <cell r="A1576" t="str">
            <v>17NDNZN</v>
          </cell>
          <cell r="B1576" t="str">
            <v>REAJ.GAN S/L/C PARA CONSTITUIR RESERVA TEC.BECH MN, BBC, BCC</v>
          </cell>
          <cell r="C1576">
            <v>0</v>
          </cell>
          <cell r="D1576">
            <v>0</v>
          </cell>
          <cell r="E1576">
            <v>0</v>
          </cell>
          <cell r="F1576">
            <v>0</v>
          </cell>
          <cell r="G1576">
            <v>0</v>
          </cell>
          <cell r="H1576">
            <v>0</v>
          </cell>
          <cell r="I1576">
            <v>0</v>
          </cell>
          <cell r="J1576">
            <v>0</v>
          </cell>
          <cell r="K1576">
            <v>0</v>
          </cell>
        </row>
        <row r="1577">
          <cell r="A1577" t="str">
            <v>17NENZN</v>
          </cell>
          <cell r="B1577" t="str">
            <v>REAJ.GAN S/CRED INSA SA. EN LIQUIDAC.ACDO.1792, BBC, BCC, NA</v>
          </cell>
          <cell r="C1577">
            <v>0</v>
          </cell>
          <cell r="D1577">
            <v>0</v>
          </cell>
          <cell r="E1577">
            <v>0</v>
          </cell>
          <cell r="F1577">
            <v>0</v>
          </cell>
          <cell r="G1577">
            <v>0</v>
          </cell>
          <cell r="H1577">
            <v>0</v>
          </cell>
          <cell r="I1577">
            <v>0</v>
          </cell>
          <cell r="J1577">
            <v>0</v>
          </cell>
          <cell r="K1577">
            <v>0</v>
          </cell>
        </row>
        <row r="1578">
          <cell r="A1578" t="str">
            <v>17NINZN</v>
          </cell>
          <cell r="B1578" t="str">
            <v>REAJ.GAN.L/C C/GTIA.ESTATAL FINANCIERA DAVENS, BBC, BCC, NAC</v>
          </cell>
          <cell r="C1578">
            <v>0</v>
          </cell>
          <cell r="D1578">
            <v>0</v>
          </cell>
          <cell r="E1578">
            <v>0</v>
          </cell>
          <cell r="F1578">
            <v>0</v>
          </cell>
          <cell r="G1578">
            <v>0</v>
          </cell>
          <cell r="H1578">
            <v>0</v>
          </cell>
          <cell r="I1578">
            <v>0</v>
          </cell>
          <cell r="J1578">
            <v>0</v>
          </cell>
          <cell r="K1578">
            <v>0</v>
          </cell>
        </row>
        <row r="1579">
          <cell r="A1579" t="str">
            <v>17NKNZN</v>
          </cell>
          <cell r="B1579" t="str">
            <v>REAJ.GAN.BONOS BANCARIOS AC.1475 C.GTIA.ESTATAL MN, BBC, BCC</v>
          </cell>
          <cell r="C1579">
            <v>0</v>
          </cell>
          <cell r="D1579">
            <v>0</v>
          </cell>
          <cell r="E1579">
            <v>7</v>
          </cell>
          <cell r="F1579">
            <v>7</v>
          </cell>
          <cell r="G1579">
            <v>7</v>
          </cell>
          <cell r="H1579">
            <v>7</v>
          </cell>
          <cell r="I1579">
            <v>7</v>
          </cell>
          <cell r="J1579">
            <v>7</v>
          </cell>
          <cell r="K1579">
            <v>7</v>
          </cell>
        </row>
        <row r="1580">
          <cell r="A1580" t="str">
            <v>17MKNZN</v>
          </cell>
          <cell r="B1580" t="str">
            <v>UTILIDADES DE CAMBIO MONETARIA, BBC, BCC, NAC</v>
          </cell>
          <cell r="C1580">
            <v>551860</v>
          </cell>
          <cell r="D1580">
            <v>927914</v>
          </cell>
          <cell r="E1580">
            <v>358247</v>
          </cell>
          <cell r="F1580">
            <v>99916</v>
          </cell>
          <cell r="G1580">
            <v>272081</v>
          </cell>
          <cell r="H1580">
            <v>140926</v>
          </cell>
          <cell r="I1580">
            <v>135175</v>
          </cell>
          <cell r="J1580">
            <v>36429</v>
          </cell>
          <cell r="K1580">
            <v>88621</v>
          </cell>
        </row>
        <row r="1581">
          <cell r="A1581" t="str">
            <v>17MLNZN</v>
          </cell>
          <cell r="B1581" t="str">
            <v>PROD.DE REV.CTAS CON ORGANISMOS INTERNAC.HABER MN, BBC, BCC,</v>
          </cell>
          <cell r="C1581">
            <v>7585</v>
          </cell>
          <cell r="D1581">
            <v>11245</v>
          </cell>
          <cell r="E1581">
            <v>5126</v>
          </cell>
          <cell r="F1581">
            <v>812</v>
          </cell>
          <cell r="G1581">
            <v>6540</v>
          </cell>
          <cell r="H1581">
            <v>0</v>
          </cell>
          <cell r="I1581">
            <v>2040</v>
          </cell>
          <cell r="J1581">
            <v>0</v>
          </cell>
          <cell r="K1581">
            <v>0</v>
          </cell>
        </row>
        <row r="1582">
          <cell r="A1582" t="str">
            <v>17MMNZN</v>
          </cell>
          <cell r="B1582" t="str">
            <v>CORRECCION MONETARIA DEL HABER MN, BBC, BCC, NAC</v>
          </cell>
          <cell r="C1582">
            <v>3936</v>
          </cell>
          <cell r="D1582">
            <v>5976</v>
          </cell>
          <cell r="E1582">
            <v>8687</v>
          </cell>
          <cell r="F1582">
            <v>17638</v>
          </cell>
          <cell r="G1582">
            <v>18338</v>
          </cell>
          <cell r="H1582">
            <v>18054</v>
          </cell>
          <cell r="I1582">
            <v>18648</v>
          </cell>
          <cell r="J1582">
            <v>19189</v>
          </cell>
          <cell r="K1582">
            <v>22323</v>
          </cell>
        </row>
        <row r="1583">
          <cell r="A1583" t="str">
            <v>17AINZN</v>
          </cell>
          <cell r="B1583" t="str">
            <v>PERDIDAS Y GANANCIAS</v>
          </cell>
          <cell r="C1583">
            <v>0</v>
          </cell>
          <cell r="D1583">
            <v>0</v>
          </cell>
          <cell r="E1583">
            <v>0</v>
          </cell>
          <cell r="F1583">
            <v>0</v>
          </cell>
          <cell r="G1583">
            <v>0</v>
          </cell>
          <cell r="H1583">
            <v>0</v>
          </cell>
          <cell r="I1583">
            <v>0</v>
          </cell>
          <cell r="J1583">
            <v>0</v>
          </cell>
          <cell r="K1583">
            <v>0</v>
          </cell>
        </row>
        <row r="1584">
          <cell r="A1584" t="str">
            <v>22817MONZN...</v>
          </cell>
          <cell r="B1584" t="str">
            <v xml:space="preserve">UTILIDADES POR COMPRA/VENTA A FUTURO </v>
          </cell>
          <cell r="C1584">
            <v>0</v>
          </cell>
          <cell r="D1584">
            <v>0</v>
          </cell>
          <cell r="E1584">
            <v>123</v>
          </cell>
          <cell r="F1584">
            <v>123</v>
          </cell>
          <cell r="G1584">
            <v>123</v>
          </cell>
          <cell r="H1584">
            <v>123</v>
          </cell>
          <cell r="I1584">
            <v>123</v>
          </cell>
          <cell r="J1584">
            <v>123</v>
          </cell>
          <cell r="K1584">
            <v>123</v>
          </cell>
        </row>
        <row r="1585">
          <cell r="A1585" t="str">
            <v>14BNWZN</v>
          </cell>
          <cell r="B1585" t="str">
            <v xml:space="preserve">  .OTROS PASIVOS MN</v>
          </cell>
          <cell r="C1585">
            <v>29878</v>
          </cell>
          <cell r="D1585">
            <v>55075</v>
          </cell>
          <cell r="E1585">
            <v>99188</v>
          </cell>
          <cell r="F1585">
            <v>128312</v>
          </cell>
          <cell r="G1585">
            <v>154430</v>
          </cell>
          <cell r="H1585">
            <v>178777</v>
          </cell>
          <cell r="I1585">
            <v>207065</v>
          </cell>
          <cell r="J1585">
            <v>227203</v>
          </cell>
          <cell r="K1585">
            <v>246353</v>
          </cell>
        </row>
        <row r="1586">
          <cell r="A1586" t="str">
            <v>14BPWZN</v>
          </cell>
          <cell r="B1586" t="str">
            <v xml:space="preserve">  .  .INGRESOS DE OPERACION M/N</v>
          </cell>
          <cell r="C1586">
            <v>29836</v>
          </cell>
          <cell r="D1586">
            <v>55016</v>
          </cell>
          <cell r="E1586">
            <v>99084</v>
          </cell>
          <cell r="F1586">
            <v>128188</v>
          </cell>
          <cell r="G1586">
            <v>154283</v>
          </cell>
          <cell r="H1586">
            <v>178605</v>
          </cell>
          <cell r="I1586">
            <v>206864</v>
          </cell>
          <cell r="J1586">
            <v>226708</v>
          </cell>
          <cell r="K1586">
            <v>245837</v>
          </cell>
        </row>
        <row r="1587">
          <cell r="A1587" t="str">
            <v>14BQWZN</v>
          </cell>
          <cell r="B1587" t="str">
            <v xml:space="preserve">  .  .OTROS INGRESOS M/N</v>
          </cell>
          <cell r="C1587">
            <v>42</v>
          </cell>
          <cell r="D1587">
            <v>59</v>
          </cell>
          <cell r="E1587">
            <v>104</v>
          </cell>
          <cell r="F1587">
            <v>124</v>
          </cell>
          <cell r="G1587">
            <v>147</v>
          </cell>
          <cell r="H1587">
            <v>172</v>
          </cell>
          <cell r="I1587">
            <v>201</v>
          </cell>
          <cell r="J1587">
            <v>495</v>
          </cell>
          <cell r="K1587">
            <v>516</v>
          </cell>
        </row>
        <row r="1588">
          <cell r="A1588" t="str">
            <v>14BNXZN</v>
          </cell>
          <cell r="B1588" t="str">
            <v xml:space="preserve">  .OTROS PASIVOS ME</v>
          </cell>
          <cell r="C1588">
            <v>52703</v>
          </cell>
          <cell r="D1588">
            <v>92040</v>
          </cell>
          <cell r="E1588">
            <v>148210</v>
          </cell>
          <cell r="F1588">
            <v>189000</v>
          </cell>
          <cell r="G1588">
            <v>238550</v>
          </cell>
          <cell r="H1588">
            <v>272679</v>
          </cell>
          <cell r="I1588">
            <v>309193</v>
          </cell>
          <cell r="J1588">
            <v>340512</v>
          </cell>
          <cell r="K1588">
            <v>356974</v>
          </cell>
        </row>
        <row r="1589">
          <cell r="A1589" t="str">
            <v>14BPXZN</v>
          </cell>
          <cell r="B1589" t="str">
            <v xml:space="preserve">  .  .INGRESOS DE OPERACIÓN M/E</v>
          </cell>
          <cell r="C1589">
            <v>52702</v>
          </cell>
          <cell r="D1589">
            <v>92039</v>
          </cell>
          <cell r="E1589">
            <v>148207</v>
          </cell>
          <cell r="F1589">
            <v>188998</v>
          </cell>
          <cell r="G1589">
            <v>238547</v>
          </cell>
          <cell r="H1589">
            <v>272675</v>
          </cell>
          <cell r="I1589">
            <v>309189</v>
          </cell>
          <cell r="J1589">
            <v>340508</v>
          </cell>
          <cell r="K1589">
            <v>356969</v>
          </cell>
        </row>
        <row r="1590">
          <cell r="A1590" t="str">
            <v>14BQXZN</v>
          </cell>
          <cell r="B1590" t="str">
            <v xml:space="preserve">  .  .OTROS INGRESOS M/E</v>
          </cell>
          <cell r="C1590">
            <v>1</v>
          </cell>
          <cell r="D1590">
            <v>1</v>
          </cell>
          <cell r="E1590">
            <v>3</v>
          </cell>
          <cell r="F1590">
            <v>2</v>
          </cell>
          <cell r="G1590">
            <v>3</v>
          </cell>
          <cell r="H1590">
            <v>4</v>
          </cell>
          <cell r="I1590">
            <v>4</v>
          </cell>
          <cell r="J1590">
            <v>4</v>
          </cell>
          <cell r="K1590">
            <v>5</v>
          </cell>
        </row>
        <row r="1595">
          <cell r="A1595" t="str">
            <v>Código</v>
          </cell>
          <cell r="B1595" t="str">
            <v xml:space="preserve"> DATOS EXOGENOS</v>
          </cell>
          <cell r="C1595" t="str">
            <v>2003/1</v>
          </cell>
          <cell r="D1595" t="str">
            <v>2003/02</v>
          </cell>
          <cell r="E1595" t="str">
            <v>2003/3</v>
          </cell>
          <cell r="F1595" t="str">
            <v>2003/4</v>
          </cell>
          <cell r="G1595" t="str">
            <v>2003/5</v>
          </cell>
          <cell r="H1595" t="str">
            <v>2003/6</v>
          </cell>
          <cell r="I1595" t="str">
            <v>2003/7</v>
          </cell>
          <cell r="J1595" t="str">
            <v>2003/8</v>
          </cell>
          <cell r="K1595" t="str">
            <v>2003/9</v>
          </cell>
          <cell r="L1595" t="str">
            <v>2003/10</v>
          </cell>
          <cell r="M1595" t="str">
            <v>2003/11</v>
          </cell>
          <cell r="N1595" t="str">
            <v>2003/12</v>
          </cell>
        </row>
        <row r="1597">
          <cell r="A1597" t="str">
            <v xml:space="preserve">           </v>
          </cell>
          <cell r="B1597" t="str">
            <v>INTERESES POR RECIBIR O.INS.</v>
          </cell>
          <cell r="C1597">
            <v>0</v>
          </cell>
          <cell r="D1597">
            <v>0</v>
          </cell>
          <cell r="E1597">
            <v>0</v>
          </cell>
          <cell r="F1597">
            <v>0</v>
          </cell>
          <cell r="G1597">
            <v>0</v>
          </cell>
          <cell r="H1597">
            <v>0</v>
          </cell>
          <cell r="I1597">
            <v>0</v>
          </cell>
          <cell r="J1597">
            <v>0</v>
          </cell>
          <cell r="K1597">
            <v>0</v>
          </cell>
          <cell r="L1597">
            <v>0</v>
          </cell>
          <cell r="M1597">
            <v>0</v>
          </cell>
          <cell r="N1597">
            <v>0</v>
          </cell>
        </row>
        <row r="1598">
          <cell r="A1598" t="str">
            <v>12IUNZN</v>
          </cell>
          <cell r="B1598" t="str">
            <v xml:space="preserve">  .INTS.P.RECIBIR SINAP MN, EXO,</v>
          </cell>
          <cell r="C1598">
            <v>0</v>
          </cell>
          <cell r="D1598">
            <v>0</v>
          </cell>
          <cell r="E1598">
            <v>0</v>
          </cell>
          <cell r="F1598">
            <v>0</v>
          </cell>
          <cell r="G1598">
            <v>0</v>
          </cell>
          <cell r="H1598">
            <v>0</v>
          </cell>
          <cell r="I1598">
            <v>0</v>
          </cell>
          <cell r="J1598">
            <v>0</v>
          </cell>
          <cell r="K1598">
            <v>0</v>
          </cell>
          <cell r="L1598">
            <v>0</v>
          </cell>
          <cell r="M1598">
            <v>0</v>
          </cell>
          <cell r="N1598">
            <v>0</v>
          </cell>
        </row>
        <row r="1599">
          <cell r="A1599" t="str">
            <v>12IVNZN</v>
          </cell>
          <cell r="B1599" t="str">
            <v xml:space="preserve">  .INTS.P.RECIBIR FINANCIERAS MN,</v>
          </cell>
          <cell r="C1599">
            <v>0</v>
          </cell>
          <cell r="D1599">
            <v>0</v>
          </cell>
          <cell r="E1599">
            <v>0</v>
          </cell>
          <cell r="F1599">
            <v>0</v>
          </cell>
          <cell r="G1599">
            <v>0</v>
          </cell>
          <cell r="H1599">
            <v>0</v>
          </cell>
          <cell r="I1599">
            <v>0</v>
          </cell>
          <cell r="J1599">
            <v>0</v>
          </cell>
          <cell r="K1599">
            <v>0</v>
          </cell>
          <cell r="L1599">
            <v>0</v>
          </cell>
          <cell r="M1599">
            <v>0</v>
          </cell>
          <cell r="N1599">
            <v>0</v>
          </cell>
        </row>
        <row r="1600">
          <cell r="A1600" t="str">
            <v>12IWNZN</v>
          </cell>
          <cell r="B1600" t="str">
            <v xml:space="preserve">  .INTS.P.RECIBIR SECTOR PRIVADO</v>
          </cell>
          <cell r="C1600">
            <v>0</v>
          </cell>
          <cell r="D1600">
            <v>0</v>
          </cell>
          <cell r="E1600">
            <v>0</v>
          </cell>
          <cell r="F1600">
            <v>0</v>
          </cell>
          <cell r="G1600">
            <v>0</v>
          </cell>
          <cell r="H1600">
            <v>0</v>
          </cell>
          <cell r="I1600">
            <v>0</v>
          </cell>
          <cell r="J1600">
            <v>0</v>
          </cell>
          <cell r="K1600">
            <v>0</v>
          </cell>
          <cell r="L1600">
            <v>0</v>
          </cell>
          <cell r="M1600">
            <v>0</v>
          </cell>
          <cell r="N1600">
            <v>0</v>
          </cell>
        </row>
        <row r="1601">
          <cell r="A1601" t="str">
            <v xml:space="preserve">           </v>
          </cell>
          <cell r="B1601" t="str">
            <v>INTERESES POR PAGAR OP.IN.</v>
          </cell>
          <cell r="C1601">
            <v>168512</v>
          </cell>
          <cell r="D1601">
            <v>180426</v>
          </cell>
          <cell r="E1601">
            <v>156973</v>
          </cell>
          <cell r="F1601">
            <v>161868</v>
          </cell>
          <cell r="G1601">
            <v>173904</v>
          </cell>
          <cell r="H1601">
            <v>171152</v>
          </cell>
          <cell r="I1601">
            <v>184225</v>
          </cell>
          <cell r="J1601">
            <v>189818</v>
          </cell>
          <cell r="K1601">
            <v>156563</v>
          </cell>
          <cell r="L1601">
            <v>0</v>
          </cell>
          <cell r="M1601">
            <v>0</v>
          </cell>
          <cell r="N1601">
            <v>0</v>
          </cell>
        </row>
        <row r="1602">
          <cell r="A1602" t="str">
            <v>14HKNZN</v>
          </cell>
          <cell r="B1602" t="str">
            <v xml:space="preserve">  .INTS.POR PAGAR SOBRE OPERACION</v>
          </cell>
          <cell r="C1602">
            <v>0</v>
          </cell>
          <cell r="D1602">
            <v>0</v>
          </cell>
          <cell r="E1602">
            <v>0</v>
          </cell>
          <cell r="F1602">
            <v>0</v>
          </cell>
          <cell r="G1602">
            <v>0</v>
          </cell>
          <cell r="H1602">
            <v>0</v>
          </cell>
          <cell r="I1602">
            <v>0</v>
          </cell>
          <cell r="J1602">
            <v>0</v>
          </cell>
          <cell r="K1602">
            <v>0</v>
          </cell>
          <cell r="L1602">
            <v>0</v>
          </cell>
          <cell r="M1602">
            <v>0</v>
          </cell>
          <cell r="N1602">
            <v>0</v>
          </cell>
        </row>
        <row r="1603">
          <cell r="A1603" t="str">
            <v>14HMNZN</v>
          </cell>
          <cell r="B1603" t="str">
            <v xml:space="preserve">  .OTROS INTS.POR PAGAR OPERACION</v>
          </cell>
          <cell r="C1603">
            <v>168279</v>
          </cell>
          <cell r="D1603">
            <v>180217</v>
          </cell>
          <cell r="E1603">
            <v>156731</v>
          </cell>
          <cell r="F1603">
            <v>161630</v>
          </cell>
          <cell r="G1603">
            <v>173890</v>
          </cell>
          <cell r="H1603">
            <v>171150</v>
          </cell>
          <cell r="I1603">
            <v>184222</v>
          </cell>
          <cell r="J1603">
            <v>189814</v>
          </cell>
          <cell r="K1603">
            <v>156557</v>
          </cell>
          <cell r="L1603">
            <v>0</v>
          </cell>
          <cell r="M1603">
            <v>0</v>
          </cell>
          <cell r="N1603">
            <v>0</v>
          </cell>
        </row>
        <row r="1604">
          <cell r="A1604" t="str">
            <v>14HEEZN</v>
          </cell>
          <cell r="B1604" t="str">
            <v xml:space="preserve">  .OTROS INTS.POR PAGAR OP.INT.ME</v>
          </cell>
          <cell r="C1604">
            <v>233</v>
          </cell>
          <cell r="D1604">
            <v>209</v>
          </cell>
          <cell r="E1604">
            <v>242</v>
          </cell>
          <cell r="F1604">
            <v>238</v>
          </cell>
          <cell r="G1604">
            <v>14</v>
          </cell>
          <cell r="H1604">
            <v>2</v>
          </cell>
          <cell r="I1604">
            <v>3</v>
          </cell>
          <cell r="J1604">
            <v>4</v>
          </cell>
          <cell r="K1604">
            <v>6</v>
          </cell>
          <cell r="L1604">
            <v>0</v>
          </cell>
          <cell r="M1604">
            <v>0</v>
          </cell>
          <cell r="N1604">
            <v>0</v>
          </cell>
        </row>
        <row r="1605">
          <cell r="A1605" t="str">
            <v xml:space="preserve">           </v>
          </cell>
          <cell r="B1605" t="str">
            <v>CANJE BECH</v>
          </cell>
          <cell r="C1605">
            <v>75483.789999999994</v>
          </cell>
          <cell r="D1605">
            <v>58264.55</v>
          </cell>
          <cell r="E1605">
            <v>139347.63</v>
          </cell>
          <cell r="F1605">
            <v>101721</v>
          </cell>
          <cell r="G1605">
            <v>76401</v>
          </cell>
          <cell r="H1605">
            <v>155874</v>
          </cell>
          <cell r="I1605">
            <v>166466</v>
          </cell>
          <cell r="J1605">
            <v>101506</v>
          </cell>
          <cell r="K1605">
            <v>88395</v>
          </cell>
          <cell r="L1605">
            <v>0</v>
          </cell>
          <cell r="M1605">
            <v>0</v>
          </cell>
          <cell r="N1605">
            <v>0</v>
          </cell>
        </row>
        <row r="1606">
          <cell r="A1606" t="str">
            <v>22CHFZB</v>
          </cell>
          <cell r="B1606" t="str">
            <v xml:space="preserve">  .CANJE CUENTA UNICA FISCAL MN,</v>
          </cell>
          <cell r="C1606">
            <v>0</v>
          </cell>
          <cell r="D1606">
            <v>0</v>
          </cell>
          <cell r="E1606">
            <v>0</v>
          </cell>
          <cell r="F1606">
            <v>0</v>
          </cell>
          <cell r="G1606">
            <v>0</v>
          </cell>
          <cell r="H1606">
            <v>0</v>
          </cell>
          <cell r="I1606">
            <v>0</v>
          </cell>
          <cell r="J1606">
            <v>0</v>
          </cell>
          <cell r="K1606">
            <v>0</v>
          </cell>
          <cell r="L1606">
            <v>0</v>
          </cell>
          <cell r="M1606">
            <v>0</v>
          </cell>
          <cell r="N1606">
            <v>0</v>
          </cell>
        </row>
        <row r="1607">
          <cell r="A1607" t="str">
            <v>23FHAZB</v>
          </cell>
          <cell r="B1607" t="str">
            <v xml:space="preserve">  .CANJE PRIVADO EN EL BCO. DEL E</v>
          </cell>
          <cell r="C1607">
            <v>75483.789999999994</v>
          </cell>
          <cell r="D1607">
            <v>58264.55</v>
          </cell>
          <cell r="E1607">
            <v>139347.63</v>
          </cell>
          <cell r="F1607">
            <v>101721</v>
          </cell>
          <cell r="G1607">
            <v>76401</v>
          </cell>
          <cell r="H1607">
            <v>155874</v>
          </cell>
          <cell r="I1607">
            <v>166466</v>
          </cell>
          <cell r="J1607">
            <v>101506</v>
          </cell>
          <cell r="K1607">
            <v>88395</v>
          </cell>
        </row>
        <row r="1608">
          <cell r="A1608" t="str">
            <v xml:space="preserve">           </v>
          </cell>
          <cell r="B1608" t="str">
            <v>CUF</v>
          </cell>
          <cell r="C1608">
            <v>540459</v>
          </cell>
          <cell r="D1608">
            <v>514597</v>
          </cell>
          <cell r="E1608">
            <v>544863</v>
          </cell>
          <cell r="F1608">
            <v>722581</v>
          </cell>
          <cell r="G1608">
            <v>831221</v>
          </cell>
          <cell r="H1608">
            <v>612192</v>
          </cell>
          <cell r="I1608">
            <v>617898</v>
          </cell>
          <cell r="J1608">
            <v>574996</v>
          </cell>
          <cell r="K1608">
            <v>18324</v>
          </cell>
          <cell r="L1608">
            <v>0</v>
          </cell>
          <cell r="M1608">
            <v>0</v>
          </cell>
          <cell r="N1608">
            <v>0</v>
          </cell>
        </row>
        <row r="1609">
          <cell r="A1609" t="str">
            <v>24BHEZB</v>
          </cell>
          <cell r="B1609" t="str">
            <v xml:space="preserve">  .CUENTA UNICA FISCAL PRINCIPAL</v>
          </cell>
          <cell r="C1609">
            <v>12041</v>
          </cell>
          <cell r="D1609">
            <v>8550</v>
          </cell>
          <cell r="E1609">
            <v>16280</v>
          </cell>
          <cell r="F1609">
            <v>47443</v>
          </cell>
          <cell r="G1609">
            <v>30239</v>
          </cell>
          <cell r="H1609">
            <v>19189</v>
          </cell>
          <cell r="I1609">
            <v>14717</v>
          </cell>
          <cell r="J1609">
            <v>6273</v>
          </cell>
          <cell r="K1609">
            <v>18324</v>
          </cell>
        </row>
        <row r="1610">
          <cell r="A1610" t="str">
            <v>24CHEZB</v>
          </cell>
          <cell r="B1610" t="str">
            <v xml:space="preserve">  .DEPOSITOS DEL FISCO EN EL BCO.</v>
          </cell>
          <cell r="C1610">
            <v>528418</v>
          </cell>
          <cell r="D1610">
            <v>506047</v>
          </cell>
          <cell r="E1610">
            <v>528583</v>
          </cell>
          <cell r="F1610">
            <v>675138</v>
          </cell>
          <cell r="G1610">
            <v>800982</v>
          </cell>
          <cell r="H1610">
            <v>593003</v>
          </cell>
          <cell r="I1610">
            <v>603181</v>
          </cell>
          <cell r="J1610">
            <v>568723</v>
          </cell>
        </row>
        <row r="1611">
          <cell r="A1611" t="str">
            <v xml:space="preserve">           </v>
          </cell>
          <cell r="B1611" t="str">
            <v>CAMBIO Y COVERSION</v>
          </cell>
        </row>
        <row r="1612">
          <cell r="A1612" t="str">
            <v>13AINZN</v>
          </cell>
          <cell r="B1612" t="str">
            <v xml:space="preserve">  .CUENTAS DE CAMBIO</v>
          </cell>
          <cell r="C1612">
            <v>14806427</v>
          </cell>
          <cell r="D1612">
            <v>15214465</v>
          </cell>
          <cell r="E1612">
            <v>14676866</v>
          </cell>
          <cell r="F1612">
            <v>14292567</v>
          </cell>
          <cell r="G1612">
            <v>14575870</v>
          </cell>
          <cell r="H1612">
            <v>14028982</v>
          </cell>
          <cell r="I1612">
            <v>14131617</v>
          </cell>
          <cell r="J1612">
            <v>13913407</v>
          </cell>
          <cell r="K1612">
            <v>13364523</v>
          </cell>
          <cell r="L1612">
            <v>0</v>
          </cell>
          <cell r="M1612">
            <v>0</v>
          </cell>
          <cell r="N1612">
            <v>0</v>
          </cell>
        </row>
        <row r="1613">
          <cell r="A1613" t="str">
            <v>17BLEZN</v>
          </cell>
          <cell r="B1613" t="str">
            <v xml:space="preserve">  .CUENTAS DE CONVERSIÒN</v>
          </cell>
          <cell r="C1613">
            <v>14806427</v>
          </cell>
          <cell r="D1613">
            <v>15215566</v>
          </cell>
          <cell r="E1613">
            <v>14676866</v>
          </cell>
          <cell r="F1613">
            <v>14292566</v>
          </cell>
          <cell r="G1613">
            <v>14575872</v>
          </cell>
          <cell r="H1613">
            <v>14028767</v>
          </cell>
          <cell r="I1613">
            <v>14131618</v>
          </cell>
          <cell r="J1613">
            <v>13913406</v>
          </cell>
          <cell r="K1613">
            <v>13364636</v>
          </cell>
          <cell r="L1613">
            <v>0</v>
          </cell>
          <cell r="M1613">
            <v>0</v>
          </cell>
          <cell r="N1613">
            <v>0</v>
          </cell>
        </row>
        <row r="1614">
          <cell r="A1614" t="str">
            <v xml:space="preserve">           </v>
          </cell>
          <cell r="B1614" t="str">
            <v>OTROS</v>
          </cell>
          <cell r="C1614">
            <v>176468</v>
          </cell>
          <cell r="D1614">
            <v>313889</v>
          </cell>
          <cell r="E1614">
            <v>496380</v>
          </cell>
          <cell r="F1614">
            <v>645643</v>
          </cell>
          <cell r="G1614">
            <v>799181</v>
          </cell>
          <cell r="H1614">
            <v>933003</v>
          </cell>
          <cell r="I1614">
            <v>1111074</v>
          </cell>
          <cell r="J1614">
            <v>1237271</v>
          </cell>
          <cell r="K1614">
            <v>1394378</v>
          </cell>
          <cell r="L1614">
            <v>0</v>
          </cell>
          <cell r="M1614">
            <v>0</v>
          </cell>
          <cell r="N1614">
            <v>0</v>
          </cell>
        </row>
        <row r="1615">
          <cell r="A1615" t="str">
            <v>12BJWZN</v>
          </cell>
          <cell r="B1615" t="str">
            <v xml:space="preserve">  .GASTOS OPERACIÒN MN</v>
          </cell>
          <cell r="C1615">
            <v>87285</v>
          </cell>
          <cell r="D1615">
            <v>159286</v>
          </cell>
          <cell r="E1615">
            <v>232090</v>
          </cell>
          <cell r="F1615">
            <v>303975</v>
          </cell>
          <cell r="G1615">
            <v>381511</v>
          </cell>
          <cell r="H1615">
            <v>447278</v>
          </cell>
          <cell r="I1615">
            <v>519937</v>
          </cell>
          <cell r="J1615">
            <v>587900</v>
          </cell>
          <cell r="K1615">
            <v>726283</v>
          </cell>
          <cell r="L1615">
            <v>0</v>
          </cell>
          <cell r="M1615">
            <v>0</v>
          </cell>
          <cell r="N1615">
            <v>0</v>
          </cell>
        </row>
        <row r="1616">
          <cell r="A1616" t="str">
            <v>12BJXZN</v>
          </cell>
          <cell r="B1616" t="str">
            <v xml:space="preserve">  .GASTOS OPERACIÒN ME</v>
          </cell>
          <cell r="C1616">
            <v>4942</v>
          </cell>
          <cell r="D1616">
            <v>4697</v>
          </cell>
          <cell r="E1616">
            <v>12203</v>
          </cell>
          <cell r="F1616">
            <v>17033</v>
          </cell>
          <cell r="G1616">
            <v>15811</v>
          </cell>
          <cell r="H1616">
            <v>23538</v>
          </cell>
          <cell r="I1616">
            <v>60053</v>
          </cell>
          <cell r="J1616">
            <v>64864</v>
          </cell>
          <cell r="K1616">
            <v>47582</v>
          </cell>
          <cell r="L1616">
            <v>0</v>
          </cell>
          <cell r="M1616">
            <v>0</v>
          </cell>
          <cell r="N1616">
            <v>0</v>
          </cell>
        </row>
        <row r="1617">
          <cell r="A1617" t="str">
            <v>12BKWZN</v>
          </cell>
          <cell r="B1617" t="str">
            <v xml:space="preserve">  .GASTOS FIJOS MN</v>
          </cell>
          <cell r="C1617">
            <v>1492</v>
          </cell>
          <cell r="D1617">
            <v>2503</v>
          </cell>
          <cell r="E1617">
            <v>4469</v>
          </cell>
          <cell r="F1617">
            <v>6819</v>
          </cell>
          <cell r="G1617">
            <v>8423</v>
          </cell>
          <cell r="H1617">
            <v>9838</v>
          </cell>
          <cell r="I1617">
            <v>12111</v>
          </cell>
          <cell r="J1617">
            <v>14089</v>
          </cell>
          <cell r="K1617">
            <v>15919</v>
          </cell>
          <cell r="L1617">
            <v>0</v>
          </cell>
          <cell r="M1617">
            <v>0</v>
          </cell>
          <cell r="N1617">
            <v>0</v>
          </cell>
        </row>
        <row r="1618">
          <cell r="A1618" t="str">
            <v>12BKXZN</v>
          </cell>
          <cell r="B1618" t="str">
            <v xml:space="preserve">  .GASTOS FIJOS ME</v>
          </cell>
          <cell r="C1618">
            <v>168</v>
          </cell>
          <cell r="D1618">
            <v>288</v>
          </cell>
          <cell r="E1618">
            <v>220</v>
          </cell>
          <cell r="F1618">
            <v>504</v>
          </cell>
          <cell r="G1618">
            <v>456</v>
          </cell>
          <cell r="H1618">
            <v>893</v>
          </cell>
          <cell r="I1618">
            <v>2715</v>
          </cell>
          <cell r="J1618">
            <v>2703</v>
          </cell>
          <cell r="K1618">
            <v>1267</v>
          </cell>
          <cell r="L1618">
            <v>0</v>
          </cell>
          <cell r="M1618">
            <v>0</v>
          </cell>
          <cell r="N1618">
            <v>0</v>
          </cell>
        </row>
        <row r="1619">
          <cell r="A1619" t="str">
            <v>14BPWZN</v>
          </cell>
          <cell r="B1619" t="str">
            <v xml:space="preserve">  .INGRESOS OPERACIÒN MN</v>
          </cell>
          <cell r="C1619">
            <v>29836</v>
          </cell>
          <cell r="D1619">
            <v>55016</v>
          </cell>
          <cell r="E1619">
            <v>99084</v>
          </cell>
          <cell r="F1619">
            <v>128188</v>
          </cell>
          <cell r="G1619">
            <v>154283</v>
          </cell>
          <cell r="H1619">
            <v>178605</v>
          </cell>
          <cell r="I1619">
            <v>206864</v>
          </cell>
          <cell r="J1619">
            <v>226708</v>
          </cell>
          <cell r="K1619">
            <v>245837</v>
          </cell>
          <cell r="L1619">
            <v>0</v>
          </cell>
          <cell r="M1619">
            <v>0</v>
          </cell>
          <cell r="N1619">
            <v>0</v>
          </cell>
        </row>
        <row r="1620">
          <cell r="A1620" t="str">
            <v>14BPXZN</v>
          </cell>
          <cell r="B1620" t="str">
            <v xml:space="preserve">  .INGRESOS OPERACIÒN ME</v>
          </cell>
          <cell r="C1620">
            <v>52702</v>
          </cell>
          <cell r="D1620">
            <v>92039</v>
          </cell>
          <cell r="E1620">
            <v>148207</v>
          </cell>
          <cell r="F1620">
            <v>188998</v>
          </cell>
          <cell r="G1620">
            <v>238547</v>
          </cell>
          <cell r="H1620">
            <v>272675</v>
          </cell>
          <cell r="I1620">
            <v>309189</v>
          </cell>
          <cell r="J1620">
            <v>340508</v>
          </cell>
          <cell r="K1620">
            <v>356969</v>
          </cell>
          <cell r="L1620">
            <v>0</v>
          </cell>
          <cell r="M1620">
            <v>0</v>
          </cell>
          <cell r="N1620">
            <v>0</v>
          </cell>
        </row>
        <row r="1621">
          <cell r="A1621" t="str">
            <v>14BQWZN</v>
          </cell>
          <cell r="B1621" t="str">
            <v xml:space="preserve">  .OTROS INGRESOS MN</v>
          </cell>
          <cell r="C1621">
            <v>42</v>
          </cell>
          <cell r="D1621">
            <v>59</v>
          </cell>
          <cell r="E1621">
            <v>104</v>
          </cell>
          <cell r="F1621">
            <v>124</v>
          </cell>
          <cell r="G1621">
            <v>147</v>
          </cell>
          <cell r="H1621">
            <v>172</v>
          </cell>
          <cell r="I1621">
            <v>201</v>
          </cell>
          <cell r="J1621">
            <v>495</v>
          </cell>
          <cell r="K1621">
            <v>516</v>
          </cell>
          <cell r="L1621">
            <v>0</v>
          </cell>
          <cell r="M1621">
            <v>0</v>
          </cell>
          <cell r="N1621">
            <v>0</v>
          </cell>
        </row>
        <row r="1622">
          <cell r="A1622" t="str">
            <v>14BQXZN</v>
          </cell>
          <cell r="B1622" t="str">
            <v xml:space="preserve">  .OTROS INGRESOS ME</v>
          </cell>
          <cell r="C1622">
            <v>1</v>
          </cell>
          <cell r="D1622">
            <v>1</v>
          </cell>
          <cell r="E1622">
            <v>3</v>
          </cell>
          <cell r="F1622">
            <v>2</v>
          </cell>
          <cell r="G1622">
            <v>3</v>
          </cell>
          <cell r="H1622">
            <v>4</v>
          </cell>
          <cell r="I1622">
            <v>4</v>
          </cell>
          <cell r="J1622">
            <v>4</v>
          </cell>
          <cell r="K1622">
            <v>5</v>
          </cell>
          <cell r="L1622">
            <v>0</v>
          </cell>
          <cell r="M1622">
            <v>0</v>
          </cell>
          <cell r="N1622">
            <v>0</v>
          </cell>
        </row>
        <row r="1623">
          <cell r="A1623" t="str">
            <v xml:space="preserve">           </v>
          </cell>
          <cell r="B1623" t="str">
            <v>PARIDADES</v>
          </cell>
        </row>
        <row r="1624">
          <cell r="A1624" t="str">
            <v>663010EXCZN</v>
          </cell>
          <cell r="B1624" t="str">
            <v xml:space="preserve">  .WHD-EXCHANGE RATE, EXO, EXO, N</v>
          </cell>
          <cell r="C1624">
            <v>734.34</v>
          </cell>
          <cell r="D1624">
            <v>753.54</v>
          </cell>
          <cell r="E1624">
            <v>727.36</v>
          </cell>
          <cell r="F1624">
            <v>705.32</v>
          </cell>
          <cell r="G1624">
            <v>710.12</v>
          </cell>
          <cell r="H1624">
            <v>697.23</v>
          </cell>
          <cell r="I1624">
            <v>705.64</v>
          </cell>
          <cell r="J1624">
            <v>699.39</v>
          </cell>
          <cell r="K1624">
            <v>665.13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BCC"/>
      <sheetName val="Finalnew"/>
    </sheetNames>
    <sheetDataSet>
      <sheetData sheetId="0"/>
      <sheetData sheetId="1"/>
      <sheetData sheetId="2"/>
      <sheetData sheetId="3"/>
      <sheetData sheetId="4"/>
      <sheetData sheetId="5"/>
      <sheetData sheetId="6"/>
      <sheetData sheetId="7" refreshError="1">
        <row r="13">
          <cell r="B13" t="str">
            <v>Country Name</v>
          </cell>
        </row>
      </sheetData>
      <sheetData sheetId="8"/>
      <sheetData sheetId="9"/>
      <sheetData sheetId="10" refreshError="1"/>
      <sheetData sheetId="11"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0.HIPC Ratios"/>
      <sheetName val="IDA-tab7"/>
      <sheetName val="T9.Assistance"/>
      <sheetName val="T3 Key Ratios"/>
      <sheetName val="T1 Sel Ind"/>
      <sheetName val="T5.Stock-pct"/>
      <sheetName val="T5b.Stock"/>
      <sheetName val="T6-New.Assistance"/>
      <sheetName val="T7.IDA Delivery"/>
      <sheetName val="T8 IMF Assistance"/>
      <sheetName val="T9 New Key Ratios"/>
      <sheetName val="T10. NPV&amp;DS"/>
      <sheetName val="T11 BoP OUT Long"/>
      <sheetName val="T12 Rates"/>
      <sheetName val="T13 HIPC Status "/>
      <sheetName val="Figure 6 NPV"/>
      <sheetName val="Figure 7&amp;8 Burden"/>
      <sheetName val="Figure 9 Social"/>
      <sheetName val="Debt Serv 2"/>
      <sheetName val="Figure 10"/>
      <sheetName val="T8 IMF Assistance(old)"/>
      <sheetName val="DebtService Long"/>
      <sheetName val="OldStress Chart 4"/>
      <sheetName val="IMATA"/>
      <sheetName val="M"/>
      <sheetName val="WEO"/>
      <sheetName val="Gov-20"/>
      <sheetName val="A Current Data"/>
      <sheetName val="CODE LIST"/>
      <sheetName val="T10_HIPC_Ratios"/>
      <sheetName val="T9_Assistance"/>
      <sheetName val="T3_Key_Ratios"/>
      <sheetName val="T1_Sel_Ind"/>
      <sheetName val="T5_Stock-pct"/>
      <sheetName val="T5b_Stock"/>
      <sheetName val="T6-New_Assistance"/>
      <sheetName val="T7_IDA_Delivery"/>
      <sheetName val="T8_IMF_Assistance"/>
      <sheetName val="T9_New_Key_Ratios"/>
      <sheetName val="T10__NPV&amp;DS"/>
      <sheetName val="T11_BoP_OUT_Long"/>
      <sheetName val="T12_Rates"/>
      <sheetName val="T13_HIPC_Status_"/>
      <sheetName val="Figure_6_NPV"/>
      <sheetName val="Figure_7&amp;8_Burden"/>
      <sheetName val="Figure_9_Social"/>
      <sheetName val="Debt_Serv_2"/>
      <sheetName val="Figure_10"/>
      <sheetName val="T8_IMF_Assistance(old)"/>
      <sheetName val="DebtService_Long"/>
      <sheetName val="OldStress_Chart_4"/>
    </sheetNames>
    <sheetDataSet>
      <sheetData sheetId="0" refreshError="1"/>
      <sheetData sheetId="1" refreshError="1">
        <row r="7">
          <cell r="K7">
            <v>2006</v>
          </cell>
          <cell r="L7">
            <v>2007</v>
          </cell>
          <cell r="M7">
            <v>2008</v>
          </cell>
          <cell r="N7">
            <v>2009</v>
          </cell>
          <cell r="O7">
            <v>2010</v>
          </cell>
          <cell r="P7">
            <v>2011</v>
          </cell>
          <cell r="Q7">
            <v>2012</v>
          </cell>
          <cell r="R7">
            <v>2013</v>
          </cell>
          <cell r="S7">
            <v>2014</v>
          </cell>
          <cell r="T7">
            <v>2015</v>
          </cell>
          <cell r="V7">
            <v>2016</v>
          </cell>
          <cell r="W7">
            <v>2017</v>
          </cell>
          <cell r="X7">
            <v>2018</v>
          </cell>
          <cell r="Y7">
            <v>2019</v>
          </cell>
          <cell r="Z7">
            <v>2020</v>
          </cell>
          <cell r="AA7">
            <v>2021</v>
          </cell>
          <cell r="AB7">
            <v>2022</v>
          </cell>
          <cell r="AC7">
            <v>2023</v>
          </cell>
          <cell r="AD7">
            <v>2024</v>
          </cell>
          <cell r="AE7">
            <v>2025</v>
          </cell>
          <cell r="AG7">
            <v>2026</v>
          </cell>
          <cell r="AH7">
            <v>2027</v>
          </cell>
          <cell r="AI7">
            <v>2028</v>
          </cell>
          <cell r="AJ7">
            <v>2029</v>
          </cell>
          <cell r="AK7">
            <v>2030</v>
          </cell>
          <cell r="AL7">
            <v>2031</v>
          </cell>
          <cell r="AM7">
            <v>2032</v>
          </cell>
          <cell r="AN7">
            <v>2033</v>
          </cell>
          <cell r="AO7">
            <v>2034</v>
          </cell>
          <cell r="AP7">
            <v>2035</v>
          </cell>
        </row>
        <row r="9">
          <cell r="K9">
            <v>30.930637973268755</v>
          </cell>
          <cell r="L9">
            <v>32.903048732688859</v>
          </cell>
          <cell r="M9">
            <v>36.12669280541639</v>
          </cell>
          <cell r="N9">
            <v>37.707819330624304</v>
          </cell>
          <cell r="O9">
            <v>40.577921623302139</v>
          </cell>
          <cell r="P9">
            <v>41.066077165354962</v>
          </cell>
          <cell r="Q9">
            <v>43.137792329705853</v>
          </cell>
          <cell r="R9">
            <v>45.710894436789545</v>
          </cell>
          <cell r="S9">
            <v>48.238526828678943</v>
          </cell>
          <cell r="T9">
            <v>50.61375221412915</v>
          </cell>
          <cell r="V9">
            <v>50.54146115122893</v>
          </cell>
          <cell r="W9">
            <v>51.185053236416685</v>
          </cell>
          <cell r="X9">
            <v>51.841771428948796</v>
          </cell>
          <cell r="Y9">
            <v>51.519914592962429</v>
          </cell>
          <cell r="Z9">
            <v>51.177481072244483</v>
          </cell>
          <cell r="AA9">
            <v>50.835047551526515</v>
          </cell>
          <cell r="AB9">
            <v>50.492614030808546</v>
          </cell>
          <cell r="AC9">
            <v>50.150180510090614</v>
          </cell>
          <cell r="AD9">
            <v>49.80774698937266</v>
          </cell>
          <cell r="AE9">
            <v>49.465313468654692</v>
          </cell>
          <cell r="AG9">
            <v>49.122879947936745</v>
          </cell>
          <cell r="AH9">
            <v>47.253349714340047</v>
          </cell>
          <cell r="AI9">
            <v>42.900695551088518</v>
          </cell>
          <cell r="AJ9">
            <v>39.039524236637568</v>
          </cell>
          <cell r="AK9">
            <v>32.316316888063696</v>
          </cell>
          <cell r="AL9">
            <v>30.502634991774411</v>
          </cell>
          <cell r="AM9">
            <v>25.651077456621984</v>
          </cell>
          <cell r="AN9">
            <v>19.368423516473822</v>
          </cell>
          <cell r="AO9">
            <v>13.540369690053312</v>
          </cell>
          <cell r="AP9">
            <v>6.7321142914467229</v>
          </cell>
        </row>
        <row r="10">
          <cell r="A10" t="str">
            <v>Of which</v>
          </cell>
        </row>
        <row r="11">
          <cell r="A11" t="str">
            <v>IDA</v>
          </cell>
          <cell r="B11">
            <v>15.608934481471259</v>
          </cell>
          <cell r="C11">
            <v>18.654135526984085</v>
          </cell>
          <cell r="D11">
            <v>19.317389821871917</v>
          </cell>
          <cell r="E11">
            <v>21.564202333667854</v>
          </cell>
          <cell r="F11">
            <v>24.312401798756834</v>
          </cell>
          <cell r="G11">
            <v>27.015132964601673</v>
          </cell>
          <cell r="H11">
            <v>30.199024032151677</v>
          </cell>
          <cell r="J11">
            <v>407.01316343995893</v>
          </cell>
          <cell r="K11">
            <v>30.930637973268755</v>
          </cell>
          <cell r="L11">
            <v>32.903048732688859</v>
          </cell>
          <cell r="M11">
            <v>36.12669280541639</v>
          </cell>
          <cell r="N11">
            <v>37.707819330624304</v>
          </cell>
          <cell r="O11">
            <v>40.577921623302139</v>
          </cell>
          <cell r="P11">
            <v>41.066077165354962</v>
          </cell>
          <cell r="Q11">
            <v>43.137792329705853</v>
          </cell>
          <cell r="R11">
            <v>45.710894436789545</v>
          </cell>
          <cell r="S11">
            <v>48.238526828678943</v>
          </cell>
          <cell r="T11">
            <v>50.61375221412915</v>
          </cell>
          <cell r="U11">
            <v>507.0165840322544</v>
          </cell>
          <cell r="V11">
            <v>50.54146115122893</v>
          </cell>
          <cell r="W11">
            <v>51.185053236416685</v>
          </cell>
          <cell r="X11">
            <v>51.841771428948796</v>
          </cell>
          <cell r="Y11">
            <v>51.519914592962429</v>
          </cell>
          <cell r="Z11">
            <v>51.177481072244483</v>
          </cell>
          <cell r="AA11">
            <v>50.835047551526515</v>
          </cell>
          <cell r="AB11">
            <v>50.492614030808546</v>
          </cell>
          <cell r="AC11">
            <v>50.150180510090614</v>
          </cell>
          <cell r="AD11">
            <v>49.80774698937266</v>
          </cell>
          <cell r="AE11">
            <v>49.465313468654692</v>
          </cell>
          <cell r="AF11">
            <v>306.42738628443681</v>
          </cell>
          <cell r="AG11">
            <v>49.122879947936745</v>
          </cell>
          <cell r="AH11">
            <v>47.253349714340047</v>
          </cell>
          <cell r="AI11">
            <v>42.900695551088518</v>
          </cell>
          <cell r="AJ11">
            <v>39.039524236637568</v>
          </cell>
          <cell r="AK11">
            <v>32.316316888063696</v>
          </cell>
          <cell r="AL11">
            <v>30.502634991774411</v>
          </cell>
          <cell r="AM11">
            <v>25.651077456621984</v>
          </cell>
          <cell r="AN11">
            <v>19.368423516473822</v>
          </cell>
          <cell r="AO11">
            <v>13.540369690053312</v>
          </cell>
          <cell r="AP11">
            <v>6.7321142914467229</v>
          </cell>
          <cell r="AQ11">
            <v>1377.1283547161554</v>
          </cell>
        </row>
        <row r="13">
          <cell r="K13">
            <v>15.545529445526629</v>
          </cell>
          <cell r="L13">
            <v>16.84194682761488</v>
          </cell>
          <cell r="M13">
            <v>18.311919785616151</v>
          </cell>
          <cell r="N13">
            <v>18.533580070370459</v>
          </cell>
          <cell r="O13">
            <v>19.590642754595301</v>
          </cell>
          <cell r="P13">
            <v>20.211500772084634</v>
          </cell>
          <cell r="Q13">
            <v>20.56109881801023</v>
          </cell>
          <cell r="R13">
            <v>21.409325053489649</v>
          </cell>
          <cell r="S13">
            <v>24.080963902462297</v>
          </cell>
          <cell r="T13">
            <v>26.617017233000489</v>
          </cell>
          <cell r="V13">
            <v>26.705554115188317</v>
          </cell>
          <cell r="W13">
            <v>27.509974145464067</v>
          </cell>
          <cell r="X13">
            <v>28.32752028308418</v>
          </cell>
          <cell r="Y13">
            <v>28.166491392185822</v>
          </cell>
          <cell r="Z13">
            <v>27.984885816555895</v>
          </cell>
          <cell r="AA13">
            <v>27.803280240925925</v>
          </cell>
          <cell r="AB13">
            <v>27.621674665295998</v>
          </cell>
          <cell r="AC13">
            <v>27.440069089666068</v>
          </cell>
          <cell r="AD13">
            <v>27.258463514036137</v>
          </cell>
          <cell r="AE13">
            <v>27.076857938406189</v>
          </cell>
          <cell r="AG13">
            <v>26.895252362776215</v>
          </cell>
          <cell r="AH13">
            <v>26.713646787146299</v>
          </cell>
          <cell r="AI13">
            <v>26.205175618398968</v>
          </cell>
          <cell r="AJ13">
            <v>25.430587665936145</v>
          </cell>
          <cell r="AK13">
            <v>22.692217709119497</v>
          </cell>
          <cell r="AL13">
            <v>20.949068765260222</v>
          </cell>
          <cell r="AM13">
            <v>19.877651538179158</v>
          </cell>
          <cell r="AN13">
            <v>17.380716505034126</v>
          </cell>
          <cell r="AO13">
            <v>11.617495603235161</v>
          </cell>
          <cell r="AP13">
            <v>5.7738726010925676</v>
          </cell>
        </row>
        <row r="15">
          <cell r="K15">
            <v>11.519095423327286</v>
          </cell>
          <cell r="L15">
            <v>12.837695614050535</v>
          </cell>
          <cell r="M15">
            <v>14.329851380686804</v>
          </cell>
          <cell r="N15">
            <v>15.094222801442239</v>
          </cell>
          <cell r="O15">
            <v>16.701117636591139</v>
          </cell>
          <cell r="P15">
            <v>17.275048240627914</v>
          </cell>
          <cell r="Q15">
            <v>17.639383502950007</v>
          </cell>
          <cell r="R15">
            <v>18.519042987357679</v>
          </cell>
          <cell r="S15">
            <v>19.23377042246301</v>
          </cell>
          <cell r="T15">
            <v>19.811030507038897</v>
          </cell>
          <cell r="V15">
            <v>19.943933006496721</v>
          </cell>
          <cell r="W15">
            <v>20.792718654042471</v>
          </cell>
          <cell r="X15">
            <v>21.654630408932587</v>
          </cell>
          <cell r="Y15">
            <v>21.537967135304228</v>
          </cell>
          <cell r="Z15">
            <v>21.400727176944308</v>
          </cell>
          <cell r="AA15">
            <v>21.263487218584331</v>
          </cell>
          <cell r="AB15">
            <v>21.1262472602244</v>
          </cell>
          <cell r="AC15">
            <v>20.989007301864472</v>
          </cell>
          <cell r="AD15">
            <v>20.851767343504537</v>
          </cell>
          <cell r="AE15">
            <v>20.714527385144596</v>
          </cell>
          <cell r="AG15">
            <v>20.577287426784622</v>
          </cell>
          <cell r="AH15">
            <v>20.440047468424702</v>
          </cell>
          <cell r="AI15">
            <v>19.975941916947374</v>
          </cell>
          <cell r="AJ15">
            <v>18.178564570494014</v>
          </cell>
          <cell r="AK15">
            <v>14.429326398294997</v>
          </cell>
          <cell r="AL15">
            <v>12.869565060930061</v>
          </cell>
          <cell r="AM15">
            <v>11.857404635595996</v>
          </cell>
          <cell r="AN15">
            <v>9.3863343391344625</v>
          </cell>
          <cell r="AO15">
            <v>7.6087595852455401</v>
          </cell>
          <cell r="AP15">
            <v>5.7738726010925676</v>
          </cell>
        </row>
        <row r="17">
          <cell r="K17">
            <v>15.385108527742126</v>
          </cell>
          <cell r="L17">
            <v>16.061101905073979</v>
          </cell>
          <cell r="M17">
            <v>17.814773019800239</v>
          </cell>
          <cell r="N17">
            <v>19.174239260253845</v>
          </cell>
          <cell r="O17">
            <v>20.987278868706838</v>
          </cell>
          <cell r="P17">
            <v>20.854576393270328</v>
          </cell>
          <cell r="Q17">
            <v>22.576693511695623</v>
          </cell>
          <cell r="R17">
            <v>24.301569383299896</v>
          </cell>
          <cell r="S17">
            <v>24.157562926216645</v>
          </cell>
          <cell r="T17">
            <v>23.996734981128661</v>
          </cell>
          <cell r="V17">
            <v>23.835907036040613</v>
          </cell>
          <cell r="W17">
            <v>23.675079090952618</v>
          </cell>
          <cell r="X17">
            <v>23.514251145864616</v>
          </cell>
          <cell r="Y17">
            <v>23.353423200776607</v>
          </cell>
          <cell r="Z17">
            <v>23.192595255688587</v>
          </cell>
          <cell r="AA17">
            <v>23.031767310600589</v>
          </cell>
          <cell r="AB17">
            <v>22.870939365512548</v>
          </cell>
          <cell r="AC17">
            <v>22.710111420424546</v>
          </cell>
          <cell r="AD17">
            <v>22.549283475336523</v>
          </cell>
          <cell r="AE17">
            <v>22.388455530248503</v>
          </cell>
          <cell r="AG17">
            <v>22.22762758516053</v>
          </cell>
          <cell r="AH17">
            <v>20.539702927193748</v>
          </cell>
          <cell r="AI17">
            <v>16.69551993268955</v>
          </cell>
          <cell r="AJ17">
            <v>13.608936570701424</v>
          </cell>
          <cell r="AK17">
            <v>9.6240991789441992</v>
          </cell>
          <cell r="AL17">
            <v>9.5535662265141887</v>
          </cell>
          <cell r="AM17">
            <v>5.7734259184428254</v>
          </cell>
          <cell r="AN17">
            <v>1.9877070114396957</v>
          </cell>
          <cell r="AO17">
            <v>1.9228740868181511</v>
          </cell>
          <cell r="AP17">
            <v>0.9582416903541553</v>
          </cell>
        </row>
        <row r="18">
          <cell r="A18" t="str">
            <v>Of which</v>
          </cell>
        </row>
        <row r="19">
          <cell r="K19">
            <v>19.411542549941469</v>
          </cell>
          <cell r="L19">
            <v>20.065353118638324</v>
          </cell>
          <cell r="M19">
            <v>21.796841424729585</v>
          </cell>
          <cell r="N19">
            <v>22.613596529182065</v>
          </cell>
          <cell r="O19">
            <v>23.876803986711</v>
          </cell>
          <cell r="P19">
            <v>23.791028924727048</v>
          </cell>
          <cell r="Q19">
            <v>25.498408826755846</v>
          </cell>
          <cell r="R19">
            <v>27.191851449431866</v>
          </cell>
          <cell r="S19">
            <v>29.004756406215932</v>
          </cell>
          <cell r="T19">
            <v>30.802721707090253</v>
          </cell>
          <cell r="V19">
            <v>30.597528144732209</v>
          </cell>
          <cell r="W19">
            <v>30.392334582374215</v>
          </cell>
          <cell r="X19">
            <v>30.18714102001621</v>
          </cell>
          <cell r="Y19">
            <v>29.981947457658201</v>
          </cell>
          <cell r="Z19">
            <v>29.776753895300175</v>
          </cell>
          <cell r="AA19">
            <v>29.571560332942184</v>
          </cell>
          <cell r="AB19">
            <v>29.366366770584147</v>
          </cell>
          <cell r="AC19">
            <v>29.161173208226142</v>
          </cell>
          <cell r="AD19">
            <v>28.955979645868123</v>
          </cell>
          <cell r="AE19">
            <v>28.750786083510096</v>
          </cell>
          <cell r="AG19">
            <v>28.545592521152123</v>
          </cell>
          <cell r="AH19">
            <v>26.813302245915345</v>
          </cell>
          <cell r="AI19">
            <v>22.924753634141144</v>
          </cell>
          <cell r="AJ19">
            <v>20.860959666143554</v>
          </cell>
          <cell r="AK19">
            <v>17.886990489768699</v>
          </cell>
          <cell r="AL19">
            <v>17.63306993084435</v>
          </cell>
          <cell r="AM19">
            <v>13.793672821025988</v>
          </cell>
          <cell r="AN19">
            <v>9.9820891773393594</v>
          </cell>
          <cell r="AO19">
            <v>5.9316101048077723</v>
          </cell>
          <cell r="AP19">
            <v>0.9582416903541553</v>
          </cell>
        </row>
        <row r="24">
          <cell r="K24">
            <v>49.740676351514082</v>
          </cell>
          <cell r="L24">
            <v>48.813415545646478</v>
          </cell>
          <cell r="M24">
            <v>49.311939832835492</v>
          </cell>
          <cell r="N24">
            <v>50.849504428068428</v>
          </cell>
          <cell r="O24">
            <v>51.720931060832733</v>
          </cell>
          <cell r="P24">
            <v>50.782976687298756</v>
          </cell>
          <cell r="Q24">
            <v>52.33622837983922</v>
          </cell>
          <cell r="R24">
            <v>53.163626926847527</v>
          </cell>
          <cell r="S24">
            <v>50.079396105965671</v>
          </cell>
          <cell r="T24">
            <v>47.411491800897984</v>
          </cell>
          <cell r="V24">
            <v>47.161096044927135</v>
          </cell>
          <cell r="W24">
            <v>46.253891700767994</v>
          </cell>
          <cell r="X24">
            <v>45.357730836979272</v>
          </cell>
          <cell r="Y24">
            <v>45.328924524200708</v>
          </cell>
          <cell r="Z24">
            <v>45.317969485346211</v>
          </cell>
          <cell r="AA24">
            <v>45.306866856484277</v>
          </cell>
          <cell r="AB24">
            <v>45.295613634813257</v>
          </cell>
          <cell r="AC24">
            <v>45.284206735517316</v>
          </cell>
          <cell r="AD24">
            <v>45.272642988946679</v>
          </cell>
          <cell r="AE24">
            <v>45.260919137681555</v>
          </cell>
          <cell r="AG24">
            <v>45.249031833472806</v>
          </cell>
          <cell r="AH24">
            <v>43.467189207457466</v>
          </cell>
          <cell r="AI24">
            <v>38.916664912361625</v>
          </cell>
          <cell r="AJ24">
            <v>34.859381195864557</v>
          </cell>
          <cell r="AK24">
            <v>29.78092835356167</v>
          </cell>
          <cell r="AL24">
            <v>31.320462081687307</v>
          </cell>
          <cell r="AM24">
            <v>22.507537658822123</v>
          </cell>
          <cell r="AN24">
            <v>10.262616416607425</v>
          </cell>
          <cell r="AO24">
            <v>14.201045693978982</v>
          </cell>
          <cell r="AP24">
            <v>14.233889219195511</v>
          </cell>
        </row>
        <row r="26">
          <cell r="K26">
            <v>62.758299931341675</v>
          </cell>
          <cell r="L26">
            <v>60.983264139604152</v>
          </cell>
          <cell r="M26">
            <v>60.334450048141782</v>
          </cell>
          <cell r="N26">
            <v>59.970576211010155</v>
          </cell>
          <cell r="O26">
            <v>58.841860380053546</v>
          </cell>
          <cell r="P26">
            <v>57.933531924491056</v>
          </cell>
          <cell r="Q26">
            <v>59.109211319553204</v>
          </cell>
          <cell r="R26">
            <v>59.486588010290653</v>
          </cell>
          <cell r="S26">
            <v>60.127782320607515</v>
          </cell>
          <cell r="T26">
            <v>60.858403812415787</v>
          </cell>
          <cell r="V26">
            <v>60.53946096488788</v>
          </cell>
          <cell r="W26">
            <v>59.377362453832419</v>
          </cell>
          <cell r="X26">
            <v>58.229377947450899</v>
          </cell>
          <cell r="Y26">
            <v>58.194870264310772</v>
          </cell>
          <cell r="Z26">
            <v>58.183312799756479</v>
          </cell>
          <cell r="AA26">
            <v>58.171599629110972</v>
          </cell>
          <cell r="AB26">
            <v>58.159727584446273</v>
          </cell>
          <cell r="AC26">
            <v>58.147693411310222</v>
          </cell>
          <cell r="AD26">
            <v>58.135493765751697</v>
          </cell>
          <cell r="AE26">
            <v>58.123125211222948</v>
          </cell>
          <cell r="AG26">
            <v>58.110584215352169</v>
          </cell>
          <cell r="AH26">
            <v>56.743706865247425</v>
          </cell>
          <cell r="AI26">
            <v>53.436787771520123</v>
          </cell>
          <cell r="AJ26">
            <v>53.435486405252064</v>
          </cell>
          <cell r="AK26">
            <v>55.349718693888072</v>
          </cell>
          <cell r="AL26">
            <v>57.808349788795056</v>
          </cell>
          <cell r="AM26">
            <v>53.774243379648233</v>
          </cell>
          <cell r="AN26">
            <v>51.537953870376121</v>
          </cell>
          <cell r="AO26">
            <v>43.806854913016913</v>
          </cell>
          <cell r="AP26">
            <v>14.233889219195511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K-input"/>
      <sheetName val="NFA-input"/>
      <sheetName val="Bud97-working"/>
      <sheetName val="Survey"/>
      <sheetName val="WETA-output"/>
    </sheetNames>
    <sheetDataSet>
      <sheetData sheetId="0" refreshError="1"/>
      <sheetData sheetId="1" refreshError="1">
        <row r="2">
          <cell r="B2" t="str">
            <v>Table 2: Kenya--Net Foreign Assets</v>
          </cell>
        </row>
        <row r="4">
          <cell r="B4">
            <v>0</v>
          </cell>
          <cell r="D4" t="str">
            <v>1990</v>
          </cell>
          <cell r="E4" t="str">
            <v>1991</v>
          </cell>
          <cell r="F4" t="str">
            <v>1991</v>
          </cell>
          <cell r="G4" t="str">
            <v>1992</v>
          </cell>
          <cell r="H4" t="str">
            <v>1992</v>
          </cell>
          <cell r="I4" t="str">
            <v>1993</v>
          </cell>
          <cell r="J4" t="str">
            <v>1993</v>
          </cell>
          <cell r="K4" t="str">
            <v>1993</v>
          </cell>
          <cell r="L4" t="str">
            <v>1993</v>
          </cell>
          <cell r="M4" t="str">
            <v>1994</v>
          </cell>
          <cell r="N4" t="str">
            <v>1994</v>
          </cell>
          <cell r="O4" t="str">
            <v>1994</v>
          </cell>
          <cell r="P4" t="str">
            <v>1994</v>
          </cell>
          <cell r="Q4" t="str">
            <v>1995</v>
          </cell>
          <cell r="R4" t="str">
            <v>1995</v>
          </cell>
          <cell r="S4" t="str">
            <v>1995</v>
          </cell>
          <cell r="T4" t="str">
            <v>1995</v>
          </cell>
          <cell r="U4" t="str">
            <v>1995</v>
          </cell>
          <cell r="V4" t="str">
            <v>1995</v>
          </cell>
          <cell r="W4" t="str">
            <v>1995</v>
          </cell>
          <cell r="X4" t="str">
            <v>1995</v>
          </cell>
          <cell r="Y4" t="str">
            <v>1995</v>
          </cell>
          <cell r="Z4" t="str">
            <v>1995</v>
          </cell>
          <cell r="AA4" t="str">
            <v>1995</v>
          </cell>
          <cell r="AB4" t="str">
            <v>1995</v>
          </cell>
          <cell r="AC4" t="str">
            <v>1996</v>
          </cell>
          <cell r="AD4" t="str">
            <v>1996</v>
          </cell>
          <cell r="AE4" t="str">
            <v>1996</v>
          </cell>
          <cell r="AF4" t="str">
            <v>1996</v>
          </cell>
          <cell r="AG4" t="str">
            <v>1996</v>
          </cell>
          <cell r="AI4" t="str">
            <v>1996</v>
          </cell>
          <cell r="AJ4" t="str">
            <v>1996</v>
          </cell>
          <cell r="AK4" t="str">
            <v>1996</v>
          </cell>
          <cell r="AM4" t="str">
            <v>1996</v>
          </cell>
          <cell r="AN4" t="str">
            <v>1996</v>
          </cell>
          <cell r="AO4" t="str">
            <v>1996</v>
          </cell>
        </row>
        <row r="5">
          <cell r="D5" t="str">
            <v>Dec.</v>
          </cell>
          <cell r="E5" t="str">
            <v>Jun.</v>
          </cell>
          <cell r="F5" t="str">
            <v>Dec.</v>
          </cell>
          <cell r="G5" t="str">
            <v>Jun.</v>
          </cell>
          <cell r="H5" t="str">
            <v>Dec.</v>
          </cell>
          <cell r="I5" t="str">
            <v>Mar.</v>
          </cell>
          <cell r="J5" t="str">
            <v>Jun.</v>
          </cell>
          <cell r="K5" t="str">
            <v>Sep.</v>
          </cell>
          <cell r="L5" t="str">
            <v>Dec.</v>
          </cell>
          <cell r="M5" t="str">
            <v>Mar.</v>
          </cell>
          <cell r="N5" t="str">
            <v>Jun.</v>
          </cell>
          <cell r="O5" t="str">
            <v>Sep.</v>
          </cell>
          <cell r="P5" t="str">
            <v>Dec.</v>
          </cell>
          <cell r="Q5" t="str">
            <v>Jan.</v>
          </cell>
          <cell r="R5" t="str">
            <v>Feb.</v>
          </cell>
          <cell r="S5" t="str">
            <v>Mar.</v>
          </cell>
          <cell r="T5" t="str">
            <v>Apr.</v>
          </cell>
          <cell r="U5" t="str">
            <v>May.</v>
          </cell>
          <cell r="V5" t="str">
            <v>June</v>
          </cell>
          <cell r="W5" t="str">
            <v>July</v>
          </cell>
          <cell r="X5" t="str">
            <v>Aug.</v>
          </cell>
          <cell r="Y5" t="str">
            <v>Sept.</v>
          </cell>
          <cell r="Z5" t="str">
            <v>Oct.</v>
          </cell>
          <cell r="AA5" t="str">
            <v>Nov.</v>
          </cell>
          <cell r="AB5" t="str">
            <v>Dec.</v>
          </cell>
          <cell r="AC5" t="str">
            <v>Jan</v>
          </cell>
          <cell r="AD5" t="str">
            <v>Feb</v>
          </cell>
          <cell r="AE5" t="str">
            <v>Mar</v>
          </cell>
          <cell r="AF5" t="str">
            <v>Apr</v>
          </cell>
          <cell r="AG5" t="str">
            <v>May</v>
          </cell>
          <cell r="AI5" t="str">
            <v>June</v>
          </cell>
          <cell r="AJ5" t="str">
            <v>July</v>
          </cell>
          <cell r="AK5" t="str">
            <v>Aug</v>
          </cell>
          <cell r="AM5" t="str">
            <v>Sep.</v>
          </cell>
          <cell r="AN5" t="str">
            <v>Oct.</v>
          </cell>
          <cell r="AO5" t="str">
            <v>Nov.</v>
          </cell>
        </row>
        <row r="6">
          <cell r="D6" t="str">
            <v>Act.</v>
          </cell>
          <cell r="E6" t="str">
            <v>Act.</v>
          </cell>
          <cell r="F6" t="str">
            <v>Act.</v>
          </cell>
          <cell r="G6" t="str">
            <v>Act.</v>
          </cell>
          <cell r="H6" t="str">
            <v>Act.</v>
          </cell>
          <cell r="I6" t="str">
            <v>Act.</v>
          </cell>
          <cell r="J6" t="str">
            <v>Act.</v>
          </cell>
          <cell r="K6" t="str">
            <v>Act.</v>
          </cell>
          <cell r="L6" t="str">
            <v>Act.</v>
          </cell>
          <cell r="M6" t="str">
            <v>Act.</v>
          </cell>
          <cell r="N6" t="str">
            <v>Act.</v>
          </cell>
          <cell r="O6" t="str">
            <v>Act.</v>
          </cell>
          <cell r="P6" t="str">
            <v>Act.</v>
          </cell>
          <cell r="Q6" t="str">
            <v>Act.</v>
          </cell>
          <cell r="R6" t="str">
            <v>Act.</v>
          </cell>
          <cell r="S6" t="str">
            <v>Act.</v>
          </cell>
          <cell r="T6" t="str">
            <v>Act.</v>
          </cell>
          <cell r="U6" t="str">
            <v>Act.</v>
          </cell>
          <cell r="V6" t="str">
            <v>Act.</v>
          </cell>
          <cell r="W6" t="str">
            <v>Act.</v>
          </cell>
          <cell r="X6" t="str">
            <v>Act.</v>
          </cell>
          <cell r="Y6" t="str">
            <v>Act.</v>
          </cell>
          <cell r="Z6" t="str">
            <v>Act.</v>
          </cell>
          <cell r="AA6" t="str">
            <v>Act.</v>
          </cell>
          <cell r="AB6" t="str">
            <v>Act.</v>
          </cell>
          <cell r="AC6" t="str">
            <v>Act.</v>
          </cell>
          <cell r="AD6" t="str">
            <v>Act.</v>
          </cell>
          <cell r="AE6" t="str">
            <v>Act.</v>
          </cell>
          <cell r="AF6" t="str">
            <v>Act.</v>
          </cell>
          <cell r="AG6" t="str">
            <v>Act.</v>
          </cell>
          <cell r="AI6" t="str">
            <v>Act.</v>
          </cell>
          <cell r="AJ6" t="str">
            <v>Act.</v>
          </cell>
          <cell r="AK6" t="str">
            <v>Act.</v>
          </cell>
          <cell r="AM6" t="str">
            <v>Act.</v>
          </cell>
          <cell r="AN6" t="str">
            <v>Act.</v>
          </cell>
          <cell r="AO6" t="str">
            <v>Act.</v>
          </cell>
        </row>
        <row r="7">
          <cell r="B7" t="str">
            <v>All historical data obtained from CBK Reseacrch Department</v>
          </cell>
        </row>
        <row r="8">
          <cell r="B8" t="str">
            <v>a) CBK</v>
          </cell>
        </row>
        <row r="10">
          <cell r="B10" t="str">
            <v>NFA (Kshm, constant exchange rate)</v>
          </cell>
          <cell r="S10">
            <v>13650.575632000004</v>
          </cell>
          <cell r="V10">
            <v>5303.6629119999961</v>
          </cell>
          <cell r="Y10">
            <v>4996.9961120000007</v>
          </cell>
          <cell r="Z10">
            <v>2830.8133519999974</v>
          </cell>
          <cell r="AB10">
            <v>3004.0433097967507</v>
          </cell>
          <cell r="AC10">
            <v>4474.8653841703308</v>
          </cell>
          <cell r="AD10">
            <v>3616.8447877798535</v>
          </cell>
          <cell r="AE10">
            <v>9749.3275738396587</v>
          </cell>
          <cell r="AF10">
            <v>12548.978917129687</v>
          </cell>
          <cell r="AG10">
            <v>16023.656205170977</v>
          </cell>
          <cell r="AI10">
            <v>22294.620898998426</v>
          </cell>
          <cell r="AJ10">
            <v>21971.169796113034</v>
          </cell>
          <cell r="AK10">
            <v>24583</v>
          </cell>
          <cell r="AM10">
            <v>20556.355443288754</v>
          </cell>
          <cell r="AN10">
            <v>22879.159662321537</v>
          </cell>
          <cell r="AO10">
            <v>24214.497603398722</v>
          </cell>
        </row>
        <row r="11">
          <cell r="B11" t="str">
            <v xml:space="preserve">  Assets </v>
          </cell>
          <cell r="S11">
            <v>35674.827632</v>
          </cell>
          <cell r="V11">
            <v>26380.593287999996</v>
          </cell>
          <cell r="Y11">
            <v>25849.780935999999</v>
          </cell>
          <cell r="Z11">
            <v>23669.101199999997</v>
          </cell>
          <cell r="AB11">
            <v>24301.392383999999</v>
          </cell>
          <cell r="AC11">
            <v>25388.13</v>
          </cell>
          <cell r="AD11">
            <v>24781.93</v>
          </cell>
          <cell r="AE11">
            <v>30841.33</v>
          </cell>
          <cell r="AF11">
            <v>33521.89</v>
          </cell>
          <cell r="AG11">
            <v>38248.36</v>
          </cell>
          <cell r="AI11">
            <v>44054.42</v>
          </cell>
          <cell r="AJ11">
            <v>43740.87</v>
          </cell>
          <cell r="AK11">
            <v>45412.19</v>
          </cell>
          <cell r="AM11">
            <v>42310.34</v>
          </cell>
          <cell r="AN11">
            <v>44566.39</v>
          </cell>
          <cell r="AO11">
            <v>45035.03</v>
          </cell>
          <cell r="AP11">
            <v>0</v>
          </cell>
        </row>
        <row r="12">
          <cell r="B12" t="str">
            <v xml:space="preserve">    Gross reserves</v>
          </cell>
          <cell r="S12">
            <v>35674.827632</v>
          </cell>
          <cell r="V12">
            <v>26380.593287999996</v>
          </cell>
          <cell r="Y12">
            <v>25849.780935999999</v>
          </cell>
          <cell r="Z12">
            <v>23669.101199999997</v>
          </cell>
          <cell r="AB12">
            <v>24301.392383999999</v>
          </cell>
          <cell r="AC12">
            <v>25388.13</v>
          </cell>
          <cell r="AD12">
            <v>24781.93</v>
          </cell>
          <cell r="AE12">
            <v>30841.33</v>
          </cell>
          <cell r="AF12">
            <v>33521.89</v>
          </cell>
          <cell r="AG12">
            <v>38248.36</v>
          </cell>
          <cell r="AI12">
            <v>44054.42</v>
          </cell>
          <cell r="AJ12">
            <v>43740.87</v>
          </cell>
          <cell r="AK12">
            <v>45412.19</v>
          </cell>
          <cell r="AM12">
            <v>42310.34</v>
          </cell>
          <cell r="AN12">
            <v>44566.39</v>
          </cell>
          <cell r="AO12">
            <v>45035.03</v>
          </cell>
        </row>
        <row r="13">
          <cell r="B13" t="str">
            <v xml:space="preserve">  Liabilities</v>
          </cell>
          <cell r="S13">
            <v>-22024.251999999997</v>
          </cell>
          <cell r="V13">
            <v>-21076.930376</v>
          </cell>
          <cell r="Y13">
            <v>-20852.784823999998</v>
          </cell>
          <cell r="Z13">
            <v>-20838.287848</v>
          </cell>
          <cell r="AB13">
            <v>-21297.349074203248</v>
          </cell>
          <cell r="AC13">
            <v>-20913.26461582967</v>
          </cell>
          <cell r="AD13">
            <v>-21165.085212220147</v>
          </cell>
          <cell r="AE13">
            <v>-21092.002426160343</v>
          </cell>
          <cell r="AF13">
            <v>-20972.911082870312</v>
          </cell>
          <cell r="AG13">
            <v>-22224.703794829024</v>
          </cell>
          <cell r="AI13">
            <v>-21759.799101001572</v>
          </cell>
          <cell r="AJ13">
            <v>-21769.700203886969</v>
          </cell>
          <cell r="AK13">
            <v>-21626.860652042909</v>
          </cell>
          <cell r="AM13">
            <v>-21753.984556711242</v>
          </cell>
          <cell r="AN13">
            <v>-21687.230337678462</v>
          </cell>
          <cell r="AO13">
            <v>-20820.532396601273</v>
          </cell>
        </row>
        <row r="14">
          <cell r="B14" t="str">
            <v xml:space="preserve">    IMF (net)</v>
          </cell>
          <cell r="S14">
            <v>-21700.857919999999</v>
          </cell>
          <cell r="V14">
            <v>-21064.663703999999</v>
          </cell>
          <cell r="Y14">
            <v>-20809.851471999998</v>
          </cell>
          <cell r="Z14">
            <v>-20809.851471999998</v>
          </cell>
          <cell r="AB14">
            <v>-21269.47027420325</v>
          </cell>
          <cell r="AC14">
            <v>-20852.60461582967</v>
          </cell>
          <cell r="AD14">
            <v>-21096.985212220148</v>
          </cell>
          <cell r="AE14">
            <v>-21035.262426160341</v>
          </cell>
          <cell r="AF14">
            <v>-20954.131082870314</v>
          </cell>
          <cell r="AG14">
            <v>-22206.083794829025</v>
          </cell>
          <cell r="AI14">
            <v>-21738.259101001571</v>
          </cell>
          <cell r="AJ14">
            <v>-21738.33020388697</v>
          </cell>
          <cell r="AK14">
            <v>-21604.370652042908</v>
          </cell>
          <cell r="AM14">
            <v>-21731.494556711241</v>
          </cell>
          <cell r="AN14">
            <v>-21667.410337678462</v>
          </cell>
          <cell r="AO14">
            <v>-20800.432396601274</v>
          </cell>
        </row>
        <row r="15">
          <cell r="B15" t="str">
            <v xml:space="preserve">    External banks</v>
          </cell>
          <cell r="S15">
            <v>-323.39407999999997</v>
          </cell>
          <cell r="V15">
            <v>-12.266672</v>
          </cell>
          <cell r="Y15">
            <v>-42.933351999999999</v>
          </cell>
          <cell r="Z15">
            <v>-28.436375999999999</v>
          </cell>
          <cell r="AB15">
            <v>-27.878799999999998</v>
          </cell>
          <cell r="AC15">
            <v>-60.66</v>
          </cell>
          <cell r="AD15">
            <v>-68.099999999999994</v>
          </cell>
          <cell r="AE15">
            <v>-56.74</v>
          </cell>
          <cell r="AF15">
            <v>-18.78</v>
          </cell>
          <cell r="AG15">
            <v>-18.62</v>
          </cell>
          <cell r="AI15">
            <v>-21.54</v>
          </cell>
          <cell r="AJ15">
            <v>-31.37</v>
          </cell>
          <cell r="AK15">
            <v>-22.49</v>
          </cell>
          <cell r="AM15">
            <v>-22.49</v>
          </cell>
          <cell r="AN15">
            <v>-19.82</v>
          </cell>
          <cell r="AO15">
            <v>-20.100000000000001</v>
          </cell>
        </row>
        <row r="17">
          <cell r="B17" t="str">
            <v>NFA (US$m, constant exchange rate)</v>
          </cell>
          <cell r="S17">
            <v>244.82000000000005</v>
          </cell>
          <cell r="V17">
            <v>95.119999999999891</v>
          </cell>
          <cell r="Y17">
            <v>89.620000000000061</v>
          </cell>
          <cell r="AB17">
            <v>53.876840283598142</v>
          </cell>
          <cell r="AC17">
            <v>80.255702974488315</v>
          </cell>
          <cell r="AD17">
            <v>64.867296795053051</v>
          </cell>
          <cell r="AE17">
            <v>174.85199459517014</v>
          </cell>
          <cell r="AF17">
            <v>225.06311098629942</v>
          </cell>
          <cell r="AG17">
            <v>287.38066568810308</v>
          </cell>
          <cell r="AH17" t="e">
            <v>#DIV/0!</v>
          </cell>
          <cell r="AI17">
            <v>399.84900531942606</v>
          </cell>
          <cell r="AJ17">
            <v>394.04798262681749</v>
          </cell>
          <cell r="AK17">
            <v>426.58452566030627</v>
          </cell>
          <cell r="AL17" t="e">
            <v>#DIV/0!</v>
          </cell>
          <cell r="AM17">
            <v>368.67360580958928</v>
          </cell>
          <cell r="AN17">
            <v>410.33257640790742</v>
          </cell>
          <cell r="AO17">
            <v>434.2815616776677</v>
          </cell>
          <cell r="AP17" t="e">
            <v>#DIV/0!</v>
          </cell>
        </row>
        <row r="18">
          <cell r="B18" t="str">
            <v xml:space="preserve">  Assets </v>
          </cell>
          <cell r="S18">
            <v>639.82000000000005</v>
          </cell>
          <cell r="V18">
            <v>473.12999999999994</v>
          </cell>
          <cell r="Y18">
            <v>463.61</v>
          </cell>
          <cell r="AB18">
            <v>435.84000000000003</v>
          </cell>
          <cell r="AC18">
            <v>455.33039442156769</v>
          </cell>
          <cell r="AD18">
            <v>444.45833393115919</v>
          </cell>
          <cell r="AE18">
            <v>553.13230842073551</v>
          </cell>
          <cell r="AF18">
            <v>601.20754838802247</v>
          </cell>
          <cell r="AG18">
            <v>685.9757234888159</v>
          </cell>
          <cell r="AH18" t="e">
            <v>#DIV/0!</v>
          </cell>
          <cell r="AI18">
            <v>790.1061021277817</v>
          </cell>
          <cell r="AJ18">
            <v>784.48265348580298</v>
          </cell>
          <cell r="AK18">
            <v>814.45740132286903</v>
          </cell>
          <cell r="AL18" t="e">
            <v>#DIV/0!</v>
          </cell>
          <cell r="AM18">
            <v>758.82642007546951</v>
          </cell>
          <cell r="AN18">
            <v>799.28816878775274</v>
          </cell>
          <cell r="AO18">
            <v>807.69312165516453</v>
          </cell>
          <cell r="AP18" t="e">
            <v>#DIV/0!</v>
          </cell>
        </row>
        <row r="19">
          <cell r="B19" t="str">
            <v xml:space="preserve">    Gross reserves</v>
          </cell>
          <cell r="S19">
            <v>639.82000000000005</v>
          </cell>
          <cell r="V19">
            <v>473.12999999999994</v>
          </cell>
          <cell r="Y19">
            <v>463.61</v>
          </cell>
          <cell r="AB19">
            <v>435.84000000000003</v>
          </cell>
          <cell r="AC19">
            <v>455.33039442156769</v>
          </cell>
          <cell r="AD19">
            <v>444.45833393115919</v>
          </cell>
          <cell r="AE19">
            <v>553.13230842073551</v>
          </cell>
          <cell r="AF19">
            <v>601.20754838802247</v>
          </cell>
          <cell r="AG19">
            <v>685.9757234888159</v>
          </cell>
          <cell r="AH19" t="e">
            <v>#DIV/0!</v>
          </cell>
          <cell r="AI19">
            <v>790.1061021277817</v>
          </cell>
          <cell r="AJ19">
            <v>784.48265348580298</v>
          </cell>
          <cell r="AK19">
            <v>814.45740132286903</v>
          </cell>
          <cell r="AL19" t="e">
            <v>#DIV/0!</v>
          </cell>
          <cell r="AM19">
            <v>758.82642007546951</v>
          </cell>
          <cell r="AN19">
            <v>799.28816878775274</v>
          </cell>
          <cell r="AO19">
            <v>807.69312165516453</v>
          </cell>
          <cell r="AP19" t="e">
            <v>#DIV/0!</v>
          </cell>
        </row>
        <row r="20">
          <cell r="B20" t="str">
            <v xml:space="preserve">  Liabilities</v>
          </cell>
          <cell r="S20">
            <v>-395</v>
          </cell>
          <cell r="V20">
            <v>-378.01000000000005</v>
          </cell>
          <cell r="Y20">
            <v>-373.98999999999995</v>
          </cell>
          <cell r="AB20">
            <v>-381.96315971640189</v>
          </cell>
          <cell r="AC20">
            <v>-375.07469144707937</v>
          </cell>
          <cell r="AD20">
            <v>-379.59103713610614</v>
          </cell>
          <cell r="AE20">
            <v>-378.28031382556537</v>
          </cell>
          <cell r="AF20">
            <v>-376.14443740172305</v>
          </cell>
          <cell r="AG20">
            <v>-398.59505780071282</v>
          </cell>
          <cell r="AH20" t="e">
            <v>#DIV/0!</v>
          </cell>
          <cell r="AI20">
            <v>-390.25709680835564</v>
          </cell>
          <cell r="AJ20">
            <v>-390.4346708589855</v>
          </cell>
          <cell r="AK20">
            <v>-387.87287566256276</v>
          </cell>
          <cell r="AL20" t="e">
            <v>#DIV/0!</v>
          </cell>
          <cell r="AM20">
            <v>-390.15281426588024</v>
          </cell>
          <cell r="AN20">
            <v>-388.95559237984531</v>
          </cell>
          <cell r="AO20">
            <v>-373.41155997749684</v>
          </cell>
          <cell r="AP20" t="e">
            <v>#DIV/0!</v>
          </cell>
        </row>
        <row r="21">
          <cell r="B21" t="str">
            <v xml:space="preserve">    IMF (net)</v>
          </cell>
          <cell r="S21">
            <v>-389.2</v>
          </cell>
          <cell r="V21">
            <v>-377.79</v>
          </cell>
          <cell r="Y21">
            <v>-373.21999999999997</v>
          </cell>
          <cell r="AB21">
            <v>-381.46315971640189</v>
          </cell>
          <cell r="AC21">
            <v>-373.98676800704607</v>
          </cell>
          <cell r="AD21">
            <v>-378.36967897147923</v>
          </cell>
          <cell r="AE21">
            <v>-377.26269470279107</v>
          </cell>
          <cell r="AF21">
            <v>-375.80762233077309</v>
          </cell>
          <cell r="AG21">
            <v>-398.26111229373259</v>
          </cell>
          <cell r="AH21" t="e">
            <v>#DIV/0!</v>
          </cell>
          <cell r="AI21">
            <v>-389.87078175892742</v>
          </cell>
          <cell r="AJ21">
            <v>-389.87205697316546</v>
          </cell>
          <cell r="AK21">
            <v>-387.46952257706408</v>
          </cell>
          <cell r="AL21" t="e">
            <v>#DIV/0!</v>
          </cell>
          <cell r="AM21">
            <v>-389.74946118038156</v>
          </cell>
          <cell r="AN21">
            <v>-388.60012514309193</v>
          </cell>
          <cell r="AO21">
            <v>-373.05107100379638</v>
          </cell>
          <cell r="AP21" t="e">
            <v>#DIV/0!</v>
          </cell>
        </row>
        <row r="22">
          <cell r="B22" t="str">
            <v xml:space="preserve">    External banks</v>
          </cell>
          <cell r="S22">
            <v>-5.8</v>
          </cell>
          <cell r="V22">
            <v>-0.22</v>
          </cell>
          <cell r="Y22">
            <v>-0.77</v>
          </cell>
          <cell r="AB22">
            <v>-0.5</v>
          </cell>
          <cell r="AC22">
            <v>-1.0879234400332869</v>
          </cell>
          <cell r="AD22">
            <v>-1.221358164626885</v>
          </cell>
          <cell r="AE22">
            <v>-1.0176191227742946</v>
          </cell>
          <cell r="AF22">
            <v>-0.33681507094996921</v>
          </cell>
          <cell r="AG22">
            <v>-0.33394550698021441</v>
          </cell>
          <cell r="AH22" t="e">
            <v>#DIV/0!</v>
          </cell>
          <cell r="AI22">
            <v>-0.38631504942823941</v>
          </cell>
          <cell r="AJ22">
            <v>-0.56261388582004968</v>
          </cell>
          <cell r="AK22">
            <v>-0.4033530854986585</v>
          </cell>
          <cell r="AL22" t="e">
            <v>#DIV/0!</v>
          </cell>
          <cell r="AM22">
            <v>-0.4033530854986585</v>
          </cell>
          <cell r="AN22">
            <v>-0.35546723675337533</v>
          </cell>
          <cell r="AO22">
            <v>-0.36048897370044625</v>
          </cell>
          <cell r="AP22" t="e">
            <v>#DIV/0!</v>
          </cell>
        </row>
        <row r="24">
          <cell r="B24" t="str">
            <v>NFA (Kshm, current exchange rate)</v>
          </cell>
          <cell r="C24" t="str">
            <v>|</v>
          </cell>
          <cell r="D24">
            <v>-6087.4287999999997</v>
          </cell>
          <cell r="E24">
            <v>-8473.197830000001</v>
          </cell>
          <cell r="F24">
            <v>-9305.1742399999966</v>
          </cell>
          <cell r="G24">
            <v>-10291.84016</v>
          </cell>
          <cell r="H24">
            <v>-8801.7941999999985</v>
          </cell>
          <cell r="I24">
            <v>-11295.686360000003</v>
          </cell>
          <cell r="J24">
            <v>-10649.446270000004</v>
          </cell>
          <cell r="K24">
            <v>-12228.762419999999</v>
          </cell>
          <cell r="L24">
            <v>8140.3139500000034</v>
          </cell>
          <cell r="M24">
            <v>19097.919719999994</v>
          </cell>
          <cell r="N24">
            <v>19517.9113</v>
          </cell>
          <cell r="O24">
            <v>21386.412240000001</v>
          </cell>
          <cell r="P24">
            <v>7854</v>
          </cell>
          <cell r="Q24">
            <v>6764</v>
          </cell>
          <cell r="R24">
            <v>5688</v>
          </cell>
          <cell r="S24">
            <v>8217</v>
          </cell>
          <cell r="T24">
            <v>5227</v>
          </cell>
          <cell r="U24">
            <v>3700</v>
          </cell>
          <cell r="V24">
            <v>2497</v>
          </cell>
          <cell r="W24">
            <v>56</v>
          </cell>
          <cell r="X24">
            <v>3261</v>
          </cell>
          <cell r="Y24">
            <v>2596</v>
          </cell>
          <cell r="Z24">
            <v>1062</v>
          </cell>
          <cell r="AA24">
            <v>592</v>
          </cell>
          <cell r="AB24">
            <v>2275</v>
          </cell>
          <cell r="AC24">
            <v>3381</v>
          </cell>
          <cell r="AD24">
            <v>2878</v>
          </cell>
          <cell r="AE24">
            <v>9321</v>
          </cell>
          <cell r="AF24">
            <v>12145</v>
          </cell>
          <cell r="AG24">
            <v>15961</v>
          </cell>
          <cell r="AI24">
            <v>22592</v>
          </cell>
          <cell r="AJ24">
            <v>22439.845924000001</v>
          </cell>
          <cell r="AK24">
            <v>23168</v>
          </cell>
          <cell r="AL24">
            <v>0</v>
          </cell>
          <cell r="AM24">
            <v>20338</v>
          </cell>
          <cell r="AN24">
            <v>23205</v>
          </cell>
          <cell r="AO24">
            <v>24819.89</v>
          </cell>
          <cell r="AP24">
            <v>0</v>
          </cell>
        </row>
        <row r="25">
          <cell r="B25" t="str">
            <v xml:space="preserve">  Assets </v>
          </cell>
          <cell r="D25">
            <v>6015.52</v>
          </cell>
          <cell r="E25">
            <v>4327</v>
          </cell>
          <cell r="F25">
            <v>4672.88</v>
          </cell>
          <cell r="G25">
            <v>4376</v>
          </cell>
          <cell r="H25">
            <v>5570.57</v>
          </cell>
          <cell r="I25">
            <v>6220.37</v>
          </cell>
          <cell r="J25">
            <v>13546.18</v>
          </cell>
          <cell r="K25">
            <v>11880.95</v>
          </cell>
          <cell r="L25">
            <v>33035</v>
          </cell>
          <cell r="M25">
            <v>43154</v>
          </cell>
          <cell r="N25">
            <v>40809</v>
          </cell>
          <cell r="O25">
            <v>39834</v>
          </cell>
          <cell r="P25">
            <v>27207</v>
          </cell>
          <cell r="Q25">
            <v>26131</v>
          </cell>
          <cell r="R25">
            <v>26252</v>
          </cell>
          <cell r="S25">
            <v>28188</v>
          </cell>
          <cell r="T25">
            <v>25724</v>
          </cell>
          <cell r="U25">
            <v>27125</v>
          </cell>
          <cell r="V25">
            <v>26933</v>
          </cell>
          <cell r="W25">
            <v>24512</v>
          </cell>
          <cell r="X25">
            <v>26545</v>
          </cell>
          <cell r="Y25">
            <v>26037</v>
          </cell>
          <cell r="Z25">
            <v>24443</v>
          </cell>
          <cell r="AA25">
            <v>23033</v>
          </cell>
          <cell r="AB25">
            <v>24669</v>
          </cell>
          <cell r="AC25">
            <v>26237</v>
          </cell>
          <cell r="AD25">
            <v>25834</v>
          </cell>
          <cell r="AE25">
            <v>32080</v>
          </cell>
          <cell r="AF25">
            <v>34582</v>
          </cell>
          <cell r="AG25">
            <v>39552</v>
          </cell>
          <cell r="AI25">
            <v>45397</v>
          </cell>
          <cell r="AJ25">
            <v>45531</v>
          </cell>
          <cell r="AK25">
            <v>45855</v>
          </cell>
          <cell r="AM25">
            <v>42557</v>
          </cell>
          <cell r="AN25">
            <v>45297</v>
          </cell>
          <cell r="AO25">
            <v>45893</v>
          </cell>
        </row>
        <row r="26">
          <cell r="B26" t="str">
            <v xml:space="preserve">    Gross reserves</v>
          </cell>
          <cell r="D26">
            <v>6015.52</v>
          </cell>
          <cell r="E26">
            <v>4327</v>
          </cell>
          <cell r="F26">
            <v>4672.88</v>
          </cell>
          <cell r="G26">
            <v>4376</v>
          </cell>
          <cell r="H26">
            <v>5570.57</v>
          </cell>
          <cell r="I26">
            <v>6220.37</v>
          </cell>
          <cell r="J26">
            <v>13546.18</v>
          </cell>
          <cell r="K26">
            <v>11880.95</v>
          </cell>
          <cell r="L26">
            <v>33035</v>
          </cell>
          <cell r="M26">
            <v>43154</v>
          </cell>
          <cell r="N26">
            <v>40809</v>
          </cell>
          <cell r="O26">
            <v>39834</v>
          </cell>
          <cell r="P26">
            <v>27207</v>
          </cell>
          <cell r="Q26">
            <v>26131</v>
          </cell>
          <cell r="R26">
            <v>26252</v>
          </cell>
          <cell r="S26">
            <v>28188</v>
          </cell>
          <cell r="T26">
            <v>25724</v>
          </cell>
          <cell r="U26">
            <v>27125</v>
          </cell>
          <cell r="V26">
            <v>26933</v>
          </cell>
          <cell r="W26">
            <v>24512</v>
          </cell>
          <cell r="X26">
            <v>26545</v>
          </cell>
          <cell r="Y26">
            <v>26037</v>
          </cell>
          <cell r="Z26">
            <v>24443</v>
          </cell>
          <cell r="AA26">
            <v>23033</v>
          </cell>
          <cell r="AB26">
            <v>24669</v>
          </cell>
          <cell r="AC26">
            <v>26237</v>
          </cell>
          <cell r="AD26">
            <v>25834</v>
          </cell>
          <cell r="AE26">
            <v>32080</v>
          </cell>
          <cell r="AF26">
            <v>34582</v>
          </cell>
          <cell r="AG26">
            <v>39552</v>
          </cell>
          <cell r="AI26">
            <v>45397</v>
          </cell>
          <cell r="AJ26">
            <v>45531</v>
          </cell>
          <cell r="AK26">
            <v>45855</v>
          </cell>
          <cell r="AM26">
            <v>42557</v>
          </cell>
          <cell r="AN26">
            <v>45297</v>
          </cell>
          <cell r="AO26">
            <v>45893</v>
          </cell>
        </row>
        <row r="27">
          <cell r="B27" t="str">
            <v xml:space="preserve">  Liabilities</v>
          </cell>
          <cell r="D27">
            <v>-12102.9488</v>
          </cell>
          <cell r="E27">
            <v>-12800.197830000001</v>
          </cell>
          <cell r="F27">
            <v>-13978.054239999998</v>
          </cell>
          <cell r="G27">
            <v>-14667.84016</v>
          </cell>
          <cell r="H27">
            <v>-14372.364199999998</v>
          </cell>
          <cell r="I27">
            <v>-17516.056360000002</v>
          </cell>
          <cell r="J27">
            <v>-24195.626270000004</v>
          </cell>
          <cell r="K27">
            <v>-24109.71242</v>
          </cell>
          <cell r="L27">
            <v>-24894.686049999997</v>
          </cell>
          <cell r="M27">
            <v>-24056.080280000006</v>
          </cell>
          <cell r="N27">
            <v>-21291.0887</v>
          </cell>
          <cell r="O27">
            <v>-18447.587759999999</v>
          </cell>
          <cell r="P27">
            <v>-19353</v>
          </cell>
          <cell r="Q27">
            <v>-19367</v>
          </cell>
          <cell r="R27">
            <v>-20564</v>
          </cell>
          <cell r="S27">
            <v>-19971</v>
          </cell>
          <cell r="T27">
            <v>-20497</v>
          </cell>
          <cell r="U27">
            <v>-23425</v>
          </cell>
          <cell r="V27">
            <v>-24436</v>
          </cell>
          <cell r="W27">
            <v>-24456</v>
          </cell>
          <cell r="X27">
            <v>-23284</v>
          </cell>
          <cell r="Y27">
            <v>-23441</v>
          </cell>
          <cell r="Z27">
            <v>-23381</v>
          </cell>
          <cell r="AA27">
            <v>-22441</v>
          </cell>
          <cell r="AB27">
            <v>-22394</v>
          </cell>
          <cell r="AC27">
            <v>-22856</v>
          </cell>
          <cell r="AD27">
            <v>-22956</v>
          </cell>
          <cell r="AE27">
            <v>-22759</v>
          </cell>
          <cell r="AF27">
            <v>-22437</v>
          </cell>
          <cell r="AG27">
            <v>-23591</v>
          </cell>
          <cell r="AI27">
            <v>-22805</v>
          </cell>
          <cell r="AJ27">
            <v>-23091.154075999999</v>
          </cell>
          <cell r="AK27">
            <v>-22687</v>
          </cell>
          <cell r="AM27">
            <v>-22219</v>
          </cell>
          <cell r="AN27">
            <v>-22092</v>
          </cell>
          <cell r="AO27">
            <v>-21073.11</v>
          </cell>
        </row>
        <row r="28">
          <cell r="B28" t="str">
            <v xml:space="preserve">    IMF (net)</v>
          </cell>
          <cell r="D28">
            <v>-11610.0288</v>
          </cell>
          <cell r="E28">
            <v>-12267.197830000001</v>
          </cell>
          <cell r="F28">
            <v>-13848.734239999998</v>
          </cell>
          <cell r="G28">
            <v>-14512.84016</v>
          </cell>
          <cell r="H28">
            <v>-14246.734199999999</v>
          </cell>
          <cell r="I28">
            <v>-17389.566360000001</v>
          </cell>
          <cell r="J28">
            <v>-23990.226270000003</v>
          </cell>
          <cell r="K28">
            <v>-23804.742419999999</v>
          </cell>
          <cell r="L28">
            <v>-24749.686049999997</v>
          </cell>
          <cell r="M28">
            <v>-23958.080280000006</v>
          </cell>
          <cell r="N28">
            <v>-21194.0887</v>
          </cell>
          <cell r="O28">
            <v>-18219.587759999999</v>
          </cell>
          <cell r="P28">
            <v>-19112</v>
          </cell>
          <cell r="Q28">
            <v>-19112</v>
          </cell>
          <cell r="R28">
            <v>-20331</v>
          </cell>
          <cell r="S28">
            <v>-19727</v>
          </cell>
          <cell r="T28">
            <v>-20248</v>
          </cell>
          <cell r="U28">
            <v>-23379</v>
          </cell>
          <cell r="V28">
            <v>-24423</v>
          </cell>
          <cell r="W28">
            <v>-24435</v>
          </cell>
          <cell r="X28">
            <v>-23226</v>
          </cell>
          <cell r="Y28">
            <v>-23396</v>
          </cell>
          <cell r="Z28">
            <v>-23351</v>
          </cell>
          <cell r="AA28">
            <v>-22412</v>
          </cell>
          <cell r="AB28">
            <v>-22367</v>
          </cell>
          <cell r="AC28">
            <v>-22791</v>
          </cell>
          <cell r="AD28">
            <v>-22882</v>
          </cell>
          <cell r="AE28">
            <v>-22698</v>
          </cell>
          <cell r="AF28">
            <v>-22417</v>
          </cell>
          <cell r="AG28">
            <v>-23571</v>
          </cell>
          <cell r="AI28">
            <v>-22783</v>
          </cell>
          <cell r="AJ28">
            <v>-23058</v>
          </cell>
          <cell r="AK28">
            <v>-22670</v>
          </cell>
          <cell r="AM28">
            <v>-22196</v>
          </cell>
          <cell r="AN28">
            <v>-22073</v>
          </cell>
          <cell r="AO28">
            <v>-21053</v>
          </cell>
        </row>
        <row r="29">
          <cell r="B29" t="str">
            <v xml:space="preserve">    External banks</v>
          </cell>
          <cell r="D29">
            <v>-492.92</v>
          </cell>
          <cell r="E29">
            <v>-533</v>
          </cell>
          <cell r="F29">
            <v>-129.32</v>
          </cell>
          <cell r="G29">
            <v>-155</v>
          </cell>
          <cell r="H29">
            <v>-125.63</v>
          </cell>
          <cell r="I29">
            <v>-126.49</v>
          </cell>
          <cell r="J29">
            <v>-205.4</v>
          </cell>
          <cell r="K29">
            <v>-304.97000000000003</v>
          </cell>
          <cell r="L29">
            <v>-145</v>
          </cell>
          <cell r="M29">
            <v>-98</v>
          </cell>
          <cell r="N29">
            <v>-97</v>
          </cell>
          <cell r="O29">
            <v>-228</v>
          </cell>
          <cell r="P29">
            <v>-241</v>
          </cell>
          <cell r="Q29">
            <v>-255</v>
          </cell>
          <cell r="R29">
            <v>-233</v>
          </cell>
          <cell r="S29">
            <v>-244</v>
          </cell>
          <cell r="T29">
            <v>-249</v>
          </cell>
          <cell r="U29">
            <v>-46</v>
          </cell>
          <cell r="V29">
            <v>-13</v>
          </cell>
          <cell r="W29">
            <v>-21</v>
          </cell>
          <cell r="X29">
            <v>-58</v>
          </cell>
          <cell r="Y29">
            <v>-45</v>
          </cell>
          <cell r="Z29">
            <v>-30</v>
          </cell>
          <cell r="AA29">
            <v>-29</v>
          </cell>
          <cell r="AB29">
            <v>-27</v>
          </cell>
          <cell r="AC29">
            <v>-65</v>
          </cell>
          <cell r="AD29">
            <v>-74</v>
          </cell>
          <cell r="AE29">
            <v>-61</v>
          </cell>
          <cell r="AF29">
            <v>-20</v>
          </cell>
          <cell r="AG29">
            <v>-20</v>
          </cell>
          <cell r="AI29">
            <v>-22</v>
          </cell>
          <cell r="AJ29">
            <v>-33.154076000000003</v>
          </cell>
          <cell r="AK29">
            <v>-17</v>
          </cell>
          <cell r="AM29">
            <v>-23</v>
          </cell>
          <cell r="AN29">
            <v>-19</v>
          </cell>
          <cell r="AO29">
            <v>-20.11</v>
          </cell>
        </row>
        <row r="31">
          <cell r="B31" t="str">
            <v>NFA (US$m, current exchange rates)</v>
          </cell>
          <cell r="D31">
            <v>-252.75821292144161</v>
          </cell>
          <cell r="E31">
            <v>-295.64542323796229</v>
          </cell>
          <cell r="F31">
            <v>-331.45167200968865</v>
          </cell>
          <cell r="G31">
            <v>-318.53420489012683</v>
          </cell>
          <cell r="H31">
            <v>-243.00922694643842</v>
          </cell>
          <cell r="I31">
            <v>-248.63936517719569</v>
          </cell>
          <cell r="J31">
            <v>-163.4855122812404</v>
          </cell>
          <cell r="K31">
            <v>-182.62787365591399</v>
          </cell>
          <cell r="L31">
            <v>119.42948870305167</v>
          </cell>
          <cell r="M31">
            <v>294.44834597594809</v>
          </cell>
          <cell r="N31">
            <v>348.78326125804142</v>
          </cell>
          <cell r="O31">
            <v>445.45745136429917</v>
          </cell>
          <cell r="P31">
            <v>175.15611061552187</v>
          </cell>
          <cell r="Q31">
            <v>152.11382900012825</v>
          </cell>
          <cell r="R31">
            <v>128.00403275715013</v>
          </cell>
          <cell r="S31">
            <v>188.67967853042484</v>
          </cell>
          <cell r="T31">
            <v>113.90281106994985</v>
          </cell>
          <cell r="U31">
            <v>68.467801628423331</v>
          </cell>
          <cell r="V31">
            <v>45.707486728903518</v>
          </cell>
          <cell r="W31">
            <v>1.0030449579079459</v>
          </cell>
          <cell r="X31">
            <v>58.947939262472914</v>
          </cell>
          <cell r="Y31">
            <v>46.800072111051009</v>
          </cell>
          <cell r="Z31">
            <v>19.135135135135158</v>
          </cell>
          <cell r="AA31">
            <v>10.651313422094233</v>
          </cell>
          <cell r="AB31">
            <v>40.668573471576678</v>
          </cell>
          <cell r="AC31">
            <v>56.794893331093533</v>
          </cell>
          <cell r="AD31">
            <v>49.289261859907583</v>
          </cell>
          <cell r="AE31">
            <v>159.63349888679568</v>
          </cell>
          <cell r="AF31">
            <v>208.21189782273274</v>
          </cell>
          <cell r="AG31">
            <v>274.24398625429552</v>
          </cell>
          <cell r="AI31">
            <v>393.45175896900031</v>
          </cell>
          <cell r="AJ31">
            <v>392.09935215795912</v>
          </cell>
          <cell r="AK31">
            <v>407.02740688685867</v>
          </cell>
          <cell r="AM31">
            <v>362.46658349670292</v>
          </cell>
          <cell r="AN31">
            <v>416.6816304543006</v>
          </cell>
          <cell r="AO31">
            <v>448.01245487364622</v>
          </cell>
        </row>
        <row r="32">
          <cell r="B32" t="str">
            <v xml:space="preserve">  Assets </v>
          </cell>
          <cell r="D32">
            <v>249.77246304600567</v>
          </cell>
          <cell r="E32">
            <v>150.97697138869503</v>
          </cell>
          <cell r="F32">
            <v>166.44867136852602</v>
          </cell>
          <cell r="G32">
            <v>135.43794490869698</v>
          </cell>
          <cell r="H32">
            <v>153.79817780231915</v>
          </cell>
          <cell r="I32">
            <v>136.92207792207793</v>
          </cell>
          <cell r="J32">
            <v>207.9548664415106</v>
          </cell>
          <cell r="K32">
            <v>177.43354241338116</v>
          </cell>
          <cell r="L32">
            <v>484.66842723004697</v>
          </cell>
          <cell r="M32">
            <v>665.34073388837498</v>
          </cell>
          <cell r="N32">
            <v>729.25303788420297</v>
          </cell>
          <cell r="O32">
            <v>829.70214538637788</v>
          </cell>
          <cell r="P32">
            <v>606.757359500446</v>
          </cell>
          <cell r="Q32">
            <v>587.65323264375365</v>
          </cell>
          <cell r="R32">
            <v>590.78091911756428</v>
          </cell>
          <cell r="S32">
            <v>647.25602755453508</v>
          </cell>
          <cell r="T32">
            <v>560.55785574199172</v>
          </cell>
          <cell r="U32">
            <v>501.94300518134713</v>
          </cell>
          <cell r="V32">
            <v>493.00750503386416</v>
          </cell>
          <cell r="W32">
            <v>439.04710728998748</v>
          </cell>
          <cell r="X32">
            <v>479.84454085321767</v>
          </cell>
          <cell r="Y32">
            <v>469.38885884261765</v>
          </cell>
          <cell r="Z32">
            <v>440.41441441441441</v>
          </cell>
          <cell r="AA32">
            <v>414.41165887009714</v>
          </cell>
          <cell r="AB32">
            <v>440.99034680014302</v>
          </cell>
          <cell r="AC32">
            <v>440.735763480598</v>
          </cell>
          <cell r="AD32">
            <v>442.4387737626306</v>
          </cell>
          <cell r="AE32">
            <v>549.40914540160986</v>
          </cell>
          <cell r="AF32">
            <v>592.86816389507976</v>
          </cell>
          <cell r="AG32">
            <v>679.58762886597935</v>
          </cell>
          <cell r="AI32">
            <v>790.61302681992333</v>
          </cell>
          <cell r="AJ32">
            <v>795.57924165647387</v>
          </cell>
          <cell r="AK32">
            <v>805.6043569922698</v>
          </cell>
          <cell r="AM32">
            <v>758.45660310105154</v>
          </cell>
          <cell r="AN32">
            <v>813.37762614472979</v>
          </cell>
          <cell r="AO32">
            <v>828.39350180505414</v>
          </cell>
        </row>
        <row r="33">
          <cell r="B33" t="str">
            <v xml:space="preserve">    Gross reserves (MS)</v>
          </cell>
          <cell r="D33">
            <v>249.77246304600567</v>
          </cell>
          <cell r="E33">
            <v>150.97697138869503</v>
          </cell>
          <cell r="F33">
            <v>166.44867136852602</v>
          </cell>
          <cell r="G33">
            <v>135.43794490869698</v>
          </cell>
          <cell r="H33">
            <v>153.79817780231915</v>
          </cell>
          <cell r="I33">
            <v>136.92207792207793</v>
          </cell>
          <cell r="J33">
            <v>207.9548664415106</v>
          </cell>
          <cell r="K33">
            <v>177.43354241338116</v>
          </cell>
          <cell r="L33">
            <v>484.66842723004697</v>
          </cell>
          <cell r="M33">
            <v>665.34073388837498</v>
          </cell>
          <cell r="N33">
            <v>729.25303788420297</v>
          </cell>
          <cell r="O33">
            <v>829.70214538637788</v>
          </cell>
          <cell r="P33">
            <v>606.757359500446</v>
          </cell>
          <cell r="Q33">
            <v>587.65323264375365</v>
          </cell>
          <cell r="R33">
            <v>590.78091911756428</v>
          </cell>
          <cell r="S33">
            <v>647.25602755453508</v>
          </cell>
          <cell r="T33">
            <v>560.55785574199172</v>
          </cell>
          <cell r="U33">
            <v>501.94300518134713</v>
          </cell>
          <cell r="V33">
            <v>493.00750503386416</v>
          </cell>
          <cell r="W33">
            <v>439.04710728998748</v>
          </cell>
          <cell r="X33">
            <v>479.84454085321767</v>
          </cell>
          <cell r="Y33">
            <v>469.38885884261765</v>
          </cell>
          <cell r="Z33">
            <v>440.41441441441441</v>
          </cell>
          <cell r="AA33">
            <v>414.41165887009714</v>
          </cell>
          <cell r="AB33">
            <v>440.99034680014302</v>
          </cell>
          <cell r="AC33">
            <v>440.735763480598</v>
          </cell>
          <cell r="AD33">
            <v>442.4387737626306</v>
          </cell>
          <cell r="AE33">
            <v>549.40914540160986</v>
          </cell>
          <cell r="AF33">
            <v>592.86816389507976</v>
          </cell>
          <cell r="AG33">
            <v>679.58762886597935</v>
          </cell>
          <cell r="AI33">
            <v>790.61302681992333</v>
          </cell>
          <cell r="AJ33">
            <v>795.57924165647387</v>
          </cell>
          <cell r="AK33">
            <v>805.6043569922698</v>
          </cell>
          <cell r="AM33">
            <v>758.45660310105154</v>
          </cell>
          <cell r="AN33">
            <v>813.37762614472979</v>
          </cell>
          <cell r="AO33">
            <v>828.39350180505414</v>
          </cell>
        </row>
        <row r="34">
          <cell r="B34" t="str">
            <v xml:space="preserve">  Liabilities</v>
          </cell>
          <cell r="D34">
            <v>-502.53067596744728</v>
          </cell>
          <cell r="E34">
            <v>-446.62239462665735</v>
          </cell>
          <cell r="F34">
            <v>-497.90034337821464</v>
          </cell>
          <cell r="G34">
            <v>-453.97214979882381</v>
          </cell>
          <cell r="H34">
            <v>-396.80740474875756</v>
          </cell>
          <cell r="I34">
            <v>-385.56144309927362</v>
          </cell>
          <cell r="J34">
            <v>-371.44037872275101</v>
          </cell>
          <cell r="K34">
            <v>-360.06141606929515</v>
          </cell>
          <cell r="L34">
            <v>-365.2389385269953</v>
          </cell>
          <cell r="M34">
            <v>-370.8923879124269</v>
          </cell>
          <cell r="N34">
            <v>-380.46977662616155</v>
          </cell>
          <cell r="O34">
            <v>-384.2446940220787</v>
          </cell>
          <cell r="P34">
            <v>-431.60124888492413</v>
          </cell>
          <cell r="Q34">
            <v>-435.53940364362541</v>
          </cell>
          <cell r="R34">
            <v>-462.77688636041415</v>
          </cell>
          <cell r="S34">
            <v>-458.57634902411024</v>
          </cell>
          <cell r="T34">
            <v>-446.65504467204187</v>
          </cell>
          <cell r="U34">
            <v>-433.4752035529238</v>
          </cell>
          <cell r="V34">
            <v>-447.30001830496064</v>
          </cell>
          <cell r="W34">
            <v>-438.04406233207953</v>
          </cell>
          <cell r="X34">
            <v>-420.89660159074475</v>
          </cell>
          <cell r="Y34">
            <v>-422.58878673156664</v>
          </cell>
          <cell r="Z34">
            <v>-421.27927927927925</v>
          </cell>
          <cell r="AA34">
            <v>-403.76034544800291</v>
          </cell>
          <cell r="AB34">
            <v>-400.32177332856634</v>
          </cell>
          <cell r="AC34">
            <v>-383.94087014950446</v>
          </cell>
          <cell r="AD34">
            <v>-393.14951190272302</v>
          </cell>
          <cell r="AE34">
            <v>-389.77564651481418</v>
          </cell>
          <cell r="AF34">
            <v>-384.65626607234702</v>
          </cell>
          <cell r="AG34">
            <v>-405.34364261168383</v>
          </cell>
          <cell r="AI34">
            <v>-397.16126785092302</v>
          </cell>
          <cell r="AJ34">
            <v>-403.47988949851475</v>
          </cell>
          <cell r="AK34">
            <v>-398.57695010541113</v>
          </cell>
          <cell r="AM34">
            <v>-395.99001960434862</v>
          </cell>
          <cell r="AN34">
            <v>-396.69599569042919</v>
          </cell>
          <cell r="AO34">
            <v>-380.38104693140792</v>
          </cell>
        </row>
        <row r="35">
          <cell r="B35" t="str">
            <v xml:space="preserve">    IMF (net)</v>
          </cell>
          <cell r="D35">
            <v>-482.06397608370702</v>
          </cell>
          <cell r="E35">
            <v>-428.02504640614097</v>
          </cell>
          <cell r="F35">
            <v>-493.29394599985744</v>
          </cell>
          <cell r="G35">
            <v>-449.17487341380371</v>
          </cell>
          <cell r="H35">
            <v>-393.33887907233571</v>
          </cell>
          <cell r="I35">
            <v>-382.77715958617654</v>
          </cell>
          <cell r="J35">
            <v>-368.28717024869513</v>
          </cell>
          <cell r="K35">
            <v>-355.50690591397853</v>
          </cell>
          <cell r="L35">
            <v>-363.11159110915492</v>
          </cell>
          <cell r="M35">
            <v>-369.38144125809447</v>
          </cell>
          <cell r="N35">
            <v>-378.73639563974268</v>
          </cell>
          <cell r="O35">
            <v>-379.49568339929181</v>
          </cell>
          <cell r="P35">
            <v>-426.22658340767168</v>
          </cell>
          <cell r="Q35">
            <v>-429.80477525878911</v>
          </cell>
          <cell r="R35">
            <v>-457.53340189620599</v>
          </cell>
          <cell r="S35">
            <v>-452.9735935706085</v>
          </cell>
          <cell r="T35">
            <v>-441.22902593157551</v>
          </cell>
          <cell r="U35">
            <v>-432.62398223538122</v>
          </cell>
          <cell r="V35">
            <v>-447.0620538165843</v>
          </cell>
          <cell r="W35">
            <v>-437.66792047286407</v>
          </cell>
          <cell r="X35">
            <v>-419.84815618221256</v>
          </cell>
          <cell r="Y35">
            <v>-421.77753740760772</v>
          </cell>
          <cell r="Z35">
            <v>-420.73873873873873</v>
          </cell>
          <cell r="AA35">
            <v>-403.23857502698814</v>
          </cell>
          <cell r="AB35">
            <v>-399.83911333571683</v>
          </cell>
          <cell r="AC35">
            <v>-382.84898370569459</v>
          </cell>
          <cell r="AD35">
            <v>-391.88217160472681</v>
          </cell>
          <cell r="AE35">
            <v>-388.73094707997944</v>
          </cell>
          <cell r="AF35">
            <v>-384.31338933653353</v>
          </cell>
          <cell r="AG35">
            <v>-405</v>
          </cell>
          <cell r="AI35">
            <v>-396.77812608847091</v>
          </cell>
          <cell r="AJ35">
            <v>-402.90057662065351</v>
          </cell>
          <cell r="AK35">
            <v>-398.27828531271962</v>
          </cell>
          <cell r="AM35">
            <v>-395.58011049723757</v>
          </cell>
          <cell r="AN35">
            <v>-396.35482133237565</v>
          </cell>
          <cell r="AO35">
            <v>-380.01805054151623</v>
          </cell>
        </row>
        <row r="36">
          <cell r="B36" t="str">
            <v xml:space="preserve">    External banks</v>
          </cell>
          <cell r="D36">
            <v>-20.466699883740244</v>
          </cell>
          <cell r="E36">
            <v>-18.597348220516398</v>
          </cell>
          <cell r="F36">
            <v>-4.6063973783571983</v>
          </cell>
          <cell r="G36">
            <v>-4.7972763850201172</v>
          </cell>
          <cell r="H36">
            <v>-3.4685256764218662</v>
          </cell>
          <cell r="I36">
            <v>-2.7842835130970722</v>
          </cell>
          <cell r="J36">
            <v>-3.1532084740558797</v>
          </cell>
          <cell r="K36">
            <v>-4.5545101553166081</v>
          </cell>
          <cell r="L36">
            <v>-2.1273474178403755</v>
          </cell>
          <cell r="M36">
            <v>-1.5109466543324084</v>
          </cell>
          <cell r="N36">
            <v>-1.7333809864188705</v>
          </cell>
          <cell r="O36">
            <v>-4.74901062278692</v>
          </cell>
          <cell r="P36">
            <v>-5.3746654772524529</v>
          </cell>
          <cell r="Q36">
            <v>-5.7346283848362924</v>
          </cell>
          <cell r="R36">
            <v>-5.2434844642081551</v>
          </cell>
          <cell r="S36">
            <v>-5.6027554535017225</v>
          </cell>
          <cell r="T36">
            <v>-5.4260187404663327</v>
          </cell>
          <cell r="U36">
            <v>-0.85122131754256103</v>
          </cell>
          <cell r="V36">
            <v>-0.23796448837634998</v>
          </cell>
          <cell r="W36">
            <v>-0.37614185921547555</v>
          </cell>
          <cell r="X36">
            <v>-1.0484454085321764</v>
          </cell>
          <cell r="Y36">
            <v>-0.81124932395889671</v>
          </cell>
          <cell r="Z36">
            <v>-0.54054054054054057</v>
          </cell>
          <cell r="AA36">
            <v>-0.52177042101475357</v>
          </cell>
          <cell r="AB36">
            <v>-0.48265999284948163</v>
          </cell>
          <cell r="AC36">
            <v>-1.0918864438098437</v>
          </cell>
          <cell r="AD36">
            <v>-1.2673402979962323</v>
          </cell>
          <cell r="AE36">
            <v>-1.044699434834732</v>
          </cell>
          <cell r="AF36">
            <v>-0.34287673581347505</v>
          </cell>
          <cell r="AG36">
            <v>-0.3436426116838488</v>
          </cell>
          <cell r="AI36">
            <v>-0.38314176245210729</v>
          </cell>
          <cell r="AJ36">
            <v>-0.57931287786126162</v>
          </cell>
          <cell r="AK36">
            <v>-0.29866479269149682</v>
          </cell>
          <cell r="AM36">
            <v>-0.4099091071110319</v>
          </cell>
          <cell r="AN36">
            <v>-0.34117435805351054</v>
          </cell>
          <cell r="AO36">
            <v>-0.36299638989169675</v>
          </cell>
        </row>
        <row r="38">
          <cell r="B38" t="str">
            <v>NIR (US$m, current exchange rates)</v>
          </cell>
          <cell r="AC38">
            <v>75.394893331093527</v>
          </cell>
          <cell r="AD38">
            <v>67.889261859907577</v>
          </cell>
          <cell r="AE38">
            <v>178.23349888679567</v>
          </cell>
          <cell r="AF38">
            <v>226.81189782273273</v>
          </cell>
          <cell r="AG38">
            <v>292.74398625429552</v>
          </cell>
          <cell r="AI38">
            <v>411.95175896900031</v>
          </cell>
          <cell r="AJ38">
            <v>410.75935215795909</v>
          </cell>
          <cell r="AK38">
            <v>425.68740688685864</v>
          </cell>
          <cell r="AM38">
            <v>381.12658349670289</v>
          </cell>
          <cell r="AN38">
            <v>435.34163045430057</v>
          </cell>
          <cell r="AO38">
            <v>466.67245487364619</v>
          </cell>
        </row>
        <row r="39">
          <cell r="B39" t="str">
            <v>NFA plus:</v>
          </cell>
          <cell r="AC39">
            <v>56.794893331093533</v>
          </cell>
          <cell r="AD39">
            <v>49.289261859907583</v>
          </cell>
          <cell r="AE39">
            <v>159.63349888679568</v>
          </cell>
          <cell r="AF39">
            <v>208.21189782273274</v>
          </cell>
          <cell r="AG39">
            <v>274.24398625429552</v>
          </cell>
          <cell r="AI39">
            <v>393.45175896900031</v>
          </cell>
          <cell r="AJ39">
            <v>392.09935215795912</v>
          </cell>
          <cell r="AK39">
            <v>407.02740688685867</v>
          </cell>
          <cell r="AM39">
            <v>362.46658349670292</v>
          </cell>
          <cell r="AN39">
            <v>416.6816304543006</v>
          </cell>
          <cell r="AO39">
            <v>448.01245487364622</v>
          </cell>
        </row>
        <row r="40">
          <cell r="B40" t="str">
            <v xml:space="preserve">  Crown Agents</v>
          </cell>
          <cell r="AC40">
            <v>0.7</v>
          </cell>
          <cell r="AD40">
            <v>0.7</v>
          </cell>
          <cell r="AE40">
            <v>0.7</v>
          </cell>
          <cell r="AF40">
            <v>0.7</v>
          </cell>
          <cell r="AG40">
            <v>0.69</v>
          </cell>
          <cell r="AI40">
            <v>0.69</v>
          </cell>
          <cell r="AJ40">
            <v>0.7</v>
          </cell>
          <cell r="AK40">
            <v>0.7</v>
          </cell>
          <cell r="AM40">
            <v>0.7</v>
          </cell>
          <cell r="AN40">
            <v>0.7</v>
          </cell>
          <cell r="AO40">
            <v>0.7</v>
          </cell>
        </row>
        <row r="41">
          <cell r="B41" t="str">
            <v xml:space="preserve">  IMF Reserve Tranche</v>
          </cell>
          <cell r="AC41">
            <v>17.899999999999999</v>
          </cell>
          <cell r="AD41">
            <v>17.899999999999999</v>
          </cell>
          <cell r="AE41">
            <v>17.899999999999999</v>
          </cell>
          <cell r="AF41">
            <v>17.899999999999999</v>
          </cell>
          <cell r="AG41">
            <v>17.809999999999999</v>
          </cell>
          <cell r="AI41">
            <v>17.809999999999999</v>
          </cell>
          <cell r="AJ41">
            <v>17.96</v>
          </cell>
          <cell r="AK41">
            <v>17.96</v>
          </cell>
          <cell r="AM41">
            <v>17.96</v>
          </cell>
          <cell r="AN41">
            <v>17.96</v>
          </cell>
          <cell r="AO41">
            <v>17.96</v>
          </cell>
        </row>
        <row r="42">
          <cell r="B42" t="str">
            <v>BOP gross reserves figure (includes everything)</v>
          </cell>
        </row>
        <row r="44">
          <cell r="B44" t="str">
            <v>Memorandum:</v>
          </cell>
        </row>
        <row r="45">
          <cell r="B45" t="str">
            <v>IMF Credit (SDR million) /1</v>
          </cell>
          <cell r="D45">
            <v>338.88</v>
          </cell>
          <cell r="E45">
            <v>325.649</v>
          </cell>
          <cell r="F45">
            <v>344.839</v>
          </cell>
          <cell r="G45">
            <v>313.85899999999998</v>
          </cell>
          <cell r="H45">
            <v>286.07900000000001</v>
          </cell>
          <cell r="I45">
            <v>273.24900000000002</v>
          </cell>
          <cell r="J45">
            <v>262.38900000000001</v>
          </cell>
          <cell r="K45">
            <v>250.62899999999999</v>
          </cell>
          <cell r="L45">
            <v>264.33499999999998</v>
          </cell>
          <cell r="M45">
            <v>261.49400000000003</v>
          </cell>
          <cell r="N45">
            <v>261.49400000000003</v>
          </cell>
          <cell r="O45">
            <v>258.654</v>
          </cell>
          <cell r="P45">
            <v>291.96455850901316</v>
          </cell>
          <cell r="Q45">
            <v>291.07523606457511</v>
          </cell>
          <cell r="R45">
            <v>306.14365306429755</v>
          </cell>
          <cell r="S45">
            <v>290.27369040612126</v>
          </cell>
          <cell r="T45">
            <v>280.52091992241617</v>
          </cell>
          <cell r="U45">
            <v>274.53029591357443</v>
          </cell>
          <cell r="V45">
            <v>284.98249708284715</v>
          </cell>
          <cell r="W45">
            <v>280.63626966808317</v>
          </cell>
          <cell r="X45">
            <v>281.32267441860466</v>
          </cell>
          <cell r="Y45">
            <v>279.99042604116801</v>
          </cell>
          <cell r="Z45">
            <v>281.54087292018329</v>
          </cell>
          <cell r="AA45">
            <v>271.33171912832933</v>
          </cell>
          <cell r="AB45">
            <v>268.99579073962718</v>
          </cell>
          <cell r="AC45">
            <v>263.72367507521409</v>
          </cell>
          <cell r="AD45">
            <v>266.81436567164178</v>
          </cell>
          <cell r="AE45">
            <v>266.03375527426164</v>
          </cell>
          <cell r="AF45">
            <v>265.00768412341881</v>
          </cell>
          <cell r="AG45">
            <v>280.84117717145239</v>
          </cell>
          <cell r="AH45" t="e">
            <v>#DIV/0!</v>
          </cell>
          <cell r="AI45">
            <v>274.92458066851697</v>
          </cell>
          <cell r="AJ45">
            <v>274.92547990938357</v>
          </cell>
          <cell r="AK45">
            <v>273.23128841750031</v>
          </cell>
          <cell r="AL45" t="e">
            <v>#DIV/0!</v>
          </cell>
          <cell r="AM45">
            <v>274.8390292223873</v>
          </cell>
          <cell r="AN45">
            <v>274.02855369335816</v>
          </cell>
          <cell r="AO45">
            <v>263.06385105585406</v>
          </cell>
          <cell r="AP45" t="e">
            <v>#DIV/0!</v>
          </cell>
        </row>
        <row r="46">
          <cell r="B46" t="str">
            <v>Constant exchange rate (K Sh/US$)</v>
          </cell>
          <cell r="Q46">
            <v>55.757599999999996</v>
          </cell>
          <cell r="R46">
            <v>55.757599999999996</v>
          </cell>
          <cell r="S46">
            <v>55.757599999999996</v>
          </cell>
          <cell r="T46">
            <v>55.757599999999996</v>
          </cell>
          <cell r="U46">
            <v>55.757599999999996</v>
          </cell>
          <cell r="V46">
            <v>55.757599999999996</v>
          </cell>
          <cell r="W46">
            <v>55.757599999999996</v>
          </cell>
          <cell r="X46">
            <v>55.757599999999996</v>
          </cell>
          <cell r="Y46">
            <v>55.757599999999996</v>
          </cell>
          <cell r="Z46">
            <v>55.757599999999996</v>
          </cell>
          <cell r="AA46">
            <v>55.757599999999996</v>
          </cell>
          <cell r="AB46">
            <v>55.757599999999996</v>
          </cell>
          <cell r="AC46">
            <v>55.757599999999996</v>
          </cell>
          <cell r="AD46">
            <v>55.757599999999996</v>
          </cell>
          <cell r="AE46">
            <v>55.757599999999996</v>
          </cell>
          <cell r="AF46">
            <v>55.757599999999996</v>
          </cell>
          <cell r="AG46">
            <v>55.757599999999996</v>
          </cell>
          <cell r="AI46">
            <v>55.757599999999996</v>
          </cell>
          <cell r="AJ46">
            <v>55.757599999999996</v>
          </cell>
          <cell r="AK46">
            <v>55.757599999999996</v>
          </cell>
          <cell r="AM46">
            <v>55.757599999999996</v>
          </cell>
          <cell r="AN46">
            <v>55.757599999999996</v>
          </cell>
          <cell r="AO46">
            <v>55.757599999999996</v>
          </cell>
        </row>
        <row r="47">
          <cell r="B47" t="str">
            <v>Constant exchange rate (K Sh/SDR)</v>
          </cell>
          <cell r="AB47">
            <v>79.069900000000004</v>
          </cell>
          <cell r="AC47">
            <v>79.069900000000004</v>
          </cell>
          <cell r="AD47">
            <v>79.069900000000004</v>
          </cell>
          <cell r="AE47">
            <v>79.069900000000004</v>
          </cell>
          <cell r="AF47">
            <v>79.069900000000004</v>
          </cell>
          <cell r="AG47">
            <v>79.069900000000004</v>
          </cell>
          <cell r="AH47">
            <v>79.069900000000004</v>
          </cell>
          <cell r="AI47">
            <v>79.069900000000004</v>
          </cell>
          <cell r="AJ47">
            <v>79.069900000000004</v>
          </cell>
          <cell r="AK47">
            <v>79.069900000000004</v>
          </cell>
          <cell r="AL47">
            <v>79.069900000000004</v>
          </cell>
          <cell r="AM47">
            <v>79.069900000000004</v>
          </cell>
          <cell r="AN47">
            <v>79.069900000000004</v>
          </cell>
          <cell r="AO47">
            <v>79.069900000000004</v>
          </cell>
          <cell r="AP47">
            <v>79.069900000000004</v>
          </cell>
        </row>
        <row r="48">
          <cell r="B48" t="str">
            <v>Constant exchange rate (US$/SDR)</v>
          </cell>
          <cell r="AB48">
            <v>1.4181008508257171</v>
          </cell>
          <cell r="AC48">
            <v>1.4181008508257171</v>
          </cell>
          <cell r="AD48">
            <v>1.4181008508257171</v>
          </cell>
          <cell r="AE48">
            <v>1.4181008508257171</v>
          </cell>
          <cell r="AF48">
            <v>1.4181008508257171</v>
          </cell>
          <cell r="AG48">
            <v>1.4181008508257171</v>
          </cell>
          <cell r="AH48" t="e">
            <v>#DIV/0!</v>
          </cell>
          <cell r="AI48">
            <v>1.4181008508257171</v>
          </cell>
          <cell r="AJ48">
            <v>1.4181008508257171</v>
          </cell>
          <cell r="AK48">
            <v>1.4181008508257171</v>
          </cell>
          <cell r="AL48" t="e">
            <v>#DIV/0!</v>
          </cell>
          <cell r="AM48">
            <v>1.4181008508257171</v>
          </cell>
          <cell r="AN48">
            <v>1.4181008508257171</v>
          </cell>
          <cell r="AO48">
            <v>1.4181008508257171</v>
          </cell>
          <cell r="AP48" t="e">
            <v>#DIV/0!</v>
          </cell>
        </row>
        <row r="49">
          <cell r="B49" t="str">
            <v>Current exchange rate (K Sh/US$)</v>
          </cell>
          <cell r="D49">
            <v>24.084</v>
          </cell>
          <cell r="E49">
            <v>28.66</v>
          </cell>
          <cell r="F49">
            <v>28.074000000000002</v>
          </cell>
          <cell r="G49">
            <v>32.31</v>
          </cell>
          <cell r="H49">
            <v>36.22</v>
          </cell>
          <cell r="I49">
            <v>45.43</v>
          </cell>
          <cell r="J49">
            <v>65.14</v>
          </cell>
          <cell r="K49">
            <v>66.959999999999994</v>
          </cell>
          <cell r="L49">
            <v>68.16</v>
          </cell>
          <cell r="M49">
            <v>64.86</v>
          </cell>
          <cell r="N49">
            <v>55.96</v>
          </cell>
          <cell r="O49">
            <v>48.01</v>
          </cell>
          <cell r="P49">
            <v>44.84</v>
          </cell>
          <cell r="Q49">
            <v>44.466700000000003</v>
          </cell>
          <cell r="R49">
            <v>44.436100000000003</v>
          </cell>
          <cell r="S49">
            <v>43.55</v>
          </cell>
          <cell r="T49">
            <v>45.89</v>
          </cell>
          <cell r="U49">
            <v>54.04</v>
          </cell>
          <cell r="V49">
            <v>54.63</v>
          </cell>
          <cell r="W49">
            <v>55.83</v>
          </cell>
          <cell r="X49">
            <v>55.32</v>
          </cell>
          <cell r="Y49">
            <v>55.47</v>
          </cell>
          <cell r="Z49">
            <v>55.5</v>
          </cell>
          <cell r="AA49">
            <v>55.58</v>
          </cell>
          <cell r="AB49">
            <v>55.94</v>
          </cell>
          <cell r="AC49">
            <v>59.53</v>
          </cell>
          <cell r="AD49">
            <v>58.39</v>
          </cell>
          <cell r="AE49">
            <v>58.39</v>
          </cell>
          <cell r="AF49">
            <v>58.33</v>
          </cell>
          <cell r="AG49">
            <v>58.2</v>
          </cell>
          <cell r="AI49">
            <v>57.42</v>
          </cell>
          <cell r="AJ49">
            <v>57.23</v>
          </cell>
          <cell r="AK49">
            <v>56.92</v>
          </cell>
          <cell r="AM49">
            <v>56.11</v>
          </cell>
          <cell r="AN49">
            <v>55.69</v>
          </cell>
          <cell r="AO49">
            <v>55.4</v>
          </cell>
        </row>
        <row r="50">
          <cell r="B50" t="str">
            <v>Current exchange rate (K Sh/SDR)</v>
          </cell>
          <cell r="D50">
            <v>34.26</v>
          </cell>
          <cell r="E50">
            <v>37.67</v>
          </cell>
          <cell r="F50">
            <v>40.159999999999997</v>
          </cell>
          <cell r="G50">
            <v>46.24</v>
          </cell>
          <cell r="H50">
            <v>49.8</v>
          </cell>
          <cell r="I50">
            <v>63.64</v>
          </cell>
          <cell r="J50">
            <v>91.43</v>
          </cell>
          <cell r="K50">
            <v>94.98</v>
          </cell>
          <cell r="L50">
            <v>93.63</v>
          </cell>
          <cell r="M50">
            <v>91.62</v>
          </cell>
          <cell r="N50">
            <v>81.05</v>
          </cell>
          <cell r="O50">
            <v>70.44</v>
          </cell>
          <cell r="P50">
            <v>65.459999999999994</v>
          </cell>
          <cell r="Q50">
            <v>65.66</v>
          </cell>
          <cell r="R50">
            <v>66.41</v>
          </cell>
          <cell r="S50">
            <v>67.959999999999994</v>
          </cell>
          <cell r="T50">
            <v>72.180000000000007</v>
          </cell>
          <cell r="U50">
            <v>85.16</v>
          </cell>
          <cell r="V50">
            <v>85.7</v>
          </cell>
          <cell r="W50">
            <v>87.07</v>
          </cell>
          <cell r="X50">
            <v>82.56</v>
          </cell>
          <cell r="Y50">
            <v>83.56</v>
          </cell>
          <cell r="Z50">
            <v>82.94</v>
          </cell>
          <cell r="AA50">
            <v>82.6</v>
          </cell>
          <cell r="AB50">
            <v>83.15</v>
          </cell>
          <cell r="AC50">
            <v>86.42</v>
          </cell>
          <cell r="AD50">
            <v>85.76</v>
          </cell>
          <cell r="AE50">
            <v>85.32</v>
          </cell>
          <cell r="AF50">
            <v>84.59</v>
          </cell>
          <cell r="AG50">
            <v>83.93</v>
          </cell>
          <cell r="AI50">
            <v>82.87</v>
          </cell>
          <cell r="AJ50">
            <v>83.87</v>
          </cell>
          <cell r="AK50">
            <v>82.97</v>
          </cell>
          <cell r="AM50">
            <v>80.760000000000005</v>
          </cell>
          <cell r="AN50">
            <v>80.55</v>
          </cell>
          <cell r="AO50">
            <v>80.03</v>
          </cell>
        </row>
        <row r="52">
          <cell r="B52" t="str">
            <v>1/  Total Fund credit and loans outstanding; CBK Banking Survey includes IMF A/c No 1</v>
          </cell>
        </row>
        <row r="54">
          <cell r="B54" t="str">
            <v>Sources: CBK Balance Sheet</v>
          </cell>
        </row>
        <row r="56">
          <cell r="B56" t="str">
            <v>b) Commercial banks</v>
          </cell>
        </row>
      </sheetData>
      <sheetData sheetId="2" refreshError="1"/>
      <sheetData sheetId="3" refreshError="1"/>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InBOP"/>
      <sheetName val="TABLE 59 bop"/>
      <sheetName val="Table 60"/>
      <sheetName val="Table 61"/>
      <sheetName val="Table 62-67"/>
      <sheetName val="Table 68"/>
      <sheetName val="DO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oPOutmission"/>
      <sheetName val="BoPOutMedium"/>
      <sheetName val="External Financing"/>
      <sheetName val="CBCashflow"/>
      <sheetName val="Work sheet"/>
      <sheetName val="Old Debt"/>
      <sheetName val="New Debt"/>
      <sheetName val="large projects (2)"/>
      <sheetName val="DATAIMPORT"/>
      <sheetName val="DATAEXPORT"/>
      <sheetName val="baseline"/>
      <sheetName val="NominalDebt"/>
      <sheetName val="NPVDebt"/>
      <sheetName val="Loans 02-01"/>
      <sheetName val="IMFDebtservice"/>
      <sheetName val="exproj"/>
      <sheetName val="improj"/>
      <sheetName val="grants 02-01"/>
      <sheetName val="scenario"/>
      <sheetName val="NIRChart"/>
      <sheetName val="ExtFinLoan"/>
      <sheetName val="ExtFinGrant"/>
      <sheetName val="large projects (3)"/>
      <sheetName val="Sheet2"/>
      <sheetName val="Input"/>
      <sheetName val="Exports"/>
      <sheetName val="Contents"/>
      <sheetName val="Services"/>
      <sheetName val="Savings"/>
      <sheetName val="BoP HIPC"/>
      <sheetName val="OUTPUT"/>
      <sheetName val="DSproj"/>
      <sheetName val="Imports"/>
      <sheetName val="ToT"/>
      <sheetName val="Exports(rev)"/>
      <sheetName val="IMF Assistance (CP)"/>
      <sheetName val="IMF Assistance (DP)"/>
      <sheetName val="Compare"/>
      <sheetName val="Sheet1"/>
      <sheetName val="Exports (2)"/>
      <sheetName val="Imports (2)"/>
      <sheetName val="large projects"/>
      <sheetName val="IMF in Decision"/>
      <sheetName val="IMF debt"/>
      <sheetName val="Indicators of Fund credit"/>
      <sheetName val="DebtService to budget 1999"/>
      <sheetName val="D"/>
      <sheetName val="E"/>
      <sheetName val="F"/>
      <sheetName val="ExtLoan"/>
      <sheetName val="ExtGrant"/>
      <sheetName val="BopoutBP"/>
      <sheetName val="NFA-input"/>
      <sheetName val="CODE LIST"/>
      <sheetName val="Control"/>
      <sheetName val="External_Financing"/>
      <sheetName val="Work_sheet"/>
      <sheetName val="Old_Debt"/>
      <sheetName val="New_Debt"/>
      <sheetName val="large_projects_(2)"/>
      <sheetName val="Loans_02-01"/>
      <sheetName val="grants_02-01"/>
      <sheetName val="large_projects_(3)"/>
      <sheetName val="BoP_HIPC"/>
      <sheetName val="IMF_Assistance_(CP)"/>
      <sheetName val="IMF_Assistance_(DP)"/>
      <sheetName val="Exports_(2)"/>
      <sheetName val="Imports_(2)"/>
      <sheetName val="large_projects"/>
      <sheetName val="IMF_in_Decision"/>
      <sheetName val="IMF_debt"/>
      <sheetName val="Indicators_of_Fund_credit"/>
      <sheetName val="DebtService_to_budget_1999"/>
      <sheetName val="IN_MOF_DBT_DISB_GRANTS"/>
      <sheetName val="IN_EXT_DBT_Q"/>
      <sheetName val="IN_BORROWING_PLAN"/>
      <sheetName val="Table 6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RBZ"/>
      <sheetName val="IFS"/>
      <sheetName val="st-debt"/>
      <sheetName val="Graph"/>
      <sheetName val="RBZ-former"/>
      <sheetName val="Q2"/>
      <sheetName val="Q6"/>
      <sheetName val="CODE LIST"/>
      <sheetName val="Table 60"/>
      <sheetName val="SR tables"/>
      <sheetName val="Cover"/>
      <sheetName val="dropdownmenus"/>
      <sheetName val="weo"/>
      <sheetName val="A Current Data"/>
      <sheetName val="18"/>
      <sheetName val="13"/>
      <sheetName val="7"/>
      <sheetName val="9"/>
      <sheetName val="5"/>
      <sheetName val="10"/>
      <sheetName val="6"/>
      <sheetName val="19"/>
      <sheetName val="22"/>
      <sheetName val="23"/>
      <sheetName val="8"/>
      <sheetName val="4"/>
      <sheetName val="28"/>
      <sheetName val="17"/>
      <sheetName val="2022 Exchange rate Forecast"/>
      <sheetName val="SUMMARY"/>
      <sheetName val="RED"/>
      <sheetName val="Coverpage"/>
      <sheetName val="VAT rates OECD Countries"/>
    </sheetNames>
    <sheetDataSet>
      <sheetData sheetId="0" refreshError="1"/>
      <sheetData sheetId="1" refreshError="1"/>
      <sheetData sheetId="2" refreshError="1"/>
      <sheetData sheetId="3" refreshError="1"/>
      <sheetData sheetId="4" refreshError="1"/>
      <sheetData sheetId="5" refreshError="1">
        <row r="2">
          <cell r="O2" t="str">
            <v>Black letters denote what I could confirm by the RBZ's documents.</v>
          </cell>
        </row>
        <row r="5">
          <cell r="O5" t="str">
            <v>Jan/1992</v>
          </cell>
          <cell r="P5">
            <v>0</v>
          </cell>
          <cell r="V5">
            <v>0</v>
          </cell>
        </row>
        <row r="6">
          <cell r="O6" t="str">
            <v>Feb</v>
          </cell>
          <cell r="P6">
            <v>0</v>
          </cell>
          <cell r="V6">
            <v>0</v>
          </cell>
        </row>
        <row r="7">
          <cell r="O7" t="str">
            <v>Mar</v>
          </cell>
          <cell r="P7">
            <v>518.20000000000005</v>
          </cell>
          <cell r="V7">
            <v>73.2</v>
          </cell>
        </row>
        <row r="8">
          <cell r="O8" t="str">
            <v>Apr</v>
          </cell>
          <cell r="P8">
            <v>0</v>
          </cell>
          <cell r="V8">
            <v>0</v>
          </cell>
        </row>
        <row r="9">
          <cell r="O9" t="str">
            <v>May</v>
          </cell>
          <cell r="P9">
            <v>0</v>
          </cell>
          <cell r="V9">
            <v>0</v>
          </cell>
        </row>
        <row r="10">
          <cell r="O10" t="str">
            <v>Jun</v>
          </cell>
          <cell r="P10">
            <v>364.40000000000003</v>
          </cell>
          <cell r="V10">
            <v>-66.599999999999909</v>
          </cell>
        </row>
        <row r="11">
          <cell r="O11" t="str">
            <v>Jul</v>
          </cell>
          <cell r="P11">
            <v>0</v>
          </cell>
          <cell r="V11">
            <v>0</v>
          </cell>
        </row>
        <row r="12">
          <cell r="O12" t="str">
            <v>Aug</v>
          </cell>
          <cell r="P12">
            <v>0</v>
          </cell>
          <cell r="V12">
            <v>0</v>
          </cell>
        </row>
        <row r="13">
          <cell r="O13" t="str">
            <v>Sep</v>
          </cell>
          <cell r="P13">
            <v>440.8</v>
          </cell>
          <cell r="V13">
            <v>-151.69999999999993</v>
          </cell>
        </row>
        <row r="14">
          <cell r="O14" t="str">
            <v>Oct</v>
          </cell>
          <cell r="P14">
            <v>0</v>
          </cell>
          <cell r="V14">
            <v>0</v>
          </cell>
        </row>
        <row r="15">
          <cell r="O15" t="str">
            <v>Nov</v>
          </cell>
          <cell r="P15">
            <v>0</v>
          </cell>
          <cell r="V15">
            <v>0</v>
          </cell>
        </row>
        <row r="16">
          <cell r="O16" t="str">
            <v>Dec</v>
          </cell>
          <cell r="P16">
            <v>382.9</v>
          </cell>
          <cell r="V16">
            <v>-195.70000000000002</v>
          </cell>
        </row>
        <row r="18">
          <cell r="O18" t="str">
            <v>Jan/1993</v>
          </cell>
          <cell r="P18">
            <v>0</v>
          </cell>
          <cell r="V18">
            <v>0</v>
          </cell>
        </row>
        <row r="19">
          <cell r="O19" t="str">
            <v>Feb</v>
          </cell>
          <cell r="P19">
            <v>0</v>
          </cell>
          <cell r="V19">
            <v>0</v>
          </cell>
        </row>
        <row r="20">
          <cell r="O20" t="str">
            <v>Mar</v>
          </cell>
          <cell r="P20">
            <v>358</v>
          </cell>
          <cell r="V20">
            <v>-235.2</v>
          </cell>
        </row>
        <row r="21">
          <cell r="O21" t="str">
            <v>Apr</v>
          </cell>
          <cell r="P21">
            <v>0</v>
          </cell>
          <cell r="V21">
            <v>0</v>
          </cell>
        </row>
        <row r="22">
          <cell r="O22" t="str">
            <v>May</v>
          </cell>
          <cell r="P22">
            <v>0</v>
          </cell>
          <cell r="V22">
            <v>0</v>
          </cell>
        </row>
        <row r="23">
          <cell r="O23" t="str">
            <v>Jun</v>
          </cell>
          <cell r="P23">
            <v>617</v>
          </cell>
          <cell r="V23">
            <v>-2.3000000000000256</v>
          </cell>
        </row>
        <row r="24">
          <cell r="O24" t="str">
            <v>Jul</v>
          </cell>
          <cell r="P24">
            <v>0</v>
          </cell>
          <cell r="V24">
            <v>0</v>
          </cell>
        </row>
        <row r="25">
          <cell r="O25" t="str">
            <v>Aug</v>
          </cell>
          <cell r="P25">
            <v>0</v>
          </cell>
          <cell r="V25">
            <v>0</v>
          </cell>
        </row>
        <row r="26">
          <cell r="O26" t="str">
            <v>Sep</v>
          </cell>
          <cell r="P26">
            <v>740.1</v>
          </cell>
          <cell r="V26">
            <v>108.70000000000005</v>
          </cell>
        </row>
        <row r="27">
          <cell r="O27" t="str">
            <v>Oct</v>
          </cell>
          <cell r="P27">
            <v>0</v>
          </cell>
          <cell r="V27">
            <v>0</v>
          </cell>
        </row>
        <row r="28">
          <cell r="O28" t="str">
            <v>Nov</v>
          </cell>
          <cell r="P28">
            <v>0</v>
          </cell>
          <cell r="V28">
            <v>0</v>
          </cell>
        </row>
        <row r="29">
          <cell r="O29" t="str">
            <v>Dec</v>
          </cell>
          <cell r="P29">
            <v>590.20000000000005</v>
          </cell>
          <cell r="V29">
            <v>73.600000000000023</v>
          </cell>
        </row>
        <row r="31">
          <cell r="O31" t="str">
            <v>Jan/1994</v>
          </cell>
          <cell r="P31">
            <v>0</v>
          </cell>
          <cell r="V31">
            <v>0</v>
          </cell>
        </row>
        <row r="32">
          <cell r="O32" t="str">
            <v>Feb</v>
          </cell>
          <cell r="P32">
            <v>0</v>
          </cell>
          <cell r="V32">
            <v>0</v>
          </cell>
        </row>
        <row r="33">
          <cell r="O33" t="str">
            <v>Mar</v>
          </cell>
          <cell r="P33">
            <v>696.5</v>
          </cell>
          <cell r="V33">
            <v>218.09999999999997</v>
          </cell>
        </row>
        <row r="34">
          <cell r="O34" t="str">
            <v>Apr</v>
          </cell>
          <cell r="P34">
            <v>0</v>
          </cell>
          <cell r="V34">
            <v>0</v>
          </cell>
        </row>
        <row r="35">
          <cell r="O35" t="str">
            <v>May</v>
          </cell>
          <cell r="P35">
            <v>0</v>
          </cell>
          <cell r="V35">
            <v>0</v>
          </cell>
        </row>
        <row r="36">
          <cell r="O36" t="str">
            <v>Jun</v>
          </cell>
          <cell r="P36">
            <v>800.92786302856848</v>
          </cell>
          <cell r="V36">
            <v>271.36527359747373</v>
          </cell>
        </row>
        <row r="37">
          <cell r="O37" t="str">
            <v>Jul</v>
          </cell>
          <cell r="P37">
            <v>0</v>
          </cell>
          <cell r="V37">
            <v>0</v>
          </cell>
        </row>
        <row r="38">
          <cell r="O38" t="str">
            <v>Aug</v>
          </cell>
          <cell r="P38">
            <v>0</v>
          </cell>
          <cell r="V38">
            <v>0</v>
          </cell>
        </row>
        <row r="39">
          <cell r="O39" t="str">
            <v>Sep</v>
          </cell>
          <cell r="P39">
            <v>822.60868518607651</v>
          </cell>
          <cell r="V39">
            <v>328.81734148572514</v>
          </cell>
        </row>
        <row r="40">
          <cell r="O40" t="str">
            <v>Oct</v>
          </cell>
          <cell r="P40">
            <v>787.73705112361574</v>
          </cell>
          <cell r="V40">
            <v>325.11572102175245</v>
          </cell>
        </row>
        <row r="41">
          <cell r="O41" t="str">
            <v>Nov</v>
          </cell>
          <cell r="P41">
            <v>749.26270425570124</v>
          </cell>
          <cell r="V41">
            <v>291.77183216615799</v>
          </cell>
        </row>
        <row r="42">
          <cell r="O42" t="str">
            <v>Dec</v>
          </cell>
          <cell r="P42">
            <v>595.04673788630282</v>
          </cell>
          <cell r="V42">
            <v>122.89894124380002</v>
          </cell>
        </row>
        <row r="44">
          <cell r="O44" t="str">
            <v>Foreign Exchange Reserve</v>
          </cell>
        </row>
        <row r="46">
          <cell r="P46" t="str">
            <v>Asset</v>
          </cell>
          <cell r="V46" t="str">
            <v>NIR</v>
          </cell>
        </row>
        <row r="47">
          <cell r="O47" t="str">
            <v>-</v>
          </cell>
          <cell r="P47" t="str">
            <v>-</v>
          </cell>
          <cell r="V47" t="str">
            <v>-</v>
          </cell>
        </row>
        <row r="48">
          <cell r="O48" t="str">
            <v>Jan/1995</v>
          </cell>
          <cell r="P48">
            <v>609.69499999999994</v>
          </cell>
          <cell r="V48">
            <v>137.45333333333335</v>
          </cell>
        </row>
        <row r="49">
          <cell r="O49" t="str">
            <v>Feb</v>
          </cell>
          <cell r="P49">
            <v>701.96491809880251</v>
          </cell>
          <cell r="V49">
            <v>159.61104333716284</v>
          </cell>
        </row>
        <row r="50">
          <cell r="O50" t="str">
            <v>Mar</v>
          </cell>
          <cell r="P50">
            <v>673.5366966497196</v>
          </cell>
          <cell r="V50">
            <v>121.24672615873236</v>
          </cell>
        </row>
        <row r="51">
          <cell r="O51" t="str">
            <v>Apr</v>
          </cell>
          <cell r="P51">
            <v>650.92140408935097</v>
          </cell>
          <cell r="V51">
            <v>110.42146318402077</v>
          </cell>
        </row>
        <row r="52">
          <cell r="O52" t="str">
            <v>May</v>
          </cell>
          <cell r="P52">
            <v>740.90313766135876</v>
          </cell>
          <cell r="V52">
            <v>204.78940921511355</v>
          </cell>
        </row>
        <row r="53">
          <cell r="O53" t="str">
            <v>Jun</v>
          </cell>
          <cell r="P53">
            <v>737.18565677371021</v>
          </cell>
          <cell r="V53">
            <v>208.88259526261584</v>
          </cell>
        </row>
        <row r="54">
          <cell r="O54" t="str">
            <v>Jul</v>
          </cell>
          <cell r="P54">
            <v>836.43971532559056</v>
          </cell>
          <cell r="V54">
            <v>310.72003152745907</v>
          </cell>
        </row>
        <row r="55">
          <cell r="O55" t="str">
            <v>Aug</v>
          </cell>
          <cell r="P55">
            <v>907.18020972883073</v>
          </cell>
          <cell r="V55">
            <v>384.84639903912779</v>
          </cell>
        </row>
        <row r="56">
          <cell r="O56" t="str">
            <v>Sep</v>
          </cell>
          <cell r="P56">
            <v>934.10647122322598</v>
          </cell>
          <cell r="V56">
            <v>432.60405658769383</v>
          </cell>
        </row>
        <row r="57">
          <cell r="O57" t="str">
            <v>Oct</v>
          </cell>
          <cell r="P57">
            <v>824.18152560128726</v>
          </cell>
          <cell r="V57">
            <v>347.52864687395373</v>
          </cell>
        </row>
        <row r="58">
          <cell r="O58" t="str">
            <v>Nov</v>
          </cell>
          <cell r="P58">
            <v>785.75377969762405</v>
          </cell>
          <cell r="V58">
            <v>309.04470842332609</v>
          </cell>
        </row>
        <row r="59">
          <cell r="O59" t="str">
            <v>Dec</v>
          </cell>
          <cell r="P59">
            <v>874.8</v>
          </cell>
          <cell r="V59">
            <v>386.19999999999993</v>
          </cell>
        </row>
        <row r="61">
          <cell r="O61" t="str">
            <v>Jan/1996</v>
          </cell>
          <cell r="P61">
            <v>805.2</v>
          </cell>
          <cell r="V61">
            <v>326.50000000000006</v>
          </cell>
        </row>
        <row r="62">
          <cell r="O62" t="str">
            <v>Feb</v>
          </cell>
          <cell r="P62">
            <v>833.5</v>
          </cell>
          <cell r="V62">
            <v>350</v>
          </cell>
        </row>
        <row r="63">
          <cell r="O63" t="str">
            <v>Mar</v>
          </cell>
          <cell r="P63">
            <v>846.2</v>
          </cell>
          <cell r="V63">
            <v>368.00000000000006</v>
          </cell>
        </row>
        <row r="64">
          <cell r="O64" t="str">
            <v>Apr</v>
          </cell>
          <cell r="P64">
            <v>869.7</v>
          </cell>
          <cell r="V64">
            <v>396.80000000000007</v>
          </cell>
        </row>
        <row r="65">
          <cell r="O65" t="str">
            <v>May</v>
          </cell>
          <cell r="P65">
            <v>977.3</v>
          </cell>
          <cell r="V65">
            <v>504.09999999999997</v>
          </cell>
        </row>
        <row r="66">
          <cell r="O66" t="str">
            <v>Jun</v>
          </cell>
          <cell r="P66">
            <v>1073.0999999999999</v>
          </cell>
          <cell r="V66">
            <v>601.59999999999991</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 val="Inputs"/>
      <sheetName val="Out-A"/>
      <sheetName val="Out-F"/>
      <sheetName val="Out-M"/>
      <sheetName val="Out-BoP"/>
      <sheetName val="Trade"/>
      <sheetName val="BoP-worksheet"/>
      <sheetName val="Finance"/>
      <sheetName val="Pledge"/>
      <sheetName val="Finreq"/>
      <sheetName val="FundSR"/>
      <sheetName val="Input_external"/>
      <sheetName val="Inp_Outp_debt"/>
      <sheetName val="BoP-GDP"/>
      <sheetName val="NPC Debt"/>
      <sheetName val="Flow"/>
      <sheetName val="Oil shock"/>
      <sheetName val="Fiscal1"/>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OUTREO_History"/>
      <sheetName val="Structure"/>
      <sheetName val="IR-6SR"/>
      <sheetName val="CB-1SR_Bridge"/>
      <sheetName val="CB-1SR"/>
      <sheetName val="STA-1SG"/>
      <sheetName val="AD-CB"/>
      <sheetName val="DMB"/>
      <sheetName val="Comb_Bridge"/>
      <sheetName val="ODC-2SR_Bridge_banks"/>
      <sheetName val="ODC-2SR_Bridge_CRU"/>
      <sheetName val="ODC-2SR"/>
      <sheetName val="STA-2SG"/>
      <sheetName val="AD-ODC"/>
      <sheetName val="STA-3SG"/>
      <sheetName val="AD-DC"/>
      <sheetName val="OFC-4SR"/>
      <sheetName val="STA-4SG"/>
      <sheetName val="AD-OFC"/>
      <sheetName val="STA-5SG"/>
      <sheetName val="AD-FC"/>
      <sheetName val="MA-5SR_Bridge"/>
      <sheetName val="MA-5SR"/>
      <sheetName val="ER-01R"/>
      <sheetName val="A-II.3"/>
      <sheetName val="out_fiscal"/>
      <sheetName val="out_main"/>
      <sheetName val="Imp"/>
      <sheetName val="DSA output"/>
      <sheetName val="in-out"/>
      <sheetName val="CY BOT CASHFLOW"/>
      <sheetName val="A 11"/>
      <sheetName val="GeoBop"/>
      <sheetName val="Control"/>
      <sheetName val="Growth&amp;Price Assump"/>
      <sheetName val="A"/>
      <sheetName val="GeoBop.xls"/>
      <sheetName val="Prg-A"/>
      <sheetName val="Tasas"/>
      <sheetName val="data-diaria"/>
      <sheetName val="PYRAMID"/>
      <sheetName val="BOP Summary"/>
      <sheetName val="Main_Output_Table"/>
      <sheetName val="BoP_Sum_(comp)"/>
      <sheetName val="DS_after2001_(2)"/>
      <sheetName val="Chart1_DS"/>
      <sheetName val="NPC_Debt"/>
      <sheetName val="Oil_shock"/>
      <sheetName val="Input-DS-04-Feb_05"/>
      <sheetName val="Input-DS-05-Feb_05"/>
      <sheetName val="Input-Grants-05-Feb_05-2"/>
      <sheetName val="Input-Grants-04-Feb_05"/>
      <sheetName val="Input-Credit-05-Feb_05"/>
      <sheetName val="Input-Credit_04_Feb_05"/>
      <sheetName val="Debt_stocks"/>
      <sheetName val="Table 4"/>
      <sheetName val="tab 15"/>
      <sheetName val="PRIVATE"/>
      <sheetName val="M"/>
      <sheetName val="A Current Data"/>
      <sheetName val="J(Priv.Cap)"/>
      <sheetName val="Indic"/>
      <sheetName val="Data"/>
      <sheetName val="si"/>
      <sheetName val="WAEMU_DMX"/>
      <sheetName val="Panel Chart Data"/>
      <sheetName val="IN_IMA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drawing" Target="../drawings/drawing1.xml"/><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5.bin"/><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 Id="rId4" Type="http://schemas.openxmlformats.org/officeDocument/2006/relationships/printerSettings" Target="../printerSettings/printerSettings36.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9.bin"/><Relationship Id="rId7" Type="http://schemas.openxmlformats.org/officeDocument/2006/relationships/comments" Target="../comments1.xml"/><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 Id="rId6" Type="http://schemas.openxmlformats.org/officeDocument/2006/relationships/vmlDrawing" Target="../drawings/vmlDrawing1.vml"/><Relationship Id="rId5" Type="http://schemas.openxmlformats.org/officeDocument/2006/relationships/drawing" Target="../drawings/drawing2.xml"/><Relationship Id="rId4" Type="http://schemas.openxmlformats.org/officeDocument/2006/relationships/printerSettings" Target="../printerSettings/printerSettings40.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 Id="rId4" Type="http://schemas.openxmlformats.org/officeDocument/2006/relationships/printerSettings" Target="../printerSettings/printerSettings44.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47.bin"/><Relationship Id="rId7" Type="http://schemas.openxmlformats.org/officeDocument/2006/relationships/comments" Target="../comments2.xml"/><Relationship Id="rId2" Type="http://schemas.openxmlformats.org/officeDocument/2006/relationships/printerSettings" Target="../printerSettings/printerSettings46.bin"/><Relationship Id="rId1" Type="http://schemas.openxmlformats.org/officeDocument/2006/relationships/printerSettings" Target="../printerSettings/printerSettings45.bin"/><Relationship Id="rId6" Type="http://schemas.openxmlformats.org/officeDocument/2006/relationships/vmlDrawing" Target="../drawings/vmlDrawing2.vml"/><Relationship Id="rId5" Type="http://schemas.openxmlformats.org/officeDocument/2006/relationships/drawing" Target="../drawings/drawing3.xml"/><Relationship Id="rId4" Type="http://schemas.openxmlformats.org/officeDocument/2006/relationships/printerSettings" Target="../printerSettings/printerSettings48.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51.bin"/><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 Id="rId4" Type="http://schemas.openxmlformats.org/officeDocument/2006/relationships/printerSettings" Target="../printerSettings/printerSettings52.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55.bin"/><Relationship Id="rId7" Type="http://schemas.openxmlformats.org/officeDocument/2006/relationships/comments" Target="../comments3.xml"/><Relationship Id="rId2" Type="http://schemas.openxmlformats.org/officeDocument/2006/relationships/printerSettings" Target="../printerSettings/printerSettings54.bin"/><Relationship Id="rId1" Type="http://schemas.openxmlformats.org/officeDocument/2006/relationships/printerSettings" Target="../printerSettings/printerSettings53.bin"/><Relationship Id="rId6" Type="http://schemas.openxmlformats.org/officeDocument/2006/relationships/vmlDrawing" Target="../drawings/vmlDrawing3.vml"/><Relationship Id="rId5" Type="http://schemas.openxmlformats.org/officeDocument/2006/relationships/drawing" Target="../drawings/drawing4.xml"/><Relationship Id="rId4" Type="http://schemas.openxmlformats.org/officeDocument/2006/relationships/printerSettings" Target="../printerSettings/printerSettings56.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59.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4" Type="http://schemas.openxmlformats.org/officeDocument/2006/relationships/printerSettings" Target="../printerSettings/printerSettings60.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63.bin"/><Relationship Id="rId7" Type="http://schemas.openxmlformats.org/officeDocument/2006/relationships/comments" Target="../comments4.xml"/><Relationship Id="rId2" Type="http://schemas.openxmlformats.org/officeDocument/2006/relationships/printerSettings" Target="../printerSettings/printerSettings62.bin"/><Relationship Id="rId1" Type="http://schemas.openxmlformats.org/officeDocument/2006/relationships/printerSettings" Target="../printerSettings/printerSettings61.bin"/><Relationship Id="rId6" Type="http://schemas.openxmlformats.org/officeDocument/2006/relationships/vmlDrawing" Target="../drawings/vmlDrawing4.vml"/><Relationship Id="rId5" Type="http://schemas.openxmlformats.org/officeDocument/2006/relationships/drawing" Target="../drawings/drawing5.xml"/><Relationship Id="rId4" Type="http://schemas.openxmlformats.org/officeDocument/2006/relationships/printerSettings" Target="../printerSettings/printerSettings64.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67.bin"/><Relationship Id="rId2" Type="http://schemas.openxmlformats.org/officeDocument/2006/relationships/printerSettings" Target="../printerSettings/printerSettings66.bin"/><Relationship Id="rId1" Type="http://schemas.openxmlformats.org/officeDocument/2006/relationships/printerSettings" Target="../printerSettings/printerSettings65.bin"/><Relationship Id="rId6" Type="http://schemas.openxmlformats.org/officeDocument/2006/relationships/drawing" Target="../drawings/drawing6.xml"/><Relationship Id="rId5" Type="http://schemas.openxmlformats.org/officeDocument/2006/relationships/printerSettings" Target="../printerSettings/printerSettings69.bin"/><Relationship Id="rId4" Type="http://schemas.openxmlformats.org/officeDocument/2006/relationships/printerSettings" Target="../printerSettings/printerSettings68.bin"/></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71.bin"/><Relationship Id="rId1" Type="http://schemas.openxmlformats.org/officeDocument/2006/relationships/printerSettings" Target="../printerSettings/printerSettings70.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5" Type="http://schemas.openxmlformats.org/officeDocument/2006/relationships/printerSettings" Target="../printerSettings/printerSettings10.bin"/><Relationship Id="rId4" Type="http://schemas.openxmlformats.org/officeDocument/2006/relationships/printerSettings" Target="../printerSettings/printerSettings9.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74.bin"/><Relationship Id="rId2" Type="http://schemas.openxmlformats.org/officeDocument/2006/relationships/printerSettings" Target="../printerSettings/printerSettings73.bin"/><Relationship Id="rId1" Type="http://schemas.openxmlformats.org/officeDocument/2006/relationships/printerSettings" Target="../printerSettings/printerSettings72.bin"/><Relationship Id="rId5" Type="http://schemas.openxmlformats.org/officeDocument/2006/relationships/printerSettings" Target="../printerSettings/printerSettings76.bin"/><Relationship Id="rId4" Type="http://schemas.openxmlformats.org/officeDocument/2006/relationships/printerSettings" Target="../printerSettings/printerSettings75.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79.bin"/><Relationship Id="rId2" Type="http://schemas.openxmlformats.org/officeDocument/2006/relationships/printerSettings" Target="../printerSettings/printerSettings78.bin"/><Relationship Id="rId1" Type="http://schemas.openxmlformats.org/officeDocument/2006/relationships/printerSettings" Target="../printerSettings/printerSettings77.bin"/><Relationship Id="rId5" Type="http://schemas.openxmlformats.org/officeDocument/2006/relationships/printerSettings" Target="../printerSettings/printerSettings81.bin"/><Relationship Id="rId4" Type="http://schemas.openxmlformats.org/officeDocument/2006/relationships/printerSettings" Target="../printerSettings/printerSettings80.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84.bin"/><Relationship Id="rId2" Type="http://schemas.openxmlformats.org/officeDocument/2006/relationships/printerSettings" Target="../printerSettings/printerSettings83.bin"/><Relationship Id="rId1" Type="http://schemas.openxmlformats.org/officeDocument/2006/relationships/printerSettings" Target="../printerSettings/printerSettings82.bin"/><Relationship Id="rId6" Type="http://schemas.openxmlformats.org/officeDocument/2006/relationships/drawing" Target="../drawings/drawing7.xml"/><Relationship Id="rId5" Type="http://schemas.openxmlformats.org/officeDocument/2006/relationships/printerSettings" Target="../printerSettings/printerSettings86.bin"/><Relationship Id="rId4" Type="http://schemas.openxmlformats.org/officeDocument/2006/relationships/printerSettings" Target="../printerSettings/printerSettings85.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89.bin"/><Relationship Id="rId2" Type="http://schemas.openxmlformats.org/officeDocument/2006/relationships/printerSettings" Target="../printerSettings/printerSettings88.bin"/><Relationship Id="rId1" Type="http://schemas.openxmlformats.org/officeDocument/2006/relationships/printerSettings" Target="../printerSettings/printerSettings87.bin"/><Relationship Id="rId5" Type="http://schemas.openxmlformats.org/officeDocument/2006/relationships/printerSettings" Target="../printerSettings/printerSettings91.bin"/><Relationship Id="rId4" Type="http://schemas.openxmlformats.org/officeDocument/2006/relationships/printerSettings" Target="../printerSettings/printerSettings90.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94.bin"/><Relationship Id="rId2" Type="http://schemas.openxmlformats.org/officeDocument/2006/relationships/printerSettings" Target="../printerSettings/printerSettings93.bin"/><Relationship Id="rId1" Type="http://schemas.openxmlformats.org/officeDocument/2006/relationships/printerSettings" Target="../printerSettings/printerSettings92.bin"/><Relationship Id="rId6" Type="http://schemas.openxmlformats.org/officeDocument/2006/relationships/drawing" Target="../drawings/drawing8.xml"/><Relationship Id="rId5" Type="http://schemas.openxmlformats.org/officeDocument/2006/relationships/printerSettings" Target="../printerSettings/printerSettings96.bin"/><Relationship Id="rId4" Type="http://schemas.openxmlformats.org/officeDocument/2006/relationships/printerSettings" Target="../printerSettings/printerSettings95.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99.bin"/><Relationship Id="rId2" Type="http://schemas.openxmlformats.org/officeDocument/2006/relationships/printerSettings" Target="../printerSettings/printerSettings98.bin"/><Relationship Id="rId1" Type="http://schemas.openxmlformats.org/officeDocument/2006/relationships/printerSettings" Target="../printerSettings/printerSettings97.bin"/><Relationship Id="rId5" Type="http://schemas.openxmlformats.org/officeDocument/2006/relationships/printerSettings" Target="../printerSettings/printerSettings101.bin"/><Relationship Id="rId4" Type="http://schemas.openxmlformats.org/officeDocument/2006/relationships/printerSettings" Target="../printerSettings/printerSettings100.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104.bin"/><Relationship Id="rId2" Type="http://schemas.openxmlformats.org/officeDocument/2006/relationships/printerSettings" Target="../printerSettings/printerSettings103.bin"/><Relationship Id="rId1" Type="http://schemas.openxmlformats.org/officeDocument/2006/relationships/printerSettings" Target="../printerSettings/printerSettings102.bin"/><Relationship Id="rId5" Type="http://schemas.openxmlformats.org/officeDocument/2006/relationships/printerSettings" Target="../printerSettings/printerSettings106.bin"/><Relationship Id="rId4" Type="http://schemas.openxmlformats.org/officeDocument/2006/relationships/printerSettings" Target="../printerSettings/printerSettings105.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09.bin"/><Relationship Id="rId2" Type="http://schemas.openxmlformats.org/officeDocument/2006/relationships/printerSettings" Target="../printerSettings/printerSettings108.bin"/><Relationship Id="rId1" Type="http://schemas.openxmlformats.org/officeDocument/2006/relationships/printerSettings" Target="../printerSettings/printerSettings107.bin"/><Relationship Id="rId6" Type="http://schemas.openxmlformats.org/officeDocument/2006/relationships/drawing" Target="../drawings/drawing9.xml"/><Relationship Id="rId5" Type="http://schemas.openxmlformats.org/officeDocument/2006/relationships/printerSettings" Target="../printerSettings/printerSettings111.bin"/><Relationship Id="rId4" Type="http://schemas.openxmlformats.org/officeDocument/2006/relationships/printerSettings" Target="../printerSettings/printerSettings110.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114.bin"/><Relationship Id="rId2" Type="http://schemas.openxmlformats.org/officeDocument/2006/relationships/printerSettings" Target="../printerSettings/printerSettings113.bin"/><Relationship Id="rId1" Type="http://schemas.openxmlformats.org/officeDocument/2006/relationships/printerSettings" Target="../printerSettings/printerSettings112.bin"/><Relationship Id="rId5" Type="http://schemas.openxmlformats.org/officeDocument/2006/relationships/printerSettings" Target="../printerSettings/printerSettings116.bin"/><Relationship Id="rId4" Type="http://schemas.openxmlformats.org/officeDocument/2006/relationships/printerSettings" Target="../printerSettings/printerSettings115.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19.bin"/><Relationship Id="rId2" Type="http://schemas.openxmlformats.org/officeDocument/2006/relationships/printerSettings" Target="../printerSettings/printerSettings118.bin"/><Relationship Id="rId1" Type="http://schemas.openxmlformats.org/officeDocument/2006/relationships/printerSettings" Target="../printerSettings/printerSettings117.bin"/><Relationship Id="rId5" Type="http://schemas.openxmlformats.org/officeDocument/2006/relationships/drawing" Target="../drawings/drawing10.xml"/><Relationship Id="rId4" Type="http://schemas.openxmlformats.org/officeDocument/2006/relationships/printerSettings" Target="../printerSettings/printerSettings120.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123.bin"/><Relationship Id="rId2" Type="http://schemas.openxmlformats.org/officeDocument/2006/relationships/printerSettings" Target="../printerSettings/printerSettings122.bin"/><Relationship Id="rId1" Type="http://schemas.openxmlformats.org/officeDocument/2006/relationships/printerSettings" Target="../printerSettings/printerSettings121.bin"/><Relationship Id="rId5" Type="http://schemas.openxmlformats.org/officeDocument/2006/relationships/printerSettings" Target="../printerSettings/printerSettings125.bin"/><Relationship Id="rId4" Type="http://schemas.openxmlformats.org/officeDocument/2006/relationships/printerSettings" Target="../printerSettings/printerSettings124.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128.bin"/><Relationship Id="rId2" Type="http://schemas.openxmlformats.org/officeDocument/2006/relationships/printerSettings" Target="../printerSettings/printerSettings127.bin"/><Relationship Id="rId1" Type="http://schemas.openxmlformats.org/officeDocument/2006/relationships/printerSettings" Target="../printerSettings/printerSettings126.bin"/><Relationship Id="rId6" Type="http://schemas.openxmlformats.org/officeDocument/2006/relationships/drawing" Target="../drawings/drawing11.xml"/><Relationship Id="rId5" Type="http://schemas.openxmlformats.org/officeDocument/2006/relationships/printerSettings" Target="../printerSettings/printerSettings130.bin"/><Relationship Id="rId4" Type="http://schemas.openxmlformats.org/officeDocument/2006/relationships/printerSettings" Target="../printerSettings/printerSettings129.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1.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134.bin"/><Relationship Id="rId2" Type="http://schemas.openxmlformats.org/officeDocument/2006/relationships/printerSettings" Target="../printerSettings/printerSettings133.bin"/><Relationship Id="rId1" Type="http://schemas.openxmlformats.org/officeDocument/2006/relationships/printerSettings" Target="../printerSettings/printerSettings132.bin"/><Relationship Id="rId5" Type="http://schemas.openxmlformats.org/officeDocument/2006/relationships/printerSettings" Target="../printerSettings/printerSettings136.bin"/><Relationship Id="rId4" Type="http://schemas.openxmlformats.org/officeDocument/2006/relationships/printerSettings" Target="../printerSettings/printerSettings135.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139.bin"/><Relationship Id="rId2" Type="http://schemas.openxmlformats.org/officeDocument/2006/relationships/printerSettings" Target="../printerSettings/printerSettings138.bin"/><Relationship Id="rId1" Type="http://schemas.openxmlformats.org/officeDocument/2006/relationships/printerSettings" Target="../printerSettings/printerSettings137.bin"/><Relationship Id="rId5" Type="http://schemas.openxmlformats.org/officeDocument/2006/relationships/printerSettings" Target="../printerSettings/printerSettings141.bin"/><Relationship Id="rId4" Type="http://schemas.openxmlformats.org/officeDocument/2006/relationships/printerSettings" Target="../printerSettings/printerSettings140.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144.bin"/><Relationship Id="rId2" Type="http://schemas.openxmlformats.org/officeDocument/2006/relationships/printerSettings" Target="../printerSettings/printerSettings143.bin"/><Relationship Id="rId1" Type="http://schemas.openxmlformats.org/officeDocument/2006/relationships/printerSettings" Target="../printerSettings/printerSettings142.bin"/><Relationship Id="rId5" Type="http://schemas.openxmlformats.org/officeDocument/2006/relationships/printerSettings" Target="../printerSettings/printerSettings146.bin"/><Relationship Id="rId4" Type="http://schemas.openxmlformats.org/officeDocument/2006/relationships/printerSettings" Target="../printerSettings/printerSettings145.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149.bin"/><Relationship Id="rId2" Type="http://schemas.openxmlformats.org/officeDocument/2006/relationships/printerSettings" Target="../printerSettings/printerSettings148.bin"/><Relationship Id="rId1" Type="http://schemas.openxmlformats.org/officeDocument/2006/relationships/printerSettings" Target="../printerSettings/printerSettings147.bin"/><Relationship Id="rId5" Type="http://schemas.openxmlformats.org/officeDocument/2006/relationships/printerSettings" Target="../printerSettings/printerSettings151.bin"/><Relationship Id="rId4" Type="http://schemas.openxmlformats.org/officeDocument/2006/relationships/printerSettings" Target="../printerSettings/printerSettings150.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154.bin"/><Relationship Id="rId2" Type="http://schemas.openxmlformats.org/officeDocument/2006/relationships/printerSettings" Target="../printerSettings/printerSettings153.bin"/><Relationship Id="rId1" Type="http://schemas.openxmlformats.org/officeDocument/2006/relationships/printerSettings" Target="../printerSettings/printerSettings152.bin"/><Relationship Id="rId6" Type="http://schemas.openxmlformats.org/officeDocument/2006/relationships/drawing" Target="../drawings/drawing13.xml"/><Relationship Id="rId5" Type="http://schemas.openxmlformats.org/officeDocument/2006/relationships/printerSettings" Target="../printerSettings/printerSettings156.bin"/><Relationship Id="rId4" Type="http://schemas.openxmlformats.org/officeDocument/2006/relationships/printerSettings" Target="../printerSettings/printerSettings155.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159.bin"/><Relationship Id="rId2" Type="http://schemas.openxmlformats.org/officeDocument/2006/relationships/printerSettings" Target="../printerSettings/printerSettings158.bin"/><Relationship Id="rId1" Type="http://schemas.openxmlformats.org/officeDocument/2006/relationships/printerSettings" Target="../printerSettings/printerSettings157.bin"/><Relationship Id="rId6" Type="http://schemas.openxmlformats.org/officeDocument/2006/relationships/drawing" Target="../drawings/drawing14.xml"/><Relationship Id="rId5" Type="http://schemas.openxmlformats.org/officeDocument/2006/relationships/printerSettings" Target="../printerSettings/printerSettings161.bin"/><Relationship Id="rId4" Type="http://schemas.openxmlformats.org/officeDocument/2006/relationships/printerSettings" Target="../printerSettings/printerSettings160.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164.bin"/><Relationship Id="rId2" Type="http://schemas.openxmlformats.org/officeDocument/2006/relationships/printerSettings" Target="../printerSettings/printerSettings163.bin"/><Relationship Id="rId1" Type="http://schemas.openxmlformats.org/officeDocument/2006/relationships/printerSettings" Target="../printerSettings/printerSettings162.bin"/><Relationship Id="rId5" Type="http://schemas.openxmlformats.org/officeDocument/2006/relationships/printerSettings" Target="../printerSettings/printerSettings166.bin"/><Relationship Id="rId4" Type="http://schemas.openxmlformats.org/officeDocument/2006/relationships/printerSettings" Target="../printerSettings/printerSettings165.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169.bin"/><Relationship Id="rId2" Type="http://schemas.openxmlformats.org/officeDocument/2006/relationships/printerSettings" Target="../printerSettings/printerSettings168.bin"/><Relationship Id="rId1" Type="http://schemas.openxmlformats.org/officeDocument/2006/relationships/printerSettings" Target="../printerSettings/printerSettings167.bin"/><Relationship Id="rId5" Type="http://schemas.openxmlformats.org/officeDocument/2006/relationships/printerSettings" Target="../printerSettings/printerSettings171.bin"/><Relationship Id="rId4" Type="http://schemas.openxmlformats.org/officeDocument/2006/relationships/printerSettings" Target="../printerSettings/printerSettings170.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174.bin"/><Relationship Id="rId2" Type="http://schemas.openxmlformats.org/officeDocument/2006/relationships/printerSettings" Target="../printerSettings/printerSettings173.bin"/><Relationship Id="rId1" Type="http://schemas.openxmlformats.org/officeDocument/2006/relationships/printerSettings" Target="../printerSettings/printerSettings172.bin"/><Relationship Id="rId4" Type="http://schemas.openxmlformats.org/officeDocument/2006/relationships/printerSettings" Target="../printerSettings/printerSettings175.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178.bin"/><Relationship Id="rId2" Type="http://schemas.openxmlformats.org/officeDocument/2006/relationships/printerSettings" Target="../printerSettings/printerSettings177.bin"/><Relationship Id="rId1" Type="http://schemas.openxmlformats.org/officeDocument/2006/relationships/printerSettings" Target="../printerSettings/printerSettings176.bin"/><Relationship Id="rId4" Type="http://schemas.openxmlformats.org/officeDocument/2006/relationships/printerSettings" Target="../printerSettings/printerSettings179.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4" Type="http://schemas.openxmlformats.org/officeDocument/2006/relationships/printerSettings" Target="../printerSettings/printerSettings28.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4" Type="http://schemas.openxmlformats.org/officeDocument/2006/relationships/printerSettings" Target="../printerSettings/printerSettings3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GO121"/>
  <sheetViews>
    <sheetView view="pageBreakPreview" zoomScaleNormal="85" zoomScaleSheetLayoutView="100" workbookViewId="0">
      <pane xSplit="43" ySplit="8" topLeftCell="AX9" activePane="bottomRight" state="frozen"/>
      <selection pane="topRight" activeCell="AR1" sqref="AR1"/>
      <selection pane="bottomLeft" activeCell="A9" sqref="A9"/>
      <selection pane="bottomRight" activeCell="AY8" sqref="AY8"/>
    </sheetView>
  </sheetViews>
  <sheetFormatPr defaultColWidth="8.77734375" defaultRowHeight="15.75"/>
  <cols>
    <col min="1" max="1" width="2.21875" style="238" customWidth="1"/>
    <col min="2" max="2" width="30.5546875" style="238" customWidth="1"/>
    <col min="3" max="12" width="8.77734375" style="238" hidden="1" customWidth="1"/>
    <col min="13" max="14" width="9.77734375" style="238" hidden="1" customWidth="1"/>
    <col min="15" max="15" width="13.44140625" style="238" hidden="1" customWidth="1"/>
    <col min="16" max="16" width="14" style="238" hidden="1" customWidth="1"/>
    <col min="17" max="17" width="14.21875" style="238" hidden="1" customWidth="1"/>
    <col min="18" max="18" width="13.21875" style="238" hidden="1" customWidth="1"/>
    <col min="19" max="19" width="15.77734375" style="238" hidden="1" customWidth="1"/>
    <col min="20" max="20" width="13.109375" style="238" hidden="1" customWidth="1"/>
    <col min="21" max="21" width="16.21875" style="238" hidden="1" customWidth="1"/>
    <col min="22" max="22" width="15.21875" style="238" hidden="1" customWidth="1"/>
    <col min="23" max="23" width="14.5546875" style="238" hidden="1" customWidth="1"/>
    <col min="24" max="24" width="14.77734375" style="238" hidden="1" customWidth="1"/>
    <col min="25" max="25" width="14.44140625" style="238" hidden="1" customWidth="1"/>
    <col min="26" max="26" width="14.5546875" style="238" hidden="1" customWidth="1"/>
    <col min="27" max="27" width="15.5546875" style="238" hidden="1" customWidth="1"/>
    <col min="28" max="30" width="15.21875" style="238" hidden="1" customWidth="1"/>
    <col min="31" max="31" width="14.21875" style="238" hidden="1" customWidth="1"/>
    <col min="32" max="32" width="15.6640625" style="238" hidden="1" customWidth="1"/>
    <col min="33" max="33" width="14.5546875" style="270" hidden="1" customWidth="1"/>
    <col min="34" max="34" width="14.5546875" style="238" hidden="1" customWidth="1"/>
    <col min="35" max="35" width="14.5546875" style="501" hidden="1" customWidth="1"/>
    <col min="36" max="36" width="15.6640625" style="238" hidden="1" customWidth="1"/>
    <col min="37" max="37" width="11.77734375" style="238" hidden="1" customWidth="1"/>
    <col min="38" max="38" width="12.44140625" style="238" hidden="1" customWidth="1"/>
    <col min="39" max="39" width="14.109375" style="238" hidden="1" customWidth="1"/>
    <col min="40" max="41" width="12" style="365" hidden="1" customWidth="1"/>
    <col min="42" max="42" width="13.44140625" style="238" hidden="1" customWidth="1"/>
    <col min="43" max="43" width="12" style="238" hidden="1" customWidth="1"/>
    <col min="44" max="46" width="12.77734375" style="238" bestFit="1" customWidth="1"/>
    <col min="47" max="47" width="14.109375" style="238" customWidth="1"/>
    <col min="48" max="48" width="14.77734375" style="238" bestFit="1" customWidth="1"/>
    <col min="49" max="49" width="16.21875" style="238" customWidth="1"/>
    <col min="50" max="50" width="14.5546875" style="238" bestFit="1" customWidth="1"/>
    <col min="51" max="52" width="12" style="238" bestFit="1" customWidth="1"/>
    <col min="53" max="16384" width="8.77734375" style="238"/>
  </cols>
  <sheetData>
    <row r="3" spans="2:197">
      <c r="B3" s="276" t="s">
        <v>1171</v>
      </c>
      <c r="C3" s="354"/>
      <c r="D3" s="354"/>
      <c r="E3" s="354"/>
      <c r="F3" s="354"/>
      <c r="G3" s="354"/>
      <c r="H3" s="354"/>
    </row>
    <row r="4" spans="2:197">
      <c r="B4" s="355" t="s">
        <v>1</v>
      </c>
      <c r="C4" s="355"/>
      <c r="D4" s="355"/>
      <c r="E4" s="355"/>
      <c r="F4" s="355"/>
      <c r="G4" s="355"/>
      <c r="H4" s="355"/>
      <c r="I4" s="355"/>
      <c r="J4" s="355"/>
      <c r="K4" s="355"/>
      <c r="L4" s="355"/>
      <c r="M4" s="355"/>
      <c r="N4" s="355"/>
      <c r="O4" s="355"/>
      <c r="P4" s="355"/>
      <c r="Q4" s="355"/>
      <c r="R4" s="355"/>
      <c r="S4" s="355"/>
      <c r="T4" s="355"/>
      <c r="U4" s="355"/>
      <c r="V4" s="355"/>
      <c r="W4" s="355"/>
      <c r="X4" s="355"/>
      <c r="Y4" s="355"/>
      <c r="Z4" s="355"/>
      <c r="AA4" s="355"/>
      <c r="AB4" s="355"/>
      <c r="AC4" s="355"/>
      <c r="AD4" s="355"/>
      <c r="AE4" s="355"/>
      <c r="AF4" s="355"/>
      <c r="AG4" s="571"/>
      <c r="AH4" s="355"/>
      <c r="AI4" s="548"/>
      <c r="AJ4" s="355"/>
      <c r="AK4" s="355"/>
      <c r="AL4" s="355"/>
      <c r="AM4" s="355"/>
      <c r="AN4" s="578"/>
      <c r="AO4" s="578"/>
      <c r="AP4" s="355"/>
      <c r="AQ4" s="355"/>
      <c r="AR4" s="355"/>
      <c r="AS4" s="355"/>
      <c r="AT4" s="355"/>
      <c r="AU4" s="355"/>
      <c r="AV4" s="355"/>
      <c r="AW4" s="355"/>
      <c r="AX4" s="355"/>
      <c r="AY4" s="355"/>
      <c r="AZ4" s="355"/>
      <c r="BA4" s="355"/>
      <c r="BB4" s="355"/>
      <c r="BC4" s="355"/>
      <c r="BD4" s="355"/>
      <c r="BE4" s="355"/>
      <c r="BF4" s="355"/>
      <c r="BG4" s="355"/>
      <c r="BH4" s="355"/>
      <c r="BI4" s="355"/>
      <c r="BJ4" s="355"/>
      <c r="BK4" s="355"/>
      <c r="BL4" s="355"/>
      <c r="BM4" s="355"/>
      <c r="BN4" s="355"/>
      <c r="BO4" s="355"/>
      <c r="BP4" s="355"/>
      <c r="BQ4" s="355"/>
      <c r="BR4" s="355"/>
      <c r="BS4" s="355"/>
      <c r="BT4" s="355"/>
      <c r="BU4" s="355"/>
      <c r="BV4" s="355"/>
      <c r="BW4" s="355"/>
      <c r="BX4" s="355"/>
      <c r="BY4" s="355"/>
      <c r="BZ4" s="355"/>
      <c r="CA4" s="355"/>
      <c r="CB4" s="355"/>
      <c r="CC4" s="355"/>
      <c r="CD4" s="355"/>
      <c r="CE4" s="355"/>
      <c r="CF4" s="355"/>
      <c r="CG4" s="355"/>
      <c r="CH4" s="355"/>
      <c r="CI4" s="355"/>
      <c r="CJ4" s="355"/>
      <c r="CK4" s="355"/>
      <c r="CL4" s="355"/>
      <c r="CM4" s="355"/>
      <c r="CN4" s="355"/>
      <c r="CO4" s="355"/>
      <c r="CP4" s="355"/>
      <c r="CQ4" s="355"/>
      <c r="CR4" s="355"/>
      <c r="CS4" s="355"/>
      <c r="CT4" s="355"/>
      <c r="CU4" s="355"/>
      <c r="CV4" s="355"/>
      <c r="CW4" s="355"/>
      <c r="CX4" s="355"/>
      <c r="CY4" s="355"/>
      <c r="CZ4" s="355"/>
      <c r="DA4" s="355"/>
      <c r="DB4" s="355"/>
      <c r="DC4" s="355"/>
      <c r="DD4" s="355"/>
      <c r="DE4" s="355"/>
      <c r="DF4" s="355"/>
      <c r="DG4" s="355"/>
      <c r="DH4" s="355"/>
      <c r="DI4" s="355"/>
      <c r="DJ4" s="355"/>
      <c r="DK4" s="355"/>
      <c r="DL4" s="355"/>
      <c r="DM4" s="355"/>
      <c r="DN4" s="355"/>
      <c r="DO4" s="355"/>
      <c r="DP4" s="355"/>
      <c r="DQ4" s="355"/>
      <c r="DR4" s="355"/>
      <c r="DS4" s="355"/>
      <c r="DT4" s="355"/>
      <c r="DU4" s="355"/>
      <c r="DV4" s="355"/>
      <c r="DW4" s="355"/>
      <c r="DX4" s="355"/>
      <c r="DY4" s="355"/>
      <c r="DZ4" s="355"/>
      <c r="EA4" s="355"/>
      <c r="EB4" s="355"/>
      <c r="EC4" s="355"/>
      <c r="ED4" s="355"/>
      <c r="EE4" s="355"/>
      <c r="EF4" s="355"/>
      <c r="EG4" s="355"/>
      <c r="EH4" s="355"/>
      <c r="EI4" s="355"/>
      <c r="EJ4" s="355"/>
      <c r="EK4" s="355"/>
      <c r="EL4" s="355"/>
      <c r="EM4" s="355"/>
      <c r="EN4" s="355"/>
      <c r="EO4" s="355"/>
      <c r="EP4" s="355"/>
      <c r="EQ4" s="355"/>
      <c r="ER4" s="355"/>
      <c r="ES4" s="355"/>
      <c r="ET4" s="355"/>
      <c r="EU4" s="355"/>
      <c r="EV4" s="355"/>
      <c r="EW4" s="355"/>
      <c r="EX4" s="355"/>
      <c r="EY4" s="355"/>
      <c r="EZ4" s="355"/>
      <c r="FA4" s="355"/>
      <c r="FB4" s="355"/>
      <c r="FC4" s="355"/>
      <c r="FD4" s="355"/>
      <c r="FE4" s="355"/>
      <c r="FF4" s="355"/>
      <c r="FG4" s="355"/>
      <c r="FH4" s="355"/>
      <c r="FI4" s="355"/>
      <c r="FJ4" s="355"/>
      <c r="FK4" s="355"/>
      <c r="FL4" s="355"/>
      <c r="FM4" s="355"/>
      <c r="FN4" s="355"/>
      <c r="FO4" s="355"/>
      <c r="FP4" s="355"/>
      <c r="FQ4" s="355"/>
      <c r="FR4" s="355"/>
      <c r="FS4" s="355"/>
      <c r="FT4" s="355"/>
      <c r="FU4" s="355"/>
      <c r="FV4" s="355"/>
      <c r="FW4" s="355"/>
      <c r="FX4" s="355"/>
      <c r="FY4" s="355"/>
      <c r="FZ4" s="355"/>
      <c r="GA4" s="355"/>
      <c r="GB4" s="355"/>
      <c r="GC4" s="355"/>
      <c r="GD4" s="355"/>
      <c r="GE4" s="355"/>
      <c r="GF4" s="355"/>
      <c r="GG4" s="355"/>
      <c r="GH4" s="355"/>
      <c r="GI4" s="355"/>
      <c r="GJ4" s="355"/>
      <c r="GK4" s="355"/>
      <c r="GL4" s="355"/>
      <c r="GM4" s="355"/>
      <c r="GN4" s="355"/>
      <c r="GO4" s="355"/>
    </row>
    <row r="5" spans="2:197">
      <c r="B5" s="354"/>
      <c r="C5" s="354"/>
      <c r="D5" s="354"/>
      <c r="E5" s="354"/>
      <c r="F5" s="354"/>
      <c r="G5" s="354"/>
      <c r="H5" s="354"/>
    </row>
    <row r="6" spans="2:197" ht="16.5" thickBot="1">
      <c r="B6" s="354"/>
      <c r="C6" s="354"/>
      <c r="D6" s="354"/>
      <c r="E6" s="354"/>
      <c r="F6" s="354"/>
      <c r="G6" s="354"/>
      <c r="H6" s="354"/>
    </row>
    <row r="7" spans="2:197" ht="17.25" thickTop="1" thickBot="1">
      <c r="B7" s="518"/>
      <c r="C7" s="1877">
        <v>2009</v>
      </c>
      <c r="D7" s="1878"/>
      <c r="E7" s="1878"/>
      <c r="F7" s="1878"/>
      <c r="G7" s="1878"/>
      <c r="H7" s="1878"/>
      <c r="I7" s="1878"/>
      <c r="J7" s="1878"/>
      <c r="K7" s="1878"/>
      <c r="L7" s="1878"/>
      <c r="M7" s="1878"/>
      <c r="N7" s="1878"/>
      <c r="O7" s="1879">
        <v>2010</v>
      </c>
      <c r="P7" s="1880"/>
      <c r="Q7" s="1880"/>
      <c r="R7" s="1880"/>
      <c r="S7" s="1880"/>
      <c r="T7" s="1880"/>
      <c r="U7" s="1880"/>
      <c r="V7" s="1880"/>
      <c r="W7" s="1880"/>
      <c r="X7" s="1880"/>
      <c r="Y7" s="1880"/>
      <c r="Z7" s="1880"/>
      <c r="AA7" s="1879">
        <v>2011</v>
      </c>
      <c r="AB7" s="1880"/>
      <c r="AC7" s="1880"/>
      <c r="AD7" s="537"/>
      <c r="AE7" s="558"/>
      <c r="AF7" s="550"/>
      <c r="AG7" s="574"/>
      <c r="AH7" s="550"/>
      <c r="AI7" s="551"/>
      <c r="AJ7" s="550"/>
      <c r="AK7" s="550"/>
      <c r="AL7" s="550"/>
      <c r="AM7" s="582">
        <v>2012</v>
      </c>
      <c r="AN7" s="588"/>
      <c r="AO7" s="588"/>
    </row>
    <row r="8" spans="2:197" s="358" customFormat="1" ht="17.25" thickTop="1" thickBot="1">
      <c r="B8" s="519"/>
      <c r="C8" s="356" t="s">
        <v>345</v>
      </c>
      <c r="D8" s="356" t="s">
        <v>334</v>
      </c>
      <c r="E8" s="356" t="s">
        <v>335</v>
      </c>
      <c r="F8" s="356" t="s">
        <v>336</v>
      </c>
      <c r="G8" s="356" t="s">
        <v>337</v>
      </c>
      <c r="H8" s="356" t="s">
        <v>346</v>
      </c>
      <c r="I8" s="356" t="s">
        <v>347</v>
      </c>
      <c r="J8" s="356" t="s">
        <v>12</v>
      </c>
      <c r="K8" s="356" t="s">
        <v>13</v>
      </c>
      <c r="L8" s="356" t="s">
        <v>14</v>
      </c>
      <c r="M8" s="357" t="s">
        <v>15</v>
      </c>
      <c r="N8" s="526" t="s">
        <v>16</v>
      </c>
      <c r="O8" s="527" t="s">
        <v>8</v>
      </c>
      <c r="P8" s="528" t="s">
        <v>9</v>
      </c>
      <c r="Q8" s="528" t="s">
        <v>10</v>
      </c>
      <c r="R8" s="528" t="s">
        <v>11</v>
      </c>
      <c r="S8" s="528" t="s">
        <v>337</v>
      </c>
      <c r="T8" s="528" t="s">
        <v>346</v>
      </c>
      <c r="U8" s="528" t="s">
        <v>347</v>
      </c>
      <c r="V8" s="528" t="s">
        <v>12</v>
      </c>
      <c r="W8" s="528" t="s">
        <v>13</v>
      </c>
      <c r="X8" s="528" t="s">
        <v>14</v>
      </c>
      <c r="Y8" s="528" t="s">
        <v>15</v>
      </c>
      <c r="Z8" s="528" t="s">
        <v>16</v>
      </c>
      <c r="AA8" s="529" t="s">
        <v>8</v>
      </c>
      <c r="AB8" s="528" t="s">
        <v>9</v>
      </c>
      <c r="AC8" s="528" t="s">
        <v>10</v>
      </c>
      <c r="AD8" s="528" t="s">
        <v>11</v>
      </c>
      <c r="AE8" s="528" t="s">
        <v>337</v>
      </c>
      <c r="AF8" s="552" t="s">
        <v>346</v>
      </c>
      <c r="AG8" s="572" t="s">
        <v>347</v>
      </c>
      <c r="AH8" s="553" t="s">
        <v>12</v>
      </c>
      <c r="AI8" s="552" t="s">
        <v>13</v>
      </c>
      <c r="AJ8" s="553" t="s">
        <v>14</v>
      </c>
      <c r="AK8" s="553" t="s">
        <v>15</v>
      </c>
      <c r="AL8" s="553" t="s">
        <v>16</v>
      </c>
      <c r="AM8" s="583" t="s">
        <v>8</v>
      </c>
      <c r="AN8" s="589" t="s">
        <v>9</v>
      </c>
      <c r="AO8" s="589" t="s">
        <v>10</v>
      </c>
      <c r="AP8" s="583" t="s">
        <v>11</v>
      </c>
      <c r="AQ8" s="583" t="s">
        <v>337</v>
      </c>
      <c r="AR8" s="549" t="s">
        <v>346</v>
      </c>
      <c r="AS8" s="598" t="s">
        <v>347</v>
      </c>
      <c r="AT8" s="586" t="s">
        <v>12</v>
      </c>
      <c r="AU8" s="549" t="s">
        <v>13</v>
      </c>
      <c r="AV8" s="586" t="s">
        <v>14</v>
      </c>
      <c r="AW8" s="586" t="s">
        <v>15</v>
      </c>
      <c r="AX8" s="636" t="s">
        <v>16</v>
      </c>
      <c r="AY8" s="636" t="s">
        <v>8</v>
      </c>
      <c r="AZ8" s="636">
        <v>2013</v>
      </c>
    </row>
    <row r="9" spans="2:197" ht="15" customHeight="1" thickTop="1">
      <c r="B9" s="520"/>
      <c r="C9" s="359"/>
      <c r="D9" s="359"/>
      <c r="E9" s="359"/>
      <c r="F9" s="359"/>
      <c r="G9" s="359"/>
      <c r="H9" s="359"/>
      <c r="I9" s="360"/>
      <c r="J9" s="360"/>
      <c r="K9" s="360"/>
      <c r="L9" s="360"/>
      <c r="M9" s="360"/>
      <c r="N9" s="494"/>
      <c r="O9" s="510"/>
      <c r="Z9" s="505"/>
      <c r="AM9" s="361"/>
      <c r="AN9" s="590"/>
      <c r="AO9" s="590"/>
      <c r="AS9" s="361"/>
      <c r="AT9" s="361"/>
      <c r="AX9" s="637"/>
      <c r="AY9" s="637"/>
      <c r="AZ9" s="637" t="s">
        <v>9</v>
      </c>
    </row>
    <row r="10" spans="2:197">
      <c r="B10" s="520"/>
      <c r="C10" s="362"/>
      <c r="D10" s="362"/>
      <c r="E10" s="362"/>
      <c r="F10" s="362"/>
      <c r="G10" s="362"/>
      <c r="H10" s="362"/>
      <c r="I10" s="361"/>
      <c r="J10" s="361"/>
      <c r="K10" s="361"/>
      <c r="L10" s="361"/>
      <c r="M10" s="361"/>
      <c r="N10" s="499"/>
      <c r="O10" s="504"/>
      <c r="P10" s="501"/>
      <c r="Q10" s="501"/>
      <c r="R10" s="502"/>
      <c r="S10" s="502"/>
      <c r="Z10" s="505"/>
      <c r="AM10" s="361"/>
      <c r="AN10" s="584"/>
      <c r="AO10" s="584"/>
      <c r="AS10" s="584"/>
      <c r="AT10" s="584"/>
      <c r="AU10" s="365"/>
      <c r="AX10" s="637"/>
      <c r="AY10" s="637"/>
      <c r="AZ10" s="637"/>
    </row>
    <row r="11" spans="2:197">
      <c r="B11" s="520" t="s">
        <v>901</v>
      </c>
      <c r="C11" s="362">
        <v>1241.6438999999998</v>
      </c>
      <c r="D11" s="362">
        <v>2700.2882999999997</v>
      </c>
      <c r="E11" s="362">
        <v>2802.2808</v>
      </c>
      <c r="F11" s="362">
        <v>164.44570000000002</v>
      </c>
      <c r="G11" s="362">
        <v>164.44570000000002</v>
      </c>
      <c r="H11" s="362">
        <v>174.71979999999999</v>
      </c>
      <c r="I11" s="362">
        <v>181.63054</v>
      </c>
      <c r="J11" s="362">
        <v>180.72848000000002</v>
      </c>
      <c r="K11" s="362">
        <v>189.39839999999998</v>
      </c>
      <c r="L11" s="362">
        <v>188.62954000000002</v>
      </c>
      <c r="M11" s="362">
        <v>189.42063000000002</v>
      </c>
      <c r="N11" s="499">
        <v>185.23675</v>
      </c>
      <c r="O11" s="504">
        <v>186.12769</v>
      </c>
      <c r="P11" s="501">
        <v>183.89671999999999</v>
      </c>
      <c r="Q11" s="501">
        <v>184.33384000000001</v>
      </c>
      <c r="R11" s="502">
        <v>183.9</v>
      </c>
      <c r="S11" s="502">
        <v>177.5</v>
      </c>
      <c r="T11" s="502">
        <v>175.92579999999998</v>
      </c>
      <c r="U11" s="502">
        <v>180.21922000000001</v>
      </c>
      <c r="V11" s="502">
        <v>637.68434999999999</v>
      </c>
      <c r="W11" s="502">
        <v>186.82509999999999</v>
      </c>
      <c r="X11" s="502">
        <v>185.15757000000002</v>
      </c>
      <c r="Y11" s="502">
        <v>182.40470999999999</v>
      </c>
      <c r="Z11" s="506">
        <v>186.80159</v>
      </c>
      <c r="AA11" s="354">
        <v>182.73073000000002</v>
      </c>
      <c r="AB11" s="354">
        <v>184.57424</v>
      </c>
      <c r="AC11" s="354">
        <v>147.16540000000001</v>
      </c>
      <c r="AD11" s="354">
        <v>149.4547</v>
      </c>
      <c r="AE11" s="559">
        <v>146.94207999999998</v>
      </c>
      <c r="AF11" s="365">
        <v>147.9</v>
      </c>
      <c r="AG11" s="270">
        <v>150.88989000000001</v>
      </c>
      <c r="AH11" s="364">
        <v>150.88989000000001</v>
      </c>
      <c r="AI11" s="238">
        <v>120.61131</v>
      </c>
      <c r="AJ11" s="565">
        <v>94.7</v>
      </c>
      <c r="AK11" s="238">
        <v>79.7</v>
      </c>
      <c r="AL11" s="238">
        <v>80.5</v>
      </c>
      <c r="AM11" s="584">
        <v>82.4</v>
      </c>
      <c r="AN11" s="584">
        <v>84.37227</v>
      </c>
      <c r="AO11" s="584">
        <v>83.046639999999996</v>
      </c>
      <c r="AP11" s="364">
        <v>82.867369999999994</v>
      </c>
      <c r="AQ11" s="238">
        <v>78.599999999999994</v>
      </c>
      <c r="AR11" s="238">
        <v>79.7</v>
      </c>
      <c r="AS11" s="584">
        <v>80.087890000000002</v>
      </c>
      <c r="AT11" s="584">
        <v>80.909270000000006</v>
      </c>
      <c r="AU11" s="365">
        <v>82.1</v>
      </c>
      <c r="AV11" s="238">
        <v>80.7</v>
      </c>
      <c r="AW11" s="238">
        <v>79.599999999999994</v>
      </c>
      <c r="AX11" s="637">
        <v>80.8</v>
      </c>
      <c r="AY11" s="637">
        <v>78.599999999999994</v>
      </c>
      <c r="AZ11" s="637">
        <v>78.342550000000003</v>
      </c>
    </row>
    <row r="12" spans="2:197">
      <c r="B12" s="520"/>
      <c r="C12" s="362"/>
      <c r="D12" s="362"/>
      <c r="E12" s="362"/>
      <c r="F12" s="362"/>
      <c r="G12" s="362"/>
      <c r="H12" s="362"/>
      <c r="I12" s="361"/>
      <c r="J12" s="361"/>
      <c r="K12" s="361"/>
      <c r="L12" s="361"/>
      <c r="M12" s="361"/>
      <c r="N12" s="499"/>
      <c r="O12" s="504"/>
      <c r="P12" s="501"/>
      <c r="Q12" s="501"/>
      <c r="R12" s="502"/>
      <c r="S12" s="502"/>
      <c r="Z12" s="505"/>
      <c r="AA12" s="354"/>
      <c r="AB12" s="354"/>
      <c r="AC12" s="354"/>
      <c r="AD12" s="354"/>
      <c r="AE12" s="559"/>
      <c r="AF12" s="365"/>
      <c r="AH12" s="364"/>
      <c r="AI12" s="238"/>
      <c r="AJ12" s="565"/>
      <c r="AM12" s="584"/>
      <c r="AN12" s="584"/>
      <c r="AO12" s="584"/>
      <c r="AP12" s="364"/>
      <c r="AS12" s="584"/>
      <c r="AT12" s="584"/>
      <c r="AU12" s="365"/>
      <c r="AX12" s="637"/>
      <c r="AY12" s="637"/>
      <c r="AZ12" s="637"/>
    </row>
    <row r="13" spans="2:197" ht="15.6" customHeight="1">
      <c r="B13" s="520" t="s">
        <v>902</v>
      </c>
      <c r="C13" s="362">
        <v>3.3000000000000002E-2</v>
      </c>
      <c r="D13" s="362">
        <v>0</v>
      </c>
      <c r="E13" s="362">
        <v>0</v>
      </c>
      <c r="F13" s="362">
        <v>0</v>
      </c>
      <c r="G13" s="362">
        <v>0</v>
      </c>
      <c r="H13" s="362">
        <v>0</v>
      </c>
      <c r="I13" s="362">
        <v>0</v>
      </c>
      <c r="J13" s="362">
        <v>0</v>
      </c>
      <c r="K13" s="362">
        <v>0</v>
      </c>
      <c r="L13" s="362">
        <v>0</v>
      </c>
      <c r="M13" s="362">
        <v>0</v>
      </c>
      <c r="N13" s="499">
        <v>0</v>
      </c>
      <c r="O13" s="504">
        <v>0</v>
      </c>
      <c r="P13" s="501">
        <v>0</v>
      </c>
      <c r="Q13" s="501">
        <v>0</v>
      </c>
      <c r="R13" s="501">
        <v>0</v>
      </c>
      <c r="S13" s="501">
        <v>0</v>
      </c>
      <c r="T13" s="238">
        <v>0</v>
      </c>
      <c r="U13" s="238">
        <v>0</v>
      </c>
      <c r="V13" s="238">
        <v>0</v>
      </c>
      <c r="W13" s="238">
        <v>0</v>
      </c>
      <c r="X13" s="238">
        <v>0</v>
      </c>
      <c r="Y13" s="238">
        <v>0</v>
      </c>
      <c r="Z13" s="505">
        <v>0</v>
      </c>
      <c r="AA13" s="354"/>
      <c r="AB13" s="495"/>
      <c r="AC13" s="354"/>
      <c r="AD13" s="354"/>
      <c r="AE13" s="559">
        <v>0</v>
      </c>
      <c r="AF13" s="365">
        <v>0</v>
      </c>
      <c r="AG13" s="270">
        <v>0</v>
      </c>
      <c r="AH13" s="364">
        <v>0</v>
      </c>
      <c r="AI13" s="238">
        <v>0</v>
      </c>
      <c r="AJ13" s="565">
        <v>0</v>
      </c>
      <c r="AK13" s="238">
        <v>0</v>
      </c>
      <c r="AL13" s="238">
        <v>0</v>
      </c>
      <c r="AM13" s="584">
        <v>0</v>
      </c>
      <c r="AN13" s="584">
        <v>0</v>
      </c>
      <c r="AO13" s="584">
        <v>0</v>
      </c>
      <c r="AP13" s="364">
        <v>0</v>
      </c>
      <c r="AS13" s="584">
        <v>0</v>
      </c>
      <c r="AT13" s="584">
        <v>0</v>
      </c>
      <c r="AU13" s="365"/>
      <c r="AX13" s="637"/>
      <c r="AY13" s="637"/>
      <c r="AZ13" s="637"/>
    </row>
    <row r="14" spans="2:197" ht="15.6" customHeight="1">
      <c r="B14" s="520"/>
      <c r="C14" s="362"/>
      <c r="D14" s="362"/>
      <c r="E14" s="362"/>
      <c r="F14" s="362"/>
      <c r="G14" s="362"/>
      <c r="H14" s="362"/>
      <c r="I14" s="362"/>
      <c r="J14" s="362"/>
      <c r="K14" s="362"/>
      <c r="L14" s="362"/>
      <c r="M14" s="362"/>
      <c r="N14" s="499"/>
      <c r="O14" s="504"/>
      <c r="P14" s="501"/>
      <c r="Q14" s="501"/>
      <c r="R14" s="502"/>
      <c r="S14" s="502"/>
      <c r="Z14" s="505"/>
      <c r="AA14" s="354"/>
      <c r="AB14" s="495"/>
      <c r="AC14" s="354"/>
      <c r="AD14" s="354"/>
      <c r="AE14" s="559"/>
      <c r="AF14" s="365"/>
      <c r="AH14" s="364"/>
      <c r="AI14" s="238"/>
      <c r="AJ14" s="565"/>
      <c r="AM14" s="584"/>
      <c r="AN14" s="584"/>
      <c r="AO14" s="584"/>
      <c r="AP14" s="364"/>
      <c r="AS14" s="584"/>
      <c r="AT14" s="584"/>
      <c r="AU14" s="365"/>
      <c r="AX14" s="637"/>
      <c r="AY14" s="637"/>
      <c r="AZ14" s="637"/>
    </row>
    <row r="15" spans="2:197">
      <c r="B15" s="520" t="s">
        <v>903</v>
      </c>
      <c r="C15" s="362">
        <v>240827.03810999999</v>
      </c>
      <c r="D15" s="362">
        <v>199135.72355000002</v>
      </c>
      <c r="E15" s="362">
        <v>219032.03739999997</v>
      </c>
      <c r="F15" s="362">
        <v>334856.19175</v>
      </c>
      <c r="G15" s="362">
        <v>378402.07061000005</v>
      </c>
      <c r="H15" s="362">
        <v>429261.53766000003</v>
      </c>
      <c r="I15" s="362">
        <v>445891.17337000003</v>
      </c>
      <c r="J15" s="362">
        <v>490397.00277999992</v>
      </c>
      <c r="K15" s="362">
        <v>715226.57705000008</v>
      </c>
      <c r="L15" s="362">
        <v>708288.98702</v>
      </c>
      <c r="M15" s="362">
        <v>918078.82081000006</v>
      </c>
      <c r="N15" s="499">
        <v>996286.87505999999</v>
      </c>
      <c r="O15" s="504">
        <v>1017063.5750000001</v>
      </c>
      <c r="P15" s="501">
        <v>1059359.54266</v>
      </c>
      <c r="Q15" s="501">
        <v>1089093.78978</v>
      </c>
      <c r="R15" s="502">
        <v>1060279.6000000001</v>
      </c>
      <c r="S15" s="502">
        <v>1111776.8</v>
      </c>
      <c r="T15" s="501">
        <v>981083.61543000012</v>
      </c>
      <c r="U15" s="501">
        <v>1094830.41059</v>
      </c>
      <c r="V15" s="501">
        <v>1152105.77884</v>
      </c>
      <c r="W15" s="501">
        <v>1303252.2750000001</v>
      </c>
      <c r="X15" s="501">
        <v>1087312.9475500002</v>
      </c>
      <c r="Y15" s="501">
        <v>1247522.68927</v>
      </c>
      <c r="Z15" s="507">
        <v>1230648.3035500001</v>
      </c>
      <c r="AA15" s="497">
        <v>1332735.2093800001</v>
      </c>
      <c r="AB15" s="497">
        <v>1318087.8314</v>
      </c>
      <c r="AC15" s="497">
        <v>1404687.9784999997</v>
      </c>
      <c r="AD15" s="497">
        <v>1420934.0118300002</v>
      </c>
      <c r="AE15" s="559">
        <v>1490266.9282</v>
      </c>
      <c r="AF15" s="365">
        <v>1566927.5</v>
      </c>
      <c r="AG15" s="270">
        <v>1678077.78578</v>
      </c>
      <c r="AH15" s="364">
        <v>1678077.78578</v>
      </c>
      <c r="AI15" s="238">
        <v>1671826.9311300002</v>
      </c>
      <c r="AJ15" s="565">
        <v>1654304.4</v>
      </c>
      <c r="AK15" s="238">
        <v>1547564.1</v>
      </c>
      <c r="AL15" s="238">
        <v>1738095.6</v>
      </c>
      <c r="AM15" s="584">
        <v>1736975.1</v>
      </c>
      <c r="AN15" s="584">
        <v>1892187.09616</v>
      </c>
      <c r="AO15" s="584">
        <v>1855658.5507599998</v>
      </c>
      <c r="AP15" s="364">
        <v>1833486.4369600001</v>
      </c>
      <c r="AQ15" s="238">
        <v>1804232.7</v>
      </c>
      <c r="AR15" s="597">
        <v>1815912.3</v>
      </c>
      <c r="AS15" s="584">
        <v>1875149.3214400001</v>
      </c>
      <c r="AT15" s="584">
        <v>1826752.4008971031</v>
      </c>
      <c r="AU15" s="365">
        <v>1869138.7</v>
      </c>
      <c r="AV15" s="238">
        <v>1894495.7</v>
      </c>
      <c r="AW15" s="238">
        <v>1804260.4</v>
      </c>
      <c r="AX15" s="638">
        <v>1981218.7</v>
      </c>
      <c r="AY15" s="638">
        <v>1924517.4</v>
      </c>
      <c r="AZ15" s="638">
        <v>1875465.3563099999</v>
      </c>
    </row>
    <row r="16" spans="2:197">
      <c r="B16" s="520"/>
      <c r="C16" s="362"/>
      <c r="D16" s="362"/>
      <c r="E16" s="362"/>
      <c r="F16" s="362"/>
      <c r="G16" s="362"/>
      <c r="H16" s="362"/>
      <c r="I16" s="362"/>
      <c r="J16" s="362"/>
      <c r="K16" s="362"/>
      <c r="L16" s="362"/>
      <c r="M16" s="362"/>
      <c r="N16" s="499"/>
      <c r="O16" s="504"/>
      <c r="P16" s="501"/>
      <c r="Q16" s="501"/>
      <c r="R16" s="502"/>
      <c r="S16" s="502"/>
      <c r="Z16" s="505"/>
      <c r="AA16" s="354"/>
      <c r="AB16" s="354"/>
      <c r="AC16" s="354"/>
      <c r="AD16" s="354"/>
      <c r="AE16" s="559"/>
      <c r="AF16" s="365"/>
      <c r="AH16" s="364"/>
      <c r="AI16" s="238"/>
      <c r="AJ16" s="565"/>
      <c r="AM16" s="584"/>
      <c r="AN16" s="584"/>
      <c r="AO16" s="584"/>
      <c r="AP16" s="364"/>
      <c r="AR16" s="597"/>
      <c r="AS16" s="584"/>
      <c r="AT16" s="584"/>
      <c r="AU16" s="365"/>
      <c r="AX16" s="637"/>
      <c r="AY16" s="637"/>
      <c r="AZ16" s="637"/>
    </row>
    <row r="17" spans="2:52">
      <c r="B17" s="520" t="s">
        <v>904</v>
      </c>
      <c r="C17" s="362">
        <v>13524.329502023</v>
      </c>
      <c r="D17" s="362">
        <v>14472.723582494</v>
      </c>
      <c r="E17" s="362">
        <v>19731.245000000003</v>
      </c>
      <c r="F17" s="362">
        <v>24508.968000000001</v>
      </c>
      <c r="G17" s="362">
        <v>29270.764999999999</v>
      </c>
      <c r="H17" s="362">
        <v>30083.706999999999</v>
      </c>
      <c r="I17" s="362">
        <v>32686.102999999999</v>
      </c>
      <c r="J17" s="362">
        <v>33487.052000000003</v>
      </c>
      <c r="K17" s="362">
        <v>27898.294000000002</v>
      </c>
      <c r="L17" s="362">
        <v>36053.974000000002</v>
      </c>
      <c r="M17" s="362">
        <v>45848.142999999996</v>
      </c>
      <c r="N17" s="499">
        <v>36033.760999999999</v>
      </c>
      <c r="O17" s="504">
        <v>42573.781999999999</v>
      </c>
      <c r="P17" s="501">
        <v>41669.940999999999</v>
      </c>
      <c r="Q17" s="501">
        <v>70376.366999999998</v>
      </c>
      <c r="R17" s="502">
        <v>63697.2</v>
      </c>
      <c r="S17" s="502">
        <v>72188.600000000006</v>
      </c>
      <c r="T17" s="501">
        <v>72216.688999999998</v>
      </c>
      <c r="U17" s="501">
        <v>78612.312640000004</v>
      </c>
      <c r="V17" s="501">
        <v>87204.807560000001</v>
      </c>
      <c r="W17" s="501">
        <v>69532.695000000007</v>
      </c>
      <c r="X17" s="501">
        <v>76988.791060000003</v>
      </c>
      <c r="Y17" s="501">
        <v>93823.357952677703</v>
      </c>
      <c r="Z17" s="507">
        <v>141199.95000000001</v>
      </c>
      <c r="AA17" s="497">
        <v>93982.43021000002</v>
      </c>
      <c r="AB17" s="497">
        <v>76877.022830000002</v>
      </c>
      <c r="AC17" s="497">
        <v>84758.240999999995</v>
      </c>
      <c r="AD17" s="497">
        <v>92688.205999999991</v>
      </c>
      <c r="AE17" s="559">
        <v>88038.262000000002</v>
      </c>
      <c r="AF17" s="365">
        <v>134687.5</v>
      </c>
      <c r="AG17" s="270">
        <v>128766.24800000001</v>
      </c>
      <c r="AH17" s="364">
        <v>128766.24800000001</v>
      </c>
      <c r="AI17" s="238">
        <v>144471.79728999999</v>
      </c>
      <c r="AJ17" s="565">
        <v>143599.29999999999</v>
      </c>
      <c r="AK17" s="238">
        <v>153442.6</v>
      </c>
      <c r="AL17" s="238">
        <v>106850.7</v>
      </c>
      <c r="AM17" s="584">
        <v>134666.79999999999</v>
      </c>
      <c r="AN17" s="584">
        <v>120552.355</v>
      </c>
      <c r="AO17" s="584">
        <v>70044.353999999992</v>
      </c>
      <c r="AP17" s="364">
        <v>89097.383000000002</v>
      </c>
      <c r="AQ17" s="238">
        <v>84714.9</v>
      </c>
      <c r="AR17" s="597">
        <v>136052.5</v>
      </c>
      <c r="AS17" s="584">
        <v>110778.95799999998</v>
      </c>
      <c r="AT17" s="584">
        <v>106955.13199999998</v>
      </c>
      <c r="AU17" s="365">
        <v>102471</v>
      </c>
      <c r="AV17" s="238">
        <v>112805.6</v>
      </c>
      <c r="AW17" s="238">
        <v>105260.2</v>
      </c>
      <c r="AX17" s="638">
        <v>108094.736</v>
      </c>
      <c r="AY17" s="638">
        <v>106935.2</v>
      </c>
      <c r="AZ17" s="638">
        <v>102797.68699999999</v>
      </c>
    </row>
    <row r="18" spans="2:52">
      <c r="B18" s="520"/>
      <c r="C18" s="362"/>
      <c r="D18" s="362"/>
      <c r="E18" s="362"/>
      <c r="F18" s="362"/>
      <c r="G18" s="362"/>
      <c r="H18" s="362"/>
      <c r="I18" s="362"/>
      <c r="J18" s="362"/>
      <c r="K18" s="362"/>
      <c r="L18" s="362"/>
      <c r="M18" s="362"/>
      <c r="N18" s="499"/>
      <c r="O18" s="504"/>
      <c r="P18" s="501"/>
      <c r="Q18" s="501"/>
      <c r="R18" s="502"/>
      <c r="S18" s="502"/>
      <c r="Z18" s="505"/>
      <c r="AA18" s="354"/>
      <c r="AB18" s="354"/>
      <c r="AC18" s="354"/>
      <c r="AD18" s="354"/>
      <c r="AH18" s="364"/>
      <c r="AI18" s="238"/>
      <c r="AJ18" s="565"/>
      <c r="AM18" s="584"/>
      <c r="AN18" s="584"/>
      <c r="AO18" s="584"/>
      <c r="AP18" s="364"/>
      <c r="AR18" s="597"/>
      <c r="AS18" s="584"/>
      <c r="AT18" s="584"/>
      <c r="AU18" s="365"/>
      <c r="AX18" s="637"/>
      <c r="AY18" s="637"/>
      <c r="AZ18" s="637"/>
    </row>
    <row r="19" spans="2:52" s="358" customFormat="1" ht="13.5" customHeight="1">
      <c r="B19" s="521" t="s">
        <v>1151</v>
      </c>
      <c r="C19" s="363">
        <v>255594.171692023</v>
      </c>
      <c r="D19" s="363">
        <v>216332.78945249403</v>
      </c>
      <c r="E19" s="363">
        <v>241581.68392999997</v>
      </c>
      <c r="F19" s="363">
        <v>359529.59144999995</v>
      </c>
      <c r="G19" s="363">
        <v>407837.26831000007</v>
      </c>
      <c r="H19" s="363">
        <v>459519.96446000005</v>
      </c>
      <c r="I19" s="363">
        <v>478758.89391000004</v>
      </c>
      <c r="J19" s="363">
        <v>524064.78325999994</v>
      </c>
      <c r="K19" s="363">
        <v>743314.26945000002</v>
      </c>
      <c r="L19" s="363">
        <v>744531.59056000004</v>
      </c>
      <c r="M19" s="363">
        <v>964116.38444000005</v>
      </c>
      <c r="N19" s="500">
        <v>1032505.87281</v>
      </c>
      <c r="O19" s="508">
        <f>SUM(O11:O17)</f>
        <v>1059823.4846900001</v>
      </c>
      <c r="P19" s="503">
        <f t="shared" ref="P19:AG19" si="0">SUM(P11:P17)</f>
        <v>1101213.3803800002</v>
      </c>
      <c r="Q19" s="503">
        <f t="shared" si="0"/>
        <v>1159654.4906200001</v>
      </c>
      <c r="R19" s="503">
        <f t="shared" si="0"/>
        <v>1124160.7</v>
      </c>
      <c r="S19" s="503">
        <f t="shared" si="0"/>
        <v>1184142.9000000001</v>
      </c>
      <c r="T19" s="503">
        <f t="shared" si="0"/>
        <v>1053476.2302300001</v>
      </c>
      <c r="U19" s="503">
        <f t="shared" si="0"/>
        <v>1173622.94245</v>
      </c>
      <c r="V19" s="503">
        <f t="shared" si="0"/>
        <v>1239948.2707500001</v>
      </c>
      <c r="W19" s="503">
        <f t="shared" si="0"/>
        <v>1372971.7951000002</v>
      </c>
      <c r="X19" s="503">
        <f t="shared" si="0"/>
        <v>1164486.8961800002</v>
      </c>
      <c r="Y19" s="503">
        <f t="shared" si="0"/>
        <v>1341528.4519326775</v>
      </c>
      <c r="Z19" s="509">
        <f t="shared" si="0"/>
        <v>1372035.0551400001</v>
      </c>
      <c r="AA19" s="496">
        <f t="shared" si="0"/>
        <v>1426900.3703200002</v>
      </c>
      <c r="AB19" s="496">
        <f>SUM(AB11:AB17)</f>
        <v>1395149.4284699999</v>
      </c>
      <c r="AC19" s="496">
        <f t="shared" si="0"/>
        <v>1489593.3848999997</v>
      </c>
      <c r="AD19" s="496">
        <f t="shared" si="0"/>
        <v>1513771.6725300001</v>
      </c>
      <c r="AE19" s="496">
        <f t="shared" si="0"/>
        <v>1578452.13228</v>
      </c>
      <c r="AF19" s="557">
        <f t="shared" si="0"/>
        <v>1701762.9</v>
      </c>
      <c r="AG19" s="575">
        <f t="shared" si="0"/>
        <v>1806994.9236699999</v>
      </c>
      <c r="AH19" s="547">
        <f t="shared" ref="AH19:AM19" si="1">SUM(AH11:AH17)</f>
        <v>1806994.9236699999</v>
      </c>
      <c r="AI19" s="496">
        <f t="shared" si="1"/>
        <v>1816419.3397300001</v>
      </c>
      <c r="AJ19" s="566">
        <f t="shared" si="1"/>
        <v>1797998.4</v>
      </c>
      <c r="AK19" s="358">
        <f t="shared" si="1"/>
        <v>1701086.4000000001</v>
      </c>
      <c r="AL19" s="358">
        <f>SUM(AL11:AL17)</f>
        <v>1845026.8</v>
      </c>
      <c r="AM19" s="585">
        <f t="shared" si="1"/>
        <v>1871724.3</v>
      </c>
      <c r="AN19" s="585">
        <f t="shared" ref="AN19:AY19" si="2">SUM(AN11:AN17)</f>
        <v>2012823.8234299999</v>
      </c>
      <c r="AO19" s="585">
        <f t="shared" si="2"/>
        <v>1925785.9513999999</v>
      </c>
      <c r="AP19" s="593">
        <f t="shared" si="2"/>
        <v>1922666.6873300001</v>
      </c>
      <c r="AQ19" s="593">
        <f t="shared" si="2"/>
        <v>1889026.2</v>
      </c>
      <c r="AR19" s="597">
        <f t="shared" si="2"/>
        <v>1952044.5</v>
      </c>
      <c r="AS19" s="595">
        <f t="shared" si="2"/>
        <v>1986008.3673300003</v>
      </c>
      <c r="AT19" s="595">
        <f t="shared" si="2"/>
        <v>1933788.4421671031</v>
      </c>
      <c r="AU19" s="600">
        <f t="shared" si="2"/>
        <v>1971691.8</v>
      </c>
      <c r="AV19" s="600">
        <f t="shared" si="2"/>
        <v>2007382</v>
      </c>
      <c r="AW19" s="600">
        <f t="shared" si="2"/>
        <v>1909600.2</v>
      </c>
      <c r="AX19" s="635">
        <f t="shared" si="2"/>
        <v>2089394.236</v>
      </c>
      <c r="AY19" s="635">
        <f t="shared" si="2"/>
        <v>2031531.2</v>
      </c>
      <c r="AZ19" s="635">
        <v>1978341.3858599998</v>
      </c>
    </row>
    <row r="20" spans="2:52" ht="13.5" customHeight="1">
      <c r="B20" s="520"/>
      <c r="C20" s="362"/>
      <c r="D20" s="362"/>
      <c r="E20" s="362"/>
      <c r="F20" s="362"/>
      <c r="G20" s="362"/>
      <c r="H20" s="362"/>
      <c r="I20" s="361"/>
      <c r="J20" s="361"/>
      <c r="K20" s="361"/>
      <c r="L20" s="361"/>
      <c r="M20" s="361"/>
      <c r="N20" s="494"/>
      <c r="O20" s="510"/>
      <c r="R20" s="502"/>
      <c r="S20" s="502"/>
      <c r="Z20" s="505"/>
      <c r="AA20" s="497"/>
      <c r="AB20" s="497"/>
      <c r="AC20" s="497"/>
      <c r="AD20" s="497"/>
      <c r="AH20" s="364"/>
      <c r="AI20" s="238"/>
      <c r="AJ20" s="565"/>
      <c r="AM20" s="584"/>
      <c r="AN20" s="584"/>
      <c r="AO20" s="584"/>
      <c r="AP20" s="364">
        <v>0</v>
      </c>
      <c r="AR20" s="597"/>
      <c r="AS20" s="584"/>
      <c r="AT20" s="584"/>
      <c r="AU20" s="365"/>
      <c r="AX20" s="637"/>
      <c r="AY20" s="637"/>
      <c r="AZ20" s="637"/>
    </row>
    <row r="21" spans="2:52" ht="13.5" customHeight="1">
      <c r="B21" s="520"/>
      <c r="C21" s="362"/>
      <c r="D21" s="362"/>
      <c r="E21" s="362"/>
      <c r="F21" s="362"/>
      <c r="G21" s="362"/>
      <c r="H21" s="362"/>
      <c r="I21" s="361"/>
      <c r="J21" s="361"/>
      <c r="K21" s="361"/>
      <c r="L21" s="361"/>
      <c r="M21" s="361"/>
      <c r="N21" s="494"/>
      <c r="O21" s="510"/>
      <c r="R21" s="502"/>
      <c r="S21" s="502"/>
      <c r="Z21" s="505"/>
      <c r="AA21" s="497"/>
      <c r="AB21" s="497"/>
      <c r="AC21" s="497"/>
      <c r="AD21" s="497"/>
      <c r="AH21" s="364"/>
      <c r="AI21" s="238"/>
      <c r="AJ21" s="565"/>
      <c r="AM21" s="584"/>
      <c r="AN21" s="591"/>
      <c r="AO21" s="591"/>
      <c r="AP21" s="364"/>
      <c r="AR21" s="597"/>
      <c r="AS21" s="584"/>
      <c r="AT21" s="584"/>
      <c r="AU21" s="365"/>
      <c r="AX21" s="637"/>
      <c r="AY21" s="637"/>
      <c r="AZ21" s="637"/>
    </row>
    <row r="22" spans="2:52" ht="13.5" customHeight="1">
      <c r="B22" s="520" t="s">
        <v>1186</v>
      </c>
      <c r="C22" s="362">
        <v>41026.885620000001</v>
      </c>
      <c r="D22" s="362">
        <v>83862.288150000008</v>
      </c>
      <c r="E22" s="362">
        <v>71828.406980000014</v>
      </c>
      <c r="F22" s="362">
        <v>114469.77</v>
      </c>
      <c r="G22" s="362">
        <v>96469.083480000016</v>
      </c>
      <c r="H22" s="362">
        <v>182878.36562</v>
      </c>
      <c r="I22" s="362">
        <v>211416.23199999999</v>
      </c>
      <c r="J22" s="362">
        <v>219984.758</v>
      </c>
      <c r="K22" s="362">
        <v>82482.842000000004</v>
      </c>
      <c r="L22" s="362">
        <v>93493.013999999996</v>
      </c>
      <c r="M22" s="362">
        <v>83585.160999999993</v>
      </c>
      <c r="N22" s="499">
        <v>94904.993000000002</v>
      </c>
      <c r="O22" s="504">
        <v>130719.352</v>
      </c>
      <c r="P22" s="501">
        <v>184154.34347999998</v>
      </c>
      <c r="Q22" s="501">
        <v>214225.62481000001</v>
      </c>
      <c r="R22" s="502">
        <v>253766.6</v>
      </c>
      <c r="S22" s="501">
        <v>235700.9</v>
      </c>
      <c r="T22" s="501">
        <v>309275.18721999996</v>
      </c>
      <c r="U22" s="501">
        <v>248069.81821999996</v>
      </c>
      <c r="V22" s="501">
        <v>266718.33414999995</v>
      </c>
      <c r="W22" s="501">
        <v>271320.89963</v>
      </c>
      <c r="X22" s="501">
        <v>180206.59557999996</v>
      </c>
      <c r="Y22" s="501">
        <v>131158.54621</v>
      </c>
      <c r="Z22" s="507">
        <v>194400.38628000001</v>
      </c>
      <c r="AA22" s="497">
        <v>186022.64093000002</v>
      </c>
      <c r="AB22" s="497">
        <v>154890.54377000002</v>
      </c>
      <c r="AC22" s="497">
        <v>182716.57299999997</v>
      </c>
      <c r="AD22" s="497">
        <v>198720.26007999998</v>
      </c>
      <c r="AE22" s="238">
        <v>201900.54628000001</v>
      </c>
      <c r="AF22" s="238">
        <v>226110.9</v>
      </c>
      <c r="AG22" s="270">
        <v>144834.96298000001</v>
      </c>
      <c r="AH22" s="364">
        <v>144834.96298000001</v>
      </c>
      <c r="AI22" s="238">
        <v>132256.86740999998</v>
      </c>
      <c r="AJ22" s="565">
        <v>135383.70000000001</v>
      </c>
      <c r="AK22" s="238">
        <v>150316.6</v>
      </c>
      <c r="AL22" s="238">
        <v>150648.20000000001</v>
      </c>
      <c r="AM22" s="584">
        <v>163326.5</v>
      </c>
      <c r="AN22" s="591">
        <v>163972.91080000001</v>
      </c>
      <c r="AO22" s="591">
        <v>154142.31193</v>
      </c>
      <c r="AP22" s="364">
        <v>167459.34031</v>
      </c>
      <c r="AQ22" s="238">
        <v>161039.20000000001</v>
      </c>
      <c r="AR22" s="597">
        <v>160170.29999999999</v>
      </c>
      <c r="AS22" s="584">
        <v>162952.95960999999</v>
      </c>
      <c r="AT22" s="584">
        <v>171279.30122000002</v>
      </c>
      <c r="AU22" s="365">
        <v>189287.9</v>
      </c>
      <c r="AV22" s="365">
        <v>182029</v>
      </c>
      <c r="AW22" s="238">
        <v>288914</v>
      </c>
      <c r="AX22" s="638">
        <v>253471.92720999999</v>
      </c>
      <c r="AY22" s="638">
        <v>193007.6</v>
      </c>
      <c r="AZ22" s="638">
        <v>192683.46561000001</v>
      </c>
    </row>
    <row r="23" spans="2:52" ht="13.5" customHeight="1">
      <c r="B23" s="520"/>
      <c r="C23" s="362"/>
      <c r="D23" s="362"/>
      <c r="E23" s="362"/>
      <c r="F23" s="362"/>
      <c r="G23" s="362"/>
      <c r="H23" s="362"/>
      <c r="I23" s="362"/>
      <c r="J23" s="362"/>
      <c r="K23" s="362"/>
      <c r="L23" s="362"/>
      <c r="M23" s="362"/>
      <c r="N23" s="499"/>
      <c r="O23" s="504"/>
      <c r="P23" s="501"/>
      <c r="Q23" s="501"/>
      <c r="R23" s="502"/>
      <c r="S23" s="502"/>
      <c r="T23" s="354"/>
      <c r="U23" s="354"/>
      <c r="V23" s="354"/>
      <c r="W23" s="354"/>
      <c r="X23" s="501"/>
      <c r="Y23" s="501"/>
      <c r="Z23" s="507"/>
      <c r="AA23" s="497"/>
      <c r="AB23" s="497"/>
      <c r="AC23" s="497"/>
      <c r="AD23" s="497"/>
      <c r="AH23" s="364"/>
      <c r="AI23" s="238"/>
      <c r="AJ23" s="565"/>
      <c r="AM23" s="584"/>
      <c r="AN23" s="591"/>
      <c r="AO23" s="591"/>
      <c r="AP23" s="364"/>
      <c r="AR23" s="597"/>
      <c r="AS23" s="584"/>
      <c r="AT23" s="584"/>
      <c r="AU23" s="365"/>
      <c r="AV23" s="365"/>
      <c r="AX23" s="637"/>
      <c r="AY23" s="637"/>
      <c r="AZ23" s="637"/>
    </row>
    <row r="24" spans="2:52" ht="13.5" customHeight="1">
      <c r="B24" s="520" t="s">
        <v>905</v>
      </c>
      <c r="C24" s="362">
        <v>30.838719270967598</v>
      </c>
      <c r="D24" s="362">
        <v>583.85111118939585</v>
      </c>
      <c r="E24" s="362">
        <v>6454.0894457429113</v>
      </c>
      <c r="F24" s="362">
        <v>9960.566038733099</v>
      </c>
      <c r="G24" s="362">
        <v>11035.109288733101</v>
      </c>
      <c r="H24" s="362">
        <v>13382.131418733099</v>
      </c>
      <c r="I24" s="362">
        <v>18619.344268733101</v>
      </c>
      <c r="J24" s="362">
        <v>21157.997038733098</v>
      </c>
      <c r="K24" s="362">
        <v>23593.755378733098</v>
      </c>
      <c r="L24" s="362">
        <v>26467.434128733097</v>
      </c>
      <c r="M24" s="362">
        <v>30412.233518733097</v>
      </c>
      <c r="N24" s="499">
        <v>32364.6870387331</v>
      </c>
      <c r="O24" s="504">
        <v>33707.077829270966</v>
      </c>
      <c r="P24" s="501">
        <v>38539.820381189398</v>
      </c>
      <c r="Q24" s="501">
        <v>34611.487515742905</v>
      </c>
      <c r="R24" s="502">
        <v>40668.1</v>
      </c>
      <c r="S24" s="502">
        <v>43676.5</v>
      </c>
      <c r="T24" s="501">
        <v>50063.1020787331</v>
      </c>
      <c r="U24" s="501">
        <v>52511.473208733107</v>
      </c>
      <c r="V24" s="501">
        <v>57048.121288733098</v>
      </c>
      <c r="W24" s="501">
        <v>59651.212108733103</v>
      </c>
      <c r="X24" s="501">
        <v>62261.725428733102</v>
      </c>
      <c r="Y24" s="501">
        <v>67328.542668733091</v>
      </c>
      <c r="Z24" s="507">
        <v>65394.451378733109</v>
      </c>
      <c r="AA24" s="497">
        <v>66838.523262348666</v>
      </c>
      <c r="AB24" s="497">
        <v>71284.117501189408</v>
      </c>
      <c r="AC24" s="497">
        <v>77758.572205742908</v>
      </c>
      <c r="AD24" s="497">
        <v>80582.973988733094</v>
      </c>
      <c r="AE24" s="238">
        <v>88016.634988733102</v>
      </c>
      <c r="AF24" s="238">
        <v>88293.7</v>
      </c>
      <c r="AG24" s="270">
        <v>99584.938508733088</v>
      </c>
      <c r="AH24" s="364">
        <v>99584.938508733088</v>
      </c>
      <c r="AI24" s="238">
        <v>97196.556758733088</v>
      </c>
      <c r="AJ24" s="565">
        <v>101911.7</v>
      </c>
      <c r="AK24" s="238">
        <v>108006.3</v>
      </c>
      <c r="AL24" s="238">
        <v>123501.5</v>
      </c>
      <c r="AM24" s="584">
        <v>112516.1</v>
      </c>
      <c r="AN24" s="591">
        <v>128590.7340211894</v>
      </c>
      <c r="AO24" s="591">
        <v>131003.74289574291</v>
      </c>
      <c r="AP24" s="364">
        <v>133025.15150873311</v>
      </c>
      <c r="AQ24" s="238">
        <v>156772</v>
      </c>
      <c r="AR24" s="597">
        <v>171972.6</v>
      </c>
      <c r="AS24" s="584">
        <v>168562.56603873309</v>
      </c>
      <c r="AT24" s="584">
        <v>171824.98067873309</v>
      </c>
      <c r="AU24" s="365">
        <v>176983.1</v>
      </c>
      <c r="AV24" s="365">
        <v>164699</v>
      </c>
      <c r="AW24" s="238">
        <v>163276.1</v>
      </c>
      <c r="AX24" s="638">
        <v>180152.56153873311</v>
      </c>
      <c r="AY24" s="638">
        <v>159093.70000000001</v>
      </c>
      <c r="AZ24" s="638">
        <v>168605.40224118944</v>
      </c>
    </row>
    <row r="25" spans="2:52" ht="13.5" customHeight="1">
      <c r="B25" s="520"/>
      <c r="C25" s="362"/>
      <c r="D25" s="362"/>
      <c r="E25" s="362"/>
      <c r="F25" s="362"/>
      <c r="G25" s="362"/>
      <c r="H25" s="362"/>
      <c r="I25" s="362"/>
      <c r="J25" s="362"/>
      <c r="K25" s="362"/>
      <c r="L25" s="362"/>
      <c r="M25" s="362"/>
      <c r="N25" s="499"/>
      <c r="O25" s="504"/>
      <c r="P25" s="501"/>
      <c r="Q25" s="501"/>
      <c r="R25" s="502"/>
      <c r="S25" s="502"/>
      <c r="T25" s="354"/>
      <c r="U25" s="354"/>
      <c r="V25" s="354"/>
      <c r="W25" s="354"/>
      <c r="X25" s="501"/>
      <c r="Y25" s="501"/>
      <c r="Z25" s="507"/>
      <c r="AA25" s="497"/>
      <c r="AB25" s="497"/>
      <c r="AC25" s="497"/>
      <c r="AD25" s="497"/>
      <c r="AH25" s="364"/>
      <c r="AI25" s="238"/>
      <c r="AJ25" s="565"/>
      <c r="AM25" s="584"/>
      <c r="AN25" s="591"/>
      <c r="AO25" s="591"/>
      <c r="AP25" s="364"/>
      <c r="AR25" s="597"/>
      <c r="AS25" s="584"/>
      <c r="AT25" s="584"/>
      <c r="AU25" s="365"/>
      <c r="AV25" s="365"/>
      <c r="AX25" s="637"/>
      <c r="AY25" s="637"/>
      <c r="AZ25" s="637"/>
    </row>
    <row r="26" spans="2:52" ht="13.5" customHeight="1">
      <c r="B26" s="520" t="s">
        <v>906</v>
      </c>
      <c r="C26" s="362">
        <v>6.8040000000000003</v>
      </c>
      <c r="D26" s="362">
        <v>10.661</v>
      </c>
      <c r="E26" s="362">
        <v>2987.8809999999999</v>
      </c>
      <c r="F26" s="362">
        <v>4542.509</v>
      </c>
      <c r="G26" s="362">
        <v>5467.4440000000004</v>
      </c>
      <c r="H26" s="362">
        <v>6749.5110000000004</v>
      </c>
      <c r="I26" s="362">
        <v>8517.9719999999998</v>
      </c>
      <c r="J26" s="362">
        <v>11591.391</v>
      </c>
      <c r="K26" s="362">
        <v>10612.929</v>
      </c>
      <c r="L26" s="362">
        <v>10498.553</v>
      </c>
      <c r="M26" s="362">
        <v>12652.824000000001</v>
      </c>
      <c r="N26" s="499">
        <v>13702.214</v>
      </c>
      <c r="O26" s="504">
        <v>13607.109</v>
      </c>
      <c r="P26" s="501">
        <v>16761.441999999999</v>
      </c>
      <c r="Q26" s="501">
        <v>16814.379000000001</v>
      </c>
      <c r="R26" s="502">
        <v>18556.099999999999</v>
      </c>
      <c r="S26" s="502">
        <v>20039.8</v>
      </c>
      <c r="T26" s="501">
        <v>21547.453000000001</v>
      </c>
      <c r="U26" s="501">
        <v>22385.69</v>
      </c>
      <c r="V26" s="501">
        <v>23924.077000000001</v>
      </c>
      <c r="W26" s="501">
        <v>23739.298999999999</v>
      </c>
      <c r="X26" s="501">
        <v>26529.949000000001</v>
      </c>
      <c r="Y26" s="501">
        <v>28560.251</v>
      </c>
      <c r="Z26" s="507">
        <v>28600.498</v>
      </c>
      <c r="AA26" s="497">
        <v>13607.109</v>
      </c>
      <c r="AB26" s="497">
        <v>33758.49</v>
      </c>
      <c r="AC26" s="497">
        <v>33023.637000000002</v>
      </c>
      <c r="AD26" s="497">
        <v>36147.383999999998</v>
      </c>
      <c r="AE26" s="238">
        <v>35028.201999999997</v>
      </c>
      <c r="AF26" s="238">
        <v>36810.199999999997</v>
      </c>
      <c r="AG26" s="270">
        <v>41736.402000000002</v>
      </c>
      <c r="AH26" s="364">
        <v>41736.402000000002</v>
      </c>
      <c r="AI26" s="238">
        <v>40359.002999999997</v>
      </c>
      <c r="AJ26" s="565">
        <v>40599.800000000003</v>
      </c>
      <c r="AK26" s="238">
        <v>41735.300000000003</v>
      </c>
      <c r="AL26" s="238">
        <v>44220.9</v>
      </c>
      <c r="AM26" s="584">
        <v>42908.3</v>
      </c>
      <c r="AN26" s="591">
        <v>49031.277999999998</v>
      </c>
      <c r="AO26" s="591">
        <v>48916.446000000004</v>
      </c>
      <c r="AP26" s="364">
        <v>46057.103000000003</v>
      </c>
      <c r="AQ26" s="238">
        <v>49423.7</v>
      </c>
      <c r="AR26" s="597">
        <v>50001.8</v>
      </c>
      <c r="AS26" s="584">
        <v>51631.214999999997</v>
      </c>
      <c r="AT26" s="584">
        <v>51322.182999999997</v>
      </c>
      <c r="AU26" s="365">
        <v>51747</v>
      </c>
      <c r="AV26" s="365">
        <v>50457.7</v>
      </c>
      <c r="AW26" s="238">
        <v>55822.7</v>
      </c>
      <c r="AX26" s="638">
        <v>54893.677000000003</v>
      </c>
      <c r="AY26" s="638">
        <v>55832.5</v>
      </c>
      <c r="AZ26" s="638">
        <v>56274.203999999998</v>
      </c>
    </row>
    <row r="27" spans="2:52" ht="13.5" customHeight="1">
      <c r="B27" s="520"/>
      <c r="C27" s="362"/>
      <c r="D27" s="362"/>
      <c r="E27" s="362"/>
      <c r="F27" s="362"/>
      <c r="G27" s="362"/>
      <c r="H27" s="362"/>
      <c r="I27" s="362"/>
      <c r="J27" s="362"/>
      <c r="K27" s="362"/>
      <c r="L27" s="362"/>
      <c r="M27" s="362"/>
      <c r="N27" s="499"/>
      <c r="O27" s="504"/>
      <c r="P27" s="501"/>
      <c r="Q27" s="501"/>
      <c r="R27" s="502"/>
      <c r="S27" s="502"/>
      <c r="T27" s="354"/>
      <c r="U27" s="354"/>
      <c r="V27" s="354"/>
      <c r="W27" s="354"/>
      <c r="X27" s="501"/>
      <c r="Y27" s="501"/>
      <c r="Z27" s="507"/>
      <c r="AA27" s="497"/>
      <c r="AB27" s="497"/>
      <c r="AC27" s="497"/>
      <c r="AD27" s="497"/>
      <c r="AH27" s="364"/>
      <c r="AI27" s="238"/>
      <c r="AJ27" s="565"/>
      <c r="AM27" s="584"/>
      <c r="AN27" s="591"/>
      <c r="AO27" s="591"/>
      <c r="AP27" s="364"/>
      <c r="AR27" s="597"/>
      <c r="AS27" s="584"/>
      <c r="AT27" s="584"/>
      <c r="AU27" s="365"/>
      <c r="AV27" s="365"/>
      <c r="AX27" s="637"/>
      <c r="AY27" s="637"/>
      <c r="AZ27" s="637"/>
    </row>
    <row r="28" spans="2:52">
      <c r="B28" s="520" t="s">
        <v>907</v>
      </c>
      <c r="C28" s="362">
        <v>81.106999999999999</v>
      </c>
      <c r="D28" s="362">
        <v>81382.330109999995</v>
      </c>
      <c r="E28" s="362">
        <v>72612.135920000001</v>
      </c>
      <c r="F28" s="362">
        <v>2755.2</v>
      </c>
      <c r="G28" s="362">
        <v>10234.5</v>
      </c>
      <c r="H28" s="362">
        <v>19136.2</v>
      </c>
      <c r="I28" s="362">
        <v>26900.7</v>
      </c>
      <c r="J28" s="362">
        <v>33827.199999999997</v>
      </c>
      <c r="K28" s="362">
        <v>39842.699999999997</v>
      </c>
      <c r="L28" s="362">
        <v>44667.3</v>
      </c>
      <c r="M28" s="362">
        <v>38592.518250000001</v>
      </c>
      <c r="N28" s="499">
        <v>45361.631460000004</v>
      </c>
      <c r="O28" s="504">
        <v>57587.8</v>
      </c>
      <c r="P28" s="501">
        <v>66010.575729999997</v>
      </c>
      <c r="Q28" s="501">
        <v>59635.8</v>
      </c>
      <c r="R28" s="502">
        <v>77359.8</v>
      </c>
      <c r="S28" s="502">
        <v>73813.899999999994</v>
      </c>
      <c r="T28" s="501">
        <v>86600.569909999991</v>
      </c>
      <c r="U28" s="501">
        <v>99268.538809999998</v>
      </c>
      <c r="V28" s="501">
        <v>118098.37642999999</v>
      </c>
      <c r="W28" s="501">
        <v>154979.62142999997</v>
      </c>
      <c r="X28" s="501">
        <v>292406.68151999993</v>
      </c>
      <c r="Y28" s="501">
        <v>232479.10185999997</v>
      </c>
      <c r="Z28" s="507">
        <v>197255.07346999994</v>
      </c>
      <c r="AA28" s="497">
        <v>341815.29690000007</v>
      </c>
      <c r="AB28" s="497">
        <v>453600.60370000004</v>
      </c>
      <c r="AC28" s="497">
        <v>415745.60700000002</v>
      </c>
      <c r="AD28" s="497">
        <v>417650.32200000004</v>
      </c>
      <c r="AE28" s="238">
        <v>446003.19332999998</v>
      </c>
      <c r="AF28" s="238">
        <v>482822.1</v>
      </c>
      <c r="AG28" s="270">
        <v>502213.45971000002</v>
      </c>
      <c r="AH28" s="364">
        <v>502213.45971000002</v>
      </c>
      <c r="AI28" s="238">
        <v>484786.35765999998</v>
      </c>
      <c r="AJ28" s="565">
        <v>555685.80000000005</v>
      </c>
      <c r="AK28" s="238">
        <v>626750.19999999995</v>
      </c>
      <c r="AL28" s="238">
        <v>505981.7</v>
      </c>
      <c r="AM28" s="584">
        <v>538863</v>
      </c>
      <c r="AN28" s="591">
        <v>568582.50841000001</v>
      </c>
      <c r="AO28" s="591">
        <v>471171.87046999997</v>
      </c>
      <c r="AP28" s="364">
        <v>522894.70095999993</v>
      </c>
      <c r="AQ28" s="238">
        <v>622619</v>
      </c>
      <c r="AR28" s="597">
        <v>706497.8</v>
      </c>
      <c r="AS28" s="584">
        <v>668743.78394999995</v>
      </c>
      <c r="AT28" s="584">
        <v>716241.25778085797</v>
      </c>
      <c r="AU28" s="365">
        <v>648981.9</v>
      </c>
      <c r="AV28" s="365">
        <v>781995.1</v>
      </c>
      <c r="AW28" s="238">
        <v>593873.6</v>
      </c>
      <c r="AX28" s="638">
        <v>613008</v>
      </c>
      <c r="AY28" s="638">
        <v>632215.69999999995</v>
      </c>
      <c r="AZ28" s="638">
        <v>708500.56380000012</v>
      </c>
    </row>
    <row r="29" spans="2:52">
      <c r="B29" s="520"/>
      <c r="C29" s="362"/>
      <c r="D29" s="362"/>
      <c r="E29" s="362"/>
      <c r="F29" s="362"/>
      <c r="G29" s="362"/>
      <c r="H29" s="362"/>
      <c r="I29" s="362"/>
      <c r="J29" s="362"/>
      <c r="K29" s="362"/>
      <c r="L29" s="362"/>
      <c r="M29" s="362"/>
      <c r="N29" s="499"/>
      <c r="O29" s="504"/>
      <c r="P29" s="501"/>
      <c r="Q29" s="501"/>
      <c r="R29" s="502"/>
      <c r="S29" s="502"/>
      <c r="T29" s="354"/>
      <c r="U29" s="354"/>
      <c r="V29" s="354"/>
      <c r="W29" s="354"/>
      <c r="X29" s="501"/>
      <c r="Y29" s="501"/>
      <c r="Z29" s="507"/>
      <c r="AA29" s="497"/>
      <c r="AB29" s="497"/>
      <c r="AC29" s="497"/>
      <c r="AD29" s="497"/>
      <c r="AH29" s="364"/>
      <c r="AI29" s="238"/>
      <c r="AJ29" s="565"/>
      <c r="AM29" s="584"/>
      <c r="AN29" s="591"/>
      <c r="AO29" s="591"/>
      <c r="AP29" s="364"/>
      <c r="AR29" s="597"/>
      <c r="AS29" s="584"/>
      <c r="AT29" s="584"/>
      <c r="AU29" s="365"/>
      <c r="AV29" s="365"/>
      <c r="AX29" s="637"/>
      <c r="AY29" s="637"/>
      <c r="AZ29" s="637"/>
    </row>
    <row r="30" spans="2:52">
      <c r="B30" s="520" t="s">
        <v>908</v>
      </c>
      <c r="C30" s="362">
        <v>823.6</v>
      </c>
      <c r="D30" s="362">
        <v>1008.749</v>
      </c>
      <c r="E30" s="362">
        <v>1361.2</v>
      </c>
      <c r="F30" s="362">
        <v>1019.6</v>
      </c>
      <c r="G30" s="362">
        <v>5119</v>
      </c>
      <c r="H30" s="362">
        <v>13948.5</v>
      </c>
      <c r="I30" s="362">
        <v>28748.799999999999</v>
      </c>
      <c r="J30" s="362">
        <v>36505.4</v>
      </c>
      <c r="K30" s="362">
        <v>53741.5</v>
      </c>
      <c r="L30" s="362">
        <v>48924.2</v>
      </c>
      <c r="M30" s="362">
        <v>42463.595999999998</v>
      </c>
      <c r="N30" s="499">
        <v>73354.2</v>
      </c>
      <c r="O30" s="504">
        <v>54389.8</v>
      </c>
      <c r="P30" s="501">
        <v>75047.91</v>
      </c>
      <c r="Q30" s="501">
        <v>77873</v>
      </c>
      <c r="R30" s="502">
        <v>66068.3</v>
      </c>
      <c r="S30" s="502">
        <v>85576.7</v>
      </c>
      <c r="T30" s="501">
        <v>130651.644</v>
      </c>
      <c r="U30" s="501">
        <v>130142.35338</v>
      </c>
      <c r="V30" s="501">
        <v>139269.09330000001</v>
      </c>
      <c r="W30" s="501">
        <v>206309.1</v>
      </c>
      <c r="X30" s="501">
        <v>180047.57537999999</v>
      </c>
      <c r="Y30" s="501">
        <v>194413.27653550653</v>
      </c>
      <c r="Z30" s="507">
        <v>241039.258</v>
      </c>
      <c r="AA30" s="497">
        <v>96937.196620000002</v>
      </c>
      <c r="AB30" s="497">
        <v>103002.27899999999</v>
      </c>
      <c r="AC30" s="497">
        <v>111505</v>
      </c>
      <c r="AD30" s="497">
        <v>105887.79399999999</v>
      </c>
      <c r="AE30" s="238">
        <v>106394.364</v>
      </c>
      <c r="AF30" s="238">
        <v>45968.2</v>
      </c>
      <c r="AG30" s="270">
        <v>46812.351999999999</v>
      </c>
      <c r="AH30" s="364">
        <v>46812.351999999999</v>
      </c>
      <c r="AI30" s="238">
        <v>56376.237000000001</v>
      </c>
      <c r="AJ30" s="565">
        <v>80345</v>
      </c>
      <c r="AK30" s="238">
        <v>78890</v>
      </c>
      <c r="AL30" s="238">
        <v>65287</v>
      </c>
      <c r="AM30" s="584">
        <v>68470.8</v>
      </c>
      <c r="AN30" s="591">
        <v>77452.036999999997</v>
      </c>
      <c r="AO30" s="591">
        <v>126730.77800000001</v>
      </c>
      <c r="AP30" s="364">
        <v>116172.015</v>
      </c>
      <c r="AQ30" s="238">
        <v>100355.4</v>
      </c>
      <c r="AR30" s="597">
        <v>91241.5</v>
      </c>
      <c r="AS30" s="584">
        <v>36431.800000000003</v>
      </c>
      <c r="AT30" s="584">
        <v>39907.249000000003</v>
      </c>
      <c r="AU30" s="365">
        <v>60358.5</v>
      </c>
      <c r="AV30" s="365">
        <v>35887.599999999999</v>
      </c>
      <c r="AW30" s="238">
        <v>69265.100000000006</v>
      </c>
      <c r="AX30" s="638">
        <v>67930.508000000002</v>
      </c>
      <c r="AY30" s="638">
        <v>91671.2</v>
      </c>
      <c r="AZ30" s="638">
        <v>65975.944000000003</v>
      </c>
    </row>
    <row r="31" spans="2:52">
      <c r="B31" s="520"/>
      <c r="C31" s="362"/>
      <c r="D31" s="362"/>
      <c r="E31" s="362"/>
      <c r="F31" s="362"/>
      <c r="G31" s="362"/>
      <c r="H31" s="362"/>
      <c r="I31" s="362"/>
      <c r="J31" s="362"/>
      <c r="K31" s="362"/>
      <c r="L31" s="362"/>
      <c r="M31" s="362"/>
      <c r="N31" s="499"/>
      <c r="O31" s="504"/>
      <c r="P31" s="501"/>
      <c r="Q31" s="501"/>
      <c r="R31" s="502"/>
      <c r="S31" s="502"/>
      <c r="T31" s="354"/>
      <c r="U31" s="354"/>
      <c r="V31" s="354"/>
      <c r="W31" s="354"/>
      <c r="X31" s="354"/>
      <c r="Y31" s="354"/>
      <c r="Z31" s="505"/>
      <c r="AA31" s="497"/>
      <c r="AB31" s="497"/>
      <c r="AC31" s="497"/>
      <c r="AD31" s="497"/>
      <c r="AH31" s="364"/>
      <c r="AI31" s="238"/>
      <c r="AJ31" s="565"/>
      <c r="AM31" s="584"/>
      <c r="AN31" s="591"/>
      <c r="AO31" s="591"/>
      <c r="AP31" s="364"/>
      <c r="AR31" s="597"/>
      <c r="AS31" s="584"/>
      <c r="AT31" s="584"/>
      <c r="AU31" s="365"/>
      <c r="AV31" s="365"/>
      <c r="AX31" s="637"/>
      <c r="AY31" s="637"/>
      <c r="AZ31" s="637"/>
    </row>
    <row r="32" spans="2:52" ht="15.6" hidden="1" customHeight="1">
      <c r="B32" s="520" t="s">
        <v>909</v>
      </c>
      <c r="C32" s="362">
        <v>5.8568935304200008E-5</v>
      </c>
      <c r="D32" s="362">
        <v>5.8568935304200008E-5</v>
      </c>
      <c r="E32" s="362">
        <v>5.8568935304200008E-5</v>
      </c>
      <c r="F32" s="362">
        <v>5.8568935304200008E-5</v>
      </c>
      <c r="G32" s="362">
        <v>5.8568935304200008E-5</v>
      </c>
      <c r="H32" s="362">
        <v>5.8568935304200008E-5</v>
      </c>
      <c r="I32" s="362">
        <v>5.8568935304200008E-5</v>
      </c>
      <c r="J32" s="362">
        <v>5.8568935304200008E-5</v>
      </c>
      <c r="K32" s="362">
        <v>5.8568935304200008E-5</v>
      </c>
      <c r="L32" s="362">
        <v>5.8568935304200008E-5</v>
      </c>
      <c r="M32" s="362">
        <v>5.8568935304200008E-5</v>
      </c>
      <c r="N32" s="499">
        <v>5.8568935304200008E-5</v>
      </c>
      <c r="O32" s="504">
        <v>5.8568935304200008E-5</v>
      </c>
      <c r="P32" s="501">
        <v>5.8568935304200008E-5</v>
      </c>
      <c r="Q32" s="501">
        <v>5.8568935304200008E-5</v>
      </c>
      <c r="R32" s="502">
        <v>0</v>
      </c>
      <c r="S32" s="502">
        <v>0</v>
      </c>
      <c r="T32" s="354">
        <v>5.8568935304200008E-5</v>
      </c>
      <c r="U32" s="354">
        <v>5.8568935304200008E-5</v>
      </c>
      <c r="V32" s="354">
        <v>5.8568935304200008E-5</v>
      </c>
      <c r="W32" s="354">
        <v>5.8568935304200008E-5</v>
      </c>
      <c r="X32" s="354">
        <v>5.8568935304200008E-5</v>
      </c>
      <c r="Y32" s="354">
        <v>5.8568935304200008E-5</v>
      </c>
      <c r="Z32" s="511">
        <v>5.8568935304200008E-5</v>
      </c>
      <c r="AA32" s="497"/>
      <c r="AB32" s="497"/>
      <c r="AC32" s="497"/>
      <c r="AD32" s="497"/>
      <c r="AE32" s="238">
        <v>5.8568935304200008E-5</v>
      </c>
      <c r="AG32" s="270">
        <v>5.8568935304200008E-5</v>
      </c>
      <c r="AH32" s="364">
        <v>5.8568935304200008E-5</v>
      </c>
      <c r="AI32" s="238">
        <v>5.8568935304200008E-5</v>
      </c>
      <c r="AJ32" s="565"/>
      <c r="AM32" s="584"/>
      <c r="AN32" s="591">
        <v>5.8568935304200008E-5</v>
      </c>
      <c r="AO32" s="591"/>
      <c r="AP32" s="364"/>
      <c r="AR32" s="597"/>
      <c r="AS32" s="584"/>
      <c r="AT32" s="584"/>
      <c r="AU32" s="365"/>
      <c r="AV32" s="365"/>
      <c r="AX32" s="637"/>
      <c r="AY32" s="637"/>
      <c r="AZ32" s="637">
        <v>5.8568935304200008E-5</v>
      </c>
    </row>
    <row r="33" spans="2:52" ht="15.6" hidden="1" customHeight="1">
      <c r="B33" s="520"/>
      <c r="C33" s="362"/>
      <c r="D33" s="362"/>
      <c r="E33" s="362"/>
      <c r="F33" s="362"/>
      <c r="G33" s="362"/>
      <c r="H33" s="362"/>
      <c r="I33" s="362"/>
      <c r="J33" s="362"/>
      <c r="K33" s="362"/>
      <c r="L33" s="362"/>
      <c r="M33" s="362"/>
      <c r="N33" s="499"/>
      <c r="O33" s="504"/>
      <c r="P33" s="501"/>
      <c r="Q33" s="501"/>
      <c r="R33" s="502"/>
      <c r="S33" s="502"/>
      <c r="T33" s="354"/>
      <c r="U33" s="354"/>
      <c r="V33" s="354"/>
      <c r="W33" s="354"/>
      <c r="X33" s="354"/>
      <c r="Y33" s="354"/>
      <c r="Z33" s="505"/>
      <c r="AA33" s="497"/>
      <c r="AB33" s="497"/>
      <c r="AC33" s="497"/>
      <c r="AD33" s="497"/>
      <c r="AH33" s="364"/>
      <c r="AI33" s="238"/>
      <c r="AJ33" s="565"/>
      <c r="AM33" s="584"/>
      <c r="AN33" s="591"/>
      <c r="AO33" s="591"/>
      <c r="AP33" s="364">
        <v>5.8568935304200008E-5</v>
      </c>
      <c r="AR33" s="597"/>
      <c r="AS33" s="584"/>
      <c r="AT33" s="584"/>
      <c r="AU33" s="365"/>
      <c r="AV33" s="365"/>
      <c r="AX33" s="637"/>
      <c r="AY33" s="637"/>
      <c r="AZ33" s="637"/>
    </row>
    <row r="34" spans="2:52">
      <c r="B34" s="520" t="s">
        <v>910</v>
      </c>
      <c r="C34" s="362">
        <v>1.056E-2</v>
      </c>
      <c r="D34" s="362">
        <v>2.2297200000000004</v>
      </c>
      <c r="E34" s="362">
        <v>0.34042</v>
      </c>
      <c r="F34" s="362">
        <v>0</v>
      </c>
      <c r="G34" s="362">
        <v>0</v>
      </c>
      <c r="H34" s="362">
        <v>0</v>
      </c>
      <c r="I34" s="362">
        <v>34.5</v>
      </c>
      <c r="J34" s="362">
        <v>27.225999999999999</v>
      </c>
      <c r="K34" s="362">
        <v>96.972999999999999</v>
      </c>
      <c r="L34" s="362">
        <v>1680.229</v>
      </c>
      <c r="M34" s="362">
        <v>1893.7570000000001</v>
      </c>
      <c r="N34" s="499">
        <v>2894.058</v>
      </c>
      <c r="O34" s="504">
        <v>3589.4573399999999</v>
      </c>
      <c r="P34" s="501">
        <v>7122.1251400000001</v>
      </c>
      <c r="Q34" s="501">
        <v>28476.497219999997</v>
      </c>
      <c r="R34" s="502">
        <v>26403.8</v>
      </c>
      <c r="S34" s="502">
        <v>26600.7</v>
      </c>
      <c r="T34" s="501">
        <v>25619.116140000002</v>
      </c>
      <c r="U34" s="501">
        <v>19820.448170000003</v>
      </c>
      <c r="V34" s="501">
        <v>65077.421900000001</v>
      </c>
      <c r="W34" s="501">
        <v>26522.3069</v>
      </c>
      <c r="X34" s="501">
        <v>17391.545139999998</v>
      </c>
      <c r="Y34" s="501">
        <v>35384.979769999998</v>
      </c>
      <c r="Z34" s="512">
        <v>26946.27289</v>
      </c>
      <c r="AA34" s="497">
        <v>5809.2302799999998</v>
      </c>
      <c r="AB34" s="497">
        <v>7531.2875400000003</v>
      </c>
      <c r="AC34" s="497">
        <v>9286.3534800000016</v>
      </c>
      <c r="AD34" s="497">
        <v>9477.3545599999998</v>
      </c>
      <c r="AE34" s="238">
        <v>7440.7575400000005</v>
      </c>
      <c r="AF34" s="238">
        <v>36309.300000000003</v>
      </c>
      <c r="AG34" s="270">
        <v>50347.178679999997</v>
      </c>
      <c r="AH34" s="364">
        <v>50347.178679999997</v>
      </c>
      <c r="AI34" s="238">
        <v>52251.982030000006</v>
      </c>
      <c r="AJ34" s="565">
        <v>52369</v>
      </c>
      <c r="AK34" s="238">
        <v>50491.8</v>
      </c>
      <c r="AL34" s="238">
        <v>62893.7</v>
      </c>
      <c r="AM34" s="584">
        <v>88789</v>
      </c>
      <c r="AN34" s="591">
        <v>81322.644920000006</v>
      </c>
      <c r="AO34" s="591">
        <v>51099.949330000003</v>
      </c>
      <c r="AP34" s="364">
        <v>72308.977039999998</v>
      </c>
      <c r="AQ34" s="238">
        <v>77364.399999999994</v>
      </c>
      <c r="AR34" s="597">
        <v>70088.7</v>
      </c>
      <c r="AS34" s="584">
        <v>53684.533869999999</v>
      </c>
      <c r="AT34" s="584">
        <v>59215.975149999998</v>
      </c>
      <c r="AU34" s="365">
        <v>70300.399999999994</v>
      </c>
      <c r="AV34" s="365">
        <v>98536.7</v>
      </c>
      <c r="AW34" s="238">
        <v>73514.3</v>
      </c>
      <c r="AX34" s="638">
        <v>65572.420570000002</v>
      </c>
      <c r="AY34" s="638">
        <v>60885.9</v>
      </c>
      <c r="AZ34" s="638">
        <v>77091.900810000006</v>
      </c>
    </row>
    <row r="35" spans="2:52">
      <c r="B35" s="520"/>
      <c r="C35" s="362"/>
      <c r="D35" s="362"/>
      <c r="E35" s="362"/>
      <c r="F35" s="362"/>
      <c r="G35" s="362"/>
      <c r="H35" s="362"/>
      <c r="I35" s="361"/>
      <c r="J35" s="361"/>
      <c r="K35" s="361"/>
      <c r="L35" s="361"/>
      <c r="M35" s="361"/>
      <c r="N35" s="499"/>
      <c r="O35" s="504"/>
      <c r="P35" s="501"/>
      <c r="Q35" s="501"/>
      <c r="R35" s="501"/>
      <c r="S35" s="502"/>
      <c r="T35" s="354"/>
      <c r="U35" s="354"/>
      <c r="V35" s="354"/>
      <c r="W35" s="354"/>
      <c r="X35" s="354"/>
      <c r="Y35" s="354"/>
      <c r="Z35" s="513"/>
      <c r="AA35" s="497"/>
      <c r="AB35" s="497"/>
      <c r="AC35" s="497"/>
      <c r="AD35" s="497"/>
      <c r="AH35" s="364"/>
      <c r="AI35" s="238"/>
      <c r="AJ35" s="565"/>
      <c r="AM35" s="584"/>
      <c r="AN35" s="591"/>
      <c r="AO35" s="591"/>
      <c r="AP35" s="364"/>
      <c r="AR35" s="597"/>
      <c r="AS35" s="584"/>
      <c r="AT35" s="584"/>
      <c r="AU35" s="365"/>
      <c r="AV35" s="365"/>
      <c r="AX35" s="637"/>
      <c r="AY35" s="637"/>
      <c r="AZ35" s="637"/>
    </row>
    <row r="36" spans="2:52" s="358" customFormat="1">
      <c r="B36" s="521" t="s">
        <v>1152</v>
      </c>
      <c r="C36" s="363">
        <v>297563.41759129398</v>
      </c>
      <c r="D36" s="363">
        <v>383182.89854368346</v>
      </c>
      <c r="E36" s="363">
        <v>396825.73769574286</v>
      </c>
      <c r="F36" s="363">
        <v>492277.23648873303</v>
      </c>
      <c r="G36" s="363">
        <v>536162.40507873322</v>
      </c>
      <c r="H36" s="363">
        <v>695614.67249873315</v>
      </c>
      <c r="I36" s="363">
        <v>772996.44217873318</v>
      </c>
      <c r="J36" s="363">
        <v>847158.75529873301</v>
      </c>
      <c r="K36" s="363">
        <v>953684.96882873308</v>
      </c>
      <c r="L36" s="363">
        <v>970262.32068873313</v>
      </c>
      <c r="M36" s="363">
        <v>1173716.4742087331</v>
      </c>
      <c r="N36" s="500">
        <v>1295087.6563087329</v>
      </c>
      <c r="O36" s="508">
        <f>SUM(O22:O35)</f>
        <v>293600.59622783994</v>
      </c>
      <c r="P36" s="503">
        <f t="shared" ref="P36:AA36" si="3">SUM(P22:P35)</f>
        <v>387636.21678975836</v>
      </c>
      <c r="Q36" s="503">
        <f t="shared" si="3"/>
        <v>431636.78860431188</v>
      </c>
      <c r="R36" s="503">
        <f t="shared" si="3"/>
        <v>482822.69999999995</v>
      </c>
      <c r="S36" s="503">
        <f t="shared" si="3"/>
        <v>485408.5</v>
      </c>
      <c r="T36" s="503">
        <f t="shared" si="3"/>
        <v>623757.07240730198</v>
      </c>
      <c r="U36" s="503">
        <f t="shared" si="3"/>
        <v>572198.32184730191</v>
      </c>
      <c r="V36" s="503">
        <f t="shared" si="3"/>
        <v>670135.4241273019</v>
      </c>
      <c r="W36" s="503">
        <f t="shared" si="3"/>
        <v>742522.43912730191</v>
      </c>
      <c r="X36" s="503">
        <f t="shared" si="3"/>
        <v>758844.07210730179</v>
      </c>
      <c r="Y36" s="503">
        <f t="shared" si="3"/>
        <v>689324.69810280856</v>
      </c>
      <c r="Z36" s="509">
        <f t="shared" si="3"/>
        <v>753635.94007730205</v>
      </c>
      <c r="AA36" s="496">
        <f t="shared" si="3"/>
        <v>711029.99699234893</v>
      </c>
      <c r="AB36" s="496">
        <f t="shared" ref="AB36:AM36" si="4">SUM(AB22:AB35)</f>
        <v>824067.32151118945</v>
      </c>
      <c r="AC36" s="496">
        <f t="shared" si="4"/>
        <v>830035.74268574291</v>
      </c>
      <c r="AD36" s="496">
        <f t="shared" si="4"/>
        <v>848466.08862873318</v>
      </c>
      <c r="AE36" s="496">
        <f t="shared" si="4"/>
        <v>884783.69819730194</v>
      </c>
      <c r="AF36" s="557">
        <f t="shared" si="4"/>
        <v>916314.39999999991</v>
      </c>
      <c r="AG36" s="575">
        <f t="shared" si="4"/>
        <v>885529.29393730196</v>
      </c>
      <c r="AH36" s="547">
        <f t="shared" si="4"/>
        <v>885529.29393730196</v>
      </c>
      <c r="AI36" s="496">
        <f t="shared" si="4"/>
        <v>863227.00391730189</v>
      </c>
      <c r="AJ36" s="566">
        <f t="shared" si="4"/>
        <v>966295</v>
      </c>
      <c r="AK36" s="358">
        <f t="shared" si="4"/>
        <v>1056190.2</v>
      </c>
      <c r="AL36" s="557">
        <f t="shared" si="4"/>
        <v>952533</v>
      </c>
      <c r="AM36" s="557">
        <f t="shared" si="4"/>
        <v>1014873.7</v>
      </c>
      <c r="AN36" s="557">
        <f t="shared" ref="AN36:AZ36" si="5">SUM(AN22:AN35)</f>
        <v>1068952.1132097584</v>
      </c>
      <c r="AO36" s="557">
        <f t="shared" si="5"/>
        <v>983065.09862574295</v>
      </c>
      <c r="AP36" s="594">
        <f t="shared" si="5"/>
        <v>1057917.2878773019</v>
      </c>
      <c r="AQ36" s="594">
        <f t="shared" si="5"/>
        <v>1167573.7</v>
      </c>
      <c r="AR36" s="597">
        <f t="shared" si="5"/>
        <v>1249972.7</v>
      </c>
      <c r="AS36" s="595">
        <f t="shared" si="5"/>
        <v>1142006.858468733</v>
      </c>
      <c r="AT36" s="595">
        <f t="shared" si="5"/>
        <v>1209790.9468295912</v>
      </c>
      <c r="AU36" s="600">
        <f t="shared" si="5"/>
        <v>1197658.7999999998</v>
      </c>
      <c r="AV36" s="600">
        <f t="shared" si="5"/>
        <v>1313605.1000000001</v>
      </c>
      <c r="AW36" s="600">
        <f t="shared" si="5"/>
        <v>1244665.8</v>
      </c>
      <c r="AX36" s="635">
        <f t="shared" si="5"/>
        <v>1235029.0943187331</v>
      </c>
      <c r="AY36" s="635">
        <f t="shared" si="5"/>
        <v>1192706.5999999999</v>
      </c>
      <c r="AZ36" s="635">
        <f t="shared" si="5"/>
        <v>1269131.4805197585</v>
      </c>
    </row>
    <row r="37" spans="2:52">
      <c r="B37" s="520"/>
      <c r="C37" s="362"/>
      <c r="D37" s="362"/>
      <c r="E37" s="362"/>
      <c r="F37" s="362"/>
      <c r="G37" s="362"/>
      <c r="H37" s="362"/>
      <c r="I37" s="361"/>
      <c r="J37" s="361"/>
      <c r="K37" s="361"/>
      <c r="L37" s="361"/>
      <c r="M37" s="361"/>
      <c r="N37" s="494"/>
      <c r="O37" s="510"/>
      <c r="R37" s="502"/>
      <c r="S37" s="502"/>
      <c r="T37" s="354"/>
      <c r="U37" s="354"/>
      <c r="V37" s="354"/>
      <c r="W37" s="354"/>
      <c r="X37" s="354"/>
      <c r="Y37" s="354"/>
      <c r="Z37" s="505"/>
      <c r="AA37" s="497"/>
      <c r="AB37" s="497"/>
      <c r="AC37" s="497"/>
      <c r="AD37" s="497"/>
      <c r="AH37" s="364"/>
      <c r="AI37" s="238"/>
      <c r="AJ37" s="565"/>
      <c r="AM37" s="584"/>
      <c r="AN37" s="591"/>
      <c r="AO37" s="591"/>
      <c r="AP37" s="364"/>
      <c r="AS37" s="584"/>
      <c r="AT37" s="584"/>
      <c r="AU37" s="365"/>
      <c r="AV37" s="365"/>
      <c r="AX37" s="637"/>
      <c r="AY37" s="637"/>
      <c r="AZ37" s="637"/>
    </row>
    <row r="38" spans="2:52">
      <c r="B38" s="520" t="s">
        <v>911</v>
      </c>
      <c r="C38" s="362">
        <v>1.9671300000000116</v>
      </c>
      <c r="D38" s="362">
        <v>0</v>
      </c>
      <c r="E38" s="362">
        <v>78.327209999988554</v>
      </c>
      <c r="F38" s="362">
        <v>204.8</v>
      </c>
      <c r="G38" s="362">
        <v>88</v>
      </c>
      <c r="H38" s="362">
        <v>223.9</v>
      </c>
      <c r="I38" s="362">
        <v>381.3</v>
      </c>
      <c r="J38" s="362">
        <v>3903.5</v>
      </c>
      <c r="K38" s="362">
        <v>2415.8000000000002</v>
      </c>
      <c r="L38" s="362">
        <v>5438.5</v>
      </c>
      <c r="M38" s="362">
        <v>5902.1630000000005</v>
      </c>
      <c r="N38" s="499">
        <v>54412.442759999991</v>
      </c>
      <c r="O38" s="504">
        <v>14429.3</v>
      </c>
      <c r="P38" s="501">
        <v>20773.060000000001</v>
      </c>
      <c r="Q38" s="501">
        <v>38763.800000000003</v>
      </c>
      <c r="R38" s="502">
        <v>52761</v>
      </c>
      <c r="S38" s="502">
        <v>64001.4</v>
      </c>
      <c r="T38" s="501">
        <v>51728.89585999999</v>
      </c>
      <c r="U38" s="501">
        <v>46185.057979999983</v>
      </c>
      <c r="V38" s="501">
        <v>49323.391420000014</v>
      </c>
      <c r="W38" s="501">
        <v>52272.400990000024</v>
      </c>
      <c r="X38" s="501">
        <v>75125.40000000014</v>
      </c>
      <c r="Y38" s="501">
        <v>128772.59942000009</v>
      </c>
      <c r="Z38" s="507">
        <v>77607.432060000006</v>
      </c>
      <c r="AA38" s="497">
        <v>104411.98343999992</v>
      </c>
      <c r="AB38" s="497">
        <v>94490.859800000006</v>
      </c>
      <c r="AC38" s="497">
        <v>110002.984</v>
      </c>
      <c r="AD38" s="497">
        <v>89097.230920000002</v>
      </c>
      <c r="AE38" s="238">
        <v>104091.06764999994</v>
      </c>
      <c r="AF38" s="238">
        <v>144980.70000000001</v>
      </c>
      <c r="AG38" s="270">
        <v>111502.26364999994</v>
      </c>
      <c r="AH38" s="364">
        <v>111502.26364999994</v>
      </c>
      <c r="AI38" s="238">
        <v>184665.85451000009</v>
      </c>
      <c r="AJ38" s="565">
        <v>153986.70000000001</v>
      </c>
      <c r="AK38" s="238">
        <v>175081.60000000001</v>
      </c>
      <c r="AL38" s="238">
        <v>131736.79999999999</v>
      </c>
      <c r="AM38" s="584">
        <v>112111.1</v>
      </c>
      <c r="AN38" s="591">
        <v>126660.46723000001</v>
      </c>
      <c r="AO38" s="591">
        <v>314416.21147000004</v>
      </c>
      <c r="AP38" s="364">
        <v>289006.65687000006</v>
      </c>
      <c r="AQ38" s="238">
        <v>347816</v>
      </c>
      <c r="AR38" s="597">
        <v>228931.5</v>
      </c>
      <c r="AS38" s="584">
        <v>327819.84610999998</v>
      </c>
      <c r="AT38" s="584">
        <v>192982.40999240006</v>
      </c>
      <c r="AU38" s="365">
        <v>311167.7</v>
      </c>
      <c r="AV38" s="365">
        <v>235566.9</v>
      </c>
      <c r="AW38" s="238">
        <v>424351.9</v>
      </c>
      <c r="AX38" s="638">
        <v>314380.72141000006</v>
      </c>
      <c r="AY38" s="638">
        <v>351356.6</v>
      </c>
      <c r="AZ38" s="638">
        <v>297613.9087599999</v>
      </c>
    </row>
    <row r="39" spans="2:52">
      <c r="B39" s="520"/>
      <c r="C39" s="362"/>
      <c r="D39" s="362"/>
      <c r="E39" s="362"/>
      <c r="F39" s="362"/>
      <c r="G39" s="362"/>
      <c r="H39" s="362"/>
      <c r="I39" s="362"/>
      <c r="J39" s="362"/>
      <c r="K39" s="362"/>
      <c r="L39" s="362"/>
      <c r="M39" s="362"/>
      <c r="N39" s="499"/>
      <c r="O39" s="504"/>
      <c r="P39" s="501"/>
      <c r="Q39" s="501"/>
      <c r="R39" s="502"/>
      <c r="S39" s="502"/>
      <c r="T39" s="354"/>
      <c r="U39" s="354"/>
      <c r="V39" s="354"/>
      <c r="W39" s="354"/>
      <c r="X39" s="354"/>
      <c r="Y39" s="354"/>
      <c r="Z39" s="511"/>
      <c r="AA39" s="497"/>
      <c r="AB39" s="497"/>
      <c r="AC39" s="497"/>
      <c r="AD39" s="497"/>
      <c r="AH39" s="364"/>
      <c r="AI39" s="238"/>
      <c r="AJ39" s="565"/>
      <c r="AM39" s="584"/>
      <c r="AN39" s="591"/>
      <c r="AO39" s="591"/>
      <c r="AP39" s="364"/>
      <c r="AR39" s="597"/>
      <c r="AS39" s="584"/>
      <c r="AT39" s="584"/>
      <c r="AU39" s="365"/>
      <c r="AV39" s="365"/>
      <c r="AX39" s="637"/>
      <c r="AY39" s="637"/>
      <c r="AZ39" s="637"/>
    </row>
    <row r="40" spans="2:52">
      <c r="B40" s="520" t="s">
        <v>912</v>
      </c>
      <c r="C40" s="362">
        <v>59.72</v>
      </c>
      <c r="D40" s="362">
        <v>8.4829999999999472</v>
      </c>
      <c r="E40" s="362">
        <v>66</v>
      </c>
      <c r="F40" s="362">
        <v>51</v>
      </c>
      <c r="G40" s="362">
        <v>710</v>
      </c>
      <c r="H40" s="362">
        <v>6658.2</v>
      </c>
      <c r="I40" s="362">
        <v>5163.6000000000004</v>
      </c>
      <c r="J40" s="362">
        <v>5107.8999999999996</v>
      </c>
      <c r="K40" s="362">
        <v>5399.6</v>
      </c>
      <c r="L40" s="362">
        <v>6050.3</v>
      </c>
      <c r="M40" s="362">
        <v>14050.292000000001</v>
      </c>
      <c r="N40" s="499">
        <v>9250.1150000000052</v>
      </c>
      <c r="O40" s="504">
        <v>18015</v>
      </c>
      <c r="P40" s="501">
        <v>8800.1299999999901</v>
      </c>
      <c r="Q40" s="501">
        <v>24527.8</v>
      </c>
      <c r="R40" s="502">
        <v>54753.8</v>
      </c>
      <c r="S40" s="502">
        <v>51874.5</v>
      </c>
      <c r="T40" s="501">
        <v>64218.940999999992</v>
      </c>
      <c r="U40" s="501">
        <v>61961.46</v>
      </c>
      <c r="V40" s="501">
        <v>61111.376939999987</v>
      </c>
      <c r="W40" s="501">
        <v>61609.7</v>
      </c>
      <c r="X40" s="501">
        <v>78412.250380000041</v>
      </c>
      <c r="Y40" s="501">
        <v>79693.237000000023</v>
      </c>
      <c r="Z40" s="507">
        <v>53073.501000000018</v>
      </c>
      <c r="AA40" s="497">
        <v>36589.485339999985</v>
      </c>
      <c r="AB40" s="497">
        <v>46058.451000000001</v>
      </c>
      <c r="AC40" s="497">
        <v>42247.4</v>
      </c>
      <c r="AD40" s="497">
        <v>40472.453000000009</v>
      </c>
      <c r="AE40" s="238">
        <v>43665.595000000001</v>
      </c>
      <c r="AF40" s="238">
        <v>40523.300000000003</v>
      </c>
      <c r="AG40" s="270">
        <v>45505.232029999999</v>
      </c>
      <c r="AH40" s="364">
        <v>45505.232029999999</v>
      </c>
      <c r="AI40" s="238">
        <v>48322.841030000003</v>
      </c>
      <c r="AJ40" s="565">
        <v>18182.7</v>
      </c>
      <c r="AK40" s="238">
        <v>10706.1</v>
      </c>
      <c r="AL40" s="238">
        <v>52440.1</v>
      </c>
      <c r="AM40" s="584">
        <v>32663</v>
      </c>
      <c r="AN40" s="591">
        <v>35722.357000000004</v>
      </c>
      <c r="AO40" s="591">
        <v>47602.11</v>
      </c>
      <c r="AP40" s="364">
        <v>41942.506999999998</v>
      </c>
      <c r="AQ40" s="238">
        <v>66248.399999999994</v>
      </c>
      <c r="AR40" s="597">
        <v>31257.599999999999</v>
      </c>
      <c r="AS40" s="584">
        <v>65758</v>
      </c>
      <c r="AT40" s="584">
        <v>64463.756999999991</v>
      </c>
      <c r="AU40" s="365">
        <v>56445.3</v>
      </c>
      <c r="AV40" s="365">
        <v>60561.8</v>
      </c>
      <c r="AW40" s="238">
        <v>46439.3</v>
      </c>
      <c r="AX40" s="638">
        <v>44191.421000000002</v>
      </c>
      <c r="AY40" s="638">
        <v>21339</v>
      </c>
      <c r="AZ40" s="638">
        <v>55713.974000000002</v>
      </c>
    </row>
    <row r="41" spans="2:52" ht="15.6" customHeight="1">
      <c r="B41" s="520"/>
      <c r="C41" s="362"/>
      <c r="D41" s="362"/>
      <c r="E41" s="362"/>
      <c r="F41" s="362"/>
      <c r="G41" s="362"/>
      <c r="H41" s="362"/>
      <c r="I41" s="362"/>
      <c r="J41" s="362"/>
      <c r="K41" s="362"/>
      <c r="L41" s="362"/>
      <c r="M41" s="362"/>
      <c r="N41" s="499"/>
      <c r="O41" s="504"/>
      <c r="P41" s="501"/>
      <c r="Q41" s="501"/>
      <c r="R41" s="502"/>
      <c r="S41" s="502"/>
      <c r="T41" s="354"/>
      <c r="U41" s="354"/>
      <c r="V41" s="354"/>
      <c r="W41" s="354"/>
      <c r="X41" s="354"/>
      <c r="Y41" s="354"/>
      <c r="Z41" s="505"/>
      <c r="AA41" s="497"/>
      <c r="AB41" s="497"/>
      <c r="AC41" s="497"/>
      <c r="AD41" s="497"/>
      <c r="AH41" s="364"/>
      <c r="AI41" s="238"/>
      <c r="AJ41" s="565"/>
      <c r="AM41" s="584"/>
      <c r="AN41" s="591"/>
      <c r="AO41" s="591"/>
      <c r="AP41" s="364"/>
      <c r="AR41" s="597"/>
      <c r="AS41" s="584"/>
      <c r="AT41" s="584"/>
      <c r="AU41" s="365"/>
      <c r="AV41" s="365"/>
      <c r="AX41" s="637"/>
      <c r="AY41" s="637"/>
      <c r="AZ41" s="637"/>
    </row>
    <row r="42" spans="2:52" ht="15.6" customHeight="1">
      <c r="B42" s="520" t="s">
        <v>913</v>
      </c>
      <c r="C42" s="362">
        <v>9.157799701790001E-5</v>
      </c>
      <c r="D42" s="362">
        <v>9.157799701790001E-5</v>
      </c>
      <c r="E42" s="362">
        <v>9.157799701790001E-5</v>
      </c>
      <c r="F42" s="362">
        <v>9.157799701790001E-5</v>
      </c>
      <c r="G42" s="362">
        <v>9.157799701790001E-5</v>
      </c>
      <c r="H42" s="362">
        <v>9.157799701790001E-5</v>
      </c>
      <c r="I42" s="362">
        <v>9.157799701790001E-5</v>
      </c>
      <c r="J42" s="362">
        <v>9.157799701790001E-5</v>
      </c>
      <c r="K42" s="362">
        <v>9.157799701790001E-5</v>
      </c>
      <c r="L42" s="362">
        <v>9.157799701790001E-5</v>
      </c>
      <c r="M42" s="362">
        <v>9.157799701790001E-5</v>
      </c>
      <c r="N42" s="499">
        <v>9.157799701790001E-5</v>
      </c>
      <c r="O42" s="504">
        <v>9.157799701790001E-5</v>
      </c>
      <c r="P42" s="501">
        <v>9.157799701790001E-5</v>
      </c>
      <c r="Q42" s="501">
        <v>9.157799701790001E-5</v>
      </c>
      <c r="R42" s="502">
        <v>0</v>
      </c>
      <c r="S42" s="502">
        <v>0</v>
      </c>
      <c r="T42" s="502">
        <v>9.157799701790001E-5</v>
      </c>
      <c r="U42" s="502">
        <v>9.157799701790001E-5</v>
      </c>
      <c r="V42" s="354">
        <v>9.157799701790001E-5</v>
      </c>
      <c r="W42" s="354">
        <v>9.157799701790001E-5</v>
      </c>
      <c r="X42" s="354">
        <v>9.157799701790001E-5</v>
      </c>
      <c r="Y42" s="354">
        <v>9.157799701790001E-5</v>
      </c>
      <c r="Z42" s="511">
        <v>9.157799701790001E-5</v>
      </c>
      <c r="AA42" s="497"/>
      <c r="AB42" s="497"/>
      <c r="AC42" s="497"/>
      <c r="AD42" s="497"/>
      <c r="AE42" s="238">
        <v>9.157799701790001E-5</v>
      </c>
      <c r="AG42" s="270">
        <v>9.157799701790001E-5</v>
      </c>
      <c r="AH42" s="364">
        <v>9.157799701790001E-5</v>
      </c>
      <c r="AI42" s="238">
        <v>9.157799701790001E-5</v>
      </c>
      <c r="AJ42" s="565"/>
      <c r="AM42" s="584"/>
      <c r="AN42" s="591">
        <v>9.157799701790001E-5</v>
      </c>
      <c r="AO42" s="591"/>
      <c r="AP42" s="364"/>
      <c r="AR42" s="597"/>
      <c r="AS42" s="584">
        <v>9.157799701790001E-5</v>
      </c>
      <c r="AT42" s="584">
        <v>9.157799701790001E-5</v>
      </c>
      <c r="AU42" s="365">
        <v>0</v>
      </c>
      <c r="AV42" s="365"/>
      <c r="AX42" s="639">
        <v>9.157799701790001E-5</v>
      </c>
      <c r="AY42" s="639">
        <v>9.157799701790001E-5</v>
      </c>
      <c r="AZ42" s="639"/>
    </row>
    <row r="43" spans="2:52">
      <c r="B43" s="520"/>
      <c r="C43" s="362"/>
      <c r="D43" s="362"/>
      <c r="E43" s="362"/>
      <c r="F43" s="362"/>
      <c r="G43" s="362"/>
      <c r="H43" s="362"/>
      <c r="I43" s="362"/>
      <c r="J43" s="362"/>
      <c r="K43" s="362"/>
      <c r="L43" s="362"/>
      <c r="M43" s="362"/>
      <c r="N43" s="499"/>
      <c r="O43" s="504"/>
      <c r="P43" s="501"/>
      <c r="Q43" s="501"/>
      <c r="R43" s="502"/>
      <c r="S43" s="502"/>
      <c r="T43" s="354"/>
      <c r="U43" s="354"/>
      <c r="V43" s="354"/>
      <c r="W43" s="354"/>
      <c r="X43" s="354"/>
      <c r="Y43" s="354"/>
      <c r="Z43" s="505"/>
      <c r="AA43" s="497"/>
      <c r="AB43" s="497"/>
      <c r="AC43" s="497"/>
      <c r="AD43" s="497"/>
      <c r="AH43" s="364"/>
      <c r="AI43" s="238"/>
      <c r="AJ43" s="565"/>
      <c r="AM43" s="584"/>
      <c r="AN43" s="591"/>
      <c r="AO43" s="591"/>
      <c r="AP43" s="364"/>
      <c r="AR43" s="597"/>
      <c r="AS43" s="584"/>
      <c r="AT43" s="584"/>
      <c r="AU43" s="365"/>
      <c r="AV43" s="365"/>
      <c r="AX43" s="637"/>
      <c r="AY43" s="637"/>
      <c r="AZ43" s="637"/>
    </row>
    <row r="44" spans="2:52">
      <c r="B44" s="520" t="s">
        <v>914</v>
      </c>
      <c r="C44" s="362">
        <v>0.46516791036729999</v>
      </c>
      <c r="D44" s="362">
        <v>1.0004152877500339E-2</v>
      </c>
      <c r="E44" s="362">
        <v>1.0000018045866144E-2</v>
      </c>
      <c r="F44" s="362">
        <v>1.8319999999998799</v>
      </c>
      <c r="G44" s="362">
        <v>5076.8940000000002</v>
      </c>
      <c r="H44" s="362">
        <v>5922.9330000000009</v>
      </c>
      <c r="I44" s="362">
        <v>6327.0559999999996</v>
      </c>
      <c r="J44" s="362">
        <v>5859.4660000000003</v>
      </c>
      <c r="K44" s="362">
        <v>6702.9050000000007</v>
      </c>
      <c r="L44" s="362">
        <v>7436.0449999999992</v>
      </c>
      <c r="M44" s="362">
        <v>11900.912999999999</v>
      </c>
      <c r="N44" s="499">
        <v>9776.2790000000023</v>
      </c>
      <c r="O44" s="504">
        <v>10947.745457910369</v>
      </c>
      <c r="P44" s="501">
        <v>13831.103004152876</v>
      </c>
      <c r="Q44" s="501">
        <v>14483.538690018053</v>
      </c>
      <c r="R44" s="502">
        <v>19211.7</v>
      </c>
      <c r="S44" s="502">
        <v>26941.599999999999</v>
      </c>
      <c r="T44" s="501">
        <v>36977.21921000001</v>
      </c>
      <c r="U44" s="501">
        <v>41581.447239999994</v>
      </c>
      <c r="V44" s="354">
        <v>53.511230000003707</v>
      </c>
      <c r="W44" s="501">
        <v>42040.941930000001</v>
      </c>
      <c r="X44" s="501">
        <v>55544.822040000014</v>
      </c>
      <c r="Y44" s="501">
        <v>39019.865339999997</v>
      </c>
      <c r="Z44" s="507">
        <v>52544.262999999999</v>
      </c>
      <c r="AA44" s="497">
        <v>70103.329140010159</v>
      </c>
      <c r="AB44" s="497">
        <v>76178.57272415288</v>
      </c>
      <c r="AC44" s="497">
        <v>83028.288110018038</v>
      </c>
      <c r="AD44" s="497">
        <v>85018.808999999979</v>
      </c>
      <c r="AE44" s="238">
        <v>102478.37929</v>
      </c>
      <c r="AF44" s="238">
        <v>77392.2</v>
      </c>
      <c r="AG44" s="270">
        <v>80622.708069999993</v>
      </c>
      <c r="AH44" s="364">
        <v>80622.708069999993</v>
      </c>
      <c r="AI44" s="238">
        <v>93194.774430000019</v>
      </c>
      <c r="AJ44" s="565">
        <v>92971.199999999997</v>
      </c>
      <c r="AK44" s="238">
        <v>123945.9</v>
      </c>
      <c r="AL44" s="238">
        <v>100654.2</v>
      </c>
      <c r="AM44" s="584">
        <v>94158.8</v>
      </c>
      <c r="AN44" s="591">
        <v>115296.23907002264</v>
      </c>
      <c r="AO44" s="591">
        <v>152203.52509001808</v>
      </c>
      <c r="AP44" s="364">
        <v>125863.15834000002</v>
      </c>
      <c r="AQ44" s="238">
        <v>93384.4</v>
      </c>
      <c r="AR44" s="597">
        <v>109663.7</v>
      </c>
      <c r="AS44" s="584">
        <v>156055.24318999995</v>
      </c>
      <c r="AT44" s="584">
        <v>170113.22777</v>
      </c>
      <c r="AU44" s="365">
        <v>172761.3</v>
      </c>
      <c r="AV44" s="365">
        <v>165382.5</v>
      </c>
      <c r="AW44" s="238">
        <v>179493.1</v>
      </c>
      <c r="AX44" s="638">
        <v>184561.18147000001</v>
      </c>
      <c r="AY44" s="638">
        <v>192823.3</v>
      </c>
      <c r="AZ44" s="638">
        <v>194226.71276002267</v>
      </c>
    </row>
    <row r="45" spans="2:52">
      <c r="B45" s="520"/>
      <c r="C45" s="362"/>
      <c r="D45" s="362"/>
      <c r="E45" s="362"/>
      <c r="F45" s="362"/>
      <c r="G45" s="362"/>
      <c r="H45" s="362"/>
      <c r="I45" s="362"/>
      <c r="J45" s="362"/>
      <c r="K45" s="362"/>
      <c r="L45" s="362"/>
      <c r="M45" s="362"/>
      <c r="N45" s="499"/>
      <c r="O45" s="504"/>
      <c r="P45" s="501"/>
      <c r="Q45" s="501"/>
      <c r="R45" s="502"/>
      <c r="S45" s="502"/>
      <c r="T45" s="354"/>
      <c r="U45" s="354"/>
      <c r="V45" s="354"/>
      <c r="W45" s="354"/>
      <c r="X45" s="354"/>
      <c r="Y45" s="354"/>
      <c r="Z45" s="512"/>
      <c r="AA45" s="497"/>
      <c r="AB45" s="497"/>
      <c r="AC45" s="497"/>
      <c r="AD45" s="497"/>
      <c r="AH45" s="364"/>
      <c r="AI45" s="238"/>
      <c r="AJ45" s="565"/>
      <c r="AM45" s="584"/>
      <c r="AN45" s="591"/>
      <c r="AO45" s="591"/>
      <c r="AP45" s="364"/>
      <c r="AR45" s="597"/>
      <c r="AS45" s="584"/>
      <c r="AT45" s="584"/>
      <c r="AU45" s="365"/>
      <c r="AV45" s="365"/>
      <c r="AX45" s="637"/>
      <c r="AY45" s="637"/>
      <c r="AZ45" s="637"/>
    </row>
    <row r="46" spans="2:52">
      <c r="B46" s="520" t="s">
        <v>915</v>
      </c>
      <c r="C46" s="362">
        <v>1.0300000000000001E-3</v>
      </c>
      <c r="D46" s="362">
        <v>2.9999999999999997E-5</v>
      </c>
      <c r="E46" s="362">
        <v>2873.12203</v>
      </c>
      <c r="F46" s="362">
        <v>8.9999999999999993E-3</v>
      </c>
      <c r="G46" s="362">
        <v>1.2E-2</v>
      </c>
      <c r="H46" s="362">
        <v>6.7919999999999998</v>
      </c>
      <c r="I46" s="362">
        <v>0</v>
      </c>
      <c r="J46" s="362">
        <v>0</v>
      </c>
      <c r="K46" s="362">
        <v>0</v>
      </c>
      <c r="L46" s="362">
        <v>0</v>
      </c>
      <c r="M46" s="362">
        <v>0</v>
      </c>
      <c r="N46" s="499">
        <v>1500</v>
      </c>
      <c r="O46" s="504">
        <v>1902.75603</v>
      </c>
      <c r="P46" s="501">
        <v>2502.75603</v>
      </c>
      <c r="Q46" s="501">
        <v>2602.75603</v>
      </c>
      <c r="R46" s="498">
        <v>0</v>
      </c>
      <c r="S46" s="498">
        <v>0</v>
      </c>
      <c r="T46" s="498">
        <v>0</v>
      </c>
      <c r="U46" s="498">
        <v>0</v>
      </c>
      <c r="V46" s="498">
        <v>0</v>
      </c>
      <c r="W46" s="498">
        <v>0</v>
      </c>
      <c r="X46" s="498">
        <v>0</v>
      </c>
      <c r="Y46" s="498">
        <v>0</v>
      </c>
      <c r="Z46" s="514">
        <v>0</v>
      </c>
      <c r="AA46" s="498">
        <v>0</v>
      </c>
      <c r="AB46" s="498">
        <v>0</v>
      </c>
      <c r="AC46" s="498">
        <v>2.9999999999999997E-5</v>
      </c>
      <c r="AD46" s="498">
        <v>0</v>
      </c>
      <c r="AE46" s="238">
        <v>0</v>
      </c>
      <c r="AF46" s="238">
        <v>0</v>
      </c>
      <c r="AG46" s="270">
        <v>0</v>
      </c>
      <c r="AH46" s="364">
        <v>0</v>
      </c>
      <c r="AI46" s="238">
        <v>0</v>
      </c>
      <c r="AJ46" s="565">
        <v>0</v>
      </c>
      <c r="AK46" s="238">
        <v>0</v>
      </c>
      <c r="AM46" s="584"/>
      <c r="AN46" s="591">
        <v>5.9999999999999995E-5</v>
      </c>
      <c r="AO46" s="591">
        <v>2.9999999999999997E-5</v>
      </c>
      <c r="AP46" s="364"/>
      <c r="AR46" s="597"/>
      <c r="AS46" s="584">
        <v>0</v>
      </c>
      <c r="AT46" s="584">
        <v>0</v>
      </c>
      <c r="AU46" s="365"/>
      <c r="AV46" s="365"/>
      <c r="AX46" s="637"/>
      <c r="AY46" s="637"/>
      <c r="AZ46" s="637">
        <v>5.9999999999999995E-5</v>
      </c>
    </row>
    <row r="47" spans="2:52">
      <c r="B47" s="520"/>
      <c r="C47" s="362"/>
      <c r="D47" s="362"/>
      <c r="E47" s="362"/>
      <c r="F47" s="362"/>
      <c r="G47" s="362"/>
      <c r="H47" s="362"/>
      <c r="I47" s="362"/>
      <c r="J47" s="362"/>
      <c r="K47" s="362"/>
      <c r="L47" s="362"/>
      <c r="M47" s="362"/>
      <c r="N47" s="499"/>
      <c r="O47" s="504"/>
      <c r="P47" s="501"/>
      <c r="Q47" s="501"/>
      <c r="R47" s="502"/>
      <c r="S47" s="502"/>
      <c r="T47" s="354"/>
      <c r="U47" s="354"/>
      <c r="V47" s="354"/>
      <c r="W47" s="354"/>
      <c r="X47" s="354"/>
      <c r="Y47" s="354"/>
      <c r="Z47" s="505"/>
      <c r="AA47" s="497"/>
      <c r="AB47" s="497"/>
      <c r="AC47" s="497"/>
      <c r="AD47" s="497"/>
      <c r="AH47" s="364"/>
      <c r="AI47" s="238"/>
      <c r="AJ47" s="565"/>
      <c r="AM47" s="584"/>
      <c r="AN47" s="591"/>
      <c r="AO47" s="591"/>
      <c r="AP47" s="364"/>
      <c r="AR47" s="597"/>
      <c r="AS47" s="584"/>
      <c r="AT47" s="584"/>
      <c r="AU47" s="365"/>
      <c r="AV47" s="365"/>
      <c r="AX47" s="637"/>
      <c r="AY47" s="637"/>
      <c r="AZ47" s="637"/>
    </row>
    <row r="48" spans="2:52">
      <c r="B48" s="520" t="s">
        <v>916</v>
      </c>
      <c r="C48" s="362">
        <v>2.9568494289999994E-4</v>
      </c>
      <c r="D48" s="362">
        <v>1.2218403402E-3</v>
      </c>
      <c r="E48" s="362">
        <v>1.1959795821458101E-3</v>
      </c>
      <c r="F48" s="362">
        <v>2873.1219999999998</v>
      </c>
      <c r="G48" s="362">
        <v>2873.1219999999998</v>
      </c>
      <c r="H48" s="362">
        <v>2873.1219999999998</v>
      </c>
      <c r="I48" s="362">
        <v>10.804</v>
      </c>
      <c r="J48" s="362">
        <v>0</v>
      </c>
      <c r="K48" s="362">
        <v>0</v>
      </c>
      <c r="L48" s="362">
        <v>432.8</v>
      </c>
      <c r="M48" s="362">
        <v>432.8</v>
      </c>
      <c r="N48" s="499">
        <v>6332.8</v>
      </c>
      <c r="O48" s="504">
        <v>6332.8002956849423</v>
      </c>
      <c r="P48" s="501">
        <v>6332.801221840341</v>
      </c>
      <c r="Q48" s="501">
        <v>10141.558995979585</v>
      </c>
      <c r="R48" s="502">
        <v>10141.6</v>
      </c>
      <c r="S48" s="502">
        <v>10141.6</v>
      </c>
      <c r="T48" s="501">
        <v>10141.558800000001</v>
      </c>
      <c r="U48" s="501">
        <v>10141.558800000001</v>
      </c>
      <c r="V48" s="501">
        <v>10141.558800000001</v>
      </c>
      <c r="W48" s="501">
        <v>10141.558800000001</v>
      </c>
      <c r="X48" s="501">
        <v>10141.558800000001</v>
      </c>
      <c r="Y48" s="501">
        <v>10141.558800000001</v>
      </c>
      <c r="Z48" s="507">
        <v>10141.558800000001</v>
      </c>
      <c r="AA48" s="497">
        <v>10141.559021731144</v>
      </c>
      <c r="AB48" s="497">
        <v>10141.5600218403</v>
      </c>
      <c r="AC48" s="497">
        <v>10141.558995979585</v>
      </c>
      <c r="AD48" s="497">
        <v>10141.558800000001</v>
      </c>
      <c r="AE48" s="238">
        <v>10141.558800000001</v>
      </c>
      <c r="AF48" s="238">
        <v>10141.6</v>
      </c>
      <c r="AG48" s="270">
        <v>10141.558800000001</v>
      </c>
      <c r="AH48" s="364">
        <v>10141.558800000001</v>
      </c>
      <c r="AI48" s="238">
        <v>10141.558800000001</v>
      </c>
      <c r="AJ48" s="565">
        <v>10141.6</v>
      </c>
      <c r="AK48" s="238">
        <v>10141.6</v>
      </c>
      <c r="AL48" s="238">
        <v>10141.6</v>
      </c>
      <c r="AM48" s="361">
        <v>10141.6</v>
      </c>
      <c r="AN48" s="591">
        <v>10141.55992493894</v>
      </c>
      <c r="AO48" s="591">
        <v>10141.558995979585</v>
      </c>
      <c r="AP48" s="364">
        <v>10141.558800000001</v>
      </c>
      <c r="AQ48" s="238">
        <v>10141.6</v>
      </c>
      <c r="AR48" s="597">
        <v>10141.6</v>
      </c>
      <c r="AS48" s="584">
        <v>10141.558800000001</v>
      </c>
      <c r="AT48" s="584">
        <v>10141.558800000001</v>
      </c>
      <c r="AU48" s="365">
        <v>10141.6</v>
      </c>
      <c r="AV48" s="365">
        <v>10141.6</v>
      </c>
      <c r="AW48" s="238">
        <v>10141.6</v>
      </c>
      <c r="AX48" s="638">
        <v>10141.558800000001</v>
      </c>
      <c r="AY48" s="638">
        <v>10141.6</v>
      </c>
      <c r="AZ48" s="638">
        <v>10141.55992493894</v>
      </c>
    </row>
    <row r="49" spans="2:63">
      <c r="B49" s="520"/>
      <c r="C49" s="362"/>
      <c r="D49" s="362"/>
      <c r="E49" s="362"/>
      <c r="F49" s="362"/>
      <c r="G49" s="362"/>
      <c r="H49" s="362"/>
      <c r="I49" s="362"/>
      <c r="J49" s="362"/>
      <c r="K49" s="362"/>
      <c r="L49" s="362"/>
      <c r="M49" s="362"/>
      <c r="N49" s="499"/>
      <c r="O49" s="504"/>
      <c r="P49" s="501"/>
      <c r="Q49" s="501"/>
      <c r="R49" s="502"/>
      <c r="S49" s="502"/>
      <c r="T49" s="354"/>
      <c r="U49" s="354"/>
      <c r="V49" s="354"/>
      <c r="W49" s="354"/>
      <c r="X49" s="354"/>
      <c r="Y49" s="354"/>
      <c r="Z49" s="505"/>
      <c r="AA49" s="497"/>
      <c r="AB49" s="497"/>
      <c r="AC49" s="497"/>
      <c r="AD49" s="497"/>
      <c r="AH49" s="364"/>
      <c r="AI49" s="238"/>
      <c r="AJ49" s="565"/>
      <c r="AM49" s="361"/>
      <c r="AN49" s="591"/>
      <c r="AO49" s="591"/>
      <c r="AP49" s="364"/>
      <c r="AR49" s="597"/>
      <c r="AS49" s="584"/>
      <c r="AT49" s="584"/>
      <c r="AU49" s="365"/>
      <c r="AV49" s="365"/>
      <c r="AX49" s="638"/>
      <c r="AY49" s="638"/>
      <c r="AZ49" s="638"/>
    </row>
    <row r="50" spans="2:63">
      <c r="B50" s="520" t="s">
        <v>917</v>
      </c>
      <c r="C50" s="362">
        <v>0</v>
      </c>
      <c r="D50" s="362">
        <v>0</v>
      </c>
      <c r="E50" s="362">
        <v>0</v>
      </c>
      <c r="F50" s="362">
        <v>1.8260000000000001</v>
      </c>
      <c r="G50" s="362">
        <v>3.2890000000000001</v>
      </c>
      <c r="H50" s="362">
        <v>3.2890000000000001</v>
      </c>
      <c r="I50" s="362">
        <v>3.2890000000000001</v>
      </c>
      <c r="J50" s="362">
        <v>3.2890000000000001</v>
      </c>
      <c r="K50" s="362">
        <v>1294.04</v>
      </c>
      <c r="L50" s="362">
        <v>2078.4279999999999</v>
      </c>
      <c r="M50" s="362">
        <v>4195.7</v>
      </c>
      <c r="N50" s="499">
        <v>4887.9260000000004</v>
      </c>
      <c r="O50" s="504">
        <v>2764.895</v>
      </c>
      <c r="P50" s="501">
        <v>4962.7709999999997</v>
      </c>
      <c r="Q50" s="501">
        <v>7489.9210000000003</v>
      </c>
      <c r="R50" s="502">
        <v>8421.6</v>
      </c>
      <c r="S50" s="502">
        <v>9915.7000000000007</v>
      </c>
      <c r="T50" s="501">
        <v>10275.278</v>
      </c>
      <c r="U50" s="501">
        <v>11979.595590000001</v>
      </c>
      <c r="V50" s="501">
        <v>9457.2357999999986</v>
      </c>
      <c r="W50" s="354">
        <v>7954.1894599999996</v>
      </c>
      <c r="X50" s="501">
        <v>8966.5059299999994</v>
      </c>
      <c r="Y50" s="501">
        <v>7818.0320000000002</v>
      </c>
      <c r="Z50" s="507">
        <v>8570.5159999999996</v>
      </c>
      <c r="AA50" s="497">
        <v>2764.895</v>
      </c>
      <c r="AB50" s="497">
        <v>12038.55</v>
      </c>
      <c r="AC50" s="497">
        <v>13131.021000000001</v>
      </c>
      <c r="AD50" s="497">
        <v>14033.035</v>
      </c>
      <c r="AE50" s="238">
        <v>10036.790000000001</v>
      </c>
      <c r="AF50" s="238">
        <v>8608.2999999999993</v>
      </c>
      <c r="AG50" s="270">
        <v>12141.831310000001</v>
      </c>
      <c r="AH50" s="364">
        <v>12141.831310000001</v>
      </c>
      <c r="AI50" s="238">
        <v>13319.721390000001</v>
      </c>
      <c r="AJ50" s="565">
        <v>13634.3</v>
      </c>
      <c r="AK50" s="238">
        <v>11424.3</v>
      </c>
      <c r="AL50" s="238">
        <v>7869</v>
      </c>
      <c r="AM50" s="361">
        <v>9351.9</v>
      </c>
      <c r="AN50" s="591">
        <v>7971.1689999999999</v>
      </c>
      <c r="AO50" s="591">
        <v>5404.0690000000004</v>
      </c>
      <c r="AP50" s="555">
        <v>6217.3919999999998</v>
      </c>
      <c r="AQ50" s="238">
        <v>5995</v>
      </c>
      <c r="AR50" s="597">
        <v>8259.1</v>
      </c>
      <c r="AS50" s="584">
        <v>9770.5059999999994</v>
      </c>
      <c r="AT50" s="584">
        <v>8017.9889999999996</v>
      </c>
      <c r="AU50" s="365">
        <v>8316.7999999999993</v>
      </c>
      <c r="AV50" s="365">
        <v>11324</v>
      </c>
      <c r="AW50" s="238">
        <v>9964.9</v>
      </c>
      <c r="AX50" s="638">
        <v>8973.9150000000009</v>
      </c>
      <c r="AY50" s="638">
        <v>8497.2000000000007</v>
      </c>
      <c r="AZ50" s="638">
        <v>8447.9110000000001</v>
      </c>
    </row>
    <row r="51" spans="2:63">
      <c r="B51" s="520"/>
      <c r="C51" s="362"/>
      <c r="D51" s="362"/>
      <c r="E51" s="362"/>
      <c r="F51" s="362"/>
      <c r="G51" s="362"/>
      <c r="H51" s="362"/>
      <c r="I51" s="362"/>
      <c r="J51" s="362"/>
      <c r="K51" s="362"/>
      <c r="L51" s="362"/>
      <c r="M51" s="362"/>
      <c r="N51" s="499"/>
      <c r="O51" s="504"/>
      <c r="P51" s="501"/>
      <c r="Q51" s="501"/>
      <c r="R51" s="502"/>
      <c r="S51" s="502"/>
      <c r="T51" s="354"/>
      <c r="U51" s="354"/>
      <c r="V51" s="354"/>
      <c r="W51" s="354"/>
      <c r="X51" s="354"/>
      <c r="Y51" s="354"/>
      <c r="Z51" s="505"/>
      <c r="AA51" s="497"/>
      <c r="AB51" s="497"/>
      <c r="AC51" s="497"/>
      <c r="AD51" s="497"/>
      <c r="AH51" s="364"/>
      <c r="AI51" s="238"/>
      <c r="AJ51" s="565"/>
      <c r="AM51" s="361"/>
      <c r="AN51" s="591"/>
      <c r="AO51" s="591"/>
      <c r="AP51" s="501"/>
      <c r="AR51" s="597"/>
      <c r="AS51" s="361"/>
      <c r="AT51" s="361"/>
      <c r="AU51" s="365"/>
      <c r="AV51" s="365"/>
      <c r="AX51" s="637"/>
      <c r="AY51" s="637"/>
      <c r="AZ51" s="637"/>
    </row>
    <row r="52" spans="2:63" s="358" customFormat="1">
      <c r="B52" s="521" t="s">
        <v>1153</v>
      </c>
      <c r="C52" s="363">
        <v>297625.57121488929</v>
      </c>
      <c r="D52" s="363">
        <v>383191.39279967669</v>
      </c>
      <c r="E52" s="363">
        <v>399843.1981317405</v>
      </c>
      <c r="F52" s="363">
        <v>495409.82548873301</v>
      </c>
      <c r="G52" s="363">
        <v>544913.72207873326</v>
      </c>
      <c r="H52" s="363">
        <v>711302.90849873319</v>
      </c>
      <c r="I52" s="363">
        <v>784882.49117873318</v>
      </c>
      <c r="J52" s="363">
        <v>862032.91029873304</v>
      </c>
      <c r="K52" s="363">
        <v>969497.31382873305</v>
      </c>
      <c r="L52" s="363">
        <v>991698.39368873311</v>
      </c>
      <c r="M52" s="363">
        <v>1210198.3422087331</v>
      </c>
      <c r="N52" s="500">
        <v>1381247.219068733</v>
      </c>
      <c r="O52" s="508">
        <f>SUM(O38:O50)</f>
        <v>54392.496875173303</v>
      </c>
      <c r="P52" s="503">
        <f t="shared" ref="P52:Z52" si="6">SUM(P38:P50)</f>
        <v>57202.621347571199</v>
      </c>
      <c r="Q52" s="503">
        <f t="shared" si="6"/>
        <v>98009.374807575659</v>
      </c>
      <c r="R52" s="503">
        <f t="shared" si="6"/>
        <v>145289.70000000001</v>
      </c>
      <c r="S52" s="503">
        <f t="shared" si="6"/>
        <v>162874.80000000002</v>
      </c>
      <c r="T52" s="503">
        <f t="shared" si="6"/>
        <v>173341.89296157798</v>
      </c>
      <c r="U52" s="503">
        <f t="shared" si="6"/>
        <v>171849.11970157796</v>
      </c>
      <c r="V52" s="503">
        <f t="shared" si="6"/>
        <v>130087.074281578</v>
      </c>
      <c r="W52" s="503">
        <f t="shared" si="6"/>
        <v>174018.79127157803</v>
      </c>
      <c r="X52" s="503">
        <f t="shared" si="6"/>
        <v>228190.53724157816</v>
      </c>
      <c r="Y52" s="503">
        <f t="shared" si="6"/>
        <v>265445.29265157809</v>
      </c>
      <c r="Z52" s="509">
        <f t="shared" si="6"/>
        <v>201937.27095157802</v>
      </c>
      <c r="AA52" s="496">
        <f t="shared" ref="AA52:AG52" si="7">SUM(AA38:AA50)</f>
        <v>224011.25194174118</v>
      </c>
      <c r="AB52" s="496">
        <f t="shared" si="7"/>
        <v>238907.99354599317</v>
      </c>
      <c r="AC52" s="496">
        <f t="shared" si="7"/>
        <v>258551.25213599761</v>
      </c>
      <c r="AD52" s="496">
        <f t="shared" si="7"/>
        <v>238763.08671999999</v>
      </c>
      <c r="AE52" s="496">
        <f t="shared" si="7"/>
        <v>270413.39083157794</v>
      </c>
      <c r="AF52" s="496">
        <f t="shared" si="7"/>
        <v>281646.09999999998</v>
      </c>
      <c r="AG52" s="573">
        <f t="shared" si="7"/>
        <v>259913.59395157793</v>
      </c>
      <c r="AH52" s="554">
        <f t="shared" ref="AH52:AZ52" si="8">SUM(AH38:AH50)</f>
        <v>259913.59395157793</v>
      </c>
      <c r="AI52" s="496">
        <f t="shared" si="8"/>
        <v>349644.75025157811</v>
      </c>
      <c r="AJ52" s="566">
        <f t="shared" si="8"/>
        <v>288916.5</v>
      </c>
      <c r="AK52" s="578">
        <f t="shared" si="8"/>
        <v>331299.49999999994</v>
      </c>
      <c r="AL52" s="578">
        <f t="shared" si="8"/>
        <v>302841.69999999995</v>
      </c>
      <c r="AM52" s="586">
        <f t="shared" si="8"/>
        <v>258426.40000000002</v>
      </c>
      <c r="AN52" s="586">
        <f t="shared" si="8"/>
        <v>295791.79237653961</v>
      </c>
      <c r="AO52" s="586">
        <f t="shared" si="8"/>
        <v>529767.47458599776</v>
      </c>
      <c r="AP52" s="586">
        <f t="shared" si="8"/>
        <v>473171.27301000006</v>
      </c>
      <c r="AQ52" s="586">
        <f t="shared" si="8"/>
        <v>523585.4</v>
      </c>
      <c r="AR52" s="597">
        <f t="shared" si="8"/>
        <v>388253.49999999994</v>
      </c>
      <c r="AS52" s="595">
        <f t="shared" si="8"/>
        <v>569545.15419157804</v>
      </c>
      <c r="AT52" s="595">
        <f t="shared" si="8"/>
        <v>445718.94265397807</v>
      </c>
      <c r="AU52" s="600">
        <f t="shared" si="8"/>
        <v>558832.70000000007</v>
      </c>
      <c r="AV52" s="600">
        <f t="shared" si="8"/>
        <v>482976.8</v>
      </c>
      <c r="AW52" s="600">
        <f t="shared" si="8"/>
        <v>670390.80000000005</v>
      </c>
      <c r="AX52" s="635">
        <f t="shared" si="8"/>
        <v>562248.79777157819</v>
      </c>
      <c r="AY52" s="635">
        <f t="shared" si="8"/>
        <v>584157.70009157795</v>
      </c>
      <c r="AZ52" s="635">
        <f t="shared" si="8"/>
        <v>566144.06650496146</v>
      </c>
    </row>
    <row r="53" spans="2:63" s="358" customFormat="1">
      <c r="B53" s="521"/>
      <c r="C53" s="363"/>
      <c r="D53" s="363"/>
      <c r="E53" s="363"/>
      <c r="F53" s="363"/>
      <c r="G53" s="363"/>
      <c r="H53" s="363"/>
      <c r="I53" s="363"/>
      <c r="J53" s="363"/>
      <c r="K53" s="363"/>
      <c r="L53" s="363"/>
      <c r="M53" s="363"/>
      <c r="N53" s="500"/>
      <c r="O53" s="508"/>
      <c r="P53" s="503"/>
      <c r="Q53" s="503"/>
      <c r="R53" s="503"/>
      <c r="S53" s="503"/>
      <c r="T53" s="503"/>
      <c r="U53" s="503"/>
      <c r="V53" s="503"/>
      <c r="W53" s="503"/>
      <c r="X53" s="503"/>
      <c r="Y53" s="503"/>
      <c r="Z53" s="509"/>
      <c r="AA53" s="496"/>
      <c r="AB53" s="496"/>
      <c r="AC53" s="496"/>
      <c r="AD53" s="496"/>
      <c r="AG53" s="576"/>
      <c r="AH53" s="555"/>
      <c r="AJ53" s="567"/>
      <c r="AK53" s="578"/>
      <c r="AL53" s="578"/>
      <c r="AM53" s="586"/>
      <c r="AN53" s="557"/>
      <c r="AO53" s="557"/>
      <c r="AP53" s="503"/>
      <c r="AR53" s="597"/>
      <c r="AS53" s="599"/>
      <c r="AT53" s="599"/>
      <c r="AU53" s="578"/>
      <c r="AV53" s="365"/>
      <c r="AX53" s="640"/>
      <c r="AY53" s="640"/>
      <c r="AZ53" s="640"/>
    </row>
    <row r="54" spans="2:63" s="358" customFormat="1" ht="16.5" thickBot="1">
      <c r="B54" s="521" t="s">
        <v>1154</v>
      </c>
      <c r="C54" s="363"/>
      <c r="D54" s="363"/>
      <c r="E54" s="363"/>
      <c r="F54" s="363"/>
      <c r="G54" s="363"/>
      <c r="H54" s="363"/>
      <c r="I54" s="363"/>
      <c r="J54" s="363"/>
      <c r="K54" s="363"/>
      <c r="L54" s="363"/>
      <c r="M54" s="508">
        <f>+M52+M36+M19</f>
        <v>3348031.2008574661</v>
      </c>
      <c r="N54" s="508">
        <f>+N52+N36+N19</f>
        <v>3708840.7481874661</v>
      </c>
      <c r="O54" s="508">
        <f>+O52+O36+O19</f>
        <v>1407816.5777930133</v>
      </c>
      <c r="P54" s="503">
        <f t="shared" ref="P54:Z54" si="9">+P52+P36+P19</f>
        <v>1546052.2185173298</v>
      </c>
      <c r="Q54" s="503">
        <f t="shared" si="9"/>
        <v>1689300.6540318877</v>
      </c>
      <c r="R54" s="503">
        <f t="shared" si="9"/>
        <v>1752273.0999999999</v>
      </c>
      <c r="S54" s="503">
        <f t="shared" si="9"/>
        <v>1832426.2000000002</v>
      </c>
      <c r="T54" s="503">
        <f t="shared" si="9"/>
        <v>1850575.1955988801</v>
      </c>
      <c r="U54" s="503">
        <f t="shared" si="9"/>
        <v>1917670.3839988797</v>
      </c>
      <c r="V54" s="503">
        <f t="shared" si="9"/>
        <v>2040170.76915888</v>
      </c>
      <c r="W54" s="503">
        <f t="shared" si="9"/>
        <v>2289513.0254988801</v>
      </c>
      <c r="X54" s="503">
        <f t="shared" si="9"/>
        <v>2151521.5055288803</v>
      </c>
      <c r="Y54" s="503">
        <f t="shared" si="9"/>
        <v>2296298.4426870644</v>
      </c>
      <c r="Z54" s="509">
        <f t="shared" si="9"/>
        <v>2327608.2661688803</v>
      </c>
      <c r="AA54" s="496">
        <f t="shared" ref="AA54:AG54" si="10">+AA52+AA36+AA19</f>
        <v>2361941.6192540904</v>
      </c>
      <c r="AB54" s="496">
        <f t="shared" si="10"/>
        <v>2458124.7435271824</v>
      </c>
      <c r="AC54" s="496">
        <f t="shared" si="10"/>
        <v>2578180.3797217403</v>
      </c>
      <c r="AD54" s="496">
        <f t="shared" si="10"/>
        <v>2601000.8478787332</v>
      </c>
      <c r="AE54" s="549">
        <f t="shared" si="10"/>
        <v>2733649.22130888</v>
      </c>
      <c r="AF54" s="549">
        <f t="shared" si="10"/>
        <v>2899723.4</v>
      </c>
      <c r="AG54" s="577">
        <f t="shared" si="10"/>
        <v>2952437.8115588799</v>
      </c>
      <c r="AH54" s="556">
        <f t="shared" ref="AH54:AZ54" si="11">+AH52+AH36+AH19</f>
        <v>2952437.8115588799</v>
      </c>
      <c r="AI54" s="549">
        <f t="shared" si="11"/>
        <v>3029291.0938988803</v>
      </c>
      <c r="AJ54" s="568">
        <f t="shared" si="11"/>
        <v>3053209.9</v>
      </c>
      <c r="AK54" s="549">
        <f t="shared" si="11"/>
        <v>3088576.1</v>
      </c>
      <c r="AL54" s="549">
        <f t="shared" si="11"/>
        <v>3100401.5</v>
      </c>
      <c r="AM54" s="587">
        <f t="shared" si="11"/>
        <v>3145024.4000000004</v>
      </c>
      <c r="AN54" s="587">
        <f t="shared" si="11"/>
        <v>3377567.729016298</v>
      </c>
      <c r="AO54" s="587">
        <f t="shared" si="11"/>
        <v>3438618.5246117404</v>
      </c>
      <c r="AP54" s="587">
        <f t="shared" si="11"/>
        <v>3453755.2482173024</v>
      </c>
      <c r="AQ54" s="587">
        <f t="shared" si="11"/>
        <v>3580185.3</v>
      </c>
      <c r="AR54" s="597">
        <f t="shared" si="11"/>
        <v>3590270.7</v>
      </c>
      <c r="AS54" s="595">
        <f>+AS52+AS36+AS19</f>
        <v>3697560.3799903113</v>
      </c>
      <c r="AT54" s="595">
        <f t="shared" si="11"/>
        <v>3589298.3316506725</v>
      </c>
      <c r="AU54" s="600">
        <f t="shared" si="11"/>
        <v>3728183.3</v>
      </c>
      <c r="AV54" s="600">
        <f t="shared" si="11"/>
        <v>3803963.9000000004</v>
      </c>
      <c r="AW54" s="600">
        <f t="shared" si="11"/>
        <v>3824656.8</v>
      </c>
      <c r="AX54" s="635">
        <f t="shared" si="11"/>
        <v>3886672.1280903113</v>
      </c>
      <c r="AY54" s="635">
        <f t="shared" si="11"/>
        <v>3808395.5000915779</v>
      </c>
      <c r="AZ54" s="635">
        <f t="shared" si="11"/>
        <v>3813616.9328847197</v>
      </c>
    </row>
    <row r="55" spans="2:63" ht="17.25" thickTop="1" thickBot="1">
      <c r="B55" s="522"/>
      <c r="C55" s="523"/>
      <c r="D55" s="523"/>
      <c r="E55" s="523"/>
      <c r="F55" s="523"/>
      <c r="G55" s="523"/>
      <c r="H55" s="523"/>
      <c r="I55" s="524"/>
      <c r="J55" s="524"/>
      <c r="K55" s="524"/>
      <c r="L55" s="524"/>
      <c r="M55" s="524"/>
      <c r="N55" s="525"/>
      <c r="O55" s="515"/>
      <c r="P55" s="516"/>
      <c r="Q55" s="516"/>
      <c r="R55" s="516"/>
      <c r="S55" s="516"/>
      <c r="T55" s="516"/>
      <c r="U55" s="516"/>
      <c r="V55" s="516"/>
      <c r="W55" s="516"/>
      <c r="X55" s="516"/>
      <c r="Y55" s="516"/>
      <c r="Z55" s="517"/>
      <c r="AA55" s="516"/>
      <c r="AB55" s="516"/>
      <c r="AC55" s="516"/>
      <c r="AD55" s="516"/>
      <c r="AU55" s="365"/>
      <c r="AX55" s="637"/>
      <c r="AY55" s="637"/>
      <c r="AZ55" s="637"/>
    </row>
    <row r="56" spans="2:63">
      <c r="Z56" s="364"/>
      <c r="AX56" s="637"/>
      <c r="AY56" s="637"/>
      <c r="AZ56" s="637"/>
    </row>
    <row r="62" spans="2:63">
      <c r="AZ62" s="238" t="s">
        <v>10</v>
      </c>
    </row>
    <row r="64" spans="2:63" ht="16.5" thickBot="1">
      <c r="AX64" s="652"/>
      <c r="AY64" s="652"/>
      <c r="AZ64" s="652">
        <v>83.1</v>
      </c>
      <c r="BA64" s="652"/>
      <c r="BB64" s="652"/>
      <c r="BC64" s="652"/>
      <c r="BD64" s="652"/>
      <c r="BE64" s="652"/>
      <c r="BF64" s="652"/>
      <c r="BG64" s="652"/>
      <c r="BH64" s="652"/>
      <c r="BI64" s="652"/>
      <c r="BJ64" s="652"/>
      <c r="BK64" s="652"/>
    </row>
    <row r="65" spans="50:63" ht="16.5" thickBot="1">
      <c r="AX65" s="653"/>
      <c r="AY65" s="654">
        <v>2012</v>
      </c>
      <c r="AZ65" s="654">
        <v>1855658.6</v>
      </c>
      <c r="BA65" s="668"/>
      <c r="BB65" s="668"/>
      <c r="BC65" s="668"/>
      <c r="BD65" s="668"/>
      <c r="BE65" s="668"/>
      <c r="BF65" s="668"/>
      <c r="BG65" s="668"/>
      <c r="BH65" s="668"/>
      <c r="BI65" s="669"/>
      <c r="BJ65" s="1872">
        <v>2013</v>
      </c>
      <c r="BK65" s="1874"/>
    </row>
    <row r="66" spans="50:63" ht="16.5" thickBot="1">
      <c r="AX66" s="655"/>
      <c r="AY66" s="656" t="s">
        <v>9</v>
      </c>
      <c r="AZ66" s="656">
        <v>70044.399999999994</v>
      </c>
      <c r="BA66" s="656" t="s">
        <v>11</v>
      </c>
      <c r="BB66" s="656" t="s">
        <v>337</v>
      </c>
      <c r="BC66" s="656" t="s">
        <v>346</v>
      </c>
      <c r="BD66" s="656" t="s">
        <v>347</v>
      </c>
      <c r="BE66" s="656" t="s">
        <v>12</v>
      </c>
      <c r="BF66" s="656" t="s">
        <v>13</v>
      </c>
      <c r="BG66" s="656" t="s">
        <v>14</v>
      </c>
      <c r="BH66" s="656" t="s">
        <v>15</v>
      </c>
      <c r="BI66" s="656" t="s">
        <v>16</v>
      </c>
      <c r="BJ66" s="656" t="s">
        <v>8</v>
      </c>
      <c r="BK66" s="656" t="s">
        <v>9</v>
      </c>
    </row>
    <row r="67" spans="50:63">
      <c r="AX67" s="657"/>
      <c r="AY67" s="658"/>
      <c r="AZ67" s="658">
        <v>1925786</v>
      </c>
      <c r="BA67" s="658"/>
      <c r="BB67" s="658"/>
      <c r="BC67" s="658"/>
      <c r="BD67" s="658"/>
      <c r="BE67" s="658"/>
      <c r="BF67" s="658"/>
      <c r="BG67" s="658"/>
      <c r="BH67" s="658"/>
      <c r="BI67" s="658"/>
      <c r="BJ67" s="658"/>
      <c r="BK67" s="658"/>
    </row>
    <row r="68" spans="50:63">
      <c r="AX68" s="657" t="s">
        <v>901</v>
      </c>
      <c r="AY68" s="649">
        <v>84.4</v>
      </c>
      <c r="AZ68" s="649"/>
      <c r="BA68" s="649">
        <v>82.9</v>
      </c>
      <c r="BB68" s="649">
        <v>78.599999999999994</v>
      </c>
      <c r="BC68" s="649">
        <v>79.7</v>
      </c>
      <c r="BD68" s="649">
        <v>80.099999999999994</v>
      </c>
      <c r="BE68" s="649">
        <v>80.900000000000006</v>
      </c>
      <c r="BF68" s="649">
        <v>82.1</v>
      </c>
      <c r="BG68" s="649">
        <v>80.7</v>
      </c>
      <c r="BH68" s="649">
        <v>79.599999999999994</v>
      </c>
      <c r="BI68" s="649">
        <v>80.8</v>
      </c>
      <c r="BJ68" s="649">
        <v>78.599999999999994</v>
      </c>
      <c r="BK68" s="649">
        <v>78.3</v>
      </c>
    </row>
    <row r="69" spans="50:63">
      <c r="AX69" s="657" t="s">
        <v>903</v>
      </c>
      <c r="AY69" s="648">
        <v>1892187.1</v>
      </c>
      <c r="AZ69" s="648">
        <v>154142.29999999999</v>
      </c>
      <c r="BA69" s="648">
        <v>1833486.4</v>
      </c>
      <c r="BB69" s="648">
        <v>1804232.7</v>
      </c>
      <c r="BC69" s="648">
        <v>1815912.3</v>
      </c>
      <c r="BD69" s="648">
        <v>1875149.3</v>
      </c>
      <c r="BE69" s="648">
        <v>1826752.4</v>
      </c>
      <c r="BF69" s="648">
        <v>1869138.7</v>
      </c>
      <c r="BG69" s="648">
        <v>1894495.7</v>
      </c>
      <c r="BH69" s="648">
        <v>1804260.4</v>
      </c>
      <c r="BI69" s="648">
        <v>1981218.7</v>
      </c>
      <c r="BJ69" s="648">
        <v>1924517.4</v>
      </c>
      <c r="BK69" s="648">
        <v>1875465.4</v>
      </c>
    </row>
    <row r="70" spans="50:63">
      <c r="AX70" s="657" t="s">
        <v>904</v>
      </c>
      <c r="AY70" s="648">
        <v>120552.4</v>
      </c>
      <c r="AZ70" s="648">
        <v>131003.7</v>
      </c>
      <c r="BA70" s="648">
        <v>89097.4</v>
      </c>
      <c r="BB70" s="648">
        <v>84715</v>
      </c>
      <c r="BC70" s="648">
        <v>136052.5</v>
      </c>
      <c r="BD70" s="648">
        <v>110779</v>
      </c>
      <c r="BE70" s="648">
        <v>106955.1</v>
      </c>
      <c r="BF70" s="648">
        <v>102471</v>
      </c>
      <c r="BG70" s="648">
        <v>112805.6</v>
      </c>
      <c r="BH70" s="648">
        <v>105260.2</v>
      </c>
      <c r="BI70" s="648">
        <v>108094.7</v>
      </c>
      <c r="BJ70" s="648">
        <v>106935.2</v>
      </c>
      <c r="BK70" s="648">
        <v>102797.7</v>
      </c>
    </row>
    <row r="71" spans="50:63">
      <c r="AX71" s="655" t="s">
        <v>1151</v>
      </c>
      <c r="AY71" s="659">
        <v>2012823.8</v>
      </c>
      <c r="AZ71" s="659">
        <v>48916.5</v>
      </c>
      <c r="BA71" s="651">
        <v>1922666.7</v>
      </c>
      <c r="BB71" s="651">
        <v>1889026.3</v>
      </c>
      <c r="BC71" s="651">
        <v>1952044.5</v>
      </c>
      <c r="BD71" s="651">
        <v>1986008.4</v>
      </c>
      <c r="BE71" s="651">
        <v>1933788.4</v>
      </c>
      <c r="BF71" s="651">
        <v>1971691.8</v>
      </c>
      <c r="BG71" s="651">
        <v>2017382</v>
      </c>
      <c r="BH71" s="651">
        <v>1909600.2</v>
      </c>
      <c r="BI71" s="651">
        <v>2089394.2</v>
      </c>
      <c r="BJ71" s="651">
        <v>2031531.2</v>
      </c>
      <c r="BK71" s="651">
        <v>1978341.3858599998</v>
      </c>
    </row>
    <row r="72" spans="50:63">
      <c r="AX72" s="657"/>
      <c r="AY72" s="649"/>
      <c r="AZ72" s="649">
        <v>471171.9</v>
      </c>
      <c r="BA72" s="649"/>
      <c r="BB72" s="649"/>
      <c r="BC72" s="649"/>
      <c r="BD72" s="649"/>
      <c r="BE72" s="649"/>
      <c r="BF72" s="649"/>
      <c r="BG72" s="649"/>
      <c r="BH72" s="649"/>
      <c r="BI72" s="649"/>
      <c r="BJ72" s="649"/>
      <c r="BK72" s="649"/>
    </row>
    <row r="73" spans="50:63">
      <c r="AX73" s="657" t="s">
        <v>1186</v>
      </c>
      <c r="AY73" s="648">
        <v>163972.9</v>
      </c>
      <c r="AZ73" s="648">
        <v>126730.8</v>
      </c>
      <c r="BA73" s="648">
        <v>167459.29999999999</v>
      </c>
      <c r="BB73" s="648">
        <v>161039.20000000001</v>
      </c>
      <c r="BC73" s="648">
        <v>160170.29999999999</v>
      </c>
      <c r="BD73" s="648">
        <v>162953</v>
      </c>
      <c r="BE73" s="648">
        <v>171279.3</v>
      </c>
      <c r="BF73" s="648">
        <v>189287.9</v>
      </c>
      <c r="BG73" s="648">
        <v>182029</v>
      </c>
      <c r="BH73" s="648">
        <v>288914</v>
      </c>
      <c r="BI73" s="648">
        <v>253471.9</v>
      </c>
      <c r="BJ73" s="648">
        <v>193007.6</v>
      </c>
      <c r="BK73" s="648">
        <v>192683.5</v>
      </c>
    </row>
    <row r="74" spans="50:63">
      <c r="AX74" s="657" t="s">
        <v>905</v>
      </c>
      <c r="AY74" s="648">
        <v>128590.7</v>
      </c>
      <c r="AZ74" s="648">
        <v>51100</v>
      </c>
      <c r="BA74" s="648">
        <v>133025.20000000001</v>
      </c>
      <c r="BB74" s="648">
        <v>156772</v>
      </c>
      <c r="BC74" s="648">
        <v>171972.6</v>
      </c>
      <c r="BD74" s="648">
        <v>168562.6</v>
      </c>
      <c r="BE74" s="648">
        <v>171825</v>
      </c>
      <c r="BF74" s="648">
        <v>176983.1</v>
      </c>
      <c r="BG74" s="648">
        <v>164699</v>
      </c>
      <c r="BH74" s="648">
        <v>163276.1</v>
      </c>
      <c r="BI74" s="648">
        <v>180152.6</v>
      </c>
      <c r="BJ74" s="648">
        <v>159093.70000000001</v>
      </c>
      <c r="BK74" s="648">
        <v>168605.4</v>
      </c>
    </row>
    <row r="75" spans="50:63">
      <c r="AX75" s="657" t="s">
        <v>906</v>
      </c>
      <c r="AY75" s="648">
        <v>49031.3</v>
      </c>
      <c r="AZ75" s="648">
        <v>983065.1</v>
      </c>
      <c r="BA75" s="648">
        <v>46057.1</v>
      </c>
      <c r="BB75" s="648">
        <v>49423.7</v>
      </c>
      <c r="BC75" s="648">
        <v>50001.8</v>
      </c>
      <c r="BD75" s="648">
        <v>51631.199999999997</v>
      </c>
      <c r="BE75" s="648">
        <v>51322.2</v>
      </c>
      <c r="BF75" s="648">
        <v>51747</v>
      </c>
      <c r="BG75" s="648">
        <v>50457</v>
      </c>
      <c r="BH75" s="648">
        <v>55822.7</v>
      </c>
      <c r="BI75" s="648">
        <v>54893.7</v>
      </c>
      <c r="BJ75" s="648">
        <v>55832.5</v>
      </c>
      <c r="BK75" s="648">
        <v>56274.2</v>
      </c>
    </row>
    <row r="76" spans="50:63">
      <c r="AX76" s="657" t="s">
        <v>907</v>
      </c>
      <c r="AY76" s="648">
        <v>568582.5</v>
      </c>
      <c r="AZ76" s="648"/>
      <c r="BA76" s="648">
        <v>522894.7</v>
      </c>
      <c r="BB76" s="648">
        <v>622619</v>
      </c>
      <c r="BC76" s="648">
        <v>706497.8</v>
      </c>
      <c r="BD76" s="648">
        <v>668743.80000000005</v>
      </c>
      <c r="BE76" s="648">
        <v>716241.3</v>
      </c>
      <c r="BF76" s="648">
        <v>648981.9</v>
      </c>
      <c r="BG76" s="648">
        <v>781995.1</v>
      </c>
      <c r="BH76" s="648">
        <v>593873.6</v>
      </c>
      <c r="BI76" s="648">
        <v>613008</v>
      </c>
      <c r="BJ76" s="648">
        <v>632215.69999999995</v>
      </c>
      <c r="BK76" s="648">
        <v>708500.6</v>
      </c>
    </row>
    <row r="77" spans="50:63">
      <c r="AX77" s="657" t="s">
        <v>908</v>
      </c>
      <c r="AY77" s="648">
        <v>77452</v>
      </c>
      <c r="AZ77" s="648">
        <v>314416.2</v>
      </c>
      <c r="BA77" s="648">
        <v>116172</v>
      </c>
      <c r="BB77" s="648">
        <v>100355.4</v>
      </c>
      <c r="BC77" s="648">
        <v>91241.5</v>
      </c>
      <c r="BD77" s="648">
        <v>36431.800000000003</v>
      </c>
      <c r="BE77" s="648">
        <v>39907.300000000003</v>
      </c>
      <c r="BF77" s="648">
        <v>60358.5</v>
      </c>
      <c r="BG77" s="648">
        <v>35887.599999999999</v>
      </c>
      <c r="BH77" s="648">
        <v>69265.100000000006</v>
      </c>
      <c r="BI77" s="648">
        <v>67930.5</v>
      </c>
      <c r="BJ77" s="648">
        <v>91671.2</v>
      </c>
      <c r="BK77" s="648">
        <v>65975.899999999994</v>
      </c>
    </row>
    <row r="78" spans="50:63">
      <c r="AX78" s="657" t="s">
        <v>910</v>
      </c>
      <c r="AY78" s="648">
        <v>81322.600000000006</v>
      </c>
      <c r="AZ78" s="648">
        <v>47602.1</v>
      </c>
      <c r="BA78" s="648">
        <v>72310</v>
      </c>
      <c r="BB78" s="648">
        <v>77364.399999999994</v>
      </c>
      <c r="BC78" s="648">
        <v>70088.7</v>
      </c>
      <c r="BD78" s="648">
        <v>53684.5</v>
      </c>
      <c r="BE78" s="660">
        <v>59216</v>
      </c>
      <c r="BF78" s="648">
        <v>70300.399999999994</v>
      </c>
      <c r="BG78" s="648">
        <v>98536.7</v>
      </c>
      <c r="BH78" s="648">
        <v>73514.3</v>
      </c>
      <c r="BI78" s="648">
        <v>65572.399999999994</v>
      </c>
      <c r="BJ78" s="648">
        <v>60885.9</v>
      </c>
      <c r="BK78" s="648">
        <v>77091.899999999994</v>
      </c>
    </row>
    <row r="79" spans="50:63">
      <c r="AX79" s="655" t="s">
        <v>1152</v>
      </c>
      <c r="AY79" s="659">
        <v>1068952.1000000001</v>
      </c>
      <c r="AZ79" s="659">
        <v>152203.5</v>
      </c>
      <c r="BA79" s="651">
        <v>1057917.3</v>
      </c>
      <c r="BB79" s="651">
        <v>1167573.8</v>
      </c>
      <c r="BC79" s="651">
        <v>1249972.7</v>
      </c>
      <c r="BD79" s="651">
        <v>1142006.8999999999</v>
      </c>
      <c r="BE79" s="661">
        <v>1209791</v>
      </c>
      <c r="BF79" s="651">
        <v>1197658.8</v>
      </c>
      <c r="BG79" s="651">
        <v>1313605.1000000001</v>
      </c>
      <c r="BH79" s="647" t="s">
        <v>1273</v>
      </c>
      <c r="BI79" s="651">
        <v>1235029.1000000001</v>
      </c>
      <c r="BJ79" s="651">
        <v>1192706.6000000001</v>
      </c>
      <c r="BK79" s="651">
        <v>1269131.4805197585</v>
      </c>
    </row>
    <row r="80" spans="50:63">
      <c r="AX80" s="657"/>
      <c r="AY80" s="649"/>
      <c r="AZ80" s="649">
        <v>0</v>
      </c>
      <c r="BA80" s="649"/>
      <c r="BB80" s="649"/>
      <c r="BC80" s="649"/>
      <c r="BD80" s="649"/>
      <c r="BE80" s="649"/>
      <c r="BF80" s="649"/>
      <c r="BG80" s="649"/>
      <c r="BH80" s="649"/>
      <c r="BI80" s="649"/>
      <c r="BJ80" s="649"/>
      <c r="BK80" s="649"/>
    </row>
    <row r="81" spans="50:73">
      <c r="AX81" s="657" t="s">
        <v>911</v>
      </c>
      <c r="AY81" s="648">
        <v>126660.5</v>
      </c>
      <c r="AZ81" s="648">
        <v>10141.6</v>
      </c>
      <c r="BA81" s="648">
        <v>289006.7</v>
      </c>
      <c r="BB81" s="648">
        <v>347816</v>
      </c>
      <c r="BC81" s="648">
        <v>228931.5</v>
      </c>
      <c r="BD81" s="648">
        <v>327819.8</v>
      </c>
      <c r="BE81" s="648">
        <v>192982.39999999999</v>
      </c>
      <c r="BF81" s="648">
        <v>311167.7</v>
      </c>
      <c r="BG81" s="648">
        <v>235566.9</v>
      </c>
      <c r="BH81" s="648">
        <v>424351.9</v>
      </c>
      <c r="BI81" s="648">
        <v>314380.7</v>
      </c>
      <c r="BJ81" s="648">
        <v>351356.6</v>
      </c>
      <c r="BK81" s="648">
        <v>297613.90000000002</v>
      </c>
    </row>
    <row r="82" spans="50:73">
      <c r="AX82" s="657" t="s">
        <v>912</v>
      </c>
      <c r="AY82" s="648">
        <v>35722.400000000001</v>
      </c>
      <c r="AZ82" s="648">
        <v>5404.1</v>
      </c>
      <c r="BA82" s="648">
        <v>41942.5</v>
      </c>
      <c r="BB82" s="648">
        <v>66248.399999999994</v>
      </c>
      <c r="BC82" s="648">
        <v>31257.599999999999</v>
      </c>
      <c r="BD82" s="648">
        <v>65758</v>
      </c>
      <c r="BE82" s="648">
        <v>64463.7</v>
      </c>
      <c r="BF82" s="648">
        <v>56445.3</v>
      </c>
      <c r="BG82" s="649" t="s">
        <v>1274</v>
      </c>
      <c r="BH82" s="648">
        <v>46439.3</v>
      </c>
      <c r="BI82" s="648">
        <v>44191.4</v>
      </c>
      <c r="BJ82" s="648">
        <v>21339</v>
      </c>
      <c r="BK82" s="648">
        <v>55714</v>
      </c>
    </row>
    <row r="83" spans="50:73">
      <c r="AX83" s="657" t="s">
        <v>914</v>
      </c>
      <c r="AY83" s="648">
        <v>115296.2</v>
      </c>
      <c r="AZ83" s="648">
        <v>529767.5</v>
      </c>
      <c r="BA83" s="648">
        <v>125863.2</v>
      </c>
      <c r="BB83" s="648">
        <v>93384.4</v>
      </c>
      <c r="BC83" s="648">
        <v>109663.7</v>
      </c>
      <c r="BD83" s="648">
        <v>156055.20000000001</v>
      </c>
      <c r="BE83" s="648">
        <v>170113.2</v>
      </c>
      <c r="BF83" s="648">
        <v>172761.3</v>
      </c>
      <c r="BG83" s="648">
        <v>165382.5</v>
      </c>
      <c r="BH83" s="648">
        <v>179493.1</v>
      </c>
      <c r="BI83" s="648">
        <v>184561.2</v>
      </c>
      <c r="BJ83" s="648">
        <v>192823.3</v>
      </c>
      <c r="BK83" s="648">
        <v>194226.7</v>
      </c>
    </row>
    <row r="84" spans="50:73">
      <c r="AX84" s="657" t="s">
        <v>915</v>
      </c>
      <c r="AY84" s="649">
        <v>0</v>
      </c>
      <c r="AZ84" s="649">
        <v>3438618.5</v>
      </c>
      <c r="BA84" s="649">
        <v>0</v>
      </c>
      <c r="BB84" s="649">
        <v>0</v>
      </c>
      <c r="BC84" s="649">
        <v>0</v>
      </c>
      <c r="BD84" s="649">
        <v>0</v>
      </c>
      <c r="BE84" s="649">
        <v>0</v>
      </c>
      <c r="BF84" s="649"/>
      <c r="BG84" s="649"/>
      <c r="BH84" s="649"/>
      <c r="BI84" s="649"/>
      <c r="BJ84" s="649"/>
      <c r="BK84" s="649"/>
    </row>
    <row r="85" spans="50:73">
      <c r="AX85" s="657" t="s">
        <v>916</v>
      </c>
      <c r="AY85" s="648">
        <v>10141.6</v>
      </c>
      <c r="AZ85" s="648"/>
      <c r="BA85" s="648">
        <v>10141.6</v>
      </c>
      <c r="BB85" s="648">
        <v>10141.6</v>
      </c>
      <c r="BC85" s="648">
        <v>10141.6</v>
      </c>
      <c r="BD85" s="648">
        <v>10141.6</v>
      </c>
      <c r="BE85" s="648">
        <v>10141.6</v>
      </c>
      <c r="BF85" s="648">
        <v>10141.6</v>
      </c>
      <c r="BG85" s="648">
        <v>10141.6</v>
      </c>
      <c r="BH85" s="648">
        <v>10141.6</v>
      </c>
      <c r="BI85" s="648">
        <v>10141.6</v>
      </c>
      <c r="BJ85" s="648">
        <v>10141.6</v>
      </c>
      <c r="BK85" s="648">
        <v>10141.6</v>
      </c>
    </row>
    <row r="86" spans="50:73">
      <c r="AX86" s="657" t="s">
        <v>917</v>
      </c>
      <c r="AY86" s="648">
        <v>7971.2</v>
      </c>
      <c r="AZ86" s="648"/>
      <c r="BA86" s="648">
        <v>6217.4</v>
      </c>
      <c r="BB86" s="648">
        <v>5995</v>
      </c>
      <c r="BC86" s="648">
        <v>8259.1</v>
      </c>
      <c r="BD86" s="648">
        <v>9770.5</v>
      </c>
      <c r="BE86" s="660">
        <v>8018</v>
      </c>
      <c r="BF86" s="648">
        <v>8316.7999999999993</v>
      </c>
      <c r="BG86" s="648">
        <v>11324</v>
      </c>
      <c r="BH86" s="648">
        <v>9964.9</v>
      </c>
      <c r="BI86" s="648">
        <v>8973.9</v>
      </c>
      <c r="BJ86" s="648">
        <v>8497.2000000000007</v>
      </c>
      <c r="BK86" s="648">
        <v>8447.9</v>
      </c>
    </row>
    <row r="87" spans="50:73">
      <c r="AX87" s="655" t="s">
        <v>1153</v>
      </c>
      <c r="AY87" s="651">
        <v>295791.8</v>
      </c>
      <c r="AZ87" s="651"/>
      <c r="BA87" s="651">
        <v>473171.3</v>
      </c>
      <c r="BB87" s="647" t="s">
        <v>1275</v>
      </c>
      <c r="BC87" s="651">
        <v>388253.5</v>
      </c>
      <c r="BD87" s="651">
        <v>569545.1</v>
      </c>
      <c r="BE87" s="651">
        <v>445718.9</v>
      </c>
      <c r="BF87" s="651">
        <v>558832.69999999995</v>
      </c>
      <c r="BG87" s="651">
        <v>482976.8</v>
      </c>
      <c r="BH87" s="651">
        <v>670390.80000000005</v>
      </c>
      <c r="BI87" s="662">
        <v>562248.80000000005</v>
      </c>
      <c r="BJ87" s="662">
        <v>584157.69999999995</v>
      </c>
      <c r="BK87" s="662">
        <v>566144.06650496146</v>
      </c>
    </row>
    <row r="88" spans="50:73">
      <c r="AX88" s="655" t="s">
        <v>1154</v>
      </c>
      <c r="AY88" s="647" t="s">
        <v>1276</v>
      </c>
      <c r="AZ88" s="647"/>
      <c r="BA88" s="651">
        <v>3453755.3</v>
      </c>
      <c r="BB88" s="651">
        <v>3580185.4</v>
      </c>
      <c r="BC88" s="651">
        <v>3590270.7</v>
      </c>
      <c r="BD88" s="651">
        <v>3697560.4</v>
      </c>
      <c r="BE88" s="651">
        <v>3589298.3</v>
      </c>
      <c r="BF88" s="651">
        <v>3728183.4</v>
      </c>
      <c r="BG88" s="651">
        <v>3813963.8</v>
      </c>
      <c r="BH88" s="651">
        <v>3824656.8</v>
      </c>
      <c r="BI88" s="662">
        <v>3886672.1</v>
      </c>
      <c r="BJ88" s="662">
        <v>3808395.5</v>
      </c>
      <c r="BK88" s="662">
        <v>3808395.5</v>
      </c>
    </row>
    <row r="89" spans="50:73" ht="16.5" thickBot="1">
      <c r="AX89" s="663"/>
      <c r="AY89" s="650"/>
      <c r="AZ89" s="650"/>
      <c r="BA89" s="664"/>
      <c r="BB89" s="664"/>
      <c r="BC89" s="664"/>
      <c r="BD89" s="664"/>
      <c r="BE89" s="664"/>
      <c r="BF89" s="664"/>
      <c r="BG89" s="664"/>
      <c r="BH89" s="664"/>
      <c r="BI89" s="664"/>
      <c r="BJ89" s="664"/>
      <c r="BK89" s="664"/>
    </row>
    <row r="90" spans="50:73">
      <c r="AX90" s="665"/>
      <c r="AY90" s="666"/>
      <c r="AZ90" s="666"/>
      <c r="BA90" s="667"/>
      <c r="BB90" s="667"/>
      <c r="BC90" s="667"/>
      <c r="BD90" s="667"/>
      <c r="BE90" s="667"/>
      <c r="BF90" s="667"/>
      <c r="BG90" s="667"/>
      <c r="BH90" s="667"/>
      <c r="BI90" s="667"/>
      <c r="BJ90" s="667"/>
      <c r="BK90" s="667"/>
    </row>
    <row r="95" spans="50:73" ht="16.5" thickBot="1">
      <c r="BH95" s="652"/>
      <c r="BI95" s="652"/>
      <c r="BJ95" s="652"/>
      <c r="BK95" s="652"/>
      <c r="BL95" s="652"/>
      <c r="BM95" s="652"/>
      <c r="BN95" s="652"/>
      <c r="BO95" s="652"/>
      <c r="BP95" s="652"/>
      <c r="BQ95" s="652"/>
      <c r="BR95" s="652"/>
      <c r="BS95" s="652"/>
      <c r="BT95" s="652"/>
      <c r="BU95" s="652"/>
    </row>
    <row r="96" spans="50:73" ht="16.5" thickBot="1">
      <c r="BH96" s="653"/>
      <c r="BI96" s="1872">
        <v>2012</v>
      </c>
      <c r="BJ96" s="1873"/>
      <c r="BK96" s="1873"/>
      <c r="BL96" s="1873"/>
      <c r="BM96" s="1873"/>
      <c r="BN96" s="1873"/>
      <c r="BO96" s="1873"/>
      <c r="BP96" s="1873"/>
      <c r="BQ96" s="1873"/>
      <c r="BR96" s="1873"/>
      <c r="BS96" s="1874"/>
      <c r="BT96" s="1875">
        <v>2013</v>
      </c>
      <c r="BU96" s="1876"/>
    </row>
    <row r="97" spans="60:73" ht="16.5" thickBot="1">
      <c r="BH97" s="655"/>
      <c r="BI97" s="656" t="s">
        <v>9</v>
      </c>
      <c r="BJ97" s="656" t="s">
        <v>10</v>
      </c>
      <c r="BK97" s="656" t="s">
        <v>11</v>
      </c>
      <c r="BL97" s="656" t="s">
        <v>337</v>
      </c>
      <c r="BM97" s="656" t="s">
        <v>346</v>
      </c>
      <c r="BN97" s="656" t="s">
        <v>347</v>
      </c>
      <c r="BO97" s="656" t="s">
        <v>12</v>
      </c>
      <c r="BP97" s="656" t="s">
        <v>13</v>
      </c>
      <c r="BQ97" s="656" t="s">
        <v>14</v>
      </c>
      <c r="BR97" s="656" t="s">
        <v>15</v>
      </c>
      <c r="BS97" s="656" t="s">
        <v>16</v>
      </c>
      <c r="BT97" s="656" t="s">
        <v>8</v>
      </c>
      <c r="BU97" s="656" t="s">
        <v>9</v>
      </c>
    </row>
    <row r="98" spans="60:73">
      <c r="BH98" s="657"/>
      <c r="BI98" s="658"/>
      <c r="BJ98" s="658"/>
      <c r="BK98" s="658"/>
      <c r="BL98" s="658"/>
      <c r="BM98" s="658"/>
      <c r="BN98" s="658"/>
      <c r="BO98" s="658"/>
      <c r="BP98" s="658"/>
      <c r="BQ98" s="658"/>
      <c r="BR98" s="658"/>
      <c r="BS98" s="658"/>
      <c r="BT98" s="658"/>
      <c r="BU98" s="658"/>
    </row>
    <row r="99" spans="60:73">
      <c r="BH99" s="657" t="s">
        <v>901</v>
      </c>
      <c r="BI99" s="649">
        <v>84.4</v>
      </c>
      <c r="BJ99" s="649">
        <v>83.1</v>
      </c>
      <c r="BK99" s="649">
        <v>82.9</v>
      </c>
      <c r="BL99" s="649">
        <v>78.599999999999994</v>
      </c>
      <c r="BM99" s="649">
        <v>79.7</v>
      </c>
      <c r="BN99" s="649">
        <v>80.099999999999994</v>
      </c>
      <c r="BO99" s="649">
        <v>80.900000000000006</v>
      </c>
      <c r="BP99" s="649">
        <v>82.1</v>
      </c>
      <c r="BQ99" s="649">
        <v>80.7</v>
      </c>
      <c r="BR99" s="649">
        <v>79.599999999999994</v>
      </c>
      <c r="BS99" s="649">
        <v>80.8</v>
      </c>
      <c r="BT99" s="649">
        <v>78.599999999999994</v>
      </c>
      <c r="BU99" s="649">
        <v>78.3</v>
      </c>
    </row>
    <row r="100" spans="60:73" ht="18">
      <c r="BH100" s="657" t="s">
        <v>903</v>
      </c>
      <c r="BI100" s="648">
        <v>1892187.1</v>
      </c>
      <c r="BJ100" s="648">
        <v>1855658.6</v>
      </c>
      <c r="BK100" s="648">
        <v>1833486.4</v>
      </c>
      <c r="BL100" s="648">
        <v>1804232.7</v>
      </c>
      <c r="BM100" s="648">
        <v>1815912.3</v>
      </c>
      <c r="BN100" s="648">
        <v>1875149.3</v>
      </c>
      <c r="BO100" s="648">
        <v>1826752.4</v>
      </c>
      <c r="BP100" s="648">
        <v>1869138.7</v>
      </c>
      <c r="BQ100" s="648">
        <v>1894495.7</v>
      </c>
      <c r="BR100" s="648">
        <v>1804260.4</v>
      </c>
      <c r="BS100" s="648">
        <v>1981218.7</v>
      </c>
      <c r="BT100" s="648">
        <v>1924517.4</v>
      </c>
      <c r="BU100" s="648">
        <v>1875465.4</v>
      </c>
    </row>
    <row r="101" spans="60:73" ht="18">
      <c r="BH101" s="657" t="s">
        <v>904</v>
      </c>
      <c r="BI101" s="648">
        <v>120552.4</v>
      </c>
      <c r="BJ101" s="648">
        <v>70044.399999999994</v>
      </c>
      <c r="BK101" s="648">
        <v>89097.4</v>
      </c>
      <c r="BL101" s="648">
        <v>84715</v>
      </c>
      <c r="BM101" s="648">
        <v>136052.5</v>
      </c>
      <c r="BN101" s="648">
        <v>110779</v>
      </c>
      <c r="BO101" s="648">
        <v>106955.1</v>
      </c>
      <c r="BP101" s="648">
        <v>102471</v>
      </c>
      <c r="BQ101" s="648">
        <v>112805.6</v>
      </c>
      <c r="BR101" s="648">
        <v>105260.2</v>
      </c>
      <c r="BS101" s="648">
        <v>108094.7</v>
      </c>
      <c r="BT101" s="648">
        <v>106935.2</v>
      </c>
      <c r="BU101" s="648">
        <v>102797.7</v>
      </c>
    </row>
    <row r="102" spans="60:73">
      <c r="BH102" s="655" t="s">
        <v>1151</v>
      </c>
      <c r="BI102" s="651">
        <v>2012823.8</v>
      </c>
      <c r="BJ102" s="651">
        <v>1925786</v>
      </c>
      <c r="BK102" s="651">
        <v>1922666.7</v>
      </c>
      <c r="BL102" s="651">
        <v>1889026.3</v>
      </c>
      <c r="BM102" s="651">
        <v>1952044.5</v>
      </c>
      <c r="BN102" s="651">
        <v>1986008.4</v>
      </c>
      <c r="BO102" s="651">
        <v>1933788.4</v>
      </c>
      <c r="BP102" s="651">
        <v>1971691.8</v>
      </c>
      <c r="BQ102" s="651">
        <v>2017382</v>
      </c>
      <c r="BR102" s="651">
        <v>1909600.2</v>
      </c>
      <c r="BS102" s="651">
        <v>2089394.2</v>
      </c>
      <c r="BT102" s="651">
        <v>2031531.2</v>
      </c>
      <c r="BU102" s="651">
        <v>1978341.39</v>
      </c>
    </row>
    <row r="103" spans="60:73">
      <c r="BH103" s="657"/>
      <c r="BI103" s="649"/>
      <c r="BJ103" s="649"/>
      <c r="BK103" s="649"/>
      <c r="BL103" s="649"/>
      <c r="BM103" s="649"/>
      <c r="BN103" s="649"/>
      <c r="BO103" s="649"/>
      <c r="BP103" s="649"/>
      <c r="BQ103" s="649"/>
      <c r="BR103" s="649"/>
      <c r="BS103" s="649"/>
      <c r="BT103" s="649"/>
      <c r="BU103" s="649"/>
    </row>
    <row r="104" spans="60:73" ht="18">
      <c r="BH104" s="657" t="s">
        <v>1186</v>
      </c>
      <c r="BI104" s="648">
        <v>163972.9</v>
      </c>
      <c r="BJ104" s="648">
        <v>154142.29999999999</v>
      </c>
      <c r="BK104" s="648">
        <v>167459.29999999999</v>
      </c>
      <c r="BL104" s="648">
        <v>161039.20000000001</v>
      </c>
      <c r="BM104" s="648">
        <v>160170.29999999999</v>
      </c>
      <c r="BN104" s="648">
        <v>162953</v>
      </c>
      <c r="BO104" s="648">
        <v>171279.3</v>
      </c>
      <c r="BP104" s="648">
        <v>189287.9</v>
      </c>
      <c r="BQ104" s="648">
        <v>182029</v>
      </c>
      <c r="BR104" s="648">
        <v>288914</v>
      </c>
      <c r="BS104" s="648">
        <v>253471.9</v>
      </c>
      <c r="BT104" s="648">
        <v>193007.6</v>
      </c>
      <c r="BU104" s="648">
        <v>192683.5</v>
      </c>
    </row>
    <row r="105" spans="60:73" ht="18">
      <c r="BH105" s="657" t="s">
        <v>905</v>
      </c>
      <c r="BI105" s="648">
        <v>128590.7</v>
      </c>
      <c r="BJ105" s="648">
        <v>131003.7</v>
      </c>
      <c r="BK105" s="648">
        <v>133025.20000000001</v>
      </c>
      <c r="BL105" s="648">
        <v>156772</v>
      </c>
      <c r="BM105" s="648">
        <v>171972.6</v>
      </c>
      <c r="BN105" s="648">
        <v>168562.6</v>
      </c>
      <c r="BO105" s="648">
        <v>171825</v>
      </c>
      <c r="BP105" s="648">
        <v>176983.1</v>
      </c>
      <c r="BQ105" s="648">
        <v>164699</v>
      </c>
      <c r="BR105" s="648">
        <v>163276.1</v>
      </c>
      <c r="BS105" s="648">
        <v>180152.6</v>
      </c>
      <c r="BT105" s="648">
        <v>159093.70000000001</v>
      </c>
      <c r="BU105" s="648">
        <v>168605.4</v>
      </c>
    </row>
    <row r="106" spans="60:73" ht="18">
      <c r="BH106" s="657" t="s">
        <v>906</v>
      </c>
      <c r="BI106" s="648">
        <v>49031.3</v>
      </c>
      <c r="BJ106" s="648">
        <v>48916.5</v>
      </c>
      <c r="BK106" s="648">
        <v>46057.1</v>
      </c>
      <c r="BL106" s="648">
        <v>49423.7</v>
      </c>
      <c r="BM106" s="648">
        <v>50001.8</v>
      </c>
      <c r="BN106" s="648">
        <v>51631.199999999997</v>
      </c>
      <c r="BO106" s="648">
        <v>51322.2</v>
      </c>
      <c r="BP106" s="648">
        <v>51747</v>
      </c>
      <c r="BQ106" s="648">
        <v>50457</v>
      </c>
      <c r="BR106" s="648">
        <v>55822.7</v>
      </c>
      <c r="BS106" s="648">
        <v>54893.7</v>
      </c>
      <c r="BT106" s="648">
        <v>55832.5</v>
      </c>
      <c r="BU106" s="648">
        <v>56274.2</v>
      </c>
    </row>
    <row r="107" spans="60:73" ht="18">
      <c r="BH107" s="657" t="s">
        <v>907</v>
      </c>
      <c r="BI107" s="648">
        <v>568582.5</v>
      </c>
      <c r="BJ107" s="648">
        <v>471171.9</v>
      </c>
      <c r="BK107" s="648">
        <v>522894.7</v>
      </c>
      <c r="BL107" s="648">
        <v>622619</v>
      </c>
      <c r="BM107" s="648">
        <v>706497.8</v>
      </c>
      <c r="BN107" s="648">
        <v>668743.80000000005</v>
      </c>
      <c r="BO107" s="648">
        <v>716241.3</v>
      </c>
      <c r="BP107" s="648">
        <v>648981.9</v>
      </c>
      <c r="BQ107" s="648">
        <v>781995.1</v>
      </c>
      <c r="BR107" s="648">
        <v>593873.6</v>
      </c>
      <c r="BS107" s="648">
        <v>613008</v>
      </c>
      <c r="BT107" s="648">
        <v>632215.69999999995</v>
      </c>
      <c r="BU107" s="648">
        <v>708500.6</v>
      </c>
    </row>
    <row r="108" spans="60:73" ht="18">
      <c r="BH108" s="657" t="s">
        <v>908</v>
      </c>
      <c r="BI108" s="648">
        <v>77452</v>
      </c>
      <c r="BJ108" s="648">
        <v>126730.8</v>
      </c>
      <c r="BK108" s="648">
        <v>116172</v>
      </c>
      <c r="BL108" s="648">
        <v>100355.4</v>
      </c>
      <c r="BM108" s="648">
        <v>91241.5</v>
      </c>
      <c r="BN108" s="648">
        <v>36431.800000000003</v>
      </c>
      <c r="BO108" s="648">
        <v>39907.300000000003</v>
      </c>
      <c r="BP108" s="648">
        <v>60358.5</v>
      </c>
      <c r="BQ108" s="648">
        <v>35887.599999999999</v>
      </c>
      <c r="BR108" s="648">
        <v>69265.100000000006</v>
      </c>
      <c r="BS108" s="648">
        <v>67930.5</v>
      </c>
      <c r="BT108" s="648">
        <v>91671.2</v>
      </c>
      <c r="BU108" s="648">
        <v>65975.899999999994</v>
      </c>
    </row>
    <row r="109" spans="60:73" ht="18">
      <c r="BH109" s="657" t="s">
        <v>910</v>
      </c>
      <c r="BI109" s="648">
        <v>81322.600000000006</v>
      </c>
      <c r="BJ109" s="648">
        <v>51100</v>
      </c>
      <c r="BK109" s="648">
        <v>72310</v>
      </c>
      <c r="BL109" s="648">
        <v>77364.399999999994</v>
      </c>
      <c r="BM109" s="648">
        <v>70088.7</v>
      </c>
      <c r="BN109" s="648">
        <v>53684.5</v>
      </c>
      <c r="BO109" s="660">
        <v>59216</v>
      </c>
      <c r="BP109" s="648">
        <v>70300.399999999994</v>
      </c>
      <c r="BQ109" s="648">
        <v>98536.7</v>
      </c>
      <c r="BR109" s="648">
        <v>73514.3</v>
      </c>
      <c r="BS109" s="648">
        <v>65572.399999999994</v>
      </c>
      <c r="BT109" s="648">
        <v>60885.9</v>
      </c>
      <c r="BU109" s="648">
        <v>77091.899999999994</v>
      </c>
    </row>
    <row r="110" spans="60:73" ht="18">
      <c r="BH110" s="655" t="s">
        <v>1152</v>
      </c>
      <c r="BI110" s="651">
        <v>1068952.1000000001</v>
      </c>
      <c r="BJ110" s="651">
        <v>983065.1</v>
      </c>
      <c r="BK110" s="651">
        <v>1057917.3</v>
      </c>
      <c r="BL110" s="651">
        <v>1167573.8</v>
      </c>
      <c r="BM110" s="651">
        <v>1249972.7</v>
      </c>
      <c r="BN110" s="651">
        <v>1142006.8999999999</v>
      </c>
      <c r="BO110" s="661">
        <v>1209791</v>
      </c>
      <c r="BP110" s="651">
        <v>1197658.8</v>
      </c>
      <c r="BQ110" s="651">
        <v>1313605.1000000001</v>
      </c>
      <c r="BR110" s="647" t="s">
        <v>1273</v>
      </c>
      <c r="BS110" s="651">
        <v>1235029.1000000001</v>
      </c>
      <c r="BT110" s="651">
        <v>1192706.6000000001</v>
      </c>
      <c r="BU110" s="651">
        <v>1269131.48</v>
      </c>
    </row>
    <row r="111" spans="60:73">
      <c r="BH111" s="657"/>
      <c r="BI111" s="649"/>
      <c r="BJ111" s="649"/>
      <c r="BK111" s="649"/>
      <c r="BL111" s="649"/>
      <c r="BM111" s="649"/>
      <c r="BN111" s="649"/>
      <c r="BO111" s="649"/>
      <c r="BP111" s="649"/>
      <c r="BQ111" s="649"/>
      <c r="BR111" s="649"/>
      <c r="BS111" s="649"/>
      <c r="BT111" s="649"/>
      <c r="BU111" s="649"/>
    </row>
    <row r="112" spans="60:73" ht="18">
      <c r="BH112" s="657" t="s">
        <v>911</v>
      </c>
      <c r="BI112" s="648">
        <v>126660.5</v>
      </c>
      <c r="BJ112" s="648">
        <v>314416.2</v>
      </c>
      <c r="BK112" s="648">
        <v>289006.7</v>
      </c>
      <c r="BL112" s="648">
        <v>347816</v>
      </c>
      <c r="BM112" s="648">
        <v>228931.5</v>
      </c>
      <c r="BN112" s="648">
        <v>327819.8</v>
      </c>
      <c r="BO112" s="648">
        <v>192982.39999999999</v>
      </c>
      <c r="BP112" s="648">
        <v>311167.7</v>
      </c>
      <c r="BQ112" s="648">
        <v>235566.9</v>
      </c>
      <c r="BR112" s="648">
        <v>424351.9</v>
      </c>
      <c r="BS112" s="648">
        <v>314380.7</v>
      </c>
      <c r="BT112" s="648">
        <v>351356.6</v>
      </c>
      <c r="BU112" s="648">
        <v>297613.90000000002</v>
      </c>
    </row>
    <row r="113" spans="60:73" ht="18">
      <c r="BH113" s="657" t="s">
        <v>912</v>
      </c>
      <c r="BI113" s="648">
        <v>35722.400000000001</v>
      </c>
      <c r="BJ113" s="648">
        <v>47602.1</v>
      </c>
      <c r="BK113" s="648">
        <v>41942.5</v>
      </c>
      <c r="BL113" s="648">
        <v>66248.399999999994</v>
      </c>
      <c r="BM113" s="648">
        <v>31257.599999999999</v>
      </c>
      <c r="BN113" s="648">
        <v>65758</v>
      </c>
      <c r="BO113" s="648">
        <v>64463.7</v>
      </c>
      <c r="BP113" s="648">
        <v>56445.3</v>
      </c>
      <c r="BQ113" s="649" t="s">
        <v>1274</v>
      </c>
      <c r="BR113" s="648">
        <v>46439.3</v>
      </c>
      <c r="BS113" s="648">
        <v>44191.4</v>
      </c>
      <c r="BT113" s="648">
        <v>21339</v>
      </c>
      <c r="BU113" s="648">
        <v>55714</v>
      </c>
    </row>
    <row r="114" spans="60:73" ht="18">
      <c r="BH114" s="657" t="s">
        <v>914</v>
      </c>
      <c r="BI114" s="648">
        <v>115296.2</v>
      </c>
      <c r="BJ114" s="648">
        <v>152203.5</v>
      </c>
      <c r="BK114" s="648">
        <v>125863.2</v>
      </c>
      <c r="BL114" s="648">
        <v>93384.4</v>
      </c>
      <c r="BM114" s="648">
        <v>109663.7</v>
      </c>
      <c r="BN114" s="648">
        <v>156055.20000000001</v>
      </c>
      <c r="BO114" s="648">
        <v>170113.2</v>
      </c>
      <c r="BP114" s="648">
        <v>172761.3</v>
      </c>
      <c r="BQ114" s="648">
        <v>165382.5</v>
      </c>
      <c r="BR114" s="648">
        <v>179493.1</v>
      </c>
      <c r="BS114" s="648">
        <v>184561.2</v>
      </c>
      <c r="BT114" s="648">
        <v>192823.3</v>
      </c>
      <c r="BU114" s="648">
        <v>194226.7</v>
      </c>
    </row>
    <row r="115" spans="60:73" ht="18">
      <c r="BH115" s="657" t="s">
        <v>915</v>
      </c>
      <c r="BI115" s="649">
        <v>0</v>
      </c>
      <c r="BJ115" s="657">
        <v>0</v>
      </c>
      <c r="BK115" s="649">
        <v>0</v>
      </c>
      <c r="BL115" s="649">
        <v>0</v>
      </c>
      <c r="BM115" s="649">
        <v>0</v>
      </c>
      <c r="BN115" s="649">
        <v>0</v>
      </c>
      <c r="BO115" s="649">
        <v>0</v>
      </c>
      <c r="BP115" s="649"/>
      <c r="BQ115" s="649"/>
      <c r="BR115" s="649"/>
      <c r="BS115" s="649"/>
      <c r="BT115" s="649"/>
      <c r="BU115" s="649"/>
    </row>
    <row r="116" spans="60:73" ht="18">
      <c r="BH116" s="657" t="s">
        <v>916</v>
      </c>
      <c r="BI116" s="648">
        <v>10141.6</v>
      </c>
      <c r="BJ116" s="648">
        <v>10141.6</v>
      </c>
      <c r="BK116" s="648">
        <v>10141.6</v>
      </c>
      <c r="BL116" s="648">
        <v>10141.6</v>
      </c>
      <c r="BM116" s="648">
        <v>10141.6</v>
      </c>
      <c r="BN116" s="648">
        <v>10141.6</v>
      </c>
      <c r="BO116" s="648">
        <v>10141.6</v>
      </c>
      <c r="BP116" s="648">
        <v>10141.6</v>
      </c>
      <c r="BQ116" s="648">
        <v>10141.6</v>
      </c>
      <c r="BR116" s="648">
        <v>10141.6</v>
      </c>
      <c r="BS116" s="648">
        <v>10141.6</v>
      </c>
      <c r="BT116" s="648">
        <v>10141.6</v>
      </c>
      <c r="BU116" s="648">
        <v>10141.6</v>
      </c>
    </row>
    <row r="117" spans="60:73">
      <c r="BH117" s="657" t="s">
        <v>917</v>
      </c>
      <c r="BI117" s="648">
        <v>7971.2</v>
      </c>
      <c r="BJ117" s="648">
        <v>5404.1</v>
      </c>
      <c r="BK117" s="648">
        <v>6217.4</v>
      </c>
      <c r="BL117" s="648">
        <v>5995</v>
      </c>
      <c r="BM117" s="648">
        <v>8259.1</v>
      </c>
      <c r="BN117" s="648">
        <v>9770.5</v>
      </c>
      <c r="BO117" s="660">
        <v>8018</v>
      </c>
      <c r="BP117" s="648">
        <v>8316.7999999999993</v>
      </c>
      <c r="BQ117" s="648">
        <v>11324</v>
      </c>
      <c r="BR117" s="648">
        <v>9964.9</v>
      </c>
      <c r="BS117" s="648">
        <v>8973.9</v>
      </c>
      <c r="BT117" s="648">
        <v>8497.2000000000007</v>
      </c>
      <c r="BU117" s="648">
        <v>8447.9</v>
      </c>
    </row>
    <row r="118" spans="60:73">
      <c r="BH118" s="655" t="s">
        <v>1153</v>
      </c>
      <c r="BI118" s="651">
        <v>295791.8</v>
      </c>
      <c r="BJ118" s="651">
        <v>529767.5</v>
      </c>
      <c r="BK118" s="651">
        <v>473171.3</v>
      </c>
      <c r="BL118" s="647" t="s">
        <v>1275</v>
      </c>
      <c r="BM118" s="651">
        <v>388253.5</v>
      </c>
      <c r="BN118" s="651">
        <v>569545.1</v>
      </c>
      <c r="BO118" s="651">
        <v>445718.9</v>
      </c>
      <c r="BP118" s="651">
        <v>558832.69999999995</v>
      </c>
      <c r="BQ118" s="651">
        <v>482976.8</v>
      </c>
      <c r="BR118" s="651">
        <v>670390.80000000005</v>
      </c>
      <c r="BS118" s="662">
        <v>562248.80000000005</v>
      </c>
      <c r="BT118" s="662">
        <v>584157.69999999995</v>
      </c>
      <c r="BU118" s="662">
        <v>566144.06999999995</v>
      </c>
    </row>
    <row r="119" spans="60:73">
      <c r="BH119" s="655" t="s">
        <v>1154</v>
      </c>
      <c r="BI119" s="647" t="s">
        <v>1276</v>
      </c>
      <c r="BJ119" s="651">
        <v>3438618.5</v>
      </c>
      <c r="BK119" s="651">
        <v>3453755.3</v>
      </c>
      <c r="BL119" s="651">
        <v>3580185.4</v>
      </c>
      <c r="BM119" s="651">
        <v>3590270.7</v>
      </c>
      <c r="BN119" s="651">
        <v>3697560.4</v>
      </c>
      <c r="BO119" s="651">
        <v>3589298.3</v>
      </c>
      <c r="BP119" s="651">
        <v>3728183.4</v>
      </c>
      <c r="BQ119" s="651">
        <v>3813963.8</v>
      </c>
      <c r="BR119" s="651">
        <v>3824656.8</v>
      </c>
      <c r="BS119" s="662">
        <v>3886672.1</v>
      </c>
      <c r="BT119" s="662">
        <v>3808395.5</v>
      </c>
      <c r="BU119" s="662">
        <v>3813616.9</v>
      </c>
    </row>
    <row r="120" spans="60:73" ht="16.5" thickBot="1">
      <c r="BH120" s="663"/>
      <c r="BI120" s="650"/>
      <c r="BJ120" s="664"/>
      <c r="BK120" s="664"/>
      <c r="BL120" s="664"/>
      <c r="BM120" s="664"/>
      <c r="BN120" s="664"/>
      <c r="BO120" s="664"/>
      <c r="BP120" s="664"/>
      <c r="BQ120" s="664"/>
      <c r="BR120" s="664"/>
      <c r="BS120" s="664"/>
      <c r="BT120" s="664"/>
      <c r="BU120" s="664"/>
    </row>
    <row r="121" spans="60:73">
      <c r="BH121" s="665"/>
      <c r="BI121" s="666"/>
      <c r="BJ121" s="667"/>
      <c r="BK121" s="667"/>
      <c r="BL121" s="667"/>
      <c r="BM121" s="667"/>
      <c r="BN121" s="667"/>
      <c r="BO121" s="667"/>
      <c r="BP121" s="667"/>
      <c r="BQ121" s="667"/>
      <c r="BR121" s="667"/>
      <c r="BS121" s="667"/>
      <c r="BT121" s="667"/>
      <c r="BU121" s="667"/>
    </row>
  </sheetData>
  <customSheetViews>
    <customSheetView guid="{705E0D18-9A83-42CA-8732-90923BE2EC7D}"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1"/>
      <headerFooter alignWithMargins="0"/>
    </customSheetView>
    <customSheetView guid="{D45E5F9E-4EA6-40A2-8A1D-3AC67FB8CE54}"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2"/>
      <headerFooter alignWithMargins="0"/>
    </customSheetView>
    <customSheetView guid="{098C004C-808F-436E-8F18-182F927479D1}"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3"/>
      <headerFooter alignWithMargins="0"/>
    </customSheetView>
    <customSheetView guid="{89CA84C2-78F5-4B05-8F1D-B7C5F97BCB4E}"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4"/>
      <headerFooter alignWithMargins="0"/>
    </customSheetView>
  </customSheetViews>
  <mergeCells count="6">
    <mergeCell ref="BI96:BS96"/>
    <mergeCell ref="BT96:BU96"/>
    <mergeCell ref="C7:N7"/>
    <mergeCell ref="O7:Z7"/>
    <mergeCell ref="AA7:AC7"/>
    <mergeCell ref="BJ65:BK65"/>
  </mergeCells>
  <phoneticPr fontId="52" type="noConversion"/>
  <pageMargins left="0.18" right="0.17" top="0.28000000000000003" bottom="0.23" header="0.24" footer="0.5"/>
  <pageSetup orientation="landscape" r:id="rId5"/>
  <headerFooter alignWithMargins="0"/>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autoPageBreaks="0" fitToPage="1"/>
  </sheetPr>
  <dimension ref="A1:X169"/>
  <sheetViews>
    <sheetView showGridLines="0" showOutlineSymbols="0" zoomScale="85" zoomScaleNormal="85" zoomScaleSheetLayoutView="100" workbookViewId="0">
      <selection activeCell="B2" sqref="B2:O2"/>
    </sheetView>
  </sheetViews>
  <sheetFormatPr defaultColWidth="8.6640625" defaultRowHeight="11.25"/>
  <cols>
    <col min="1" max="1" width="10.109375" style="614" customWidth="1"/>
    <col min="2" max="3" width="8.77734375" style="614" customWidth="1"/>
    <col min="4" max="4" width="10.77734375" style="614" customWidth="1"/>
    <col min="5" max="5" width="11" style="614" customWidth="1"/>
    <col min="6" max="6" width="13.77734375" style="614" customWidth="1"/>
    <col min="7" max="8" width="12.77734375" style="614" customWidth="1"/>
    <col min="9" max="9" width="11.109375" style="614" customWidth="1"/>
    <col min="10" max="10" width="12.21875" style="614" bestFit="1" customWidth="1"/>
    <col min="11" max="11" width="15" style="614" customWidth="1"/>
    <col min="12" max="12" width="10.21875" style="614" customWidth="1"/>
    <col min="13" max="13" width="9.77734375" style="614" bestFit="1" customWidth="1"/>
    <col min="14" max="14" width="13" style="614" bestFit="1" customWidth="1"/>
    <col min="15" max="15" width="12.6640625" style="614" bestFit="1" customWidth="1"/>
    <col min="16" max="16" width="17.44140625" style="614" bestFit="1" customWidth="1"/>
    <col min="17" max="19" width="11.44140625" style="614" customWidth="1"/>
    <col min="20" max="20" width="12.21875" style="614" customWidth="1"/>
    <col min="21" max="21" width="17.5546875" style="614" customWidth="1"/>
    <col min="22" max="22" width="12.5546875" style="1028" bestFit="1" customWidth="1"/>
    <col min="23" max="23" width="8.77734375" style="1029" bestFit="1" customWidth="1"/>
    <col min="24" max="24" width="9.21875" style="1030" bestFit="1" customWidth="1"/>
    <col min="25" max="16384" width="8.6640625" style="614"/>
  </cols>
  <sheetData>
    <row r="1" spans="1:24" ht="27" customHeight="1">
      <c r="B1" s="1885" t="s">
        <v>1727</v>
      </c>
      <c r="C1" s="1885"/>
      <c r="D1" s="1885"/>
      <c r="E1" s="1885"/>
      <c r="F1" s="1885"/>
      <c r="G1" s="1885"/>
      <c r="H1" s="1885"/>
      <c r="I1" s="1885"/>
      <c r="J1" s="1885"/>
      <c r="K1" s="1885"/>
      <c r="L1" s="1885"/>
      <c r="M1" s="1885"/>
      <c r="N1" s="1885"/>
      <c r="O1" s="1885"/>
      <c r="P1" s="1885"/>
      <c r="Q1" s="1885"/>
      <c r="R1" s="1885"/>
      <c r="S1" s="1885"/>
      <c r="T1" s="1885"/>
    </row>
    <row r="2" spans="1:24" ht="13.9" customHeight="1">
      <c r="A2" s="616"/>
      <c r="B2" s="957"/>
      <c r="C2" s="957"/>
      <c r="D2" s="957"/>
      <c r="E2" s="957"/>
      <c r="F2" s="957"/>
      <c r="G2" s="957"/>
      <c r="H2" s="957"/>
      <c r="I2" s="957"/>
      <c r="J2" s="957"/>
      <c r="K2" s="957"/>
      <c r="L2" s="957"/>
      <c r="M2" s="957"/>
      <c r="N2" s="957"/>
      <c r="O2" s="957"/>
      <c r="P2" s="957"/>
      <c r="Q2" s="957"/>
      <c r="R2" s="957"/>
      <c r="S2" s="957"/>
      <c r="T2" s="957"/>
    </row>
    <row r="3" spans="1:24" ht="19.5" customHeight="1">
      <c r="A3" s="615"/>
      <c r="B3" s="1886" t="s">
        <v>1349</v>
      </c>
      <c r="C3" s="1886"/>
      <c r="D3" s="1886"/>
      <c r="E3" s="1886"/>
      <c r="F3" s="1886"/>
      <c r="G3" s="1886"/>
      <c r="H3" s="1886"/>
      <c r="I3" s="1886"/>
      <c r="J3" s="1886"/>
      <c r="K3" s="1886"/>
      <c r="L3" s="1886"/>
      <c r="M3" s="1886"/>
      <c r="N3" s="1886"/>
      <c r="O3" s="1886"/>
      <c r="P3" s="1886"/>
      <c r="Q3" s="1886"/>
      <c r="R3" s="1886"/>
      <c r="S3" s="1886"/>
      <c r="T3" s="1886"/>
    </row>
    <row r="4" spans="1:24" ht="13.9" customHeight="1" thickBot="1">
      <c r="A4" s="616"/>
      <c r="B4" s="752"/>
      <c r="C4" s="752"/>
      <c r="D4" s="752"/>
      <c r="E4" s="752"/>
      <c r="F4" s="752"/>
      <c r="G4" s="752"/>
      <c r="H4" s="752"/>
      <c r="I4" s="752"/>
      <c r="J4" s="752"/>
      <c r="K4" s="752"/>
      <c r="L4" s="752"/>
      <c r="M4" s="752"/>
      <c r="N4" s="752"/>
      <c r="O4" s="752"/>
      <c r="P4" s="752"/>
      <c r="Q4" s="752"/>
      <c r="R4" s="752"/>
      <c r="S4" s="752"/>
      <c r="T4" s="752"/>
    </row>
    <row r="5" spans="1:24" ht="15" customHeight="1" thickTop="1">
      <c r="B5" s="1031"/>
      <c r="C5" s="1032"/>
      <c r="D5" s="1033"/>
      <c r="E5" s="1034"/>
      <c r="F5" s="1034"/>
      <c r="G5" s="1035"/>
      <c r="H5" s="1034"/>
      <c r="I5" s="1033"/>
      <c r="J5" s="1034"/>
      <c r="K5" s="1034"/>
      <c r="L5" s="1035"/>
      <c r="M5" s="1033"/>
      <c r="N5" s="1034"/>
      <c r="O5" s="1034"/>
      <c r="P5" s="1035"/>
      <c r="Q5" s="1036"/>
      <c r="R5" s="1036"/>
      <c r="S5" s="1036"/>
      <c r="T5" s="1036"/>
    </row>
    <row r="6" spans="1:24" ht="19.5" customHeight="1" thickBot="1">
      <c r="B6" s="1037"/>
      <c r="C6" s="1038"/>
      <c r="D6" s="1853"/>
      <c r="E6" s="1854"/>
      <c r="F6" s="1854"/>
      <c r="G6" s="1855"/>
      <c r="H6" s="1039"/>
      <c r="I6" s="1856"/>
      <c r="J6" s="1857"/>
      <c r="K6" s="1857"/>
      <c r="L6" s="1858"/>
      <c r="M6" s="1042"/>
      <c r="N6" s="1093"/>
      <c r="O6" s="1093"/>
      <c r="P6" s="1046"/>
      <c r="Q6" s="1040"/>
      <c r="R6" s="1040"/>
      <c r="S6" s="1040"/>
      <c r="T6" s="1040"/>
    </row>
    <row r="7" spans="1:24" ht="15" customHeight="1" thickTop="1" thickBot="1">
      <c r="B7" s="1041"/>
      <c r="C7" s="1041"/>
      <c r="D7" s="1040" t="s">
        <v>35</v>
      </c>
      <c r="E7" s="1040"/>
      <c r="F7" s="1040"/>
      <c r="G7" s="1040"/>
      <c r="H7" s="1042"/>
      <c r="I7" s="1887" t="s">
        <v>1694</v>
      </c>
      <c r="J7" s="1888"/>
      <c r="K7" s="1888"/>
      <c r="L7" s="1889"/>
      <c r="M7" s="1888" t="s">
        <v>1695</v>
      </c>
      <c r="N7" s="1888"/>
      <c r="O7" s="1888"/>
      <c r="P7" s="1888"/>
      <c r="Q7" s="1040" t="s">
        <v>1696</v>
      </c>
      <c r="R7" s="1040" t="s">
        <v>1479</v>
      </c>
      <c r="S7" s="1040" t="s">
        <v>1164</v>
      </c>
      <c r="T7" s="1043" t="s">
        <v>287</v>
      </c>
    </row>
    <row r="8" spans="1:24" ht="16.5" customHeight="1" thickTop="1">
      <c r="B8" s="1040" t="s">
        <v>32</v>
      </c>
      <c r="C8" s="1040"/>
      <c r="D8" s="1040" t="s">
        <v>998</v>
      </c>
      <c r="E8" s="1040"/>
      <c r="F8" s="1040"/>
      <c r="G8" s="1040"/>
      <c r="H8" s="1040"/>
      <c r="I8" s="1044"/>
      <c r="J8" s="1045"/>
      <c r="K8" s="1045"/>
      <c r="L8" s="1045"/>
      <c r="M8" s="1040"/>
      <c r="N8" s="1040"/>
      <c r="O8" s="1040"/>
      <c r="P8" s="1040"/>
      <c r="Q8" s="1040"/>
      <c r="R8" s="1040"/>
      <c r="S8" s="1040" t="s">
        <v>1026</v>
      </c>
      <c r="T8" s="1040"/>
    </row>
    <row r="9" spans="1:24" ht="18" customHeight="1">
      <c r="B9" s="1041"/>
      <c r="C9" s="1040" t="s">
        <v>1326</v>
      </c>
      <c r="D9" s="1040" t="s">
        <v>766</v>
      </c>
      <c r="E9" s="1040" t="s">
        <v>999</v>
      </c>
      <c r="F9" s="1040" t="s">
        <v>1697</v>
      </c>
      <c r="G9" s="1040" t="s">
        <v>999</v>
      </c>
      <c r="H9" s="1040" t="s">
        <v>1698</v>
      </c>
      <c r="I9" s="1040"/>
      <c r="J9" s="1046"/>
      <c r="K9" s="1046"/>
      <c r="L9" s="1046"/>
      <c r="M9" s="1040"/>
      <c r="N9" s="1040"/>
      <c r="O9" s="1040"/>
      <c r="P9" s="1040"/>
      <c r="Q9" s="1040"/>
      <c r="R9" s="1040"/>
      <c r="S9" s="1040"/>
      <c r="T9" s="1040"/>
    </row>
    <row r="10" spans="1:24" ht="17.25" customHeight="1">
      <c r="B10" s="1041"/>
      <c r="C10" s="1040" t="s">
        <v>1351</v>
      </c>
      <c r="D10" s="1040" t="s">
        <v>1004</v>
      </c>
      <c r="E10" s="1040" t="s">
        <v>1001</v>
      </c>
      <c r="F10" s="1040" t="s">
        <v>1699</v>
      </c>
      <c r="G10" s="1040" t="s">
        <v>1001</v>
      </c>
      <c r="H10" s="1040" t="s">
        <v>1700</v>
      </c>
      <c r="I10" s="1046" t="s">
        <v>1701</v>
      </c>
      <c r="J10" s="1046" t="s">
        <v>1702</v>
      </c>
      <c r="K10" s="1040" t="s">
        <v>1141</v>
      </c>
      <c r="L10" s="1046" t="s">
        <v>1703</v>
      </c>
      <c r="M10" s="1040" t="s">
        <v>64</v>
      </c>
      <c r="N10" s="1040" t="s">
        <v>1704</v>
      </c>
      <c r="O10" s="1040" t="s">
        <v>1141</v>
      </c>
      <c r="P10" s="1046" t="s">
        <v>1705</v>
      </c>
      <c r="Q10" s="1040"/>
      <c r="R10" s="1040"/>
      <c r="S10" s="1040"/>
      <c r="T10" s="1040"/>
    </row>
    <row r="11" spans="1:24" ht="18.75" customHeight="1" thickBot="1">
      <c r="B11" s="1047"/>
      <c r="C11" s="1048" t="s">
        <v>1324</v>
      </c>
      <c r="D11" s="1049"/>
      <c r="E11" s="1049" t="s">
        <v>1005</v>
      </c>
      <c r="F11" s="1049" t="s">
        <v>1706</v>
      </c>
      <c r="G11" s="1049" t="s">
        <v>1187</v>
      </c>
      <c r="H11" s="1049" t="s">
        <v>1707</v>
      </c>
      <c r="I11" s="1049" t="s">
        <v>1163</v>
      </c>
      <c r="J11" s="1050" t="s">
        <v>1708</v>
      </c>
      <c r="K11" s="1050"/>
      <c r="L11" s="1050"/>
      <c r="M11" s="1049"/>
      <c r="N11" s="1049"/>
      <c r="O11" s="1049"/>
      <c r="P11" s="1049"/>
      <c r="Q11" s="1049"/>
      <c r="R11" s="1049"/>
      <c r="S11" s="1049"/>
      <c r="T11" s="1049"/>
    </row>
    <row r="12" spans="1:24" ht="15" customHeight="1" thickTop="1">
      <c r="B12" s="1051"/>
      <c r="C12" s="1051"/>
      <c r="D12" s="1044"/>
      <c r="E12" s="1040"/>
      <c r="F12" s="1040"/>
      <c r="G12" s="1040"/>
      <c r="H12" s="1040"/>
      <c r="I12" s="1044"/>
      <c r="J12" s="1046"/>
      <c r="K12" s="1046"/>
      <c r="L12" s="1046"/>
      <c r="M12" s="1040"/>
      <c r="N12" s="1040"/>
      <c r="O12" s="1040"/>
      <c r="P12" s="1040"/>
      <c r="Q12" s="1040"/>
      <c r="R12" s="1040"/>
      <c r="S12" s="1040"/>
      <c r="T12" s="1040"/>
      <c r="V12" s="1052" t="s">
        <v>1709</v>
      </c>
    </row>
    <row r="13" spans="1:24" ht="15" customHeight="1">
      <c r="B13" s="1053">
        <v>2015</v>
      </c>
      <c r="C13" s="1053"/>
      <c r="D13" s="1040"/>
      <c r="E13" s="1040"/>
      <c r="F13" s="1040"/>
      <c r="G13" s="1040"/>
      <c r="H13" s="1040"/>
      <c r="I13" s="1040"/>
      <c r="J13" s="1046"/>
      <c r="K13" s="1046"/>
      <c r="L13" s="1046"/>
      <c r="M13" s="1040"/>
      <c r="N13" s="1040"/>
      <c r="O13" s="1040"/>
      <c r="P13" s="1040"/>
      <c r="Q13" s="1040"/>
      <c r="R13" s="1040"/>
      <c r="S13" s="1040"/>
      <c r="T13" s="1040"/>
    </row>
    <row r="14" spans="1:24" ht="15" customHeight="1">
      <c r="B14" s="1054" t="s">
        <v>1170</v>
      </c>
      <c r="C14" s="1135">
        <f>'Input Merchant Assets'!C5</f>
        <v>0</v>
      </c>
      <c r="D14" s="1056">
        <f>'Input Merchant Assets'!AR4/1000000</f>
        <v>0.61831400000000003</v>
      </c>
      <c r="E14" s="1056">
        <f>'Input Merchant Assets'!E4/1000000</f>
        <v>0.25602599999999998</v>
      </c>
      <c r="F14" s="1056">
        <f>('Input Merchant Assets'!J4+'Input Merchant Assets'!U4+'Input Merchant Assets'!AG4+'Input Merchant Assets'!AL4)/1000000</f>
        <v>8.9610000000000002E-3</v>
      </c>
      <c r="G14" s="1056">
        <f>('Input Merchant Assets'!AS4)/1000000</f>
        <v>0.13442000000000001</v>
      </c>
      <c r="H14" s="1057">
        <f>('Input Merchant Assets'!AV4+'Input Merchant Assets'!AW4)/1000000</f>
        <v>0</v>
      </c>
      <c r="I14" s="1057">
        <f>('Input Merchant Assets'!AZ4+'Input Merchant Assets'!BC4+'Input Merchant Assets'!BD4)/1000000</f>
        <v>1.5950899999999999</v>
      </c>
      <c r="J14" s="1058">
        <f>'Input Merchant Assets'!BM4/1000000</f>
        <v>0</v>
      </c>
      <c r="K14" s="1058">
        <f>('Input Merchant Assets'!BU4+'Input Merchant Assets'!BY4)/1000000</f>
        <v>0</v>
      </c>
      <c r="L14" s="1058">
        <f>'Input Merchant Assets'!DG4/1000000</f>
        <v>0</v>
      </c>
      <c r="M14" s="1057">
        <f>'Input Merchant Assets'!BE4/1000000</f>
        <v>0</v>
      </c>
      <c r="N14" s="1057">
        <f>('Input Merchant Assets'!BQ4+'Input Merchant Assets'!BR4)/1000000</f>
        <v>0</v>
      </c>
      <c r="O14" s="1057">
        <f>('Input Merchant Assets'!BZ4+'Input Merchant Assets'!CJ4+'Input Merchant Assets'!CK4+'Input Merchant Assets'!CL4)/1000000</f>
        <v>0</v>
      </c>
      <c r="P14" s="1057">
        <f>('Input Merchant Assets'!DQ4+'Input Merchant Assets'!DU4)/1000000</f>
        <v>78.471627999999995</v>
      </c>
      <c r="Q14" s="1057">
        <f>'Input Merchant Assets'!DZ4/1000000</f>
        <v>8.3443500000000004</v>
      </c>
      <c r="R14" s="1057">
        <f>'Input Merchant Assets'!GB4/1000000</f>
        <v>10.658022000000001</v>
      </c>
      <c r="S14" s="1057">
        <f>'Input Merchant Assets'!FW4/1000000</f>
        <v>23.661401999999999</v>
      </c>
      <c r="T14" s="1059">
        <f>SUM(C14:S14)</f>
        <v>123.74821299999999</v>
      </c>
      <c r="V14" s="1060">
        <f>T14-'Input Merchant Assets'!GF4/1000000</f>
        <v>0</v>
      </c>
      <c r="W14" s="1061">
        <f>+V14/T14</f>
        <v>0</v>
      </c>
      <c r="X14" s="1030">
        <f>+V14*1000000</f>
        <v>0</v>
      </c>
    </row>
    <row r="15" spans="1:24" ht="15" customHeight="1">
      <c r="B15" s="1054" t="s">
        <v>1172</v>
      </c>
      <c r="C15" s="1135">
        <f>'Input Merchant Assets'!C6</f>
        <v>0</v>
      </c>
      <c r="D15" s="1056">
        <f>'Input Merchant Assets'!AR5/1000000</f>
        <v>0.44962200000000002</v>
      </c>
      <c r="E15" s="1056">
        <f>'Input Merchant Assets'!E5/1000000</f>
        <v>0.190881</v>
      </c>
      <c r="F15" s="1056">
        <f>('Input Merchant Assets'!J5+'Input Merchant Assets'!U5+'Input Merchant Assets'!AG5+'Input Merchant Assets'!AL5)/1000000</f>
        <v>8.6352999999999999E-2</v>
      </c>
      <c r="G15" s="1056">
        <f>('Input Merchant Assets'!AS5)/1000000</f>
        <v>0.13983799999999999</v>
      </c>
      <c r="H15" s="1057">
        <f>('Input Merchant Assets'!AV5+'Input Merchant Assets'!AW5)/1000000</f>
        <v>0</v>
      </c>
      <c r="I15" s="1057">
        <f>('Input Merchant Assets'!AZ5+'Input Merchant Assets'!BC5+'Input Merchant Assets'!BD5)/1000000</f>
        <v>1.5950899999999999</v>
      </c>
      <c r="J15" s="1058">
        <f>'Input Merchant Assets'!BM5/1000000</f>
        <v>0</v>
      </c>
      <c r="K15" s="1058">
        <f>('Input Merchant Assets'!BU5+'Input Merchant Assets'!BY5)/1000000</f>
        <v>0</v>
      </c>
      <c r="L15" s="1058">
        <f>'Input Merchant Assets'!DG5/1000000</f>
        <v>0</v>
      </c>
      <c r="M15" s="1057">
        <f>'Input Merchant Assets'!BE5/1000000</f>
        <v>0</v>
      </c>
      <c r="N15" s="1057">
        <f>('Input Merchant Assets'!BQ5+'Input Merchant Assets'!BR5)/1000000</f>
        <v>0</v>
      </c>
      <c r="O15" s="1057">
        <f>('Input Merchant Assets'!BZ5+'Input Merchant Assets'!CJ5+'Input Merchant Assets'!CK5+'Input Merchant Assets'!CL5)/1000000</f>
        <v>0</v>
      </c>
      <c r="P15" s="1057">
        <f>('Input Merchant Assets'!DQ5+'Input Merchant Assets'!DU5)/1000000</f>
        <v>80.283201000000005</v>
      </c>
      <c r="Q15" s="1057">
        <f>'Input Merchant Assets'!DZ5/1000000</f>
        <v>8.3467000000000002</v>
      </c>
      <c r="R15" s="1057">
        <f>'Input Merchant Assets'!GB5/1000000</f>
        <v>10.991795</v>
      </c>
      <c r="S15" s="1057">
        <f>'Input Merchant Assets'!FW5/1000000</f>
        <v>23.578704999999999</v>
      </c>
      <c r="T15" s="1059">
        <f t="shared" ref="T15:T39" si="0">SUM(C15:S15)</f>
        <v>125.66218499999999</v>
      </c>
      <c r="V15" s="1060">
        <f>T15-'Input Merchant Assets'!GF5/1000000</f>
        <v>0</v>
      </c>
      <c r="W15" s="1061">
        <f t="shared" ref="W15:W39" si="1">+V15/T15</f>
        <v>0</v>
      </c>
      <c r="X15" s="1030">
        <f t="shared" ref="X15:X25" si="2">+V15*1000000</f>
        <v>0</v>
      </c>
    </row>
    <row r="16" spans="1:24" ht="15" customHeight="1">
      <c r="B16" s="1054" t="s">
        <v>1173</v>
      </c>
      <c r="C16" s="1135">
        <f>'Input Merchant Assets'!C7</f>
        <v>0</v>
      </c>
      <c r="D16" s="1056">
        <f>'Input Merchant Assets'!AR6/1000000</f>
        <v>0.37140099999999998</v>
      </c>
      <c r="E16" s="1056">
        <f>'Input Merchant Assets'!E6/1000000</f>
        <v>0.14913699999999999</v>
      </c>
      <c r="F16" s="1056">
        <f>('Input Merchant Assets'!J6+'Input Merchant Assets'!U6+'Input Merchant Assets'!AG6+'Input Merchant Assets'!AL6)/1000000</f>
        <v>7.1199999999999996E-4</v>
      </c>
      <c r="G16" s="1056">
        <f>('Input Merchant Assets'!AS6)/1000000</f>
        <v>0.13827999999999999</v>
      </c>
      <c r="H16" s="1057">
        <f>('Input Merchant Assets'!AV6+'Input Merchant Assets'!AW6)/1000000</f>
        <v>0</v>
      </c>
      <c r="I16" s="1057">
        <f>('Input Merchant Assets'!AZ6+'Input Merchant Assets'!BC6+'Input Merchant Assets'!BD6)/1000000</f>
        <v>1.4729239999999999</v>
      </c>
      <c r="J16" s="1058">
        <f>'Input Merchant Assets'!BM6/1000000</f>
        <v>0</v>
      </c>
      <c r="K16" s="1058">
        <f>('Input Merchant Assets'!BU6+'Input Merchant Assets'!BY6)/1000000</f>
        <v>0</v>
      </c>
      <c r="L16" s="1058">
        <f>'Input Merchant Assets'!DG6/1000000</f>
        <v>0</v>
      </c>
      <c r="M16" s="1057">
        <f>'Input Merchant Assets'!BE6/1000000</f>
        <v>0</v>
      </c>
      <c r="N16" s="1057">
        <f>('Input Merchant Assets'!BQ6+'Input Merchant Assets'!BR6)/1000000</f>
        <v>0</v>
      </c>
      <c r="O16" s="1057">
        <f>('Input Merchant Assets'!BZ6+'Input Merchant Assets'!CJ6+'Input Merchant Assets'!CK6+'Input Merchant Assets'!CL6)/1000000</f>
        <v>0</v>
      </c>
      <c r="P16" s="1057">
        <f>('Input Merchant Assets'!DQ6+'Input Merchant Assets'!DU6)/1000000</f>
        <v>80.796128999999993</v>
      </c>
      <c r="Q16" s="1057">
        <f>'Input Merchant Assets'!DZ6/1000000</f>
        <v>8.2471499999999995</v>
      </c>
      <c r="R16" s="1057">
        <f>'Input Merchant Assets'!GB6/1000000</f>
        <v>10.944379</v>
      </c>
      <c r="S16" s="1057">
        <f>'Input Merchant Assets'!FW6/1000000</f>
        <v>23.386596999999998</v>
      </c>
      <c r="T16" s="1059">
        <f t="shared" si="0"/>
        <v>125.50670899999999</v>
      </c>
      <c r="V16" s="1060">
        <f>T16-'Input Merchant Assets'!GF6/1000000</f>
        <v>0</v>
      </c>
      <c r="W16" s="1061">
        <f t="shared" si="1"/>
        <v>0</v>
      </c>
      <c r="X16" s="1030">
        <f t="shared" si="2"/>
        <v>0</v>
      </c>
    </row>
    <row r="17" spans="2:24" ht="15" customHeight="1">
      <c r="B17" s="1054" t="s">
        <v>1174</v>
      </c>
      <c r="C17" s="1135">
        <f>'Input Merchant Assets'!C8</f>
        <v>0</v>
      </c>
      <c r="D17" s="1056">
        <f>'Input Merchant Assets'!AR7/1000000</f>
        <v>0.27882099999999999</v>
      </c>
      <c r="E17" s="1056">
        <f>'Input Merchant Assets'!E7/1000000</f>
        <v>5.3561999999999999E-2</v>
      </c>
      <c r="F17" s="1056">
        <f>('Input Merchant Assets'!J7+'Input Merchant Assets'!U7+'Input Merchant Assets'!AG7+'Input Merchant Assets'!AL7)/1000000</f>
        <v>0</v>
      </c>
      <c r="G17" s="1056">
        <f>('Input Merchant Assets'!AS7)/1000000</f>
        <v>7.0475999999999997E-2</v>
      </c>
      <c r="H17" s="1057">
        <f>('Input Merchant Assets'!AV7+'Input Merchant Assets'!AW7)/1000000</f>
        <v>0</v>
      </c>
      <c r="I17" s="1057">
        <f>('Input Merchant Assets'!AZ7+'Input Merchant Assets'!BC7+'Input Merchant Assets'!BD7)/1000000</f>
        <v>0.17871200000000001</v>
      </c>
      <c r="J17" s="1058">
        <f>'Input Merchant Assets'!BM7/1000000</f>
        <v>0</v>
      </c>
      <c r="K17" s="1058">
        <f>('Input Merchant Assets'!BU7+'Input Merchant Assets'!BY7)/1000000</f>
        <v>0</v>
      </c>
      <c r="L17" s="1058">
        <f>'Input Merchant Assets'!DG7/1000000</f>
        <v>0</v>
      </c>
      <c r="M17" s="1057">
        <f>'Input Merchant Assets'!BE7/1000000</f>
        <v>0</v>
      </c>
      <c r="N17" s="1057">
        <f>('Input Merchant Assets'!BQ7+'Input Merchant Assets'!BR7)/1000000</f>
        <v>0</v>
      </c>
      <c r="O17" s="1057">
        <f>('Input Merchant Assets'!BZ7+'Input Merchant Assets'!CJ7+'Input Merchant Assets'!CK7+'Input Merchant Assets'!CL7)/1000000</f>
        <v>0</v>
      </c>
      <c r="P17" s="1057">
        <f>('Input Merchant Assets'!DQ7+'Input Merchant Assets'!DU7)/1000000</f>
        <v>66.738601000000003</v>
      </c>
      <c r="Q17" s="1057">
        <f>'Input Merchant Assets'!DZ7/1000000</f>
        <v>0</v>
      </c>
      <c r="R17" s="1057">
        <f>'Input Merchant Assets'!GB7/1000000</f>
        <v>10.274229999999999</v>
      </c>
      <c r="S17" s="1057">
        <f>'Input Merchant Assets'!FW7/1000000</f>
        <v>21.298812000000002</v>
      </c>
      <c r="T17" s="1059">
        <f t="shared" si="0"/>
        <v>98.893214</v>
      </c>
      <c r="V17" s="1060">
        <f>T17-'Input Merchant Assets'!GF7/1000000</f>
        <v>0</v>
      </c>
      <c r="W17" s="1061">
        <f t="shared" si="1"/>
        <v>0</v>
      </c>
      <c r="X17" s="1030">
        <f t="shared" si="2"/>
        <v>0</v>
      </c>
    </row>
    <row r="18" spans="2:24" ht="15" customHeight="1">
      <c r="B18" s="1054" t="s">
        <v>1165</v>
      </c>
      <c r="C18" s="1135">
        <f>'Input Merchant Assets'!C9</f>
        <v>0</v>
      </c>
      <c r="D18" s="1056">
        <f>'Input Merchant Assets'!AR8/1000000</f>
        <v>0.43113600000000002</v>
      </c>
      <c r="E18" s="1056">
        <f>'Input Merchant Assets'!E8/1000000</f>
        <v>3.0309999999999998E-3</v>
      </c>
      <c r="F18" s="1056">
        <f>('Input Merchant Assets'!J8+'Input Merchant Assets'!U8+'Input Merchant Assets'!AG8+'Input Merchant Assets'!AL8)/1000000</f>
        <v>0</v>
      </c>
      <c r="G18" s="1056">
        <f>('Input Merchant Assets'!AS8)/1000000</f>
        <v>9.9670000000000002E-3</v>
      </c>
      <c r="H18" s="1057">
        <f>('Input Merchant Assets'!AV8+'Input Merchant Assets'!AW8)/1000000</f>
        <v>0</v>
      </c>
      <c r="I18" s="1057">
        <f>('Input Merchant Assets'!AZ8+'Input Merchant Assets'!BC8+'Input Merchant Assets'!BD8)/1000000</f>
        <v>0.17871200000000001</v>
      </c>
      <c r="J18" s="1058">
        <f>'Input Merchant Assets'!BM8/1000000</f>
        <v>0</v>
      </c>
      <c r="K18" s="1058">
        <f>('Input Merchant Assets'!BU8+'Input Merchant Assets'!BY8)/1000000</f>
        <v>0</v>
      </c>
      <c r="L18" s="1058">
        <f>'Input Merchant Assets'!DG8/1000000</f>
        <v>0</v>
      </c>
      <c r="M18" s="1057">
        <f>'Input Merchant Assets'!BE8/1000000</f>
        <v>0</v>
      </c>
      <c r="N18" s="1057">
        <f>('Input Merchant Assets'!BQ8+'Input Merchant Assets'!BR8)/1000000</f>
        <v>0</v>
      </c>
      <c r="O18" s="1057">
        <f>('Input Merchant Assets'!BZ8+'Input Merchant Assets'!CJ8+'Input Merchant Assets'!CK8+'Input Merchant Assets'!CL8)/1000000</f>
        <v>0</v>
      </c>
      <c r="P18" s="1057">
        <f>('Input Merchant Assets'!DQ8+'Input Merchant Assets'!DU8)/1000000</f>
        <v>67.861046000000002</v>
      </c>
      <c r="Q18" s="1057">
        <f>'Input Merchant Assets'!DZ8/1000000</f>
        <v>0</v>
      </c>
      <c r="R18" s="1057">
        <f>'Input Merchant Assets'!GB8/1000000</f>
        <v>9.5959679999999992</v>
      </c>
      <c r="S18" s="1057">
        <f>'Input Merchant Assets'!FW8/1000000</f>
        <v>21.203555999999999</v>
      </c>
      <c r="T18" s="1059">
        <f t="shared" si="0"/>
        <v>99.283415999999988</v>
      </c>
      <c r="V18" s="1060">
        <f>T18-'Input Merchant Assets'!GF8/1000000</f>
        <v>0</v>
      </c>
      <c r="W18" s="1061">
        <f t="shared" si="1"/>
        <v>0</v>
      </c>
      <c r="X18" s="1030">
        <f t="shared" si="2"/>
        <v>0</v>
      </c>
    </row>
    <row r="19" spans="2:24" ht="15" customHeight="1">
      <c r="B19" s="1054" t="s">
        <v>1175</v>
      </c>
      <c r="C19" s="1135">
        <f>'Input Merchant Assets'!C10</f>
        <v>0</v>
      </c>
      <c r="D19" s="1056">
        <f>'Input Merchant Assets'!AR9/1000000</f>
        <v>0.28321067489377044</v>
      </c>
      <c r="E19" s="1056">
        <f>'Input Merchant Assets'!E9/1000000</f>
        <v>3.0499769999999999E-2</v>
      </c>
      <c r="F19" s="1056">
        <f>('Input Merchant Assets'!J9+'Input Merchant Assets'!U9+'Input Merchant Assets'!AG9+'Input Merchant Assets'!AL9)/1000000</f>
        <v>0</v>
      </c>
      <c r="G19" s="1056">
        <f>('Input Merchant Assets'!AS9)/1000000</f>
        <v>9.9665438174149999E-3</v>
      </c>
      <c r="H19" s="1057">
        <f>('Input Merchant Assets'!AV9+'Input Merchant Assets'!AW9)/1000000</f>
        <v>0</v>
      </c>
      <c r="I19" s="1057">
        <f>('Input Merchant Assets'!AZ9+'Input Merchant Assets'!BC9+'Input Merchant Assets'!BD9)/1000000</f>
        <v>0.17871200000000001</v>
      </c>
      <c r="J19" s="1058">
        <f>'Input Merchant Assets'!BM9/1000000</f>
        <v>0</v>
      </c>
      <c r="K19" s="1058">
        <f>('Input Merchant Assets'!BU9+'Input Merchant Assets'!BY9)/1000000</f>
        <v>0</v>
      </c>
      <c r="L19" s="1058">
        <f>'Input Merchant Assets'!DG9/1000000</f>
        <v>0</v>
      </c>
      <c r="M19" s="1057">
        <f>'Input Merchant Assets'!BE9/1000000</f>
        <v>0</v>
      </c>
      <c r="N19" s="1057">
        <f>('Input Merchant Assets'!BQ9+'Input Merchant Assets'!BR9)/1000000</f>
        <v>0</v>
      </c>
      <c r="O19" s="1057">
        <f>('Input Merchant Assets'!BZ9+'Input Merchant Assets'!CJ9+'Input Merchant Assets'!CK9+'Input Merchant Assets'!CL9)/1000000</f>
        <v>0</v>
      </c>
      <c r="P19" s="1057">
        <f>('Input Merchant Assets'!DQ9+'Input Merchant Assets'!DU9)/1000000</f>
        <v>68.12822527000003</v>
      </c>
      <c r="Q19" s="1057">
        <f>'Input Merchant Assets'!DZ9/1000000</f>
        <v>0</v>
      </c>
      <c r="R19" s="1057">
        <f>'Input Merchant Assets'!GB9/1000000</f>
        <v>9.6960915799999974</v>
      </c>
      <c r="S19" s="1057">
        <f>'Input Merchant Assets'!FW9/1000000</f>
        <v>21.110017310000003</v>
      </c>
      <c r="T19" s="1059">
        <f t="shared" si="0"/>
        <v>99.436723148711224</v>
      </c>
      <c r="V19" s="1060">
        <f>T19-'Input Merchant Assets'!GF9/1000000</f>
        <v>0</v>
      </c>
      <c r="W19" s="1061">
        <f t="shared" si="1"/>
        <v>0</v>
      </c>
      <c r="X19" s="1030">
        <f t="shared" si="2"/>
        <v>0</v>
      </c>
    </row>
    <row r="20" spans="2:24" ht="15" customHeight="1">
      <c r="B20" s="1054" t="s">
        <v>1176</v>
      </c>
      <c r="C20" s="1135">
        <f>'Input Merchant Assets'!C11</f>
        <v>0</v>
      </c>
      <c r="D20" s="1056">
        <f>'Input Merchant Assets'!AR10/1000000</f>
        <v>0.16192400000000001</v>
      </c>
      <c r="E20" s="1056">
        <f>'Input Merchant Assets'!E10/1000000</f>
        <v>1.608276</v>
      </c>
      <c r="F20" s="1056">
        <f>('Input Merchant Assets'!J10+'Input Merchant Assets'!U10+'Input Merchant Assets'!AG10+'Input Merchant Assets'!AL10)/1000000</f>
        <v>0</v>
      </c>
      <c r="G20" s="1056">
        <f>('Input Merchant Assets'!AS10)/1000000</f>
        <v>9.9670000000000002E-3</v>
      </c>
      <c r="H20" s="1057">
        <f>('Input Merchant Assets'!AV10+'Input Merchant Assets'!AW10)/1000000</f>
        <v>0</v>
      </c>
      <c r="I20" s="1057">
        <f>('Input Merchant Assets'!AZ10+'Input Merchant Assets'!BC10+'Input Merchant Assets'!BD10)/1000000</f>
        <v>0.17871200000000001</v>
      </c>
      <c r="J20" s="1058">
        <f>'Input Merchant Assets'!BM10/1000000</f>
        <v>0</v>
      </c>
      <c r="K20" s="1058">
        <f>('Input Merchant Assets'!BU10+'Input Merchant Assets'!BY10)/1000000</f>
        <v>0</v>
      </c>
      <c r="L20" s="1058">
        <f>'Input Merchant Assets'!DG10/1000000</f>
        <v>0</v>
      </c>
      <c r="M20" s="1057">
        <f>'Input Merchant Assets'!BE10/1000000</f>
        <v>0</v>
      </c>
      <c r="N20" s="1057">
        <f>('Input Merchant Assets'!BQ10+'Input Merchant Assets'!BR10)/1000000</f>
        <v>0</v>
      </c>
      <c r="O20" s="1057">
        <f>('Input Merchant Assets'!BZ10+'Input Merchant Assets'!CJ10+'Input Merchant Assets'!CK10+'Input Merchant Assets'!CL10)/1000000</f>
        <v>0</v>
      </c>
      <c r="P20" s="1057">
        <f>('Input Merchant Assets'!DQ10+'Input Merchant Assets'!DU10)/1000000</f>
        <v>67.788295000000005</v>
      </c>
      <c r="Q20" s="1057">
        <f>'Input Merchant Assets'!DZ10/1000000</f>
        <v>0</v>
      </c>
      <c r="R20" s="1057">
        <f>'Input Merchant Assets'!GB10/1000000</f>
        <v>9.2010310000000004</v>
      </c>
      <c r="S20" s="1057">
        <f>'Input Merchant Assets'!FW10/1000000</f>
        <v>21.027277999999999</v>
      </c>
      <c r="T20" s="1059">
        <f t="shared" si="0"/>
        <v>99.975482999999997</v>
      </c>
      <c r="V20" s="1060">
        <f>T20-'Input Merchant Assets'!GF10/1000000</f>
        <v>0</v>
      </c>
      <c r="W20" s="1061">
        <f t="shared" si="1"/>
        <v>0</v>
      </c>
      <c r="X20" s="1030">
        <f t="shared" si="2"/>
        <v>0</v>
      </c>
    </row>
    <row r="21" spans="2:24" ht="15" customHeight="1">
      <c r="B21" s="1054" t="s">
        <v>1177</v>
      </c>
      <c r="C21" s="1135">
        <f>'Input Merchant Assets'!C12</f>
        <v>0</v>
      </c>
      <c r="D21" s="1056">
        <f>'Input Merchant Assets'!AR11/1000000</f>
        <v>7.1240999999999999E-2</v>
      </c>
      <c r="E21" s="1056">
        <f>'Input Merchant Assets'!E11/1000000</f>
        <v>1.7700910000000001</v>
      </c>
      <c r="F21" s="1056">
        <f>('Input Merchant Assets'!J11+'Input Merchant Assets'!U11+'Input Merchant Assets'!AG11+'Input Merchant Assets'!AL11)/1000000</f>
        <v>0</v>
      </c>
      <c r="G21" s="1056">
        <f>('Input Merchant Assets'!AS11)/1000000</f>
        <v>9.9670000000000002E-3</v>
      </c>
      <c r="H21" s="1057">
        <f>('Input Merchant Assets'!AV11+'Input Merchant Assets'!AW11)/1000000</f>
        <v>0</v>
      </c>
      <c r="I21" s="1057">
        <f>('Input Merchant Assets'!AZ11+'Input Merchant Assets'!BC11+'Input Merchant Assets'!BD11)/1000000</f>
        <v>0.17871200000000001</v>
      </c>
      <c r="J21" s="1058">
        <f>'Input Merchant Assets'!BM11/1000000</f>
        <v>0</v>
      </c>
      <c r="K21" s="1058">
        <f>('Input Merchant Assets'!BU11+'Input Merchant Assets'!BY11)/1000000</f>
        <v>0</v>
      </c>
      <c r="L21" s="1058">
        <f>'Input Merchant Assets'!DG11/1000000</f>
        <v>0</v>
      </c>
      <c r="M21" s="1057">
        <f>'Input Merchant Assets'!BE11/1000000</f>
        <v>0</v>
      </c>
      <c r="N21" s="1057">
        <f>('Input Merchant Assets'!BQ11+'Input Merchant Assets'!BR11)/1000000</f>
        <v>0</v>
      </c>
      <c r="O21" s="1057">
        <f>('Input Merchant Assets'!BZ11+'Input Merchant Assets'!CJ11+'Input Merchant Assets'!CK11+'Input Merchant Assets'!CL11)/1000000</f>
        <v>0</v>
      </c>
      <c r="P21" s="1057">
        <f>('Input Merchant Assets'!DQ11+'Input Merchant Assets'!DU11)/1000000</f>
        <v>60.008121000000003</v>
      </c>
      <c r="Q21" s="1057">
        <f>'Input Merchant Assets'!DZ11/1000000</f>
        <v>0</v>
      </c>
      <c r="R21" s="1057">
        <f>'Input Merchant Assets'!GB11/1000000</f>
        <v>9.2684289999999994</v>
      </c>
      <c r="S21" s="1057">
        <f>'Input Merchant Assets'!FW11/1000000</f>
        <v>28.086409</v>
      </c>
      <c r="T21" s="1059">
        <f t="shared" si="0"/>
        <v>99.392970000000005</v>
      </c>
      <c r="V21" s="1060">
        <f>T21-'Input Merchant Assets'!GF11/1000000</f>
        <v>0</v>
      </c>
      <c r="W21" s="1061">
        <f t="shared" si="1"/>
        <v>0</v>
      </c>
      <c r="X21" s="1030">
        <f t="shared" si="2"/>
        <v>0</v>
      </c>
    </row>
    <row r="22" spans="2:24" ht="15" customHeight="1">
      <c r="B22" s="1054" t="s">
        <v>1178</v>
      </c>
      <c r="C22" s="1135">
        <f>'Input Merchant Assets'!C13</f>
        <v>0</v>
      </c>
      <c r="D22" s="1056">
        <f>'Input Merchant Assets'!AR12/1000000</f>
        <v>9.2945E-2</v>
      </c>
      <c r="E22" s="1056">
        <f>'Input Merchant Assets'!E12/1000000</f>
        <v>2.2210540000000001</v>
      </c>
      <c r="F22" s="1056">
        <f>('Input Merchant Assets'!J12+'Input Merchant Assets'!U12+'Input Merchant Assets'!AG12+'Input Merchant Assets'!AL12)/1000000</f>
        <v>0</v>
      </c>
      <c r="G22" s="1056">
        <f>('Input Merchant Assets'!AS12)/1000000</f>
        <v>3.3609999999999998E-3</v>
      </c>
      <c r="H22" s="1057">
        <f>('Input Merchant Assets'!AV12+'Input Merchant Assets'!AW12)/1000000</f>
        <v>0</v>
      </c>
      <c r="I22" s="1057">
        <f>('Input Merchant Assets'!AZ12+'Input Merchant Assets'!BC12+'Input Merchant Assets'!BD12)/1000000</f>
        <v>0.18421599999999999</v>
      </c>
      <c r="J22" s="1058">
        <f>'Input Merchant Assets'!BM12/1000000</f>
        <v>0</v>
      </c>
      <c r="K22" s="1058">
        <f>('Input Merchant Assets'!BU12+'Input Merchant Assets'!BY12)/1000000</f>
        <v>0</v>
      </c>
      <c r="L22" s="1058">
        <f>'Input Merchant Assets'!DG12/1000000</f>
        <v>0</v>
      </c>
      <c r="M22" s="1057">
        <f>'Input Merchant Assets'!BE12/1000000</f>
        <v>0</v>
      </c>
      <c r="N22" s="1057">
        <f>('Input Merchant Assets'!BQ12+'Input Merchant Assets'!BR12)/1000000</f>
        <v>0</v>
      </c>
      <c r="O22" s="1057">
        <f>('Input Merchant Assets'!BZ12+'Input Merchant Assets'!CJ12+'Input Merchant Assets'!CK12+'Input Merchant Assets'!CL12)/1000000</f>
        <v>0</v>
      </c>
      <c r="P22" s="1057">
        <f>('Input Merchant Assets'!DQ12+'Input Merchant Assets'!DU12)/1000000</f>
        <v>59.184587000000001</v>
      </c>
      <c r="Q22" s="1057">
        <f>'Input Merchant Assets'!DZ12/1000000</f>
        <v>0</v>
      </c>
      <c r="R22" s="1057">
        <f>'Input Merchant Assets'!GB12/1000000</f>
        <v>9.2256660000000004</v>
      </c>
      <c r="S22" s="1057">
        <f>'Input Merchant Assets'!FW12/1000000</f>
        <v>27.953848000000001</v>
      </c>
      <c r="T22" s="1059">
        <f t="shared" si="0"/>
        <v>98.865677000000005</v>
      </c>
      <c r="V22" s="1060">
        <f>T22-'Input Merchant Assets'!GF12/1000000</f>
        <v>0</v>
      </c>
      <c r="W22" s="1061">
        <f t="shared" si="1"/>
        <v>0</v>
      </c>
      <c r="X22" s="1030">
        <f t="shared" si="2"/>
        <v>0</v>
      </c>
    </row>
    <row r="23" spans="2:24" ht="15" customHeight="1">
      <c r="B23" s="1054" t="s">
        <v>1179</v>
      </c>
      <c r="C23" s="1135">
        <f>'Input Merchant Assets'!C14</f>
        <v>0</v>
      </c>
      <c r="D23" s="1056">
        <f>'Input Merchant Assets'!AR13/1000000</f>
        <v>0.10014352</v>
      </c>
      <c r="E23" s="1056">
        <f>'Input Merchant Assets'!E13/1000000</f>
        <v>2.1182181400000002</v>
      </c>
      <c r="F23" s="1056">
        <f>('Input Merchant Assets'!J13+'Input Merchant Assets'!U13+'Input Merchant Assets'!AG13+'Input Merchant Assets'!AL13)/1000000</f>
        <v>0</v>
      </c>
      <c r="G23" s="1056">
        <f>('Input Merchant Assets'!AS13)/1000000</f>
        <v>3.3609999999999998E-3</v>
      </c>
      <c r="H23" s="1057">
        <f>('Input Merchant Assets'!AV13+'Input Merchant Assets'!AW13)/1000000</f>
        <v>0</v>
      </c>
      <c r="I23" s="1057">
        <f>('Input Merchant Assets'!AZ13+'Input Merchant Assets'!BC13+'Input Merchant Assets'!BD13)/1000000</f>
        <v>0.18421564999999998</v>
      </c>
      <c r="J23" s="1058">
        <f>'Input Merchant Assets'!BM13/1000000</f>
        <v>0</v>
      </c>
      <c r="K23" s="1058">
        <f>('Input Merchant Assets'!BU13+'Input Merchant Assets'!BY13)/1000000</f>
        <v>0</v>
      </c>
      <c r="L23" s="1058">
        <f>'Input Merchant Assets'!DG13/1000000</f>
        <v>0</v>
      </c>
      <c r="M23" s="1057">
        <f>'Input Merchant Assets'!BE13/1000000</f>
        <v>0</v>
      </c>
      <c r="N23" s="1057">
        <f>('Input Merchant Assets'!BQ13+'Input Merchant Assets'!BR13)/1000000</f>
        <v>0</v>
      </c>
      <c r="O23" s="1057">
        <f>('Input Merchant Assets'!BZ13+'Input Merchant Assets'!CJ13+'Input Merchant Assets'!CK13+'Input Merchant Assets'!CL13)/1000000</f>
        <v>0</v>
      </c>
      <c r="P23" s="1057">
        <f>('Input Merchant Assets'!DQ13+'Input Merchant Assets'!DU13)/1000000</f>
        <v>59.424876564292511</v>
      </c>
      <c r="Q23" s="1057">
        <f>'Input Merchant Assets'!DZ13/1000000</f>
        <v>0</v>
      </c>
      <c r="R23" s="1057">
        <f>'Input Merchant Assets'!GB13/1000000</f>
        <v>9.1012659594999974</v>
      </c>
      <c r="S23" s="1057">
        <f>'Input Merchant Assets'!FW13/1000000</f>
        <v>27.821287290000001</v>
      </c>
      <c r="T23" s="1059">
        <f t="shared" si="0"/>
        <v>98.753368123792512</v>
      </c>
      <c r="V23" s="1060">
        <f>T23-'Input Merchant Assets'!GF13/1000000</f>
        <v>0</v>
      </c>
      <c r="W23" s="1061">
        <f t="shared" si="1"/>
        <v>0</v>
      </c>
      <c r="X23" s="1030">
        <f t="shared" si="2"/>
        <v>0</v>
      </c>
    </row>
    <row r="24" spans="2:24" ht="15" customHeight="1">
      <c r="B24" s="1054" t="s">
        <v>1180</v>
      </c>
      <c r="C24" s="1135">
        <f>'Input Merchant Assets'!C15</f>
        <v>0</v>
      </c>
      <c r="D24" s="1056">
        <f>'Input Merchant Assets'!AR14/1000000</f>
        <v>0.12499459</v>
      </c>
      <c r="E24" s="1056">
        <f>'Input Merchant Assets'!E14/1000000</f>
        <v>2.0431284499999998</v>
      </c>
      <c r="F24" s="1056">
        <f>('Input Merchant Assets'!J14+'Input Merchant Assets'!U14+'Input Merchant Assets'!AG14+'Input Merchant Assets'!AL14)/1000000</f>
        <v>0</v>
      </c>
      <c r="G24" s="1056">
        <f>('Input Merchant Assets'!AS14)/1000000</f>
        <v>3.3609999999999998E-3</v>
      </c>
      <c r="H24" s="1057">
        <f>('Input Merchant Assets'!AV14+'Input Merchant Assets'!AW14)/1000000</f>
        <v>0</v>
      </c>
      <c r="I24" s="1057">
        <f>('Input Merchant Assets'!AZ14+'Input Merchant Assets'!BC14+'Input Merchant Assets'!BD14)/1000000</f>
        <v>0.18421564999999998</v>
      </c>
      <c r="J24" s="1058">
        <f>'Input Merchant Assets'!BM14/1000000</f>
        <v>0</v>
      </c>
      <c r="K24" s="1058">
        <f>('Input Merchant Assets'!BU14+'Input Merchant Assets'!BY14)/1000000</f>
        <v>0</v>
      </c>
      <c r="L24" s="1058">
        <f>'Input Merchant Assets'!DG14/1000000</f>
        <v>0</v>
      </c>
      <c r="M24" s="1057">
        <f>'Input Merchant Assets'!BE14/1000000</f>
        <v>0</v>
      </c>
      <c r="N24" s="1057">
        <f>('Input Merchant Assets'!BQ14+'Input Merchant Assets'!BR14)/1000000</f>
        <v>0</v>
      </c>
      <c r="O24" s="1057">
        <f>('Input Merchant Assets'!BZ14+'Input Merchant Assets'!CJ14+'Input Merchant Assets'!CK14+'Input Merchant Assets'!CL14)/1000000</f>
        <v>0</v>
      </c>
      <c r="P24" s="1057">
        <f>('Input Merchant Assets'!DQ14+'Input Merchant Assets'!DU14)/1000000</f>
        <v>58.530183747297258</v>
      </c>
      <c r="Q24" s="1057">
        <f>'Input Merchant Assets'!DZ14/1000000</f>
        <v>0</v>
      </c>
      <c r="R24" s="1057">
        <f>'Input Merchant Assets'!GB14/1000000</f>
        <v>9.5225268339999989</v>
      </c>
      <c r="S24" s="1057">
        <f>'Input Merchant Assets'!FW14/1000000</f>
        <v>20.59462048</v>
      </c>
      <c r="T24" s="1059">
        <f t="shared" si="0"/>
        <v>91.00303075129726</v>
      </c>
      <c r="V24" s="1060">
        <f>T24-'Input Merchant Assets'!GF14/1000000</f>
        <v>0</v>
      </c>
      <c r="W24" s="1061">
        <f t="shared" si="1"/>
        <v>0</v>
      </c>
      <c r="X24" s="1030">
        <f t="shared" si="2"/>
        <v>0</v>
      </c>
    </row>
    <row r="25" spans="2:24" ht="15" customHeight="1">
      <c r="B25" s="1054" t="s">
        <v>1181</v>
      </c>
      <c r="C25" s="1135">
        <f>'Input Merchant Assets'!C16</f>
        <v>0</v>
      </c>
      <c r="D25" s="1056">
        <f>'Input Merchant Assets'!AR15/1000000</f>
        <v>0.11072637</v>
      </c>
      <c r="E25" s="1056">
        <f>'Input Merchant Assets'!E15/1000000</f>
        <v>1.59123404</v>
      </c>
      <c r="F25" s="1056">
        <f>('Input Merchant Assets'!J15+'Input Merchant Assets'!U15+'Input Merchant Assets'!AG15+'Input Merchant Assets'!AL15)/1000000</f>
        <v>0</v>
      </c>
      <c r="G25" s="1056">
        <f>('Input Merchant Assets'!AS15)/1000000</f>
        <v>2.1245859999999998E-2</v>
      </c>
      <c r="H25" s="1057">
        <f>('Input Merchant Assets'!AV15+'Input Merchant Assets'!AW15)/1000000</f>
        <v>0</v>
      </c>
      <c r="I25" s="1057">
        <f>('Input Merchant Assets'!AZ15+'Input Merchant Assets'!BC15+'Input Merchant Assets'!BD15)/1000000</f>
        <v>0.19139125000000001</v>
      </c>
      <c r="J25" s="1058">
        <f>'Input Merchant Assets'!BM15/1000000</f>
        <v>0</v>
      </c>
      <c r="K25" s="1058">
        <f>('Input Merchant Assets'!BU15+'Input Merchant Assets'!BY15)/1000000</f>
        <v>0</v>
      </c>
      <c r="L25" s="1058">
        <f>'Input Merchant Assets'!DG15/1000000</f>
        <v>0</v>
      </c>
      <c r="M25" s="1057">
        <f>'Input Merchant Assets'!BE15/1000000</f>
        <v>0</v>
      </c>
      <c r="N25" s="1057">
        <f>('Input Merchant Assets'!BQ15+'Input Merchant Assets'!BR15)/1000000</f>
        <v>0</v>
      </c>
      <c r="O25" s="1057">
        <f>('Input Merchant Assets'!BZ15+'Input Merchant Assets'!CJ15+'Input Merchant Assets'!CK15+'Input Merchant Assets'!CL15)/1000000</f>
        <v>0</v>
      </c>
      <c r="P25" s="1057">
        <f>('Input Merchant Assets'!DQ15+'Input Merchant Assets'!DU15)/1000000</f>
        <v>59.829207695590526</v>
      </c>
      <c r="Q25" s="1057">
        <f>'Input Merchant Assets'!DZ15/1000000</f>
        <v>0</v>
      </c>
      <c r="R25" s="1057">
        <f>'Input Merchant Assets'!GB15/1000000</f>
        <v>9.3588664334999994</v>
      </c>
      <c r="S25" s="1057">
        <f>'Input Merchant Assets'!FW15/1000000</f>
        <v>20.462059299999996</v>
      </c>
      <c r="T25" s="1059">
        <f t="shared" si="0"/>
        <v>91.564730949090517</v>
      </c>
      <c r="V25" s="1060">
        <f>T25-'Input Merchant Assets'!GF15/1000000</f>
        <v>0</v>
      </c>
      <c r="W25" s="1061">
        <f t="shared" si="1"/>
        <v>0</v>
      </c>
      <c r="X25" s="1030">
        <f t="shared" si="2"/>
        <v>0</v>
      </c>
    </row>
    <row r="26" spans="2:24" ht="15" customHeight="1">
      <c r="B26" s="1062"/>
      <c r="C26" s="1135"/>
      <c r="D26" s="1056"/>
      <c r="E26" s="1056"/>
      <c r="F26" s="1056"/>
      <c r="G26" s="1056"/>
      <c r="H26" s="1057"/>
      <c r="I26" s="1057"/>
      <c r="J26" s="1058"/>
      <c r="K26" s="1058"/>
      <c r="L26" s="1058"/>
      <c r="M26" s="1057"/>
      <c r="N26" s="1057"/>
      <c r="O26" s="1057"/>
      <c r="P26" s="1057"/>
      <c r="Q26" s="1057"/>
      <c r="R26" s="1057"/>
      <c r="S26" s="1057"/>
      <c r="T26" s="1059"/>
      <c r="V26" s="1060">
        <f>T26-'Input Merchant Assets'!GF16/1000000</f>
        <v>0</v>
      </c>
      <c r="W26" s="1061"/>
    </row>
    <row r="27" spans="2:24" ht="15" customHeight="1">
      <c r="B27" s="1053">
        <v>2016</v>
      </c>
      <c r="C27" s="1135"/>
      <c r="D27" s="1056"/>
      <c r="E27" s="1056"/>
      <c r="F27" s="1056"/>
      <c r="G27" s="1056"/>
      <c r="H27" s="1057"/>
      <c r="I27" s="1057"/>
      <c r="J27" s="1058"/>
      <c r="K27" s="1058"/>
      <c r="L27" s="1058"/>
      <c r="M27" s="1057"/>
      <c r="N27" s="1057"/>
      <c r="O27" s="1057"/>
      <c r="P27" s="1057"/>
      <c r="Q27" s="1057"/>
      <c r="R27" s="1057"/>
      <c r="S27" s="1057"/>
      <c r="T27" s="1059"/>
      <c r="V27" s="1060">
        <f>T27-'Input Merchant Assets'!GF17/1000000</f>
        <v>0</v>
      </c>
      <c r="W27" s="1061"/>
    </row>
    <row r="28" spans="2:24" ht="15" customHeight="1">
      <c r="B28" s="1063" t="s">
        <v>345</v>
      </c>
      <c r="C28" s="1135">
        <f>'Input Merchant Assets'!C19</f>
        <v>0</v>
      </c>
      <c r="D28" s="1056">
        <f>'Input Merchant Assets'!AR18/1000000</f>
        <v>9.5282510000000015E-2</v>
      </c>
      <c r="E28" s="1056">
        <f>'Input Merchant Assets'!E18/1000000</f>
        <v>1.8912177999999999</v>
      </c>
      <c r="F28" s="1056">
        <f>('Input Merchant Assets'!J18+'Input Merchant Assets'!U18+'Input Merchant Assets'!AG18+'Input Merchant Assets'!AL18)/1000000</f>
        <v>0</v>
      </c>
      <c r="G28" s="1056">
        <f>('Input Merchant Assets'!AS18)/1000000</f>
        <v>2.3245400000000003E-2</v>
      </c>
      <c r="H28" s="1057">
        <f>('Input Merchant Assets'!AV18+'Input Merchant Assets'!AW18)/1000000</f>
        <v>0</v>
      </c>
      <c r="I28" s="1057">
        <f>('Input Merchant Assets'!AZ18+'Input Merchant Assets'!BC18+'Input Merchant Assets'!BD18)/1000000</f>
        <v>0.19139125000000001</v>
      </c>
      <c r="J28" s="1058">
        <f>'Input Merchant Assets'!BM18/1000000</f>
        <v>0</v>
      </c>
      <c r="K28" s="1058">
        <f>('Input Merchant Assets'!BU18+'Input Merchant Assets'!BY18)/1000000</f>
        <v>0</v>
      </c>
      <c r="L28" s="1058">
        <f>'Input Merchant Assets'!DG18/1000000</f>
        <v>0</v>
      </c>
      <c r="M28" s="1057">
        <f>'Input Merchant Assets'!BE18/1000000</f>
        <v>0</v>
      </c>
      <c r="N28" s="1057">
        <f>('Input Merchant Assets'!BQ18+'Input Merchant Assets'!BR18)/1000000</f>
        <v>0</v>
      </c>
      <c r="O28" s="1057">
        <f>('Input Merchant Assets'!BZ18+'Input Merchant Assets'!CJ18+'Input Merchant Assets'!CK18+'Input Merchant Assets'!CL18)/1000000</f>
        <v>0</v>
      </c>
      <c r="P28" s="1057">
        <f>('Input Merchant Assets'!DQ18+'Input Merchant Assets'!DU18)/1000000</f>
        <v>60.702096905645952</v>
      </c>
      <c r="Q28" s="1057">
        <f>'Input Merchant Assets'!DZ18/1000000</f>
        <v>0</v>
      </c>
      <c r="R28" s="1057">
        <f>'Input Merchant Assets'!GB18/1000000</f>
        <v>9.3020357294999982</v>
      </c>
      <c r="S28" s="1057">
        <f>'Input Merchant Assets'!FW18/1000000</f>
        <v>20.329498119999993</v>
      </c>
      <c r="T28" s="1059">
        <f t="shared" si="0"/>
        <v>92.534767715145946</v>
      </c>
      <c r="V28" s="1060">
        <f>T28-'Input Merchant Assets'!GF18/1000000</f>
        <v>0</v>
      </c>
      <c r="W28" s="1061">
        <f t="shared" si="1"/>
        <v>0</v>
      </c>
      <c r="X28" s="1030">
        <f t="shared" ref="X28:X39" si="3">+V28*1000000</f>
        <v>0</v>
      </c>
    </row>
    <row r="29" spans="2:24" ht="15" customHeight="1">
      <c r="B29" s="1054" t="s">
        <v>334</v>
      </c>
      <c r="C29" s="1135">
        <f>'Input Merchant Assets'!C20</f>
        <v>0</v>
      </c>
      <c r="D29" s="1056">
        <f>'Input Merchant Assets'!AR19/1000000</f>
        <v>0.13820716999999999</v>
      </c>
      <c r="E29" s="1056">
        <f>'Input Merchant Assets'!E19/1000000</f>
        <v>0.85270372999999999</v>
      </c>
      <c r="F29" s="1056">
        <f>('Input Merchant Assets'!J19+'Input Merchant Assets'!U19+'Input Merchant Assets'!AG19+'Input Merchant Assets'!AL19)/1000000</f>
        <v>1.1000000000000001</v>
      </c>
      <c r="G29" s="1056">
        <f>('Input Merchant Assets'!AS19)/1000000</f>
        <v>2.3245400000000003E-2</v>
      </c>
      <c r="H29" s="1057">
        <f>('Input Merchant Assets'!AV19+'Input Merchant Assets'!AW19)/1000000</f>
        <v>0</v>
      </c>
      <c r="I29" s="1057">
        <f>('Input Merchant Assets'!AZ19+'Input Merchant Assets'!BC19+'Input Merchant Assets'!BD19)/1000000</f>
        <v>0.19139125000000001</v>
      </c>
      <c r="J29" s="1058">
        <f>'Input Merchant Assets'!BM19/1000000</f>
        <v>0</v>
      </c>
      <c r="K29" s="1058">
        <f>('Input Merchant Assets'!BU19+'Input Merchant Assets'!BY19)/1000000</f>
        <v>0</v>
      </c>
      <c r="L29" s="1058">
        <f>'Input Merchant Assets'!DG19/1000000</f>
        <v>0</v>
      </c>
      <c r="M29" s="1057">
        <f>'Input Merchant Assets'!BE19/1000000</f>
        <v>0</v>
      </c>
      <c r="N29" s="1057">
        <f>('Input Merchant Assets'!BQ19+'Input Merchant Assets'!BR19)/1000000</f>
        <v>0</v>
      </c>
      <c r="O29" s="1057">
        <f>('Input Merchant Assets'!BZ19+'Input Merchant Assets'!CJ19+'Input Merchant Assets'!CK19+'Input Merchant Assets'!CL19)/1000000</f>
        <v>0</v>
      </c>
      <c r="P29" s="1057">
        <f>('Input Merchant Assets'!DQ19+'Input Merchant Assets'!DU19)/1000000</f>
        <v>61.552196046605403</v>
      </c>
      <c r="Q29" s="1057">
        <f>'Input Merchant Assets'!DZ19/1000000</f>
        <v>0</v>
      </c>
      <c r="R29" s="1057">
        <f>'Input Merchant Assets'!GB19/1000000</f>
        <v>9.1519841489499996</v>
      </c>
      <c r="S29" s="1057">
        <f>'Input Merchant Assets'!FW19/1000000</f>
        <v>20.196936939999993</v>
      </c>
      <c r="T29" s="1059">
        <f t="shared" si="0"/>
        <v>93.20666468555541</v>
      </c>
      <c r="V29" s="1060">
        <f>T29-'Input Merchant Assets'!GF19/1000000</f>
        <v>0</v>
      </c>
      <c r="W29" s="1061">
        <f t="shared" si="1"/>
        <v>0</v>
      </c>
      <c r="X29" s="1030">
        <f t="shared" si="3"/>
        <v>0</v>
      </c>
    </row>
    <row r="30" spans="2:24" ht="15" customHeight="1">
      <c r="B30" s="1054" t="s">
        <v>335</v>
      </c>
      <c r="C30" s="1135">
        <f>'Input Merchant Assets'!C21</f>
        <v>0</v>
      </c>
      <c r="D30" s="1056">
        <f>'Input Merchant Assets'!AR20/1000000</f>
        <v>0.1298948</v>
      </c>
      <c r="E30" s="1056">
        <f>'Input Merchant Assets'!E20/1000000</f>
        <v>1.9422299299999999</v>
      </c>
      <c r="F30" s="1056">
        <f>('Input Merchant Assets'!J20+'Input Merchant Assets'!U20+'Input Merchant Assets'!AG20+'Input Merchant Assets'!AL20)/1000000</f>
        <v>0</v>
      </c>
      <c r="G30" s="1056">
        <f>('Input Merchant Assets'!AS20)/1000000</f>
        <v>2.3245400000000003E-2</v>
      </c>
      <c r="H30" s="1057">
        <f>('Input Merchant Assets'!AV20+'Input Merchant Assets'!AW20)/1000000</f>
        <v>0</v>
      </c>
      <c r="I30" s="1057">
        <f>('Input Merchant Assets'!AZ20+'Input Merchant Assets'!BC20+'Input Merchant Assets'!BD20)/1000000</f>
        <v>0.19139125000000001</v>
      </c>
      <c r="J30" s="1058">
        <f>'Input Merchant Assets'!BM20/1000000</f>
        <v>0</v>
      </c>
      <c r="K30" s="1058">
        <f>('Input Merchant Assets'!BU20+'Input Merchant Assets'!BY20)/1000000</f>
        <v>0</v>
      </c>
      <c r="L30" s="1058">
        <f>'Input Merchant Assets'!DG20/1000000</f>
        <v>0</v>
      </c>
      <c r="M30" s="1057">
        <f>'Input Merchant Assets'!BE20/1000000</f>
        <v>0</v>
      </c>
      <c r="N30" s="1057">
        <f>('Input Merchant Assets'!BQ20+'Input Merchant Assets'!BR20)/1000000</f>
        <v>0</v>
      </c>
      <c r="O30" s="1057">
        <f>('Input Merchant Assets'!BZ20+'Input Merchant Assets'!CJ20+'Input Merchant Assets'!CK20+'Input Merchant Assets'!CL20)/1000000</f>
        <v>0</v>
      </c>
      <c r="P30" s="1057">
        <f>('Input Merchant Assets'!DQ20+'Input Merchant Assets'!DU20)/1000000</f>
        <v>61.951078196605401</v>
      </c>
      <c r="Q30" s="1057">
        <f>'Input Merchant Assets'!DZ20/1000000</f>
        <v>0</v>
      </c>
      <c r="R30" s="1057">
        <f>'Input Merchant Assets'!GB20/1000000</f>
        <v>9.2611868489500004</v>
      </c>
      <c r="S30" s="1057">
        <f>'Input Merchant Assets'!FW20/1000000</f>
        <v>20.064375759999994</v>
      </c>
      <c r="T30" s="1059">
        <f t="shared" si="0"/>
        <v>93.56340218555539</v>
      </c>
      <c r="V30" s="1060">
        <f>T30-'Input Merchant Assets'!GF20/1000000</f>
        <v>0</v>
      </c>
      <c r="W30" s="1061">
        <f t="shared" si="1"/>
        <v>0</v>
      </c>
      <c r="X30" s="1030">
        <f t="shared" si="3"/>
        <v>0</v>
      </c>
    </row>
    <row r="31" spans="2:24" ht="15" customHeight="1">
      <c r="B31" s="1054" t="s">
        <v>336</v>
      </c>
      <c r="C31" s="1135">
        <f>'Input Merchant Assets'!C22</f>
        <v>0</v>
      </c>
      <c r="D31" s="1056">
        <f>'Input Merchant Assets'!AR21/1000000</f>
        <v>0.17344599999999999</v>
      </c>
      <c r="E31" s="1056">
        <f>'Input Merchant Assets'!E21/1000000</f>
        <v>0.74827500000000002</v>
      </c>
      <c r="F31" s="1056">
        <f>('Input Merchant Assets'!J21+'Input Merchant Assets'!U21+'Input Merchant Assets'!AG21+'Input Merchant Assets'!AL21)/1000000</f>
        <v>1.1000000000000001</v>
      </c>
      <c r="G31" s="1056">
        <f>('Input Merchant Assets'!AS21)/1000000</f>
        <v>2.3245400000000003E-2</v>
      </c>
      <c r="H31" s="1057">
        <f>('Input Merchant Assets'!AV21+'Input Merchant Assets'!AW21)/1000000</f>
        <v>0</v>
      </c>
      <c r="I31" s="1057">
        <f>('Input Merchant Assets'!AZ21+'Input Merchant Assets'!BC21+'Input Merchant Assets'!BD21)/1000000</f>
        <v>0.19139125000000001</v>
      </c>
      <c r="J31" s="1058">
        <f>'Input Merchant Assets'!BM21/1000000</f>
        <v>0</v>
      </c>
      <c r="K31" s="1058">
        <f>('Input Merchant Assets'!BU21+'Input Merchant Assets'!BY21)/1000000</f>
        <v>0</v>
      </c>
      <c r="L31" s="1058">
        <f>'Input Merchant Assets'!DG21/1000000</f>
        <v>0</v>
      </c>
      <c r="M31" s="1057">
        <f>'Input Merchant Assets'!BE21/1000000</f>
        <v>0</v>
      </c>
      <c r="N31" s="1057">
        <f>('Input Merchant Assets'!BQ21+'Input Merchant Assets'!BR21)/1000000</f>
        <v>0</v>
      </c>
      <c r="O31" s="1057">
        <f>('Input Merchant Assets'!BZ21+'Input Merchant Assets'!CJ21+'Input Merchant Assets'!CK21+'Input Merchant Assets'!CL21)/1000000</f>
        <v>0</v>
      </c>
      <c r="P31" s="1057">
        <f>('Input Merchant Assets'!DQ21+'Input Merchant Assets'!DU21)/1000000</f>
        <v>62.294302000000002</v>
      </c>
      <c r="Q31" s="1057">
        <f>'Input Merchant Assets'!DZ21/1000000</f>
        <v>0</v>
      </c>
      <c r="R31" s="1057">
        <f>'Input Merchant Assets'!GB21/1000000</f>
        <v>9.3702729999999992</v>
      </c>
      <c r="S31" s="1057">
        <f>'Input Merchant Assets'!FW21/1000000</f>
        <v>19.931813999999999</v>
      </c>
      <c r="T31" s="1059">
        <f t="shared" si="0"/>
        <v>93.832746650000004</v>
      </c>
      <c r="V31" s="1060">
        <f>T31-'Input Merchant Assets'!GF21/1000000</f>
        <v>0</v>
      </c>
      <c r="W31" s="1061">
        <f t="shared" si="1"/>
        <v>0</v>
      </c>
      <c r="X31" s="1030">
        <f t="shared" si="3"/>
        <v>0</v>
      </c>
    </row>
    <row r="32" spans="2:24" ht="15" customHeight="1">
      <c r="B32" s="1054" t="s">
        <v>337</v>
      </c>
      <c r="C32" s="1135">
        <f>'Input Merchant Assets'!C23</f>
        <v>0</v>
      </c>
      <c r="D32" s="1056">
        <f>'Input Merchant Assets'!AR22/1000000</f>
        <v>0.10586357</v>
      </c>
      <c r="E32" s="1056">
        <f>'Input Merchant Assets'!E22/1000000</f>
        <v>0.87296980000000002</v>
      </c>
      <c r="F32" s="1056">
        <f>('Input Merchant Assets'!J22+'Input Merchant Assets'!U22+'Input Merchant Assets'!AG22+'Input Merchant Assets'!AL22)/1000000</f>
        <v>1.2</v>
      </c>
      <c r="G32" s="1056">
        <f>('Input Merchant Assets'!AS22)/1000000</f>
        <v>2.3245400000000003E-2</v>
      </c>
      <c r="H32" s="1057">
        <f>('Input Merchant Assets'!AV22+'Input Merchant Assets'!AW22)/1000000</f>
        <v>0</v>
      </c>
      <c r="I32" s="1057">
        <f>('Input Merchant Assets'!AZ22+'Input Merchant Assets'!BC22+'Input Merchant Assets'!BD22)/1000000</f>
        <v>0.19139125000000001</v>
      </c>
      <c r="J32" s="1058">
        <f>'Input Merchant Assets'!BM22/1000000</f>
        <v>0</v>
      </c>
      <c r="K32" s="1058">
        <f>('Input Merchant Assets'!BU22+'Input Merchant Assets'!BY22)/1000000</f>
        <v>0</v>
      </c>
      <c r="L32" s="1058">
        <f>'Input Merchant Assets'!DG22/1000000</f>
        <v>0</v>
      </c>
      <c r="M32" s="1057">
        <f>'Input Merchant Assets'!BE22/1000000</f>
        <v>0</v>
      </c>
      <c r="N32" s="1057">
        <f>('Input Merchant Assets'!BQ22+'Input Merchant Assets'!BR22)/1000000</f>
        <v>0</v>
      </c>
      <c r="O32" s="1057">
        <f>('Input Merchant Assets'!BZ22+'Input Merchant Assets'!CJ22+'Input Merchant Assets'!CK22+'Input Merchant Assets'!CL22)/1000000</f>
        <v>0</v>
      </c>
      <c r="P32" s="1057">
        <f>('Input Merchant Assets'!DQ22+'Input Merchant Assets'!DU22)/1000000</f>
        <v>62.676402776605393</v>
      </c>
      <c r="Q32" s="1057">
        <f>'Input Merchant Assets'!DZ22/1000000</f>
        <v>0</v>
      </c>
      <c r="R32" s="1057">
        <f>'Input Merchant Assets'!GB22/1000000</f>
        <v>9.3002948594499983</v>
      </c>
      <c r="S32" s="1057">
        <f>'Input Merchant Assets'!FW22/1000000</f>
        <v>19.799253399999991</v>
      </c>
      <c r="T32" s="1059">
        <f t="shared" si="0"/>
        <v>94.169421056055398</v>
      </c>
      <c r="V32" s="1060">
        <f>T32-'Input Merchant Assets'!GF22/1000000</f>
        <v>0</v>
      </c>
      <c r="W32" s="1061">
        <f t="shared" si="1"/>
        <v>0</v>
      </c>
      <c r="X32" s="1030">
        <f t="shared" si="3"/>
        <v>0</v>
      </c>
    </row>
    <row r="33" spans="2:24" ht="15" customHeight="1">
      <c r="B33" s="1054" t="s">
        <v>338</v>
      </c>
      <c r="C33" s="1135">
        <f>'Input Merchant Assets'!C24</f>
        <v>0</v>
      </c>
      <c r="D33" s="1056">
        <f>'Input Merchant Assets'!AR23/1000000</f>
        <v>0.10586357</v>
      </c>
      <c r="E33" s="1056">
        <f>'Input Merchant Assets'!E23/1000000</f>
        <v>0.87296980000000002</v>
      </c>
      <c r="F33" s="1056">
        <f>('Input Merchant Assets'!J23+'Input Merchant Assets'!U23+'Input Merchant Assets'!AG23+'Input Merchant Assets'!AL23)/1000000</f>
        <v>1.2</v>
      </c>
      <c r="G33" s="1056">
        <f>('Input Merchant Assets'!AS23)/1000000</f>
        <v>2.3245400000000003E-2</v>
      </c>
      <c r="H33" s="1057">
        <f>('Input Merchant Assets'!AV23+'Input Merchant Assets'!AW23)/1000000</f>
        <v>0</v>
      </c>
      <c r="I33" s="1057">
        <f>('Input Merchant Assets'!AZ23+'Input Merchant Assets'!BC23+'Input Merchant Assets'!BD23)/1000000</f>
        <v>0.19139125000000001</v>
      </c>
      <c r="J33" s="1058">
        <f>'Input Merchant Assets'!BM23/1000000</f>
        <v>0</v>
      </c>
      <c r="K33" s="1058">
        <f>('Input Merchant Assets'!BU23+'Input Merchant Assets'!BY23)/1000000</f>
        <v>0</v>
      </c>
      <c r="L33" s="1058">
        <f>'Input Merchant Assets'!DG23/1000000</f>
        <v>0</v>
      </c>
      <c r="M33" s="1057">
        <f>'Input Merchant Assets'!BE23/1000000</f>
        <v>0</v>
      </c>
      <c r="N33" s="1057">
        <f>('Input Merchant Assets'!BQ23+'Input Merchant Assets'!BR23)/1000000</f>
        <v>0</v>
      </c>
      <c r="O33" s="1057">
        <f>('Input Merchant Assets'!BZ23+'Input Merchant Assets'!CJ23+'Input Merchant Assets'!CK23+'Input Merchant Assets'!CL23)/1000000</f>
        <v>0</v>
      </c>
      <c r="P33" s="1057">
        <f>('Input Merchant Assets'!DQ23+'Input Merchant Assets'!DU23)/1000000</f>
        <v>62.676402776605393</v>
      </c>
      <c r="Q33" s="1057">
        <f>'Input Merchant Assets'!DZ23/1000000</f>
        <v>0</v>
      </c>
      <c r="R33" s="1057">
        <f>'Input Merchant Assets'!GB23/1000000</f>
        <v>9.3002948594499983</v>
      </c>
      <c r="S33" s="1057">
        <f>'Input Merchant Assets'!FW23/1000000</f>
        <v>19.799253399999991</v>
      </c>
      <c r="T33" s="1059">
        <f t="shared" si="0"/>
        <v>94.169421056055398</v>
      </c>
      <c r="V33" s="1060">
        <f>T33-'Input Merchant Assets'!GF23/1000000</f>
        <v>0</v>
      </c>
      <c r="W33" s="1061">
        <f t="shared" si="1"/>
        <v>0</v>
      </c>
      <c r="X33" s="1030">
        <f t="shared" si="3"/>
        <v>0</v>
      </c>
    </row>
    <row r="34" spans="2:24" ht="15" customHeight="1">
      <c r="B34" s="1054" t="s">
        <v>339</v>
      </c>
      <c r="C34" s="1135">
        <f>'Input Merchant Assets'!C25</f>
        <v>0</v>
      </c>
      <c r="D34" s="1056">
        <f>'Input Merchant Assets'!AR24/1000000</f>
        <v>6.2841010000000003E-2</v>
      </c>
      <c r="E34" s="1056">
        <f>'Input Merchant Assets'!E24/1000000</f>
        <v>1.8212961600000002</v>
      </c>
      <c r="F34" s="1056">
        <f>('Input Merchant Assets'!J24+'Input Merchant Assets'!U24+'Input Merchant Assets'!AG24+'Input Merchant Assets'!AL24)/1000000</f>
        <v>0.6</v>
      </c>
      <c r="G34" s="1056">
        <f>('Input Merchant Assets'!AS24)/1000000</f>
        <v>2.3245400000000003E-2</v>
      </c>
      <c r="H34" s="1057">
        <f>('Input Merchant Assets'!AV24+'Input Merchant Assets'!AW24)/1000000</f>
        <v>0</v>
      </c>
      <c r="I34" s="1057">
        <f>('Input Merchant Assets'!AZ24+'Input Merchant Assets'!BC24+'Input Merchant Assets'!BD24)/1000000</f>
        <v>0.19139125000000001</v>
      </c>
      <c r="J34" s="1058">
        <f>'Input Merchant Assets'!BM24/1000000</f>
        <v>0</v>
      </c>
      <c r="K34" s="1058">
        <f>('Input Merchant Assets'!BU24+'Input Merchant Assets'!BY24)/1000000</f>
        <v>0</v>
      </c>
      <c r="L34" s="1058">
        <f>'Input Merchant Assets'!DG24/1000000</f>
        <v>0</v>
      </c>
      <c r="M34" s="1057">
        <f>'Input Merchant Assets'!BE24/1000000</f>
        <v>0</v>
      </c>
      <c r="N34" s="1057">
        <f>('Input Merchant Assets'!BQ24+'Input Merchant Assets'!BR24)/1000000</f>
        <v>0</v>
      </c>
      <c r="O34" s="1057">
        <f>('Input Merchant Assets'!BZ24+'Input Merchant Assets'!CJ24+'Input Merchant Assets'!CK24+'Input Merchant Assets'!CL24)/1000000</f>
        <v>0</v>
      </c>
      <c r="P34" s="1057">
        <f>('Input Merchant Assets'!DQ24+'Input Merchant Assets'!DU24)/1000000</f>
        <v>63.362616530096211</v>
      </c>
      <c r="Q34" s="1057">
        <f>'Input Merchant Assets'!DZ24/1000000</f>
        <v>0</v>
      </c>
      <c r="R34" s="1057">
        <f>'Input Merchant Assets'!GB24/1000000</f>
        <v>9.2076472509499983</v>
      </c>
      <c r="S34" s="1057">
        <f>'Input Merchant Assets'!FW24/1000000</f>
        <v>19.838131039999986</v>
      </c>
      <c r="T34" s="1059">
        <f t="shared" si="0"/>
        <v>95.107168641046201</v>
      </c>
      <c r="V34" s="1060">
        <f>T34-'Input Merchant Assets'!GF24/1000000</f>
        <v>0</v>
      </c>
      <c r="W34" s="1061">
        <f t="shared" si="1"/>
        <v>0</v>
      </c>
      <c r="X34" s="1030">
        <f t="shared" si="3"/>
        <v>0</v>
      </c>
    </row>
    <row r="35" spans="2:24" ht="15" customHeight="1">
      <c r="B35" s="1054" t="s">
        <v>340</v>
      </c>
      <c r="C35" s="1135">
        <f>'Input Merchant Assets'!C26</f>
        <v>0</v>
      </c>
      <c r="D35" s="1056">
        <f>'Input Merchant Assets'!AR25/1000000</f>
        <v>7.7645000000000006E-2</v>
      </c>
      <c r="E35" s="1056">
        <f>'Input Merchant Assets'!E25/1000000</f>
        <v>1.7427029999999999</v>
      </c>
      <c r="F35" s="1056">
        <f>('Input Merchant Assets'!J25+'Input Merchant Assets'!U25+'Input Merchant Assets'!AG25+'Input Merchant Assets'!AL25)/1000000</f>
        <v>0.6</v>
      </c>
      <c r="G35" s="1056">
        <f>('Input Merchant Assets'!AS25)/1000000</f>
        <v>4.7399999999999997E-4</v>
      </c>
      <c r="H35" s="1057">
        <f>('Input Merchant Assets'!AV25+'Input Merchant Assets'!AW25)/1000000</f>
        <v>0</v>
      </c>
      <c r="I35" s="1057">
        <f>('Input Merchant Assets'!AZ25+'Input Merchant Assets'!BC25+'Input Merchant Assets'!BD25)/1000000</f>
        <v>0.19139125000000001</v>
      </c>
      <c r="J35" s="1058">
        <f>'Input Merchant Assets'!BM25/1000000</f>
        <v>0</v>
      </c>
      <c r="K35" s="1058">
        <f>('Input Merchant Assets'!BU25+'Input Merchant Assets'!BY25)/1000000</f>
        <v>0</v>
      </c>
      <c r="L35" s="1058">
        <f>'Input Merchant Assets'!DG25/1000000</f>
        <v>0</v>
      </c>
      <c r="M35" s="1057">
        <f>'Input Merchant Assets'!BE25/1000000</f>
        <v>0</v>
      </c>
      <c r="N35" s="1057">
        <f>('Input Merchant Assets'!BQ25+'Input Merchant Assets'!BR25)/1000000</f>
        <v>0</v>
      </c>
      <c r="O35" s="1057">
        <f>('Input Merchant Assets'!BZ25+'Input Merchant Assets'!CJ25+'Input Merchant Assets'!CK25+'Input Merchant Assets'!CL25)/1000000</f>
        <v>0</v>
      </c>
      <c r="P35" s="1057">
        <f>('Input Merchant Assets'!DQ25+'Input Merchant Assets'!DU25)/1000000</f>
        <v>63.567872000000001</v>
      </c>
      <c r="Q35" s="1057">
        <f>'Input Merchant Assets'!DZ25/1000000</f>
        <v>0</v>
      </c>
      <c r="R35" s="1057">
        <f>'Input Merchant Assets'!GB25/1000000</f>
        <v>9.2864819999999995</v>
      </c>
      <c r="S35" s="1057">
        <f>'Input Merchant Assets'!FW25/1000000</f>
        <v>19.705570999999999</v>
      </c>
      <c r="T35" s="1059">
        <f t="shared" si="0"/>
        <v>95.172138249999989</v>
      </c>
      <c r="V35" s="1060">
        <f>T35-'Input Merchant Assets'!GF25/1000000</f>
        <v>0</v>
      </c>
      <c r="W35" s="1061">
        <f t="shared" si="1"/>
        <v>0</v>
      </c>
      <c r="X35" s="1030">
        <f t="shared" si="3"/>
        <v>0</v>
      </c>
    </row>
    <row r="36" spans="2:24" ht="15" customHeight="1">
      <c r="B36" s="1054" t="s">
        <v>341</v>
      </c>
      <c r="C36" s="1135">
        <f>'Input Merchant Assets'!C27</f>
        <v>0</v>
      </c>
      <c r="D36" s="1056">
        <f>'Input Merchant Assets'!AR26/1000000</f>
        <v>5.4306E-2</v>
      </c>
      <c r="E36" s="1056">
        <f>'Input Merchant Assets'!E26/1000000</f>
        <v>1.719678</v>
      </c>
      <c r="F36" s="1056">
        <f>('Input Merchant Assets'!J26+'Input Merchant Assets'!U26+'Input Merchant Assets'!AG26+'Input Merchant Assets'!AL26)/1000000</f>
        <v>0.6</v>
      </c>
      <c r="G36" s="1056">
        <f>('Input Merchant Assets'!AS26)/1000000</f>
        <v>4.7399999999999997E-4</v>
      </c>
      <c r="H36" s="1057">
        <f>('Input Merchant Assets'!AV26+'Input Merchant Assets'!AW26)/1000000</f>
        <v>0</v>
      </c>
      <c r="I36" s="1057">
        <f>('Input Merchant Assets'!AZ26+'Input Merchant Assets'!BC26+'Input Merchant Assets'!BD26)/1000000</f>
        <v>0.19139125000000001</v>
      </c>
      <c r="J36" s="1058">
        <f>'Input Merchant Assets'!BM26/1000000</f>
        <v>0</v>
      </c>
      <c r="K36" s="1058">
        <f>('Input Merchant Assets'!BU26+'Input Merchant Assets'!BY26)/1000000</f>
        <v>0</v>
      </c>
      <c r="L36" s="1058">
        <f>'Input Merchant Assets'!DG26/1000000</f>
        <v>0</v>
      </c>
      <c r="M36" s="1057">
        <f>'Input Merchant Assets'!BE26/1000000</f>
        <v>0</v>
      </c>
      <c r="N36" s="1057">
        <f>('Input Merchant Assets'!BQ26+'Input Merchant Assets'!BR26)/1000000</f>
        <v>0</v>
      </c>
      <c r="O36" s="1057">
        <f>('Input Merchant Assets'!BZ26+'Input Merchant Assets'!CJ26+'Input Merchant Assets'!CK26+'Input Merchant Assets'!CL26)/1000000</f>
        <v>0</v>
      </c>
      <c r="P36" s="1057">
        <f>('Input Merchant Assets'!DQ26+'Input Merchant Assets'!DU26)/1000000</f>
        <v>63.934961999999999</v>
      </c>
      <c r="Q36" s="1057">
        <f>'Input Merchant Assets'!DZ26/1000000</f>
        <v>0</v>
      </c>
      <c r="R36" s="1057">
        <f>'Input Merchant Assets'!GB26/1000000</f>
        <v>9.4333570000000009</v>
      </c>
      <c r="S36" s="1057">
        <f>'Input Merchant Assets'!FW26/1000000</f>
        <v>19.573008999999999</v>
      </c>
      <c r="T36" s="1059">
        <f t="shared" si="0"/>
        <v>95.507177249999998</v>
      </c>
      <c r="V36" s="1060">
        <f>T36-'Input Merchant Assets'!GF26/1000000</f>
        <v>0</v>
      </c>
      <c r="W36" s="1061">
        <f t="shared" si="1"/>
        <v>0</v>
      </c>
      <c r="X36" s="1030">
        <f t="shared" si="3"/>
        <v>0</v>
      </c>
    </row>
    <row r="37" spans="2:24" ht="15" customHeight="1">
      <c r="B37" s="1054" t="s">
        <v>342</v>
      </c>
      <c r="C37" s="1135">
        <f>'Input Merchant Assets'!C28</f>
        <v>0</v>
      </c>
      <c r="D37" s="1056">
        <f>'Input Merchant Assets'!AR27/1000000</f>
        <v>5.4306E-2</v>
      </c>
      <c r="E37" s="1056">
        <f>'Input Merchant Assets'!E27/1000000</f>
        <v>1.119678</v>
      </c>
      <c r="F37" s="1056">
        <f>('Input Merchant Assets'!J27+'Input Merchant Assets'!U27+'Input Merchant Assets'!AG27+'Input Merchant Assets'!AL27)/1000000</f>
        <v>0.6</v>
      </c>
      <c r="G37" s="1056">
        <f>('Input Merchant Assets'!AS27)/1000000</f>
        <v>4.7399999999999997E-4</v>
      </c>
      <c r="H37" s="1057">
        <f>('Input Merchant Assets'!AV27+'Input Merchant Assets'!AW27)/1000000</f>
        <v>0</v>
      </c>
      <c r="I37" s="1057">
        <f>('Input Merchant Assets'!AZ27+'Input Merchant Assets'!BC27+'Input Merchant Assets'!BD27)/1000000</f>
        <v>0.19139125000000001</v>
      </c>
      <c r="J37" s="1058">
        <f>'Input Merchant Assets'!BM27/1000000</f>
        <v>0</v>
      </c>
      <c r="K37" s="1058">
        <f>('Input Merchant Assets'!BU27+'Input Merchant Assets'!BY27)/1000000</f>
        <v>0</v>
      </c>
      <c r="L37" s="1058">
        <f>'Input Merchant Assets'!DG27/1000000</f>
        <v>0</v>
      </c>
      <c r="M37" s="1057">
        <f>'Input Merchant Assets'!BE27/1000000</f>
        <v>0</v>
      </c>
      <c r="N37" s="1057">
        <f>('Input Merchant Assets'!BQ27+'Input Merchant Assets'!BR27)/1000000</f>
        <v>0</v>
      </c>
      <c r="O37" s="1057">
        <f>('Input Merchant Assets'!BZ27+'Input Merchant Assets'!CJ27+'Input Merchant Assets'!CK27+'Input Merchant Assets'!CL27)/1000000</f>
        <v>0</v>
      </c>
      <c r="P37" s="1057">
        <f>('Input Merchant Assets'!DQ27+'Input Merchant Assets'!DU27)/1000000</f>
        <v>64.534961999999993</v>
      </c>
      <c r="Q37" s="1057">
        <f>'Input Merchant Assets'!DZ27/1000000</f>
        <v>0</v>
      </c>
      <c r="R37" s="1057">
        <f>'Input Merchant Assets'!GB27/1000000</f>
        <v>9.4333570000000009</v>
      </c>
      <c r="S37" s="1057">
        <f>'Input Merchant Assets'!FW27/1000000</f>
        <v>19.573008999999999</v>
      </c>
      <c r="T37" s="1059">
        <f t="shared" si="0"/>
        <v>95.507177249999998</v>
      </c>
      <c r="V37" s="1060">
        <f>T37-'Input Merchant Assets'!GF27/1000000</f>
        <v>0</v>
      </c>
      <c r="W37" s="1061">
        <f t="shared" si="1"/>
        <v>0</v>
      </c>
      <c r="X37" s="1030">
        <f t="shared" si="3"/>
        <v>0</v>
      </c>
    </row>
    <row r="38" spans="2:24" ht="15" customHeight="1">
      <c r="B38" s="1054" t="s">
        <v>343</v>
      </c>
      <c r="C38" s="1135">
        <f>'Input Merchant Assets'!C29</f>
        <v>0</v>
      </c>
      <c r="D38" s="1056">
        <f>'Input Merchant Assets'!AR28/1000000</f>
        <v>1.5200000000000001E-3</v>
      </c>
      <c r="E38" s="1056">
        <f>'Input Merchant Assets'!E28/1000000</f>
        <v>1.7196783899999999</v>
      </c>
      <c r="F38" s="1056">
        <f>('Input Merchant Assets'!J28+'Input Merchant Assets'!U28+'Input Merchant Assets'!AG28+'Input Merchant Assets'!AL28)/1000000</f>
        <v>0.65278614000000001</v>
      </c>
      <c r="G38" s="1056">
        <f>('Input Merchant Assets'!AS28)/1000000</f>
        <v>4.7399999999999997E-4</v>
      </c>
      <c r="H38" s="1057">
        <f>('Input Merchant Assets'!AV28+'Input Merchant Assets'!AW28)/1000000</f>
        <v>0</v>
      </c>
      <c r="I38" s="1057">
        <f>('Input Merchant Assets'!AZ28+'Input Merchant Assets'!BC28+'Input Merchant Assets'!BD28)/1000000</f>
        <v>0.19139125000000001</v>
      </c>
      <c r="J38" s="1058">
        <f>'Input Merchant Assets'!BM28/1000000</f>
        <v>0</v>
      </c>
      <c r="K38" s="1058">
        <f>('Input Merchant Assets'!BU28+'Input Merchant Assets'!BY28)/1000000</f>
        <v>0</v>
      </c>
      <c r="L38" s="1058">
        <f>'Input Merchant Assets'!DG28/1000000</f>
        <v>0</v>
      </c>
      <c r="M38" s="1057">
        <f>'Input Merchant Assets'!BE28/1000000</f>
        <v>0</v>
      </c>
      <c r="N38" s="1057">
        <f>('Input Merchant Assets'!BQ28+'Input Merchant Assets'!BR28)/1000000</f>
        <v>0</v>
      </c>
      <c r="O38" s="1057">
        <f>('Input Merchant Assets'!BZ28+'Input Merchant Assets'!CJ28+'Input Merchant Assets'!CK28+'Input Merchant Assets'!CL28)/1000000</f>
        <v>0</v>
      </c>
      <c r="P38" s="1057">
        <f>('Input Merchant Assets'!DQ28+'Input Merchant Assets'!DU28)/1000000</f>
        <v>63.934961590096215</v>
      </c>
      <c r="Q38" s="1057">
        <f>'Input Merchant Assets'!DZ28/1000000</f>
        <v>0</v>
      </c>
      <c r="R38" s="1057">
        <f>'Input Merchant Assets'!GB28/1000000</f>
        <v>9.5056452414500008</v>
      </c>
      <c r="S38" s="1057">
        <f>'Input Merchant Assets'!FW28/1000000</f>
        <v>19.57300867999999</v>
      </c>
      <c r="T38" s="1059">
        <f t="shared" si="0"/>
        <v>95.5794652915462</v>
      </c>
      <c r="V38" s="1060">
        <f>T38-'Input Merchant Assets'!GF28/1000000</f>
        <v>0</v>
      </c>
      <c r="W38" s="1061">
        <f t="shared" si="1"/>
        <v>0</v>
      </c>
      <c r="X38" s="1030">
        <f t="shared" si="3"/>
        <v>0</v>
      </c>
    </row>
    <row r="39" spans="2:24" ht="15" customHeight="1">
      <c r="B39" s="1054" t="s">
        <v>344</v>
      </c>
      <c r="C39" s="1135">
        <f>'Input Merchant Assets'!C30</f>
        <v>0</v>
      </c>
      <c r="D39" s="1056">
        <f>'Input Merchant Assets'!AR29/1000000</f>
        <v>0.11072637</v>
      </c>
      <c r="E39" s="1056">
        <f>'Input Merchant Assets'!E29/1000000</f>
        <v>1.59123404</v>
      </c>
      <c r="F39" s="1056">
        <f>('Input Merchant Assets'!J29+'Input Merchant Assets'!U29+'Input Merchant Assets'!AG29+'Input Merchant Assets'!AL29)/1000000</f>
        <v>0</v>
      </c>
      <c r="G39" s="1056">
        <f>('Input Merchant Assets'!AS29)/1000000</f>
        <v>2.1245859999999998E-2</v>
      </c>
      <c r="H39" s="1057">
        <f>('Input Merchant Assets'!AV29+'Input Merchant Assets'!AW29)/1000000</f>
        <v>0</v>
      </c>
      <c r="I39" s="1057">
        <f>('Input Merchant Assets'!AZ29+'Input Merchant Assets'!BC29+'Input Merchant Assets'!BD29)/1000000</f>
        <v>0.19139125000000001</v>
      </c>
      <c r="J39" s="1058">
        <f>'Input Merchant Assets'!BM29/1000000</f>
        <v>0</v>
      </c>
      <c r="K39" s="1058">
        <f>('Input Merchant Assets'!BU29+'Input Merchant Assets'!BY29)/1000000</f>
        <v>0</v>
      </c>
      <c r="L39" s="1058">
        <f>'Input Merchant Assets'!DG29/1000000</f>
        <v>0</v>
      </c>
      <c r="M39" s="1057">
        <f>'Input Merchant Assets'!BE29/1000000</f>
        <v>0</v>
      </c>
      <c r="N39" s="1057">
        <f>('Input Merchant Assets'!BQ29+'Input Merchant Assets'!BR29)/1000000</f>
        <v>0</v>
      </c>
      <c r="O39" s="1057">
        <f>('Input Merchant Assets'!BZ29+'Input Merchant Assets'!CJ29+'Input Merchant Assets'!CK29+'Input Merchant Assets'!CL29)/1000000</f>
        <v>0</v>
      </c>
      <c r="P39" s="1057">
        <f>('Input Merchant Assets'!DQ29+'Input Merchant Assets'!DU29)/1000000</f>
        <v>59.829207695590526</v>
      </c>
      <c r="Q39" s="1057">
        <f>'Input Merchant Assets'!DZ29/1000000</f>
        <v>0</v>
      </c>
      <c r="R39" s="1057">
        <f>'Input Merchant Assets'!GB29/1000000</f>
        <v>9.3588664334999994</v>
      </c>
      <c r="S39" s="1057">
        <f>'Input Merchant Assets'!FW29/1000000</f>
        <v>20.462059299999996</v>
      </c>
      <c r="T39" s="1059">
        <f t="shared" si="0"/>
        <v>91.564730949090517</v>
      </c>
      <c r="V39" s="1060">
        <f>T39-'Input Merchant Assets'!GF29/1000000</f>
        <v>0</v>
      </c>
      <c r="W39" s="1061">
        <f t="shared" si="1"/>
        <v>0</v>
      </c>
      <c r="X39" s="1030">
        <f t="shared" si="3"/>
        <v>0</v>
      </c>
    </row>
    <row r="40" spans="2:24" ht="15" customHeight="1">
      <c r="B40" s="1057"/>
      <c r="C40" s="1135"/>
      <c r="D40" s="1056"/>
      <c r="E40" s="1056"/>
      <c r="F40" s="1056"/>
      <c r="G40" s="1056"/>
      <c r="H40" s="1057"/>
      <c r="I40" s="1057"/>
      <c r="J40" s="1058"/>
      <c r="K40" s="1058"/>
      <c r="L40" s="1058"/>
      <c r="M40" s="1057"/>
      <c r="N40" s="1057"/>
      <c r="O40" s="1057"/>
      <c r="P40" s="1057"/>
      <c r="Q40" s="1057"/>
      <c r="R40" s="1057"/>
      <c r="S40" s="1057"/>
      <c r="T40" s="1059"/>
      <c r="V40" s="1060"/>
      <c r="W40" s="1061"/>
    </row>
    <row r="41" spans="2:24" ht="15" customHeight="1">
      <c r="B41" s="1064">
        <v>2017</v>
      </c>
      <c r="C41" s="1136"/>
      <c r="D41" s="1057"/>
      <c r="E41" s="1057"/>
      <c r="F41" s="1057"/>
      <c r="G41" s="1057"/>
      <c r="H41" s="1057"/>
      <c r="I41" s="1057"/>
      <c r="J41" s="1057"/>
      <c r="K41" s="1057"/>
      <c r="L41" s="1057"/>
      <c r="M41" s="1057"/>
      <c r="N41" s="1057"/>
      <c r="O41" s="1057"/>
      <c r="P41" s="1057"/>
      <c r="Q41" s="1057"/>
      <c r="R41" s="1057"/>
      <c r="S41" s="1057"/>
      <c r="T41" s="1059"/>
    </row>
    <row r="42" spans="2:24" ht="15" customHeight="1">
      <c r="B42" s="1057" t="s">
        <v>345</v>
      </c>
      <c r="C42" s="1135">
        <f>'Input Merchant Assets'!C33</f>
        <v>0</v>
      </c>
      <c r="D42" s="1056">
        <f>'Input Merchant Assets'!AR32/1000000</f>
        <v>1.2821399999999922E-3</v>
      </c>
      <c r="E42" s="1056">
        <f>'Input Merchant Assets'!E32/1000000</f>
        <v>2.1279287299999998</v>
      </c>
      <c r="F42" s="1056">
        <f>('Input Merchant Assets'!J32+'Input Merchant Assets'!U32+'Input Merchant Assets'!AG32+'Input Merchant Assets'!AL32)/1000000</f>
        <v>5.3024000000000002E-2</v>
      </c>
      <c r="G42" s="1056">
        <f>('Input Merchant Assets'!AS32)/1000000</f>
        <v>4.7422000000000002E-4</v>
      </c>
      <c r="H42" s="1057">
        <f>('Input Merchant Assets'!AV32+'Input Merchant Assets'!AW32)/1000000</f>
        <v>0</v>
      </c>
      <c r="I42" s="1057">
        <f>('Input Merchant Assets'!AZ32+'Input Merchant Assets'!BC32+'Input Merchant Assets'!BD32)/1000000</f>
        <v>0.19139125000000001</v>
      </c>
      <c r="J42" s="1058">
        <f>'Input Merchant Assets'!BM32/1000000</f>
        <v>0</v>
      </c>
      <c r="K42" s="1058">
        <f>('Input Merchant Assets'!BU32+'Input Merchant Assets'!BY32)/1000000</f>
        <v>0</v>
      </c>
      <c r="L42" s="1058">
        <f>'Input Merchant Assets'!DG32/1000000</f>
        <v>0</v>
      </c>
      <c r="M42" s="1057">
        <f>'Input Merchant Assets'!BE32/1000000</f>
        <v>0</v>
      </c>
      <c r="N42" s="1057">
        <f>('Input Merchant Assets'!BQ32+'Input Merchant Assets'!BR32)/1000000</f>
        <v>0</v>
      </c>
      <c r="O42" s="1057">
        <f>('Input Merchant Assets'!BZ32+'Input Merchant Assets'!CJ32+'Input Merchant Assets'!CK32+'Input Merchant Assets'!CL32)/1000000</f>
        <v>0</v>
      </c>
      <c r="P42" s="1057">
        <f>('Input Merchant Assets'!DQ32+'Input Merchant Assets'!DU32)/1000000</f>
        <v>64.534961590096216</v>
      </c>
      <c r="Q42" s="1057">
        <f>'Input Merchant Assets'!DZ32/1000000</f>
        <v>0</v>
      </c>
      <c r="R42" s="1057">
        <f>'Input Merchant Assets'!GB32/1000000</f>
        <v>9.8819862414500008</v>
      </c>
      <c r="S42" s="1057">
        <f>'Input Merchant Assets'!FW32/1000000</f>
        <v>19.04850211999997</v>
      </c>
      <c r="T42" s="1059">
        <f>SUM(C42:S42)</f>
        <v>95.839550291546175</v>
      </c>
      <c r="V42" s="1060">
        <f>T42-'Input Merchant Assets'!GF32/1000000</f>
        <v>0</v>
      </c>
      <c r="W42" s="1061">
        <f>+V42/T42</f>
        <v>0</v>
      </c>
      <c r="X42" s="1030">
        <f>+V42*1000000</f>
        <v>0</v>
      </c>
    </row>
    <row r="43" spans="2:24" ht="15" customHeight="1">
      <c r="B43" s="1057" t="s">
        <v>334</v>
      </c>
      <c r="C43" s="1135">
        <f>'Input Merchant Assets'!C34</f>
        <v>0</v>
      </c>
      <c r="D43" s="1056">
        <f>'Input Merchant Assets'!AR33/1000000</f>
        <v>1.2821399999999922E-3</v>
      </c>
      <c r="E43" s="1056">
        <f>'Input Merchant Assets'!E33/1000000</f>
        <v>2.0412340000000002</v>
      </c>
      <c r="F43" s="1056">
        <f>('Input Merchant Assets'!J33+'Input Merchant Assets'!U33+'Input Merchant Assets'!AG33+'Input Merchant Assets'!AL33)/1000000</f>
        <v>5.3024000000000002E-2</v>
      </c>
      <c r="G43" s="1056">
        <f>('Input Merchant Assets'!AS33)/1000000</f>
        <v>4.7422000000000002E-4</v>
      </c>
      <c r="H43" s="1057">
        <f>('Input Merchant Assets'!AV33+'Input Merchant Assets'!AW33)/1000000</f>
        <v>0</v>
      </c>
      <c r="I43" s="1057">
        <f>('Input Merchant Assets'!AZ33+'Input Merchant Assets'!BC33+'Input Merchant Assets'!BD33)/1000000</f>
        <v>0.19139125000000001</v>
      </c>
      <c r="J43" s="1058">
        <f>'Input Merchant Assets'!BM33/1000000</f>
        <v>0</v>
      </c>
      <c r="K43" s="1058">
        <f>('Input Merchant Assets'!BU33+'Input Merchant Assets'!BY33)/1000000</f>
        <v>0</v>
      </c>
      <c r="L43" s="1058">
        <f>'Input Merchant Assets'!DG33/1000000</f>
        <v>0</v>
      </c>
      <c r="M43" s="1057">
        <f>'Input Merchant Assets'!BE33/1000000</f>
        <v>0</v>
      </c>
      <c r="N43" s="1057">
        <f>('Input Merchant Assets'!BQ33+'Input Merchant Assets'!BR33)/1000000</f>
        <v>0</v>
      </c>
      <c r="O43" s="1057">
        <f>('Input Merchant Assets'!BZ33+'Input Merchant Assets'!CJ33+'Input Merchant Assets'!CK33+'Input Merchant Assets'!CL33)/1000000</f>
        <v>0</v>
      </c>
      <c r="P43" s="1057">
        <f>('Input Merchant Assets'!DQ33+'Input Merchant Assets'!DU33)/1000000</f>
        <v>64.534961590096216</v>
      </c>
      <c r="Q43" s="1057">
        <f>'Input Merchant Assets'!DZ33/1000000</f>
        <v>0</v>
      </c>
      <c r="R43" s="1057">
        <f>'Input Merchant Assets'!GB33/1000000</f>
        <v>9.8819862414500008</v>
      </c>
      <c r="S43" s="1057">
        <f>'Input Merchant Assets'!FW33/1000000</f>
        <v>19.04850211999997</v>
      </c>
      <c r="T43" s="1059">
        <f>SUM(C43:S43)</f>
        <v>95.75285556154617</v>
      </c>
      <c r="V43" s="1060">
        <f>T43-'Input Merchant Assets'!GF33/1000000</f>
        <v>0</v>
      </c>
      <c r="W43" s="1061">
        <f>+V43/T43</f>
        <v>0</v>
      </c>
      <c r="X43" s="1030">
        <f>+V43*1000000</f>
        <v>0</v>
      </c>
    </row>
    <row r="44" spans="2:24" ht="15" customHeight="1" thickBot="1">
      <c r="B44" s="1065"/>
      <c r="C44" s="1065"/>
      <c r="D44" s="1066"/>
      <c r="E44" s="1066"/>
      <c r="F44" s="1066"/>
      <c r="G44" s="1066"/>
      <c r="H44" s="1066"/>
      <c r="I44" s="1066"/>
      <c r="J44" s="1066"/>
      <c r="K44" s="1066"/>
      <c r="L44" s="1066"/>
      <c r="M44" s="1067"/>
      <c r="N44" s="1066"/>
      <c r="O44" s="1067"/>
      <c r="P44" s="1066"/>
      <c r="Q44" s="1066"/>
      <c r="R44" s="1066"/>
      <c r="S44" s="1066"/>
      <c r="T44" s="1068"/>
    </row>
    <row r="45" spans="2:24" ht="12" thickTop="1"/>
    <row r="46" spans="2:24" ht="16.5">
      <c r="B46" s="963" t="s">
        <v>1360</v>
      </c>
      <c r="C46" s="926"/>
      <c r="D46" s="926"/>
      <c r="E46" s="1069"/>
      <c r="F46" s="1069"/>
      <c r="G46" s="1069"/>
      <c r="H46" s="1069"/>
      <c r="I46" s="1069"/>
      <c r="J46" s="1069"/>
      <c r="K46" s="1069"/>
      <c r="L46" s="1069"/>
      <c r="M46" s="1069"/>
      <c r="N46" s="1069"/>
      <c r="O46" s="1069"/>
      <c r="P46" s="1069"/>
      <c r="Q46" s="1069"/>
      <c r="R46" s="1069"/>
      <c r="S46" s="1069"/>
      <c r="T46" s="1069"/>
      <c r="U46" s="1070"/>
    </row>
    <row r="47" spans="2:24">
      <c r="D47" s="1069"/>
      <c r="E47" s="1069"/>
      <c r="F47" s="1069"/>
      <c r="G47" s="1069"/>
      <c r="H47" s="1069"/>
      <c r="I47" s="1069"/>
      <c r="J47" s="1069"/>
      <c r="K47" s="1069"/>
      <c r="L47" s="1069"/>
      <c r="M47" s="1069"/>
      <c r="N47" s="1069"/>
      <c r="O47" s="1069"/>
      <c r="P47" s="1069"/>
      <c r="Q47" s="1069"/>
      <c r="R47" s="1069"/>
      <c r="S47" s="1069"/>
      <c r="T47" s="1069"/>
      <c r="U47" s="1070"/>
    </row>
    <row r="48" spans="2:24" ht="15.75">
      <c r="B48" s="237" t="s">
        <v>998</v>
      </c>
    </row>
    <row r="49" spans="2:24" s="921" customFormat="1" ht="15">
      <c r="B49" s="1071">
        <v>1</v>
      </c>
      <c r="C49" s="921" t="s">
        <v>1710</v>
      </c>
      <c r="V49" s="1072"/>
      <c r="W49" s="1073"/>
      <c r="X49" s="1074"/>
    </row>
    <row r="50" spans="2:24" s="921" customFormat="1" ht="15">
      <c r="B50" s="1071">
        <v>2</v>
      </c>
      <c r="C50" s="921" t="s">
        <v>1711</v>
      </c>
      <c r="V50" s="1072"/>
      <c r="W50" s="1073"/>
      <c r="X50" s="1074"/>
    </row>
    <row r="51" spans="2:24" s="921" customFormat="1" ht="15">
      <c r="B51" s="1071">
        <v>3</v>
      </c>
      <c r="C51" s="921" t="s">
        <v>1712</v>
      </c>
      <c r="V51" s="1072"/>
      <c r="W51" s="1073"/>
      <c r="X51" s="1074"/>
    </row>
    <row r="52" spans="2:24" s="921" customFormat="1" ht="15">
      <c r="V52" s="1072"/>
      <c r="W52" s="1073"/>
      <c r="X52" s="1074"/>
    </row>
    <row r="53" spans="2:24" s="921" customFormat="1" ht="15">
      <c r="V53" s="1072"/>
      <c r="W53" s="1073"/>
      <c r="X53" s="1074"/>
    </row>
    <row r="54" spans="2:24" s="921" customFormat="1" ht="15">
      <c r="V54" s="1072"/>
      <c r="W54" s="1073"/>
      <c r="X54" s="1074"/>
    </row>
    <row r="55" spans="2:24" s="921" customFormat="1" ht="15">
      <c r="V55" s="1072"/>
      <c r="W55" s="1073"/>
      <c r="X55" s="1074"/>
    </row>
    <row r="56" spans="2:24" s="921" customFormat="1" ht="15">
      <c r="V56" s="1072"/>
      <c r="W56" s="1073"/>
      <c r="X56" s="1074"/>
    </row>
    <row r="57" spans="2:24" s="921" customFormat="1" ht="15">
      <c r="V57" s="1072"/>
      <c r="W57" s="1073"/>
      <c r="X57" s="1074"/>
    </row>
    <row r="58" spans="2:24" s="921" customFormat="1" ht="15">
      <c r="V58" s="1072"/>
      <c r="W58" s="1073"/>
      <c r="X58" s="1074"/>
    </row>
    <row r="59" spans="2:24" s="921" customFormat="1" ht="15">
      <c r="V59" s="1072"/>
      <c r="W59" s="1073"/>
      <c r="X59" s="1074"/>
    </row>
    <row r="60" spans="2:24" s="921" customFormat="1" ht="15">
      <c r="V60" s="1072"/>
      <c r="W60" s="1073"/>
      <c r="X60" s="1074"/>
    </row>
    <row r="61" spans="2:24" s="921" customFormat="1" ht="15">
      <c r="V61" s="1072"/>
      <c r="W61" s="1073"/>
      <c r="X61" s="1074"/>
    </row>
    <row r="62" spans="2:24" s="921" customFormat="1" ht="15">
      <c r="V62" s="1072"/>
      <c r="W62" s="1073"/>
      <c r="X62" s="1074"/>
    </row>
    <row r="63" spans="2:24" s="921" customFormat="1" ht="15">
      <c r="V63" s="1072"/>
      <c r="W63" s="1073"/>
      <c r="X63" s="1074"/>
    </row>
    <row r="64" spans="2:24" s="921" customFormat="1" ht="15">
      <c r="V64" s="1072"/>
      <c r="W64" s="1073"/>
      <c r="X64" s="1074"/>
    </row>
    <row r="65" spans="22:24" s="921" customFormat="1" ht="15">
      <c r="V65" s="1072"/>
      <c r="W65" s="1073"/>
      <c r="X65" s="1074"/>
    </row>
    <row r="66" spans="22:24" s="921" customFormat="1" ht="15">
      <c r="V66" s="1072"/>
      <c r="W66" s="1073"/>
      <c r="X66" s="1074"/>
    </row>
    <row r="67" spans="22:24" s="921" customFormat="1" ht="15">
      <c r="V67" s="1072"/>
      <c r="W67" s="1073"/>
      <c r="X67" s="1074"/>
    </row>
    <row r="68" spans="22:24" s="921" customFormat="1" ht="15">
      <c r="V68" s="1072"/>
      <c r="W68" s="1073"/>
      <c r="X68" s="1074"/>
    </row>
    <row r="69" spans="22:24" s="921" customFormat="1" ht="15">
      <c r="V69" s="1072"/>
      <c r="W69" s="1073"/>
      <c r="X69" s="1074"/>
    </row>
    <row r="70" spans="22:24" s="921" customFormat="1" ht="15">
      <c r="V70" s="1072"/>
      <c r="W70" s="1073"/>
      <c r="X70" s="1074"/>
    </row>
    <row r="71" spans="22:24" s="921" customFormat="1" ht="15">
      <c r="V71" s="1072"/>
      <c r="W71" s="1073"/>
      <c r="X71" s="1074"/>
    </row>
    <row r="72" spans="22:24" s="921" customFormat="1" ht="15">
      <c r="V72" s="1072"/>
      <c r="W72" s="1073"/>
      <c r="X72" s="1074"/>
    </row>
    <row r="73" spans="22:24" s="921" customFormat="1" ht="15">
      <c r="V73" s="1072"/>
      <c r="W73" s="1073"/>
      <c r="X73" s="1074"/>
    </row>
    <row r="74" spans="22:24" s="921" customFormat="1" ht="15">
      <c r="V74" s="1072"/>
      <c r="W74" s="1073"/>
      <c r="X74" s="1074"/>
    </row>
    <row r="75" spans="22:24" s="921" customFormat="1" ht="15">
      <c r="V75" s="1072"/>
      <c r="W75" s="1073"/>
      <c r="X75" s="1074"/>
    </row>
    <row r="76" spans="22:24" s="921" customFormat="1" ht="15">
      <c r="V76" s="1072"/>
      <c r="W76" s="1073"/>
      <c r="X76" s="1074"/>
    </row>
    <row r="77" spans="22:24" s="921" customFormat="1" ht="15">
      <c r="V77" s="1072"/>
      <c r="W77" s="1073"/>
      <c r="X77" s="1074"/>
    </row>
    <row r="78" spans="22:24" s="921" customFormat="1" ht="15">
      <c r="V78" s="1072"/>
      <c r="W78" s="1073"/>
      <c r="X78" s="1074"/>
    </row>
    <row r="79" spans="22:24" s="921" customFormat="1" ht="15">
      <c r="V79" s="1072"/>
      <c r="W79" s="1073"/>
      <c r="X79" s="1074"/>
    </row>
    <row r="80" spans="22:24" s="921" customFormat="1" ht="15">
      <c r="V80" s="1072"/>
      <c r="W80" s="1073"/>
      <c r="X80" s="1074"/>
    </row>
    <row r="81" spans="22:24" s="921" customFormat="1" ht="15">
      <c r="V81" s="1072"/>
      <c r="W81" s="1073"/>
      <c r="X81" s="1074"/>
    </row>
    <row r="82" spans="22:24" s="921" customFormat="1" ht="15">
      <c r="V82" s="1072"/>
      <c r="W82" s="1073"/>
      <c r="X82" s="1074"/>
    </row>
    <row r="83" spans="22:24" s="921" customFormat="1" ht="15">
      <c r="V83" s="1072"/>
      <c r="W83" s="1073"/>
      <c r="X83" s="1074"/>
    </row>
    <row r="84" spans="22:24" s="921" customFormat="1" ht="15">
      <c r="V84" s="1072"/>
      <c r="W84" s="1073"/>
      <c r="X84" s="1074"/>
    </row>
    <row r="85" spans="22:24" s="921" customFormat="1" ht="15">
      <c r="V85" s="1072"/>
      <c r="W85" s="1073"/>
      <c r="X85" s="1074"/>
    </row>
    <row r="86" spans="22:24" s="921" customFormat="1" ht="15">
      <c r="V86" s="1072"/>
      <c r="W86" s="1073"/>
      <c r="X86" s="1074"/>
    </row>
    <row r="87" spans="22:24" s="921" customFormat="1" ht="15">
      <c r="V87" s="1072"/>
      <c r="W87" s="1073"/>
      <c r="X87" s="1074"/>
    </row>
    <row r="88" spans="22:24" s="921" customFormat="1" ht="15">
      <c r="V88" s="1072"/>
      <c r="W88" s="1073"/>
      <c r="X88" s="1074"/>
    </row>
    <row r="89" spans="22:24" s="921" customFormat="1" ht="15">
      <c r="V89" s="1072"/>
      <c r="W89" s="1073"/>
      <c r="X89" s="1074"/>
    </row>
    <row r="90" spans="22:24" s="921" customFormat="1" ht="15">
      <c r="V90" s="1072"/>
      <c r="W90" s="1073"/>
      <c r="X90" s="1074"/>
    </row>
    <row r="91" spans="22:24" s="921" customFormat="1" ht="15">
      <c r="V91" s="1072"/>
      <c r="W91" s="1073"/>
      <c r="X91" s="1074"/>
    </row>
    <row r="92" spans="22:24" s="921" customFormat="1" ht="15">
      <c r="V92" s="1072"/>
      <c r="W92" s="1073"/>
      <c r="X92" s="1074"/>
    </row>
    <row r="93" spans="22:24" s="921" customFormat="1" ht="15">
      <c r="V93" s="1072"/>
      <c r="W93" s="1073"/>
      <c r="X93" s="1074"/>
    </row>
    <row r="94" spans="22:24" s="921" customFormat="1" ht="15">
      <c r="V94" s="1072"/>
      <c r="W94" s="1073"/>
      <c r="X94" s="1074"/>
    </row>
    <row r="95" spans="22:24" s="921" customFormat="1" ht="15">
      <c r="V95" s="1072"/>
      <c r="W95" s="1073"/>
      <c r="X95" s="1074"/>
    </row>
    <row r="96" spans="22:24" s="921" customFormat="1" ht="15">
      <c r="V96" s="1072"/>
      <c r="W96" s="1073"/>
      <c r="X96" s="1074"/>
    </row>
    <row r="97" spans="22:24" s="921" customFormat="1" ht="15">
      <c r="V97" s="1072"/>
      <c r="W97" s="1073"/>
      <c r="X97" s="1074"/>
    </row>
    <row r="98" spans="22:24" s="921" customFormat="1" ht="15">
      <c r="V98" s="1072"/>
      <c r="W98" s="1073"/>
      <c r="X98" s="1074"/>
    </row>
    <row r="99" spans="22:24" s="921" customFormat="1" ht="15">
      <c r="V99" s="1072"/>
      <c r="W99" s="1073"/>
      <c r="X99" s="1074"/>
    </row>
    <row r="100" spans="22:24" s="921" customFormat="1" ht="15">
      <c r="V100" s="1072"/>
      <c r="W100" s="1073"/>
      <c r="X100" s="1074"/>
    </row>
    <row r="101" spans="22:24" s="921" customFormat="1" ht="15">
      <c r="V101" s="1072"/>
      <c r="W101" s="1073"/>
      <c r="X101" s="1074"/>
    </row>
    <row r="102" spans="22:24" s="921" customFormat="1" ht="15">
      <c r="V102" s="1072"/>
      <c r="W102" s="1073"/>
      <c r="X102" s="1074"/>
    </row>
    <row r="103" spans="22:24" s="921" customFormat="1" ht="15">
      <c r="V103" s="1072"/>
      <c r="W103" s="1073"/>
      <c r="X103" s="1074"/>
    </row>
    <row r="104" spans="22:24" s="921" customFormat="1" ht="15">
      <c r="V104" s="1072"/>
      <c r="W104" s="1073"/>
      <c r="X104" s="1074"/>
    </row>
    <row r="105" spans="22:24" s="921" customFormat="1" ht="15">
      <c r="V105" s="1072"/>
      <c r="W105" s="1073"/>
      <c r="X105" s="1074"/>
    </row>
    <row r="106" spans="22:24" s="921" customFormat="1" ht="15">
      <c r="V106" s="1072"/>
      <c r="W106" s="1073"/>
      <c r="X106" s="1074"/>
    </row>
    <row r="107" spans="22:24" s="921" customFormat="1" ht="15">
      <c r="V107" s="1072"/>
      <c r="W107" s="1073"/>
      <c r="X107" s="1074"/>
    </row>
    <row r="108" spans="22:24" s="921" customFormat="1" ht="15">
      <c r="V108" s="1072"/>
      <c r="W108" s="1073"/>
      <c r="X108" s="1074"/>
    </row>
    <row r="109" spans="22:24" s="921" customFormat="1" ht="15">
      <c r="V109" s="1072"/>
      <c r="W109" s="1073"/>
      <c r="X109" s="1074"/>
    </row>
    <row r="110" spans="22:24" s="921" customFormat="1" ht="15">
      <c r="V110" s="1072"/>
      <c r="W110" s="1073"/>
      <c r="X110" s="1074"/>
    </row>
    <row r="111" spans="22:24" s="921" customFormat="1" ht="15">
      <c r="V111" s="1072"/>
      <c r="W111" s="1073"/>
      <c r="X111" s="1074"/>
    </row>
    <row r="112" spans="22:24" s="921" customFormat="1" ht="15">
      <c r="V112" s="1072"/>
      <c r="W112" s="1073"/>
      <c r="X112" s="1074"/>
    </row>
    <row r="113" spans="22:24" s="921" customFormat="1" ht="15">
      <c r="V113" s="1072"/>
      <c r="W113" s="1073"/>
      <c r="X113" s="1074"/>
    </row>
    <row r="114" spans="22:24" s="921" customFormat="1" ht="15">
      <c r="V114" s="1072"/>
      <c r="W114" s="1073"/>
      <c r="X114" s="1074"/>
    </row>
    <row r="115" spans="22:24" s="921" customFormat="1" ht="15">
      <c r="V115" s="1072"/>
      <c r="W115" s="1073"/>
      <c r="X115" s="1074"/>
    </row>
    <row r="116" spans="22:24" s="921" customFormat="1" ht="15">
      <c r="V116" s="1072"/>
      <c r="W116" s="1073"/>
      <c r="X116" s="1074"/>
    </row>
    <row r="117" spans="22:24" s="921" customFormat="1" ht="15">
      <c r="V117" s="1072"/>
      <c r="W117" s="1073"/>
      <c r="X117" s="1074"/>
    </row>
    <row r="118" spans="22:24" s="921" customFormat="1" ht="15">
      <c r="V118" s="1072"/>
      <c r="W118" s="1073"/>
      <c r="X118" s="1074"/>
    </row>
    <row r="119" spans="22:24" s="921" customFormat="1" ht="15">
      <c r="V119" s="1072"/>
      <c r="W119" s="1073"/>
      <c r="X119" s="1074"/>
    </row>
    <row r="120" spans="22:24" s="921" customFormat="1" ht="15">
      <c r="V120" s="1072"/>
      <c r="W120" s="1073"/>
      <c r="X120" s="1074"/>
    </row>
    <row r="121" spans="22:24" s="921" customFormat="1" ht="15">
      <c r="V121" s="1072"/>
      <c r="W121" s="1073"/>
      <c r="X121" s="1074"/>
    </row>
    <row r="122" spans="22:24" s="921" customFormat="1" ht="15">
      <c r="V122" s="1072"/>
      <c r="W122" s="1073"/>
      <c r="X122" s="1074"/>
    </row>
    <row r="123" spans="22:24" s="921" customFormat="1" ht="15">
      <c r="V123" s="1072"/>
      <c r="W123" s="1073"/>
      <c r="X123" s="1074"/>
    </row>
    <row r="124" spans="22:24" s="921" customFormat="1" ht="15">
      <c r="V124" s="1072"/>
      <c r="W124" s="1073"/>
      <c r="X124" s="1074"/>
    </row>
    <row r="125" spans="22:24" s="921" customFormat="1" ht="15">
      <c r="V125" s="1072"/>
      <c r="W125" s="1073"/>
      <c r="X125" s="1074"/>
    </row>
    <row r="126" spans="22:24" s="921" customFormat="1" ht="15">
      <c r="V126" s="1072"/>
      <c r="W126" s="1073"/>
      <c r="X126" s="1074"/>
    </row>
    <row r="127" spans="22:24" s="921" customFormat="1" ht="15">
      <c r="V127" s="1072"/>
      <c r="W127" s="1073"/>
      <c r="X127" s="1074"/>
    </row>
    <row r="128" spans="22:24" s="921" customFormat="1" ht="15">
      <c r="V128" s="1072"/>
      <c r="W128" s="1073"/>
      <c r="X128" s="1074"/>
    </row>
    <row r="129" spans="22:24" s="921" customFormat="1" ht="15">
      <c r="V129" s="1072"/>
      <c r="W129" s="1073"/>
      <c r="X129" s="1074"/>
    </row>
    <row r="130" spans="22:24" s="921" customFormat="1" ht="15">
      <c r="V130" s="1072"/>
      <c r="W130" s="1073"/>
      <c r="X130" s="1074"/>
    </row>
    <row r="131" spans="22:24" s="921" customFormat="1" ht="15">
      <c r="V131" s="1072"/>
      <c r="W131" s="1073"/>
      <c r="X131" s="1074"/>
    </row>
    <row r="132" spans="22:24" s="921" customFormat="1" ht="15">
      <c r="V132" s="1072"/>
      <c r="W132" s="1073"/>
      <c r="X132" s="1074"/>
    </row>
    <row r="133" spans="22:24" s="921" customFormat="1" ht="15">
      <c r="V133" s="1072"/>
      <c r="W133" s="1073"/>
      <c r="X133" s="1074"/>
    </row>
    <row r="134" spans="22:24" s="921" customFormat="1" ht="15">
      <c r="V134" s="1072"/>
      <c r="W134" s="1073"/>
      <c r="X134" s="1074"/>
    </row>
    <row r="135" spans="22:24" s="921" customFormat="1" ht="15">
      <c r="V135" s="1072"/>
      <c r="W135" s="1073"/>
      <c r="X135" s="1074"/>
    </row>
    <row r="136" spans="22:24" s="921" customFormat="1" ht="15">
      <c r="V136" s="1072"/>
      <c r="W136" s="1073"/>
      <c r="X136" s="1074"/>
    </row>
    <row r="137" spans="22:24" s="921" customFormat="1" ht="15">
      <c r="V137" s="1072"/>
      <c r="W137" s="1073"/>
      <c r="X137" s="1074"/>
    </row>
    <row r="138" spans="22:24" s="921" customFormat="1" ht="15">
      <c r="V138" s="1072"/>
      <c r="W138" s="1073"/>
      <c r="X138" s="1074"/>
    </row>
    <row r="139" spans="22:24" s="921" customFormat="1" ht="15">
      <c r="V139" s="1072"/>
      <c r="W139" s="1073"/>
      <c r="X139" s="1074"/>
    </row>
    <row r="140" spans="22:24" s="921" customFormat="1" ht="15">
      <c r="V140" s="1072"/>
      <c r="W140" s="1073"/>
      <c r="X140" s="1074"/>
    </row>
    <row r="141" spans="22:24" s="921" customFormat="1" ht="15">
      <c r="V141" s="1072"/>
      <c r="W141" s="1073"/>
      <c r="X141" s="1074"/>
    </row>
    <row r="142" spans="22:24" s="921" customFormat="1" ht="15">
      <c r="V142" s="1072"/>
      <c r="W142" s="1073"/>
      <c r="X142" s="1074"/>
    </row>
    <row r="143" spans="22:24" s="921" customFormat="1" ht="15">
      <c r="V143" s="1072"/>
      <c r="W143" s="1073"/>
      <c r="X143" s="1074"/>
    </row>
    <row r="144" spans="22:24" s="921" customFormat="1" ht="15">
      <c r="V144" s="1072"/>
      <c r="W144" s="1073"/>
      <c r="X144" s="1074"/>
    </row>
    <row r="145" spans="22:24" s="921" customFormat="1" ht="15">
      <c r="V145" s="1072"/>
      <c r="W145" s="1073"/>
      <c r="X145" s="1074"/>
    </row>
    <row r="146" spans="22:24" s="921" customFormat="1" ht="15">
      <c r="V146" s="1072"/>
      <c r="W146" s="1073"/>
      <c r="X146" s="1074"/>
    </row>
    <row r="147" spans="22:24" s="921" customFormat="1" ht="15">
      <c r="V147" s="1072"/>
      <c r="W147" s="1073"/>
      <c r="X147" s="1074"/>
    </row>
    <row r="148" spans="22:24" s="921" customFormat="1" ht="15">
      <c r="V148" s="1072"/>
      <c r="W148" s="1073"/>
      <c r="X148" s="1074"/>
    </row>
    <row r="149" spans="22:24" s="921" customFormat="1" ht="15">
      <c r="V149" s="1072"/>
      <c r="W149" s="1073"/>
      <c r="X149" s="1074"/>
    </row>
    <row r="150" spans="22:24" s="921" customFormat="1" ht="15">
      <c r="V150" s="1072"/>
      <c r="W150" s="1073"/>
      <c r="X150" s="1074"/>
    </row>
    <row r="151" spans="22:24" s="921" customFormat="1" ht="15">
      <c r="V151" s="1072"/>
      <c r="W151" s="1073"/>
      <c r="X151" s="1074"/>
    </row>
    <row r="152" spans="22:24" s="921" customFormat="1" ht="15">
      <c r="V152" s="1072"/>
      <c r="W152" s="1073"/>
      <c r="X152" s="1074"/>
    </row>
    <row r="153" spans="22:24" s="921" customFormat="1" ht="15">
      <c r="V153" s="1072"/>
      <c r="W153" s="1073"/>
      <c r="X153" s="1074"/>
    </row>
    <row r="154" spans="22:24" s="921" customFormat="1" ht="15">
      <c r="V154" s="1072"/>
      <c r="W154" s="1073"/>
      <c r="X154" s="1074"/>
    </row>
    <row r="155" spans="22:24" s="921" customFormat="1" ht="15">
      <c r="V155" s="1072"/>
      <c r="W155" s="1073"/>
      <c r="X155" s="1074"/>
    </row>
    <row r="156" spans="22:24" s="921" customFormat="1" ht="15">
      <c r="V156" s="1072"/>
      <c r="W156" s="1073"/>
      <c r="X156" s="1074"/>
    </row>
    <row r="157" spans="22:24" s="921" customFormat="1" ht="15">
      <c r="V157" s="1072"/>
      <c r="W157" s="1073"/>
      <c r="X157" s="1074"/>
    </row>
    <row r="158" spans="22:24" s="921" customFormat="1" ht="15">
      <c r="V158" s="1072"/>
      <c r="W158" s="1073"/>
      <c r="X158" s="1074"/>
    </row>
    <row r="159" spans="22:24" s="921" customFormat="1" ht="15">
      <c r="V159" s="1072"/>
      <c r="W159" s="1073"/>
      <c r="X159" s="1074"/>
    </row>
    <row r="160" spans="22:24" s="921" customFormat="1" ht="15">
      <c r="V160" s="1072"/>
      <c r="W160" s="1073"/>
      <c r="X160" s="1074"/>
    </row>
    <row r="161" spans="22:24" s="921" customFormat="1" ht="15">
      <c r="V161" s="1072"/>
      <c r="W161" s="1073"/>
      <c r="X161" s="1074"/>
    </row>
    <row r="162" spans="22:24" s="921" customFormat="1" ht="15">
      <c r="V162" s="1072"/>
      <c r="W162" s="1073"/>
      <c r="X162" s="1074"/>
    </row>
    <row r="163" spans="22:24" s="921" customFormat="1" ht="15">
      <c r="V163" s="1072"/>
      <c r="W163" s="1073"/>
      <c r="X163" s="1074"/>
    </row>
    <row r="164" spans="22:24" s="921" customFormat="1" ht="15">
      <c r="V164" s="1072"/>
      <c r="W164" s="1073"/>
      <c r="X164" s="1074"/>
    </row>
    <row r="165" spans="22:24" s="921" customFormat="1" ht="15">
      <c r="V165" s="1072"/>
      <c r="W165" s="1073"/>
      <c r="X165" s="1074"/>
    </row>
    <row r="166" spans="22:24" s="921" customFormat="1" ht="15">
      <c r="V166" s="1072"/>
      <c r="W166" s="1073"/>
      <c r="X166" s="1074"/>
    </row>
    <row r="167" spans="22:24" s="921" customFormat="1" ht="15">
      <c r="V167" s="1072"/>
      <c r="W167" s="1073"/>
      <c r="X167" s="1074"/>
    </row>
    <row r="168" spans="22:24" s="921" customFormat="1" ht="15">
      <c r="V168" s="1072"/>
      <c r="W168" s="1073"/>
      <c r="X168" s="1074"/>
    </row>
    <row r="169" spans="22:24" s="921" customFormat="1" ht="15">
      <c r="V169" s="1072"/>
      <c r="W169" s="1073"/>
      <c r="X169" s="1074"/>
    </row>
  </sheetData>
  <customSheetViews>
    <customSheetView guid="{705E0D18-9A83-42CA-8732-90923BE2EC7D}"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89CA84C2-78F5-4B05-8F1D-B7C5F97BCB4E}"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T1"/>
    <mergeCell ref="B3:T3"/>
    <mergeCell ref="D6:G6"/>
    <mergeCell ref="I6:L6"/>
    <mergeCell ref="I7:L7"/>
    <mergeCell ref="M7:P7"/>
  </mergeCells>
  <printOptions horizontalCentered="1"/>
  <pageMargins left="0.01" right="0.01" top="0.17" bottom="0.02" header="0.51" footer="0.5"/>
  <pageSetup paperSize="9" scale="62" orientation="landscape" horizontalDpi="300" verticalDpi="300" r:id="rId4"/>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D4:X47"/>
  <sheetViews>
    <sheetView showGridLines="0" topLeftCell="C1" zoomScale="85" zoomScaleNormal="60" zoomScaleSheetLayoutView="85" workbookViewId="0">
      <pane xSplit="2" ySplit="12" topLeftCell="E13" activePane="bottomRight" state="frozen"/>
      <selection activeCell="C1" sqref="C1"/>
      <selection pane="topRight" activeCell="E1" sqref="E1"/>
      <selection pane="bottomLeft" activeCell="C13" sqref="C13"/>
      <selection pane="bottomRight" activeCell="B2" sqref="B2:O2"/>
    </sheetView>
  </sheetViews>
  <sheetFormatPr defaultColWidth="8.77734375" defaultRowHeight="12.75"/>
  <cols>
    <col min="1" max="2" width="8.77734375" style="1075"/>
    <col min="3" max="3" width="10.5546875" style="1075" customWidth="1"/>
    <col min="4" max="4" width="11.77734375" style="1075" customWidth="1"/>
    <col min="5" max="5" width="12.77734375" style="1075" customWidth="1"/>
    <col min="6" max="6" width="17.21875" style="1075" hidden="1" customWidth="1"/>
    <col min="7" max="7" width="17.21875" style="1075" customWidth="1"/>
    <col min="8" max="8" width="17.21875" style="1077" customWidth="1"/>
    <col min="9" max="9" width="17.21875" style="1075" customWidth="1"/>
    <col min="10" max="10" width="11.77734375" style="1075" customWidth="1"/>
    <col min="11" max="11" width="10.5546875" style="1077" customWidth="1"/>
    <col min="12" max="12" width="12.109375" style="1075" bestFit="1" customWidth="1"/>
    <col min="13" max="13" width="15.77734375" style="1075" customWidth="1"/>
    <col min="14" max="14" width="13.21875" style="1075" customWidth="1"/>
    <col min="15" max="15" width="12.77734375" style="1075" bestFit="1" customWidth="1"/>
    <col min="16" max="16" width="10.5546875" style="1075" bestFit="1" customWidth="1"/>
    <col min="17" max="17" width="11" style="1075" customWidth="1"/>
    <col min="18" max="18" width="11.109375" style="1075" customWidth="1"/>
    <col min="19" max="19" width="11.5546875" style="1075" customWidth="1"/>
    <col min="20" max="20" width="13.77734375" style="1077" customWidth="1"/>
    <col min="21" max="21" width="14.6640625" style="1075" customWidth="1"/>
    <col min="22" max="22" width="18.77734375" style="1078" customWidth="1"/>
    <col min="23" max="23" width="11.5546875" style="1138" customWidth="1"/>
    <col min="24" max="16384" width="8.77734375" style="1075"/>
  </cols>
  <sheetData>
    <row r="4" spans="4:24" ht="14.25">
      <c r="D4" s="1885" t="s">
        <v>1728</v>
      </c>
      <c r="E4" s="1885"/>
      <c r="F4" s="1885"/>
      <c r="G4" s="1885"/>
      <c r="H4" s="1885"/>
      <c r="I4" s="1885"/>
      <c r="J4" s="1885"/>
      <c r="K4" s="1885"/>
      <c r="L4" s="1885"/>
      <c r="M4" s="1885"/>
      <c r="N4" s="1885"/>
      <c r="O4" s="1885"/>
      <c r="P4" s="1885"/>
      <c r="Q4" s="1885"/>
      <c r="R4" s="1885"/>
      <c r="S4" s="1885"/>
      <c r="T4" s="1885"/>
      <c r="U4" s="1885"/>
      <c r="V4" s="1885"/>
      <c r="W4" s="1137"/>
      <c r="X4" s="753"/>
    </row>
    <row r="5" spans="4:24" ht="13.5" thickBot="1"/>
    <row r="6" spans="4:24" ht="13.5" thickTop="1">
      <c r="D6" s="1031"/>
      <c r="E6" s="1079"/>
      <c r="F6" s="1080"/>
      <c r="G6" s="1080"/>
      <c r="H6" s="1139"/>
      <c r="I6" s="1080"/>
      <c r="J6" s="1080"/>
      <c r="K6" s="1082"/>
      <c r="L6" s="1083"/>
      <c r="M6" s="1084"/>
      <c r="N6" s="1079"/>
      <c r="O6" s="1080"/>
      <c r="P6" s="1083"/>
      <c r="Q6" s="1084"/>
      <c r="R6" s="1084"/>
      <c r="S6" s="1084"/>
      <c r="T6" s="1085"/>
    </row>
    <row r="7" spans="4:24" ht="15" thickBot="1">
      <c r="D7" s="1086"/>
      <c r="E7" s="1890" t="s">
        <v>38</v>
      </c>
      <c r="F7" s="1891"/>
      <c r="G7" s="1891"/>
      <c r="H7" s="1891"/>
      <c r="I7" s="1891"/>
      <c r="J7" s="1891"/>
      <c r="K7" s="1892"/>
      <c r="L7" s="1087" t="s">
        <v>1694</v>
      </c>
      <c r="M7" s="1087" t="s">
        <v>1169</v>
      </c>
      <c r="N7" s="1890" t="s">
        <v>1166</v>
      </c>
      <c r="O7" s="1891"/>
      <c r="P7" s="1892"/>
      <c r="Q7" s="1043" t="s">
        <v>39</v>
      </c>
      <c r="R7" s="1043" t="s">
        <v>997</v>
      </c>
      <c r="S7" s="1043" t="s">
        <v>31</v>
      </c>
      <c r="T7" s="1043" t="s">
        <v>37</v>
      </c>
    </row>
    <row r="8" spans="4:24" ht="16.5" thickTop="1" thickBot="1">
      <c r="D8" s="1088"/>
      <c r="E8" s="1089"/>
      <c r="F8" s="1039"/>
      <c r="G8" s="1039"/>
      <c r="H8" s="1140"/>
      <c r="I8" s="1039"/>
      <c r="J8" s="1039"/>
      <c r="K8" s="1091"/>
      <c r="L8" s="1046"/>
      <c r="M8" s="1040"/>
      <c r="N8" s="1042"/>
      <c r="O8" s="1039"/>
      <c r="P8" s="1050"/>
      <c r="Q8" s="1043" t="s">
        <v>45</v>
      </c>
      <c r="R8" s="1043" t="s">
        <v>1167</v>
      </c>
      <c r="S8" s="1043" t="s">
        <v>1167</v>
      </c>
      <c r="T8" s="1043"/>
    </row>
    <row r="9" spans="4:24" ht="15.75" thickTop="1">
      <c r="D9" s="1092" t="s">
        <v>32</v>
      </c>
      <c r="E9" s="1092" t="s">
        <v>1168</v>
      </c>
      <c r="F9" s="1040" t="s">
        <v>1007</v>
      </c>
      <c r="G9" s="1040" t="s">
        <v>1713</v>
      </c>
      <c r="H9" s="1097" t="s">
        <v>1714</v>
      </c>
      <c r="I9" s="1093" t="s">
        <v>1715</v>
      </c>
      <c r="J9" s="1040" t="s">
        <v>1716</v>
      </c>
      <c r="K9" s="1043" t="s">
        <v>37</v>
      </c>
      <c r="L9" s="1040"/>
      <c r="M9" s="1040"/>
      <c r="N9" s="1044" t="s">
        <v>1005</v>
      </c>
      <c r="O9" s="1044" t="s">
        <v>1699</v>
      </c>
      <c r="P9" s="1040" t="s">
        <v>1717</v>
      </c>
      <c r="Q9" s="1043" t="s">
        <v>1008</v>
      </c>
      <c r="R9" s="1040"/>
      <c r="S9" s="1040"/>
      <c r="T9" s="1043"/>
    </row>
    <row r="10" spans="4:24" ht="15">
      <c r="D10" s="1088"/>
      <c r="E10" s="1092"/>
      <c r="F10" s="1040"/>
      <c r="G10" s="1040"/>
      <c r="H10" s="1097" t="s">
        <v>1718</v>
      </c>
      <c r="I10" s="1040" t="s">
        <v>1706</v>
      </c>
      <c r="J10" s="1040"/>
      <c r="K10" s="1043"/>
      <c r="L10" s="1040"/>
      <c r="M10" s="1040"/>
      <c r="N10" s="1040"/>
      <c r="O10" s="1040" t="s">
        <v>1719</v>
      </c>
      <c r="P10" s="1040" t="s">
        <v>1719</v>
      </c>
      <c r="Q10" s="1040"/>
      <c r="R10" s="1040"/>
      <c r="S10" s="1040"/>
      <c r="T10" s="1043"/>
    </row>
    <row r="11" spans="4:24" ht="15">
      <c r="D11" s="1088"/>
      <c r="E11" s="1092"/>
      <c r="F11" s="1040"/>
      <c r="G11" s="1040"/>
      <c r="H11" s="1097"/>
      <c r="I11" s="1040"/>
      <c r="J11" s="1040"/>
      <c r="K11" s="1043"/>
      <c r="L11" s="1040"/>
      <c r="M11" s="1040"/>
      <c r="N11" s="1040"/>
      <c r="O11" s="1040"/>
      <c r="P11" s="1040"/>
      <c r="Q11" s="1040"/>
      <c r="R11" s="1040"/>
      <c r="S11" s="1040"/>
      <c r="T11" s="1043"/>
    </row>
    <row r="12" spans="4:24" ht="15.75" thickBot="1">
      <c r="D12" s="1088"/>
      <c r="E12" s="1094"/>
      <c r="F12" s="1049"/>
      <c r="G12" s="1049"/>
      <c r="H12" s="1141"/>
      <c r="I12" s="1049"/>
      <c r="J12" s="1049"/>
      <c r="K12" s="1095"/>
      <c r="L12" s="1049"/>
      <c r="M12" s="1049"/>
      <c r="N12" s="1049"/>
      <c r="O12" s="1049"/>
      <c r="P12" s="1049"/>
      <c r="Q12" s="1049"/>
      <c r="R12" s="1049"/>
      <c r="S12" s="1049"/>
      <c r="T12" s="1095"/>
    </row>
    <row r="13" spans="4:24" ht="15.75" thickTop="1">
      <c r="D13" s="1096"/>
      <c r="E13" s="1088"/>
      <c r="F13" s="1041"/>
      <c r="G13" s="1041"/>
      <c r="H13" s="1097"/>
      <c r="I13" s="1041"/>
      <c r="J13" s="1041"/>
      <c r="K13" s="1097"/>
      <c r="L13" s="1041"/>
      <c r="M13" s="1041"/>
      <c r="N13" s="1041"/>
      <c r="O13" s="1041"/>
      <c r="P13" s="1041"/>
      <c r="Q13" s="1041"/>
      <c r="R13" s="1041"/>
      <c r="S13" s="1041"/>
      <c r="T13" s="1097"/>
      <c r="V13" s="1098" t="s">
        <v>1720</v>
      </c>
      <c r="W13" s="1142"/>
    </row>
    <row r="14" spans="4:24" ht="15">
      <c r="D14" s="1099">
        <v>2015</v>
      </c>
      <c r="E14" s="1088"/>
      <c r="F14" s="1041"/>
      <c r="G14" s="1041"/>
      <c r="H14" s="1097"/>
      <c r="I14" s="1041"/>
      <c r="J14" s="1041"/>
      <c r="K14" s="1097"/>
      <c r="L14" s="1041"/>
      <c r="M14" s="1041"/>
      <c r="N14" s="1041"/>
      <c r="O14" s="1041"/>
      <c r="P14" s="1041"/>
      <c r="Q14" s="1041"/>
      <c r="R14" s="1041"/>
      <c r="S14" s="1041"/>
      <c r="T14" s="1041"/>
      <c r="V14" s="1100"/>
      <c r="W14" s="1138" t="e">
        <f>+V15/#REF!</f>
        <v>#REF!</v>
      </c>
    </row>
    <row r="15" spans="4:24" ht="15">
      <c r="D15" s="1102" t="s">
        <v>1170</v>
      </c>
      <c r="E15" s="1103">
        <f>('Input Merchant Liabilities'!C5-'Input Merchant Liabilities'!I5-'Input Merchant Liabilities'!J5-'Input Merchant Liabilities'!L5)/1000000</f>
        <v>39.049663000000002</v>
      </c>
      <c r="F15" s="1057"/>
      <c r="G15" s="1057">
        <f>('Input Merchant Liabilities'!Q5-'Input Merchant Liabilities'!AI5-'Input Merchant Liabilities'!AM5-'Input Merchant Liabilities'!AU5)/1000000</f>
        <v>40.928156999999999</v>
      </c>
      <c r="H15" s="1134">
        <f>SUM(E15:G15)</f>
        <v>79.977820000000008</v>
      </c>
      <c r="I15" s="1059">
        <f>('Input Merchant Liabilities'!I5+'Input Merchant Liabilities'!J5+'Input Merchant Liabilities'!AI5+'Input Merchant Liabilities'!AM5)/1000000</f>
        <v>0</v>
      </c>
      <c r="J15" s="1057">
        <f>('Input Merchant Liabilities'!L5+'Input Merchant Liabilities'!AU5)/1000000</f>
        <v>0</v>
      </c>
      <c r="K15" s="1059">
        <f>SUM(H15:J15)</f>
        <v>79.977820000000008</v>
      </c>
      <c r="L15" s="1057">
        <f>'Input Merchant Liabilities'!CI5/1000000</f>
        <v>0</v>
      </c>
      <c r="M15" s="1057">
        <f>'Input Merchant Liabilities'!DR5/1000000</f>
        <v>11.698987000000001</v>
      </c>
      <c r="N15" s="1057">
        <f>'Input Merchant Liabilities'!CO5/1000000</f>
        <v>0</v>
      </c>
      <c r="O15" s="1057">
        <f>('Input Merchant Liabilities'!CT5+'Input Merchant Liabilities'!DE5)/1000000</f>
        <v>0</v>
      </c>
      <c r="P15" s="1057">
        <f>'Input Merchant Liabilities'!DP5/1000000</f>
        <v>0</v>
      </c>
      <c r="Q15" s="1057">
        <f>'Input Merchant Liabilities'!ES5/1000000</f>
        <v>-46.995024000000001</v>
      </c>
      <c r="R15" s="1057">
        <f>'Input Merchant Liabilities'!EF5/1000000</f>
        <v>8.3443500000000004</v>
      </c>
      <c r="S15" s="1057">
        <f>('Input Merchant Liabilities'!EQ5+'Input Merchant Liabilities'!FF5)/1000000</f>
        <v>70.722080000000005</v>
      </c>
      <c r="T15" s="1104">
        <f>SUM(K15:S15)</f>
        <v>123.74821300000002</v>
      </c>
      <c r="V15" s="1105">
        <f>T15-'Input Merchant Liabilities'!FL5/1000000</f>
        <v>0</v>
      </c>
      <c r="W15" s="1138">
        <f>+V15*1000000</f>
        <v>0</v>
      </c>
    </row>
    <row r="16" spans="4:24" ht="15">
      <c r="D16" s="1102" t="s">
        <v>1172</v>
      </c>
      <c r="E16" s="1103">
        <f>('Input Merchant Liabilities'!C6-'Input Merchant Liabilities'!I6-'Input Merchant Liabilities'!J6-'Input Merchant Liabilities'!L6)/1000000</f>
        <v>38.382454000000003</v>
      </c>
      <c r="F16" s="1057"/>
      <c r="G16" s="1057">
        <f>('Input Merchant Liabilities'!Q6-'Input Merchant Liabilities'!AI6-'Input Merchant Liabilities'!AM6-'Input Merchant Liabilities'!AU6)/1000000</f>
        <v>40.362222000000003</v>
      </c>
      <c r="H16" s="1134">
        <f t="shared" ref="H16:H40" si="0">SUM(E16:G16)</f>
        <v>78.744675999999998</v>
      </c>
      <c r="I16" s="1059">
        <f>('Input Merchant Liabilities'!I6+'Input Merchant Liabilities'!J6+'Input Merchant Liabilities'!AI6+'Input Merchant Liabilities'!AM6)/1000000</f>
        <v>0</v>
      </c>
      <c r="J16" s="1057">
        <f>('Input Merchant Liabilities'!L6+'Input Merchant Liabilities'!AU6)/1000000</f>
        <v>0</v>
      </c>
      <c r="K16" s="1059">
        <f t="shared" ref="K16:K40" si="1">SUM(H16:J16)</f>
        <v>78.744675999999998</v>
      </c>
      <c r="L16" s="1057">
        <f>'Input Merchant Liabilities'!CI6/1000000</f>
        <v>0</v>
      </c>
      <c r="M16" s="1057">
        <f>'Input Merchant Liabilities'!DR6/1000000</f>
        <v>11.698987000000001</v>
      </c>
      <c r="N16" s="1057">
        <f>'Input Merchant Liabilities'!CO6/1000000</f>
        <v>0</v>
      </c>
      <c r="O16" s="1057">
        <f>('Input Merchant Liabilities'!CT6+'Input Merchant Liabilities'!DE6)/1000000</f>
        <v>0</v>
      </c>
      <c r="P16" s="1057">
        <f>'Input Merchant Liabilities'!DP6/1000000</f>
        <v>0</v>
      </c>
      <c r="Q16" s="1057">
        <f>'Input Merchant Liabilities'!ES6/1000000</f>
        <v>-48.678825000000003</v>
      </c>
      <c r="R16" s="1057">
        <f>'Input Merchant Liabilities'!EF6/1000000</f>
        <v>8.3467000000000002</v>
      </c>
      <c r="S16" s="1057">
        <f>('Input Merchant Liabilities'!EQ6+'Input Merchant Liabilities'!FF6)/1000000</f>
        <v>75.550646999999998</v>
      </c>
      <c r="T16" s="1104">
        <f t="shared" ref="T16:T40" si="2">SUM(K16:S16)</f>
        <v>125.66218499999999</v>
      </c>
      <c r="V16" s="1105">
        <f>T16-'Input Merchant Liabilities'!FL6/1000000</f>
        <v>0</v>
      </c>
      <c r="W16" s="1138">
        <f t="shared" ref="W16:W40" si="3">+V16*1000000</f>
        <v>0</v>
      </c>
    </row>
    <row r="17" spans="4:23" ht="15">
      <c r="D17" s="1102" t="s">
        <v>1173</v>
      </c>
      <c r="E17" s="1103">
        <f>('Input Merchant Liabilities'!C7-'Input Merchant Liabilities'!I7-'Input Merchant Liabilities'!J7-'Input Merchant Liabilities'!L7)/1000000</f>
        <v>68.611063000000001</v>
      </c>
      <c r="F17" s="1057"/>
      <c r="G17" s="1057">
        <f>('Input Merchant Liabilities'!Q7-'Input Merchant Liabilities'!AI7-'Input Merchant Liabilities'!AM7-'Input Merchant Liabilities'!AU7)/1000000</f>
        <v>12.132368</v>
      </c>
      <c r="H17" s="1156">
        <f t="shared" si="0"/>
        <v>80.743431000000001</v>
      </c>
      <c r="I17" s="1059">
        <f>('Input Merchant Liabilities'!I7+'Input Merchant Liabilities'!J7+'Input Merchant Liabilities'!AI7+'Input Merchant Liabilities'!AM7)/1000000</f>
        <v>6.2269999999999999E-3</v>
      </c>
      <c r="J17" s="1057">
        <f>('Input Merchant Liabilities'!L7+'Input Merchant Liabilities'!AU7)/1000000</f>
        <v>0</v>
      </c>
      <c r="K17" s="1059">
        <f t="shared" si="1"/>
        <v>80.749657999999997</v>
      </c>
      <c r="L17" s="1057">
        <f>'Input Merchant Liabilities'!CI7/1000000</f>
        <v>0</v>
      </c>
      <c r="M17" s="1057">
        <f>'Input Merchant Liabilities'!DR7/1000000</f>
        <v>11.990997999999999</v>
      </c>
      <c r="N17" s="1057">
        <f>'Input Merchant Liabilities'!CO7/1000000</f>
        <v>0</v>
      </c>
      <c r="O17" s="1057">
        <f>('Input Merchant Liabilities'!CT7+'Input Merchant Liabilities'!DE7)/1000000</f>
        <v>0</v>
      </c>
      <c r="P17" s="1057">
        <f>'Input Merchant Liabilities'!DP7/1000000</f>
        <v>0</v>
      </c>
      <c r="Q17" s="1057">
        <f>'Input Merchant Liabilities'!ES7/1000000</f>
        <v>-50.685930999999997</v>
      </c>
      <c r="R17" s="1057">
        <f>'Input Merchant Liabilities'!EF7/1000000</f>
        <v>8.2471499999999995</v>
      </c>
      <c r="S17" s="1057">
        <f>('Input Merchant Liabilities'!EQ7+'Input Merchant Liabilities'!FF7)/1000000</f>
        <v>75.204834000000005</v>
      </c>
      <c r="T17" s="1104">
        <f t="shared" si="2"/>
        <v>125.506709</v>
      </c>
      <c r="V17" s="1105">
        <f>T17-'Input Merchant Liabilities'!FL7/1000000</f>
        <v>0</v>
      </c>
      <c r="W17" s="1138">
        <f t="shared" si="3"/>
        <v>0</v>
      </c>
    </row>
    <row r="18" spans="4:23" ht="15">
      <c r="D18" s="1102" t="s">
        <v>1174</v>
      </c>
      <c r="E18" s="1103">
        <f>('Input Merchant Liabilities'!C8-'Input Merchant Liabilities'!I8-'Input Merchant Liabilities'!J8-'Input Merchant Liabilities'!L8)/1000000</f>
        <v>63.934982729999994</v>
      </c>
      <c r="F18" s="1057"/>
      <c r="G18" s="1057">
        <f>('Input Merchant Liabilities'!Q8-'Input Merchant Liabilities'!AI8-'Input Merchant Liabilities'!AM8-'Input Merchant Liabilities'!AU8)/1000000</f>
        <v>0</v>
      </c>
      <c r="H18" s="1134">
        <f t="shared" si="0"/>
        <v>63.934982729999994</v>
      </c>
      <c r="I18" s="1059">
        <f>('Input Merchant Liabilities'!I8+'Input Merchant Liabilities'!J8+'Input Merchant Liabilities'!AI8+'Input Merchant Liabilities'!AM8)/1000000</f>
        <v>0</v>
      </c>
      <c r="J18" s="1057">
        <f>('Input Merchant Liabilities'!L8+'Input Merchant Liabilities'!AU8)/1000000</f>
        <v>0</v>
      </c>
      <c r="K18" s="1059">
        <f t="shared" si="1"/>
        <v>63.934982729999994</v>
      </c>
      <c r="L18" s="1057">
        <f>'Input Merchant Liabilities'!CI8/1000000</f>
        <v>0</v>
      </c>
      <c r="M18" s="1057">
        <f>'Input Merchant Liabilities'!DR8/1000000</f>
        <v>0</v>
      </c>
      <c r="N18" s="1057">
        <f>'Input Merchant Liabilities'!CO8/1000000</f>
        <v>0</v>
      </c>
      <c r="O18" s="1057">
        <f>('Input Merchant Liabilities'!CT8+'Input Merchant Liabilities'!DE8)/1000000</f>
        <v>0</v>
      </c>
      <c r="P18" s="1057">
        <f>'Input Merchant Liabilities'!DP8/1000000</f>
        <v>0</v>
      </c>
      <c r="Q18" s="1057">
        <f>'Input Merchant Liabilities'!ES8/1000000</f>
        <v>-27.484718999999998</v>
      </c>
      <c r="R18" s="1057">
        <f>'Input Merchant Liabilities'!EF8/1000000</f>
        <v>0</v>
      </c>
      <c r="S18" s="1057">
        <f>('Input Merchant Liabilities'!EQ8+'Input Merchant Liabilities'!FF8)/1000000</f>
        <v>62.442950270000011</v>
      </c>
      <c r="T18" s="1104">
        <f t="shared" si="2"/>
        <v>98.893214</v>
      </c>
      <c r="V18" s="1105">
        <f>T18-'Input Merchant Liabilities'!FL8/1000000</f>
        <v>0</v>
      </c>
      <c r="W18" s="1138">
        <f t="shared" si="3"/>
        <v>0</v>
      </c>
    </row>
    <row r="19" spans="4:23" ht="15">
      <c r="D19" s="1102" t="s">
        <v>1165</v>
      </c>
      <c r="E19" s="1103">
        <f>('Input Merchant Liabilities'!C9-'Input Merchant Liabilities'!I9-'Input Merchant Liabilities'!J9-'Input Merchant Liabilities'!L9)/1000000</f>
        <v>63.8992377</v>
      </c>
      <c r="F19" s="1057"/>
      <c r="G19" s="1057">
        <f>('Input Merchant Liabilities'!Q9-'Input Merchant Liabilities'!AI9-'Input Merchant Liabilities'!AM9-'Input Merchant Liabilities'!AU9)/1000000</f>
        <v>0</v>
      </c>
      <c r="H19" s="1134">
        <f t="shared" si="0"/>
        <v>63.8992377</v>
      </c>
      <c r="I19" s="1059">
        <f>('Input Merchant Liabilities'!I9+'Input Merchant Liabilities'!J9+'Input Merchant Liabilities'!AI9+'Input Merchant Liabilities'!AM9)/1000000</f>
        <v>0</v>
      </c>
      <c r="J19" s="1057">
        <f>('Input Merchant Liabilities'!L9+'Input Merchant Liabilities'!AU9)/1000000</f>
        <v>0</v>
      </c>
      <c r="K19" s="1059">
        <f t="shared" si="1"/>
        <v>63.8992377</v>
      </c>
      <c r="L19" s="1057">
        <f>'Input Merchant Liabilities'!CI9/1000000</f>
        <v>0</v>
      </c>
      <c r="M19" s="1057">
        <f>'Input Merchant Liabilities'!DR9/1000000</f>
        <v>0</v>
      </c>
      <c r="N19" s="1057">
        <f>'Input Merchant Liabilities'!CO9/1000000</f>
        <v>0</v>
      </c>
      <c r="O19" s="1057">
        <f>('Input Merchant Liabilities'!CT9+'Input Merchant Liabilities'!DE9)/1000000</f>
        <v>0</v>
      </c>
      <c r="P19" s="1057">
        <f>'Input Merchant Liabilities'!DP9/1000000</f>
        <v>0</v>
      </c>
      <c r="Q19" s="1057">
        <f>'Input Merchant Liabilities'!ES9/1000000</f>
        <v>-28.773378999999998</v>
      </c>
      <c r="R19" s="1057">
        <f>'Input Merchant Liabilities'!EF9/1000000</f>
        <v>0</v>
      </c>
      <c r="S19" s="1057">
        <f>('Input Merchant Liabilities'!EQ9+'Input Merchant Liabilities'!FF9)/1000000</f>
        <v>64.157557299999993</v>
      </c>
      <c r="T19" s="1104">
        <f t="shared" si="2"/>
        <v>99.283415999999988</v>
      </c>
      <c r="V19" s="1105">
        <f>T19-'Input Merchant Liabilities'!FL9/1000000</f>
        <v>0</v>
      </c>
      <c r="W19" s="1138">
        <f t="shared" si="3"/>
        <v>0</v>
      </c>
    </row>
    <row r="20" spans="4:23" ht="15">
      <c r="D20" s="1102" t="s">
        <v>1175</v>
      </c>
      <c r="E20" s="1103">
        <f>('Input Merchant Liabilities'!C10-'Input Merchant Liabilities'!I10-'Input Merchant Liabilities'!J10-'Input Merchant Liabilities'!L10)/1000000</f>
        <v>62.949856870000012</v>
      </c>
      <c r="F20" s="1057"/>
      <c r="G20" s="1057">
        <f>('Input Merchant Liabilities'!Q10-'Input Merchant Liabilities'!AI10-'Input Merchant Liabilities'!AM10-'Input Merchant Liabilities'!AU10)/1000000</f>
        <v>0</v>
      </c>
      <c r="H20" s="1134">
        <f t="shared" si="0"/>
        <v>62.949856870000012</v>
      </c>
      <c r="I20" s="1059">
        <f>('Input Merchant Liabilities'!I10+'Input Merchant Liabilities'!J10+'Input Merchant Liabilities'!AI10+'Input Merchant Liabilities'!AM10)/1000000</f>
        <v>0</v>
      </c>
      <c r="J20" s="1057">
        <f>('Input Merchant Liabilities'!L10+'Input Merchant Liabilities'!AU10)/1000000</f>
        <v>0</v>
      </c>
      <c r="K20" s="1059">
        <f t="shared" si="1"/>
        <v>62.949856870000012</v>
      </c>
      <c r="L20" s="1057">
        <f>'Input Merchant Liabilities'!CI10/1000000</f>
        <v>0</v>
      </c>
      <c r="M20" s="1057">
        <f>'Input Merchant Liabilities'!DR10/1000000</f>
        <v>0</v>
      </c>
      <c r="N20" s="1057">
        <f>'Input Merchant Liabilities'!CO10/1000000</f>
        <v>0</v>
      </c>
      <c r="O20" s="1057">
        <f>('Input Merchant Liabilities'!CT10+'Input Merchant Liabilities'!DE10)/1000000</f>
        <v>0</v>
      </c>
      <c r="P20" s="1057">
        <f>'Input Merchant Liabilities'!DP10/1000000</f>
        <v>0</v>
      </c>
      <c r="Q20" s="1057">
        <f>'Input Merchant Liabilities'!ES10/1000000</f>
        <v>-28.943901291288814</v>
      </c>
      <c r="R20" s="1057">
        <f>'Input Merchant Liabilities'!EF10/1000000</f>
        <v>0</v>
      </c>
      <c r="S20" s="1057">
        <f>('Input Merchant Liabilities'!EQ10+'Input Merchant Liabilities'!FF10)/1000000</f>
        <v>65.430767570000015</v>
      </c>
      <c r="T20" s="1104">
        <f t="shared" si="2"/>
        <v>99.436723148711209</v>
      </c>
      <c r="V20" s="1105">
        <f>T20-'Input Merchant Liabilities'!FL10/1000000</f>
        <v>0</v>
      </c>
      <c r="W20" s="1138">
        <f t="shared" si="3"/>
        <v>0</v>
      </c>
    </row>
    <row r="21" spans="4:23" ht="15">
      <c r="D21" s="1102" t="s">
        <v>1176</v>
      </c>
      <c r="E21" s="1103">
        <f>('Input Merchant Liabilities'!C11-'Input Merchant Liabilities'!I11-'Input Merchant Liabilities'!J11-'Input Merchant Liabilities'!L11)/1000000</f>
        <v>62.949856870000005</v>
      </c>
      <c r="F21" s="1057"/>
      <c r="G21" s="1057">
        <f>('Input Merchant Liabilities'!Q11-'Input Merchant Liabilities'!AI11-'Input Merchant Liabilities'!AM11-'Input Merchant Liabilities'!AU11)/1000000</f>
        <v>0</v>
      </c>
      <c r="H21" s="1134">
        <f t="shared" si="0"/>
        <v>62.949856870000005</v>
      </c>
      <c r="I21" s="1059">
        <f>('Input Merchant Liabilities'!I11+'Input Merchant Liabilities'!J11+'Input Merchant Liabilities'!AI11+'Input Merchant Liabilities'!AM11)/1000000</f>
        <v>0</v>
      </c>
      <c r="J21" s="1057">
        <f>('Input Merchant Liabilities'!L11+'Input Merchant Liabilities'!AU11)/1000000</f>
        <v>0</v>
      </c>
      <c r="K21" s="1059">
        <f t="shared" si="1"/>
        <v>62.949856870000005</v>
      </c>
      <c r="L21" s="1057">
        <f>'Input Merchant Liabilities'!CI11/1000000</f>
        <v>0</v>
      </c>
      <c r="M21" s="1057">
        <f>'Input Merchant Liabilities'!DR11/1000000</f>
        <v>0</v>
      </c>
      <c r="N21" s="1057">
        <f>'Input Merchant Liabilities'!CO11/1000000</f>
        <v>0</v>
      </c>
      <c r="O21" s="1057">
        <f>('Input Merchant Liabilities'!CT11+'Input Merchant Liabilities'!DE11)/1000000</f>
        <v>0</v>
      </c>
      <c r="P21" s="1057">
        <f>'Input Merchant Liabilities'!DP11/1000000</f>
        <v>0</v>
      </c>
      <c r="Q21" s="1057">
        <f>'Input Merchant Liabilities'!ES11/1000000</f>
        <v>-27.769396</v>
      </c>
      <c r="R21" s="1057">
        <f>'Input Merchant Liabilities'!EF11/1000000</f>
        <v>0</v>
      </c>
      <c r="S21" s="1057">
        <f>('Input Merchant Liabilities'!EQ11+'Input Merchant Liabilities'!FF11)/1000000</f>
        <v>64.795022129999992</v>
      </c>
      <c r="T21" s="1104">
        <f t="shared" si="2"/>
        <v>99.975482999999997</v>
      </c>
      <c r="V21" s="1105">
        <f>T21-'Input Merchant Liabilities'!FL11/1000000</f>
        <v>0</v>
      </c>
      <c r="W21" s="1138">
        <f t="shared" si="3"/>
        <v>0</v>
      </c>
    </row>
    <row r="22" spans="4:23" ht="15">
      <c r="D22" s="1102" t="s">
        <v>1177</v>
      </c>
      <c r="E22" s="1103">
        <f>('Input Merchant Liabilities'!C12-'Input Merchant Liabilities'!I12-'Input Merchant Liabilities'!J12-'Input Merchant Liabilities'!L12)/1000000</f>
        <v>62.94985672</v>
      </c>
      <c r="F22" s="1057"/>
      <c r="G22" s="1057">
        <f>('Input Merchant Liabilities'!Q12-'Input Merchant Liabilities'!AI12-'Input Merchant Liabilities'!AM12-'Input Merchant Liabilities'!AU12)/1000000</f>
        <v>0</v>
      </c>
      <c r="H22" s="1134">
        <f t="shared" si="0"/>
        <v>62.94985672</v>
      </c>
      <c r="I22" s="1059">
        <f>('Input Merchant Liabilities'!I12+'Input Merchant Liabilities'!J12+'Input Merchant Liabilities'!AI12+'Input Merchant Liabilities'!AM12)/1000000</f>
        <v>0</v>
      </c>
      <c r="J22" s="1057">
        <f>('Input Merchant Liabilities'!L12+'Input Merchant Liabilities'!AU12)/1000000</f>
        <v>0</v>
      </c>
      <c r="K22" s="1059">
        <f t="shared" si="1"/>
        <v>62.94985672</v>
      </c>
      <c r="L22" s="1057">
        <f>'Input Merchant Liabilities'!CI12/1000000</f>
        <v>0</v>
      </c>
      <c r="M22" s="1057">
        <f>'Input Merchant Liabilities'!DR12/1000000</f>
        <v>0</v>
      </c>
      <c r="N22" s="1057">
        <f>'Input Merchant Liabilities'!CO12/1000000</f>
        <v>0</v>
      </c>
      <c r="O22" s="1057">
        <f>('Input Merchant Liabilities'!CT12+'Input Merchant Liabilities'!DE12)/1000000</f>
        <v>0</v>
      </c>
      <c r="P22" s="1057">
        <f>'Input Merchant Liabilities'!DP12/1000000</f>
        <v>0</v>
      </c>
      <c r="Q22" s="1057">
        <f>'Input Merchant Liabilities'!ES12/1000000</f>
        <v>-14.905779000000001</v>
      </c>
      <c r="R22" s="1057">
        <f>'Input Merchant Liabilities'!EF12/1000000</f>
        <v>0</v>
      </c>
      <c r="S22" s="1057">
        <f>('Input Merchant Liabilities'!EQ12+'Input Merchant Liabilities'!FF12)/1000000</f>
        <v>51.348892280000001</v>
      </c>
      <c r="T22" s="1104">
        <f t="shared" si="2"/>
        <v>99.392969999999991</v>
      </c>
      <c r="V22" s="1105">
        <f>T22-'Input Merchant Liabilities'!FL12/1000000</f>
        <v>0</v>
      </c>
      <c r="W22" s="1138">
        <f t="shared" si="3"/>
        <v>0</v>
      </c>
    </row>
    <row r="23" spans="4:23" ht="15">
      <c r="D23" s="1102" t="s">
        <v>1178</v>
      </c>
      <c r="E23" s="1103">
        <f>('Input Merchant Liabilities'!C13-'Input Merchant Liabilities'!I13-'Input Merchant Liabilities'!J13-'Input Merchant Liabilities'!L13)/1000000</f>
        <v>62.157810079999997</v>
      </c>
      <c r="F23" s="1057"/>
      <c r="G23" s="1057">
        <f>('Input Merchant Liabilities'!Q13-'Input Merchant Liabilities'!AI13-'Input Merchant Liabilities'!AM13-'Input Merchant Liabilities'!AU13)/1000000</f>
        <v>0</v>
      </c>
      <c r="H23" s="1134">
        <f t="shared" si="0"/>
        <v>62.157810079999997</v>
      </c>
      <c r="I23" s="1059">
        <f>('Input Merchant Liabilities'!I13+'Input Merchant Liabilities'!J13+'Input Merchant Liabilities'!AI13+'Input Merchant Liabilities'!AM13)/1000000</f>
        <v>0</v>
      </c>
      <c r="J23" s="1057">
        <f>('Input Merchant Liabilities'!L13+'Input Merchant Liabilities'!AU13)/1000000</f>
        <v>0</v>
      </c>
      <c r="K23" s="1059">
        <f t="shared" si="1"/>
        <v>62.157810079999997</v>
      </c>
      <c r="L23" s="1057">
        <f>'Input Merchant Liabilities'!CI13/1000000</f>
        <v>0</v>
      </c>
      <c r="M23" s="1057">
        <f>'Input Merchant Liabilities'!DR13/1000000</f>
        <v>0</v>
      </c>
      <c r="N23" s="1057">
        <f>'Input Merchant Liabilities'!CO13/1000000</f>
        <v>0</v>
      </c>
      <c r="O23" s="1057">
        <f>('Input Merchant Liabilities'!CT13+'Input Merchant Liabilities'!DE13)/1000000</f>
        <v>0</v>
      </c>
      <c r="P23" s="1057">
        <f>'Input Merchant Liabilities'!DP13/1000000</f>
        <v>0</v>
      </c>
      <c r="Q23" s="1057">
        <f>'Input Merchant Liabilities'!ES13/1000000</f>
        <v>-15.330579</v>
      </c>
      <c r="R23" s="1057">
        <f>'Input Merchant Liabilities'!EF13/1000000</f>
        <v>0</v>
      </c>
      <c r="S23" s="1057">
        <f>('Input Merchant Liabilities'!EQ13+'Input Merchant Liabilities'!FF13)/1000000</f>
        <v>52.038445920000001</v>
      </c>
      <c r="T23" s="1104">
        <f t="shared" si="2"/>
        <v>98.865677000000005</v>
      </c>
      <c r="V23" s="1105">
        <f>T23-'Input Merchant Liabilities'!FL13/1000000</f>
        <v>0</v>
      </c>
      <c r="W23" s="1138">
        <f t="shared" si="3"/>
        <v>0</v>
      </c>
    </row>
    <row r="24" spans="4:23" ht="15">
      <c r="D24" s="1102" t="s">
        <v>1179</v>
      </c>
      <c r="E24" s="1103">
        <f>('Input Merchant Liabilities'!C14-'Input Merchant Liabilities'!I14-'Input Merchant Liabilities'!J14-'Input Merchant Liabilities'!L14)/1000000</f>
        <v>61.925598770000008</v>
      </c>
      <c r="F24" s="1057"/>
      <c r="G24" s="1057">
        <f>('Input Merchant Liabilities'!Q14-'Input Merchant Liabilities'!AI14-'Input Merchant Liabilities'!AM14-'Input Merchant Liabilities'!AU14)/1000000</f>
        <v>0</v>
      </c>
      <c r="H24" s="1134">
        <f t="shared" si="0"/>
        <v>61.925598770000008</v>
      </c>
      <c r="I24" s="1059">
        <f>('Input Merchant Liabilities'!I14+'Input Merchant Liabilities'!J14+'Input Merchant Liabilities'!AI14+'Input Merchant Liabilities'!AM14)/1000000</f>
        <v>0</v>
      </c>
      <c r="J24" s="1057">
        <f>('Input Merchant Liabilities'!L14+'Input Merchant Liabilities'!AU14)/1000000</f>
        <v>0</v>
      </c>
      <c r="K24" s="1059">
        <f t="shared" si="1"/>
        <v>61.925598770000008</v>
      </c>
      <c r="L24" s="1057">
        <f>'Input Merchant Liabilities'!CI14/1000000</f>
        <v>0</v>
      </c>
      <c r="M24" s="1057">
        <f>'Input Merchant Liabilities'!DR14/1000000</f>
        <v>0</v>
      </c>
      <c r="N24" s="1057">
        <f>'Input Merchant Liabilities'!CO14/1000000</f>
        <v>0</v>
      </c>
      <c r="O24" s="1057">
        <f>('Input Merchant Liabilities'!CT14+'Input Merchant Liabilities'!DE14)/1000000</f>
        <v>0</v>
      </c>
      <c r="P24" s="1057">
        <f>'Input Merchant Liabilities'!DP14/1000000</f>
        <v>0</v>
      </c>
      <c r="Q24" s="1057">
        <f>'Input Merchant Liabilities'!ES14/1000000</f>
        <v>-16.378511855082529</v>
      </c>
      <c r="R24" s="1057">
        <f>'Input Merchant Liabilities'!EF14/1000000</f>
        <v>0</v>
      </c>
      <c r="S24" s="1057">
        <f>('Input Merchant Liabilities'!EQ14+'Input Merchant Liabilities'!FF14)/1000000</f>
        <v>53.206281208874998</v>
      </c>
      <c r="T24" s="1104">
        <f t="shared" si="2"/>
        <v>98.753368123792484</v>
      </c>
      <c r="V24" s="1105">
        <f>T24-'Input Merchant Liabilities'!FL14/1000000</f>
        <v>0</v>
      </c>
      <c r="W24" s="1138">
        <f t="shared" si="3"/>
        <v>0</v>
      </c>
    </row>
    <row r="25" spans="4:23" ht="15">
      <c r="D25" s="1102" t="s">
        <v>1180</v>
      </c>
      <c r="E25" s="1103">
        <f>('Input Merchant Liabilities'!C15-'Input Merchant Liabilities'!I15-'Input Merchant Liabilities'!J15-'Input Merchant Liabilities'!L15)/1000000</f>
        <v>58.750333830000002</v>
      </c>
      <c r="F25" s="1057"/>
      <c r="G25" s="1057">
        <f>('Input Merchant Liabilities'!Q15-'Input Merchant Liabilities'!AI15-'Input Merchant Liabilities'!AM15-'Input Merchant Liabilities'!AU15)/1000000</f>
        <v>0</v>
      </c>
      <c r="H25" s="1134">
        <f t="shared" si="0"/>
        <v>58.750333830000002</v>
      </c>
      <c r="I25" s="1059">
        <f>('Input Merchant Liabilities'!I15+'Input Merchant Liabilities'!J15+'Input Merchant Liabilities'!AI15+'Input Merchant Liabilities'!AM15)/1000000</f>
        <v>0</v>
      </c>
      <c r="J25" s="1057">
        <f>('Input Merchant Liabilities'!L15+'Input Merchant Liabilities'!AU15)/1000000</f>
        <v>0</v>
      </c>
      <c r="K25" s="1059">
        <f t="shared" si="1"/>
        <v>58.750333830000002</v>
      </c>
      <c r="L25" s="1057">
        <f>'Input Merchant Liabilities'!CI15/1000000</f>
        <v>0</v>
      </c>
      <c r="M25" s="1057">
        <f>'Input Merchant Liabilities'!DR15/1000000</f>
        <v>0</v>
      </c>
      <c r="N25" s="1057">
        <f>'Input Merchant Liabilities'!CO15/1000000</f>
        <v>0</v>
      </c>
      <c r="O25" s="1057">
        <f>('Input Merchant Liabilities'!CT15+'Input Merchant Liabilities'!DE15)/1000000</f>
        <v>0</v>
      </c>
      <c r="P25" s="1057">
        <f>'Input Merchant Liabilities'!DP15/1000000</f>
        <v>0</v>
      </c>
      <c r="Q25" s="1057">
        <f>'Input Merchant Liabilities'!ES15/1000000</f>
        <v>-20.231931178852751</v>
      </c>
      <c r="R25" s="1057">
        <f>'Input Merchant Liabilities'!EF15/1000000</f>
        <v>0</v>
      </c>
      <c r="S25" s="1057">
        <f>('Input Merchant Liabilities'!EQ15+'Input Merchant Liabilities'!FF15)/1000000</f>
        <v>52.484628100150019</v>
      </c>
      <c r="T25" s="1104">
        <f t="shared" si="2"/>
        <v>91.003030751297274</v>
      </c>
      <c r="V25" s="1105">
        <f>T25-'Input Merchant Liabilities'!FL15/1000000</f>
        <v>0</v>
      </c>
      <c r="W25" s="1138">
        <f t="shared" si="3"/>
        <v>0</v>
      </c>
    </row>
    <row r="26" spans="4:23" ht="15">
      <c r="D26" s="1102" t="s">
        <v>1181</v>
      </c>
      <c r="E26" s="1103">
        <f>('Input Merchant Liabilities'!C16-'Input Merchant Liabilities'!I16-'Input Merchant Liabilities'!J16-'Input Merchant Liabilities'!L16)/1000000</f>
        <v>58.524403740000011</v>
      </c>
      <c r="F26" s="1057"/>
      <c r="G26" s="1057">
        <f>('Input Merchant Liabilities'!Q16-'Input Merchant Liabilities'!AI16-'Input Merchant Liabilities'!AM16-'Input Merchant Liabilities'!AU16)/1000000</f>
        <v>0</v>
      </c>
      <c r="H26" s="1134">
        <f t="shared" si="0"/>
        <v>58.524403740000011</v>
      </c>
      <c r="I26" s="1059">
        <f>('Input Merchant Liabilities'!I16+'Input Merchant Liabilities'!J16+'Input Merchant Liabilities'!AI16+'Input Merchant Liabilities'!AM16)/1000000</f>
        <v>0</v>
      </c>
      <c r="J26" s="1057">
        <f>('Input Merchant Liabilities'!L16+'Input Merchant Liabilities'!AU16)/1000000</f>
        <v>0</v>
      </c>
      <c r="K26" s="1059">
        <f t="shared" si="1"/>
        <v>58.524403740000011</v>
      </c>
      <c r="L26" s="1057">
        <f>'Input Merchant Liabilities'!CI16/1000000</f>
        <v>0</v>
      </c>
      <c r="M26" s="1057">
        <f>'Input Merchant Liabilities'!DR16/1000000</f>
        <v>0</v>
      </c>
      <c r="N26" s="1057">
        <f>'Input Merchant Liabilities'!CO16/1000000</f>
        <v>0</v>
      </c>
      <c r="O26" s="1057">
        <f>('Input Merchant Liabilities'!CT16+'Input Merchant Liabilities'!DE16)/1000000</f>
        <v>0</v>
      </c>
      <c r="P26" s="1057">
        <f>'Input Merchant Liabilities'!DP16/1000000</f>
        <v>0</v>
      </c>
      <c r="Q26" s="1057">
        <f>'Input Merchant Liabilities'!ES16/1000000</f>
        <v>-20.134578286134463</v>
      </c>
      <c r="R26" s="1057">
        <f>'Input Merchant Liabilities'!EF16/1000000</f>
        <v>0</v>
      </c>
      <c r="S26" s="1057">
        <f>('Input Merchant Liabilities'!EQ16+'Input Merchant Liabilities'!FF16)/1000000</f>
        <v>53.174905495224969</v>
      </c>
      <c r="T26" s="1104">
        <f t="shared" si="2"/>
        <v>91.564730949090517</v>
      </c>
      <c r="V26" s="1105">
        <f>T26-'Input Merchant Liabilities'!FL16/1000000</f>
        <v>0</v>
      </c>
      <c r="W26" s="1138">
        <f t="shared" si="3"/>
        <v>0</v>
      </c>
    </row>
    <row r="27" spans="4:23" ht="15">
      <c r="D27" s="1102"/>
      <c r="E27" s="1103"/>
      <c r="F27" s="1057"/>
      <c r="G27" s="1057"/>
      <c r="H27" s="1134"/>
      <c r="I27" s="1059"/>
      <c r="J27" s="1057"/>
      <c r="K27" s="1059"/>
      <c r="L27" s="1057"/>
      <c r="M27" s="1057"/>
      <c r="N27" s="1057"/>
      <c r="O27" s="1057"/>
      <c r="P27" s="1057"/>
      <c r="Q27" s="1057"/>
      <c r="R27" s="1057"/>
      <c r="S27" s="1057"/>
      <c r="T27" s="1104"/>
      <c r="V27" s="1105"/>
    </row>
    <row r="28" spans="4:23" ht="15">
      <c r="D28" s="1099">
        <v>2016</v>
      </c>
      <c r="E28" s="1103"/>
      <c r="F28" s="1057"/>
      <c r="G28" s="1057"/>
      <c r="H28" s="1134"/>
      <c r="I28" s="1059"/>
      <c r="J28" s="1057"/>
      <c r="K28" s="1059"/>
      <c r="L28" s="1057"/>
      <c r="M28" s="1057"/>
      <c r="N28" s="1057"/>
      <c r="O28" s="1057"/>
      <c r="P28" s="1057"/>
      <c r="Q28" s="1057"/>
      <c r="R28" s="1057"/>
      <c r="S28" s="1057"/>
      <c r="T28" s="1104"/>
      <c r="V28" s="1105"/>
    </row>
    <row r="29" spans="4:23" ht="15">
      <c r="D29" s="1102" t="s">
        <v>1170</v>
      </c>
      <c r="E29" s="1103">
        <f>('Input Merchant Liabilities'!C19-'Input Merchant Liabilities'!I19-'Input Merchant Liabilities'!J19-'Input Merchant Liabilities'!L19)/1000000</f>
        <v>58.511732780000003</v>
      </c>
      <c r="F29" s="1057"/>
      <c r="G29" s="1057">
        <f>('Input Merchant Liabilities'!Q19-'Input Merchant Liabilities'!AI19-'Input Merchant Liabilities'!AM19-'Input Merchant Liabilities'!AU19)/1000000</f>
        <v>0</v>
      </c>
      <c r="H29" s="1134">
        <f t="shared" si="0"/>
        <v>58.511732780000003</v>
      </c>
      <c r="I29" s="1059">
        <f>('Input Merchant Liabilities'!I19+'Input Merchant Liabilities'!J19+'Input Merchant Liabilities'!AI19+'Input Merchant Liabilities'!AM19)/1000000</f>
        <v>0</v>
      </c>
      <c r="J29" s="1057">
        <f>('Input Merchant Liabilities'!L19+'Input Merchant Liabilities'!AU19)/1000000</f>
        <v>0</v>
      </c>
      <c r="K29" s="1059">
        <f t="shared" si="1"/>
        <v>58.511732780000003</v>
      </c>
      <c r="L29" s="1057">
        <f>'Input Merchant Liabilities'!CI19/1000000</f>
        <v>0</v>
      </c>
      <c r="M29" s="1057">
        <f>'Input Merchant Liabilities'!DR19/1000000</f>
        <v>0</v>
      </c>
      <c r="N29" s="1057">
        <f>'Input Merchant Liabilities'!CO19/1000000</f>
        <v>0</v>
      </c>
      <c r="O29" s="1057">
        <f>('Input Merchant Liabilities'!CT19+'Input Merchant Liabilities'!DE19)/1000000</f>
        <v>0</v>
      </c>
      <c r="P29" s="1057">
        <f>'Input Merchant Liabilities'!DP19/1000000</f>
        <v>0</v>
      </c>
      <c r="Q29" s="1057">
        <f>'Input Merchant Liabilities'!ES19/1000000</f>
        <v>-18.84492740517906</v>
      </c>
      <c r="R29" s="1057">
        <f>'Input Merchant Liabilities'!EF19/1000000</f>
        <v>0</v>
      </c>
      <c r="S29" s="1057">
        <f>('Input Merchant Liabilities'!EQ19+'Input Merchant Liabilities'!FF19)/1000000</f>
        <v>52.867962340325008</v>
      </c>
      <c r="T29" s="1104">
        <f t="shared" si="2"/>
        <v>92.534767715145946</v>
      </c>
      <c r="V29" s="1105">
        <f>T29-'Input Merchant Liabilities'!FL19/1000000</f>
        <v>0</v>
      </c>
      <c r="W29" s="1138">
        <f t="shared" si="3"/>
        <v>0</v>
      </c>
    </row>
    <row r="30" spans="4:23" ht="15">
      <c r="D30" s="1102" t="s">
        <v>1172</v>
      </c>
      <c r="E30" s="1103">
        <f>('Input Merchant Liabilities'!C20-'Input Merchant Liabilities'!I20-'Input Merchant Liabilities'!J20-'Input Merchant Liabilities'!L20)/1000000</f>
        <v>58.304470800000011</v>
      </c>
      <c r="F30" s="1057"/>
      <c r="G30" s="1057">
        <f>('Input Merchant Liabilities'!Q20-'Input Merchant Liabilities'!AI20-'Input Merchant Liabilities'!AM20-'Input Merchant Liabilities'!AU20)/1000000</f>
        <v>0</v>
      </c>
      <c r="H30" s="1134">
        <f t="shared" si="0"/>
        <v>58.304470800000011</v>
      </c>
      <c r="I30" s="1059">
        <f>('Input Merchant Liabilities'!I20+'Input Merchant Liabilities'!J20+'Input Merchant Liabilities'!AI20+'Input Merchant Liabilities'!AM20)/1000000</f>
        <v>0</v>
      </c>
      <c r="J30" s="1057">
        <f>('Input Merchant Liabilities'!L20+'Input Merchant Liabilities'!AU20)/1000000</f>
        <v>0</v>
      </c>
      <c r="K30" s="1059">
        <f t="shared" si="1"/>
        <v>58.304470800000011</v>
      </c>
      <c r="L30" s="1057">
        <f>'Input Merchant Liabilities'!CI20/1000000</f>
        <v>0</v>
      </c>
      <c r="M30" s="1057">
        <f>'Input Merchant Liabilities'!DR20/1000000</f>
        <v>0</v>
      </c>
      <c r="N30" s="1057">
        <f>'Input Merchant Liabilities'!CO20/1000000</f>
        <v>0</v>
      </c>
      <c r="O30" s="1057">
        <f>('Input Merchant Liabilities'!CT20+'Input Merchant Liabilities'!DE20)/1000000</f>
        <v>0</v>
      </c>
      <c r="P30" s="1057">
        <f>'Input Merchant Liabilities'!DP20/1000000</f>
        <v>0</v>
      </c>
      <c r="Q30" s="1057">
        <f>'Input Merchant Liabilities'!ES20/1000000</f>
        <v>-19.381433393419602</v>
      </c>
      <c r="R30" s="1057">
        <f>'Input Merchant Liabilities'!EF20/1000000</f>
        <v>0</v>
      </c>
      <c r="S30" s="1057">
        <f>('Input Merchant Liabilities'!EQ20+'Input Merchant Liabilities'!FF20)/1000000</f>
        <v>54.283627278974983</v>
      </c>
      <c r="T30" s="1104">
        <f t="shared" si="2"/>
        <v>93.206664685555381</v>
      </c>
      <c r="V30" s="1105">
        <f>T30-'Input Merchant Liabilities'!FL20/1000000</f>
        <v>0</v>
      </c>
      <c r="W30" s="1138">
        <f t="shared" si="3"/>
        <v>0</v>
      </c>
    </row>
    <row r="31" spans="4:23" ht="15">
      <c r="D31" s="1102" t="s">
        <v>1173</v>
      </c>
      <c r="E31" s="1103">
        <f>('Input Merchant Liabilities'!C21-'Input Merchant Liabilities'!I21-'Input Merchant Liabilities'!J21-'Input Merchant Liabilities'!L21)/1000000</f>
        <v>58.314951969999996</v>
      </c>
      <c r="F31" s="1057"/>
      <c r="G31" s="1057">
        <f>('Input Merchant Liabilities'!Q21-'Input Merchant Liabilities'!AI21-'Input Merchant Liabilities'!AM21-'Input Merchant Liabilities'!AU21)/1000000</f>
        <v>0</v>
      </c>
      <c r="H31" s="1134">
        <f t="shared" si="0"/>
        <v>58.314951969999996</v>
      </c>
      <c r="I31" s="1059">
        <f>('Input Merchant Liabilities'!I21+'Input Merchant Liabilities'!J21+'Input Merchant Liabilities'!AI21+'Input Merchant Liabilities'!AM21)/1000000</f>
        <v>0</v>
      </c>
      <c r="J31" s="1057">
        <f>('Input Merchant Liabilities'!L21+'Input Merchant Liabilities'!AU21)/1000000</f>
        <v>0</v>
      </c>
      <c r="K31" s="1059">
        <f t="shared" si="1"/>
        <v>58.314951969999996</v>
      </c>
      <c r="L31" s="1057">
        <f>'Input Merchant Liabilities'!CI21/1000000</f>
        <v>0</v>
      </c>
      <c r="M31" s="1057">
        <f>'Input Merchant Liabilities'!DR21/1000000</f>
        <v>0</v>
      </c>
      <c r="N31" s="1057">
        <f>'Input Merchant Liabilities'!CO21/1000000</f>
        <v>0</v>
      </c>
      <c r="O31" s="1057">
        <f>('Input Merchant Liabilities'!CT21+'Input Merchant Liabilities'!DE21)/1000000</f>
        <v>0</v>
      </c>
      <c r="P31" s="1057">
        <f>'Input Merchant Liabilities'!DP21/1000000</f>
        <v>0</v>
      </c>
      <c r="Q31" s="1057">
        <f>'Input Merchant Liabilities'!ES21/1000000</f>
        <v>-20.098516093419605</v>
      </c>
      <c r="R31" s="1057">
        <f>'Input Merchant Liabilities'!EF21/1000000</f>
        <v>0</v>
      </c>
      <c r="S31" s="1057">
        <f>('Input Merchant Liabilities'!EQ21+'Input Merchant Liabilities'!FF21)/1000000</f>
        <v>55.346966308974999</v>
      </c>
      <c r="T31" s="1104">
        <f t="shared" si="2"/>
        <v>93.56340218555539</v>
      </c>
      <c r="V31" s="1105">
        <f>T31-'Input Merchant Liabilities'!FL21/1000000</f>
        <v>0</v>
      </c>
      <c r="W31" s="1138">
        <f t="shared" si="3"/>
        <v>0</v>
      </c>
    </row>
    <row r="32" spans="4:23" ht="15">
      <c r="D32" s="1102" t="s">
        <v>1174</v>
      </c>
      <c r="E32" s="1103">
        <f>('Input Merchant Liabilities'!C22-'Input Merchant Liabilities'!I22-'Input Merchant Liabilities'!J22-'Input Merchant Liabilities'!L22)/1000000</f>
        <v>58.34621147</v>
      </c>
      <c r="F32" s="1057"/>
      <c r="G32" s="1057">
        <f>('Input Merchant Liabilities'!Q22-'Input Merchant Liabilities'!AI22-'Input Merchant Liabilities'!AM22-'Input Merchant Liabilities'!AU22)/1000000</f>
        <v>0</v>
      </c>
      <c r="H32" s="1134">
        <f t="shared" si="0"/>
        <v>58.34621147</v>
      </c>
      <c r="I32" s="1059">
        <f>('Input Merchant Liabilities'!I22+'Input Merchant Liabilities'!J22+'Input Merchant Liabilities'!AI22+'Input Merchant Liabilities'!AM22)/1000000</f>
        <v>0</v>
      </c>
      <c r="J32" s="1057">
        <f>('Input Merchant Liabilities'!L22+'Input Merchant Liabilities'!AU22)/1000000</f>
        <v>0</v>
      </c>
      <c r="K32" s="1059">
        <f t="shared" si="1"/>
        <v>58.34621147</v>
      </c>
      <c r="L32" s="1057">
        <f>'Input Merchant Liabilities'!CI22/1000000</f>
        <v>0</v>
      </c>
      <c r="M32" s="1057">
        <f>'Input Merchant Liabilities'!DR22/1000000</f>
        <v>0</v>
      </c>
      <c r="N32" s="1057">
        <f>'Input Merchant Liabilities'!CO22/1000000</f>
        <v>0</v>
      </c>
      <c r="O32" s="1057">
        <f>('Input Merchant Liabilities'!CT22+'Input Merchant Liabilities'!DE22)/1000000</f>
        <v>0</v>
      </c>
      <c r="P32" s="1057">
        <f>'Input Merchant Liabilities'!DP22/1000000</f>
        <v>0</v>
      </c>
      <c r="Q32" s="1057">
        <f>'Input Merchant Liabilities'!ES22/1000000</f>
        <v>-19.525801999999999</v>
      </c>
      <c r="R32" s="1057">
        <f>'Input Merchant Liabilities'!EF22/1000000</f>
        <v>0</v>
      </c>
      <c r="S32" s="1057">
        <f>('Input Merchant Liabilities'!EQ22+'Input Merchant Liabilities'!FF22)/1000000</f>
        <v>55.01233718000001</v>
      </c>
      <c r="T32" s="1104">
        <f t="shared" si="2"/>
        <v>93.832746650000018</v>
      </c>
      <c r="V32" s="1105">
        <f>T32-'Input Merchant Liabilities'!FL22/1000000</f>
        <v>0</v>
      </c>
      <c r="W32" s="1138">
        <f t="shared" si="3"/>
        <v>0</v>
      </c>
    </row>
    <row r="33" spans="4:23" ht="15">
      <c r="D33" s="1102" t="s">
        <v>1165</v>
      </c>
      <c r="E33" s="1103">
        <f>('Input Merchant Liabilities'!C23-'Input Merchant Liabilities'!I23-'Input Merchant Liabilities'!J23-'Input Merchant Liabilities'!L23)/1000000</f>
        <v>58.364091150000007</v>
      </c>
      <c r="F33" s="1057"/>
      <c r="G33" s="1057">
        <f>('Input Merchant Liabilities'!Q23-'Input Merchant Liabilities'!AI23-'Input Merchant Liabilities'!AM23-'Input Merchant Liabilities'!AU23)/1000000</f>
        <v>0</v>
      </c>
      <c r="H33" s="1134">
        <f t="shared" si="0"/>
        <v>58.364091150000007</v>
      </c>
      <c r="I33" s="1059">
        <f>('Input Merchant Liabilities'!I23+'Input Merchant Liabilities'!J23+'Input Merchant Liabilities'!AI23+'Input Merchant Liabilities'!AM23)/1000000</f>
        <v>0</v>
      </c>
      <c r="J33" s="1057">
        <f>('Input Merchant Liabilities'!L23+'Input Merchant Liabilities'!AU23)/1000000</f>
        <v>0</v>
      </c>
      <c r="K33" s="1059">
        <f t="shared" si="1"/>
        <v>58.364091150000007</v>
      </c>
      <c r="L33" s="1057">
        <f>'Input Merchant Liabilities'!CI23/1000000</f>
        <v>0</v>
      </c>
      <c r="M33" s="1057">
        <f>'Input Merchant Liabilities'!DR23/1000000</f>
        <v>0</v>
      </c>
      <c r="N33" s="1057">
        <f>'Input Merchant Liabilities'!CO23/1000000</f>
        <v>0</v>
      </c>
      <c r="O33" s="1057">
        <f>('Input Merchant Liabilities'!CT23+'Input Merchant Liabilities'!DE23)/1000000</f>
        <v>0</v>
      </c>
      <c r="P33" s="1057">
        <f>'Input Merchant Liabilities'!DP23/1000000</f>
        <v>0</v>
      </c>
      <c r="Q33" s="1057">
        <f>'Input Merchant Liabilities'!ES23/1000000</f>
        <v>-20.214985054094605</v>
      </c>
      <c r="R33" s="1057">
        <f>'Input Merchant Liabilities'!EF23/1000000</f>
        <v>0</v>
      </c>
      <c r="S33" s="1057">
        <f>('Input Merchant Liabilities'!EQ23+'Input Merchant Liabilities'!FF23)/1000000</f>
        <v>56.020314960149982</v>
      </c>
      <c r="T33" s="1104">
        <f t="shared" si="2"/>
        <v>94.169421056055384</v>
      </c>
      <c r="V33" s="1105">
        <f>T33-'Input Merchant Liabilities'!FL23/1000000</f>
        <v>0</v>
      </c>
      <c r="W33" s="1138">
        <f t="shared" si="3"/>
        <v>0</v>
      </c>
    </row>
    <row r="34" spans="4:23" ht="15">
      <c r="D34" s="1102" t="s">
        <v>1203</v>
      </c>
      <c r="E34" s="1103">
        <f>('Input Merchant Liabilities'!C24-'Input Merchant Liabilities'!I24-'Input Merchant Liabilities'!J24-'Input Merchant Liabilities'!L24)/1000000</f>
        <v>58.364091150000007</v>
      </c>
      <c r="F34" s="1057"/>
      <c r="G34" s="1057">
        <f>('Input Merchant Liabilities'!Q24-'Input Merchant Liabilities'!AI24-'Input Merchant Liabilities'!AM24-'Input Merchant Liabilities'!AU24)/1000000</f>
        <v>0</v>
      </c>
      <c r="H34" s="1134">
        <f t="shared" si="0"/>
        <v>58.364091150000007</v>
      </c>
      <c r="I34" s="1059">
        <f>('Input Merchant Liabilities'!I24+'Input Merchant Liabilities'!J24+'Input Merchant Liabilities'!AI24+'Input Merchant Liabilities'!AM24)/1000000</f>
        <v>0</v>
      </c>
      <c r="J34" s="1057">
        <f>('Input Merchant Liabilities'!L24+'Input Merchant Liabilities'!AU24)/1000000</f>
        <v>0</v>
      </c>
      <c r="K34" s="1059">
        <f t="shared" si="1"/>
        <v>58.364091150000007</v>
      </c>
      <c r="L34" s="1057">
        <f>'Input Merchant Liabilities'!CI24/1000000</f>
        <v>0</v>
      </c>
      <c r="M34" s="1057">
        <f>'Input Merchant Liabilities'!DR24/1000000</f>
        <v>0</v>
      </c>
      <c r="N34" s="1057">
        <f>'Input Merchant Liabilities'!CO24/1000000</f>
        <v>0</v>
      </c>
      <c r="O34" s="1057">
        <f>('Input Merchant Liabilities'!CT24+'Input Merchant Liabilities'!DE24)/1000000</f>
        <v>0</v>
      </c>
      <c r="P34" s="1057">
        <f>'Input Merchant Liabilities'!DP24/1000000</f>
        <v>0</v>
      </c>
      <c r="Q34" s="1057">
        <f>'Input Merchant Liabilities'!ES24/1000000</f>
        <v>-20.214985054094605</v>
      </c>
      <c r="R34" s="1057">
        <f>'Input Merchant Liabilities'!EF24/1000000</f>
        <v>0</v>
      </c>
      <c r="S34" s="1057">
        <f>('Input Merchant Liabilities'!EQ24+'Input Merchant Liabilities'!FF24)/1000000</f>
        <v>56.020314960149982</v>
      </c>
      <c r="T34" s="1104">
        <f t="shared" si="2"/>
        <v>94.169421056055384</v>
      </c>
      <c r="V34" s="1105">
        <f>T34-'Input Merchant Liabilities'!FL24/1000000</f>
        <v>0</v>
      </c>
      <c r="W34" s="1138">
        <f t="shared" si="3"/>
        <v>0</v>
      </c>
    </row>
    <row r="35" spans="4:23" ht="15">
      <c r="D35" s="1102" t="s">
        <v>1205</v>
      </c>
      <c r="E35" s="1103">
        <f>('Input Merchant Liabilities'!C25-'Input Merchant Liabilities'!I25-'Input Merchant Liabilities'!J25-'Input Merchant Liabilities'!L25)/1000000</f>
        <v>58.35074096000001</v>
      </c>
      <c r="F35" s="1057"/>
      <c r="G35" s="1057">
        <f>('Input Merchant Liabilities'!Q25-'Input Merchant Liabilities'!AI25-'Input Merchant Liabilities'!AM25-'Input Merchant Liabilities'!AU25)/1000000</f>
        <v>0</v>
      </c>
      <c r="H35" s="1134">
        <f t="shared" si="0"/>
        <v>58.35074096000001</v>
      </c>
      <c r="I35" s="1059">
        <f>('Input Merchant Liabilities'!I25+'Input Merchant Liabilities'!J25+'Input Merchant Liabilities'!AI25+'Input Merchant Liabilities'!AM25)/1000000</f>
        <v>0</v>
      </c>
      <c r="J35" s="1057">
        <f>('Input Merchant Liabilities'!L25+'Input Merchant Liabilities'!AU25)/1000000</f>
        <v>0</v>
      </c>
      <c r="K35" s="1059">
        <f t="shared" si="1"/>
        <v>58.35074096000001</v>
      </c>
      <c r="L35" s="1057">
        <f>'Input Merchant Liabilities'!CI25/1000000</f>
        <v>0</v>
      </c>
      <c r="M35" s="1057">
        <f>'Input Merchant Liabilities'!DR25/1000000</f>
        <v>0</v>
      </c>
      <c r="N35" s="1057">
        <f>'Input Merchant Liabilities'!CO25/1000000</f>
        <v>0</v>
      </c>
      <c r="O35" s="1057">
        <f>('Input Merchant Liabilities'!CT25+'Input Merchant Liabilities'!DE25)/1000000</f>
        <v>0</v>
      </c>
      <c r="P35" s="1057">
        <f>'Input Merchant Liabilities'!DP25/1000000</f>
        <v>0</v>
      </c>
      <c r="Q35" s="1057">
        <f>'Input Merchant Liabilities'!ES25/1000000</f>
        <v>-19.3381802138788</v>
      </c>
      <c r="R35" s="1057">
        <f>'Input Merchant Liabilities'!EF25/1000000</f>
        <v>0</v>
      </c>
      <c r="S35" s="1057">
        <f>('Input Merchant Liabilities'!EQ25+'Input Merchant Liabilities'!FF25)/1000000</f>
        <v>56.094607894924984</v>
      </c>
      <c r="T35" s="1104">
        <f t="shared" si="2"/>
        <v>95.107168641046201</v>
      </c>
      <c r="V35" s="1105">
        <f>T35-'Input Merchant Liabilities'!FL25/1000000</f>
        <v>0</v>
      </c>
      <c r="W35" s="1138">
        <f t="shared" si="3"/>
        <v>0</v>
      </c>
    </row>
    <row r="36" spans="4:23" ht="15">
      <c r="D36" s="1102" t="s">
        <v>1177</v>
      </c>
      <c r="E36" s="1103">
        <f>('Input Merchant Liabilities'!C26-'Input Merchant Liabilities'!I26-'Input Merchant Liabilities'!J26-'Input Merchant Liabilities'!L26)/1000000</f>
        <v>58.341817859999999</v>
      </c>
      <c r="F36" s="1057"/>
      <c r="G36" s="1057">
        <f>('Input Merchant Liabilities'!Q26-'Input Merchant Liabilities'!AI26-'Input Merchant Liabilities'!AM26-'Input Merchant Liabilities'!AU26)/1000000</f>
        <v>0</v>
      </c>
      <c r="H36" s="1134">
        <f t="shared" si="0"/>
        <v>58.341817859999999</v>
      </c>
      <c r="I36" s="1059">
        <f>('Input Merchant Liabilities'!I26+'Input Merchant Liabilities'!J26+'Input Merchant Liabilities'!AI26+'Input Merchant Liabilities'!AM26)/1000000</f>
        <v>0</v>
      </c>
      <c r="J36" s="1057">
        <f>('Input Merchant Liabilities'!L26+'Input Merchant Liabilities'!AU26)/1000000</f>
        <v>0</v>
      </c>
      <c r="K36" s="1059">
        <f t="shared" si="1"/>
        <v>58.341817859999999</v>
      </c>
      <c r="L36" s="1057">
        <f>'Input Merchant Liabilities'!CI26/1000000</f>
        <v>0</v>
      </c>
      <c r="M36" s="1057">
        <f>'Input Merchant Liabilities'!DR26/1000000</f>
        <v>0</v>
      </c>
      <c r="N36" s="1057">
        <f>'Input Merchant Liabilities'!CO26/1000000</f>
        <v>0</v>
      </c>
      <c r="O36" s="1057">
        <f>('Input Merchant Liabilities'!CT26+'Input Merchant Liabilities'!DE26)/1000000</f>
        <v>0</v>
      </c>
      <c r="P36" s="1057">
        <f>'Input Merchant Liabilities'!DP26/1000000</f>
        <v>0</v>
      </c>
      <c r="Q36" s="1057">
        <f>'Input Merchant Liabilities'!ES26/1000000</f>
        <v>-19.251484999999999</v>
      </c>
      <c r="R36" s="1057">
        <f>'Input Merchant Liabilities'!EF26/1000000</f>
        <v>0</v>
      </c>
      <c r="S36" s="1057">
        <f>('Input Merchant Liabilities'!EQ26+'Input Merchant Liabilities'!FF26)/1000000</f>
        <v>56.08180539</v>
      </c>
      <c r="T36" s="1104">
        <f t="shared" si="2"/>
        <v>95.172138250000003</v>
      </c>
      <c r="V36" s="1105">
        <f>T36-'Input Merchant Liabilities'!FL26/1000000</f>
        <v>0</v>
      </c>
      <c r="W36" s="1138">
        <f t="shared" si="3"/>
        <v>0</v>
      </c>
    </row>
    <row r="37" spans="4:23" ht="15">
      <c r="D37" s="1102" t="s">
        <v>1178</v>
      </c>
      <c r="E37" s="1103">
        <f>('Input Merchant Liabilities'!C27-'Input Merchant Liabilities'!I27-'Input Merchant Liabilities'!J27-'Input Merchant Liabilities'!L27)/1000000</f>
        <v>58.880311210000002</v>
      </c>
      <c r="F37" s="1057"/>
      <c r="G37" s="1057">
        <f>('Input Merchant Liabilities'!Q27-'Input Merchant Liabilities'!AI27-'Input Merchant Liabilities'!AM27-'Input Merchant Liabilities'!AU27)/1000000</f>
        <v>0</v>
      </c>
      <c r="H37" s="1134">
        <f t="shared" si="0"/>
        <v>58.880311210000002</v>
      </c>
      <c r="I37" s="1059">
        <f>('Input Merchant Liabilities'!I27+'Input Merchant Liabilities'!J27+'Input Merchant Liabilities'!AI27+'Input Merchant Liabilities'!AM27)/1000000</f>
        <v>0</v>
      </c>
      <c r="J37" s="1057">
        <f>('Input Merchant Liabilities'!L27+'Input Merchant Liabilities'!AU27)/1000000</f>
        <v>0</v>
      </c>
      <c r="K37" s="1059">
        <f t="shared" si="1"/>
        <v>58.880311210000002</v>
      </c>
      <c r="L37" s="1057">
        <f>'Input Merchant Liabilities'!CI27/1000000</f>
        <v>0</v>
      </c>
      <c r="M37" s="1057">
        <f>'Input Merchant Liabilities'!DR27/1000000</f>
        <v>0</v>
      </c>
      <c r="N37" s="1057">
        <f>'Input Merchant Liabilities'!CO27/1000000</f>
        <v>0</v>
      </c>
      <c r="O37" s="1057">
        <f>('Input Merchant Liabilities'!CT27+'Input Merchant Liabilities'!DE27)/1000000</f>
        <v>0</v>
      </c>
      <c r="P37" s="1057">
        <f>'Input Merchant Liabilities'!DP27/1000000</f>
        <v>0</v>
      </c>
      <c r="Q37" s="1057">
        <f>'Input Merchant Liabilities'!ES27/1000000</f>
        <v>-19.265891</v>
      </c>
      <c r="R37" s="1057">
        <f>'Input Merchant Liabilities'!EF27/1000000</f>
        <v>0</v>
      </c>
      <c r="S37" s="1057">
        <f>('Input Merchant Liabilities'!EQ27+'Input Merchant Liabilities'!FF27)/1000000</f>
        <v>55.892757039999992</v>
      </c>
      <c r="T37" s="1104">
        <f t="shared" si="2"/>
        <v>95.507177249999998</v>
      </c>
      <c r="V37" s="1105">
        <f>T37-'Input Merchant Liabilities'!FL27/1000000</f>
        <v>0</v>
      </c>
      <c r="W37" s="1138">
        <f t="shared" si="3"/>
        <v>0</v>
      </c>
    </row>
    <row r="38" spans="4:23" ht="15">
      <c r="D38" s="1102" t="s">
        <v>1179</v>
      </c>
      <c r="E38" s="1103">
        <f>('Input Merchant Liabilities'!C28-'Input Merchant Liabilities'!I28-'Input Merchant Liabilities'!J28-'Input Merchant Liabilities'!L28)/1000000</f>
        <v>58.880311210000002</v>
      </c>
      <c r="F38" s="1057"/>
      <c r="G38" s="1057">
        <f>('Input Merchant Liabilities'!Q28-'Input Merchant Liabilities'!AI28-'Input Merchant Liabilities'!AM28-'Input Merchant Liabilities'!AU28)/1000000</f>
        <v>0</v>
      </c>
      <c r="H38" s="1134">
        <f t="shared" si="0"/>
        <v>58.880311210000002</v>
      </c>
      <c r="I38" s="1059">
        <f>('Input Merchant Liabilities'!I28+'Input Merchant Liabilities'!J28+'Input Merchant Liabilities'!AI28+'Input Merchant Liabilities'!AM28)/1000000</f>
        <v>0</v>
      </c>
      <c r="J38" s="1057">
        <f>('Input Merchant Liabilities'!L28+'Input Merchant Liabilities'!AU28)/1000000</f>
        <v>0</v>
      </c>
      <c r="K38" s="1059">
        <f t="shared" si="1"/>
        <v>58.880311210000002</v>
      </c>
      <c r="L38" s="1057">
        <f>'Input Merchant Liabilities'!CI28/1000000</f>
        <v>0</v>
      </c>
      <c r="M38" s="1057">
        <f>'Input Merchant Liabilities'!DR28/1000000</f>
        <v>0</v>
      </c>
      <c r="N38" s="1057">
        <f>'Input Merchant Liabilities'!CO28/1000000</f>
        <v>0</v>
      </c>
      <c r="O38" s="1057">
        <f>('Input Merchant Liabilities'!CT28+'Input Merchant Liabilities'!DE28)/1000000</f>
        <v>0</v>
      </c>
      <c r="P38" s="1057">
        <f>'Input Merchant Liabilities'!DP28/1000000</f>
        <v>0</v>
      </c>
      <c r="Q38" s="1057">
        <f>'Input Merchant Liabilities'!ES28/1000000</f>
        <v>-19.265891</v>
      </c>
      <c r="R38" s="1057">
        <f>'Input Merchant Liabilities'!EF28/1000000</f>
        <v>0</v>
      </c>
      <c r="S38" s="1057">
        <f>('Input Merchant Liabilities'!EQ28+'Input Merchant Liabilities'!FF28)/1000000</f>
        <v>55.892757039999992</v>
      </c>
      <c r="T38" s="1104">
        <f t="shared" si="2"/>
        <v>95.507177249999998</v>
      </c>
      <c r="V38" s="1105">
        <f>T38-'Input Merchant Liabilities'!FL28/1000000</f>
        <v>0</v>
      </c>
      <c r="W38" s="1138">
        <f t="shared" si="3"/>
        <v>0</v>
      </c>
    </row>
    <row r="39" spans="4:23" ht="15">
      <c r="D39" s="1102" t="s">
        <v>1180</v>
      </c>
      <c r="E39" s="1103">
        <f>('Input Merchant Liabilities'!C29-'Input Merchant Liabilities'!I29-'Input Merchant Liabilities'!J29-'Input Merchant Liabilities'!L29)/1000000</f>
        <v>58.880311210000009</v>
      </c>
      <c r="F39" s="1057"/>
      <c r="G39" s="1057">
        <f>('Input Merchant Liabilities'!Q29-'Input Merchant Liabilities'!AI29-'Input Merchant Liabilities'!AM29-'Input Merchant Liabilities'!AU29)/1000000</f>
        <v>0</v>
      </c>
      <c r="H39" s="1134">
        <f t="shared" si="0"/>
        <v>58.880311210000009</v>
      </c>
      <c r="I39" s="1059">
        <f>('Input Merchant Liabilities'!I29+'Input Merchant Liabilities'!J29+'Input Merchant Liabilities'!AI29+'Input Merchant Liabilities'!AM29)/1000000</f>
        <v>0</v>
      </c>
      <c r="J39" s="1057">
        <f>('Input Merchant Liabilities'!L29+'Input Merchant Liabilities'!AU29)/1000000</f>
        <v>0</v>
      </c>
      <c r="K39" s="1059">
        <f t="shared" si="1"/>
        <v>58.880311210000009</v>
      </c>
      <c r="L39" s="1057">
        <f>'Input Merchant Liabilities'!CI29/1000000</f>
        <v>0</v>
      </c>
      <c r="M39" s="1057">
        <f>'Input Merchant Liabilities'!DR29/1000000</f>
        <v>0</v>
      </c>
      <c r="N39" s="1057">
        <f>'Input Merchant Liabilities'!CO29/1000000</f>
        <v>0</v>
      </c>
      <c r="O39" s="1057">
        <f>('Input Merchant Liabilities'!CT29+'Input Merchant Liabilities'!DE29)/1000000</f>
        <v>0</v>
      </c>
      <c r="P39" s="1057">
        <f>'Input Merchant Liabilities'!DP29/1000000</f>
        <v>0</v>
      </c>
      <c r="Q39" s="1057">
        <f>'Input Merchant Liabilities'!ES29/1000000</f>
        <v>-19.193602568528785</v>
      </c>
      <c r="R39" s="1057">
        <f>'Input Merchant Liabilities'!EF29/1000000</f>
        <v>0</v>
      </c>
      <c r="S39" s="1057">
        <f>('Input Merchant Liabilities'!EQ29+'Input Merchant Liabilities'!FF29)/1000000</f>
        <v>55.892756649750005</v>
      </c>
      <c r="T39" s="1104">
        <f t="shared" si="2"/>
        <v>95.579465291221226</v>
      </c>
      <c r="V39" s="1105">
        <f>T39-'Input Merchant Liabilities'!FL29/1000000</f>
        <v>0</v>
      </c>
      <c r="W39" s="1138">
        <f t="shared" si="3"/>
        <v>0</v>
      </c>
    </row>
    <row r="40" spans="4:23" ht="15">
      <c r="D40" s="1102" t="s">
        <v>1181</v>
      </c>
      <c r="E40" s="1103">
        <f>('Input Merchant Liabilities'!C30-'Input Merchant Liabilities'!I30-'Input Merchant Liabilities'!J30-'Input Merchant Liabilities'!L30)/1000000</f>
        <v>58.524403740000011</v>
      </c>
      <c r="F40" s="1057"/>
      <c r="G40" s="1057">
        <f>('Input Merchant Liabilities'!Q30-'Input Merchant Liabilities'!AI30-'Input Merchant Liabilities'!AM30-'Input Merchant Liabilities'!AU30)/1000000</f>
        <v>0</v>
      </c>
      <c r="H40" s="1134">
        <f t="shared" si="0"/>
        <v>58.524403740000011</v>
      </c>
      <c r="I40" s="1059">
        <f>('Input Merchant Liabilities'!I30+'Input Merchant Liabilities'!J30+'Input Merchant Liabilities'!AI30+'Input Merchant Liabilities'!AM30)/1000000</f>
        <v>0</v>
      </c>
      <c r="J40" s="1057">
        <f>('Input Merchant Liabilities'!L30+'Input Merchant Liabilities'!AU30)/1000000</f>
        <v>0</v>
      </c>
      <c r="K40" s="1059">
        <f t="shared" si="1"/>
        <v>58.524403740000011</v>
      </c>
      <c r="L40" s="1057">
        <f>'Input Merchant Liabilities'!CI30/1000000</f>
        <v>0</v>
      </c>
      <c r="M40" s="1057">
        <f>'Input Merchant Liabilities'!DR30/1000000</f>
        <v>0</v>
      </c>
      <c r="N40" s="1057">
        <f>'Input Merchant Liabilities'!CO30/1000000</f>
        <v>0</v>
      </c>
      <c r="O40" s="1057">
        <f>('Input Merchant Liabilities'!CT30+'Input Merchant Liabilities'!DE30)/1000000</f>
        <v>0</v>
      </c>
      <c r="P40" s="1057">
        <f>'Input Merchant Liabilities'!DP30/1000000</f>
        <v>0</v>
      </c>
      <c r="Q40" s="1057">
        <f>'Input Merchant Liabilities'!ES30/1000000</f>
        <v>-20.134578286134463</v>
      </c>
      <c r="R40" s="1057">
        <f>'Input Merchant Liabilities'!EF30/1000000</f>
        <v>0</v>
      </c>
      <c r="S40" s="1057">
        <f>('Input Merchant Liabilities'!EQ30+'Input Merchant Liabilities'!FF30)/1000000</f>
        <v>53.174905495224969</v>
      </c>
      <c r="T40" s="1104">
        <f t="shared" si="2"/>
        <v>91.564730949090517</v>
      </c>
      <c r="V40" s="1105">
        <f>T40-'Input Merchant Liabilities'!FL30/1000000</f>
        <v>0</v>
      </c>
      <c r="W40" s="1138">
        <f t="shared" si="3"/>
        <v>0</v>
      </c>
    </row>
    <row r="41" spans="4:23" ht="15">
      <c r="D41" s="1102"/>
      <c r="E41" s="1103"/>
      <c r="F41" s="1057"/>
      <c r="G41" s="1057"/>
      <c r="H41" s="1143"/>
      <c r="I41" s="1057"/>
      <c r="J41" s="1057"/>
      <c r="K41" s="1059"/>
      <c r="L41" s="1057"/>
      <c r="M41" s="1057"/>
      <c r="N41" s="1057"/>
      <c r="O41" s="1057"/>
      <c r="P41" s="1057"/>
      <c r="Q41" s="1057"/>
      <c r="R41" s="1057"/>
      <c r="S41" s="1057"/>
      <c r="T41" s="1104"/>
    </row>
    <row r="42" spans="4:23" ht="15">
      <c r="D42" s="1099">
        <v>2017</v>
      </c>
      <c r="E42" s="1103"/>
      <c r="F42" s="1057"/>
      <c r="G42" s="1057"/>
      <c r="H42" s="1143"/>
      <c r="I42" s="1057"/>
      <c r="J42" s="1057"/>
      <c r="K42" s="1059"/>
      <c r="L42" s="1057"/>
      <c r="M42" s="1057"/>
      <c r="N42" s="1057"/>
      <c r="O42" s="1057"/>
      <c r="P42" s="1057"/>
      <c r="Q42" s="1057"/>
      <c r="R42" s="1057"/>
      <c r="S42" s="1057"/>
      <c r="T42" s="1059"/>
      <c r="U42" s="1107"/>
      <c r="V42" s="1109"/>
      <c r="W42" s="1144"/>
    </row>
    <row r="43" spans="4:23" ht="15">
      <c r="D43" s="1102" t="s">
        <v>1170</v>
      </c>
      <c r="E43" s="1103">
        <f>('Input Merchant Liabilities'!C33-'Input Merchant Liabilities'!I33-'Input Merchant Liabilities'!J33-'Input Merchant Liabilities'!L33)/1000000</f>
        <v>58.880311210000009</v>
      </c>
      <c r="F43" s="1057"/>
      <c r="G43" s="1057">
        <f>('Input Merchant Liabilities'!Q33-'Input Merchant Liabilities'!AI33-'Input Merchant Liabilities'!AM33-'Input Merchant Liabilities'!AU33)/1000000</f>
        <v>0</v>
      </c>
      <c r="H43" s="1134">
        <f>SUM(E43:G43)</f>
        <v>58.880311210000009</v>
      </c>
      <c r="I43" s="1059">
        <f>('Input Merchant Liabilities'!I33+'Input Merchant Liabilities'!J33+'Input Merchant Liabilities'!AI33+'Input Merchant Liabilities'!AM33)/1000000</f>
        <v>0</v>
      </c>
      <c r="J43" s="1057">
        <f>('Input Merchant Liabilities'!L33+'Input Merchant Liabilities'!AU33)/1000000</f>
        <v>0</v>
      </c>
      <c r="K43" s="1059">
        <f>SUM(H43:J43)</f>
        <v>58.880311210000009</v>
      </c>
      <c r="L43" s="1057">
        <f>'Input Merchant Liabilities'!CI33/1000000</f>
        <v>0</v>
      </c>
      <c r="M43" s="1057">
        <f>'Input Merchant Liabilities'!DR33/1000000</f>
        <v>0</v>
      </c>
      <c r="N43" s="1057">
        <f>'Input Merchant Liabilities'!CO33/1000000</f>
        <v>0</v>
      </c>
      <c r="O43" s="1057">
        <f>('Input Merchant Liabilities'!CT33+'Input Merchant Liabilities'!DE33)/1000000</f>
        <v>0</v>
      </c>
      <c r="P43" s="1057">
        <f>'Input Merchant Liabilities'!DP33/1000000</f>
        <v>0</v>
      </c>
      <c r="Q43" s="1057">
        <f>'Input Merchant Liabilities'!ES33/1000000</f>
        <v>-18.933518193603788</v>
      </c>
      <c r="R43" s="1057">
        <f>'Input Merchant Liabilities'!EF33/1000000</f>
        <v>0</v>
      </c>
      <c r="S43" s="1057">
        <f>('Input Merchant Liabilities'!EQ33+'Input Merchant Liabilities'!FF33)/1000000</f>
        <v>55.892757275149954</v>
      </c>
      <c r="T43" s="1104">
        <f>SUM(K43:S43)</f>
        <v>95.839550291546175</v>
      </c>
      <c r="V43" s="1105">
        <f>T43-'Input Merchant Liabilities'!FL33/1000000</f>
        <v>0</v>
      </c>
      <c r="W43" s="1138">
        <f>+V43*1000000</f>
        <v>0</v>
      </c>
    </row>
    <row r="44" spans="4:23" ht="15">
      <c r="D44" s="1102" t="s">
        <v>1172</v>
      </c>
      <c r="E44" s="1103">
        <f>('Input Merchant Liabilities'!C34-'Input Merchant Liabilities'!I34-'Input Merchant Liabilities'!J34-'Input Merchant Liabilities'!L34)/1000000</f>
        <v>58.880311210000009</v>
      </c>
      <c r="F44" s="1057"/>
      <c r="G44" s="1057">
        <f>('Input Merchant Liabilities'!Q34-'Input Merchant Liabilities'!AI34-'Input Merchant Liabilities'!AM34-'Input Merchant Liabilities'!AU34)/1000000</f>
        <v>0</v>
      </c>
      <c r="H44" s="1134">
        <f>SUM(E44:G44)</f>
        <v>58.880311210000009</v>
      </c>
      <c r="I44" s="1059">
        <f>('Input Merchant Liabilities'!I34+'Input Merchant Liabilities'!J34+'Input Merchant Liabilities'!AI34+'Input Merchant Liabilities'!AM34)/1000000</f>
        <v>0</v>
      </c>
      <c r="J44" s="1057">
        <f>('Input Merchant Liabilities'!L34+'Input Merchant Liabilities'!AU34)/1000000</f>
        <v>0</v>
      </c>
      <c r="K44" s="1059">
        <f>SUM(H44:J44)</f>
        <v>58.880311210000009</v>
      </c>
      <c r="L44" s="1057">
        <f>'Input Merchant Liabilities'!CI34/1000000</f>
        <v>0</v>
      </c>
      <c r="M44" s="1057">
        <f>'Input Merchant Liabilities'!DR34/1000000</f>
        <v>0</v>
      </c>
      <c r="N44" s="1057">
        <f>'Input Merchant Liabilities'!CO34/1000000</f>
        <v>0</v>
      </c>
      <c r="O44" s="1057">
        <f>('Input Merchant Liabilities'!CT34+'Input Merchant Liabilities'!DE34)/1000000</f>
        <v>0</v>
      </c>
      <c r="P44" s="1057">
        <f>'Input Merchant Liabilities'!DP34/1000000</f>
        <v>0</v>
      </c>
      <c r="Q44" s="1057">
        <f>'Input Merchant Liabilities'!ES34/1000000</f>
        <v>-19.020213999999999</v>
      </c>
      <c r="R44" s="1057">
        <f>'Input Merchant Liabilities'!EF34/1000000</f>
        <v>0</v>
      </c>
      <c r="S44" s="1057">
        <f>('Input Merchant Liabilities'!EQ34+'Input Merchant Liabilities'!FF34)/1000000</f>
        <v>55.892758351546171</v>
      </c>
      <c r="T44" s="1104">
        <f>SUM(K44:S44)</f>
        <v>95.75285556154617</v>
      </c>
      <c r="V44" s="1105">
        <f>T44-'Input Merchant Liabilities'!FL34/1000000</f>
        <v>0</v>
      </c>
      <c r="W44" s="1138">
        <f>+V44*1000000</f>
        <v>0</v>
      </c>
    </row>
    <row r="45" spans="4:23" ht="15.75" thickBot="1">
      <c r="D45" s="1114"/>
      <c r="E45" s="1124"/>
      <c r="F45" s="1127"/>
      <c r="G45" s="1127"/>
      <c r="H45" s="1145"/>
      <c r="I45" s="1127"/>
      <c r="J45" s="1127"/>
      <c r="K45" s="1128"/>
      <c r="L45" s="1127"/>
      <c r="M45" s="1127"/>
      <c r="N45" s="1127"/>
      <c r="O45" s="1127"/>
      <c r="P45" s="1127"/>
      <c r="Q45" s="1127"/>
      <c r="R45" s="1127"/>
      <c r="S45" s="1127"/>
      <c r="T45" s="1128"/>
      <c r="U45" s="1100"/>
    </row>
    <row r="46" spans="4:23" ht="13.5" thickTop="1">
      <c r="D46" s="1129"/>
      <c r="E46" s="1130"/>
      <c r="F46" s="1130"/>
      <c r="G46" s="1130"/>
      <c r="H46" s="1146"/>
      <c r="I46" s="1130"/>
      <c r="J46" s="1130"/>
      <c r="K46" s="1132"/>
      <c r="L46" s="1133"/>
      <c r="M46" s="1133"/>
      <c r="N46" s="1133"/>
      <c r="O46" s="1133"/>
      <c r="P46" s="1133"/>
      <c r="Q46" s="1133"/>
      <c r="R46" s="1133"/>
      <c r="S46" s="1133"/>
      <c r="T46" s="1132"/>
      <c r="U46" s="1100"/>
    </row>
    <row r="47" spans="4:23" ht="16.5">
      <c r="D47" s="963" t="s">
        <v>1360</v>
      </c>
      <c r="E47" s="926"/>
      <c r="F47" s="926"/>
    </row>
  </sheetData>
  <customSheetViews>
    <customSheetView guid="{705E0D18-9A83-42CA-8732-90923BE2EC7D}" scale="85" showPageBreaks="1" showGridLines="0" fitToPage="1" printArea="1" hiddenColumns="1" state="hidden" topLeftCell="C1">
      <pane xSplit="2" ySplit="12" topLeftCell="E13" activePane="bottomRight" state="frozen"/>
      <selection pane="bottomRight" activeCell="B2" sqref="B2:O2"/>
      <pageMargins left="0.09" right="0.13" top="0.6" bottom="0.53" header="0.5" footer="0.5"/>
      <pageSetup scale="47" orientation="landscape" horizontalDpi="300" verticalDpi="300" r:id="rId1"/>
      <headerFooter alignWithMargins="0"/>
    </customSheetView>
    <customSheetView guid="{D45E5F9E-4EA6-40A2-8A1D-3AC67FB8CE54}" scale="85" showPageBreaks="1" showGridLines="0" fitToPage="1" printArea="1" hiddenColumns="1" state="hidden" topLeftCell="C1">
      <pane xSplit="2" ySplit="12" topLeftCell="E13" activePane="bottomRight" state="frozen"/>
      <selection pane="bottomRight" activeCell="B2" sqref="B2:O2"/>
      <pageMargins left="0.09" right="0.13" top="0.6" bottom="0.53" header="0.5" footer="0.5"/>
      <pageSetup scale="48" orientation="landscape" horizontalDpi="300" verticalDpi="300" r:id="rId2"/>
      <headerFooter alignWithMargins="0"/>
    </customSheetView>
    <customSheetView guid="{89CA84C2-78F5-4B05-8F1D-B7C5F97BCB4E}" scale="85" showPageBreaks="1" showGridLines="0" fitToPage="1" printArea="1" hiddenColumns="1" state="hidden" topLeftCell="C1">
      <pane xSplit="2" ySplit="12" topLeftCell="E13" activePane="bottomRight" state="frozen"/>
      <selection pane="bottomRight" activeCell="B2" sqref="B2:O2"/>
      <pageMargins left="0.09" right="0.13" top="0.6" bottom="0.53" header="0.5" footer="0.5"/>
      <pageSetup scale="48" orientation="landscape" horizontalDpi="300" verticalDpi="300" r:id="rId3"/>
      <headerFooter alignWithMargins="0"/>
    </customSheetView>
  </customSheetViews>
  <mergeCells count="3">
    <mergeCell ref="E7:K7"/>
    <mergeCell ref="N7:P7"/>
    <mergeCell ref="D4:V4"/>
  </mergeCells>
  <pageMargins left="0.09" right="0.13" top="0.6" bottom="0.53" header="0.5" footer="0.5"/>
  <pageSetup scale="48" orientation="landscape" horizontalDpi="300" verticalDpi="300" r:id="rId4"/>
  <headerFooter alignWithMargins="0"/>
  <ignoredErrors>
    <ignoredError sqref="H15:H26 H29:H40" unlockedFormula="1"/>
  </ignoredErrors>
  <drawing r:id="rId5"/>
  <legacyDrawing r:id="rId6"/>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autoPageBreaks="0" fitToPage="1"/>
  </sheetPr>
  <dimension ref="A1:Z169"/>
  <sheetViews>
    <sheetView showGridLines="0" showOutlineSymbols="0" zoomScale="85" zoomScaleNormal="85" zoomScaleSheetLayoutView="100" workbookViewId="0">
      <selection activeCell="B2" sqref="B2:O2"/>
    </sheetView>
  </sheetViews>
  <sheetFormatPr defaultColWidth="8.6640625" defaultRowHeight="11.25"/>
  <cols>
    <col min="1" max="1" width="10.109375" style="614" customWidth="1"/>
    <col min="2" max="3" width="8.77734375" style="614" customWidth="1"/>
    <col min="4" max="4" width="10.77734375" style="614" customWidth="1"/>
    <col min="5" max="5" width="11" style="614" customWidth="1"/>
    <col min="6" max="6" width="13.77734375" style="614" customWidth="1"/>
    <col min="7" max="8" width="12.77734375" style="614" customWidth="1"/>
    <col min="9" max="9" width="11.109375" style="614" customWidth="1"/>
    <col min="10" max="10" width="12.21875" style="614" bestFit="1" customWidth="1"/>
    <col min="11" max="11" width="15" style="614" customWidth="1"/>
    <col min="12" max="12" width="10.21875" style="614" customWidth="1"/>
    <col min="13" max="13" width="9.77734375" style="614" bestFit="1" customWidth="1"/>
    <col min="14" max="14" width="13" style="614" bestFit="1" customWidth="1"/>
    <col min="15" max="15" width="12.6640625" style="614" bestFit="1" customWidth="1"/>
    <col min="16" max="16" width="17.44140625" style="614" bestFit="1" customWidth="1"/>
    <col min="17" max="20" width="11.44140625" style="614" customWidth="1"/>
    <col min="21" max="21" width="12.21875" style="614" customWidth="1"/>
    <col min="22" max="22" width="17.5546875" style="614" customWidth="1"/>
    <col min="23" max="23" width="12.5546875" style="1028" bestFit="1" customWidth="1"/>
    <col min="24" max="24" width="8.77734375" style="1029" bestFit="1" customWidth="1"/>
    <col min="25" max="25" width="9.21875" style="1030" bestFit="1" customWidth="1"/>
    <col min="26" max="16384" width="8.6640625" style="614"/>
  </cols>
  <sheetData>
    <row r="1" spans="1:26" ht="27" customHeight="1">
      <c r="B1" s="1893" t="s">
        <v>1721</v>
      </c>
      <c r="C1" s="1893"/>
      <c r="D1" s="1893"/>
      <c r="E1" s="1893"/>
      <c r="F1" s="1893"/>
      <c r="G1" s="1893"/>
      <c r="H1" s="1893"/>
      <c r="I1" s="1893"/>
      <c r="J1" s="1893"/>
      <c r="K1" s="1893"/>
      <c r="L1" s="1893"/>
      <c r="M1" s="1893"/>
      <c r="N1" s="1893"/>
      <c r="O1" s="1893"/>
      <c r="P1" s="1893"/>
      <c r="Q1" s="1893"/>
      <c r="R1" s="1893"/>
      <c r="S1" s="1893"/>
      <c r="T1" s="1893"/>
      <c r="U1" s="1893"/>
    </row>
    <row r="2" spans="1:26" ht="13.9" customHeight="1">
      <c r="A2" s="616"/>
      <c r="B2" s="957"/>
      <c r="C2" s="957"/>
      <c r="D2" s="957"/>
      <c r="E2" s="957"/>
      <c r="F2" s="957"/>
      <c r="G2" s="957"/>
      <c r="H2" s="957"/>
      <c r="I2" s="957"/>
      <c r="J2" s="957"/>
      <c r="K2" s="957"/>
      <c r="L2" s="957"/>
      <c r="M2" s="957"/>
      <c r="N2" s="957"/>
      <c r="O2" s="957"/>
      <c r="P2" s="957"/>
      <c r="Q2" s="957"/>
      <c r="R2" s="957"/>
      <c r="S2" s="957"/>
      <c r="T2" s="957"/>
      <c r="U2" s="957"/>
    </row>
    <row r="3" spans="1:26" ht="19.5" customHeight="1">
      <c r="A3" s="615"/>
      <c r="B3" s="1886" t="s">
        <v>1349</v>
      </c>
      <c r="C3" s="1886"/>
      <c r="D3" s="1886"/>
      <c r="E3" s="1886"/>
      <c r="F3" s="1886"/>
      <c r="G3" s="1886"/>
      <c r="H3" s="1886"/>
      <c r="I3" s="1886"/>
      <c r="J3" s="1886"/>
      <c r="K3" s="1886"/>
      <c r="L3" s="1886"/>
      <c r="M3" s="1886"/>
      <c r="N3" s="1886"/>
      <c r="O3" s="1886"/>
      <c r="P3" s="1886"/>
      <c r="Q3" s="1886"/>
      <c r="R3" s="1886"/>
      <c r="S3" s="1886"/>
      <c r="T3" s="1886"/>
      <c r="U3" s="1886"/>
    </row>
    <row r="4" spans="1:26" ht="13.9" customHeight="1" thickBot="1">
      <c r="A4" s="616"/>
      <c r="B4" s="752"/>
      <c r="C4" s="752"/>
      <c r="D4" s="752"/>
      <c r="E4" s="752"/>
      <c r="F4" s="752"/>
      <c r="G4" s="752"/>
      <c r="H4" s="752"/>
      <c r="I4" s="752"/>
      <c r="J4" s="752"/>
      <c r="K4" s="752"/>
      <c r="L4" s="752"/>
      <c r="M4" s="752"/>
      <c r="N4" s="752"/>
      <c r="O4" s="752"/>
      <c r="P4" s="752"/>
      <c r="Q4" s="752"/>
      <c r="R4" s="752"/>
      <c r="S4" s="752"/>
      <c r="T4" s="752"/>
      <c r="U4" s="752"/>
    </row>
    <row r="5" spans="1:26" ht="15" customHeight="1" thickTop="1">
      <c r="B5" s="1031"/>
      <c r="C5" s="1032"/>
      <c r="D5" s="1033"/>
      <c r="E5" s="1034"/>
      <c r="F5" s="1034"/>
      <c r="G5" s="1035"/>
      <c r="H5" s="1034"/>
      <c r="I5" s="1033"/>
      <c r="J5" s="1034"/>
      <c r="K5" s="1034"/>
      <c r="L5" s="1035"/>
      <c r="M5" s="1036"/>
      <c r="N5" s="1036"/>
      <c r="O5" s="1036"/>
      <c r="P5" s="1036"/>
      <c r="Q5" s="1036"/>
      <c r="R5" s="1036"/>
      <c r="S5" s="1036"/>
      <c r="T5" s="1036"/>
      <c r="U5" s="1036"/>
    </row>
    <row r="6" spans="1:26" ht="19.5" customHeight="1" thickBot="1">
      <c r="B6" s="1037"/>
      <c r="C6" s="1038"/>
      <c r="D6" s="1853"/>
      <c r="E6" s="1854"/>
      <c r="F6" s="1854"/>
      <c r="G6" s="1855"/>
      <c r="H6" s="1039"/>
      <c r="I6" s="1856"/>
      <c r="J6" s="1857"/>
      <c r="K6" s="1857"/>
      <c r="L6" s="1858"/>
      <c r="M6" s="1040"/>
      <c r="N6" s="1040"/>
      <c r="O6" s="1040"/>
      <c r="P6" s="1040"/>
      <c r="Q6" s="1040"/>
      <c r="R6" s="1040"/>
      <c r="S6" s="1040"/>
      <c r="T6" s="1040"/>
      <c r="U6" s="1040"/>
    </row>
    <row r="7" spans="1:26" ht="15" customHeight="1" thickTop="1" thickBot="1">
      <c r="B7" s="1041"/>
      <c r="C7" s="1041"/>
      <c r="D7" s="1040" t="s">
        <v>35</v>
      </c>
      <c r="E7" s="1040"/>
      <c r="F7" s="1040"/>
      <c r="G7" s="1040"/>
      <c r="H7" s="1042"/>
      <c r="I7" s="1890" t="s">
        <v>1694</v>
      </c>
      <c r="J7" s="1891"/>
      <c r="K7" s="1891"/>
      <c r="L7" s="1892"/>
      <c r="M7" s="1890" t="s">
        <v>1695</v>
      </c>
      <c r="N7" s="1891"/>
      <c r="O7" s="1891"/>
      <c r="P7" s="1892"/>
      <c r="Q7" s="1040" t="s">
        <v>1722</v>
      </c>
      <c r="R7" s="1040" t="s">
        <v>1696</v>
      </c>
      <c r="S7" s="1040" t="s">
        <v>1479</v>
      </c>
      <c r="T7" s="1040" t="s">
        <v>1164</v>
      </c>
      <c r="U7" s="1043" t="s">
        <v>287</v>
      </c>
    </row>
    <row r="8" spans="1:26" ht="16.5" customHeight="1" thickTop="1">
      <c r="B8" s="1040" t="s">
        <v>32</v>
      </c>
      <c r="C8" s="1040"/>
      <c r="D8" s="1040" t="s">
        <v>998</v>
      </c>
      <c r="E8" s="1040"/>
      <c r="F8" s="1040"/>
      <c r="G8" s="1040"/>
      <c r="H8" s="1040"/>
      <c r="I8" s="1044"/>
      <c r="J8" s="1045"/>
      <c r="K8" s="1045"/>
      <c r="L8" s="1045"/>
      <c r="M8" s="1040"/>
      <c r="N8" s="1040"/>
      <c r="O8" s="1040"/>
      <c r="P8" s="1040"/>
      <c r="Q8" s="1040"/>
      <c r="R8" s="1040"/>
      <c r="S8" s="1040"/>
      <c r="T8" s="1040" t="s">
        <v>1026</v>
      </c>
      <c r="U8" s="1040"/>
    </row>
    <row r="9" spans="1:26" ht="18" customHeight="1">
      <c r="B9" s="1041"/>
      <c r="C9" s="1040" t="s">
        <v>1326</v>
      </c>
      <c r="D9" s="1040" t="s">
        <v>766</v>
      </c>
      <c r="E9" s="1040" t="s">
        <v>999</v>
      </c>
      <c r="F9" s="1040" t="s">
        <v>1697</v>
      </c>
      <c r="G9" s="1040" t="s">
        <v>999</v>
      </c>
      <c r="H9" s="1040" t="s">
        <v>1698</v>
      </c>
      <c r="I9" s="1040"/>
      <c r="J9" s="1046"/>
      <c r="K9" s="1046"/>
      <c r="L9" s="1046"/>
      <c r="M9" s="1040"/>
      <c r="N9" s="1040"/>
      <c r="O9" s="1040"/>
      <c r="P9" s="1040"/>
      <c r="Q9" s="1040"/>
      <c r="R9" s="1040"/>
      <c r="S9" s="1040"/>
      <c r="T9" s="1040"/>
      <c r="U9" s="1040"/>
    </row>
    <row r="10" spans="1:26" ht="17.25" customHeight="1">
      <c r="B10" s="1041"/>
      <c r="C10" s="1040" t="s">
        <v>1351</v>
      </c>
      <c r="D10" s="1040" t="s">
        <v>1004</v>
      </c>
      <c r="E10" s="1040" t="s">
        <v>1001</v>
      </c>
      <c r="F10" s="1040" t="s">
        <v>1699</v>
      </c>
      <c r="G10" s="1040" t="s">
        <v>1001</v>
      </c>
      <c r="H10" s="1040" t="s">
        <v>1700</v>
      </c>
      <c r="I10" s="1046" t="s">
        <v>1701</v>
      </c>
      <c r="J10" s="1046" t="s">
        <v>1702</v>
      </c>
      <c r="K10" s="1040" t="s">
        <v>1141</v>
      </c>
      <c r="L10" s="1046" t="s">
        <v>1703</v>
      </c>
      <c r="M10" s="1040" t="s">
        <v>64</v>
      </c>
      <c r="N10" s="1040" t="s">
        <v>1704</v>
      </c>
      <c r="O10" s="1040" t="s">
        <v>1141</v>
      </c>
      <c r="P10" s="1046" t="s">
        <v>1705</v>
      </c>
      <c r="Q10" s="1040"/>
      <c r="R10" s="1040"/>
      <c r="S10" s="1040"/>
      <c r="T10" s="1040"/>
      <c r="U10" s="1040"/>
    </row>
    <row r="11" spans="1:26" ht="18.75" customHeight="1" thickBot="1">
      <c r="B11" s="1047"/>
      <c r="C11" s="1048" t="s">
        <v>1324</v>
      </c>
      <c r="D11" s="1049"/>
      <c r="E11" s="1049" t="s">
        <v>1005</v>
      </c>
      <c r="F11" s="1049" t="s">
        <v>1706</v>
      </c>
      <c r="G11" s="1049" t="s">
        <v>1187</v>
      </c>
      <c r="H11" s="1049" t="s">
        <v>1707</v>
      </c>
      <c r="I11" s="1049" t="s">
        <v>1163</v>
      </c>
      <c r="J11" s="1050" t="s">
        <v>1708</v>
      </c>
      <c r="K11" s="1050"/>
      <c r="L11" s="1050"/>
      <c r="M11" s="1049"/>
      <c r="N11" s="1049"/>
      <c r="O11" s="1049"/>
      <c r="P11" s="1049"/>
      <c r="Q11" s="1049"/>
      <c r="R11" s="1049"/>
      <c r="S11" s="1049"/>
      <c r="T11" s="1049"/>
      <c r="U11" s="1049"/>
    </row>
    <row r="12" spans="1:26" ht="15" customHeight="1" thickTop="1">
      <c r="B12" s="1051"/>
      <c r="C12" s="1051"/>
      <c r="D12" s="1044"/>
      <c r="E12" s="1040"/>
      <c r="F12" s="1040"/>
      <c r="G12" s="1040"/>
      <c r="H12" s="1040"/>
      <c r="I12" s="1044"/>
      <c r="J12" s="1046"/>
      <c r="K12" s="1046"/>
      <c r="L12" s="1046"/>
      <c r="M12" s="1040"/>
      <c r="N12" s="1040"/>
      <c r="O12" s="1040"/>
      <c r="P12" s="1040"/>
      <c r="Q12" s="1040"/>
      <c r="R12" s="1040"/>
      <c r="S12" s="1040"/>
      <c r="T12" s="1040"/>
      <c r="U12" s="1040"/>
      <c r="W12" s="1052" t="s">
        <v>1709</v>
      </c>
    </row>
    <row r="13" spans="1:26" ht="15" customHeight="1">
      <c r="B13" s="1053">
        <v>2015</v>
      </c>
      <c r="E13" s="1040"/>
      <c r="F13" s="1040"/>
      <c r="G13" s="1040"/>
      <c r="H13" s="1040"/>
      <c r="I13" s="1040"/>
      <c r="J13" s="1046"/>
      <c r="K13" s="1046"/>
      <c r="L13" s="1046"/>
      <c r="M13" s="1040"/>
      <c r="N13" s="1040"/>
      <c r="O13" s="1040"/>
      <c r="P13" s="1040"/>
      <c r="Q13" s="1040"/>
      <c r="R13" s="1040"/>
      <c r="S13" s="1040"/>
      <c r="T13" s="1040"/>
      <c r="U13" s="1040"/>
    </row>
    <row r="14" spans="1:26" ht="15" customHeight="1">
      <c r="B14" s="1054" t="s">
        <v>1170</v>
      </c>
      <c r="C14" s="1147">
        <f>'Input POSB Assets'!G6/1000000</f>
        <v>1.9077E-2</v>
      </c>
      <c r="D14" s="1147">
        <f>'Input POSB Assets'!AP6/1000000</f>
        <v>9.3452230000000007</v>
      </c>
      <c r="E14" s="1056">
        <f>'Input POSB Assets'!I6/1000000</f>
        <v>7.0154800000000002</v>
      </c>
      <c r="F14" s="1056">
        <f>('Input POSB Assets'!M6+'Input POSB Assets'!X6+'Input POSB Assets'!AF6+'Input POSB Assets'!AK6)/1000000</f>
        <v>0.34471299999999999</v>
      </c>
      <c r="G14" s="1057">
        <f>'Input POSB Assets'!AQ6/1000000</f>
        <v>0.92405400000000004</v>
      </c>
      <c r="H14" s="1057">
        <f>('Input POSB Assets'!AT6+'Input POSB Assets'!AU6+'Input POSB Assets'!AV6+'Input POSB Assets'!AW6)/1000000</f>
        <v>0</v>
      </c>
      <c r="I14" s="1057">
        <f>('Input POSB Assets'!AZ6+'Input POSB Assets'!BC6+'Input POSB Assets'!BD6)/1000000</f>
        <v>0</v>
      </c>
      <c r="J14" s="1058">
        <f>'Input POSB Assets'!BM6/1000000</f>
        <v>0</v>
      </c>
      <c r="K14" s="1058">
        <f>'Input POSB Assets'!BU6/1000000</f>
        <v>0</v>
      </c>
      <c r="L14" s="1058">
        <f>('Input POSB Assets'!CY6+'Input POSB Assets'!DN6)/1000000</f>
        <v>0</v>
      </c>
      <c r="M14" s="1057">
        <f>'Input POSB Assets'!BE6/1000000</f>
        <v>0</v>
      </c>
      <c r="N14" s="1057">
        <f>('Input POSB Assets'!BQ6+'Input POSB Assets'!BR6)/1000000</f>
        <v>0</v>
      </c>
      <c r="O14" s="1057">
        <f>('Input POSB Assets'!BT6+'Input POSB Assets'!CC6)/1000000</f>
        <v>0.36658151999999999</v>
      </c>
      <c r="P14" s="1057">
        <f>'Input POSB Assets'!CU6/1000000+'Input POSB Assets'!CQ6/1000000</f>
        <v>65.684050999999997</v>
      </c>
      <c r="Q14" s="1057">
        <f>'Input POSB Assets'!DY6/1000000</f>
        <v>2.7838620000000001</v>
      </c>
      <c r="R14" s="1057"/>
      <c r="S14" s="1057">
        <f>'Input POSB Assets'!EM6/1000000</f>
        <v>13.849378</v>
      </c>
      <c r="T14" s="1057">
        <f>'Input POSB Assets'!EH6/1000000</f>
        <v>7.6291270000000004</v>
      </c>
      <c r="U14" s="1059">
        <f>SUM(C14:T14)</f>
        <v>107.96154652</v>
      </c>
      <c r="W14" s="1060">
        <f>U14-'Input POSB Assets'!ES6/1000000</f>
        <v>0</v>
      </c>
      <c r="X14" s="1061">
        <f>+W14/U14</f>
        <v>0</v>
      </c>
      <c r="Y14" s="1030">
        <f>+W14*1000000</f>
        <v>0</v>
      </c>
      <c r="Z14" s="614">
        <f>+Y14/2</f>
        <v>0</v>
      </c>
    </row>
    <row r="15" spans="1:26" ht="15" customHeight="1">
      <c r="B15" s="1054" t="s">
        <v>1172</v>
      </c>
      <c r="C15" s="1147">
        <f>'Input POSB Assets'!G7/1000000</f>
        <v>9.0360000000000006E-3</v>
      </c>
      <c r="D15" s="1147">
        <f>'Input POSB Assets'!AP7/1000000</f>
        <v>3.35216</v>
      </c>
      <c r="E15" s="1056">
        <f>'Input POSB Assets'!I7/1000000</f>
        <v>9.962904</v>
      </c>
      <c r="F15" s="1056">
        <f>('Input POSB Assets'!M7+'Input POSB Assets'!X7+'Input POSB Assets'!AF7+'Input POSB Assets'!AK7)/1000000</f>
        <v>3.8559109999999999</v>
      </c>
      <c r="G15" s="1057">
        <f>'Input POSB Assets'!AQ7/1000000</f>
        <v>0.83339399999999997</v>
      </c>
      <c r="H15" s="1057">
        <f>('Input POSB Assets'!AT7+'Input POSB Assets'!AU7+'Input POSB Assets'!AV7+'Input POSB Assets'!AW7)/1000000</f>
        <v>0</v>
      </c>
      <c r="I15" s="1057">
        <f>('Input POSB Assets'!AZ7+'Input POSB Assets'!BC7+'Input POSB Assets'!BD7)/1000000</f>
        <v>0</v>
      </c>
      <c r="J15" s="1058">
        <f>'Input POSB Assets'!BM7/1000000</f>
        <v>0</v>
      </c>
      <c r="K15" s="1058">
        <f>'Input POSB Assets'!BU7/1000000</f>
        <v>0</v>
      </c>
      <c r="L15" s="1058">
        <f>('Input POSB Assets'!CY7+'Input POSB Assets'!DN7)/1000000</f>
        <v>0</v>
      </c>
      <c r="M15" s="1057">
        <f>'Input POSB Assets'!BE7/1000000</f>
        <v>0</v>
      </c>
      <c r="N15" s="1057">
        <f>('Input POSB Assets'!BQ7+'Input POSB Assets'!BR7)/1000000</f>
        <v>0</v>
      </c>
      <c r="O15" s="1057">
        <f>('Input POSB Assets'!BT7+'Input POSB Assets'!CC7)/1000000</f>
        <v>0.32788415000000004</v>
      </c>
      <c r="P15" s="1057">
        <f>'Input POSB Assets'!CU7/1000000+'Input POSB Assets'!CQ7/1000000</f>
        <v>69.230706999999995</v>
      </c>
      <c r="Q15" s="1057">
        <f>'Input POSB Assets'!DY7/1000000</f>
        <v>2.8091300000000001</v>
      </c>
      <c r="R15" s="1057"/>
      <c r="S15" s="1057">
        <f>'Input POSB Assets'!EM7/1000000</f>
        <v>15.214446000000001</v>
      </c>
      <c r="T15" s="1057">
        <f>'Input POSB Assets'!EH7/1000000</f>
        <v>7.5273640000000004</v>
      </c>
      <c r="U15" s="1059">
        <f t="shared" ref="U15:U39" si="0">SUM(C15:T15)</f>
        <v>113.12293614999999</v>
      </c>
      <c r="W15" s="1060">
        <f>U15-'Input POSB Assets'!ES7/1000000</f>
        <v>0</v>
      </c>
      <c r="X15" s="1061">
        <f t="shared" ref="X15:X39" si="1">+W15/U15</f>
        <v>0</v>
      </c>
      <c r="Y15" s="1030">
        <f t="shared" ref="Y15:Y25" si="2">+W15*1000000</f>
        <v>0</v>
      </c>
    </row>
    <row r="16" spans="1:26" ht="15" customHeight="1">
      <c r="B16" s="1054" t="s">
        <v>1173</v>
      </c>
      <c r="C16" s="1147">
        <f>'Input POSB Assets'!G8/1000000</f>
        <v>6.1050000000000002E-3</v>
      </c>
      <c r="D16" s="1147">
        <f>'Input POSB Assets'!AP8/1000000</f>
        <v>1.771838</v>
      </c>
      <c r="E16" s="1056">
        <f>'Input POSB Assets'!I8/1000000</f>
        <v>10.793016</v>
      </c>
      <c r="F16" s="1056">
        <f>('Input POSB Assets'!M8+'Input POSB Assets'!X8+'Input POSB Assets'!AF8+'Input POSB Assets'!AK8)/1000000</f>
        <v>5.1139080000000003</v>
      </c>
      <c r="G16" s="1057">
        <f>'Input POSB Assets'!AQ8/1000000</f>
        <v>1.292986</v>
      </c>
      <c r="H16" s="1057">
        <f>('Input POSB Assets'!AT8+'Input POSB Assets'!AU8+'Input POSB Assets'!AV8+'Input POSB Assets'!AW8)/1000000</f>
        <v>0</v>
      </c>
      <c r="I16" s="1057">
        <f>('Input POSB Assets'!AZ8+'Input POSB Assets'!BC8+'Input POSB Assets'!BD8)/1000000</f>
        <v>7.5160429999999998</v>
      </c>
      <c r="J16" s="1058">
        <f>'Input POSB Assets'!BM8/1000000</f>
        <v>0</v>
      </c>
      <c r="K16" s="1058">
        <f>'Input POSB Assets'!BU8/1000000</f>
        <v>0</v>
      </c>
      <c r="L16" s="1058">
        <f>('Input POSB Assets'!CY8+'Input POSB Assets'!DN8)/1000000</f>
        <v>0</v>
      </c>
      <c r="M16" s="1057">
        <f>'Input POSB Assets'!BE8/1000000</f>
        <v>0</v>
      </c>
      <c r="N16" s="1057">
        <f>('Input POSB Assets'!BQ8+'Input POSB Assets'!BR8)/1000000</f>
        <v>0</v>
      </c>
      <c r="O16" s="1057">
        <f>('Input POSB Assets'!BT8+'Input POSB Assets'!CC8)/1000000</f>
        <v>0.35607290000000003</v>
      </c>
      <c r="P16" s="1057">
        <f>'Input POSB Assets'!CU8/1000000+'Input POSB Assets'!CQ8/1000000</f>
        <v>68.235142999999994</v>
      </c>
      <c r="Q16" s="1057">
        <f>'Input POSB Assets'!DY8/1000000</f>
        <v>2.1445820000000002</v>
      </c>
      <c r="R16" s="1057"/>
      <c r="S16" s="1057">
        <f>'Input POSB Assets'!EM8/1000000</f>
        <v>15.33231</v>
      </c>
      <c r="T16" s="1057">
        <f>'Input POSB Assets'!EH8/1000000</f>
        <v>7.4200189999999999</v>
      </c>
      <c r="U16" s="1059">
        <f t="shared" si="0"/>
        <v>119.98202289999998</v>
      </c>
      <c r="W16" s="1060">
        <f>U16-'Input POSB Assets'!ES8/1000000</f>
        <v>0</v>
      </c>
      <c r="X16" s="1061">
        <f t="shared" si="1"/>
        <v>0</v>
      </c>
      <c r="Y16" s="1030">
        <f t="shared" si="2"/>
        <v>0</v>
      </c>
    </row>
    <row r="17" spans="2:25" ht="15" customHeight="1">
      <c r="B17" s="1054" t="s">
        <v>1174</v>
      </c>
      <c r="C17" s="1147">
        <f>'Input POSB Assets'!G9/1000000</f>
        <v>4.8918999999999997E-2</v>
      </c>
      <c r="D17" s="1147">
        <f>'Input POSB Assets'!AP9/1000000</f>
        <v>4.1120710000000003</v>
      </c>
      <c r="E17" s="1056">
        <f>'Input POSB Assets'!I9/1000000</f>
        <v>11.96585</v>
      </c>
      <c r="F17" s="1056">
        <f>('Input POSB Assets'!M9+'Input POSB Assets'!X9+'Input POSB Assets'!AF9+'Input POSB Assets'!AK9)/1000000</f>
        <v>0.125195</v>
      </c>
      <c r="G17" s="1057">
        <f>'Input POSB Assets'!AQ9/1000000</f>
        <v>0.57730400000000004</v>
      </c>
      <c r="H17" s="1057">
        <f>('Input POSB Assets'!AT9+'Input POSB Assets'!AU9+'Input POSB Assets'!AV9+'Input POSB Assets'!AW9)/1000000</f>
        <v>0</v>
      </c>
      <c r="I17" s="1057">
        <f>('Input POSB Assets'!AZ9+'Input POSB Assets'!BC9+'Input POSB Assets'!BD9)/1000000</f>
        <v>7.5160429999999998</v>
      </c>
      <c r="J17" s="1058">
        <f>'Input POSB Assets'!BM9/1000000</f>
        <v>0</v>
      </c>
      <c r="K17" s="1058">
        <f>'Input POSB Assets'!BU9/1000000</f>
        <v>0</v>
      </c>
      <c r="L17" s="1058">
        <f>('Input POSB Assets'!CY9+'Input POSB Assets'!DN9)/1000000</f>
        <v>0</v>
      </c>
      <c r="M17" s="1057">
        <f>'Input POSB Assets'!BE9/1000000</f>
        <v>0</v>
      </c>
      <c r="N17" s="1057">
        <f>('Input POSB Assets'!BQ9+'Input POSB Assets'!BR9)/1000000</f>
        <v>0</v>
      </c>
      <c r="O17" s="1057">
        <f>('Input POSB Assets'!BT9+'Input POSB Assets'!CC9)/1000000</f>
        <v>0.28864137000000001</v>
      </c>
      <c r="P17" s="1057">
        <f>'Input POSB Assets'!CU9/1000000+'Input POSB Assets'!CQ9/1000000</f>
        <v>66.171970000000002</v>
      </c>
      <c r="Q17" s="1057">
        <f>'Input POSB Assets'!DY9/1000000</f>
        <v>2.2290830000000001</v>
      </c>
      <c r="R17" s="1057"/>
      <c r="S17" s="1057">
        <f>'Input POSB Assets'!EM9/1000000</f>
        <v>16.060759999999998</v>
      </c>
      <c r="T17" s="1057">
        <f>'Input POSB Assets'!EH9/1000000</f>
        <v>7.3335220000000003</v>
      </c>
      <c r="U17" s="1059">
        <f t="shared" si="0"/>
        <v>116.42935837000002</v>
      </c>
      <c r="W17" s="1060">
        <f>U17-'Input POSB Assets'!ES9/1000000</f>
        <v>0</v>
      </c>
      <c r="X17" s="1061">
        <f t="shared" si="1"/>
        <v>0</v>
      </c>
      <c r="Y17" s="1030">
        <f t="shared" si="2"/>
        <v>0</v>
      </c>
    </row>
    <row r="18" spans="2:25" ht="15" customHeight="1">
      <c r="B18" s="1054" t="s">
        <v>1165</v>
      </c>
      <c r="C18" s="1147">
        <f>'Input POSB Assets'!G10/1000000</f>
        <v>1.7479999999999999E-2</v>
      </c>
      <c r="D18" s="1147">
        <f>'Input POSB Assets'!AP10/1000000</f>
        <v>7.6709959999999997</v>
      </c>
      <c r="E18" s="1056">
        <f>'Input POSB Assets'!I10/1000000</f>
        <v>5.7314870000000004</v>
      </c>
      <c r="F18" s="1056">
        <f>('Input POSB Assets'!M10+'Input POSB Assets'!X10+'Input POSB Assets'!AF10+'Input POSB Assets'!AK10)/1000000</f>
        <v>0.24227000000000001</v>
      </c>
      <c r="G18" s="1057">
        <f>'Input POSB Assets'!AQ10/1000000</f>
        <v>0.75479300000000005</v>
      </c>
      <c r="H18" s="1057">
        <f>('Input POSB Assets'!AT10+'Input POSB Assets'!AU10+'Input POSB Assets'!AV10+'Input POSB Assets'!AW10)/1000000</f>
        <v>0</v>
      </c>
      <c r="I18" s="1057">
        <f>('Input POSB Assets'!AZ10+'Input POSB Assets'!BC10+'Input POSB Assets'!BD10)/1000000</f>
        <v>8.1160429999999995</v>
      </c>
      <c r="J18" s="1058">
        <f>'Input POSB Assets'!BM10/1000000</f>
        <v>0</v>
      </c>
      <c r="K18" s="1058">
        <f>'Input POSB Assets'!BU10/1000000</f>
        <v>0</v>
      </c>
      <c r="L18" s="1058">
        <f>('Input POSB Assets'!CY10+'Input POSB Assets'!DN10)/1000000</f>
        <v>0</v>
      </c>
      <c r="M18" s="1057">
        <f>'Input POSB Assets'!BE10/1000000</f>
        <v>0</v>
      </c>
      <c r="N18" s="1057">
        <f>('Input POSB Assets'!BQ10+'Input POSB Assets'!BR10)/1000000</f>
        <v>0</v>
      </c>
      <c r="O18" s="1057">
        <f>('Input POSB Assets'!BT10+'Input POSB Assets'!CC10)/1000000</f>
        <v>0.19909014000000003</v>
      </c>
      <c r="P18" s="1057">
        <f>'Input POSB Assets'!CU10/1000000+'Input POSB Assets'!CQ10/1000000</f>
        <v>67.637582999999992</v>
      </c>
      <c r="Q18" s="1057">
        <f>'Input POSB Assets'!DY10/1000000</f>
        <v>2.2439840000000002</v>
      </c>
      <c r="R18" s="1057"/>
      <c r="S18" s="1057">
        <f>'Input POSB Assets'!EM10/1000000</f>
        <v>7.6822379999999999</v>
      </c>
      <c r="T18" s="1057">
        <f>'Input POSB Assets'!EH10/1000000</f>
        <v>7.2690590000000004</v>
      </c>
      <c r="U18" s="1059">
        <f t="shared" si="0"/>
        <v>107.56502313999998</v>
      </c>
      <c r="W18" s="1060">
        <f>U18-'Input POSB Assets'!ES10/1000000</f>
        <v>0</v>
      </c>
      <c r="X18" s="1061">
        <f t="shared" si="1"/>
        <v>0</v>
      </c>
      <c r="Y18" s="1030">
        <f t="shared" si="2"/>
        <v>0</v>
      </c>
    </row>
    <row r="19" spans="2:25" ht="15" customHeight="1">
      <c r="B19" s="1054" t="s">
        <v>1175</v>
      </c>
      <c r="C19" s="1147">
        <f>'Input POSB Assets'!G11/1000000</f>
        <v>5.6311E-2</v>
      </c>
      <c r="D19" s="1147">
        <f>'Input POSB Assets'!AP11/1000000</f>
        <v>7.3071349999999997</v>
      </c>
      <c r="E19" s="1056">
        <f>'Input POSB Assets'!I11/1000000</f>
        <v>9.6297969999999999</v>
      </c>
      <c r="F19" s="1056">
        <f>('Input POSB Assets'!M11+'Input POSB Assets'!X11+'Input POSB Assets'!AF11+'Input POSB Assets'!AK11)/1000000</f>
        <v>0.18701100000000001</v>
      </c>
      <c r="G19" s="1057">
        <f>'Input POSB Assets'!AQ11/1000000</f>
        <v>0.63354200000000005</v>
      </c>
      <c r="H19" s="1057">
        <f>('Input POSB Assets'!AT11+'Input POSB Assets'!AU11+'Input POSB Assets'!AV11+'Input POSB Assets'!AW11)/1000000</f>
        <v>0</v>
      </c>
      <c r="I19" s="1057">
        <f>('Input POSB Assets'!AZ11+'Input POSB Assets'!BC11+'Input POSB Assets'!BD11)/1000000</f>
        <v>8.1160429999999995</v>
      </c>
      <c r="J19" s="1058">
        <f>'Input POSB Assets'!BM11/1000000</f>
        <v>0</v>
      </c>
      <c r="K19" s="1058">
        <f>'Input POSB Assets'!BU11/1000000</f>
        <v>0</v>
      </c>
      <c r="L19" s="1058">
        <f>('Input POSB Assets'!CY11+'Input POSB Assets'!DN11)/1000000</f>
        <v>0</v>
      </c>
      <c r="M19" s="1057">
        <f>'Input POSB Assets'!BE11/1000000</f>
        <v>0</v>
      </c>
      <c r="N19" s="1057">
        <f>('Input POSB Assets'!BQ11+'Input POSB Assets'!BR11)/1000000</f>
        <v>0</v>
      </c>
      <c r="O19" s="1057">
        <f>('Input POSB Assets'!BT11+'Input POSB Assets'!CC11)/1000000</f>
        <v>0.200128</v>
      </c>
      <c r="P19" s="1057">
        <f>'Input POSB Assets'!CU11/1000000+'Input POSB Assets'!CQ11/1000000</f>
        <v>70.527239000000009</v>
      </c>
      <c r="Q19" s="1057">
        <f>'Input POSB Assets'!DY11/1000000</f>
        <v>2.207014</v>
      </c>
      <c r="R19" s="1057"/>
      <c r="S19" s="1057">
        <f>'Input POSB Assets'!EM11/1000000</f>
        <v>16.075465000000001</v>
      </c>
      <c r="T19" s="1057">
        <f>'Input POSB Assets'!EH11/1000000</f>
        <v>7.6697879999999996</v>
      </c>
      <c r="U19" s="1059">
        <f t="shared" si="0"/>
        <v>122.60947299999999</v>
      </c>
      <c r="W19" s="1060">
        <f>U19-'Input POSB Assets'!ES11/1000000</f>
        <v>0</v>
      </c>
      <c r="X19" s="1061">
        <f t="shared" si="1"/>
        <v>0</v>
      </c>
      <c r="Y19" s="1030">
        <f t="shared" si="2"/>
        <v>0</v>
      </c>
    </row>
    <row r="20" spans="2:25" ht="15" customHeight="1">
      <c r="B20" s="1054" t="s">
        <v>1176</v>
      </c>
      <c r="C20" s="1147">
        <f>'Input POSB Assets'!G12/1000000</f>
        <v>1.9803000000000001E-2</v>
      </c>
      <c r="D20" s="1147">
        <f>'Input POSB Assets'!AP12/1000000</f>
        <v>5.9594259999999997</v>
      </c>
      <c r="E20" s="1056">
        <f>'Input POSB Assets'!I12/1000000</f>
        <v>3.9910730000000001</v>
      </c>
      <c r="F20" s="1056">
        <f>('Input POSB Assets'!M12+'Input POSB Assets'!X12+'Input POSB Assets'!AF12+'Input POSB Assets'!AK12)/1000000</f>
        <v>0.101479</v>
      </c>
      <c r="G20" s="1057">
        <f>'Input POSB Assets'!AQ12/1000000</f>
        <v>0.665246</v>
      </c>
      <c r="H20" s="1057">
        <f>('Input POSB Assets'!AT12+'Input POSB Assets'!AU12+'Input POSB Assets'!AV12+'Input POSB Assets'!AW12)/1000000</f>
        <v>0</v>
      </c>
      <c r="I20" s="1057">
        <f>('Input POSB Assets'!AZ12+'Input POSB Assets'!BC12+'Input POSB Assets'!BD12)/1000000</f>
        <v>8.1160429999999995</v>
      </c>
      <c r="J20" s="1058">
        <f>'Input POSB Assets'!BM12/1000000</f>
        <v>0</v>
      </c>
      <c r="K20" s="1058">
        <f>'Input POSB Assets'!BU12/1000000</f>
        <v>0</v>
      </c>
      <c r="L20" s="1058">
        <f>('Input POSB Assets'!CY12+'Input POSB Assets'!DN12)/1000000</f>
        <v>0</v>
      </c>
      <c r="M20" s="1057">
        <f>'Input POSB Assets'!BE12/1000000</f>
        <v>0</v>
      </c>
      <c r="N20" s="1057">
        <f>('Input POSB Assets'!BQ12+'Input POSB Assets'!BR12)/1000000</f>
        <v>0</v>
      </c>
      <c r="O20" s="1057">
        <f>('Input POSB Assets'!BT12+'Input POSB Assets'!CC12)/1000000</f>
        <v>0.19997000000000001</v>
      </c>
      <c r="P20" s="1057">
        <f>'Input POSB Assets'!CU12/1000000+'Input POSB Assets'!CQ12/1000000</f>
        <v>72.821697999999998</v>
      </c>
      <c r="Q20" s="1057">
        <f>'Input POSB Assets'!DY12/1000000</f>
        <v>1.936313</v>
      </c>
      <c r="R20" s="1057"/>
      <c r="S20" s="1057">
        <f>'Input POSB Assets'!EM12/1000000</f>
        <v>16.374311840000001</v>
      </c>
      <c r="T20" s="1057">
        <f>'Input POSB Assets'!EH12/1000000</f>
        <v>7.8416870000000003</v>
      </c>
      <c r="U20" s="1059">
        <f t="shared" si="0"/>
        <v>118.02704983999999</v>
      </c>
      <c r="W20" s="1060">
        <f>U20-'Input POSB Assets'!ES12/1000000</f>
        <v>0</v>
      </c>
      <c r="X20" s="1061">
        <f t="shared" si="1"/>
        <v>0</v>
      </c>
      <c r="Y20" s="1030">
        <f t="shared" si="2"/>
        <v>0</v>
      </c>
    </row>
    <row r="21" spans="2:25" ht="15" customHeight="1">
      <c r="B21" s="1054" t="s">
        <v>1177</v>
      </c>
      <c r="C21" s="1147">
        <f>'Input POSB Assets'!G13/1000000</f>
        <v>1.6275999999999999E-2</v>
      </c>
      <c r="D21" s="1147">
        <f>'Input POSB Assets'!AP13/1000000</f>
        <v>4.8534160000000002</v>
      </c>
      <c r="E21" s="1056">
        <f>'Input POSB Assets'!I13/1000000</f>
        <v>6.2456769999999997</v>
      </c>
      <c r="F21" s="1056">
        <f>('Input POSB Assets'!M13+'Input POSB Assets'!X13+'Input POSB Assets'!AF13+'Input POSB Assets'!AK13)/1000000</f>
        <v>0.44688299999999997</v>
      </c>
      <c r="G21" s="1057">
        <f>'Input POSB Assets'!AQ13/1000000</f>
        <v>0.862765</v>
      </c>
      <c r="H21" s="1057">
        <f>('Input POSB Assets'!AT13+'Input POSB Assets'!AU13+'Input POSB Assets'!AV13+'Input POSB Assets'!AW13)/1000000</f>
        <v>0</v>
      </c>
      <c r="I21" s="1057">
        <f>('Input POSB Assets'!AZ13+'Input POSB Assets'!BC13+'Input POSB Assets'!BD13)/1000000</f>
        <v>10.983634</v>
      </c>
      <c r="J21" s="1058">
        <f>'Input POSB Assets'!BM13/1000000</f>
        <v>0</v>
      </c>
      <c r="K21" s="1058">
        <f>'Input POSB Assets'!BU13/1000000</f>
        <v>0</v>
      </c>
      <c r="L21" s="1058">
        <f>('Input POSB Assets'!CY13+'Input POSB Assets'!DN13)/1000000</f>
        <v>0</v>
      </c>
      <c r="M21" s="1057">
        <f>'Input POSB Assets'!BE13/1000000</f>
        <v>0</v>
      </c>
      <c r="N21" s="1057">
        <f>('Input POSB Assets'!BQ13+'Input POSB Assets'!BR13)/1000000</f>
        <v>0</v>
      </c>
      <c r="O21" s="1057">
        <f>('Input POSB Assets'!BT13+'Input POSB Assets'!CC13)/1000000</f>
        <v>0.202602</v>
      </c>
      <c r="P21" s="1057">
        <f>'Input POSB Assets'!CU13/1000000+'Input POSB Assets'!CQ13/1000000</f>
        <v>70.693904000000003</v>
      </c>
      <c r="Q21" s="1057">
        <f>'Input POSB Assets'!DY13/1000000</f>
        <v>1.849272</v>
      </c>
      <c r="R21" s="1057"/>
      <c r="S21" s="1057">
        <f>'Input POSB Assets'!EM13/1000000</f>
        <v>15.468861</v>
      </c>
      <c r="T21" s="1057">
        <f>'Input POSB Assets'!EH13/1000000</f>
        <v>8.1682959999999998</v>
      </c>
      <c r="U21" s="1059">
        <f t="shared" si="0"/>
        <v>119.79158600000001</v>
      </c>
      <c r="W21" s="1060">
        <f>U21-'Input POSB Assets'!ES13/1000000</f>
        <v>0</v>
      </c>
      <c r="X21" s="1061">
        <f t="shared" si="1"/>
        <v>0</v>
      </c>
      <c r="Y21" s="1030">
        <f t="shared" si="2"/>
        <v>0</v>
      </c>
    </row>
    <row r="22" spans="2:25" ht="15" customHeight="1">
      <c r="B22" s="1054" t="s">
        <v>1178</v>
      </c>
      <c r="C22" s="1147">
        <f>'Input POSB Assets'!G14/1000000</f>
        <v>2.1170000000000001E-2</v>
      </c>
      <c r="D22" s="1147">
        <f>'Input POSB Assets'!AP14/1000000</f>
        <v>6.6834720000000001</v>
      </c>
      <c r="E22" s="1056">
        <f>'Input POSB Assets'!I14/1000000</f>
        <v>9.34145</v>
      </c>
      <c r="F22" s="1056">
        <f>('Input POSB Assets'!M14+'Input POSB Assets'!X14+'Input POSB Assets'!AF14+'Input POSB Assets'!AK14)/1000000</f>
        <v>0.32118099999999999</v>
      </c>
      <c r="G22" s="1057">
        <f>'Input POSB Assets'!AQ14/1000000</f>
        <v>1.0626899999999999</v>
      </c>
      <c r="H22" s="1057">
        <f>('Input POSB Assets'!AT14+'Input POSB Assets'!AU14+'Input POSB Assets'!AV14+'Input POSB Assets'!AW14)/1000000</f>
        <v>0</v>
      </c>
      <c r="I22" s="1057">
        <f>('Input POSB Assets'!AZ14+'Input POSB Assets'!BC14+'Input POSB Assets'!BD14)/1000000</f>
        <v>12.983634</v>
      </c>
      <c r="J22" s="1058">
        <f>'Input POSB Assets'!BM14/1000000</f>
        <v>0</v>
      </c>
      <c r="K22" s="1058">
        <f>'Input POSB Assets'!BU14/1000000</f>
        <v>0</v>
      </c>
      <c r="L22" s="1058">
        <f>('Input POSB Assets'!CY14+'Input POSB Assets'!DN14)/1000000</f>
        <v>0</v>
      </c>
      <c r="M22" s="1057">
        <f>'Input POSB Assets'!BE14/1000000</f>
        <v>0</v>
      </c>
      <c r="N22" s="1057">
        <f>('Input POSB Assets'!BQ14+'Input POSB Assets'!BR14)/1000000</f>
        <v>0</v>
      </c>
      <c r="O22" s="1057">
        <f>('Input POSB Assets'!BT14+'Input POSB Assets'!CC14)/1000000</f>
        <v>0.19786599999999999</v>
      </c>
      <c r="P22" s="1057">
        <f>'Input POSB Assets'!CU14/1000000+'Input POSB Assets'!CQ14/1000000</f>
        <v>73.046120000000002</v>
      </c>
      <c r="Q22" s="1057">
        <f>'Input POSB Assets'!DY14/1000000</f>
        <v>1.8173170000000001</v>
      </c>
      <c r="R22" s="1057"/>
      <c r="S22" s="1057">
        <f>'Input POSB Assets'!EM14/1000000</f>
        <v>15.469153</v>
      </c>
      <c r="T22" s="1057">
        <f>'Input POSB Assets'!EH14/1000000</f>
        <v>8.1423400000000008</v>
      </c>
      <c r="U22" s="1059">
        <f t="shared" si="0"/>
        <v>129.08639300000002</v>
      </c>
      <c r="W22" s="1060">
        <f>U22-'Input POSB Assets'!ES14/1000000</f>
        <v>0</v>
      </c>
      <c r="X22" s="1061">
        <f t="shared" si="1"/>
        <v>0</v>
      </c>
      <c r="Y22" s="1030">
        <f t="shared" si="2"/>
        <v>0</v>
      </c>
    </row>
    <row r="23" spans="2:25" ht="15" customHeight="1">
      <c r="B23" s="1054" t="s">
        <v>1179</v>
      </c>
      <c r="C23" s="1147">
        <f>'Input POSB Assets'!G15/1000000</f>
        <v>4.2327999999999998E-2</v>
      </c>
      <c r="D23" s="1147">
        <f>'Input POSB Assets'!AP15/1000000</f>
        <v>5.42476</v>
      </c>
      <c r="E23" s="1056">
        <f>'Input POSB Assets'!I15/1000000</f>
        <v>8.4081499999999991</v>
      </c>
      <c r="F23" s="1056">
        <f>('Input POSB Assets'!M15+'Input POSB Assets'!X15+'Input POSB Assets'!AF15+'Input POSB Assets'!AK15)/1000000</f>
        <v>0.137187</v>
      </c>
      <c r="G23" s="1057">
        <f>'Input POSB Assets'!AQ15/1000000</f>
        <v>0.59184300000000001</v>
      </c>
      <c r="H23" s="1057">
        <f>('Input POSB Assets'!AT15+'Input POSB Assets'!AU15+'Input POSB Assets'!AV15+'Input POSB Assets'!AW15)/1000000</f>
        <v>0</v>
      </c>
      <c r="I23" s="1057">
        <f>('Input POSB Assets'!AZ15+'Input POSB Assets'!BC15+'Input POSB Assets'!BD15)/1000000</f>
        <v>14.983634</v>
      </c>
      <c r="J23" s="1058">
        <f>'Input POSB Assets'!BM15/1000000</f>
        <v>0</v>
      </c>
      <c r="K23" s="1058">
        <f>'Input POSB Assets'!BU15/1000000</f>
        <v>0</v>
      </c>
      <c r="L23" s="1058">
        <f>('Input POSB Assets'!CY15+'Input POSB Assets'!DN15)/1000000</f>
        <v>0</v>
      </c>
      <c r="M23" s="1057">
        <f>'Input POSB Assets'!BE15/1000000</f>
        <v>0</v>
      </c>
      <c r="N23" s="1057">
        <f>('Input POSB Assets'!BQ15+'Input POSB Assets'!BR15)/1000000</f>
        <v>0</v>
      </c>
      <c r="O23" s="1057">
        <f>('Input POSB Assets'!BT15+'Input POSB Assets'!CC15)/1000000</f>
        <v>0.198874</v>
      </c>
      <c r="P23" s="1057">
        <f>'Input POSB Assets'!CU15/1000000+'Input POSB Assets'!CQ15/1000000</f>
        <v>70.928070000000005</v>
      </c>
      <c r="Q23" s="1057">
        <f>'Input POSB Assets'!DY15/1000000</f>
        <v>1.78834</v>
      </c>
      <c r="R23" s="1057"/>
      <c r="S23" s="1057">
        <f>'Input POSB Assets'!EM15/1000000</f>
        <v>16.130486999999999</v>
      </c>
      <c r="T23" s="1057">
        <f>'Input POSB Assets'!EH15/1000000</f>
        <v>8.0447900000000008</v>
      </c>
      <c r="U23" s="1059">
        <f t="shared" si="0"/>
        <v>126.67846300000002</v>
      </c>
      <c r="W23" s="1060">
        <f>U23-'Input POSB Assets'!ES15/1000000</f>
        <v>0</v>
      </c>
      <c r="X23" s="1061">
        <f t="shared" si="1"/>
        <v>0</v>
      </c>
      <c r="Y23" s="1030">
        <f t="shared" si="2"/>
        <v>0</v>
      </c>
    </row>
    <row r="24" spans="2:25" ht="15" customHeight="1">
      <c r="B24" s="1054" t="s">
        <v>1180</v>
      </c>
      <c r="C24" s="1147">
        <f>'Input POSB Assets'!G16/1000000</f>
        <v>1.9653E-2</v>
      </c>
      <c r="D24" s="1147">
        <f>'Input POSB Assets'!AP16/1000000</f>
        <v>2.05755</v>
      </c>
      <c r="E24" s="1056">
        <f>'Input POSB Assets'!I16/1000000</f>
        <v>15.499828000000001</v>
      </c>
      <c r="F24" s="1056">
        <f>('Input POSB Assets'!M16+'Input POSB Assets'!X16+'Input POSB Assets'!AF16+'Input POSB Assets'!AK16)/1000000</f>
        <v>0.46193600000000001</v>
      </c>
      <c r="G24" s="1057">
        <f>'Input POSB Assets'!AQ16/1000000</f>
        <v>0.66911699999999996</v>
      </c>
      <c r="H24" s="1057">
        <f>('Input POSB Assets'!AT16+'Input POSB Assets'!AU16+'Input POSB Assets'!AV16+'Input POSB Assets'!AW16)/1000000</f>
        <v>0</v>
      </c>
      <c r="I24" s="1057">
        <f>('Input POSB Assets'!AZ16+'Input POSB Assets'!BC16+'Input POSB Assets'!BD16)/1000000</f>
        <v>14.983634</v>
      </c>
      <c r="J24" s="1058">
        <f>'Input POSB Assets'!BM16/1000000</f>
        <v>0</v>
      </c>
      <c r="K24" s="1058">
        <f>'Input POSB Assets'!BU16/1000000</f>
        <v>0</v>
      </c>
      <c r="L24" s="1058">
        <f>('Input POSB Assets'!CY16+'Input POSB Assets'!DN16)/1000000</f>
        <v>0</v>
      </c>
      <c r="M24" s="1057">
        <f>'Input POSB Assets'!BE16/1000000</f>
        <v>0</v>
      </c>
      <c r="N24" s="1057">
        <f>('Input POSB Assets'!BQ16+'Input POSB Assets'!BR16)/1000000</f>
        <v>0</v>
      </c>
      <c r="O24" s="1057">
        <f>('Input POSB Assets'!BT16+'Input POSB Assets'!CC16)/1000000</f>
        <v>0.199521</v>
      </c>
      <c r="P24" s="1057">
        <f>'Input POSB Assets'!CU16/1000000+'Input POSB Assets'!CQ16/1000000</f>
        <v>69.473322999999993</v>
      </c>
      <c r="Q24" s="1057">
        <f>'Input POSB Assets'!DY16/1000000</f>
        <v>1.6005339999999999</v>
      </c>
      <c r="R24" s="1057"/>
      <c r="S24" s="1057">
        <f>'Input POSB Assets'!EM16/1000000</f>
        <v>16.127479999999998</v>
      </c>
      <c r="T24" s="1057">
        <f>'Input POSB Assets'!EH16/1000000</f>
        <v>8.1518820000000005</v>
      </c>
      <c r="U24" s="1059">
        <f t="shared" si="0"/>
        <v>129.24445799999998</v>
      </c>
      <c r="W24" s="1060">
        <f>U24-'Input POSB Assets'!ES16/1000000</f>
        <v>0</v>
      </c>
      <c r="X24" s="1061">
        <f t="shared" si="1"/>
        <v>0</v>
      </c>
      <c r="Y24" s="1030">
        <f t="shared" si="2"/>
        <v>0</v>
      </c>
    </row>
    <row r="25" spans="2:25" ht="15" customHeight="1">
      <c r="B25" s="1054" t="s">
        <v>1181</v>
      </c>
      <c r="C25" s="1147">
        <f>'Input POSB Assets'!G17/1000000</f>
        <v>3.0086999999999999E-2</v>
      </c>
      <c r="D25" s="1147">
        <f>'Input POSB Assets'!AP17/1000000</f>
        <v>2.7198449999999998</v>
      </c>
      <c r="E25" s="1056">
        <f>'Input POSB Assets'!I17/1000000</f>
        <v>0.161686</v>
      </c>
      <c r="F25" s="1056">
        <f>('Input POSB Assets'!M17+'Input POSB Assets'!X17+'Input POSB Assets'!AF17+'Input POSB Assets'!AK17)/1000000</f>
        <v>0.13694000000000001</v>
      </c>
      <c r="G25" s="1057">
        <f>'Input POSB Assets'!AQ17/1000000</f>
        <v>0.53795800000000005</v>
      </c>
      <c r="H25" s="1057">
        <f>('Input POSB Assets'!AT17+'Input POSB Assets'!AU17+'Input POSB Assets'!AV17+'Input POSB Assets'!AW17)/1000000</f>
        <v>0</v>
      </c>
      <c r="I25" s="1057">
        <f>('Input POSB Assets'!AZ17+'Input POSB Assets'!BC17+'Input POSB Assets'!BD17)/1000000</f>
        <v>36.483634000000002</v>
      </c>
      <c r="J25" s="1058">
        <f>'Input POSB Assets'!BM17/1000000</f>
        <v>0</v>
      </c>
      <c r="K25" s="1058">
        <f>'Input POSB Assets'!BU17/1000000</f>
        <v>0</v>
      </c>
      <c r="L25" s="1058">
        <f>('Input POSB Assets'!CY17+'Input POSB Assets'!DN17)/1000000</f>
        <v>0</v>
      </c>
      <c r="M25" s="1057">
        <f>'Input POSB Assets'!BE17/1000000</f>
        <v>0</v>
      </c>
      <c r="N25" s="1057">
        <f>('Input POSB Assets'!BQ17+'Input POSB Assets'!BR17)/1000000</f>
        <v>0</v>
      </c>
      <c r="O25" s="1057">
        <f>('Input POSB Assets'!BT17+'Input POSB Assets'!CC17)/1000000</f>
        <v>0.19993900000000001</v>
      </c>
      <c r="P25" s="1057">
        <f>'Input POSB Assets'!CU17/1000000+'Input POSB Assets'!CQ17/1000000</f>
        <v>75.891025999999997</v>
      </c>
      <c r="Q25" s="1057">
        <f>'Input POSB Assets'!DY17/1000000</f>
        <v>1.6190180000000001</v>
      </c>
      <c r="R25" s="1057"/>
      <c r="S25" s="1057">
        <f>'Input POSB Assets'!EM17/1000000</f>
        <v>17.633991999999999</v>
      </c>
      <c r="T25" s="1057">
        <f>'Input POSB Assets'!EH17/1000000</f>
        <v>8.0663839999999993</v>
      </c>
      <c r="U25" s="1059">
        <f t="shared" si="0"/>
        <v>143.48050899999998</v>
      </c>
      <c r="W25" s="1060">
        <f>U25-'Input POSB Assets'!ES17/1000000</f>
        <v>0</v>
      </c>
      <c r="X25" s="1061">
        <f t="shared" si="1"/>
        <v>0</v>
      </c>
      <c r="Y25" s="1030">
        <f t="shared" si="2"/>
        <v>0</v>
      </c>
    </row>
    <row r="26" spans="2:25" ht="15" customHeight="1">
      <c r="B26" s="1062"/>
      <c r="C26" s="1147"/>
      <c r="D26" s="1147"/>
      <c r="E26" s="1056"/>
      <c r="F26" s="1056"/>
      <c r="G26" s="1057"/>
      <c r="H26" s="1057"/>
      <c r="I26" s="1057"/>
      <c r="J26" s="1058"/>
      <c r="K26" s="1058"/>
      <c r="L26" s="1058"/>
      <c r="M26" s="1057"/>
      <c r="N26" s="1057"/>
      <c r="O26" s="1057"/>
      <c r="P26" s="1057"/>
      <c r="Q26" s="1057"/>
      <c r="R26" s="1057"/>
      <c r="S26" s="1057"/>
      <c r="T26" s="1057"/>
      <c r="U26" s="1059"/>
      <c r="W26" s="1060">
        <f>U26-'Input POSB Assets'!ES18/1000000</f>
        <v>0</v>
      </c>
      <c r="X26" s="1061"/>
    </row>
    <row r="27" spans="2:25" ht="15" customHeight="1">
      <c r="B27" s="1053">
        <v>2016</v>
      </c>
      <c r="C27" s="1147"/>
      <c r="D27" s="1147"/>
      <c r="E27" s="1056"/>
      <c r="F27" s="1056"/>
      <c r="G27" s="1057"/>
      <c r="H27" s="1057"/>
      <c r="I27" s="1057"/>
      <c r="J27" s="1058"/>
      <c r="K27" s="1058"/>
      <c r="L27" s="1058"/>
      <c r="M27" s="1057"/>
      <c r="N27" s="1057"/>
      <c r="O27" s="1057"/>
      <c r="P27" s="1057"/>
      <c r="Q27" s="1057"/>
      <c r="R27" s="1057"/>
      <c r="S27" s="1057"/>
      <c r="T27" s="1057"/>
      <c r="U27" s="1059"/>
      <c r="W27" s="1060">
        <f>U27-'Input POSB Assets'!ES19/1000000</f>
        <v>0</v>
      </c>
      <c r="X27" s="1061"/>
    </row>
    <row r="28" spans="2:25" ht="15" customHeight="1">
      <c r="B28" s="1063" t="s">
        <v>345</v>
      </c>
      <c r="C28" s="1147">
        <f>'Input POSB Assets'!G20/1000000</f>
        <v>3.8626000000000001E-2</v>
      </c>
      <c r="D28" s="1147">
        <f>'Input POSB Assets'!AP20/1000000</f>
        <v>3.8110050000000002</v>
      </c>
      <c r="E28" s="1056">
        <f>'Input POSB Assets'!I20/1000000</f>
        <v>12.260533000000001</v>
      </c>
      <c r="F28" s="1056">
        <f>('Input POSB Assets'!M20+'Input POSB Assets'!X20+'Input POSB Assets'!AF20+'Input POSB Assets'!AK20)/1000000</f>
        <v>0.45318799999999998</v>
      </c>
      <c r="G28" s="1057">
        <f>'Input POSB Assets'!AQ20/1000000</f>
        <v>0.36463099999999998</v>
      </c>
      <c r="H28" s="1057">
        <f>('Input POSB Assets'!AT20+'Input POSB Assets'!AU20+'Input POSB Assets'!AV20+'Input POSB Assets'!AW20)/1000000</f>
        <v>0</v>
      </c>
      <c r="I28" s="1057">
        <f>('Input POSB Assets'!AZ20+'Input POSB Assets'!BC20+'Input POSB Assets'!BD20)/1000000</f>
        <v>30.867591000000001</v>
      </c>
      <c r="J28" s="1058">
        <f>'Input POSB Assets'!BM20/1000000</f>
        <v>0</v>
      </c>
      <c r="K28" s="1058">
        <f>'Input POSB Assets'!BU20/1000000</f>
        <v>0</v>
      </c>
      <c r="L28" s="1058">
        <f>('Input POSB Assets'!CY20+'Input POSB Assets'!DN20)/1000000</f>
        <v>0</v>
      </c>
      <c r="M28" s="1057">
        <f>'Input POSB Assets'!BE20/1000000</f>
        <v>0</v>
      </c>
      <c r="N28" s="1057">
        <f>('Input POSB Assets'!BQ20+'Input POSB Assets'!BR20)/1000000</f>
        <v>0</v>
      </c>
      <c r="O28" s="1057">
        <f>('Input POSB Assets'!BT20+'Input POSB Assets'!CC20)/1000000</f>
        <v>0.19781899999999999</v>
      </c>
      <c r="P28" s="1057">
        <f>'Input POSB Assets'!CU20/1000000+'Input POSB Assets'!CQ20/1000000</f>
        <v>73.807329999999993</v>
      </c>
      <c r="Q28" s="1057">
        <f>'Input POSB Assets'!DY20/1000000</f>
        <v>1.5200769999999999</v>
      </c>
      <c r="R28" s="1057"/>
      <c r="S28" s="1057">
        <f>'Input POSB Assets'!EM20/1000000</f>
        <v>16.766363999999999</v>
      </c>
      <c r="T28" s="1057">
        <f>'Input POSB Assets'!EH20/1000000</f>
        <v>8.4294119999999992</v>
      </c>
      <c r="U28" s="1059">
        <f t="shared" si="0"/>
        <v>148.51657599999999</v>
      </c>
      <c r="W28" s="1060">
        <f>U28-'Input POSB Assets'!ES20/1000000</f>
        <v>0</v>
      </c>
      <c r="X28" s="1061">
        <f t="shared" si="1"/>
        <v>0</v>
      </c>
      <c r="Y28" s="1030">
        <f t="shared" ref="Y28:Y40" si="3">+W28*1000000</f>
        <v>0</v>
      </c>
    </row>
    <row r="29" spans="2:25" ht="15" customHeight="1">
      <c r="B29" s="1054" t="s">
        <v>334</v>
      </c>
      <c r="C29" s="1147">
        <f>'Input POSB Assets'!G21/1000000</f>
        <v>2.9353000000000001E-2</v>
      </c>
      <c r="D29" s="1147">
        <f>'Input POSB Assets'!AP21/1000000</f>
        <v>1.2345010000000001</v>
      </c>
      <c r="E29" s="1056">
        <f>'Input POSB Assets'!I21/1000000</f>
        <v>9.1387309999999999</v>
      </c>
      <c r="F29" s="1056">
        <f>('Input POSB Assets'!M21+'Input POSB Assets'!X21+'Input POSB Assets'!AF21+'Input POSB Assets'!AK21)/1000000</f>
        <v>0.98358599999999996</v>
      </c>
      <c r="G29" s="1057">
        <f>'Input POSB Assets'!AQ21/1000000</f>
        <v>0.52245399999999997</v>
      </c>
      <c r="H29" s="1057">
        <f>('Input POSB Assets'!AT21+'Input POSB Assets'!AU21+'Input POSB Assets'!AV21+'Input POSB Assets'!AW21)/1000000</f>
        <v>0</v>
      </c>
      <c r="I29" s="1057">
        <f>('Input POSB Assets'!AZ21+'Input POSB Assets'!BC21+'Input POSB Assets'!BD21)/1000000</f>
        <v>35.015318000000001</v>
      </c>
      <c r="J29" s="1058">
        <f>'Input POSB Assets'!BM21/1000000</f>
        <v>0</v>
      </c>
      <c r="K29" s="1058">
        <f>'Input POSB Assets'!BU21/1000000</f>
        <v>0</v>
      </c>
      <c r="L29" s="1058">
        <f>('Input POSB Assets'!CY21+'Input POSB Assets'!DN21)/1000000</f>
        <v>0</v>
      </c>
      <c r="M29" s="1057">
        <f>'Input POSB Assets'!BE21/1000000</f>
        <v>0</v>
      </c>
      <c r="N29" s="1057">
        <f>('Input POSB Assets'!BQ21+'Input POSB Assets'!BR21)/1000000</f>
        <v>0</v>
      </c>
      <c r="O29" s="1057">
        <f>('Input POSB Assets'!BT21+'Input POSB Assets'!CC21)/1000000</f>
        <v>0</v>
      </c>
      <c r="P29" s="1057">
        <f>'Input POSB Assets'!CU21/1000000+'Input POSB Assets'!CQ21/1000000</f>
        <v>74.188613000000004</v>
      </c>
      <c r="Q29" s="1057">
        <f>'Input POSB Assets'!DY21/1000000</f>
        <v>1.4805889999999999</v>
      </c>
      <c r="R29" s="1057"/>
      <c r="S29" s="1057">
        <f>'Input POSB Assets'!EM21/1000000</f>
        <v>14.882414000000001</v>
      </c>
      <c r="T29" s="1057">
        <f>'Input POSB Assets'!EH21/1000000</f>
        <v>8.457319</v>
      </c>
      <c r="U29" s="1059">
        <f t="shared" si="0"/>
        <v>145.93287800000002</v>
      </c>
      <c r="W29" s="1060">
        <f>U29-'Input POSB Assets'!ES21/1000000</f>
        <v>0</v>
      </c>
      <c r="X29" s="1061">
        <f t="shared" si="1"/>
        <v>0</v>
      </c>
      <c r="Y29" s="1030">
        <f t="shared" si="3"/>
        <v>0</v>
      </c>
    </row>
    <row r="30" spans="2:25" ht="15" customHeight="1">
      <c r="B30" s="1054" t="s">
        <v>335</v>
      </c>
      <c r="C30" s="1147">
        <f>'Input POSB Assets'!G22/1000000</f>
        <v>2.3286000000000001E-2</v>
      </c>
      <c r="D30" s="1147">
        <f>'Input POSB Assets'!AP22/1000000</f>
        <v>1.8885479999999999</v>
      </c>
      <c r="E30" s="1056">
        <f>'Input POSB Assets'!I22/1000000</f>
        <v>9.0172439999999998</v>
      </c>
      <c r="F30" s="1056">
        <f>('Input POSB Assets'!M22+'Input POSB Assets'!X22+'Input POSB Assets'!AF22+'Input POSB Assets'!AK22)/1000000</f>
        <v>0.31364399999999998</v>
      </c>
      <c r="G30" s="1057">
        <f>'Input POSB Assets'!AQ22/1000000</f>
        <v>0.20075299999999999</v>
      </c>
      <c r="H30" s="1057">
        <f>('Input POSB Assets'!AT22+'Input POSB Assets'!AU22+'Input POSB Assets'!AV22+'Input POSB Assets'!AW22)/1000000</f>
        <v>0</v>
      </c>
      <c r="I30" s="1057">
        <f>('Input POSB Assets'!AZ22+'Input POSB Assets'!BC22+'Input POSB Assets'!BD22)/1000000</f>
        <v>30.705317999999998</v>
      </c>
      <c r="J30" s="1058">
        <f>'Input POSB Assets'!BM22/1000000</f>
        <v>0</v>
      </c>
      <c r="K30" s="1058">
        <f>'Input POSB Assets'!BU22/1000000</f>
        <v>0</v>
      </c>
      <c r="L30" s="1058">
        <f>('Input POSB Assets'!CY22+'Input POSB Assets'!DN22)/1000000</f>
        <v>0</v>
      </c>
      <c r="M30" s="1057">
        <f>'Input POSB Assets'!BE22/1000000</f>
        <v>0</v>
      </c>
      <c r="N30" s="1057">
        <f>('Input POSB Assets'!BQ22+'Input POSB Assets'!BR22)/1000000</f>
        <v>0</v>
      </c>
      <c r="O30" s="1057">
        <f>('Input POSB Assets'!BT22+'Input POSB Assets'!CC22)/1000000</f>
        <v>0</v>
      </c>
      <c r="P30" s="1057">
        <f>'Input POSB Assets'!CU22/1000000+'Input POSB Assets'!CQ22/1000000</f>
        <v>72.733399000000006</v>
      </c>
      <c r="Q30" s="1057">
        <f>'Input POSB Assets'!DY22/1000000</f>
        <v>1.4268380000000001</v>
      </c>
      <c r="R30" s="1057"/>
      <c r="S30" s="1057">
        <f>'Input POSB Assets'!EM22/1000000</f>
        <v>14.822813999999999</v>
      </c>
      <c r="T30" s="1057">
        <f>'Input POSB Assets'!EH22/1000000</f>
        <v>8.3467710000000004</v>
      </c>
      <c r="U30" s="1059">
        <f t="shared" si="0"/>
        <v>139.47861499999999</v>
      </c>
      <c r="W30" s="1060">
        <f>U30-'Input POSB Assets'!ES22/1000000</f>
        <v>0</v>
      </c>
      <c r="X30" s="1061">
        <f t="shared" si="1"/>
        <v>0</v>
      </c>
      <c r="Y30" s="1030">
        <f t="shared" si="3"/>
        <v>0</v>
      </c>
    </row>
    <row r="31" spans="2:25" ht="15" customHeight="1">
      <c r="B31" s="1054" t="s">
        <v>336</v>
      </c>
      <c r="C31" s="1147">
        <f>'Input POSB Assets'!G23/1000000</f>
        <v>1.3158E-2</v>
      </c>
      <c r="D31" s="1147">
        <f>'Input POSB Assets'!AP23/1000000</f>
        <v>0.86658000000000002</v>
      </c>
      <c r="E31" s="1056">
        <f>'Input POSB Assets'!I23/1000000</f>
        <v>15.360002</v>
      </c>
      <c r="F31" s="1056">
        <f>('Input POSB Assets'!M23+'Input POSB Assets'!X23+'Input POSB Assets'!AF23+'Input POSB Assets'!AK23)/1000000</f>
        <v>0.41649900000000001</v>
      </c>
      <c r="G31" s="1057">
        <f>'Input POSB Assets'!AQ23/1000000</f>
        <v>3.4424999999999997E-2</v>
      </c>
      <c r="H31" s="1057">
        <f>('Input POSB Assets'!AT23+'Input POSB Assets'!AU23+'Input POSB Assets'!AV23+'Input POSB Assets'!AW23)/1000000</f>
        <v>0</v>
      </c>
      <c r="I31" s="1057">
        <f>('Input POSB Assets'!AZ23+'Input POSB Assets'!BC23+'Input POSB Assets'!BD23)/1000000</f>
        <v>30.705317999999998</v>
      </c>
      <c r="J31" s="1058">
        <f>'Input POSB Assets'!BM23/1000000</f>
        <v>0</v>
      </c>
      <c r="K31" s="1058">
        <f>'Input POSB Assets'!BU23/1000000</f>
        <v>0</v>
      </c>
      <c r="L31" s="1058">
        <f>('Input POSB Assets'!CY23+'Input POSB Assets'!DN23)/1000000</f>
        <v>0</v>
      </c>
      <c r="M31" s="1057">
        <f>'Input POSB Assets'!BE23/1000000</f>
        <v>0</v>
      </c>
      <c r="N31" s="1057">
        <f>('Input POSB Assets'!BQ23+'Input POSB Assets'!BR23)/1000000</f>
        <v>0</v>
      </c>
      <c r="O31" s="1057">
        <f>('Input POSB Assets'!BT23+'Input POSB Assets'!CC23)/1000000</f>
        <v>0</v>
      </c>
      <c r="P31" s="1057">
        <f>'Input POSB Assets'!CU23/1000000+'Input POSB Assets'!CQ23/1000000</f>
        <v>75.896493000000007</v>
      </c>
      <c r="Q31" s="1057">
        <f>'Input POSB Assets'!DY23/1000000</f>
        <v>0.68369999999999997</v>
      </c>
      <c r="R31" s="1057"/>
      <c r="S31" s="1057">
        <f>'Input POSB Assets'!EM23/1000000</f>
        <v>15.040991999999999</v>
      </c>
      <c r="T31" s="1057">
        <f>'Input POSB Assets'!EH23/1000000</f>
        <v>8.3013659999999998</v>
      </c>
      <c r="U31" s="1059">
        <f t="shared" si="0"/>
        <v>147.318533</v>
      </c>
      <c r="W31" s="1060">
        <f>U31-'Input POSB Assets'!ES23/1000000</f>
        <v>0</v>
      </c>
      <c r="X31" s="1061">
        <f t="shared" si="1"/>
        <v>0</v>
      </c>
      <c r="Y31" s="1030">
        <f t="shared" si="3"/>
        <v>0</v>
      </c>
    </row>
    <row r="32" spans="2:25" ht="15" customHeight="1">
      <c r="B32" s="1054" t="s">
        <v>337</v>
      </c>
      <c r="C32" s="1147">
        <f>'Input POSB Assets'!G24/1000000</f>
        <v>1.7897E-2</v>
      </c>
      <c r="D32" s="1147">
        <f>'Input POSB Assets'!AP24/1000000</f>
        <v>3.094446</v>
      </c>
      <c r="E32" s="1056">
        <f>'Input POSB Assets'!I24/1000000</f>
        <v>14.961083</v>
      </c>
      <c r="F32" s="1056">
        <f>('Input POSB Assets'!M24+'Input POSB Assets'!X24+'Input POSB Assets'!AF24+'Input POSB Assets'!AK24)/1000000</f>
        <v>1.165246</v>
      </c>
      <c r="G32" s="1057">
        <f>'Input POSB Assets'!AQ24/1000000</f>
        <v>9.6984000000000001E-2</v>
      </c>
      <c r="H32" s="1057">
        <f>('Input POSB Assets'!AT24+'Input POSB Assets'!AU24+'Input POSB Assets'!AV24+'Input POSB Assets'!AW24)/1000000</f>
        <v>0</v>
      </c>
      <c r="I32" s="1057">
        <f>('Input POSB Assets'!AZ24+'Input POSB Assets'!BC24+'Input POSB Assets'!BD24)/1000000</f>
        <v>31.083393999999998</v>
      </c>
      <c r="J32" s="1058">
        <f>'Input POSB Assets'!BM24/1000000</f>
        <v>0</v>
      </c>
      <c r="K32" s="1058">
        <f>'Input POSB Assets'!BU24/1000000</f>
        <v>0</v>
      </c>
      <c r="L32" s="1058">
        <f>('Input POSB Assets'!CY24+'Input POSB Assets'!DN24)/1000000</f>
        <v>0</v>
      </c>
      <c r="M32" s="1057">
        <f>'Input POSB Assets'!BE24/1000000</f>
        <v>0</v>
      </c>
      <c r="N32" s="1057">
        <f>('Input POSB Assets'!BQ24+'Input POSB Assets'!BR24)/1000000</f>
        <v>0</v>
      </c>
      <c r="O32" s="1057">
        <f>('Input POSB Assets'!BT24+'Input POSB Assets'!CC24)/1000000</f>
        <v>0</v>
      </c>
      <c r="P32" s="1057">
        <f>'Input POSB Assets'!CU24/1000000+'Input POSB Assets'!CQ24/1000000</f>
        <v>72.551258000000004</v>
      </c>
      <c r="Q32" s="1057">
        <f>'Input POSB Assets'!DY24/1000000</f>
        <v>0.69086700000000001</v>
      </c>
      <c r="R32" s="1057"/>
      <c r="S32" s="1057">
        <f>'Input POSB Assets'!EM24/1000000</f>
        <v>14.496076</v>
      </c>
      <c r="T32" s="1057">
        <f>'Input POSB Assets'!EH24/1000000</f>
        <v>8.1855030000000006</v>
      </c>
      <c r="U32" s="1059">
        <f t="shared" si="0"/>
        <v>146.34275400000001</v>
      </c>
      <c r="W32" s="1060">
        <f>U32-'Input POSB Assets'!ES24/1000000</f>
        <v>0</v>
      </c>
      <c r="X32" s="1061">
        <f t="shared" si="1"/>
        <v>0</v>
      </c>
      <c r="Y32" s="1030">
        <f t="shared" si="3"/>
        <v>0</v>
      </c>
    </row>
    <row r="33" spans="2:25" ht="15" customHeight="1">
      <c r="B33" s="1054" t="s">
        <v>338</v>
      </c>
      <c r="C33" s="1147">
        <f>'Input POSB Assets'!G25/1000000</f>
        <v>1.7423999999999999E-2</v>
      </c>
      <c r="D33" s="1147">
        <f>'Input POSB Assets'!AP25/1000000</f>
        <v>3.0561660000000002</v>
      </c>
      <c r="E33" s="1056">
        <f>'Input POSB Assets'!I25/1000000</f>
        <v>13.623798000000001</v>
      </c>
      <c r="F33" s="1056">
        <f>('Input POSB Assets'!M25+'Input POSB Assets'!X25+'Input POSB Assets'!AF25+'Input POSB Assets'!AK25)/1000000</f>
        <v>1.2171700000000001</v>
      </c>
      <c r="G33" s="1057">
        <f>'Input POSB Assets'!AQ25/1000000</f>
        <v>0.111347</v>
      </c>
      <c r="H33" s="1057">
        <f>('Input POSB Assets'!AT25+'Input POSB Assets'!AU25+'Input POSB Assets'!AV25+'Input POSB Assets'!AW25)/1000000</f>
        <v>0</v>
      </c>
      <c r="I33" s="1057">
        <f>('Input POSB Assets'!AZ25+'Input POSB Assets'!BC25+'Input POSB Assets'!BD25)/1000000</f>
        <v>29.976865</v>
      </c>
      <c r="J33" s="1058">
        <f>'Input POSB Assets'!BM25/1000000</f>
        <v>0</v>
      </c>
      <c r="K33" s="1058">
        <f>'Input POSB Assets'!BU25/1000000</f>
        <v>0</v>
      </c>
      <c r="L33" s="1058">
        <f>('Input POSB Assets'!CY25+'Input POSB Assets'!DN25)/1000000</f>
        <v>0</v>
      </c>
      <c r="M33" s="1057">
        <f>'Input POSB Assets'!BE25/1000000</f>
        <v>0</v>
      </c>
      <c r="N33" s="1057">
        <f>('Input POSB Assets'!BQ25+'Input POSB Assets'!BR25)/1000000</f>
        <v>0</v>
      </c>
      <c r="O33" s="1057">
        <f>('Input POSB Assets'!BT25+'Input POSB Assets'!CC25)/1000000</f>
        <v>0</v>
      </c>
      <c r="P33" s="1057">
        <f>'Input POSB Assets'!CU25/1000000+'Input POSB Assets'!CQ25/1000000</f>
        <v>76.338160999999999</v>
      </c>
      <c r="Q33" s="1057">
        <f>'Input POSB Assets'!DY25/1000000</f>
        <v>0.66363799999999995</v>
      </c>
      <c r="R33" s="1057"/>
      <c r="S33" s="1057">
        <f>'Input POSB Assets'!EM25/1000000</f>
        <v>15.869853000000001</v>
      </c>
      <c r="T33" s="1057">
        <f>'Input POSB Assets'!EH25/1000000</f>
        <v>8.0760529999999999</v>
      </c>
      <c r="U33" s="1059">
        <f t="shared" si="0"/>
        <v>148.95047500000001</v>
      </c>
      <c r="W33" s="1060">
        <f>U33-'Input POSB Assets'!ES25/1000000</f>
        <v>0</v>
      </c>
      <c r="X33" s="1061">
        <f t="shared" si="1"/>
        <v>0</v>
      </c>
      <c r="Y33" s="1030">
        <f t="shared" si="3"/>
        <v>0</v>
      </c>
    </row>
    <row r="34" spans="2:25" ht="15" customHeight="1">
      <c r="B34" s="1054" t="s">
        <v>339</v>
      </c>
      <c r="C34" s="1147">
        <f>'Input POSB Assets'!G26/1000000</f>
        <v>8.3730000000000002E-3</v>
      </c>
      <c r="D34" s="1147">
        <f>'Input POSB Assets'!AP26/1000000</f>
        <v>0.93298499999999995</v>
      </c>
      <c r="E34" s="1056">
        <f>'Input POSB Assets'!I26/1000000</f>
        <v>11.017351</v>
      </c>
      <c r="F34" s="1056">
        <f>('Input POSB Assets'!M26+'Input POSB Assets'!X26+'Input POSB Assets'!AF26+'Input POSB Assets'!AK26)/1000000</f>
        <v>0.13739799999999999</v>
      </c>
      <c r="G34" s="1057">
        <f>'Input POSB Assets'!AQ26/1000000</f>
        <v>0.35901100000000002</v>
      </c>
      <c r="H34" s="1057">
        <f>('Input POSB Assets'!AT26+'Input POSB Assets'!AU26+'Input POSB Assets'!AV26+'Input POSB Assets'!AW26)/1000000</f>
        <v>0</v>
      </c>
      <c r="I34" s="1057">
        <f>('Input POSB Assets'!AZ26+'Input POSB Assets'!BC26+'Input POSB Assets'!BD26)/1000000</f>
        <v>31.427786000000001</v>
      </c>
      <c r="J34" s="1058">
        <f>'Input POSB Assets'!BM26/1000000</f>
        <v>0</v>
      </c>
      <c r="K34" s="1058">
        <f>'Input POSB Assets'!BU26/1000000</f>
        <v>0</v>
      </c>
      <c r="L34" s="1058">
        <f>('Input POSB Assets'!CY26+'Input POSB Assets'!DN26)/1000000</f>
        <v>0</v>
      </c>
      <c r="M34" s="1057">
        <f>'Input POSB Assets'!BE26/1000000</f>
        <v>0</v>
      </c>
      <c r="N34" s="1057">
        <f>('Input POSB Assets'!BQ26+'Input POSB Assets'!BR26)/1000000</f>
        <v>0</v>
      </c>
      <c r="O34" s="1057">
        <f>('Input POSB Assets'!BT26+'Input POSB Assets'!CC26)/1000000</f>
        <v>0</v>
      </c>
      <c r="P34" s="1057">
        <f>'Input POSB Assets'!CU26/1000000+'Input POSB Assets'!CQ26/1000000</f>
        <v>78.933633</v>
      </c>
      <c r="Q34" s="1057">
        <f>'Input POSB Assets'!DY26/1000000</f>
        <v>0.42176400000000003</v>
      </c>
      <c r="R34" s="1057"/>
      <c r="S34" s="1057">
        <f>'Input POSB Assets'!EM26/1000000</f>
        <v>16.166671999999998</v>
      </c>
      <c r="T34" s="1057">
        <f>'Input POSB Assets'!EH26/1000000</f>
        <v>8.037433</v>
      </c>
      <c r="U34" s="1059">
        <f t="shared" si="0"/>
        <v>147.44240599999998</v>
      </c>
      <c r="W34" s="1060">
        <f>U34-'Input POSB Assets'!ES26/1000000</f>
        <v>0</v>
      </c>
      <c r="X34" s="1061">
        <f t="shared" si="1"/>
        <v>0</v>
      </c>
      <c r="Y34" s="1030">
        <f t="shared" si="3"/>
        <v>0</v>
      </c>
    </row>
    <row r="35" spans="2:25" ht="15" customHeight="1">
      <c r="B35" s="1054" t="s">
        <v>340</v>
      </c>
      <c r="C35" s="1147">
        <f>'Input POSB Assets'!G27/1000000</f>
        <v>2.2039E-2</v>
      </c>
      <c r="D35" s="1147">
        <f>'Input POSB Assets'!AP27/1000000</f>
        <v>0.61409400000000003</v>
      </c>
      <c r="E35" s="1056">
        <f>'Input POSB Assets'!I27/1000000</f>
        <v>16.111286</v>
      </c>
      <c r="F35" s="1056">
        <f>('Input POSB Assets'!M27+'Input POSB Assets'!X27+'Input POSB Assets'!AF27+'Input POSB Assets'!AK27)/1000000</f>
        <v>0.38637899999999997</v>
      </c>
      <c r="G35" s="1057">
        <f>'Input POSB Assets'!AQ27/1000000</f>
        <v>7.9991999999999994E-2</v>
      </c>
      <c r="H35" s="1057">
        <f>('Input POSB Assets'!AT27+'Input POSB Assets'!AU27+'Input POSB Assets'!AV27+'Input POSB Assets'!AW27)/1000000</f>
        <v>0</v>
      </c>
      <c r="I35" s="1057">
        <f>('Input POSB Assets'!AZ27+'Input POSB Assets'!BC27+'Input POSB Assets'!BD27)/1000000</f>
        <v>27.503408</v>
      </c>
      <c r="J35" s="1058">
        <f>'Input POSB Assets'!BM27/1000000</f>
        <v>0</v>
      </c>
      <c r="K35" s="1058">
        <f>'Input POSB Assets'!BU27/1000000</f>
        <v>0</v>
      </c>
      <c r="L35" s="1058">
        <f>('Input POSB Assets'!CY27+'Input POSB Assets'!DN27)/1000000</f>
        <v>0</v>
      </c>
      <c r="M35" s="1057">
        <f>'Input POSB Assets'!BE27/1000000</f>
        <v>0</v>
      </c>
      <c r="N35" s="1057">
        <f>('Input POSB Assets'!BQ27+'Input POSB Assets'!BR27)/1000000</f>
        <v>0</v>
      </c>
      <c r="O35" s="1057">
        <f>('Input POSB Assets'!BT27+'Input POSB Assets'!CC27)/1000000</f>
        <v>0.14827599999999999</v>
      </c>
      <c r="P35" s="1057">
        <f>'Input POSB Assets'!CU27/1000000+'Input POSB Assets'!CQ27/1000000</f>
        <v>79.325265999999999</v>
      </c>
      <c r="Q35" s="1057">
        <f>'Input POSB Assets'!DY27/1000000</f>
        <v>0.42685800000000002</v>
      </c>
      <c r="R35" s="1057"/>
      <c r="S35" s="1057">
        <f>'Input POSB Assets'!EM27/1000000</f>
        <v>16.301364</v>
      </c>
      <c r="T35" s="1057">
        <f>'Input POSB Assets'!EH27/1000000</f>
        <v>7.917224</v>
      </c>
      <c r="U35" s="1059">
        <f t="shared" si="0"/>
        <v>148.836186</v>
      </c>
      <c r="W35" s="1060">
        <f>U35-'Input POSB Assets'!ES27/1000000</f>
        <v>0</v>
      </c>
      <c r="X35" s="1061">
        <f t="shared" si="1"/>
        <v>0</v>
      </c>
      <c r="Y35" s="1030">
        <f t="shared" si="3"/>
        <v>0</v>
      </c>
    </row>
    <row r="36" spans="2:25" ht="15" customHeight="1">
      <c r="B36" s="1054" t="s">
        <v>341</v>
      </c>
      <c r="C36" s="1147">
        <f>'Input POSB Assets'!G28/1000000</f>
        <v>2.4424000000000001E-2</v>
      </c>
      <c r="D36" s="1147">
        <f>'Input POSB Assets'!AP28/1000000</f>
        <v>0.47806900000000002</v>
      </c>
      <c r="E36" s="1056">
        <f>'Input POSB Assets'!I28/1000000</f>
        <v>16.886465000000001</v>
      </c>
      <c r="F36" s="1056">
        <f>('Input POSB Assets'!M28+'Input POSB Assets'!X28+'Input POSB Assets'!AF28+'Input POSB Assets'!AK28)/1000000</f>
        <v>0.43953700000000001</v>
      </c>
      <c r="G36" s="1057">
        <f>'Input POSB Assets'!AQ28/1000000</f>
        <v>9.3089000000000005E-2</v>
      </c>
      <c r="H36" s="1057">
        <f>('Input POSB Assets'!AT28+'Input POSB Assets'!AU28+'Input POSB Assets'!AV28+'Input POSB Assets'!AW28)/1000000</f>
        <v>0</v>
      </c>
      <c r="I36" s="1057">
        <f>('Input POSB Assets'!AZ28+'Input POSB Assets'!BC28+'Input POSB Assets'!BD28)/1000000</f>
        <v>35.881286000000003</v>
      </c>
      <c r="J36" s="1058">
        <f>'Input POSB Assets'!BM28/1000000</f>
        <v>0</v>
      </c>
      <c r="K36" s="1058">
        <f>'Input POSB Assets'!BU28/1000000</f>
        <v>0</v>
      </c>
      <c r="L36" s="1058">
        <f>('Input POSB Assets'!CY28+'Input POSB Assets'!DN28)/1000000</f>
        <v>0</v>
      </c>
      <c r="M36" s="1057">
        <f>'Input POSB Assets'!BE28/1000000</f>
        <v>0</v>
      </c>
      <c r="N36" s="1057">
        <f>('Input POSB Assets'!BQ28+'Input POSB Assets'!BR28)/1000000</f>
        <v>0</v>
      </c>
      <c r="O36" s="1057">
        <f>('Input POSB Assets'!BT28+'Input POSB Assets'!CC28)/1000000</f>
        <v>0.147762</v>
      </c>
      <c r="P36" s="1057">
        <f>'Input POSB Assets'!CU28/1000000+'Input POSB Assets'!CQ28/1000000</f>
        <v>76.990575000000007</v>
      </c>
      <c r="Q36" s="1057">
        <f>'Input POSB Assets'!DY28/1000000</f>
        <v>0.44367299999999998</v>
      </c>
      <c r="R36" s="1057"/>
      <c r="S36" s="1057">
        <f>'Input POSB Assets'!EM28/1000000</f>
        <v>16.484209</v>
      </c>
      <c r="T36" s="1057">
        <f>'Input POSB Assets'!EH28/1000000</f>
        <v>7.8242060000000002</v>
      </c>
      <c r="U36" s="1059">
        <f t="shared" si="0"/>
        <v>155.69329500000001</v>
      </c>
      <c r="W36" s="1060">
        <f>U36-'Input POSB Assets'!ES28/1000000</f>
        <v>0</v>
      </c>
      <c r="X36" s="1061">
        <f t="shared" si="1"/>
        <v>0</v>
      </c>
      <c r="Y36" s="1030">
        <f t="shared" si="3"/>
        <v>0</v>
      </c>
    </row>
    <row r="37" spans="2:25" ht="15" customHeight="1">
      <c r="B37" s="1054" t="s">
        <v>342</v>
      </c>
      <c r="C37" s="1147">
        <f>'Input POSB Assets'!G29/1000000</f>
        <v>2.3022999999999998E-2</v>
      </c>
      <c r="D37" s="1147">
        <f>'Input POSB Assets'!AP29/1000000</f>
        <v>0.283219</v>
      </c>
      <c r="E37" s="1056">
        <f>'Input POSB Assets'!I29/1000000</f>
        <v>11.438407</v>
      </c>
      <c r="F37" s="1056">
        <f>('Input POSB Assets'!M29+'Input POSB Assets'!X29+'Input POSB Assets'!AF29+'Input POSB Assets'!AK29)/1000000</f>
        <v>4.3358000000000001E-2</v>
      </c>
      <c r="G37" s="1057">
        <f>'Input POSB Assets'!AQ29/1000000</f>
        <v>0.35908899999999999</v>
      </c>
      <c r="H37" s="1057">
        <f>('Input POSB Assets'!AT29+'Input POSB Assets'!AU29+'Input POSB Assets'!AV29+'Input POSB Assets'!AW29)/1000000</f>
        <v>0</v>
      </c>
      <c r="I37" s="1057">
        <f>('Input POSB Assets'!AZ29+'Input POSB Assets'!BC29+'Input POSB Assets'!BD29)/1000000</f>
        <v>40.245359999999998</v>
      </c>
      <c r="J37" s="1058">
        <f>'Input POSB Assets'!BM29/1000000</f>
        <v>0</v>
      </c>
      <c r="K37" s="1058">
        <f>'Input POSB Assets'!BU29/1000000</f>
        <v>0</v>
      </c>
      <c r="L37" s="1058">
        <f>('Input POSB Assets'!CY29+'Input POSB Assets'!DN29)/1000000</f>
        <v>0</v>
      </c>
      <c r="M37" s="1057">
        <f>'Input POSB Assets'!BE29/1000000</f>
        <v>0</v>
      </c>
      <c r="N37" s="1057">
        <f>('Input POSB Assets'!BQ29+'Input POSB Assets'!BR29)/1000000</f>
        <v>0</v>
      </c>
      <c r="O37" s="1057">
        <f>('Input POSB Assets'!BT29+'Input POSB Assets'!CC29)/1000000</f>
        <v>0.14549599999999999</v>
      </c>
      <c r="P37" s="1057">
        <f>'Input POSB Assets'!CU29/1000000+'Input POSB Assets'!CQ29/1000000</f>
        <v>71.620172999999994</v>
      </c>
      <c r="Q37" s="1057">
        <f>'Input POSB Assets'!DY29/1000000</f>
        <v>0.59421199999999996</v>
      </c>
      <c r="R37" s="1057"/>
      <c r="S37" s="1057">
        <f>'Input POSB Assets'!EM29/1000000</f>
        <v>16.269504000000001</v>
      </c>
      <c r="T37" s="1057">
        <f>'Input POSB Assets'!EH29/1000000</f>
        <v>7.7818709999999998</v>
      </c>
      <c r="U37" s="1059">
        <f t="shared" si="0"/>
        <v>148.80371199999999</v>
      </c>
      <c r="W37" s="1060">
        <f>U37-'Input POSB Assets'!ES29/1000000</f>
        <v>0</v>
      </c>
      <c r="X37" s="1061">
        <f t="shared" si="1"/>
        <v>0</v>
      </c>
      <c r="Y37" s="1030">
        <f t="shared" si="3"/>
        <v>0</v>
      </c>
    </row>
    <row r="38" spans="2:25" ht="15" customHeight="1">
      <c r="B38" s="1054" t="s">
        <v>343</v>
      </c>
      <c r="C38" s="1147">
        <f>'Input POSB Assets'!G30/1000000</f>
        <v>0.18532599999999999</v>
      </c>
      <c r="D38" s="1147">
        <f>'Input POSB Assets'!AP30/1000000</f>
        <v>0.359568</v>
      </c>
      <c r="E38" s="1056">
        <f>'Input POSB Assets'!I30/1000000</f>
        <v>19.960570000000001</v>
      </c>
      <c r="F38" s="1056">
        <f>('Input POSB Assets'!M30+'Input POSB Assets'!X30+'Input POSB Assets'!AF30+'Input POSB Assets'!AK30)/1000000</f>
        <v>9.8159999999999997E-2</v>
      </c>
      <c r="G38" s="1057">
        <f>'Input POSB Assets'!AQ30/1000000</f>
        <v>0.62773999999999996</v>
      </c>
      <c r="H38" s="1057">
        <f>('Input POSB Assets'!AT30+'Input POSB Assets'!AU30+'Input POSB Assets'!AV30+'Input POSB Assets'!AW30)/1000000</f>
        <v>0</v>
      </c>
      <c r="I38" s="1057">
        <f>('Input POSB Assets'!AZ30+'Input POSB Assets'!BC30+'Input POSB Assets'!BD30)/1000000</f>
        <v>35.738788999999997</v>
      </c>
      <c r="J38" s="1058">
        <f>'Input POSB Assets'!BM30/1000000</f>
        <v>0</v>
      </c>
      <c r="K38" s="1058">
        <f>'Input POSB Assets'!BU30/1000000</f>
        <v>0</v>
      </c>
      <c r="L38" s="1058">
        <f>('Input POSB Assets'!CY30+'Input POSB Assets'!DN30)/1000000</f>
        <v>0</v>
      </c>
      <c r="M38" s="1057">
        <f>'Input POSB Assets'!BE30/1000000</f>
        <v>0</v>
      </c>
      <c r="N38" s="1057">
        <f>('Input POSB Assets'!BQ30+'Input POSB Assets'!BR30)/1000000</f>
        <v>0</v>
      </c>
      <c r="O38" s="1057">
        <f>('Input POSB Assets'!BT30+'Input POSB Assets'!CC30)/1000000</f>
        <v>0.14746400000000001</v>
      </c>
      <c r="P38" s="1057">
        <f>'Input POSB Assets'!CU30/1000000+'Input POSB Assets'!CQ30/1000000</f>
        <v>72.122973000000002</v>
      </c>
      <c r="Q38" s="1057">
        <f>'Input POSB Assets'!DY30/1000000</f>
        <v>0.67413999999999996</v>
      </c>
      <c r="R38" s="1057"/>
      <c r="S38" s="1057">
        <f>'Input POSB Assets'!EM30/1000000</f>
        <v>15.084974000000001</v>
      </c>
      <c r="T38" s="1057">
        <f>'Input POSB Assets'!EH30/1000000</f>
        <v>7.7336340000000003</v>
      </c>
      <c r="U38" s="1059">
        <f t="shared" si="0"/>
        <v>152.73333799999997</v>
      </c>
      <c r="W38" s="1060">
        <f>U38-'Input POSB Assets'!ES30/1000000</f>
        <v>0</v>
      </c>
      <c r="X38" s="1061">
        <f t="shared" si="1"/>
        <v>0</v>
      </c>
      <c r="Y38" s="1030">
        <f t="shared" si="3"/>
        <v>0</v>
      </c>
    </row>
    <row r="39" spans="2:25" ht="15" customHeight="1">
      <c r="B39" s="1054" t="s">
        <v>344</v>
      </c>
      <c r="C39" s="1147">
        <f>'Input POSB Assets'!G31/1000000</f>
        <v>0.77644199999999997</v>
      </c>
      <c r="D39" s="1147">
        <f>'Input POSB Assets'!AP31/1000000</f>
        <v>0.57039799999999996</v>
      </c>
      <c r="E39" s="1056">
        <f>'Input POSB Assets'!I31/1000000</f>
        <v>20.848859999999998</v>
      </c>
      <c r="F39" s="1056">
        <f>('Input POSB Assets'!M31+'Input POSB Assets'!X31+'Input POSB Assets'!AF31+'Input POSB Assets'!AK31)/1000000</f>
        <v>0.113757</v>
      </c>
      <c r="G39" s="1057">
        <f>'Input POSB Assets'!AQ31/1000000</f>
        <v>1.0453250000000001</v>
      </c>
      <c r="H39" s="1057">
        <f>('Input POSB Assets'!AT31+'Input POSB Assets'!AU31+'Input POSB Assets'!AV31+'Input POSB Assets'!AW31)/1000000</f>
        <v>0</v>
      </c>
      <c r="I39" s="1057">
        <f>('Input POSB Assets'!AZ31+'Input POSB Assets'!BC31+'Input POSB Assets'!BD31)/1000000</f>
        <v>45.707988999999998</v>
      </c>
      <c r="J39" s="1058">
        <f>'Input POSB Assets'!BM31/1000000</f>
        <v>0</v>
      </c>
      <c r="K39" s="1058">
        <f>'Input POSB Assets'!BU31/1000000</f>
        <v>0</v>
      </c>
      <c r="L39" s="1058">
        <f>('Input POSB Assets'!CY31+'Input POSB Assets'!DN31)/1000000</f>
        <v>0</v>
      </c>
      <c r="M39" s="1057">
        <f>'Input POSB Assets'!BE31/1000000</f>
        <v>0</v>
      </c>
      <c r="N39" s="1057">
        <f>('Input POSB Assets'!BQ31+'Input POSB Assets'!BR31)/1000000</f>
        <v>0</v>
      </c>
      <c r="O39" s="1057">
        <f>('Input POSB Assets'!BT31+'Input POSB Assets'!CC31)/1000000</f>
        <v>0.145007</v>
      </c>
      <c r="P39" s="1057">
        <f>'Input POSB Assets'!CU31/1000000+'Input POSB Assets'!CQ31/1000000</f>
        <v>71.389610000000005</v>
      </c>
      <c r="Q39" s="1057">
        <f>'Input POSB Assets'!DY31/1000000</f>
        <v>0.72844600000000004</v>
      </c>
      <c r="R39" s="1057"/>
      <c r="S39" s="1057">
        <f>'Input POSB Assets'!EM31/1000000</f>
        <v>15.250775000000001</v>
      </c>
      <c r="T39" s="1057">
        <f>'Input POSB Assets'!EH31/1000000</f>
        <v>7.7526775699999995</v>
      </c>
      <c r="U39" s="1059">
        <f t="shared" si="0"/>
        <v>164.32928657000002</v>
      </c>
      <c r="W39" s="1060">
        <f>U39-'Input POSB Assets'!ES31/1000000</f>
        <v>0</v>
      </c>
      <c r="X39" s="1061">
        <f t="shared" si="1"/>
        <v>0</v>
      </c>
      <c r="Y39" s="1030">
        <f t="shared" si="3"/>
        <v>0</v>
      </c>
    </row>
    <row r="40" spans="2:25" ht="15" customHeight="1">
      <c r="B40" s="1057"/>
      <c r="C40" s="1147"/>
      <c r="D40" s="1147"/>
      <c r="E40" s="1056"/>
      <c r="F40" s="1056"/>
      <c r="G40" s="1057"/>
      <c r="H40" s="1057"/>
      <c r="I40" s="1057"/>
      <c r="J40" s="1058"/>
      <c r="K40" s="1058"/>
      <c r="L40" s="1058"/>
      <c r="M40" s="1057"/>
      <c r="N40" s="1057"/>
      <c r="O40" s="1057"/>
      <c r="P40" s="1057"/>
      <c r="Q40" s="1057"/>
      <c r="R40" s="1057"/>
      <c r="S40" s="1057"/>
      <c r="T40" s="1057"/>
      <c r="U40" s="1059"/>
      <c r="W40" s="1060">
        <f>U40-'Input POSB Assets'!ES32/1000000</f>
        <v>0</v>
      </c>
      <c r="X40" s="1061"/>
      <c r="Y40" s="1030">
        <f t="shared" si="3"/>
        <v>0</v>
      </c>
    </row>
    <row r="41" spans="2:25" ht="15" customHeight="1">
      <c r="B41" s="1064">
        <v>2017</v>
      </c>
      <c r="C41" s="1136"/>
      <c r="D41" s="1057"/>
      <c r="E41" s="1057"/>
      <c r="F41" s="1057"/>
      <c r="G41" s="1057"/>
      <c r="H41" s="1057"/>
      <c r="I41" s="1057"/>
      <c r="J41" s="1057"/>
      <c r="K41" s="1057"/>
      <c r="L41" s="1057"/>
      <c r="M41" s="1057"/>
      <c r="N41" s="1057"/>
      <c r="O41" s="1057"/>
      <c r="P41" s="1057"/>
      <c r="Q41" s="1057"/>
      <c r="R41" s="1057"/>
      <c r="S41" s="1057"/>
      <c r="T41" s="1057"/>
      <c r="U41" s="1059"/>
    </row>
    <row r="42" spans="2:25" ht="15" customHeight="1">
      <c r="B42" s="1057" t="s">
        <v>345</v>
      </c>
      <c r="C42" s="1147">
        <f>'Input POSB Assets'!G34/1000000</f>
        <v>0.13216800000000001</v>
      </c>
      <c r="D42" s="1147">
        <f>'Input POSB Assets'!AP34/1000000</f>
        <v>0.207901</v>
      </c>
      <c r="E42" s="1056">
        <f>'Input POSB Assets'!I34/1000000</f>
        <v>20.850719000000002</v>
      </c>
      <c r="F42" s="1056">
        <f>('Input POSB Assets'!M34+'Input POSB Assets'!X34+'Input POSB Assets'!AF34+'Input POSB Assets'!AK34)/1000000</f>
        <v>0.17097399999999999</v>
      </c>
      <c r="G42" s="1057">
        <f>'Input POSB Assets'!AQ34/1000000</f>
        <v>0.18231</v>
      </c>
      <c r="H42" s="1057">
        <f>('Input POSB Assets'!AT34+'Input POSB Assets'!AU34+'Input POSB Assets'!AV34+'Input POSB Assets'!AW34)/1000000</f>
        <v>0</v>
      </c>
      <c r="I42" s="1057">
        <f>('Input POSB Assets'!AZ34+'Input POSB Assets'!BC34+'Input POSB Assets'!BD34)/1000000</f>
        <v>45.707988999999998</v>
      </c>
      <c r="J42" s="1058">
        <f>'Input POSB Assets'!BM34/1000000</f>
        <v>0</v>
      </c>
      <c r="K42" s="1058">
        <f>'Input POSB Assets'!BU34/1000000</f>
        <v>0</v>
      </c>
      <c r="L42" s="1058">
        <f>('Input POSB Assets'!CY34+'Input POSB Assets'!DN34)/1000000</f>
        <v>0</v>
      </c>
      <c r="M42" s="1057">
        <f>'Input POSB Assets'!BE34/1000000</f>
        <v>0</v>
      </c>
      <c r="N42" s="1057">
        <f>('Input POSB Assets'!BQ34+'Input POSB Assets'!BR34)/1000000</f>
        <v>0</v>
      </c>
      <c r="O42" s="1057">
        <f>('Input POSB Assets'!BT34+'Input POSB Assets'!CC34)/1000000</f>
        <v>0.137881</v>
      </c>
      <c r="P42" s="1057">
        <f>'Input POSB Assets'!CU34/1000000+'Input POSB Assets'!CQ34/1000000</f>
        <v>70.844888999999995</v>
      </c>
      <c r="Q42" s="1057">
        <f>'Input POSB Assets'!DY34/1000000</f>
        <v>0.58092999999999995</v>
      </c>
      <c r="R42" s="1057"/>
      <c r="S42" s="1057">
        <f>'Input POSB Assets'!EM34/1000000</f>
        <v>15.329491000000001</v>
      </c>
      <c r="T42" s="1057">
        <f>'Input POSB Assets'!EH34/1000000</f>
        <v>7.6880236400000008</v>
      </c>
      <c r="U42" s="1059">
        <f>SUM(C42:T42)</f>
        <v>161.83327563999998</v>
      </c>
      <c r="W42" s="1060">
        <f>U42-'Input POSB Assets'!ES34/1000000</f>
        <v>0</v>
      </c>
      <c r="X42" s="1061">
        <f>+W42/U42</f>
        <v>0</v>
      </c>
      <c r="Y42" s="1030">
        <f>+W42*1000000</f>
        <v>0</v>
      </c>
    </row>
    <row r="43" spans="2:25" ht="15" customHeight="1">
      <c r="B43" s="1057" t="s">
        <v>334</v>
      </c>
      <c r="C43" s="1147">
        <f>'Input POSB Assets'!G35/1000000</f>
        <v>1.821394</v>
      </c>
      <c r="D43" s="1147">
        <f>'Input POSB Assets'!AP35/1000000</f>
        <v>0.111868</v>
      </c>
      <c r="E43" s="1056">
        <f>'Input POSB Assets'!I35/1000000</f>
        <v>21.101147000000001</v>
      </c>
      <c r="F43" s="1056">
        <f>('Input POSB Assets'!M35+'Input POSB Assets'!X35+'Input POSB Assets'!AF35+'Input POSB Assets'!AK35)/1000000</f>
        <v>6.7877999999999994E-2</v>
      </c>
      <c r="G43" s="1057">
        <f>'Input POSB Assets'!AQ35/1000000</f>
        <v>0.30298000000000003</v>
      </c>
      <c r="H43" s="1057">
        <f>('Input POSB Assets'!AT35+'Input POSB Assets'!AU35+'Input POSB Assets'!AV35+'Input POSB Assets'!AW35)/1000000</f>
        <v>0</v>
      </c>
      <c r="I43" s="1057">
        <f>('Input POSB Assets'!AZ35+'Input POSB Assets'!BC35+'Input POSB Assets'!BD35)/1000000</f>
        <v>49.257008999999996</v>
      </c>
      <c r="J43" s="1058">
        <f>'Input POSB Assets'!BM35/1000000</f>
        <v>0</v>
      </c>
      <c r="K43" s="1058">
        <f>'Input POSB Assets'!BU35/1000000</f>
        <v>0</v>
      </c>
      <c r="L43" s="1058">
        <f>('Input POSB Assets'!CY35+'Input POSB Assets'!DN35)/1000000</f>
        <v>0</v>
      </c>
      <c r="M43" s="1057">
        <f>'Input POSB Assets'!BE35/1000000</f>
        <v>0</v>
      </c>
      <c r="N43" s="1057">
        <f>('Input POSB Assets'!BQ35+'Input POSB Assets'!BR35)/1000000</f>
        <v>0</v>
      </c>
      <c r="O43" s="1057">
        <f>('Input POSB Assets'!BT35+'Input POSB Assets'!CC35)/1000000</f>
        <v>0.13946700000000001</v>
      </c>
      <c r="P43" s="1057">
        <f>'Input POSB Assets'!CU35/1000000+'Input POSB Assets'!CQ35/1000000</f>
        <v>67.106200999999999</v>
      </c>
      <c r="Q43" s="1057">
        <f>'Input POSB Assets'!DY35/1000000</f>
        <v>0.54981899999999995</v>
      </c>
      <c r="R43" s="1057"/>
      <c r="S43" s="1057">
        <f>'Input POSB Assets'!EM35/1000000</f>
        <v>15.136996</v>
      </c>
      <c r="T43" s="1057">
        <f>'Input POSB Assets'!EH35/1000000</f>
        <v>7.8130701500000006</v>
      </c>
      <c r="U43" s="1059">
        <f>SUM(C43:T43)</f>
        <v>163.40782915</v>
      </c>
      <c r="W43" s="1060">
        <f>U43-'Input POSB Assets'!ES35/1000000</f>
        <v>0</v>
      </c>
      <c r="X43" s="1061">
        <f>+W43/U43</f>
        <v>0</v>
      </c>
      <c r="Y43" s="1030">
        <f>+W43*1000000</f>
        <v>0</v>
      </c>
    </row>
    <row r="44" spans="2:25" ht="15" customHeight="1" thickBot="1">
      <c r="B44" s="1065"/>
      <c r="C44" s="1065"/>
      <c r="D44" s="1066"/>
      <c r="E44" s="1066"/>
      <c r="F44" s="1066"/>
      <c r="G44" s="1066"/>
      <c r="H44" s="1066"/>
      <c r="I44" s="1066"/>
      <c r="J44" s="1066"/>
      <c r="K44" s="1066"/>
      <c r="L44" s="1066"/>
      <c r="M44" s="1067"/>
      <c r="N44" s="1066"/>
      <c r="O44" s="1067"/>
      <c r="P44" s="1066"/>
      <c r="Q44" s="1066"/>
      <c r="R44" s="1066"/>
      <c r="S44" s="1066"/>
      <c r="T44" s="1066"/>
      <c r="U44" s="1068"/>
    </row>
    <row r="45" spans="2:25" ht="12" thickTop="1"/>
    <row r="46" spans="2:25" ht="16.5">
      <c r="B46" s="963" t="s">
        <v>1360</v>
      </c>
      <c r="C46" s="926"/>
      <c r="D46" s="926"/>
      <c r="E46" s="1069"/>
      <c r="F46" s="1069"/>
      <c r="G46" s="1069"/>
      <c r="H46" s="1069"/>
      <c r="I46" s="1069"/>
      <c r="J46" s="1069"/>
      <c r="K46" s="1069"/>
      <c r="L46" s="1069"/>
      <c r="M46" s="1069"/>
      <c r="N46" s="1069"/>
      <c r="O46" s="1069"/>
      <c r="P46" s="1069"/>
      <c r="Q46" s="1069"/>
      <c r="R46" s="1069"/>
      <c r="S46" s="1069"/>
      <c r="T46" s="1069"/>
      <c r="U46" s="1069"/>
      <c r="V46" s="1070"/>
    </row>
    <row r="47" spans="2:25">
      <c r="D47" s="1069"/>
      <c r="E47" s="1069"/>
      <c r="F47" s="1069"/>
      <c r="G47" s="1069"/>
      <c r="H47" s="1069"/>
      <c r="I47" s="1069"/>
      <c r="J47" s="1069"/>
      <c r="K47" s="1069"/>
      <c r="L47" s="1069"/>
      <c r="M47" s="1069"/>
      <c r="N47" s="1069"/>
      <c r="O47" s="1069"/>
      <c r="P47" s="1069"/>
      <c r="Q47" s="1069"/>
      <c r="R47" s="1069"/>
      <c r="S47" s="1069"/>
      <c r="T47" s="1069"/>
      <c r="U47" s="1069"/>
      <c r="V47" s="1070"/>
    </row>
    <row r="48" spans="2:25" ht="15.75">
      <c r="B48" s="237" t="s">
        <v>998</v>
      </c>
    </row>
    <row r="49" spans="2:25" s="921" customFormat="1" ht="15">
      <c r="B49" s="921" t="s">
        <v>1729</v>
      </c>
      <c r="W49" s="1072"/>
      <c r="X49" s="1073"/>
      <c r="Y49" s="1074"/>
    </row>
    <row r="50" spans="2:25" s="921" customFormat="1" ht="15">
      <c r="B50" s="921" t="s">
        <v>1730</v>
      </c>
      <c r="W50" s="1072"/>
      <c r="X50" s="1073"/>
      <c r="Y50" s="1074"/>
    </row>
    <row r="51" spans="2:25" s="921" customFormat="1" ht="15">
      <c r="B51" s="921" t="s">
        <v>1731</v>
      </c>
      <c r="W51" s="1072"/>
      <c r="X51" s="1073"/>
      <c r="Y51" s="1074"/>
    </row>
    <row r="52" spans="2:25" s="921" customFormat="1" ht="15">
      <c r="W52" s="1072"/>
      <c r="X52" s="1073"/>
      <c r="Y52" s="1074"/>
    </row>
    <row r="53" spans="2:25" s="921" customFormat="1" ht="15">
      <c r="W53" s="1072"/>
      <c r="X53" s="1073"/>
      <c r="Y53" s="1074"/>
    </row>
    <row r="54" spans="2:25" s="921" customFormat="1" ht="15">
      <c r="W54" s="1072"/>
      <c r="X54" s="1073"/>
      <c r="Y54" s="1074"/>
    </row>
    <row r="55" spans="2:25" s="921" customFormat="1" ht="15">
      <c r="W55" s="1072"/>
      <c r="X55" s="1073"/>
      <c r="Y55" s="1074"/>
    </row>
    <row r="56" spans="2:25" s="921" customFormat="1" ht="15">
      <c r="W56" s="1072"/>
      <c r="X56" s="1073"/>
      <c r="Y56" s="1074"/>
    </row>
    <row r="57" spans="2:25" s="921" customFormat="1" ht="15">
      <c r="W57" s="1072"/>
      <c r="X57" s="1073"/>
      <c r="Y57" s="1074"/>
    </row>
    <row r="58" spans="2:25" s="921" customFormat="1" ht="15">
      <c r="W58" s="1072"/>
      <c r="X58" s="1073"/>
      <c r="Y58" s="1074"/>
    </row>
    <row r="59" spans="2:25" s="921" customFormat="1" ht="15">
      <c r="W59" s="1072"/>
      <c r="X59" s="1073"/>
      <c r="Y59" s="1074"/>
    </row>
    <row r="60" spans="2:25" s="921" customFormat="1" ht="15">
      <c r="W60" s="1072"/>
      <c r="X60" s="1073"/>
      <c r="Y60" s="1074"/>
    </row>
    <row r="61" spans="2:25" s="921" customFormat="1" ht="15">
      <c r="W61" s="1072"/>
      <c r="X61" s="1073"/>
      <c r="Y61" s="1074"/>
    </row>
    <row r="62" spans="2:25" s="921" customFormat="1" ht="15">
      <c r="W62" s="1072"/>
      <c r="X62" s="1073"/>
      <c r="Y62" s="1074"/>
    </row>
    <row r="63" spans="2:25" s="921" customFormat="1" ht="15">
      <c r="W63" s="1072"/>
      <c r="X63" s="1073"/>
      <c r="Y63" s="1074"/>
    </row>
    <row r="64" spans="2:25" s="921" customFormat="1" ht="15">
      <c r="W64" s="1072"/>
      <c r="X64" s="1073"/>
      <c r="Y64" s="1074"/>
    </row>
    <row r="65" spans="23:25" s="921" customFormat="1" ht="15">
      <c r="W65" s="1072"/>
      <c r="X65" s="1073"/>
      <c r="Y65" s="1074"/>
    </row>
    <row r="66" spans="23:25" s="921" customFormat="1" ht="15">
      <c r="W66" s="1072"/>
      <c r="X66" s="1073"/>
      <c r="Y66" s="1074"/>
    </row>
    <row r="67" spans="23:25" s="921" customFormat="1" ht="15">
      <c r="W67" s="1072"/>
      <c r="X67" s="1073"/>
      <c r="Y67" s="1074"/>
    </row>
    <row r="68" spans="23:25" s="921" customFormat="1" ht="15">
      <c r="W68" s="1072"/>
      <c r="X68" s="1073"/>
      <c r="Y68" s="1074"/>
    </row>
    <row r="69" spans="23:25" s="921" customFormat="1" ht="15">
      <c r="W69" s="1072"/>
      <c r="X69" s="1073"/>
      <c r="Y69" s="1074"/>
    </row>
    <row r="70" spans="23:25" s="921" customFormat="1" ht="15">
      <c r="W70" s="1072"/>
      <c r="X70" s="1073"/>
      <c r="Y70" s="1074"/>
    </row>
    <row r="71" spans="23:25" s="921" customFormat="1" ht="15">
      <c r="W71" s="1072"/>
      <c r="X71" s="1073"/>
      <c r="Y71" s="1074"/>
    </row>
    <row r="72" spans="23:25" s="921" customFormat="1" ht="15">
      <c r="W72" s="1072"/>
      <c r="X72" s="1073"/>
      <c r="Y72" s="1074"/>
    </row>
    <row r="73" spans="23:25" s="921" customFormat="1" ht="15">
      <c r="W73" s="1072"/>
      <c r="X73" s="1073"/>
      <c r="Y73" s="1074"/>
    </row>
    <row r="74" spans="23:25" s="921" customFormat="1" ht="15">
      <c r="W74" s="1072"/>
      <c r="X74" s="1073"/>
      <c r="Y74" s="1074"/>
    </row>
    <row r="75" spans="23:25" s="921" customFormat="1" ht="15">
      <c r="W75" s="1072"/>
      <c r="X75" s="1073"/>
      <c r="Y75" s="1074"/>
    </row>
    <row r="76" spans="23:25" s="921" customFormat="1" ht="15">
      <c r="W76" s="1072"/>
      <c r="X76" s="1073"/>
      <c r="Y76" s="1074"/>
    </row>
    <row r="77" spans="23:25" s="921" customFormat="1" ht="15">
      <c r="W77" s="1072"/>
      <c r="X77" s="1073"/>
      <c r="Y77" s="1074"/>
    </row>
    <row r="78" spans="23:25" s="921" customFormat="1" ht="15">
      <c r="W78" s="1072"/>
      <c r="X78" s="1073"/>
      <c r="Y78" s="1074"/>
    </row>
    <row r="79" spans="23:25" s="921" customFormat="1" ht="15">
      <c r="W79" s="1072"/>
      <c r="X79" s="1073"/>
      <c r="Y79" s="1074"/>
    </row>
    <row r="80" spans="23:25" s="921" customFormat="1" ht="15">
      <c r="W80" s="1072"/>
      <c r="X80" s="1073"/>
      <c r="Y80" s="1074"/>
    </row>
    <row r="81" spans="23:25" s="921" customFormat="1" ht="15">
      <c r="W81" s="1072"/>
      <c r="X81" s="1073"/>
      <c r="Y81" s="1074"/>
    </row>
    <row r="82" spans="23:25" s="921" customFormat="1" ht="15">
      <c r="W82" s="1072"/>
      <c r="X82" s="1073"/>
      <c r="Y82" s="1074"/>
    </row>
    <row r="83" spans="23:25" s="921" customFormat="1" ht="15">
      <c r="W83" s="1072"/>
      <c r="X83" s="1073"/>
      <c r="Y83" s="1074"/>
    </row>
    <row r="84" spans="23:25" s="921" customFormat="1" ht="15">
      <c r="W84" s="1072"/>
      <c r="X84" s="1073"/>
      <c r="Y84" s="1074"/>
    </row>
    <row r="85" spans="23:25" s="921" customFormat="1" ht="15">
      <c r="W85" s="1072"/>
      <c r="X85" s="1073"/>
      <c r="Y85" s="1074"/>
    </row>
    <row r="86" spans="23:25" s="921" customFormat="1" ht="15">
      <c r="W86" s="1072"/>
      <c r="X86" s="1073"/>
      <c r="Y86" s="1074"/>
    </row>
    <row r="87" spans="23:25" s="921" customFormat="1" ht="15">
      <c r="W87" s="1072"/>
      <c r="X87" s="1073"/>
      <c r="Y87" s="1074"/>
    </row>
    <row r="88" spans="23:25" s="921" customFormat="1" ht="15">
      <c r="W88" s="1072"/>
      <c r="X88" s="1073"/>
      <c r="Y88" s="1074"/>
    </row>
    <row r="89" spans="23:25" s="921" customFormat="1" ht="15">
      <c r="W89" s="1072"/>
      <c r="X89" s="1073"/>
      <c r="Y89" s="1074"/>
    </row>
    <row r="90" spans="23:25" s="921" customFormat="1" ht="15">
      <c r="W90" s="1072"/>
      <c r="X90" s="1073"/>
      <c r="Y90" s="1074"/>
    </row>
    <row r="91" spans="23:25" s="921" customFormat="1" ht="15">
      <c r="W91" s="1072"/>
      <c r="X91" s="1073"/>
      <c r="Y91" s="1074"/>
    </row>
    <row r="92" spans="23:25" s="921" customFormat="1" ht="15">
      <c r="W92" s="1072"/>
      <c r="X92" s="1073"/>
      <c r="Y92" s="1074"/>
    </row>
    <row r="93" spans="23:25" s="921" customFormat="1" ht="15">
      <c r="W93" s="1072"/>
      <c r="X93" s="1073"/>
      <c r="Y93" s="1074"/>
    </row>
    <row r="94" spans="23:25" s="921" customFormat="1" ht="15">
      <c r="W94" s="1072"/>
      <c r="X94" s="1073"/>
      <c r="Y94" s="1074"/>
    </row>
    <row r="95" spans="23:25" s="921" customFormat="1" ht="15">
      <c r="W95" s="1072"/>
      <c r="X95" s="1073"/>
      <c r="Y95" s="1074"/>
    </row>
    <row r="96" spans="23:25" s="921" customFormat="1" ht="15">
      <c r="W96" s="1072"/>
      <c r="X96" s="1073"/>
      <c r="Y96" s="1074"/>
    </row>
    <row r="97" spans="23:25" s="921" customFormat="1" ht="15">
      <c r="W97" s="1072"/>
      <c r="X97" s="1073"/>
      <c r="Y97" s="1074"/>
    </row>
    <row r="98" spans="23:25" s="921" customFormat="1" ht="15">
      <c r="W98" s="1072"/>
      <c r="X98" s="1073"/>
      <c r="Y98" s="1074"/>
    </row>
    <row r="99" spans="23:25" s="921" customFormat="1" ht="15">
      <c r="W99" s="1072"/>
      <c r="X99" s="1073"/>
      <c r="Y99" s="1074"/>
    </row>
    <row r="100" spans="23:25" s="921" customFormat="1" ht="15">
      <c r="W100" s="1072"/>
      <c r="X100" s="1073"/>
      <c r="Y100" s="1074"/>
    </row>
    <row r="101" spans="23:25" s="921" customFormat="1" ht="15">
      <c r="W101" s="1072"/>
      <c r="X101" s="1073"/>
      <c r="Y101" s="1074"/>
    </row>
    <row r="102" spans="23:25" s="921" customFormat="1" ht="15">
      <c r="W102" s="1072"/>
      <c r="X102" s="1073"/>
      <c r="Y102" s="1074"/>
    </row>
    <row r="103" spans="23:25" s="921" customFormat="1" ht="15">
      <c r="W103" s="1072"/>
      <c r="X103" s="1073"/>
      <c r="Y103" s="1074"/>
    </row>
    <row r="104" spans="23:25" s="921" customFormat="1" ht="15">
      <c r="W104" s="1072"/>
      <c r="X104" s="1073"/>
      <c r="Y104" s="1074"/>
    </row>
    <row r="105" spans="23:25" s="921" customFormat="1" ht="15">
      <c r="W105" s="1072"/>
      <c r="X105" s="1073"/>
      <c r="Y105" s="1074"/>
    </row>
    <row r="106" spans="23:25" s="921" customFormat="1" ht="15">
      <c r="W106" s="1072"/>
      <c r="X106" s="1073"/>
      <c r="Y106" s="1074"/>
    </row>
    <row r="107" spans="23:25" s="921" customFormat="1" ht="15">
      <c r="W107" s="1072"/>
      <c r="X107" s="1073"/>
      <c r="Y107" s="1074"/>
    </row>
    <row r="108" spans="23:25" s="921" customFormat="1" ht="15">
      <c r="W108" s="1072"/>
      <c r="X108" s="1073"/>
      <c r="Y108" s="1074"/>
    </row>
    <row r="109" spans="23:25" s="921" customFormat="1" ht="15">
      <c r="W109" s="1072"/>
      <c r="X109" s="1073"/>
      <c r="Y109" s="1074"/>
    </row>
    <row r="110" spans="23:25" s="921" customFormat="1" ht="15">
      <c r="W110" s="1072"/>
      <c r="X110" s="1073"/>
      <c r="Y110" s="1074"/>
    </row>
    <row r="111" spans="23:25" s="921" customFormat="1" ht="15">
      <c r="W111" s="1072"/>
      <c r="X111" s="1073"/>
      <c r="Y111" s="1074"/>
    </row>
    <row r="112" spans="23:25" s="921" customFormat="1" ht="15">
      <c r="W112" s="1072"/>
      <c r="X112" s="1073"/>
      <c r="Y112" s="1074"/>
    </row>
    <row r="113" spans="23:25" s="921" customFormat="1" ht="15">
      <c r="W113" s="1072"/>
      <c r="X113" s="1073"/>
      <c r="Y113" s="1074"/>
    </row>
    <row r="114" spans="23:25" s="921" customFormat="1" ht="15">
      <c r="W114" s="1072"/>
      <c r="X114" s="1073"/>
      <c r="Y114" s="1074"/>
    </row>
    <row r="115" spans="23:25" s="921" customFormat="1" ht="15">
      <c r="W115" s="1072"/>
      <c r="X115" s="1073"/>
      <c r="Y115" s="1074"/>
    </row>
    <row r="116" spans="23:25" s="921" customFormat="1" ht="15">
      <c r="W116" s="1072"/>
      <c r="X116" s="1073"/>
      <c r="Y116" s="1074"/>
    </row>
    <row r="117" spans="23:25" s="921" customFormat="1" ht="15">
      <c r="W117" s="1072"/>
      <c r="X117" s="1073"/>
      <c r="Y117" s="1074"/>
    </row>
    <row r="118" spans="23:25" s="921" customFormat="1" ht="15">
      <c r="W118" s="1072"/>
      <c r="X118" s="1073"/>
      <c r="Y118" s="1074"/>
    </row>
    <row r="119" spans="23:25" s="921" customFormat="1" ht="15">
      <c r="W119" s="1072"/>
      <c r="X119" s="1073"/>
      <c r="Y119" s="1074"/>
    </row>
    <row r="120" spans="23:25" s="921" customFormat="1" ht="15">
      <c r="W120" s="1072"/>
      <c r="X120" s="1073"/>
      <c r="Y120" s="1074"/>
    </row>
    <row r="121" spans="23:25" s="921" customFormat="1" ht="15">
      <c r="W121" s="1072"/>
      <c r="X121" s="1073"/>
      <c r="Y121" s="1074"/>
    </row>
    <row r="122" spans="23:25" s="921" customFormat="1" ht="15">
      <c r="W122" s="1072"/>
      <c r="X122" s="1073"/>
      <c r="Y122" s="1074"/>
    </row>
    <row r="123" spans="23:25" s="921" customFormat="1" ht="15">
      <c r="W123" s="1072"/>
      <c r="X123" s="1073"/>
      <c r="Y123" s="1074"/>
    </row>
    <row r="124" spans="23:25" s="921" customFormat="1" ht="15">
      <c r="W124" s="1072"/>
      <c r="X124" s="1073"/>
      <c r="Y124" s="1074"/>
    </row>
    <row r="125" spans="23:25" s="921" customFormat="1" ht="15">
      <c r="W125" s="1072"/>
      <c r="X125" s="1073"/>
      <c r="Y125" s="1074"/>
    </row>
    <row r="126" spans="23:25" s="921" customFormat="1" ht="15">
      <c r="W126" s="1072"/>
      <c r="X126" s="1073"/>
      <c r="Y126" s="1074"/>
    </row>
    <row r="127" spans="23:25" s="921" customFormat="1" ht="15">
      <c r="W127" s="1072"/>
      <c r="X127" s="1073"/>
      <c r="Y127" s="1074"/>
    </row>
    <row r="128" spans="23:25" s="921" customFormat="1" ht="15">
      <c r="W128" s="1072"/>
      <c r="X128" s="1073"/>
      <c r="Y128" s="1074"/>
    </row>
    <row r="129" spans="23:25" s="921" customFormat="1" ht="15">
      <c r="W129" s="1072"/>
      <c r="X129" s="1073"/>
      <c r="Y129" s="1074"/>
    </row>
    <row r="130" spans="23:25" s="921" customFormat="1" ht="15">
      <c r="W130" s="1072"/>
      <c r="X130" s="1073"/>
      <c r="Y130" s="1074"/>
    </row>
    <row r="131" spans="23:25" s="921" customFormat="1" ht="15">
      <c r="W131" s="1072"/>
      <c r="X131" s="1073"/>
      <c r="Y131" s="1074"/>
    </row>
    <row r="132" spans="23:25" s="921" customFormat="1" ht="15">
      <c r="W132" s="1072"/>
      <c r="X132" s="1073"/>
      <c r="Y132" s="1074"/>
    </row>
    <row r="133" spans="23:25" s="921" customFormat="1" ht="15">
      <c r="W133" s="1072"/>
      <c r="X133" s="1073"/>
      <c r="Y133" s="1074"/>
    </row>
    <row r="134" spans="23:25" s="921" customFormat="1" ht="15">
      <c r="W134" s="1072"/>
      <c r="X134" s="1073"/>
      <c r="Y134" s="1074"/>
    </row>
    <row r="135" spans="23:25" s="921" customFormat="1" ht="15">
      <c r="W135" s="1072"/>
      <c r="X135" s="1073"/>
      <c r="Y135" s="1074"/>
    </row>
    <row r="136" spans="23:25" s="921" customFormat="1" ht="15">
      <c r="W136" s="1072"/>
      <c r="X136" s="1073"/>
      <c r="Y136" s="1074"/>
    </row>
    <row r="137" spans="23:25" s="921" customFormat="1" ht="15">
      <c r="W137" s="1072"/>
      <c r="X137" s="1073"/>
      <c r="Y137" s="1074"/>
    </row>
    <row r="138" spans="23:25" s="921" customFormat="1" ht="15">
      <c r="W138" s="1072"/>
      <c r="X138" s="1073"/>
      <c r="Y138" s="1074"/>
    </row>
    <row r="139" spans="23:25" s="921" customFormat="1" ht="15">
      <c r="W139" s="1072"/>
      <c r="X139" s="1073"/>
      <c r="Y139" s="1074"/>
    </row>
    <row r="140" spans="23:25" s="921" customFormat="1" ht="15">
      <c r="W140" s="1072"/>
      <c r="X140" s="1073"/>
      <c r="Y140" s="1074"/>
    </row>
    <row r="141" spans="23:25" s="921" customFormat="1" ht="15">
      <c r="W141" s="1072"/>
      <c r="X141" s="1073"/>
      <c r="Y141" s="1074"/>
    </row>
    <row r="142" spans="23:25" s="921" customFormat="1" ht="15">
      <c r="W142" s="1072"/>
      <c r="X142" s="1073"/>
      <c r="Y142" s="1074"/>
    </row>
    <row r="143" spans="23:25" s="921" customFormat="1" ht="15">
      <c r="W143" s="1072"/>
      <c r="X143" s="1073"/>
      <c r="Y143" s="1074"/>
    </row>
    <row r="144" spans="23:25" s="921" customFormat="1" ht="15">
      <c r="W144" s="1072"/>
      <c r="X144" s="1073"/>
      <c r="Y144" s="1074"/>
    </row>
    <row r="145" spans="23:25" s="921" customFormat="1" ht="15">
      <c r="W145" s="1072"/>
      <c r="X145" s="1073"/>
      <c r="Y145" s="1074"/>
    </row>
    <row r="146" spans="23:25" s="921" customFormat="1" ht="15">
      <c r="W146" s="1072"/>
      <c r="X146" s="1073"/>
      <c r="Y146" s="1074"/>
    </row>
    <row r="147" spans="23:25" s="921" customFormat="1" ht="15">
      <c r="W147" s="1072"/>
      <c r="X147" s="1073"/>
      <c r="Y147" s="1074"/>
    </row>
    <row r="148" spans="23:25" s="921" customFormat="1" ht="15">
      <c r="W148" s="1072"/>
      <c r="X148" s="1073"/>
      <c r="Y148" s="1074"/>
    </row>
    <row r="149" spans="23:25" s="921" customFormat="1" ht="15">
      <c r="W149" s="1072"/>
      <c r="X149" s="1073"/>
      <c r="Y149" s="1074"/>
    </row>
    <row r="150" spans="23:25" s="921" customFormat="1" ht="15">
      <c r="W150" s="1072"/>
      <c r="X150" s="1073"/>
      <c r="Y150" s="1074"/>
    </row>
    <row r="151" spans="23:25" s="921" customFormat="1" ht="15">
      <c r="W151" s="1072"/>
      <c r="X151" s="1073"/>
      <c r="Y151" s="1074"/>
    </row>
    <row r="152" spans="23:25" s="921" customFormat="1" ht="15">
      <c r="W152" s="1072"/>
      <c r="X152" s="1073"/>
      <c r="Y152" s="1074"/>
    </row>
    <row r="153" spans="23:25" s="921" customFormat="1" ht="15">
      <c r="W153" s="1072"/>
      <c r="X153" s="1073"/>
      <c r="Y153" s="1074"/>
    </row>
    <row r="154" spans="23:25" s="921" customFormat="1" ht="15">
      <c r="W154" s="1072"/>
      <c r="X154" s="1073"/>
      <c r="Y154" s="1074"/>
    </row>
    <row r="155" spans="23:25" s="921" customFormat="1" ht="15">
      <c r="W155" s="1072"/>
      <c r="X155" s="1073"/>
      <c r="Y155" s="1074"/>
    </row>
    <row r="156" spans="23:25" s="921" customFormat="1" ht="15">
      <c r="W156" s="1072"/>
      <c r="X156" s="1073"/>
      <c r="Y156" s="1074"/>
    </row>
    <row r="157" spans="23:25" s="921" customFormat="1" ht="15">
      <c r="W157" s="1072"/>
      <c r="X157" s="1073"/>
      <c r="Y157" s="1074"/>
    </row>
    <row r="158" spans="23:25" s="921" customFormat="1" ht="15">
      <c r="W158" s="1072"/>
      <c r="X158" s="1073"/>
      <c r="Y158" s="1074"/>
    </row>
    <row r="159" spans="23:25" s="921" customFormat="1" ht="15">
      <c r="W159" s="1072"/>
      <c r="X159" s="1073"/>
      <c r="Y159" s="1074"/>
    </row>
    <row r="160" spans="23:25" s="921" customFormat="1" ht="15">
      <c r="W160" s="1072"/>
      <c r="X160" s="1073"/>
      <c r="Y160" s="1074"/>
    </row>
    <row r="161" spans="23:25" s="921" customFormat="1" ht="15">
      <c r="W161" s="1072"/>
      <c r="X161" s="1073"/>
      <c r="Y161" s="1074"/>
    </row>
    <row r="162" spans="23:25" s="921" customFormat="1" ht="15">
      <c r="W162" s="1072"/>
      <c r="X162" s="1073"/>
      <c r="Y162" s="1074"/>
    </row>
    <row r="163" spans="23:25" s="921" customFormat="1" ht="15">
      <c r="W163" s="1072"/>
      <c r="X163" s="1073"/>
      <c r="Y163" s="1074"/>
    </row>
    <row r="164" spans="23:25" s="921" customFormat="1" ht="15">
      <c r="W164" s="1072"/>
      <c r="X164" s="1073"/>
      <c r="Y164" s="1074"/>
    </row>
    <row r="165" spans="23:25" s="921" customFormat="1" ht="15">
      <c r="W165" s="1072"/>
      <c r="X165" s="1073"/>
      <c r="Y165" s="1074"/>
    </row>
    <row r="166" spans="23:25" s="921" customFormat="1" ht="15">
      <c r="W166" s="1072"/>
      <c r="X166" s="1073"/>
      <c r="Y166" s="1074"/>
    </row>
    <row r="167" spans="23:25" s="921" customFormat="1" ht="15">
      <c r="W167" s="1072"/>
      <c r="X167" s="1073"/>
      <c r="Y167" s="1074"/>
    </row>
    <row r="168" spans="23:25" s="921" customFormat="1" ht="15">
      <c r="W168" s="1072"/>
      <c r="X168" s="1073"/>
      <c r="Y168" s="1074"/>
    </row>
    <row r="169" spans="23:25" s="921" customFormat="1" ht="15">
      <c r="W169" s="1072"/>
      <c r="X169" s="1073"/>
      <c r="Y169" s="1074"/>
    </row>
  </sheetData>
  <customSheetViews>
    <customSheetView guid="{705E0D18-9A83-42CA-8732-90923BE2EC7D}"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89CA84C2-78F5-4B05-8F1D-B7C5F97BCB4E}"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U1"/>
    <mergeCell ref="B3:U3"/>
    <mergeCell ref="D6:G6"/>
    <mergeCell ref="I6:L6"/>
    <mergeCell ref="I7:L7"/>
    <mergeCell ref="M7:P7"/>
  </mergeCells>
  <printOptions horizontalCentered="1"/>
  <pageMargins left="0.01" right="0.01" top="0.17" bottom="0.02" header="0.51" footer="0.5"/>
  <pageSetup paperSize="9" scale="62" orientation="landscape" horizontalDpi="300" verticalDpi="300" r:id="rId4"/>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D4:V112"/>
  <sheetViews>
    <sheetView showGridLines="0" topLeftCell="C1" zoomScale="85" zoomScaleNormal="60" zoomScaleSheetLayoutView="85" workbookViewId="0">
      <pane xSplit="2" ySplit="12" topLeftCell="E97" activePane="bottomRight" state="frozen"/>
      <selection activeCell="C1" sqref="C1"/>
      <selection pane="topRight" activeCell="E1" sqref="E1"/>
      <selection pane="bottomLeft" activeCell="C13" sqref="C13"/>
      <selection pane="bottomRight" activeCell="B2" sqref="B2:O2"/>
    </sheetView>
  </sheetViews>
  <sheetFormatPr defaultColWidth="8.77734375" defaultRowHeight="12.75"/>
  <cols>
    <col min="1" max="2" width="8.77734375" style="1075"/>
    <col min="3" max="3" width="10.5546875" style="1075" customWidth="1"/>
    <col min="4" max="4" width="11.77734375" style="1075" customWidth="1"/>
    <col min="5" max="6" width="17.21875" style="1075" customWidth="1"/>
    <col min="7" max="7" width="17.21875" style="1077" customWidth="1"/>
    <col min="8" max="8" width="17.21875" style="1075" customWidth="1"/>
    <col min="9" max="9" width="11.77734375" style="1075" customWidth="1"/>
    <col min="10" max="10" width="10.5546875" style="1077" customWidth="1"/>
    <col min="11" max="11" width="12.109375" style="1075" bestFit="1" customWidth="1"/>
    <col min="12" max="12" width="15.77734375" style="1075" customWidth="1"/>
    <col min="13" max="13" width="13.21875" style="1075" customWidth="1"/>
    <col min="14" max="14" width="12.77734375" style="1075" bestFit="1" customWidth="1"/>
    <col min="15" max="15" width="10.5546875" style="1075" bestFit="1" customWidth="1"/>
    <col min="16" max="16" width="11" style="1075" customWidth="1"/>
    <col min="17" max="17" width="11.5546875" style="1075" customWidth="1"/>
    <col min="18" max="18" width="13.77734375" style="1077" customWidth="1"/>
    <col min="19" max="19" width="14.6640625" style="1075" customWidth="1"/>
    <col min="20" max="20" width="18.77734375" style="1078" customWidth="1"/>
    <col min="21" max="21" width="15.21875" style="1075" customWidth="1"/>
    <col min="22" max="16384" width="8.77734375" style="1075"/>
  </cols>
  <sheetData>
    <row r="4" spans="4:22" ht="14.25">
      <c r="D4" s="1893" t="s">
        <v>1724</v>
      </c>
      <c r="E4" s="1893"/>
      <c r="F4" s="1893"/>
      <c r="G4" s="1893"/>
      <c r="H4" s="1893"/>
      <c r="I4" s="1893"/>
      <c r="J4" s="1893"/>
      <c r="K4" s="1893"/>
      <c r="L4" s="1893"/>
      <c r="M4" s="1893"/>
      <c r="N4" s="1893"/>
      <c r="O4" s="1893"/>
      <c r="P4" s="1893"/>
      <c r="Q4" s="1893"/>
      <c r="R4" s="1893"/>
      <c r="S4" s="754"/>
      <c r="T4" s="1076"/>
      <c r="U4" s="753"/>
      <c r="V4" s="753"/>
    </row>
    <row r="5" spans="4:22" ht="13.5" thickBot="1"/>
    <row r="6" spans="4:22" ht="13.5" thickTop="1">
      <c r="D6" s="1031"/>
      <c r="E6" s="1080"/>
      <c r="F6" s="1080"/>
      <c r="G6" s="1081"/>
      <c r="H6" s="1080"/>
      <c r="I6" s="1080"/>
      <c r="J6" s="1082"/>
      <c r="K6" s="1083"/>
      <c r="L6" s="1084"/>
      <c r="M6" s="1079"/>
      <c r="N6" s="1080"/>
      <c r="O6" s="1083"/>
      <c r="P6" s="1084"/>
      <c r="Q6" s="1084"/>
      <c r="R6" s="1085"/>
    </row>
    <row r="7" spans="4:22" ht="15" thickBot="1">
      <c r="D7" s="1086"/>
      <c r="E7" s="1891"/>
      <c r="F7" s="1891"/>
      <c r="G7" s="1891"/>
      <c r="H7" s="1891"/>
      <c r="I7" s="1891"/>
      <c r="J7" s="1892"/>
      <c r="K7" s="1087" t="s">
        <v>1694</v>
      </c>
      <c r="L7" s="1087" t="s">
        <v>1169</v>
      </c>
      <c r="M7" s="1890" t="s">
        <v>1166</v>
      </c>
      <c r="N7" s="1891"/>
      <c r="O7" s="1892"/>
      <c r="P7" s="1043" t="s">
        <v>39</v>
      </c>
      <c r="Q7" s="1043" t="s">
        <v>31</v>
      </c>
      <c r="R7" s="1043" t="s">
        <v>37</v>
      </c>
    </row>
    <row r="8" spans="4:22" ht="16.5" thickTop="1" thickBot="1">
      <c r="D8" s="1088"/>
      <c r="E8" s="1039"/>
      <c r="F8" s="1039"/>
      <c r="G8" s="1090"/>
      <c r="H8" s="1039"/>
      <c r="I8" s="1039"/>
      <c r="J8" s="1091"/>
      <c r="K8" s="1046"/>
      <c r="L8" s="1040"/>
      <c r="M8" s="1042"/>
      <c r="N8" s="1039"/>
      <c r="O8" s="1050"/>
      <c r="P8" s="1043" t="s">
        <v>45</v>
      </c>
      <c r="Q8" s="1043" t="s">
        <v>1167</v>
      </c>
      <c r="R8" s="1043"/>
    </row>
    <row r="9" spans="4:22" ht="15.75" thickTop="1">
      <c r="D9" s="1092" t="s">
        <v>32</v>
      </c>
      <c r="E9" s="1040" t="s">
        <v>1007</v>
      </c>
      <c r="F9" s="1040" t="s">
        <v>1713</v>
      </c>
      <c r="G9" s="1043" t="s">
        <v>1714</v>
      </c>
      <c r="H9" s="1093" t="s">
        <v>1715</v>
      </c>
      <c r="I9" s="1040" t="s">
        <v>1716</v>
      </c>
      <c r="J9" s="1043" t="s">
        <v>37</v>
      </c>
      <c r="K9" s="1040"/>
      <c r="L9" s="1040"/>
      <c r="M9" s="1044" t="s">
        <v>1005</v>
      </c>
      <c r="N9" s="1044" t="s">
        <v>1699</v>
      </c>
      <c r="O9" s="1040" t="s">
        <v>1717</v>
      </c>
      <c r="P9" s="1043" t="s">
        <v>1008</v>
      </c>
      <c r="Q9" s="1040"/>
      <c r="R9" s="1043"/>
    </row>
    <row r="10" spans="4:22" ht="15">
      <c r="D10" s="1088"/>
      <c r="E10" s="1040"/>
      <c r="F10" s="1040"/>
      <c r="G10" s="1043" t="s">
        <v>1718</v>
      </c>
      <c r="H10" s="1040" t="s">
        <v>1706</v>
      </c>
      <c r="I10" s="1040"/>
      <c r="J10" s="1043"/>
      <c r="K10" s="1040"/>
      <c r="L10" s="1040"/>
      <c r="M10" s="1040"/>
      <c r="N10" s="1040" t="s">
        <v>1719</v>
      </c>
      <c r="O10" s="1040" t="s">
        <v>1719</v>
      </c>
      <c r="P10" s="1040"/>
      <c r="Q10" s="1040"/>
      <c r="R10" s="1043"/>
    </row>
    <row r="11" spans="4:22" ht="15">
      <c r="D11" s="1088"/>
      <c r="E11" s="1040"/>
      <c r="F11" s="1040"/>
      <c r="G11" s="1043"/>
      <c r="H11" s="1040"/>
      <c r="I11" s="1040"/>
      <c r="J11" s="1043"/>
      <c r="K11" s="1040"/>
      <c r="L11" s="1040"/>
      <c r="M11" s="1040"/>
      <c r="N11" s="1040"/>
      <c r="O11" s="1040"/>
      <c r="P11" s="1040"/>
      <c r="Q11" s="1040"/>
      <c r="R11" s="1043"/>
    </row>
    <row r="12" spans="4:22" ht="15.75" thickBot="1">
      <c r="D12" s="1088"/>
      <c r="E12" s="1049"/>
      <c r="F12" s="1049"/>
      <c r="G12" s="1095"/>
      <c r="H12" s="1049"/>
      <c r="I12" s="1049"/>
      <c r="J12" s="1095"/>
      <c r="K12" s="1049"/>
      <c r="L12" s="1049"/>
      <c r="M12" s="1049"/>
      <c r="N12" s="1049"/>
      <c r="O12" s="1049"/>
      <c r="P12" s="1049"/>
      <c r="Q12" s="1049"/>
      <c r="R12" s="1095"/>
    </row>
    <row r="13" spans="4:22" ht="15.75" thickTop="1">
      <c r="D13" s="1096"/>
      <c r="E13" s="1041"/>
      <c r="F13" s="1041"/>
      <c r="G13" s="1097"/>
      <c r="H13" s="1041"/>
      <c r="I13" s="1041"/>
      <c r="J13" s="1097"/>
      <c r="K13" s="1041"/>
      <c r="L13" s="1041"/>
      <c r="M13" s="1041"/>
      <c r="N13" s="1041"/>
      <c r="O13" s="1041"/>
      <c r="P13" s="1041"/>
      <c r="Q13" s="1041"/>
      <c r="R13" s="1097"/>
      <c r="T13" s="1098" t="s">
        <v>1720</v>
      </c>
    </row>
    <row r="14" spans="4:22" ht="15">
      <c r="D14" s="1099">
        <v>2015</v>
      </c>
      <c r="E14" s="1041"/>
      <c r="F14" s="1041"/>
      <c r="G14" s="1097"/>
      <c r="H14" s="1041"/>
      <c r="I14" s="1041"/>
      <c r="J14" s="1097"/>
      <c r="K14" s="1041"/>
      <c r="L14" s="1041"/>
      <c r="M14" s="1041"/>
      <c r="N14" s="1041"/>
      <c r="O14" s="1041"/>
      <c r="P14" s="1041"/>
      <c r="Q14" s="1041"/>
      <c r="R14" s="1041"/>
      <c r="T14" s="1100"/>
      <c r="U14" s="1101"/>
    </row>
    <row r="15" spans="4:22" ht="15">
      <c r="D15" s="1102" t="s">
        <v>1170</v>
      </c>
      <c r="E15" s="1057">
        <f>('Input POSB Liabilities'!C7-'Input POSB Liabilities'!G7-'Input POSB Liabilities'!H7-'Input POSB Liabilities'!J7)/1000000</f>
        <v>70.144769999999994</v>
      </c>
      <c r="F15" s="1057">
        <f>('Input POSB Liabilities'!O7-'Input POSB Liabilities'!Y7-'Input POSB Liabilities'!AC7-'Input POSB Liabilities'!AK7)/1000000</f>
        <v>13.74011</v>
      </c>
      <c r="G15" s="1134">
        <f>SUM(E15:F15)</f>
        <v>83.884879999999995</v>
      </c>
      <c r="H15" s="1059">
        <f>('Input POSB Liabilities'!G7+'Input POSB Liabilities'!I7+'Input POSB Liabilities'!Y7+'Input POSB Liabilities'!AC7)/1000000</f>
        <v>0</v>
      </c>
      <c r="I15" s="1057">
        <f>('Input POSB Liabilities'!J7+'Input POSB Liabilities'!AK7)/1000000</f>
        <v>2.3986610000000002</v>
      </c>
      <c r="J15" s="1059">
        <f>SUM(G15:I15)</f>
        <v>86.283541</v>
      </c>
      <c r="K15" s="1057">
        <f>'Input POSB Liabilities'!BX7/1000000</f>
        <v>0</v>
      </c>
      <c r="L15" s="1057">
        <f>'Input POSB Liabilities'!DA7/1000000</f>
        <v>0</v>
      </c>
      <c r="M15" s="1057">
        <v>0</v>
      </c>
      <c r="N15" s="1057">
        <f>('Input POSB Liabilities'!CD7+'Input POSB Liabilities'!CQ7)/1000000</f>
        <v>0</v>
      </c>
      <c r="O15" s="1057">
        <f>('Input POSB Liabilities'!CY7)/1000000</f>
        <v>2.391375</v>
      </c>
      <c r="P15" s="1057">
        <f>'Input POSB Liabilities'!DH7/1000000</f>
        <v>13.646174</v>
      </c>
      <c r="Q15" s="1057">
        <f>'Input POSB Liabilities'!DN7/1000000</f>
        <v>5.6404565199999954</v>
      </c>
      <c r="R15" s="1104">
        <f>SUM(J15:Q15)</f>
        <v>107.96154652</v>
      </c>
      <c r="T15" s="1105">
        <f>R15-'Input POSB Liabilities'!DQ7/1000000</f>
        <v>0</v>
      </c>
    </row>
    <row r="16" spans="4:22" ht="15">
      <c r="D16" s="1102" t="s">
        <v>1172</v>
      </c>
      <c r="E16" s="1057">
        <f>('Input POSB Liabilities'!C8-'Input POSB Liabilities'!G8-'Input POSB Liabilities'!H8-'Input POSB Liabilities'!J8)/1000000</f>
        <v>72.839135999999996</v>
      </c>
      <c r="F16" s="1057">
        <f>('Input POSB Liabilities'!O8-'Input POSB Liabilities'!Y8-'Input POSB Liabilities'!AC8-'Input POSB Liabilities'!AK8)/1000000</f>
        <v>15.108888</v>
      </c>
      <c r="G16" s="1134">
        <f t="shared" ref="G16:G41" si="0">SUM(E16:F16)</f>
        <v>87.948024000000004</v>
      </c>
      <c r="H16" s="1059">
        <f>('Input POSB Liabilities'!G8+'Input POSB Liabilities'!I8+'Input POSB Liabilities'!Y8+'Input POSB Liabilities'!AC8)/1000000</f>
        <v>0</v>
      </c>
      <c r="I16" s="1057">
        <f>('Input POSB Liabilities'!J8+'Input POSB Liabilities'!AK8)/1000000</f>
        <v>2.410917</v>
      </c>
      <c r="J16" s="1059">
        <f t="shared" ref="J16:J41" si="1">SUM(G16:I16)</f>
        <v>90.358941000000002</v>
      </c>
      <c r="K16" s="1057">
        <f>'Input POSB Liabilities'!BX8/1000000</f>
        <v>0</v>
      </c>
      <c r="L16" s="1057">
        <f>'Input POSB Liabilities'!DA8/1000000</f>
        <v>0</v>
      </c>
      <c r="M16" s="1057">
        <v>0</v>
      </c>
      <c r="N16" s="1057">
        <f>('Input POSB Liabilities'!CD8+'Input POSB Liabilities'!CQ8)/1000000</f>
        <v>0</v>
      </c>
      <c r="O16" s="1057">
        <f>('Input POSB Liabilities'!CY8)/1000000</f>
        <v>2.2241089999999999</v>
      </c>
      <c r="P16" s="1057">
        <f>'Input POSB Liabilities'!DH8/1000000</f>
        <v>14.200556199999999</v>
      </c>
      <c r="Q16" s="1057">
        <f>'Input POSB Liabilities'!DN8/1000000</f>
        <v>6.3393299500000033</v>
      </c>
      <c r="R16" s="1104">
        <f t="shared" ref="R16:R41" si="2">SUM(J16:Q16)</f>
        <v>113.12293615</v>
      </c>
      <c r="T16" s="1105">
        <f>R16-'Input POSB Liabilities'!DQ8/1000000</f>
        <v>0</v>
      </c>
    </row>
    <row r="17" spans="4:20" ht="15">
      <c r="D17" s="1102" t="s">
        <v>1173</v>
      </c>
      <c r="E17" s="1057">
        <f>('Input POSB Liabilities'!C9-'Input POSB Liabilities'!G9-'Input POSB Liabilities'!H9-'Input POSB Liabilities'!J9)/1000000</f>
        <v>75.993376999999995</v>
      </c>
      <c r="F17" s="1057">
        <f>('Input POSB Liabilities'!O9-'Input POSB Liabilities'!Y9-'Input POSB Liabilities'!AC9-'Input POSB Liabilities'!AK9)/1000000</f>
        <v>15.179594</v>
      </c>
      <c r="G17" s="1134">
        <f t="shared" si="0"/>
        <v>91.17297099999999</v>
      </c>
      <c r="H17" s="1059">
        <f>('Input POSB Liabilities'!G9+'Input POSB Liabilities'!I9+'Input POSB Liabilities'!Y9+'Input POSB Liabilities'!AC9)/1000000</f>
        <v>0</v>
      </c>
      <c r="I17" s="1057">
        <f>('Input POSB Liabilities'!J9+'Input POSB Liabilities'!AK9)/1000000</f>
        <v>2.4588950000000001</v>
      </c>
      <c r="J17" s="1059">
        <f t="shared" si="1"/>
        <v>93.631865999999988</v>
      </c>
      <c r="K17" s="1057">
        <f>'Input POSB Liabilities'!BX9/1000000</f>
        <v>0</v>
      </c>
      <c r="L17" s="1057">
        <f>'Input POSB Liabilities'!DA9/1000000</f>
        <v>0</v>
      </c>
      <c r="M17" s="1057">
        <v>0</v>
      </c>
      <c r="N17" s="1057">
        <f>('Input POSB Liabilities'!CD9+'Input POSB Liabilities'!CQ9)/1000000</f>
        <v>0</v>
      </c>
      <c r="O17" s="1057">
        <f>('Input POSB Liabilities'!CY9)/1000000</f>
        <v>2.0583749999999998</v>
      </c>
      <c r="P17" s="1057">
        <f>'Input POSB Liabilities'!DH9/1000000</f>
        <v>17.086306</v>
      </c>
      <c r="Q17" s="1057">
        <f>'Input POSB Liabilities'!DN9/1000000</f>
        <v>7.2054759000000059</v>
      </c>
      <c r="R17" s="1104">
        <f t="shared" si="2"/>
        <v>119.9820229</v>
      </c>
      <c r="T17" s="1105">
        <f>R17-'Input POSB Liabilities'!DQ9/1000000</f>
        <v>0</v>
      </c>
    </row>
    <row r="18" spans="4:20" ht="15">
      <c r="D18" s="1102" t="s">
        <v>1174</v>
      </c>
      <c r="E18" s="1057">
        <f>('Input POSB Liabilities'!C10-'Input POSB Liabilities'!G10-'Input POSB Liabilities'!H10-'Input POSB Liabilities'!J10)/1000000</f>
        <v>74.678115000000005</v>
      </c>
      <c r="F18" s="1057">
        <f>('Input POSB Liabilities'!O10-'Input POSB Liabilities'!Y10-'Input POSB Liabilities'!AC10-'Input POSB Liabilities'!AK10)/1000000</f>
        <v>13.255049</v>
      </c>
      <c r="G18" s="1134">
        <f t="shared" si="0"/>
        <v>87.933164000000005</v>
      </c>
      <c r="H18" s="1059">
        <f>('Input POSB Liabilities'!G10+'Input POSB Liabilities'!I10+'Input POSB Liabilities'!Y10+'Input POSB Liabilities'!AC10)/1000000</f>
        <v>0</v>
      </c>
      <c r="I18" s="1057">
        <f>('Input POSB Liabilities'!J10+'Input POSB Liabilities'!AK10)/1000000</f>
        <v>2.4787400000000002</v>
      </c>
      <c r="J18" s="1059">
        <f t="shared" si="1"/>
        <v>90.411904000000007</v>
      </c>
      <c r="K18" s="1057">
        <f>'Input POSB Liabilities'!BX10/1000000</f>
        <v>0</v>
      </c>
      <c r="L18" s="1057">
        <f>'Input POSB Liabilities'!DA10/1000000</f>
        <v>0</v>
      </c>
      <c r="M18" s="1057">
        <v>0</v>
      </c>
      <c r="N18" s="1057">
        <f>('Input POSB Liabilities'!CD10+'Input POSB Liabilities'!CQ10)/1000000</f>
        <v>0</v>
      </c>
      <c r="O18" s="1057">
        <f>('Input POSB Liabilities'!CY10)/1000000</f>
        <v>1.88883</v>
      </c>
      <c r="P18" s="1057">
        <f>'Input POSB Liabilities'!DH10/1000000</f>
        <v>17.608854000000001</v>
      </c>
      <c r="Q18" s="1057">
        <f>'Input POSB Liabilities'!DN10/1000000</f>
        <v>6.5197703700000051</v>
      </c>
      <c r="R18" s="1104">
        <f t="shared" si="2"/>
        <v>116.42935837000002</v>
      </c>
      <c r="T18" s="1105">
        <f>R18-'Input POSB Liabilities'!DQ10/1000000</f>
        <v>0</v>
      </c>
    </row>
    <row r="19" spans="4:20" ht="15">
      <c r="D19" s="1102" t="s">
        <v>1165</v>
      </c>
      <c r="E19" s="1057">
        <f>('Input POSB Liabilities'!C11-'Input POSB Liabilities'!G11-'Input POSB Liabilities'!H11-'Input POSB Liabilities'!J11)/1000000</f>
        <v>71.195609000000005</v>
      </c>
      <c r="F19" s="1057">
        <f>('Input POSB Liabilities'!O11-'Input POSB Liabilities'!Y11-'Input POSB Liabilities'!AC11-'Input POSB Liabilities'!AK11)/1000000</f>
        <v>15.524421999999999</v>
      </c>
      <c r="G19" s="1134">
        <f t="shared" si="0"/>
        <v>86.720031000000006</v>
      </c>
      <c r="H19" s="1059">
        <f>('Input POSB Liabilities'!G11+'Input POSB Liabilities'!I11+'Input POSB Liabilities'!Y11+'Input POSB Liabilities'!AC11)/1000000</f>
        <v>0</v>
      </c>
      <c r="I19" s="1057">
        <f>('Input POSB Liabilities'!J11+'Input POSB Liabilities'!AK11)/1000000</f>
        <v>2.4873460000000001</v>
      </c>
      <c r="J19" s="1059">
        <f t="shared" si="1"/>
        <v>89.207377000000008</v>
      </c>
      <c r="K19" s="1057">
        <f>'Input POSB Liabilities'!BX11/1000000</f>
        <v>0</v>
      </c>
      <c r="L19" s="1057">
        <f>'Input POSB Liabilities'!DA11/1000000</f>
        <v>0</v>
      </c>
      <c r="M19" s="1057">
        <v>0</v>
      </c>
      <c r="N19" s="1057">
        <f>('Input POSB Liabilities'!CD11+'Input POSB Liabilities'!CQ11)/1000000</f>
        <v>0</v>
      </c>
      <c r="O19" s="1057">
        <f>('Input POSB Liabilities'!CY11)/1000000</f>
        <v>1.719139</v>
      </c>
      <c r="P19" s="1057">
        <f>'Input POSB Liabilities'!DH11/1000000</f>
        <v>9.7345381399999997</v>
      </c>
      <c r="Q19" s="1057">
        <f>'Input POSB Liabilities'!DN11/1000000</f>
        <v>6.903969</v>
      </c>
      <c r="R19" s="1104">
        <f t="shared" si="2"/>
        <v>107.56502314000001</v>
      </c>
      <c r="T19" s="1105">
        <f>R19-'Input POSB Liabilities'!DQ11/1000000</f>
        <v>0</v>
      </c>
    </row>
    <row r="20" spans="4:20" ht="15">
      <c r="D20" s="1102" t="s">
        <v>1175</v>
      </c>
      <c r="E20" s="1057">
        <f>('Input POSB Liabilities'!C12-'Input POSB Liabilities'!G12-'Input POSB Liabilities'!H12-'Input POSB Liabilities'!J12)/1000000</f>
        <v>73.397564000000003</v>
      </c>
      <c r="F20" s="1057">
        <f>('Input POSB Liabilities'!O12-'Input POSB Liabilities'!Y12-'Input POSB Liabilities'!AC12-'Input POSB Liabilities'!AK12)/1000000</f>
        <v>14.761278000000001</v>
      </c>
      <c r="G20" s="1134">
        <f t="shared" si="0"/>
        <v>88.158842000000007</v>
      </c>
      <c r="H20" s="1059">
        <f>('Input POSB Liabilities'!G12+'Input POSB Liabilities'!I12+'Input POSB Liabilities'!Y12+'Input POSB Liabilities'!AC12)/1000000</f>
        <v>4.4329190000000001</v>
      </c>
      <c r="I20" s="1057">
        <f>('Input POSB Liabilities'!J12+'Input POSB Liabilities'!AK12)/1000000</f>
        <v>2.5003470000000001</v>
      </c>
      <c r="J20" s="1059">
        <f t="shared" si="1"/>
        <v>95.09210800000001</v>
      </c>
      <c r="K20" s="1057">
        <f>'Input POSB Liabilities'!BX12/1000000</f>
        <v>0</v>
      </c>
      <c r="L20" s="1057">
        <f>'Input POSB Liabilities'!DA12/1000000</f>
        <v>0</v>
      </c>
      <c r="M20" s="1057">
        <v>0</v>
      </c>
      <c r="N20" s="1057">
        <f>('Input POSB Liabilities'!CD12+'Input POSB Liabilities'!CQ12)/1000000</f>
        <v>0</v>
      </c>
      <c r="O20" s="1057">
        <f>('Input POSB Liabilities'!CY12)/1000000</f>
        <v>1.594104</v>
      </c>
      <c r="P20" s="1057">
        <f>'Input POSB Liabilities'!DH12/1000000</f>
        <v>18.669711</v>
      </c>
      <c r="Q20" s="1057">
        <f>'Input POSB Liabilities'!DN12/1000000</f>
        <v>7.2535499999999997</v>
      </c>
      <c r="R20" s="1104">
        <f t="shared" si="2"/>
        <v>122.60947300000002</v>
      </c>
      <c r="T20" s="1105">
        <f>R20-'Input POSB Liabilities'!DQ12/1000000</f>
        <v>0</v>
      </c>
    </row>
    <row r="21" spans="4:20" ht="15">
      <c r="D21" s="1102" t="s">
        <v>1176</v>
      </c>
      <c r="E21" s="1057">
        <f>('Input POSB Liabilities'!C13-'Input POSB Liabilities'!G13-'Input POSB Liabilities'!H13-'Input POSB Liabilities'!J13)/1000000</f>
        <v>68.785674999999998</v>
      </c>
      <c r="F21" s="1057">
        <f>('Input POSB Liabilities'!O13-'Input POSB Liabilities'!Y13-'Input POSB Liabilities'!AC13-'Input POSB Liabilities'!AK13)/1000000</f>
        <v>21.127124999999999</v>
      </c>
      <c r="G21" s="1134">
        <f t="shared" si="0"/>
        <v>89.912800000000004</v>
      </c>
      <c r="H21" s="1059">
        <f>('Input POSB Liabilities'!G13+'Input POSB Liabilities'!I13+'Input POSB Liabilities'!Y13+'Input POSB Liabilities'!AC13)/1000000</f>
        <v>0</v>
      </c>
      <c r="I21" s="1057">
        <f>('Input POSB Liabilities'!J13+'Input POSB Liabilities'!AK13)/1000000</f>
        <v>2.5193889999999999</v>
      </c>
      <c r="J21" s="1059">
        <f t="shared" si="1"/>
        <v>92.432189000000008</v>
      </c>
      <c r="K21" s="1057">
        <f>'Input POSB Liabilities'!BX13/1000000</f>
        <v>0</v>
      </c>
      <c r="L21" s="1057">
        <f>'Input POSB Liabilities'!DA13/1000000</f>
        <v>0</v>
      </c>
      <c r="M21" s="1057">
        <v>0</v>
      </c>
      <c r="N21" s="1057">
        <f>('Input POSB Liabilities'!CD13+'Input POSB Liabilities'!CQ13)/1000000</f>
        <v>0</v>
      </c>
      <c r="O21" s="1057">
        <f>('Input POSB Liabilities'!CY13)/1000000</f>
        <v>1.4683520000000001</v>
      </c>
      <c r="P21" s="1057">
        <f>'Input POSB Liabilities'!DH13/1000000</f>
        <v>19.625655999999999</v>
      </c>
      <c r="Q21" s="1057">
        <f>'Input POSB Liabilities'!DN13/1000000</f>
        <v>4.5008528400000039</v>
      </c>
      <c r="R21" s="1104">
        <f t="shared" si="2"/>
        <v>118.02704984</v>
      </c>
      <c r="T21" s="1105">
        <f>R21-'Input POSB Liabilities'!DQ13/1000000</f>
        <v>0</v>
      </c>
    </row>
    <row r="22" spans="4:20" ht="15">
      <c r="D22" s="1102" t="s">
        <v>1177</v>
      </c>
      <c r="E22" s="1057">
        <f>('Input POSB Liabilities'!C14-'Input POSB Liabilities'!G14-'Input POSB Liabilities'!H14-'Input POSB Liabilities'!J14)/1000000</f>
        <v>71.554185000000004</v>
      </c>
      <c r="F22" s="1057">
        <f>('Input POSB Liabilities'!O14-'Input POSB Liabilities'!Y14-'Input POSB Liabilities'!AC14-'Input POSB Liabilities'!AK14)/1000000</f>
        <v>19.042363000000002</v>
      </c>
      <c r="G22" s="1134">
        <f t="shared" si="0"/>
        <v>90.596548000000013</v>
      </c>
      <c r="H22" s="1059">
        <f>('Input POSB Liabilities'!G14+'Input POSB Liabilities'!I14+'Input POSB Liabilities'!Y14+'Input POSB Liabilities'!AC14)/1000000</f>
        <v>0</v>
      </c>
      <c r="I22" s="1057">
        <f>('Input POSB Liabilities'!J14+'Input POSB Liabilities'!AK14)/1000000</f>
        <v>2.4979019999999998</v>
      </c>
      <c r="J22" s="1059">
        <f t="shared" si="1"/>
        <v>93.094450000000009</v>
      </c>
      <c r="K22" s="1057">
        <f>'Input POSB Liabilities'!BX14/1000000</f>
        <v>0</v>
      </c>
      <c r="L22" s="1057">
        <f>'Input POSB Liabilities'!DA14/1000000</f>
        <v>0</v>
      </c>
      <c r="M22" s="1057">
        <v>0</v>
      </c>
      <c r="N22" s="1057">
        <f>('Input POSB Liabilities'!CD14+'Input POSB Liabilities'!CQ14)/1000000</f>
        <v>0</v>
      </c>
      <c r="O22" s="1057">
        <f>('Input POSB Liabilities'!CY14)/1000000</f>
        <v>1.341353</v>
      </c>
      <c r="P22" s="1057">
        <f>'Input POSB Liabilities'!DH14/1000000</f>
        <v>20.226050000000001</v>
      </c>
      <c r="Q22" s="1057">
        <f>'Input POSB Liabilities'!DN14/1000000</f>
        <v>5.1297329999999999</v>
      </c>
      <c r="R22" s="1104">
        <f t="shared" si="2"/>
        <v>119.79158600000001</v>
      </c>
      <c r="T22" s="1105">
        <f>R22-'Input POSB Liabilities'!DQ14/1000000</f>
        <v>0</v>
      </c>
    </row>
    <row r="23" spans="4:20" ht="15">
      <c r="D23" s="1102" t="s">
        <v>1178</v>
      </c>
      <c r="E23" s="1057">
        <f>('Input POSB Liabilities'!C15-'Input POSB Liabilities'!G15-'Input POSB Liabilities'!H15-'Input POSB Liabilities'!J15)/1000000</f>
        <v>77.161539000000005</v>
      </c>
      <c r="F23" s="1057">
        <f>('Input POSB Liabilities'!O15-'Input POSB Liabilities'!Y15-'Input POSB Liabilities'!AC15-'Input POSB Liabilities'!AK15)/1000000</f>
        <v>21.517557</v>
      </c>
      <c r="G23" s="1134">
        <f t="shared" si="0"/>
        <v>98.679096000000001</v>
      </c>
      <c r="H23" s="1059">
        <f>('Input POSB Liabilities'!G15+'Input POSB Liabilities'!I15+'Input POSB Liabilities'!Y15+'Input POSB Liabilities'!AC15)/1000000</f>
        <v>0.110988</v>
      </c>
      <c r="I23" s="1057">
        <f>('Input POSB Liabilities'!J15+'Input POSB Liabilities'!AK15)/1000000</f>
        <v>2.5014569999999998</v>
      </c>
      <c r="J23" s="1059">
        <f t="shared" si="1"/>
        <v>101.29154100000001</v>
      </c>
      <c r="K23" s="1057">
        <f>'Input POSB Liabilities'!BX15/1000000</f>
        <v>0</v>
      </c>
      <c r="L23" s="1057">
        <f>'Input POSB Liabilities'!DA15/1000000</f>
        <v>0</v>
      </c>
      <c r="M23" s="1057">
        <v>0</v>
      </c>
      <c r="N23" s="1057">
        <f>('Input POSB Liabilities'!CD15+'Input POSB Liabilities'!CQ15)/1000000</f>
        <v>0</v>
      </c>
      <c r="O23" s="1057">
        <f>('Input POSB Liabilities'!CY15)/1000000</f>
        <v>1.212901</v>
      </c>
      <c r="P23" s="1057">
        <f>'Input POSB Liabilities'!DH15/1000000</f>
        <v>20.898347999999999</v>
      </c>
      <c r="Q23" s="1057">
        <f>'Input POSB Liabilities'!DN15/1000000</f>
        <v>5.6836029999999997</v>
      </c>
      <c r="R23" s="1104">
        <f t="shared" si="2"/>
        <v>129.08639300000002</v>
      </c>
      <c r="T23" s="1105">
        <f>R23-'Input POSB Liabilities'!DQ15/1000000</f>
        <v>0</v>
      </c>
    </row>
    <row r="24" spans="4:20" ht="15">
      <c r="D24" s="1102" t="s">
        <v>1179</v>
      </c>
      <c r="E24" s="1057">
        <f>('Input POSB Liabilities'!C16-'Input POSB Liabilities'!G16-'Input POSB Liabilities'!H16-'Input POSB Liabilities'!J16)/1000000</f>
        <v>73.380492000000004</v>
      </c>
      <c r="F24" s="1057">
        <f>('Input POSB Liabilities'!O16-'Input POSB Liabilities'!Y16-'Input POSB Liabilities'!AC16-'Input POSB Liabilities'!AK16)/1000000</f>
        <v>21.482641000000001</v>
      </c>
      <c r="G24" s="1134">
        <f t="shared" si="0"/>
        <v>94.863133000000005</v>
      </c>
      <c r="H24" s="1059">
        <f>('Input POSB Liabilities'!G16+'Input POSB Liabilities'!I16+'Input POSB Liabilities'!Y16+'Input POSB Liabilities'!AC16)/1000000</f>
        <v>0.111223</v>
      </c>
      <c r="I24" s="1057">
        <f>('Input POSB Liabilities'!J16+'Input POSB Liabilities'!AK16)/1000000</f>
        <v>2.5276079999999999</v>
      </c>
      <c r="J24" s="1059">
        <f t="shared" si="1"/>
        <v>97.501964000000001</v>
      </c>
      <c r="K24" s="1057">
        <f>'Input POSB Liabilities'!BX16/1000000</f>
        <v>0</v>
      </c>
      <c r="L24" s="1057">
        <f>'Input POSB Liabilities'!DA16/1000000</f>
        <v>0</v>
      </c>
      <c r="M24" s="1057">
        <v>0</v>
      </c>
      <c r="N24" s="1057">
        <f>('Input POSB Liabilities'!CD16+'Input POSB Liabilities'!CQ16)/1000000</f>
        <v>0</v>
      </c>
      <c r="O24" s="1057">
        <f>('Input POSB Liabilities'!CY16)/1000000</f>
        <v>1.083046</v>
      </c>
      <c r="P24" s="1057">
        <f>'Input POSB Liabilities'!DH16/1000000</f>
        <v>21.653881999999999</v>
      </c>
      <c r="Q24" s="1057">
        <f>'Input POSB Liabilities'!DN16/1000000</f>
        <v>6.4395709999999999</v>
      </c>
      <c r="R24" s="1104">
        <f t="shared" si="2"/>
        <v>126.67846299999999</v>
      </c>
      <c r="T24" s="1105">
        <f>R24-'Input POSB Liabilities'!DQ16/1000000</f>
        <v>0</v>
      </c>
    </row>
    <row r="25" spans="4:20" ht="15">
      <c r="D25" s="1102" t="s">
        <v>1180</v>
      </c>
      <c r="E25" s="1057">
        <f>('Input POSB Liabilities'!C17-'Input POSB Liabilities'!G17-'Input POSB Liabilities'!H17-'Input POSB Liabilities'!J17)/1000000</f>
        <v>76.307696000000007</v>
      </c>
      <c r="F25" s="1057">
        <f>('Input POSB Liabilities'!O17-'Input POSB Liabilities'!Y17-'Input POSB Liabilities'!AC17-'Input POSB Liabilities'!AK17)/1000000</f>
        <v>21.142665999999998</v>
      </c>
      <c r="G25" s="1134">
        <f t="shared" si="0"/>
        <v>97.450362000000013</v>
      </c>
      <c r="H25" s="1059">
        <f>('Input POSB Liabilities'!G17+'Input POSB Liabilities'!I17+'Input POSB Liabilities'!Y17+'Input POSB Liabilities'!AC17)/1000000</f>
        <v>1.1398999999999999E-2</v>
      </c>
      <c r="I25" s="1057">
        <f>('Input POSB Liabilities'!J17+'Input POSB Liabilities'!AK17)/1000000</f>
        <v>2.5258099999999999</v>
      </c>
      <c r="J25" s="1059">
        <f t="shared" si="1"/>
        <v>99.987571000000003</v>
      </c>
      <c r="K25" s="1057">
        <f>'Input POSB Liabilities'!BX17/1000000</f>
        <v>0</v>
      </c>
      <c r="L25" s="1057">
        <f>'Input POSB Liabilities'!DA17/1000000</f>
        <v>0</v>
      </c>
      <c r="M25" s="1057">
        <v>0</v>
      </c>
      <c r="N25" s="1057">
        <f>('Input POSB Liabilities'!CD17+'Input POSB Liabilities'!CQ17)/1000000</f>
        <v>0</v>
      </c>
      <c r="O25" s="1057">
        <f>('Input POSB Liabilities'!CY17)/1000000</f>
        <v>0.95214200000000004</v>
      </c>
      <c r="P25" s="1057">
        <f>'Input POSB Liabilities'!DH17/1000000</f>
        <v>21.919605000000001</v>
      </c>
      <c r="Q25" s="1057">
        <f>'Input POSB Liabilities'!DN17/1000000</f>
        <v>6.3851399999999998</v>
      </c>
      <c r="R25" s="1104">
        <f t="shared" si="2"/>
        <v>129.24445800000001</v>
      </c>
      <c r="T25" s="1105">
        <f>R25-'Input POSB Liabilities'!DQ17/1000000</f>
        <v>0</v>
      </c>
    </row>
    <row r="26" spans="4:20" ht="15">
      <c r="D26" s="1102" t="s">
        <v>1181</v>
      </c>
      <c r="E26" s="1057">
        <f>('Input POSB Liabilities'!C18-'Input POSB Liabilities'!G18-'Input POSB Liabilities'!H18-'Input POSB Liabilities'!J18)/1000000</f>
        <v>72.505780999999999</v>
      </c>
      <c r="F26" s="1057">
        <f>('Input POSB Liabilities'!O18-'Input POSB Liabilities'!Y18-'Input POSB Liabilities'!AC18-'Input POSB Liabilities'!AK18)/1000000</f>
        <v>19.314613999999999</v>
      </c>
      <c r="G26" s="1134">
        <f t="shared" si="0"/>
        <v>91.820394999999991</v>
      </c>
      <c r="H26" s="1059">
        <f>('Input POSB Liabilities'!G18+'Input POSB Liabilities'!I18+'Input POSB Liabilities'!Y18+'Input POSB Liabilities'!AC18)/1000000</f>
        <v>1.1423000000000001E-2</v>
      </c>
      <c r="I26" s="1057">
        <f>('Input POSB Liabilities'!J18+'Input POSB Liabilities'!AK18)/1000000</f>
        <v>2.5366430000000002</v>
      </c>
      <c r="J26" s="1059">
        <f t="shared" si="1"/>
        <v>94.368460999999982</v>
      </c>
      <c r="K26" s="1057">
        <f>'Input POSB Liabilities'!BX18/1000000</f>
        <v>0</v>
      </c>
      <c r="L26" s="1057">
        <f>'Input POSB Liabilities'!DA18/1000000</f>
        <v>0</v>
      </c>
      <c r="M26" s="1057">
        <v>0</v>
      </c>
      <c r="N26" s="1057">
        <f>('Input POSB Liabilities'!CD18+'Input POSB Liabilities'!CQ18)/1000000</f>
        <v>0</v>
      </c>
      <c r="O26" s="1057">
        <f>('Input POSB Liabilities'!CY18)/1000000</f>
        <v>0.82024300000000006</v>
      </c>
      <c r="P26" s="1057">
        <f>'Input POSB Liabilities'!DH18/1000000</f>
        <v>42.781306000000001</v>
      </c>
      <c r="Q26" s="1057">
        <f>'Input POSB Liabilities'!DN18/1000000</f>
        <v>5.5104990000000003</v>
      </c>
      <c r="R26" s="1104">
        <f t="shared" si="2"/>
        <v>143.48050900000001</v>
      </c>
      <c r="T26" s="1105">
        <f>R26-'Input POSB Liabilities'!DQ18/1000000</f>
        <v>0</v>
      </c>
    </row>
    <row r="27" spans="4:20" ht="15">
      <c r="D27" s="1102"/>
      <c r="E27" s="1057">
        <f>('Input POSB Liabilities'!C19-'Input POSB Liabilities'!G19-'Input POSB Liabilities'!H19-'Input POSB Liabilities'!J19)/1000000</f>
        <v>0</v>
      </c>
      <c r="F27" s="1057">
        <f>('Input POSB Liabilities'!O19-'Input POSB Liabilities'!Y19-'Input POSB Liabilities'!AC19-'Input POSB Liabilities'!AK19)/1000000</f>
        <v>0</v>
      </c>
      <c r="G27" s="1134">
        <f t="shared" si="0"/>
        <v>0</v>
      </c>
      <c r="H27" s="1059">
        <f>('Input POSB Liabilities'!G19+'Input POSB Liabilities'!I19+'Input POSB Liabilities'!Y19+'Input POSB Liabilities'!AC19)/1000000</f>
        <v>0</v>
      </c>
      <c r="I27" s="1057">
        <f>('Input POSB Liabilities'!J19+'Input POSB Liabilities'!AK19)/1000000</f>
        <v>0</v>
      </c>
      <c r="J27" s="1059">
        <f t="shared" si="1"/>
        <v>0</v>
      </c>
      <c r="K27" s="1057">
        <f>'Input POSB Liabilities'!BX19/1000000</f>
        <v>0</v>
      </c>
      <c r="L27" s="1057">
        <f>'Input POSB Liabilities'!DA19/1000000</f>
        <v>0</v>
      </c>
      <c r="M27" s="1057">
        <v>0</v>
      </c>
      <c r="N27" s="1057">
        <f>('Input POSB Liabilities'!CD19+'Input POSB Liabilities'!CQ19)/1000000</f>
        <v>0</v>
      </c>
      <c r="O27" s="1057">
        <f>('Input POSB Liabilities'!CY19)/1000000</f>
        <v>0</v>
      </c>
      <c r="P27" s="1057">
        <f>'Input POSB Liabilities'!DH19/1000000</f>
        <v>0</v>
      </c>
      <c r="Q27" s="1057">
        <f>'Input POSB Liabilities'!DN19/1000000</f>
        <v>0</v>
      </c>
      <c r="R27" s="1104">
        <f t="shared" si="2"/>
        <v>0</v>
      </c>
      <c r="T27" s="1105">
        <f>R27-'Input POSB Liabilities'!DQ19/1000000</f>
        <v>0</v>
      </c>
    </row>
    <row r="28" spans="4:20" ht="15">
      <c r="D28" s="1099">
        <v>2016</v>
      </c>
      <c r="E28" s="1057">
        <f>('Input POSB Liabilities'!C20-'Input POSB Liabilities'!G20-'Input POSB Liabilities'!H20-'Input POSB Liabilities'!J20)/1000000</f>
        <v>0</v>
      </c>
      <c r="F28" s="1057">
        <f>('Input POSB Liabilities'!O20-'Input POSB Liabilities'!Y20-'Input POSB Liabilities'!AC20-'Input POSB Liabilities'!AK20)/1000000</f>
        <v>0</v>
      </c>
      <c r="G28" s="1134">
        <f t="shared" si="0"/>
        <v>0</v>
      </c>
      <c r="H28" s="1059">
        <f>('Input POSB Liabilities'!G20+'Input POSB Liabilities'!I20+'Input POSB Liabilities'!Y20+'Input POSB Liabilities'!AC20)/1000000</f>
        <v>0</v>
      </c>
      <c r="I28" s="1057">
        <f>('Input POSB Liabilities'!J20+'Input POSB Liabilities'!AK20)/1000000</f>
        <v>0</v>
      </c>
      <c r="J28" s="1059">
        <f t="shared" si="1"/>
        <v>0</v>
      </c>
      <c r="K28" s="1057">
        <f>'Input POSB Liabilities'!BX20/1000000</f>
        <v>0</v>
      </c>
      <c r="L28" s="1057">
        <f>'Input POSB Liabilities'!DA20/1000000</f>
        <v>0</v>
      </c>
      <c r="M28" s="1057">
        <v>0</v>
      </c>
      <c r="N28" s="1057">
        <f>('Input POSB Liabilities'!CD20+'Input POSB Liabilities'!CQ20)/1000000</f>
        <v>0</v>
      </c>
      <c r="O28" s="1057">
        <f>('Input POSB Liabilities'!CY20)/1000000</f>
        <v>0</v>
      </c>
      <c r="P28" s="1057">
        <f>'Input POSB Liabilities'!DH20/1000000</f>
        <v>0</v>
      </c>
      <c r="Q28" s="1057">
        <f>'Input POSB Liabilities'!DN20/1000000</f>
        <v>0</v>
      </c>
      <c r="R28" s="1104">
        <f t="shared" si="2"/>
        <v>0</v>
      </c>
      <c r="T28" s="1105">
        <f>R28-'Input POSB Liabilities'!DQ20/1000000</f>
        <v>0</v>
      </c>
    </row>
    <row r="29" spans="4:20" ht="15">
      <c r="D29" s="1102" t="s">
        <v>1170</v>
      </c>
      <c r="E29" s="1057">
        <f>('Input POSB Liabilities'!C21-'Input POSB Liabilities'!G21-'Input POSB Liabilities'!H21-'Input POSB Liabilities'!J21)/1000000</f>
        <v>73.735740000000007</v>
      </c>
      <c r="F29" s="1057">
        <f>('Input POSB Liabilities'!O21-'Input POSB Liabilities'!Y21-'Input POSB Liabilities'!AC21-'Input POSB Liabilities'!AK21)/1000000</f>
        <v>23.767052</v>
      </c>
      <c r="G29" s="1134">
        <f t="shared" si="0"/>
        <v>97.502791999999999</v>
      </c>
      <c r="H29" s="1059">
        <f>('Input POSB Liabilities'!G21+'Input POSB Liabilities'!I21+'Input POSB Liabilities'!Y21+'Input POSB Liabilities'!AC21)/1000000</f>
        <v>0.51177799999999996</v>
      </c>
      <c r="I29" s="1057">
        <f>('Input POSB Liabilities'!J21+'Input POSB Liabilities'!AK21)/1000000</f>
        <v>1.5594980000000001</v>
      </c>
      <c r="J29" s="1059">
        <f t="shared" si="1"/>
        <v>99.574068000000011</v>
      </c>
      <c r="K29" s="1057">
        <f>'Input POSB Liabilities'!BX21/1000000</f>
        <v>0</v>
      </c>
      <c r="L29" s="1057">
        <f>'Input POSB Liabilities'!DA21/1000000</f>
        <v>0</v>
      </c>
      <c r="M29" s="1057">
        <v>0</v>
      </c>
      <c r="N29" s="1057">
        <f>('Input POSB Liabilities'!CD21+'Input POSB Liabilities'!CQ21)/1000000</f>
        <v>0</v>
      </c>
      <c r="O29" s="1057">
        <f>('Input POSB Liabilities'!CY21)/1000000</f>
        <v>0.68666499999999997</v>
      </c>
      <c r="P29" s="1057">
        <f>'Input POSB Liabilities'!DH21/1000000</f>
        <v>43.58023</v>
      </c>
      <c r="Q29" s="1057">
        <f>'Input POSB Liabilities'!DN21/1000000</f>
        <v>4.6756130000000002</v>
      </c>
      <c r="R29" s="1104">
        <f t="shared" si="2"/>
        <v>148.51657600000001</v>
      </c>
      <c r="T29" s="1105">
        <f>R29-'Input POSB Liabilities'!DQ21/1000000</f>
        <v>0</v>
      </c>
    </row>
    <row r="30" spans="4:20" ht="15">
      <c r="D30" s="1102" t="s">
        <v>1172</v>
      </c>
      <c r="E30" s="1057">
        <f>('Input POSB Liabilities'!C22-'Input POSB Liabilities'!G22-'Input POSB Liabilities'!H22-'Input POSB Liabilities'!J22)/1000000</f>
        <v>73.847949</v>
      </c>
      <c r="F30" s="1057">
        <f>('Input POSB Liabilities'!O22-'Input POSB Liabilities'!Y22-'Input POSB Liabilities'!AC22-'Input POSB Liabilities'!AK22)/1000000</f>
        <v>23.333269000000001</v>
      </c>
      <c r="G30" s="1134">
        <f t="shared" si="0"/>
        <v>97.181218000000001</v>
      </c>
      <c r="H30" s="1059">
        <f>('Input POSB Liabilities'!G22+'Input POSB Liabilities'!I22+'Input POSB Liabilities'!Y22+'Input POSB Liabilities'!AC22)/1000000</f>
        <v>0.51151899999999995</v>
      </c>
      <c r="I30" s="1057">
        <f>('Input POSB Liabilities'!J22+'Input POSB Liabilities'!AK22)/1000000</f>
        <v>1.5478829999999999</v>
      </c>
      <c r="J30" s="1059">
        <f t="shared" si="1"/>
        <v>99.240620000000007</v>
      </c>
      <c r="K30" s="1057">
        <f>'Input POSB Liabilities'!BX22/1000000</f>
        <v>0</v>
      </c>
      <c r="L30" s="1057">
        <f>'Input POSB Liabilities'!DA22/1000000</f>
        <v>0</v>
      </c>
      <c r="M30" s="1057">
        <v>0</v>
      </c>
      <c r="N30" s="1057">
        <f>('Input POSB Liabilities'!CD22+'Input POSB Liabilities'!CQ22)/1000000</f>
        <v>0</v>
      </c>
      <c r="O30" s="1057">
        <f>('Input POSB Liabilities'!CY22)/1000000</f>
        <v>0.55176400000000003</v>
      </c>
      <c r="P30" s="1057">
        <f>'Input POSB Liabilities'!DH22/1000000</f>
        <v>41.587667000000003</v>
      </c>
      <c r="Q30" s="1057">
        <f>'Input POSB Liabilities'!DN22/1000000</f>
        <v>4.5528269999999997</v>
      </c>
      <c r="R30" s="1104">
        <f t="shared" si="2"/>
        <v>145.93287800000002</v>
      </c>
      <c r="T30" s="1105">
        <f>R30-'Input POSB Liabilities'!DQ22/1000000</f>
        <v>0</v>
      </c>
    </row>
    <row r="31" spans="4:20" ht="15">
      <c r="D31" s="1102" t="s">
        <v>1173</v>
      </c>
      <c r="E31" s="1057">
        <f>('Input POSB Liabilities'!C23-'Input POSB Liabilities'!G23-'Input POSB Liabilities'!H23-'Input POSB Liabilities'!J23)/1000000</f>
        <v>74.405884</v>
      </c>
      <c r="F31" s="1057">
        <f>('Input POSB Liabilities'!O23-'Input POSB Liabilities'!Y23-'Input POSB Liabilities'!AC23-'Input POSB Liabilities'!AK23)/1000000</f>
        <v>23.085552</v>
      </c>
      <c r="G31" s="1134">
        <f t="shared" si="0"/>
        <v>97.491435999999993</v>
      </c>
      <c r="H31" s="1059">
        <f>('Input POSB Liabilities'!G23+'Input POSB Liabilities'!I23+'Input POSB Liabilities'!Y23+'Input POSB Liabilities'!AC23)/1000000</f>
        <v>0.51159399999999999</v>
      </c>
      <c r="I31" s="1057">
        <f>('Input POSB Liabilities'!J23+'Input POSB Liabilities'!AK23)/1000000</f>
        <v>1.5553729999999999</v>
      </c>
      <c r="J31" s="1059">
        <f t="shared" si="1"/>
        <v>99.558402999999998</v>
      </c>
      <c r="K31" s="1057">
        <f>'Input POSB Liabilities'!BX23/1000000</f>
        <v>0</v>
      </c>
      <c r="L31" s="1057">
        <f>'Input POSB Liabilities'!DA23/1000000</f>
        <v>0</v>
      </c>
      <c r="M31" s="1057">
        <v>0</v>
      </c>
      <c r="N31" s="1057">
        <f>('Input POSB Liabilities'!CD23+'Input POSB Liabilities'!CQ23)/1000000</f>
        <v>0</v>
      </c>
      <c r="O31" s="1057">
        <f>('Input POSB Liabilities'!CY23)/1000000</f>
        <v>0.41592200000000001</v>
      </c>
      <c r="P31" s="1057">
        <f>'Input POSB Liabilities'!DH23/1000000</f>
        <v>34.498247999999997</v>
      </c>
      <c r="Q31" s="1057">
        <f>'Input POSB Liabilities'!DN23/1000000</f>
        <v>5.0060419999999999</v>
      </c>
      <c r="R31" s="1104">
        <f t="shared" si="2"/>
        <v>139.47861499999999</v>
      </c>
      <c r="T31" s="1105">
        <f>R31-'Input POSB Liabilities'!DQ23/1000000</f>
        <v>0</v>
      </c>
    </row>
    <row r="32" spans="4:20" ht="15">
      <c r="D32" s="1102" t="s">
        <v>1174</v>
      </c>
      <c r="E32" s="1057">
        <f>('Input POSB Liabilities'!C24-'Input POSB Liabilities'!G24-'Input POSB Liabilities'!H24-'Input POSB Liabilities'!J24)/1000000</f>
        <v>80.067644000000001</v>
      </c>
      <c r="F32" s="1057">
        <f>('Input POSB Liabilities'!O24-'Input POSB Liabilities'!Y24-'Input POSB Liabilities'!AC24-'Input POSB Liabilities'!AK24)/1000000</f>
        <v>21.765543999999998</v>
      </c>
      <c r="G32" s="1134">
        <f t="shared" si="0"/>
        <v>101.83318800000001</v>
      </c>
      <c r="H32" s="1059">
        <f>('Input POSB Liabilities'!G24+'Input POSB Liabilities'!I24+'Input POSB Liabilities'!Y24+'Input POSB Liabilities'!AC24)/1000000</f>
        <v>0.51331599999999999</v>
      </c>
      <c r="I32" s="1057">
        <f>('Input POSB Liabilities'!J24+'Input POSB Liabilities'!AK24)/1000000</f>
        <v>1.5557970000000001</v>
      </c>
      <c r="J32" s="1059">
        <f t="shared" si="1"/>
        <v>103.90230100000001</v>
      </c>
      <c r="K32" s="1057">
        <f>'Input POSB Liabilities'!BX24/1000000</f>
        <v>0</v>
      </c>
      <c r="L32" s="1057">
        <f>'Input POSB Liabilities'!DA24/1000000</f>
        <v>0</v>
      </c>
      <c r="M32" s="1057">
        <v>0</v>
      </c>
      <c r="N32" s="1057">
        <f>('Input POSB Liabilities'!CD24+'Input POSB Liabilities'!CQ24)/1000000</f>
        <v>0</v>
      </c>
      <c r="O32" s="1057">
        <f>('Input POSB Liabilities'!CY24)/1000000</f>
        <v>0.27710200000000001</v>
      </c>
      <c r="P32" s="1057">
        <f>'Input POSB Liabilities'!DH24/1000000</f>
        <v>35.212420999999999</v>
      </c>
      <c r="Q32" s="1057">
        <f>'Input POSB Liabilities'!DN24/1000000</f>
        <v>7.9267089999999998</v>
      </c>
      <c r="R32" s="1104">
        <f t="shared" si="2"/>
        <v>147.318533</v>
      </c>
      <c r="T32" s="1105">
        <f>R32-'Input POSB Liabilities'!DQ24/1000000</f>
        <v>0</v>
      </c>
    </row>
    <row r="33" spans="4:21" ht="15">
      <c r="D33" s="1102" t="s">
        <v>1165</v>
      </c>
      <c r="E33" s="1057">
        <f>('Input POSB Liabilities'!C25-'Input POSB Liabilities'!G25-'Input POSB Liabilities'!H25-'Input POSB Liabilities'!J25)/1000000</f>
        <v>79.203425999999993</v>
      </c>
      <c r="F33" s="1057">
        <f>('Input POSB Liabilities'!O25-'Input POSB Liabilities'!Y25-'Input POSB Liabilities'!AC25-'Input POSB Liabilities'!AK25)/1000000</f>
        <v>24.850553000000001</v>
      </c>
      <c r="G33" s="1134">
        <f t="shared" si="0"/>
        <v>104.053979</v>
      </c>
      <c r="H33" s="1059">
        <f>('Input POSB Liabilities'!G25+'Input POSB Liabilities'!I25+'Input POSB Liabilities'!Y25+'Input POSB Liabilities'!AC25)/1000000</f>
        <v>0.51250300000000004</v>
      </c>
      <c r="I33" s="1057">
        <f>('Input POSB Liabilities'!J25+'Input POSB Liabilities'!AK25)/1000000</f>
        <v>1.5803389999999999</v>
      </c>
      <c r="J33" s="1059">
        <f t="shared" si="1"/>
        <v>106.14682099999999</v>
      </c>
      <c r="K33" s="1057">
        <f>'Input POSB Liabilities'!BX25/1000000</f>
        <v>0</v>
      </c>
      <c r="L33" s="1057">
        <f>'Input POSB Liabilities'!DA25/1000000</f>
        <v>0</v>
      </c>
      <c r="M33" s="1057">
        <v>0</v>
      </c>
      <c r="N33" s="1057">
        <f>('Input POSB Liabilities'!CD25+'Input POSB Liabilities'!CQ25)/1000000</f>
        <v>0</v>
      </c>
      <c r="O33" s="1057">
        <f>('Input POSB Liabilities'!CY25)/1000000</f>
        <v>0.13996</v>
      </c>
      <c r="P33" s="1057">
        <f>'Input POSB Liabilities'!DH25/1000000</f>
        <v>34.448593000000002</v>
      </c>
      <c r="Q33" s="1057">
        <f>'Input POSB Liabilities'!DN25/1000000</f>
        <v>5.60738</v>
      </c>
      <c r="R33" s="1104">
        <f t="shared" si="2"/>
        <v>146.34275399999999</v>
      </c>
      <c r="T33" s="1105">
        <f>R33-'Input POSB Liabilities'!DQ25/1000000</f>
        <v>0</v>
      </c>
    </row>
    <row r="34" spans="4:21" ht="15">
      <c r="D34" s="1102" t="s">
        <v>1203</v>
      </c>
      <c r="E34" s="1057">
        <f>('Input POSB Liabilities'!C26-'Input POSB Liabilities'!G26-'Input POSB Liabilities'!H26-'Input POSB Liabilities'!J26)/1000000</f>
        <v>79.502731999999995</v>
      </c>
      <c r="F34" s="1057">
        <f>('Input POSB Liabilities'!O26-'Input POSB Liabilities'!Y26-'Input POSB Liabilities'!AC26-'Input POSB Liabilities'!AK26)/1000000</f>
        <v>26.580628999999998</v>
      </c>
      <c r="G34" s="1134">
        <f t="shared" si="0"/>
        <v>106.083361</v>
      </c>
      <c r="H34" s="1059">
        <f>('Input POSB Liabilities'!G26+'Input POSB Liabilities'!I26+'Input POSB Liabilities'!Y26+'Input POSB Liabilities'!AC26)/1000000</f>
        <v>0.61314000000000002</v>
      </c>
      <c r="I34" s="1057">
        <f>('Input POSB Liabilities'!J26+'Input POSB Liabilities'!AK26)/1000000</f>
        <v>1.594284</v>
      </c>
      <c r="J34" s="1059">
        <f t="shared" si="1"/>
        <v>108.290785</v>
      </c>
      <c r="K34" s="1057">
        <f>'Input POSB Liabilities'!BX26/1000000</f>
        <v>0</v>
      </c>
      <c r="L34" s="1057">
        <f>'Input POSB Liabilities'!DA26/1000000</f>
        <v>0</v>
      </c>
      <c r="M34" s="1057">
        <v>0</v>
      </c>
      <c r="N34" s="1057">
        <f>('Input POSB Liabilities'!CD26+'Input POSB Liabilities'!CQ26)/1000000</f>
        <v>0</v>
      </c>
      <c r="O34" s="1057">
        <f>('Input POSB Liabilities'!CY26)/1000000</f>
        <v>0</v>
      </c>
      <c r="P34" s="1057">
        <f>'Input POSB Liabilities'!DH26/1000000</f>
        <v>34.878706999999999</v>
      </c>
      <c r="Q34" s="1057">
        <f>'Input POSB Liabilities'!DN26/1000000</f>
        <v>5.780983</v>
      </c>
      <c r="R34" s="1104">
        <f t="shared" si="2"/>
        <v>148.95047499999998</v>
      </c>
      <c r="T34" s="1105">
        <f>R34-'Input POSB Liabilities'!DQ26/1000000</f>
        <v>0</v>
      </c>
    </row>
    <row r="35" spans="4:21" ht="15">
      <c r="D35" s="1102" t="s">
        <v>1205</v>
      </c>
      <c r="E35" s="1057">
        <f>('Input POSB Liabilities'!C27-'Input POSB Liabilities'!G27-'Input POSB Liabilities'!H27-'Input POSB Liabilities'!J27)/1000000</f>
        <v>75.483286000000007</v>
      </c>
      <c r="F35" s="1057">
        <f>('Input POSB Liabilities'!O27-'Input POSB Liabilities'!Y27-'Input POSB Liabilities'!AC27-'Input POSB Liabilities'!AK27)/1000000</f>
        <v>28.288126999999999</v>
      </c>
      <c r="G35" s="1134">
        <f t="shared" si="0"/>
        <v>103.77141300000001</v>
      </c>
      <c r="H35" s="1059">
        <f>('Input POSB Liabilities'!G27+'Input POSB Liabilities'!I27+'Input POSB Liabilities'!Y27+'Input POSB Liabilities'!AC27)/1000000</f>
        <v>1.1560000000000001E-2</v>
      </c>
      <c r="I35" s="1057">
        <f>('Input POSB Liabilities'!J27+'Input POSB Liabilities'!AK27)/1000000</f>
        <v>1.603156</v>
      </c>
      <c r="J35" s="1059">
        <f t="shared" si="1"/>
        <v>105.38612900000001</v>
      </c>
      <c r="K35" s="1057">
        <f>'Input POSB Liabilities'!BX27/1000000</f>
        <v>0</v>
      </c>
      <c r="L35" s="1057">
        <f>'Input POSB Liabilities'!DA27/1000000</f>
        <v>0</v>
      </c>
      <c r="M35" s="1057">
        <v>0</v>
      </c>
      <c r="N35" s="1057">
        <f>('Input POSB Liabilities'!CD27+'Input POSB Liabilities'!CQ27)/1000000</f>
        <v>0</v>
      </c>
      <c r="O35" s="1057">
        <f>('Input POSB Liabilities'!CY27)/1000000</f>
        <v>0</v>
      </c>
      <c r="P35" s="1057">
        <f>'Input POSB Liabilities'!DH27/1000000</f>
        <v>35.715373</v>
      </c>
      <c r="Q35" s="1057">
        <f>'Input POSB Liabilities'!DN27/1000000</f>
        <v>6.3409050000000002</v>
      </c>
      <c r="R35" s="1104">
        <f t="shared" si="2"/>
        <v>147.442407</v>
      </c>
      <c r="T35" s="1105">
        <f>R35-'Input POSB Liabilities'!DQ27/1000000</f>
        <v>0</v>
      </c>
    </row>
    <row r="36" spans="4:21" ht="15">
      <c r="D36" s="1102" t="s">
        <v>1177</v>
      </c>
      <c r="E36" s="1057">
        <f>('Input POSB Liabilities'!C28-'Input POSB Liabilities'!G28-'Input POSB Liabilities'!H28-'Input POSB Liabilities'!J28)/1000000</f>
        <v>74.820393999999993</v>
      </c>
      <c r="F36" s="1057">
        <f>('Input POSB Liabilities'!O28-'Input POSB Liabilities'!Y28-'Input POSB Liabilities'!AC28-'Input POSB Liabilities'!AK28)/1000000</f>
        <v>28.967252999999999</v>
      </c>
      <c r="G36" s="1134">
        <f t="shared" si="0"/>
        <v>103.78764699999999</v>
      </c>
      <c r="H36" s="1059">
        <f>('Input POSB Liabilities'!G28+'Input POSB Liabilities'!I28+'Input POSB Liabilities'!Y28+'Input POSB Liabilities'!AC28)/1000000</f>
        <v>0</v>
      </c>
      <c r="I36" s="1057">
        <f>('Input POSB Liabilities'!J28+'Input POSB Liabilities'!AK28)/1000000</f>
        <v>1.61236</v>
      </c>
      <c r="J36" s="1059">
        <f t="shared" si="1"/>
        <v>105.40000699999999</v>
      </c>
      <c r="K36" s="1057">
        <f>'Input POSB Liabilities'!BX28/1000000</f>
        <v>0</v>
      </c>
      <c r="L36" s="1057">
        <f>'Input POSB Liabilities'!DA28/1000000</f>
        <v>0</v>
      </c>
      <c r="M36" s="1057">
        <v>0</v>
      </c>
      <c r="N36" s="1057">
        <f>('Input POSB Liabilities'!CD28+'Input POSB Liabilities'!CQ28)/1000000</f>
        <v>0</v>
      </c>
      <c r="O36" s="1057">
        <f>('Input POSB Liabilities'!CY28)/1000000</f>
        <v>0</v>
      </c>
      <c r="P36" s="1057">
        <f>'Input POSB Liabilities'!DH28/1000000</f>
        <v>36.531973999999998</v>
      </c>
      <c r="Q36" s="1057">
        <f>'Input POSB Liabilities'!DN28/1000000</f>
        <v>6.9042050000000001</v>
      </c>
      <c r="R36" s="1104">
        <f t="shared" si="2"/>
        <v>148.83618599999997</v>
      </c>
      <c r="T36" s="1105">
        <f>R36-'Input POSB Liabilities'!DQ28/1000000</f>
        <v>0</v>
      </c>
    </row>
    <row r="37" spans="4:21" ht="15">
      <c r="D37" s="1102" t="s">
        <v>1178</v>
      </c>
      <c r="E37" s="1057">
        <f>('Input POSB Liabilities'!C29-'Input POSB Liabilities'!G29-'Input POSB Liabilities'!H29-'Input POSB Liabilities'!J29)/1000000</f>
        <v>74.238601000000003</v>
      </c>
      <c r="F37" s="1057">
        <f>('Input POSB Liabilities'!O29-'Input POSB Liabilities'!Y29-'Input POSB Liabilities'!AC29-'Input POSB Liabilities'!AK29)/1000000</f>
        <v>28.508247000000001</v>
      </c>
      <c r="G37" s="1134">
        <f t="shared" si="0"/>
        <v>102.746848</v>
      </c>
      <c r="H37" s="1059">
        <f>('Input POSB Liabilities'!G29+'Input POSB Liabilities'!I29+'Input POSB Liabilities'!Y29+'Input POSB Liabilities'!AC29)/1000000</f>
        <v>0</v>
      </c>
      <c r="I37" s="1057">
        <f>('Input POSB Liabilities'!J29+'Input POSB Liabilities'!AK29)/1000000</f>
        <v>1.618522</v>
      </c>
      <c r="J37" s="1059">
        <f t="shared" si="1"/>
        <v>104.36537</v>
      </c>
      <c r="K37" s="1057">
        <f>'Input POSB Liabilities'!BX29/1000000</f>
        <v>0</v>
      </c>
      <c r="L37" s="1057">
        <f>'Input POSB Liabilities'!DA29/1000000</f>
        <v>0</v>
      </c>
      <c r="M37" s="1057">
        <v>0</v>
      </c>
      <c r="N37" s="1057">
        <f>('Input POSB Liabilities'!CD29+'Input POSB Liabilities'!CQ29)/1000000</f>
        <v>0</v>
      </c>
      <c r="O37" s="1057">
        <f>('Input POSB Liabilities'!CY29)/1000000</f>
        <v>0</v>
      </c>
      <c r="P37" s="1057">
        <f>'Input POSB Liabilities'!DH29/1000000</f>
        <v>37.472839999999998</v>
      </c>
      <c r="Q37" s="1057">
        <f>'Input POSB Liabilities'!DN29/1000000</f>
        <v>13.855085000000001</v>
      </c>
      <c r="R37" s="1104">
        <f t="shared" si="2"/>
        <v>155.69329500000001</v>
      </c>
      <c r="T37" s="1105">
        <f>R37-'Input POSB Liabilities'!DQ29/1000000</f>
        <v>0</v>
      </c>
    </row>
    <row r="38" spans="4:21" ht="15">
      <c r="D38" s="1102" t="s">
        <v>1179</v>
      </c>
      <c r="E38" s="1057">
        <f>('Input POSB Liabilities'!C30-'Input POSB Liabilities'!G30-'Input POSB Liabilities'!H30-'Input POSB Liabilities'!J30)/1000000</f>
        <v>70.818066999999999</v>
      </c>
      <c r="F38" s="1057">
        <f>('Input POSB Liabilities'!O30-'Input POSB Liabilities'!Y30-'Input POSB Liabilities'!AC30-'Input POSB Liabilities'!AK30)/1000000</f>
        <v>30.795819999999999</v>
      </c>
      <c r="G38" s="1134">
        <f t="shared" si="0"/>
        <v>101.61388700000001</v>
      </c>
      <c r="H38" s="1059">
        <f>('Input POSB Liabilities'!G30+'Input POSB Liabilities'!I30+'Input POSB Liabilities'!Y30+'Input POSB Liabilities'!AC30)/1000000</f>
        <v>0</v>
      </c>
      <c r="I38" s="1057">
        <f>('Input POSB Liabilities'!J30+'Input POSB Liabilities'!AK30)/1000000</f>
        <v>1.630042</v>
      </c>
      <c r="J38" s="1059">
        <f t="shared" si="1"/>
        <v>103.24392900000001</v>
      </c>
      <c r="K38" s="1057">
        <f>'Input POSB Liabilities'!BX30/1000000</f>
        <v>0</v>
      </c>
      <c r="L38" s="1057">
        <f>'Input POSB Liabilities'!DA30/1000000</f>
        <v>0</v>
      </c>
      <c r="M38" s="1057">
        <v>0</v>
      </c>
      <c r="N38" s="1057">
        <f>('Input POSB Liabilities'!CD30+'Input POSB Liabilities'!CQ30)/1000000</f>
        <v>0</v>
      </c>
      <c r="O38" s="1057">
        <f>('Input POSB Liabilities'!CY30)/1000000</f>
        <v>0</v>
      </c>
      <c r="P38" s="1057">
        <f>'Input POSB Liabilities'!DH30/1000000</f>
        <v>38.641750999999999</v>
      </c>
      <c r="Q38" s="1057">
        <f>'Input POSB Liabilities'!DN30/1000000</f>
        <v>6.9180320000000002</v>
      </c>
      <c r="R38" s="1104">
        <f t="shared" si="2"/>
        <v>148.80371200000002</v>
      </c>
      <c r="T38" s="1105">
        <f>R38-'Input POSB Liabilities'!DQ30/1000000</f>
        <v>0</v>
      </c>
    </row>
    <row r="39" spans="4:21" ht="15">
      <c r="D39" s="1102" t="s">
        <v>1180</v>
      </c>
      <c r="E39" s="1057">
        <f>('Input POSB Liabilities'!C31-'Input POSB Liabilities'!G31-'Input POSB Liabilities'!H31-'Input POSB Liabilities'!J31)/1000000</f>
        <v>74.466932</v>
      </c>
      <c r="F39" s="1057">
        <f>('Input POSB Liabilities'!O31-'Input POSB Liabilities'!Y31-'Input POSB Liabilities'!AC31-'Input POSB Liabilities'!AK31)/1000000</f>
        <v>30.390280000000001</v>
      </c>
      <c r="G39" s="1134">
        <f t="shared" si="0"/>
        <v>104.857212</v>
      </c>
      <c r="H39" s="1059">
        <f>('Input POSB Liabilities'!G31+'Input POSB Liabilities'!I31+'Input POSB Liabilities'!Y31+'Input POSB Liabilities'!AC31)/1000000</f>
        <v>3.0000000000000001E-6</v>
      </c>
      <c r="I39" s="1057">
        <f>('Input POSB Liabilities'!J31+'Input POSB Liabilities'!AK31)/1000000</f>
        <v>1.6375630000000001</v>
      </c>
      <c r="J39" s="1059">
        <f t="shared" si="1"/>
        <v>106.49477800000001</v>
      </c>
      <c r="K39" s="1057">
        <f>'Input POSB Liabilities'!BX31/1000000</f>
        <v>0</v>
      </c>
      <c r="L39" s="1057">
        <f>'Input POSB Liabilities'!DA31/1000000</f>
        <v>0</v>
      </c>
      <c r="M39" s="1057">
        <v>0</v>
      </c>
      <c r="N39" s="1057">
        <f>('Input POSB Liabilities'!CD31+'Input POSB Liabilities'!CQ31)/1000000</f>
        <v>0</v>
      </c>
      <c r="O39" s="1057">
        <f>('Input POSB Liabilities'!CY31)/1000000</f>
        <v>0</v>
      </c>
      <c r="P39" s="1057">
        <f>'Input POSB Liabilities'!DH31/1000000</f>
        <v>39.326072000000003</v>
      </c>
      <c r="Q39" s="1057">
        <f>'Input POSB Liabilities'!DN31/1000000</f>
        <v>6.9124879999999997</v>
      </c>
      <c r="R39" s="1104">
        <f t="shared" si="2"/>
        <v>152.733338</v>
      </c>
      <c r="T39" s="1105">
        <f>R39-'Input POSB Liabilities'!DQ31/1000000</f>
        <v>0</v>
      </c>
    </row>
    <row r="40" spans="4:21" ht="15">
      <c r="D40" s="1102" t="s">
        <v>1181</v>
      </c>
      <c r="E40" s="1057">
        <f>('Input POSB Liabilities'!C32-'Input POSB Liabilities'!G32-'Input POSB Liabilities'!H32-'Input POSB Liabilities'!J32)/1000000</f>
        <v>77.733107000000004</v>
      </c>
      <c r="F40" s="1057">
        <f>('Input POSB Liabilities'!O32-'Input POSB Liabilities'!Y32-'Input POSB Liabilities'!AC32-'Input POSB Liabilities'!AK32)/1000000</f>
        <v>31.438427999999998</v>
      </c>
      <c r="G40" s="1134">
        <f t="shared" si="0"/>
        <v>109.17153500000001</v>
      </c>
      <c r="H40" s="1059">
        <f>('Input POSB Liabilities'!G32+'Input POSB Liabilities'!I32+'Input POSB Liabilities'!Y32+'Input POSB Liabilities'!AC32)/1000000</f>
        <v>3.0000000000000001E-6</v>
      </c>
      <c r="I40" s="1057">
        <f>('Input POSB Liabilities'!J32+'Input POSB Liabilities'!AK32)/1000000</f>
        <v>5.9831070000000004</v>
      </c>
      <c r="J40" s="1059">
        <f t="shared" si="1"/>
        <v>115.15464500000002</v>
      </c>
      <c r="K40" s="1057">
        <f>'Input POSB Liabilities'!BX32/1000000</f>
        <v>0</v>
      </c>
      <c r="L40" s="1057">
        <f>'Input POSB Liabilities'!DA32/1000000</f>
        <v>0</v>
      </c>
      <c r="M40" s="1057">
        <v>0</v>
      </c>
      <c r="N40" s="1057">
        <f>('Input POSB Liabilities'!CD32+'Input POSB Liabilities'!CQ32)/1000000</f>
        <v>0</v>
      </c>
      <c r="O40" s="1057">
        <f>('Input POSB Liabilities'!CY32)/1000000</f>
        <v>0</v>
      </c>
      <c r="P40" s="1057">
        <f>'Input POSB Liabilities'!DH32/1000000</f>
        <v>41.188575999999998</v>
      </c>
      <c r="Q40" s="1057">
        <f>'Input POSB Liabilities'!DN32/1000000</f>
        <v>7.9860660000000001</v>
      </c>
      <c r="R40" s="1104">
        <f t="shared" si="2"/>
        <v>164.32928700000002</v>
      </c>
      <c r="T40" s="1105">
        <f>R40-'Input POSB Liabilities'!DQ32/1000000</f>
        <v>0</v>
      </c>
    </row>
    <row r="41" spans="4:21" ht="15">
      <c r="D41" s="1102"/>
      <c r="E41" s="1057">
        <f>('Input POSB Liabilities'!C33-'Input POSB Liabilities'!G33-'Input POSB Liabilities'!H33-'Input POSB Liabilities'!J33)/1000000</f>
        <v>0</v>
      </c>
      <c r="F41" s="1057">
        <f>('Input POSB Liabilities'!O33-'Input POSB Liabilities'!Y33-'Input POSB Liabilities'!AC33-'Input POSB Liabilities'!AK33)/1000000</f>
        <v>0</v>
      </c>
      <c r="G41" s="1134">
        <f t="shared" si="0"/>
        <v>0</v>
      </c>
      <c r="H41" s="1059">
        <f>('Input POSB Liabilities'!G33+'Input POSB Liabilities'!I33+'Input POSB Liabilities'!Y33+'Input POSB Liabilities'!AC33)/1000000</f>
        <v>0</v>
      </c>
      <c r="I41" s="1057">
        <f>('Input POSB Liabilities'!J33+'Input POSB Liabilities'!AK33)/1000000</f>
        <v>0</v>
      </c>
      <c r="J41" s="1059">
        <f t="shared" si="1"/>
        <v>0</v>
      </c>
      <c r="K41" s="1057">
        <f>'Input POSB Liabilities'!BX33/1000000</f>
        <v>0</v>
      </c>
      <c r="L41" s="1057">
        <f>'Input POSB Liabilities'!DA33/1000000</f>
        <v>0</v>
      </c>
      <c r="M41" s="1057">
        <v>0</v>
      </c>
      <c r="N41" s="1057">
        <f>('Input POSB Liabilities'!CD33+'Input POSB Liabilities'!CQ33)/1000000</f>
        <v>0</v>
      </c>
      <c r="O41" s="1057">
        <f>('Input POSB Liabilities'!CY33)/1000000</f>
        <v>0</v>
      </c>
      <c r="P41" s="1057">
        <f>'Input POSB Liabilities'!DH33/1000000</f>
        <v>0</v>
      </c>
      <c r="Q41" s="1057">
        <f>'Input POSB Liabilities'!DN33/1000000</f>
        <v>0</v>
      </c>
      <c r="R41" s="1104">
        <f t="shared" si="2"/>
        <v>0</v>
      </c>
      <c r="T41" s="1105">
        <f>R41-'Input POSB Liabilities'!DQ33/1000000</f>
        <v>0</v>
      </c>
      <c r="U41" s="1106"/>
    </row>
    <row r="42" spans="4:21" ht="15">
      <c r="D42" s="1099">
        <v>2017</v>
      </c>
      <c r="E42" s="1057"/>
      <c r="F42" s="1057"/>
      <c r="G42" s="1059"/>
      <c r="H42" s="1057"/>
      <c r="I42" s="1057"/>
      <c r="J42" s="1059"/>
      <c r="K42" s="1057"/>
      <c r="L42" s="1057"/>
      <c r="M42" s="1057"/>
      <c r="N42" s="1057"/>
      <c r="O42" s="1057"/>
      <c r="P42" s="1057"/>
      <c r="Q42" s="1057"/>
      <c r="R42" s="1059"/>
      <c r="S42" s="1107"/>
      <c r="T42" s="1109"/>
      <c r="U42" s="1106"/>
    </row>
    <row r="43" spans="4:21" ht="15">
      <c r="D43" s="1102" t="s">
        <v>1170</v>
      </c>
      <c r="E43" s="1057">
        <f>('Input POSB Liabilities'!C35-'Input POSB Liabilities'!G35-'Input POSB Liabilities'!H35-'Input POSB Liabilities'!J35)/1000000</f>
        <v>77.253141999999997</v>
      </c>
      <c r="F43" s="1057">
        <f>('Input POSB Liabilities'!O35-'Input POSB Liabilities'!Y35-'Input POSB Liabilities'!AC35-'Input POSB Liabilities'!AK35)/1000000</f>
        <v>29.840132000000001</v>
      </c>
      <c r="G43" s="1134">
        <f>SUM(E43:F43)</f>
        <v>107.09327399999999</v>
      </c>
      <c r="H43" s="1059">
        <f>('Input POSB Liabilities'!G35+'Input POSB Liabilities'!I35+'Input POSB Liabilities'!Y35+'Input POSB Liabilities'!AC35)/1000000</f>
        <v>0</v>
      </c>
      <c r="I43" s="1057">
        <f>('Input POSB Liabilities'!J35+'Input POSB Liabilities'!AK35)/1000000</f>
        <v>5.995031</v>
      </c>
      <c r="J43" s="1059">
        <f>SUM(G43:I43)</f>
        <v>113.08830499999999</v>
      </c>
      <c r="K43" s="1057">
        <f>'Input POSB Liabilities'!BX35/1000000</f>
        <v>0</v>
      </c>
      <c r="L43" s="1057">
        <f>'Input POSB Liabilities'!DA35/1000000</f>
        <v>0</v>
      </c>
      <c r="M43" s="1057">
        <v>0</v>
      </c>
      <c r="N43" s="1057">
        <f>('Input POSB Liabilities'!CD35+'Input POSB Liabilities'!CQ35)/1000000</f>
        <v>0</v>
      </c>
      <c r="O43" s="1057">
        <f>('Input POSB Liabilities'!CY35)/1000000</f>
        <v>0</v>
      </c>
      <c r="P43" s="1057">
        <f>'Input POSB Liabilities'!DH35/1000000</f>
        <v>41.919767999999998</v>
      </c>
      <c r="Q43" s="1057">
        <f>'Input POSB Liabilities'!DN35/1000000</f>
        <v>6.8252026399999997</v>
      </c>
      <c r="R43" s="1104">
        <f>SUM(J43:Q43)</f>
        <v>161.83327563999998</v>
      </c>
      <c r="T43" s="1105">
        <f>R43-'Input POSB Liabilities'!DQ35/1000000</f>
        <v>0</v>
      </c>
    </row>
    <row r="44" spans="4:21" ht="15">
      <c r="D44" s="1102" t="s">
        <v>1172</v>
      </c>
      <c r="E44" s="1057">
        <f>('Input POSB Liabilities'!C36-'Input POSB Liabilities'!G36-'Input POSB Liabilities'!H36-'Input POSB Liabilities'!J36)/1000000</f>
        <v>77.529897000000005</v>
      </c>
      <c r="F44" s="1057">
        <f>('Input POSB Liabilities'!O36-'Input POSB Liabilities'!Y36-'Input POSB Liabilities'!AC36-'Input POSB Liabilities'!AK36)/1000000</f>
        <v>29.896003</v>
      </c>
      <c r="G44" s="1134">
        <f>SUM(E44:F44)</f>
        <v>107.42590000000001</v>
      </c>
      <c r="H44" s="1059">
        <f>('Input POSB Liabilities'!G36+'Input POSB Liabilities'!I36+'Input POSB Liabilities'!Y36+'Input POSB Liabilities'!AC36)/1000000</f>
        <v>0</v>
      </c>
      <c r="I44" s="1057">
        <f>('Input POSB Liabilities'!J36+'Input POSB Liabilities'!AK36)/1000000</f>
        <v>5.9896570000000002</v>
      </c>
      <c r="J44" s="1059">
        <f>SUM(G44:I44)</f>
        <v>113.41555700000001</v>
      </c>
      <c r="K44" s="1057">
        <f>'Input POSB Liabilities'!BX36/1000000</f>
        <v>0</v>
      </c>
      <c r="L44" s="1057">
        <f>'Input POSB Liabilities'!DA36/1000000</f>
        <v>0</v>
      </c>
      <c r="M44" s="1057">
        <v>0</v>
      </c>
      <c r="N44" s="1057">
        <f>('Input POSB Liabilities'!CD36+'Input POSB Liabilities'!CQ36)/1000000</f>
        <v>0</v>
      </c>
      <c r="O44" s="1057">
        <f>('Input POSB Liabilities'!CY36)/1000000</f>
        <v>0</v>
      </c>
      <c r="P44" s="1057">
        <f>'Input POSB Liabilities'!DH36/1000000</f>
        <v>42.604984999999999</v>
      </c>
      <c r="Q44" s="1057">
        <f>'Input POSB Liabilities'!DN36/1000000</f>
        <v>7.3872871500000059</v>
      </c>
      <c r="R44" s="1104">
        <f>SUM(J44:Q44)</f>
        <v>163.40782915</v>
      </c>
      <c r="T44" s="1105">
        <f>R44-'Input POSB Liabilities'!DQ36/1000000</f>
        <v>0</v>
      </c>
    </row>
    <row r="45" spans="4:21" ht="15">
      <c r="D45" s="1102" t="s">
        <v>1173</v>
      </c>
      <c r="E45" s="1057"/>
      <c r="F45" s="1057"/>
      <c r="G45" s="1059"/>
      <c r="H45" s="1057"/>
      <c r="I45" s="1057"/>
      <c r="J45" s="1059"/>
      <c r="K45" s="1057"/>
      <c r="L45" s="1057"/>
      <c r="M45" s="1057"/>
      <c r="N45" s="1057"/>
      <c r="O45" s="1057"/>
      <c r="P45" s="1057"/>
      <c r="Q45" s="1057"/>
      <c r="R45" s="1059"/>
      <c r="S45" s="1107"/>
      <c r="T45" s="1108"/>
    </row>
    <row r="46" spans="4:21" ht="15">
      <c r="D46" s="1102" t="s">
        <v>1174</v>
      </c>
      <c r="E46" s="1057"/>
      <c r="F46" s="1057"/>
      <c r="G46" s="1059"/>
      <c r="H46" s="1057"/>
      <c r="I46" s="1057"/>
      <c r="J46" s="1059"/>
      <c r="K46" s="1057"/>
      <c r="L46" s="1057"/>
      <c r="M46" s="1057"/>
      <c r="N46" s="1057"/>
      <c r="O46" s="1057"/>
      <c r="P46" s="1057"/>
      <c r="Q46" s="1057"/>
      <c r="R46" s="1057"/>
      <c r="T46" s="1108"/>
    </row>
    <row r="47" spans="4:21" ht="15">
      <c r="D47" s="1102" t="s">
        <v>1165</v>
      </c>
      <c r="E47" s="1057"/>
      <c r="F47" s="1057"/>
      <c r="G47" s="1059"/>
      <c r="H47" s="1057"/>
      <c r="I47" s="1057"/>
      <c r="J47" s="1059"/>
      <c r="K47" s="1057"/>
      <c r="L47" s="1057"/>
      <c r="M47" s="1057"/>
      <c r="N47" s="1057"/>
      <c r="O47" s="1057"/>
      <c r="P47" s="1057"/>
      <c r="Q47" s="1057"/>
      <c r="R47" s="1057"/>
    </row>
    <row r="48" spans="4:21" ht="15">
      <c r="D48" s="1102" t="s">
        <v>1203</v>
      </c>
      <c r="E48" s="1057"/>
      <c r="F48" s="1057"/>
      <c r="G48" s="1059"/>
      <c r="H48" s="1057"/>
      <c r="I48" s="1057"/>
      <c r="J48" s="1059"/>
      <c r="K48" s="1057"/>
      <c r="L48" s="1057"/>
      <c r="M48" s="1057"/>
      <c r="N48" s="1057"/>
      <c r="O48" s="1057"/>
      <c r="P48" s="1057"/>
      <c r="Q48" s="1057"/>
      <c r="R48" s="1057"/>
    </row>
    <row r="49" spans="4:21" ht="15">
      <c r="D49" s="1102" t="s">
        <v>1205</v>
      </c>
      <c r="E49" s="1057"/>
      <c r="F49" s="1057"/>
      <c r="G49" s="1059"/>
      <c r="H49" s="1057"/>
      <c r="I49" s="1057"/>
      <c r="J49" s="1059"/>
      <c r="K49" s="1057"/>
      <c r="L49" s="1057"/>
      <c r="M49" s="1057"/>
      <c r="N49" s="1057"/>
      <c r="O49" s="1057"/>
      <c r="P49" s="1057"/>
      <c r="Q49" s="1057"/>
      <c r="R49" s="1059"/>
      <c r="S49" s="1107"/>
      <c r="T49" s="1109"/>
      <c r="U49" s="1106"/>
    </row>
    <row r="50" spans="4:21" ht="15">
      <c r="D50" s="1102" t="s">
        <v>1177</v>
      </c>
      <c r="E50" s="1057"/>
      <c r="F50" s="1057"/>
      <c r="G50" s="1059"/>
      <c r="H50" s="1057"/>
      <c r="I50" s="1057"/>
      <c r="J50" s="1059"/>
      <c r="K50" s="1057"/>
      <c r="L50" s="1057"/>
      <c r="M50" s="1057"/>
      <c r="N50" s="1057"/>
      <c r="O50" s="1057"/>
      <c r="P50" s="1057"/>
      <c r="Q50" s="1057"/>
      <c r="R50" s="1059"/>
      <c r="S50" s="1107"/>
      <c r="T50" s="1109"/>
      <c r="U50" s="1106"/>
    </row>
    <row r="51" spans="4:21" ht="15">
      <c r="D51" s="1102" t="s">
        <v>1178</v>
      </c>
      <c r="E51" s="1057"/>
      <c r="F51" s="1057"/>
      <c r="G51" s="1059"/>
      <c r="H51" s="1057"/>
      <c r="I51" s="1057"/>
      <c r="J51" s="1059"/>
      <c r="K51" s="1057"/>
      <c r="L51" s="1057"/>
      <c r="M51" s="1057"/>
      <c r="N51" s="1057"/>
      <c r="O51" s="1057"/>
      <c r="P51" s="1057"/>
      <c r="Q51" s="1057"/>
      <c r="R51" s="1059"/>
      <c r="S51" s="1107"/>
      <c r="T51" s="1108"/>
    </row>
    <row r="52" spans="4:21" ht="15">
      <c r="D52" s="1102" t="s">
        <v>1208</v>
      </c>
      <c r="E52" s="1057"/>
      <c r="F52" s="1057"/>
      <c r="G52" s="1059"/>
      <c r="H52" s="1057"/>
      <c r="I52" s="1057"/>
      <c r="J52" s="1059"/>
      <c r="K52" s="1057"/>
      <c r="L52" s="1057"/>
      <c r="M52" s="1057"/>
      <c r="N52" s="1057"/>
      <c r="O52" s="1057"/>
      <c r="P52" s="1057"/>
      <c r="Q52" s="1057"/>
      <c r="R52" s="1059"/>
      <c r="S52" s="1107"/>
      <c r="T52" s="1109"/>
      <c r="U52" s="1106"/>
    </row>
    <row r="53" spans="4:21" ht="15">
      <c r="D53" s="1102" t="s">
        <v>1180</v>
      </c>
      <c r="E53" s="1057"/>
      <c r="F53" s="1057"/>
      <c r="G53" s="1059"/>
      <c r="H53" s="1057"/>
      <c r="I53" s="1057"/>
      <c r="J53" s="1059"/>
      <c r="K53" s="1057"/>
      <c r="L53" s="1057"/>
      <c r="M53" s="1057"/>
      <c r="N53" s="1057"/>
      <c r="O53" s="1057"/>
      <c r="P53" s="1057"/>
      <c r="Q53" s="1057"/>
      <c r="R53" s="1059"/>
      <c r="S53" s="1107"/>
      <c r="T53" s="1108"/>
    </row>
    <row r="54" spans="4:21" ht="15">
      <c r="D54" s="1102" t="s">
        <v>1181</v>
      </c>
      <c r="E54" s="1057"/>
      <c r="F54" s="1057"/>
      <c r="G54" s="1059"/>
      <c r="H54" s="1057"/>
      <c r="I54" s="1057"/>
      <c r="J54" s="1059"/>
      <c r="K54" s="1057"/>
      <c r="L54" s="1057"/>
      <c r="M54" s="1057"/>
      <c r="N54" s="1057"/>
      <c r="O54" s="1057"/>
      <c r="P54" s="1057"/>
      <c r="Q54" s="1057"/>
      <c r="R54" s="1057"/>
      <c r="T54" s="1108"/>
    </row>
    <row r="55" spans="4:21" ht="15">
      <c r="D55" s="1110"/>
      <c r="E55" s="1111"/>
      <c r="F55" s="1111"/>
      <c r="G55" s="1112"/>
      <c r="H55" s="1111"/>
      <c r="I55" s="1111"/>
      <c r="J55" s="1112"/>
      <c r="K55" s="1111"/>
      <c r="L55" s="1111"/>
      <c r="M55" s="1111"/>
      <c r="N55" s="1111"/>
      <c r="O55" s="1111"/>
      <c r="P55" s="1111"/>
      <c r="Q55" s="1111"/>
      <c r="R55" s="1112"/>
    </row>
    <row r="56" spans="4:21" ht="15">
      <c r="D56" s="1113">
        <v>2013</v>
      </c>
      <c r="E56" s="1111"/>
      <c r="F56" s="1111"/>
      <c r="G56" s="1112"/>
      <c r="H56" s="1111"/>
      <c r="I56" s="1111"/>
      <c r="J56" s="1112"/>
      <c r="K56" s="1111"/>
      <c r="L56" s="1111"/>
      <c r="M56" s="1111"/>
      <c r="N56" s="1111"/>
      <c r="O56" s="1111"/>
      <c r="P56" s="1111"/>
      <c r="Q56" s="1111"/>
      <c r="R56" s="1112"/>
    </row>
    <row r="57" spans="4:21" ht="15">
      <c r="D57" s="1114" t="s">
        <v>1170</v>
      </c>
      <c r="E57" s="1115"/>
      <c r="F57" s="1115"/>
      <c r="G57" s="1116"/>
      <c r="H57" s="1115"/>
      <c r="I57" s="1115"/>
      <c r="J57" s="1116"/>
      <c r="K57" s="1115"/>
      <c r="L57" s="1115"/>
      <c r="M57" s="1115"/>
      <c r="N57" s="1115"/>
      <c r="O57" s="1115"/>
      <c r="P57" s="1115"/>
      <c r="Q57" s="1115"/>
      <c r="R57" s="1116"/>
    </row>
    <row r="58" spans="4:21" ht="15">
      <c r="D58" s="1114" t="s">
        <v>1172</v>
      </c>
      <c r="E58" s="1115"/>
      <c r="F58" s="1115"/>
      <c r="G58" s="1116"/>
      <c r="H58" s="1115"/>
      <c r="I58" s="1115"/>
      <c r="J58" s="1116"/>
      <c r="K58" s="1115"/>
      <c r="L58" s="1115"/>
      <c r="M58" s="1115"/>
      <c r="N58" s="1115"/>
      <c r="O58" s="1115"/>
      <c r="P58" s="1115"/>
      <c r="Q58" s="1115"/>
      <c r="R58" s="1116"/>
    </row>
    <row r="59" spans="4:21" ht="15">
      <c r="D59" s="1114" t="s">
        <v>1173</v>
      </c>
      <c r="E59" s="1115"/>
      <c r="F59" s="1115"/>
      <c r="G59" s="1116"/>
      <c r="H59" s="1115"/>
      <c r="I59" s="1115"/>
      <c r="J59" s="1116"/>
      <c r="K59" s="1115"/>
      <c r="L59" s="1115"/>
      <c r="M59" s="1115"/>
      <c r="N59" s="1115"/>
      <c r="O59" s="1115"/>
      <c r="P59" s="1115"/>
      <c r="Q59" s="1115"/>
      <c r="R59" s="1116"/>
    </row>
    <row r="60" spans="4:21" ht="15">
      <c r="D60" s="1114" t="s">
        <v>1174</v>
      </c>
      <c r="E60" s="1115"/>
      <c r="F60" s="1115"/>
      <c r="G60" s="1116"/>
      <c r="H60" s="1115"/>
      <c r="I60" s="1115"/>
      <c r="J60" s="1116"/>
      <c r="K60" s="1115"/>
      <c r="L60" s="1115"/>
      <c r="M60" s="1115"/>
      <c r="N60" s="1115"/>
      <c r="O60" s="1115"/>
      <c r="P60" s="1115"/>
      <c r="Q60" s="1115"/>
      <c r="R60" s="1116"/>
    </row>
    <row r="61" spans="4:21" ht="15">
      <c r="D61" s="1114" t="s">
        <v>1165</v>
      </c>
      <c r="E61" s="1115"/>
      <c r="F61" s="1115"/>
      <c r="G61" s="1116"/>
      <c r="H61" s="1115"/>
      <c r="I61" s="1115"/>
      <c r="J61" s="1116"/>
      <c r="K61" s="1115"/>
      <c r="L61" s="1115"/>
      <c r="M61" s="1115"/>
      <c r="N61" s="1115"/>
      <c r="O61" s="1115"/>
      <c r="P61" s="1115"/>
      <c r="Q61" s="1115"/>
      <c r="R61" s="1116"/>
    </row>
    <row r="62" spans="4:21" ht="15">
      <c r="D62" s="1114" t="s">
        <v>1175</v>
      </c>
      <c r="E62" s="1115"/>
      <c r="F62" s="1115"/>
      <c r="G62" s="1116"/>
      <c r="H62" s="1115"/>
      <c r="I62" s="1115"/>
      <c r="J62" s="1116"/>
      <c r="K62" s="1115"/>
      <c r="L62" s="1115"/>
      <c r="M62" s="1115"/>
      <c r="N62" s="1115"/>
      <c r="O62" s="1115"/>
      <c r="P62" s="1115"/>
      <c r="Q62" s="1115"/>
      <c r="R62" s="1116"/>
    </row>
    <row r="63" spans="4:21" ht="15">
      <c r="D63" s="1114" t="s">
        <v>1176</v>
      </c>
      <c r="E63" s="1115"/>
      <c r="F63" s="1115"/>
      <c r="G63" s="1116"/>
      <c r="H63" s="1115"/>
      <c r="I63" s="1115"/>
      <c r="J63" s="1116"/>
      <c r="K63" s="1115"/>
      <c r="L63" s="1115"/>
      <c r="M63" s="1115"/>
      <c r="N63" s="1115"/>
      <c r="O63" s="1115"/>
      <c r="P63" s="1115"/>
      <c r="Q63" s="1115"/>
      <c r="R63" s="1116"/>
    </row>
    <row r="64" spans="4:21" ht="15">
      <c r="D64" s="1114" t="s">
        <v>1206</v>
      </c>
      <c r="E64" s="1115"/>
      <c r="F64" s="1115"/>
      <c r="G64" s="1116"/>
      <c r="H64" s="1115"/>
      <c r="I64" s="1115"/>
      <c r="J64" s="1116"/>
      <c r="K64" s="1115"/>
      <c r="L64" s="1115"/>
      <c r="M64" s="1115"/>
      <c r="N64" s="1115"/>
      <c r="O64" s="1115"/>
      <c r="P64" s="1115"/>
      <c r="Q64" s="1115"/>
      <c r="R64" s="1116"/>
    </row>
    <row r="65" spans="4:21" ht="15">
      <c r="D65" s="1114" t="s">
        <v>1178</v>
      </c>
      <c r="E65" s="1115"/>
      <c r="F65" s="1115"/>
      <c r="G65" s="1116"/>
      <c r="H65" s="1115"/>
      <c r="I65" s="1115"/>
      <c r="J65" s="1116"/>
      <c r="K65" s="1115"/>
      <c r="L65" s="1115"/>
      <c r="M65" s="1115"/>
      <c r="N65" s="1115"/>
      <c r="O65" s="1115"/>
      <c r="P65" s="1115"/>
      <c r="Q65" s="1115"/>
      <c r="R65" s="1116"/>
    </row>
    <row r="66" spans="4:21" ht="15">
      <c r="D66" s="1114" t="s">
        <v>1179</v>
      </c>
      <c r="E66" s="1115"/>
      <c r="F66" s="1115"/>
      <c r="G66" s="1116"/>
      <c r="H66" s="1115"/>
      <c r="I66" s="1115"/>
      <c r="J66" s="1116"/>
      <c r="K66" s="1115"/>
      <c r="L66" s="1115"/>
      <c r="M66" s="1115"/>
      <c r="N66" s="1115"/>
      <c r="O66" s="1115"/>
      <c r="P66" s="1115"/>
      <c r="Q66" s="1115"/>
      <c r="R66" s="1116"/>
    </row>
    <row r="67" spans="4:21" ht="15">
      <c r="D67" s="1114" t="s">
        <v>1180</v>
      </c>
      <c r="E67" s="1115"/>
      <c r="F67" s="1115"/>
      <c r="G67" s="1116"/>
      <c r="H67" s="1115"/>
      <c r="I67" s="1115"/>
      <c r="J67" s="1116"/>
      <c r="K67" s="1115"/>
      <c r="L67" s="1115"/>
      <c r="M67" s="1115"/>
      <c r="N67" s="1115"/>
      <c r="O67" s="1115"/>
      <c r="P67" s="1115"/>
      <c r="Q67" s="1115"/>
      <c r="R67" s="1116"/>
    </row>
    <row r="68" spans="4:21" ht="15">
      <c r="D68" s="1114" t="s">
        <v>1181</v>
      </c>
      <c r="E68" s="1115"/>
      <c r="F68" s="1115"/>
      <c r="G68" s="1116"/>
      <c r="H68" s="1115"/>
      <c r="I68" s="1115"/>
      <c r="J68" s="1116"/>
      <c r="K68" s="1115"/>
      <c r="L68" s="1115"/>
      <c r="M68" s="1115"/>
      <c r="N68" s="1115"/>
      <c r="O68" s="1115"/>
      <c r="P68" s="1115"/>
      <c r="Q68" s="1115"/>
      <c r="R68" s="1116"/>
      <c r="S68" s="1117"/>
    </row>
    <row r="69" spans="4:21" ht="15">
      <c r="D69" s="1110"/>
      <c r="E69" s="1118"/>
      <c r="F69" s="1118"/>
      <c r="G69" s="1119"/>
      <c r="H69" s="1118"/>
      <c r="I69" s="1118"/>
      <c r="J69" s="1119"/>
      <c r="K69" s="1118"/>
      <c r="L69" s="1118"/>
      <c r="M69" s="1118"/>
      <c r="N69" s="1118"/>
      <c r="O69" s="1118"/>
      <c r="P69" s="1118"/>
      <c r="Q69" s="1118"/>
      <c r="R69" s="1119"/>
    </row>
    <row r="70" spans="4:21" ht="15">
      <c r="D70" s="1120">
        <v>2014</v>
      </c>
      <c r="E70" s="1118"/>
      <c r="F70" s="1118"/>
      <c r="G70" s="1119"/>
      <c r="H70" s="1118"/>
      <c r="I70" s="1118"/>
      <c r="J70" s="1119"/>
      <c r="K70" s="1118"/>
      <c r="L70" s="1118"/>
      <c r="M70" s="1118"/>
      <c r="N70" s="1118"/>
      <c r="O70" s="1118"/>
      <c r="P70" s="1118"/>
      <c r="Q70" s="1118"/>
      <c r="R70" s="1119"/>
    </row>
    <row r="71" spans="4:21" ht="15">
      <c r="D71" s="1114" t="s">
        <v>1170</v>
      </c>
      <c r="E71" s="1115"/>
      <c r="F71" s="1115"/>
      <c r="G71" s="1116"/>
      <c r="H71" s="1115"/>
      <c r="I71" s="1115"/>
      <c r="J71" s="1116"/>
      <c r="K71" s="1115"/>
      <c r="L71" s="1115"/>
      <c r="M71" s="1115"/>
      <c r="N71" s="1115"/>
      <c r="O71" s="1115"/>
      <c r="P71" s="1115"/>
      <c r="Q71" s="1115"/>
      <c r="R71" s="1116"/>
    </row>
    <row r="72" spans="4:21" ht="15">
      <c r="D72" s="1114" t="s">
        <v>1172</v>
      </c>
      <c r="E72" s="1115"/>
      <c r="F72" s="1115"/>
      <c r="G72" s="1116"/>
      <c r="H72" s="1115"/>
      <c r="I72" s="1115"/>
      <c r="J72" s="1116"/>
      <c r="K72" s="1115"/>
      <c r="L72" s="1115"/>
      <c r="M72" s="1115"/>
      <c r="N72" s="1115"/>
      <c r="O72" s="1115"/>
      <c r="P72" s="1115"/>
      <c r="Q72" s="1115"/>
      <c r="R72" s="1116"/>
    </row>
    <row r="73" spans="4:21" ht="15">
      <c r="D73" s="1114" t="s">
        <v>1173</v>
      </c>
      <c r="E73" s="1115"/>
      <c r="F73" s="1115"/>
      <c r="G73" s="1116"/>
      <c r="H73" s="1115"/>
      <c r="I73" s="1115"/>
      <c r="J73" s="1116"/>
      <c r="K73" s="1115"/>
      <c r="L73" s="1115"/>
      <c r="M73" s="1115"/>
      <c r="N73" s="1115"/>
      <c r="O73" s="1115"/>
      <c r="P73" s="1115"/>
      <c r="Q73" s="1115"/>
      <c r="R73" s="1116"/>
    </row>
    <row r="74" spans="4:21" ht="15">
      <c r="D74" s="1114" t="s">
        <v>1174</v>
      </c>
      <c r="E74" s="1115"/>
      <c r="F74" s="1115"/>
      <c r="G74" s="1116"/>
      <c r="H74" s="1115"/>
      <c r="I74" s="1115"/>
      <c r="J74" s="1116"/>
      <c r="K74" s="1115"/>
      <c r="L74" s="1115"/>
      <c r="M74" s="1115"/>
      <c r="N74" s="1115"/>
      <c r="O74" s="1115"/>
      <c r="P74" s="1115"/>
      <c r="Q74" s="1115"/>
      <c r="R74" s="1116"/>
    </row>
    <row r="75" spans="4:21" ht="15">
      <c r="D75" s="1114" t="s">
        <v>1165</v>
      </c>
      <c r="E75" s="1115"/>
      <c r="F75" s="1115"/>
      <c r="G75" s="1116"/>
      <c r="H75" s="1115"/>
      <c r="I75" s="1115"/>
      <c r="J75" s="1116"/>
      <c r="K75" s="1115"/>
      <c r="L75" s="1115"/>
      <c r="M75" s="1115"/>
      <c r="N75" s="1115"/>
      <c r="O75" s="1115"/>
      <c r="P75" s="1115"/>
      <c r="Q75" s="1115"/>
      <c r="R75" s="1116"/>
    </row>
    <row r="76" spans="4:21" ht="15">
      <c r="D76" s="1114" t="s">
        <v>1175</v>
      </c>
      <c r="E76" s="1115"/>
      <c r="F76" s="1115"/>
      <c r="G76" s="1116"/>
      <c r="H76" s="1115"/>
      <c r="I76" s="1115"/>
      <c r="J76" s="1116"/>
      <c r="K76" s="1115"/>
      <c r="L76" s="1115"/>
      <c r="M76" s="1115"/>
      <c r="N76" s="1115"/>
      <c r="O76" s="1115"/>
      <c r="P76" s="1115"/>
      <c r="Q76" s="1115"/>
      <c r="R76" s="1116"/>
    </row>
    <row r="77" spans="4:21" ht="15">
      <c r="D77" s="1114" t="s">
        <v>1176</v>
      </c>
      <c r="E77" s="1115"/>
      <c r="F77" s="1115"/>
      <c r="G77" s="1116"/>
      <c r="H77" s="1115"/>
      <c r="I77" s="1115"/>
      <c r="J77" s="1116"/>
      <c r="K77" s="1115"/>
      <c r="L77" s="1115"/>
      <c r="M77" s="1115"/>
      <c r="N77" s="1115"/>
      <c r="O77" s="1115"/>
      <c r="P77" s="1115"/>
      <c r="Q77" s="1115"/>
      <c r="R77" s="1116"/>
    </row>
    <row r="78" spans="4:21" ht="15">
      <c r="D78" s="1114" t="s">
        <v>1177</v>
      </c>
      <c r="E78" s="1115"/>
      <c r="F78" s="1115"/>
      <c r="G78" s="1116"/>
      <c r="H78" s="1115"/>
      <c r="I78" s="1115"/>
      <c r="J78" s="1116"/>
      <c r="K78" s="1115"/>
      <c r="L78" s="1115"/>
      <c r="M78" s="1115"/>
      <c r="N78" s="1115"/>
      <c r="O78" s="1115"/>
      <c r="P78" s="1115"/>
      <c r="Q78" s="1115"/>
      <c r="R78" s="1116"/>
      <c r="S78" s="1121"/>
      <c r="U78" s="1121"/>
    </row>
    <row r="79" spans="4:21" ht="15">
      <c r="D79" s="1114" t="s">
        <v>1178</v>
      </c>
      <c r="E79" s="1115"/>
      <c r="F79" s="1115"/>
      <c r="G79" s="1116"/>
      <c r="H79" s="1115"/>
      <c r="I79" s="1115"/>
      <c r="J79" s="1116"/>
      <c r="K79" s="1115"/>
      <c r="L79" s="1115"/>
      <c r="M79" s="1115"/>
      <c r="N79" s="1115"/>
      <c r="O79" s="1115"/>
      <c r="P79" s="1115"/>
      <c r="Q79" s="1115"/>
      <c r="R79" s="1116"/>
    </row>
    <row r="80" spans="4:21" ht="15">
      <c r="D80" s="1114" t="s">
        <v>1179</v>
      </c>
      <c r="E80" s="1115"/>
      <c r="F80" s="1115"/>
      <c r="G80" s="1116"/>
      <c r="H80" s="1115"/>
      <c r="I80" s="1115"/>
      <c r="J80" s="1116"/>
      <c r="K80" s="1115"/>
      <c r="L80" s="1115"/>
      <c r="M80" s="1115"/>
      <c r="N80" s="1115"/>
      <c r="O80" s="1115"/>
      <c r="P80" s="1115"/>
      <c r="Q80" s="1115"/>
      <c r="R80" s="1116"/>
    </row>
    <row r="81" spans="4:18" ht="15">
      <c r="D81" s="1114" t="s">
        <v>1180</v>
      </c>
      <c r="E81" s="1115"/>
      <c r="F81" s="1115"/>
      <c r="G81" s="1116"/>
      <c r="H81" s="1115"/>
      <c r="I81" s="1115"/>
      <c r="J81" s="1116"/>
      <c r="K81" s="1115"/>
      <c r="L81" s="1115"/>
      <c r="M81" s="1115"/>
      <c r="N81" s="1115"/>
      <c r="O81" s="1115"/>
      <c r="P81" s="1115"/>
      <c r="Q81" s="1115"/>
      <c r="R81" s="1116"/>
    </row>
    <row r="82" spans="4:18" ht="15">
      <c r="D82" s="1114" t="s">
        <v>1181</v>
      </c>
      <c r="E82" s="1115"/>
      <c r="F82" s="1115"/>
      <c r="G82" s="1116"/>
      <c r="H82" s="1115"/>
      <c r="I82" s="1115"/>
      <c r="J82" s="1116"/>
      <c r="K82" s="1115"/>
      <c r="L82" s="1115"/>
      <c r="M82" s="1115"/>
      <c r="N82" s="1115"/>
      <c r="O82" s="1115"/>
      <c r="P82" s="1115"/>
      <c r="Q82" s="1115"/>
      <c r="R82" s="1116"/>
    </row>
    <row r="83" spans="4:18" ht="15">
      <c r="D83" s="1120"/>
      <c r="E83" s="1118"/>
      <c r="F83" s="1118"/>
      <c r="G83" s="1119"/>
      <c r="H83" s="1118"/>
      <c r="I83" s="1118"/>
      <c r="J83" s="1119"/>
      <c r="K83" s="1118"/>
      <c r="L83" s="1118"/>
      <c r="M83" s="1118"/>
      <c r="N83" s="1118"/>
      <c r="O83" s="1118"/>
      <c r="P83" s="1118"/>
      <c r="Q83" s="1118"/>
      <c r="R83" s="1116"/>
    </row>
    <row r="84" spans="4:18" ht="15.75" customHeight="1">
      <c r="D84" s="1120">
        <v>2015</v>
      </c>
      <c r="E84" s="1115"/>
      <c r="F84" s="1115"/>
      <c r="G84" s="1116"/>
      <c r="H84" s="1115"/>
      <c r="I84" s="1115"/>
      <c r="J84" s="1116"/>
      <c r="K84" s="1115"/>
      <c r="L84" s="1115"/>
      <c r="M84" s="1115"/>
      <c r="N84" s="1115"/>
      <c r="O84" s="1115"/>
      <c r="P84" s="1115"/>
      <c r="Q84" s="1115"/>
      <c r="R84" s="1116"/>
    </row>
    <row r="85" spans="4:18" ht="16.5" customHeight="1">
      <c r="D85" s="1114" t="s">
        <v>345</v>
      </c>
      <c r="E85" s="1115"/>
      <c r="F85" s="1115"/>
      <c r="G85" s="1116"/>
      <c r="H85" s="1115"/>
      <c r="I85" s="1115"/>
      <c r="J85" s="1123"/>
      <c r="K85" s="1122"/>
      <c r="L85" s="1115"/>
      <c r="M85" s="1115"/>
      <c r="N85" s="1115"/>
      <c r="O85" s="1115"/>
      <c r="P85" s="1115"/>
      <c r="Q85" s="1115"/>
      <c r="R85" s="1123"/>
    </row>
    <row r="86" spans="4:18" ht="18.75" customHeight="1">
      <c r="D86" s="1114" t="s">
        <v>334</v>
      </c>
      <c r="E86" s="1115"/>
      <c r="F86" s="1115"/>
      <c r="G86" s="1116"/>
      <c r="H86" s="1115"/>
      <c r="I86" s="1115"/>
      <c r="J86" s="1123"/>
      <c r="K86" s="1122"/>
      <c r="L86" s="1115"/>
      <c r="M86" s="1115"/>
      <c r="N86" s="1115"/>
      <c r="O86" s="1115"/>
      <c r="P86" s="1115"/>
      <c r="Q86" s="1115"/>
      <c r="R86" s="1123"/>
    </row>
    <row r="87" spans="4:18" ht="15.75" customHeight="1">
      <c r="D87" s="1114" t="s">
        <v>335</v>
      </c>
      <c r="E87" s="1115"/>
      <c r="F87" s="1115"/>
      <c r="G87" s="1116"/>
      <c r="H87" s="1115"/>
      <c r="I87" s="1115"/>
      <c r="J87" s="1123"/>
      <c r="K87" s="1122"/>
      <c r="L87" s="1115"/>
      <c r="M87" s="1115"/>
      <c r="N87" s="1115"/>
      <c r="O87" s="1115"/>
      <c r="P87" s="1115"/>
      <c r="Q87" s="1115"/>
      <c r="R87" s="1123"/>
    </row>
    <row r="88" spans="4:18" ht="15">
      <c r="D88" s="1114" t="s">
        <v>336</v>
      </c>
      <c r="E88" s="1115"/>
      <c r="F88" s="1115"/>
      <c r="G88" s="1116"/>
      <c r="H88" s="1115"/>
      <c r="I88" s="1115"/>
      <c r="J88" s="1123"/>
      <c r="K88" s="1122"/>
      <c r="L88" s="1115"/>
      <c r="M88" s="1115"/>
      <c r="N88" s="1115"/>
      <c r="O88" s="1115"/>
      <c r="P88" s="1115"/>
      <c r="Q88" s="1115"/>
      <c r="R88" s="1123"/>
    </row>
    <row r="89" spans="4:18" ht="15.75" customHeight="1">
      <c r="D89" s="1114" t="s">
        <v>337</v>
      </c>
      <c r="E89" s="1115"/>
      <c r="F89" s="1115"/>
      <c r="G89" s="1116"/>
      <c r="H89" s="1115"/>
      <c r="I89" s="1115"/>
      <c r="J89" s="1123"/>
      <c r="K89" s="1122"/>
      <c r="L89" s="1115"/>
      <c r="M89" s="1115"/>
      <c r="N89" s="1115"/>
      <c r="O89" s="1115"/>
      <c r="P89" s="1115"/>
      <c r="Q89" s="1115"/>
      <c r="R89" s="1123"/>
    </row>
    <row r="90" spans="4:18" ht="15.75" customHeight="1">
      <c r="D90" s="1114" t="s">
        <v>338</v>
      </c>
      <c r="E90" s="1115"/>
      <c r="F90" s="1115"/>
      <c r="G90" s="1116"/>
      <c r="H90" s="1115"/>
      <c r="I90" s="1115"/>
      <c r="J90" s="1123"/>
      <c r="K90" s="1122"/>
      <c r="L90" s="1115"/>
      <c r="M90" s="1115"/>
      <c r="N90" s="1115"/>
      <c r="O90" s="1115"/>
      <c r="P90" s="1115"/>
      <c r="Q90" s="1115"/>
      <c r="R90" s="1123"/>
    </row>
    <row r="91" spans="4:18" ht="15.75" customHeight="1">
      <c r="D91" s="1114" t="s">
        <v>339</v>
      </c>
      <c r="E91" s="1115"/>
      <c r="F91" s="1115"/>
      <c r="G91" s="1116"/>
      <c r="H91" s="1115"/>
      <c r="I91" s="1115"/>
      <c r="J91" s="1123"/>
      <c r="K91" s="1122"/>
      <c r="L91" s="1115"/>
      <c r="M91" s="1115"/>
      <c r="N91" s="1115"/>
      <c r="O91" s="1115"/>
      <c r="P91" s="1115"/>
      <c r="Q91" s="1115"/>
      <c r="R91" s="1123"/>
    </row>
    <row r="92" spans="4:18" ht="15">
      <c r="D92" s="1114" t="s">
        <v>340</v>
      </c>
      <c r="E92" s="1115"/>
      <c r="F92" s="1115"/>
      <c r="G92" s="1116"/>
      <c r="H92" s="1115"/>
      <c r="I92" s="1115"/>
      <c r="J92" s="1123"/>
      <c r="K92" s="1122"/>
      <c r="L92" s="1115"/>
      <c r="M92" s="1115"/>
      <c r="N92" s="1115"/>
      <c r="O92" s="1115"/>
      <c r="P92" s="1115"/>
      <c r="Q92" s="1115"/>
      <c r="R92" s="1123"/>
    </row>
    <row r="93" spans="4:18" ht="15">
      <c r="D93" s="1114" t="s">
        <v>341</v>
      </c>
      <c r="E93" s="1115"/>
      <c r="F93" s="1115"/>
      <c r="G93" s="1116"/>
      <c r="H93" s="1115"/>
      <c r="I93" s="1115"/>
      <c r="J93" s="1123"/>
      <c r="K93" s="1122"/>
      <c r="L93" s="1115"/>
      <c r="M93" s="1115"/>
      <c r="N93" s="1115"/>
      <c r="O93" s="1115"/>
      <c r="P93" s="1115"/>
      <c r="Q93" s="1115"/>
      <c r="R93" s="1123"/>
    </row>
    <row r="94" spans="4:18" ht="16.5" customHeight="1">
      <c r="D94" s="1114" t="s">
        <v>342</v>
      </c>
      <c r="E94" s="1115"/>
      <c r="F94" s="1115"/>
      <c r="G94" s="1116"/>
      <c r="H94" s="1115"/>
      <c r="I94" s="1115"/>
      <c r="J94" s="1123"/>
      <c r="K94" s="1122"/>
      <c r="L94" s="1115"/>
      <c r="M94" s="1115"/>
      <c r="N94" s="1115"/>
      <c r="O94" s="1115"/>
      <c r="P94" s="1115"/>
      <c r="Q94" s="1115"/>
      <c r="R94" s="1123"/>
    </row>
    <row r="95" spans="4:18" ht="15">
      <c r="D95" s="1114" t="s">
        <v>343</v>
      </c>
      <c r="E95" s="1115"/>
      <c r="F95" s="1115"/>
      <c r="G95" s="1116"/>
      <c r="H95" s="1115"/>
      <c r="I95" s="1115"/>
      <c r="J95" s="1123"/>
      <c r="K95" s="1122"/>
      <c r="L95" s="1115"/>
      <c r="M95" s="1115"/>
      <c r="N95" s="1115"/>
      <c r="O95" s="1115"/>
      <c r="P95" s="1115"/>
      <c r="Q95" s="1115"/>
      <c r="R95" s="1123"/>
    </row>
    <row r="96" spans="4:18" ht="15">
      <c r="D96" s="1114" t="s">
        <v>344</v>
      </c>
      <c r="E96" s="1115"/>
      <c r="F96" s="1115"/>
      <c r="G96" s="1116"/>
      <c r="H96" s="1115"/>
      <c r="I96" s="1115"/>
      <c r="J96" s="1123"/>
      <c r="K96" s="1122"/>
      <c r="L96" s="1115"/>
      <c r="M96" s="1115"/>
      <c r="N96" s="1115"/>
      <c r="O96" s="1115"/>
      <c r="P96" s="1115"/>
      <c r="Q96" s="1115"/>
      <c r="R96" s="1123"/>
    </row>
    <row r="97" spans="4:20" ht="15">
      <c r="D97" s="1114"/>
      <c r="E97" s="1115"/>
      <c r="F97" s="1115"/>
      <c r="G97" s="1116"/>
      <c r="H97" s="1115"/>
      <c r="I97" s="1115"/>
      <c r="J97" s="1123"/>
      <c r="K97" s="1122"/>
      <c r="L97" s="1115"/>
      <c r="M97" s="1115"/>
      <c r="N97" s="1115"/>
      <c r="O97" s="1115"/>
      <c r="P97" s="1115"/>
      <c r="Q97" s="1115"/>
      <c r="R97" s="1123"/>
    </row>
    <row r="98" spans="4:20" ht="15">
      <c r="D98" s="1120">
        <v>2016</v>
      </c>
      <c r="E98" s="1115"/>
      <c r="F98" s="1115"/>
      <c r="G98" s="1116"/>
      <c r="H98" s="1115"/>
      <c r="I98" s="1115"/>
      <c r="J98" s="1123"/>
      <c r="K98" s="1122"/>
      <c r="L98" s="1115"/>
      <c r="M98" s="1115"/>
      <c r="N98" s="1115"/>
      <c r="O98" s="1115"/>
      <c r="P98" s="1115"/>
      <c r="Q98" s="1115"/>
      <c r="R98" s="1123"/>
    </row>
    <row r="99" spans="4:20" ht="20.25" customHeight="1">
      <c r="D99" s="1114" t="s">
        <v>345</v>
      </c>
      <c r="E99" s="1115"/>
      <c r="F99" s="1115"/>
      <c r="G99" s="1116"/>
      <c r="H99" s="1115"/>
      <c r="I99" s="1115"/>
      <c r="J99" s="1123"/>
      <c r="K99" s="1122"/>
      <c r="L99" s="1115"/>
      <c r="M99" s="1115"/>
      <c r="N99" s="1115"/>
      <c r="O99" s="1115"/>
      <c r="P99" s="1115"/>
      <c r="Q99" s="1115"/>
      <c r="R99" s="1123"/>
    </row>
    <row r="100" spans="4:20" ht="16.5" customHeight="1">
      <c r="D100" s="1114" t="s">
        <v>334</v>
      </c>
      <c r="E100" s="1115"/>
      <c r="F100" s="1115"/>
      <c r="G100" s="1116"/>
      <c r="H100" s="1115"/>
      <c r="I100" s="1115"/>
      <c r="J100" s="1123"/>
      <c r="K100" s="1122"/>
      <c r="L100" s="1115"/>
      <c r="M100" s="1115"/>
      <c r="N100" s="1115"/>
      <c r="O100" s="1115"/>
      <c r="P100" s="1115"/>
      <c r="Q100" s="1115"/>
      <c r="R100" s="1123"/>
    </row>
    <row r="101" spans="4:20" ht="18" customHeight="1">
      <c r="D101" s="1114" t="s">
        <v>335</v>
      </c>
      <c r="E101" s="1115"/>
      <c r="F101" s="1115"/>
      <c r="G101" s="1116"/>
      <c r="H101" s="1115"/>
      <c r="I101" s="1115"/>
      <c r="J101" s="1123"/>
      <c r="K101" s="1122"/>
      <c r="L101" s="1115"/>
      <c r="M101" s="1115"/>
      <c r="N101" s="1115"/>
      <c r="O101" s="1115"/>
      <c r="P101" s="1115"/>
      <c r="Q101" s="1115"/>
      <c r="R101" s="1123"/>
    </row>
    <row r="102" spans="4:20" ht="18.75" customHeight="1">
      <c r="D102" s="1114" t="s">
        <v>336</v>
      </c>
      <c r="E102" s="1115"/>
      <c r="F102" s="1115"/>
      <c r="G102" s="1116"/>
      <c r="H102" s="1115"/>
      <c r="I102" s="1115"/>
      <c r="J102" s="1123"/>
      <c r="K102" s="1122"/>
      <c r="L102" s="1115"/>
      <c r="M102" s="1115"/>
      <c r="N102" s="1115"/>
      <c r="O102" s="1115"/>
      <c r="P102" s="1115"/>
      <c r="Q102" s="1115"/>
      <c r="R102" s="1123"/>
    </row>
    <row r="103" spans="4:20" ht="20.25" customHeight="1">
      <c r="D103" s="1114" t="s">
        <v>337</v>
      </c>
      <c r="E103" s="1115"/>
      <c r="F103" s="1115"/>
      <c r="G103" s="1116"/>
      <c r="H103" s="1115"/>
      <c r="I103" s="1115"/>
      <c r="J103" s="1123"/>
      <c r="K103" s="1122"/>
      <c r="L103" s="1115"/>
      <c r="M103" s="1115"/>
      <c r="N103" s="1115"/>
      <c r="O103" s="1115"/>
      <c r="P103" s="1115"/>
      <c r="Q103" s="1115"/>
      <c r="R103" s="1123"/>
    </row>
    <row r="104" spans="4:20" ht="20.25" customHeight="1">
      <c r="D104" s="1114" t="s">
        <v>338</v>
      </c>
      <c r="E104" s="1115"/>
      <c r="F104" s="1115"/>
      <c r="G104" s="1116"/>
      <c r="H104" s="1115"/>
      <c r="I104" s="1115"/>
      <c r="J104" s="1123"/>
      <c r="K104" s="1122"/>
      <c r="L104" s="1115"/>
      <c r="M104" s="1115"/>
      <c r="N104" s="1115"/>
      <c r="O104" s="1115"/>
      <c r="P104" s="1115"/>
      <c r="Q104" s="1115"/>
      <c r="R104" s="1123"/>
    </row>
    <row r="105" spans="4:20" ht="20.25" customHeight="1">
      <c r="D105" s="1114" t="s">
        <v>339</v>
      </c>
      <c r="E105" s="1115"/>
      <c r="F105" s="1115"/>
      <c r="G105" s="1116"/>
      <c r="H105" s="1115"/>
      <c r="I105" s="1115"/>
      <c r="J105" s="1123"/>
      <c r="K105" s="1122"/>
      <c r="L105" s="1115"/>
      <c r="M105" s="1115"/>
      <c r="N105" s="1115"/>
      <c r="O105" s="1115"/>
      <c r="P105" s="1115"/>
      <c r="Q105" s="1115"/>
      <c r="R105" s="1123"/>
    </row>
    <row r="106" spans="4:20" ht="20.25" customHeight="1">
      <c r="D106" s="1114" t="s">
        <v>340</v>
      </c>
      <c r="E106" s="1115"/>
      <c r="F106" s="1115"/>
      <c r="G106" s="1116"/>
      <c r="H106" s="1115"/>
      <c r="I106" s="1115"/>
      <c r="J106" s="1123"/>
      <c r="K106" s="1122"/>
      <c r="L106" s="1115"/>
      <c r="M106" s="1115"/>
      <c r="N106" s="1115"/>
      <c r="O106" s="1115"/>
      <c r="P106" s="1115"/>
      <c r="Q106" s="1115"/>
      <c r="R106" s="1123"/>
    </row>
    <row r="107" spans="4:20" ht="20.25" customHeight="1">
      <c r="D107" s="1114" t="s">
        <v>341</v>
      </c>
      <c r="E107" s="1115"/>
      <c r="F107" s="1115"/>
      <c r="G107" s="1116"/>
      <c r="H107" s="1115"/>
      <c r="I107" s="1115"/>
      <c r="J107" s="1123"/>
      <c r="K107" s="1122"/>
      <c r="L107" s="1115"/>
      <c r="M107" s="1115"/>
      <c r="N107" s="1115"/>
      <c r="O107" s="1115"/>
      <c r="P107" s="1115"/>
      <c r="Q107" s="1115"/>
      <c r="R107" s="1123"/>
    </row>
    <row r="108" spans="4:20" ht="20.25" customHeight="1">
      <c r="D108" s="1114" t="s">
        <v>342</v>
      </c>
      <c r="E108" s="1115"/>
      <c r="F108" s="1115"/>
      <c r="G108" s="1116"/>
      <c r="H108" s="1115"/>
      <c r="I108" s="1115"/>
      <c r="J108" s="1125"/>
      <c r="K108" s="1124"/>
      <c r="L108" s="1115"/>
      <c r="M108" s="1115"/>
      <c r="N108" s="1115"/>
      <c r="O108" s="1115"/>
      <c r="P108" s="1115"/>
      <c r="Q108" s="1115"/>
      <c r="R108" s="1125"/>
      <c r="T108" s="1126"/>
    </row>
    <row r="109" spans="4:20" ht="20.25" customHeight="1">
      <c r="D109" s="1114" t="s">
        <v>343</v>
      </c>
      <c r="E109" s="1115"/>
      <c r="F109" s="1115"/>
      <c r="G109" s="1116"/>
      <c r="H109" s="1115"/>
      <c r="I109" s="1115"/>
      <c r="J109" s="1125"/>
      <c r="K109" s="1124"/>
      <c r="L109" s="1115"/>
      <c r="M109" s="1115"/>
      <c r="N109" s="1115"/>
      <c r="O109" s="1115"/>
      <c r="P109" s="1115"/>
      <c r="Q109" s="1115"/>
      <c r="R109" s="1125"/>
      <c r="T109" s="1126"/>
    </row>
    <row r="110" spans="4:20" ht="15.75" thickBot="1">
      <c r="D110" s="1114"/>
      <c r="E110" s="1127"/>
      <c r="F110" s="1127"/>
      <c r="G110" s="1128"/>
      <c r="H110" s="1127"/>
      <c r="I110" s="1127"/>
      <c r="J110" s="1128"/>
      <c r="K110" s="1127"/>
      <c r="L110" s="1127"/>
      <c r="M110" s="1127"/>
      <c r="N110" s="1127"/>
      <c r="O110" s="1127"/>
      <c r="P110" s="1127"/>
      <c r="Q110" s="1127"/>
      <c r="R110" s="1128"/>
      <c r="S110" s="1100"/>
    </row>
    <row r="111" spans="4:20" ht="13.5" thickTop="1">
      <c r="D111" s="1129"/>
      <c r="E111" s="1130"/>
      <c r="F111" s="1130"/>
      <c r="G111" s="1131"/>
      <c r="H111" s="1130"/>
      <c r="I111" s="1130"/>
      <c r="J111" s="1132"/>
      <c r="K111" s="1133"/>
      <c r="L111" s="1133"/>
      <c r="M111" s="1133"/>
      <c r="N111" s="1133"/>
      <c r="O111" s="1133"/>
      <c r="P111" s="1133"/>
      <c r="Q111" s="1133"/>
      <c r="R111" s="1132"/>
      <c r="S111" s="1100"/>
    </row>
    <row r="112" spans="4:20" ht="16.5">
      <c r="D112" s="963" t="s">
        <v>1360</v>
      </c>
      <c r="E112" s="926"/>
      <c r="F112" s="926"/>
    </row>
  </sheetData>
  <customSheetViews>
    <customSheetView guid="{705E0D18-9A83-42CA-8732-90923BE2EC7D}" scale="85" showPageBreaks="1" showGridLines="0" fitToPage="1" printArea="1" state="hidden" topLeftCell="C1">
      <pane xSplit="2" ySplit="12" topLeftCell="E97" activePane="bottomRight" state="frozen"/>
      <selection pane="bottomRight" activeCell="B2" sqref="B2:O2"/>
      <pageMargins left="0.09" right="0.13" top="0.6" bottom="0.53" header="0.5" footer="0.5"/>
      <pageSetup scale="49" orientation="landscape" horizontalDpi="300" verticalDpi="300" r:id="rId1"/>
      <headerFooter alignWithMargins="0"/>
    </customSheetView>
    <customSheetView guid="{D45E5F9E-4EA6-40A2-8A1D-3AC67FB8CE54}" scale="85" showPageBreaks="1" showGridLines="0" fitToPage="1" printArea="1" state="hidden" topLeftCell="C1">
      <pane xSplit="2" ySplit="12" topLeftCell="E97" activePane="bottomRight" state="frozen"/>
      <selection pane="bottomRight" activeCell="B2" sqref="B2:O2"/>
      <pageMargins left="0.09" right="0.13" top="0.6" bottom="0.53" header="0.5" footer="0.5"/>
      <pageSetup scale="49" orientation="landscape" horizontalDpi="300" verticalDpi="300" r:id="rId2"/>
      <headerFooter alignWithMargins="0"/>
    </customSheetView>
    <customSheetView guid="{89CA84C2-78F5-4B05-8F1D-B7C5F97BCB4E}" scale="85" showPageBreaks="1" showGridLines="0" fitToPage="1" printArea="1" state="hidden" topLeftCell="C1">
      <pane xSplit="2" ySplit="12" topLeftCell="E97" activePane="bottomRight" state="frozen"/>
      <selection pane="bottomRight" activeCell="B2" sqref="B2:O2"/>
      <pageMargins left="0.09" right="0.13" top="0.6" bottom="0.53" header="0.5" footer="0.5"/>
      <pageSetup scale="49" orientation="landscape" horizontalDpi="300" verticalDpi="300" r:id="rId3"/>
      <headerFooter alignWithMargins="0"/>
    </customSheetView>
  </customSheetViews>
  <mergeCells count="3">
    <mergeCell ref="D4:R4"/>
    <mergeCell ref="E7:J7"/>
    <mergeCell ref="M7:O7"/>
  </mergeCells>
  <pageMargins left="0.09" right="0.13" top="0.6" bottom="0.53" header="0.5" footer="0.5"/>
  <pageSetup scale="49" orientation="landscape" horizontalDpi="300" verticalDpi="300" r:id="rId4"/>
  <headerFooter alignWithMargins="0"/>
  <drawing r:id="rId5"/>
  <legacyDrawing r:id="rId6"/>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autoPageBreaks="0" fitToPage="1"/>
  </sheetPr>
  <dimension ref="A1:Y176"/>
  <sheetViews>
    <sheetView showGridLines="0" showOutlineSymbols="0" topLeftCell="A31" zoomScale="85" zoomScaleNormal="85" zoomScaleSheetLayoutView="100" workbookViewId="0">
      <selection activeCell="B2" sqref="B2:O2"/>
    </sheetView>
  </sheetViews>
  <sheetFormatPr defaultColWidth="8.6640625" defaultRowHeight="11.25"/>
  <cols>
    <col min="1" max="1" width="10.109375" style="614" customWidth="1"/>
    <col min="2" max="3" width="8.77734375" style="614" customWidth="1"/>
    <col min="4" max="4" width="10.77734375" style="614" customWidth="1"/>
    <col min="5" max="5" width="11" style="614" customWidth="1"/>
    <col min="6" max="6" width="13.77734375" style="614" customWidth="1"/>
    <col min="7" max="8" width="12.77734375" style="614" customWidth="1"/>
    <col min="9" max="9" width="11.109375" style="614" customWidth="1"/>
    <col min="10" max="10" width="12.21875" style="614" bestFit="1" customWidth="1"/>
    <col min="11" max="11" width="15" style="614" customWidth="1"/>
    <col min="12" max="12" width="10.21875" style="614" customWidth="1"/>
    <col min="13" max="13" width="9.77734375" style="614" bestFit="1" customWidth="1"/>
    <col min="14" max="14" width="13" style="614" bestFit="1" customWidth="1"/>
    <col min="15" max="15" width="12.6640625" style="614" bestFit="1" customWidth="1"/>
    <col min="16" max="16" width="17.44140625" style="614" bestFit="1" customWidth="1"/>
    <col min="17" max="20" width="11.44140625" style="614" customWidth="1"/>
    <col min="21" max="21" width="12.21875" style="614" customWidth="1"/>
    <col min="22" max="22" width="17.5546875" style="614" customWidth="1"/>
    <col min="23" max="23" width="12.5546875" style="1028" bestFit="1" customWidth="1"/>
    <col min="24" max="24" width="8.77734375" style="1029" bestFit="1" customWidth="1"/>
    <col min="25" max="25" width="9.21875" style="1030" bestFit="1" customWidth="1"/>
    <col min="26" max="16384" width="8.6640625" style="614"/>
  </cols>
  <sheetData>
    <row r="1" spans="1:25" ht="27" customHeight="1">
      <c r="B1" s="1893" t="s">
        <v>1725</v>
      </c>
      <c r="C1" s="1893"/>
      <c r="D1" s="1893"/>
      <c r="E1" s="1893"/>
      <c r="F1" s="1893"/>
      <c r="G1" s="1893"/>
      <c r="H1" s="1893"/>
      <c r="I1" s="1893"/>
      <c r="J1" s="1893"/>
      <c r="K1" s="1893"/>
      <c r="L1" s="1893"/>
      <c r="M1" s="1893"/>
      <c r="N1" s="1893"/>
      <c r="O1" s="1893"/>
      <c r="P1" s="1893"/>
      <c r="Q1" s="1893"/>
      <c r="R1" s="1893"/>
      <c r="S1" s="1893"/>
      <c r="T1" s="1893"/>
      <c r="U1" s="1893"/>
    </row>
    <row r="2" spans="1:25" ht="13.9" customHeight="1">
      <c r="A2" s="616"/>
      <c r="B2" s="957"/>
      <c r="C2" s="957"/>
      <c r="D2" s="957"/>
      <c r="E2" s="957"/>
      <c r="F2" s="957"/>
      <c r="G2" s="957"/>
      <c r="H2" s="957"/>
      <c r="I2" s="957"/>
      <c r="J2" s="957"/>
      <c r="K2" s="957"/>
      <c r="L2" s="957"/>
      <c r="M2" s="957"/>
      <c r="N2" s="957"/>
      <c r="O2" s="957"/>
      <c r="P2" s="957"/>
      <c r="Q2" s="957"/>
      <c r="R2" s="957"/>
      <c r="S2" s="957"/>
      <c r="T2" s="957"/>
      <c r="U2" s="957"/>
    </row>
    <row r="3" spans="1:25" ht="19.5" customHeight="1">
      <c r="A3" s="615"/>
      <c r="B3" s="1886" t="s">
        <v>1349</v>
      </c>
      <c r="C3" s="1886"/>
      <c r="D3" s="1886"/>
      <c r="E3" s="1886"/>
      <c r="F3" s="1886"/>
      <c r="G3" s="1886"/>
      <c r="H3" s="1886"/>
      <c r="I3" s="1886"/>
      <c r="J3" s="1886"/>
      <c r="K3" s="1886"/>
      <c r="L3" s="1886"/>
      <c r="M3" s="1886"/>
      <c r="N3" s="1886"/>
      <c r="O3" s="1886"/>
      <c r="P3" s="1886"/>
      <c r="Q3" s="1886"/>
      <c r="R3" s="1886"/>
      <c r="S3" s="1886"/>
      <c r="T3" s="1886"/>
      <c r="U3" s="1886"/>
    </row>
    <row r="4" spans="1:25" ht="13.9" customHeight="1" thickBot="1">
      <c r="A4" s="616"/>
      <c r="B4" s="752"/>
      <c r="C4" s="752"/>
      <c r="D4" s="752"/>
      <c r="E4" s="752"/>
      <c r="F4" s="752"/>
      <c r="G4" s="752"/>
      <c r="H4" s="752"/>
      <c r="I4" s="752"/>
      <c r="J4" s="752"/>
      <c r="K4" s="752"/>
      <c r="L4" s="752"/>
      <c r="M4" s="752"/>
      <c r="N4" s="752"/>
      <c r="O4" s="752"/>
      <c r="P4" s="752"/>
      <c r="Q4" s="752"/>
      <c r="R4" s="752"/>
      <c r="S4" s="752"/>
      <c r="T4" s="752"/>
      <c r="U4" s="752"/>
    </row>
    <row r="5" spans="1:25" ht="15" customHeight="1" thickTop="1">
      <c r="B5" s="1031"/>
      <c r="C5" s="1032"/>
      <c r="D5" s="1033"/>
      <c r="E5" s="1034"/>
      <c r="F5" s="1034"/>
      <c r="G5" s="1035"/>
      <c r="H5" s="1034"/>
      <c r="I5" s="1033"/>
      <c r="J5" s="1034"/>
      <c r="K5" s="1034"/>
      <c r="L5" s="1035"/>
      <c r="M5" s="1036"/>
      <c r="N5" s="1036"/>
      <c r="O5" s="1036"/>
      <c r="P5" s="1036"/>
      <c r="Q5" s="1036"/>
      <c r="R5" s="1036"/>
      <c r="S5" s="1036"/>
      <c r="T5" s="1036"/>
      <c r="U5" s="1036"/>
    </row>
    <row r="6" spans="1:25" ht="19.5" customHeight="1" thickBot="1">
      <c r="B6" s="1037"/>
      <c r="C6" s="1038"/>
      <c r="D6" s="1853"/>
      <c r="E6" s="1854"/>
      <c r="F6" s="1854"/>
      <c r="G6" s="1855"/>
      <c r="H6" s="1039"/>
      <c r="I6" s="1856"/>
      <c r="J6" s="1857"/>
      <c r="K6" s="1857"/>
      <c r="L6" s="1858"/>
      <c r="M6" s="1040"/>
      <c r="N6" s="1040"/>
      <c r="O6" s="1040"/>
      <c r="P6" s="1040"/>
      <c r="Q6" s="1040"/>
      <c r="R6" s="1040"/>
      <c r="S6" s="1040"/>
      <c r="T6" s="1040"/>
      <c r="U6" s="1040"/>
    </row>
    <row r="7" spans="1:25" ht="15" customHeight="1" thickTop="1" thickBot="1">
      <c r="B7" s="1041"/>
      <c r="C7" s="1041"/>
      <c r="D7" s="1040" t="s">
        <v>35</v>
      </c>
      <c r="E7" s="1040"/>
      <c r="F7" s="1040"/>
      <c r="G7" s="1040"/>
      <c r="H7" s="1042"/>
      <c r="I7" s="1890" t="s">
        <v>1694</v>
      </c>
      <c r="J7" s="1891"/>
      <c r="K7" s="1891"/>
      <c r="L7" s="1892"/>
      <c r="M7" s="1890" t="s">
        <v>1695</v>
      </c>
      <c r="N7" s="1891"/>
      <c r="O7" s="1891"/>
      <c r="P7" s="1892"/>
      <c r="Q7" s="1040" t="s">
        <v>1722</v>
      </c>
      <c r="R7" s="1040" t="s">
        <v>1696</v>
      </c>
      <c r="S7" s="1040" t="s">
        <v>1479</v>
      </c>
      <c r="T7" s="1040" t="s">
        <v>1164</v>
      </c>
      <c r="U7" s="1043" t="s">
        <v>287</v>
      </c>
    </row>
    <row r="8" spans="1:25" ht="16.5" customHeight="1" thickTop="1">
      <c r="B8" s="1040" t="s">
        <v>32</v>
      </c>
      <c r="C8" s="1040"/>
      <c r="D8" s="1040" t="s">
        <v>998</v>
      </c>
      <c r="E8" s="1040"/>
      <c r="F8" s="1040"/>
      <c r="G8" s="1040"/>
      <c r="H8" s="1040"/>
      <c r="I8" s="1044"/>
      <c r="J8" s="1045"/>
      <c r="K8" s="1045"/>
      <c r="L8" s="1045"/>
      <c r="M8" s="1040"/>
      <c r="N8" s="1040"/>
      <c r="O8" s="1040"/>
      <c r="P8" s="1040"/>
      <c r="Q8" s="1040"/>
      <c r="R8" s="1040"/>
      <c r="S8" s="1040"/>
      <c r="T8" s="1040" t="s">
        <v>1026</v>
      </c>
      <c r="U8" s="1040"/>
    </row>
    <row r="9" spans="1:25" ht="18" customHeight="1">
      <c r="B9" s="1041"/>
      <c r="C9" s="1040" t="s">
        <v>1326</v>
      </c>
      <c r="D9" s="1040" t="s">
        <v>766</v>
      </c>
      <c r="E9" s="1040" t="s">
        <v>999</v>
      </c>
      <c r="F9" s="1040" t="s">
        <v>1697</v>
      </c>
      <c r="G9" s="1040" t="s">
        <v>999</v>
      </c>
      <c r="H9" s="1040" t="s">
        <v>1698</v>
      </c>
      <c r="I9" s="1040"/>
      <c r="J9" s="1046"/>
      <c r="K9" s="1046"/>
      <c r="L9" s="1046"/>
      <c r="M9" s="1040"/>
      <c r="N9" s="1040"/>
      <c r="O9" s="1040"/>
      <c r="P9" s="1040"/>
      <c r="Q9" s="1040"/>
      <c r="R9" s="1040"/>
      <c r="S9" s="1040"/>
      <c r="T9" s="1040"/>
      <c r="U9" s="1040"/>
    </row>
    <row r="10" spans="1:25" ht="17.25" customHeight="1">
      <c r="B10" s="1041"/>
      <c r="C10" s="1040" t="s">
        <v>1351</v>
      </c>
      <c r="D10" s="1040" t="s">
        <v>1004</v>
      </c>
      <c r="E10" s="1040" t="s">
        <v>1001</v>
      </c>
      <c r="F10" s="1040" t="s">
        <v>1699</v>
      </c>
      <c r="G10" s="1040" t="s">
        <v>1001</v>
      </c>
      <c r="H10" s="1040" t="s">
        <v>1700</v>
      </c>
      <c r="I10" s="1046" t="s">
        <v>1701</v>
      </c>
      <c r="J10" s="1046" t="s">
        <v>1702</v>
      </c>
      <c r="K10" s="1040" t="s">
        <v>1141</v>
      </c>
      <c r="L10" s="1046" t="s">
        <v>1703</v>
      </c>
      <c r="M10" s="1040" t="s">
        <v>64</v>
      </c>
      <c r="N10" s="1040" t="s">
        <v>1704</v>
      </c>
      <c r="O10" s="1040" t="s">
        <v>1141</v>
      </c>
      <c r="P10" s="1046" t="s">
        <v>1705</v>
      </c>
      <c r="Q10" s="1040"/>
      <c r="R10" s="1040"/>
      <c r="S10" s="1040"/>
      <c r="T10" s="1040"/>
      <c r="U10" s="1040"/>
    </row>
    <row r="11" spans="1:25" ht="18.75" customHeight="1" thickBot="1">
      <c r="B11" s="1047"/>
      <c r="C11" s="1048" t="s">
        <v>1324</v>
      </c>
      <c r="D11" s="1049"/>
      <c r="E11" s="1049" t="s">
        <v>1005</v>
      </c>
      <c r="F11" s="1049" t="s">
        <v>1706</v>
      </c>
      <c r="G11" s="1049" t="s">
        <v>1187</v>
      </c>
      <c r="H11" s="1049" t="s">
        <v>1707</v>
      </c>
      <c r="I11" s="1049" t="s">
        <v>1163</v>
      </c>
      <c r="J11" s="1050" t="s">
        <v>1708</v>
      </c>
      <c r="K11" s="1050"/>
      <c r="L11" s="1050"/>
      <c r="M11" s="1049"/>
      <c r="N11" s="1049"/>
      <c r="O11" s="1049"/>
      <c r="P11" s="1049"/>
      <c r="Q11" s="1049"/>
      <c r="R11" s="1049"/>
      <c r="S11" s="1049"/>
      <c r="T11" s="1049"/>
      <c r="U11" s="1049"/>
    </row>
    <row r="12" spans="1:25" ht="15" customHeight="1" thickTop="1">
      <c r="B12" s="1051"/>
      <c r="C12" s="1051"/>
      <c r="D12" s="1044"/>
      <c r="E12" s="1040"/>
      <c r="F12" s="1040"/>
      <c r="G12" s="1040"/>
      <c r="H12" s="1040"/>
      <c r="I12" s="1044"/>
      <c r="J12" s="1046"/>
      <c r="K12" s="1046"/>
      <c r="L12" s="1046"/>
      <c r="M12" s="1040"/>
      <c r="N12" s="1040"/>
      <c r="O12" s="1040"/>
      <c r="P12" s="1040"/>
      <c r="Q12" s="1040"/>
      <c r="R12" s="1040"/>
      <c r="S12" s="1040"/>
      <c r="T12" s="1040"/>
      <c r="U12" s="1040"/>
      <c r="W12" s="1052" t="s">
        <v>1709</v>
      </c>
    </row>
    <row r="13" spans="1:25" ht="15" customHeight="1">
      <c r="B13" s="1053">
        <v>2015</v>
      </c>
      <c r="C13" s="1053"/>
      <c r="D13" s="1040"/>
      <c r="E13" s="1040"/>
      <c r="F13" s="1040"/>
      <c r="G13" s="1040"/>
      <c r="H13" s="1040"/>
      <c r="I13" s="1040"/>
      <c r="J13" s="1046"/>
      <c r="K13" s="1046"/>
      <c r="L13" s="1046"/>
      <c r="M13" s="1040"/>
      <c r="N13" s="1040"/>
      <c r="O13" s="1040"/>
      <c r="P13" s="1040"/>
      <c r="Q13" s="1040"/>
      <c r="R13" s="1040"/>
      <c r="S13" s="1040"/>
      <c r="T13" s="1040"/>
      <c r="U13" s="1040"/>
    </row>
    <row r="14" spans="1:25" ht="15" customHeight="1">
      <c r="B14" s="1054" t="s">
        <v>1170</v>
      </c>
      <c r="C14" s="1055">
        <f>'Table 3 Comm Assets '!C14+'Table 7 Merchant Bank Assets'!C14</f>
        <v>0.56694593000000004</v>
      </c>
      <c r="D14" s="1056">
        <f>'Table 3 Comm Assets '!D14+'Table 7 Merchant Bank Assets'!D14</f>
        <v>219.91122320999997</v>
      </c>
      <c r="E14" s="1056">
        <f>'Table 3 Comm Assets '!E14+'Table 7 Merchant Bank Assets'!E14</f>
        <v>554.35228900000004</v>
      </c>
      <c r="F14" s="1056">
        <f>'Table 3 Comm Assets '!F14+'Table 7 Merchant Bank Assets'!F14</f>
        <v>158.50712472000001</v>
      </c>
      <c r="G14" s="1057">
        <f>+'Table 3 Comm Assets '!G14+'Table 7 Merchant Bank Assets'!G14</f>
        <v>123.43245926</v>
      </c>
      <c r="H14" s="1057">
        <f>+'Table 3 Comm Assets '!H14+'Table 7 Merchant Bank Assets'!H14</f>
        <v>61.578197000000003</v>
      </c>
      <c r="I14" s="1057">
        <f>'Table 3 Comm Assets '!I14+'Table 7 Merchant Bank Assets'!I14</f>
        <v>396.69093745000004</v>
      </c>
      <c r="J14" s="1058">
        <f>'Table 3 Comm Assets '!J14+'Table 7 Merchant Bank Assets'!J14</f>
        <v>0</v>
      </c>
      <c r="K14" s="1058">
        <f>'Table 3 Comm Assets '!K14+'Table 7 Merchant Bank Assets'!K14</f>
        <v>0</v>
      </c>
      <c r="L14" s="1058">
        <f>'Table 7 Merchant Bank Assets'!L14+'Table 3 Comm Assets '!L14</f>
        <v>89.714111329999994</v>
      </c>
      <c r="M14" s="1057">
        <f>'Table 3 Comm Assets '!M14+'Table 7 Merchant Bank Assets'!M14</f>
        <v>142.21219600000001</v>
      </c>
      <c r="N14" s="1057">
        <f>'Table 3 Comm Assets '!N14+'Table 7 Merchant Bank Assets'!N14</f>
        <v>17.715889490000002</v>
      </c>
      <c r="O14" s="1057">
        <f>'Table 3 Comm Assets '!O14+'Table 7 Merchant Bank Assets'!O14</f>
        <v>97.885136000000003</v>
      </c>
      <c r="P14" s="1057">
        <f>'Table 3 Comm Assets '!R14+'Table 7 Merchant Bank Assets'!P14</f>
        <v>2707.3447738299997</v>
      </c>
      <c r="Q14" s="1057">
        <f>'Table 3 Comm Assets '!S14</f>
        <v>9.8538530000000009</v>
      </c>
      <c r="R14" s="1057">
        <f>'Table 3 Comm Assets '!T14+'Table 7 Merchant Bank Assets'!Q14</f>
        <v>538.13809413999991</v>
      </c>
      <c r="S14" s="1057">
        <f>'Table 3 Comm Assets '!U14+'Table 7 Merchant Bank Assets'!R14</f>
        <v>292.11500097000004</v>
      </c>
      <c r="T14" s="1057">
        <f>+'Table 3 Comm Assets '!V14+'Table 7 Merchant Bank Assets'!S14</f>
        <v>393.73450384000006</v>
      </c>
      <c r="U14" s="1059">
        <f>SUM(C14:T14)</f>
        <v>5803.7527351700001</v>
      </c>
      <c r="W14" s="1060">
        <f>+U14-'Table 7 Merchant Bank Assets'!T14-'Table 3 Comm Assets '!W14</f>
        <v>0</v>
      </c>
      <c r="X14" s="1061">
        <f>+W14/U14</f>
        <v>0</v>
      </c>
      <c r="Y14" s="1030">
        <f>+W14*1000000</f>
        <v>0</v>
      </c>
    </row>
    <row r="15" spans="1:25" ht="15" customHeight="1">
      <c r="B15" s="1054" t="s">
        <v>1172</v>
      </c>
      <c r="C15" s="1055">
        <f>'Table 3 Comm Assets '!C15+'Table 7 Merchant Bank Assets'!C15</f>
        <v>0.42634881000000002</v>
      </c>
      <c r="D15" s="1056">
        <f>'Table 3 Comm Assets '!D15+'Table 7 Merchant Bank Assets'!D15</f>
        <v>215.09008935</v>
      </c>
      <c r="E15" s="1056">
        <f>'Table 3 Comm Assets '!E15+'Table 7 Merchant Bank Assets'!E15</f>
        <v>524.08437830000003</v>
      </c>
      <c r="F15" s="1056">
        <f>'Table 3 Comm Assets '!F15+'Table 7 Merchant Bank Assets'!F15</f>
        <v>149.71219138999999</v>
      </c>
      <c r="G15" s="1057">
        <f>+'Table 3 Comm Assets '!G15+'Table 7 Merchant Bank Assets'!G15</f>
        <v>133.76176795000001</v>
      </c>
      <c r="H15" s="1057">
        <f>+'Table 3 Comm Assets '!H15+'Table 7 Merchant Bank Assets'!H15</f>
        <v>50.643382000000003</v>
      </c>
      <c r="I15" s="1057">
        <f>'Table 3 Comm Assets '!I15+'Table 7 Merchant Bank Assets'!I15</f>
        <v>372.88381004000001</v>
      </c>
      <c r="J15" s="1058">
        <f>'Table 3 Comm Assets '!J15+'Table 7 Merchant Bank Assets'!J15</f>
        <v>0</v>
      </c>
      <c r="K15" s="1058">
        <f>'Table 3 Comm Assets '!K15+'Table 7 Merchant Bank Assets'!K15</f>
        <v>5.342778</v>
      </c>
      <c r="L15" s="1058">
        <f>'Table 7 Merchant Bank Assets'!L15+'Table 3 Comm Assets '!L15</f>
        <v>87.626636930000004</v>
      </c>
      <c r="M15" s="1057">
        <f>'Table 3 Comm Assets '!M15+'Table 7 Merchant Bank Assets'!M15</f>
        <v>137.63123200000001</v>
      </c>
      <c r="N15" s="1057">
        <f>'Table 3 Comm Assets '!N15+'Table 7 Merchant Bank Assets'!N15</f>
        <v>17.308927740000001</v>
      </c>
      <c r="O15" s="1057">
        <f>'Table 3 Comm Assets '!O15+'Table 7 Merchant Bank Assets'!O15</f>
        <v>99.445143000000002</v>
      </c>
      <c r="P15" s="1057">
        <f>'Table 3 Comm Assets '!R15+'Table 7 Merchant Bank Assets'!P15</f>
        <v>2697.5024283500002</v>
      </c>
      <c r="Q15" s="1057">
        <f>'Table 3 Comm Assets '!S15</f>
        <v>9.7480519999999995</v>
      </c>
      <c r="R15" s="1057">
        <f>'Table 3 Comm Assets '!T15+'Table 7 Merchant Bank Assets'!Q15</f>
        <v>543.39723526</v>
      </c>
      <c r="S15" s="1057">
        <f>'Table 3 Comm Assets '!U15+'Table 7 Merchant Bank Assets'!R15</f>
        <v>271.82754019999999</v>
      </c>
      <c r="T15" s="1057">
        <f>+'Table 3 Comm Assets '!V15+'Table 7 Merchant Bank Assets'!S15</f>
        <v>380.37582245999999</v>
      </c>
      <c r="U15" s="1059">
        <f t="shared" ref="U15:U39" si="0">SUM(C15:T15)</f>
        <v>5696.8077637799997</v>
      </c>
      <c r="W15" s="1060">
        <f>+U15-'Table 7 Merchant Bank Assets'!T15-'Table 3 Comm Assets '!W15</f>
        <v>0</v>
      </c>
      <c r="X15" s="1061">
        <f t="shared" ref="X15:X39" si="1">+W15/U15</f>
        <v>0</v>
      </c>
      <c r="Y15" s="1030">
        <f t="shared" ref="Y15:Y39" si="2">+W15*1000000</f>
        <v>0</v>
      </c>
    </row>
    <row r="16" spans="1:25" ht="15" customHeight="1">
      <c r="B16" s="1054" t="s">
        <v>1173</v>
      </c>
      <c r="C16" s="1055">
        <f>'Table 3 Comm Assets '!C16+'Table 7 Merchant Bank Assets'!C16</f>
        <v>0.58156415000000006</v>
      </c>
      <c r="D16" s="1056">
        <f>'Table 3 Comm Assets '!D16+'Table 7 Merchant Bank Assets'!D16</f>
        <v>247.27436956</v>
      </c>
      <c r="E16" s="1056">
        <f>'Table 3 Comm Assets '!E16+'Table 7 Merchant Bank Assets'!E16</f>
        <v>477.83311947999999</v>
      </c>
      <c r="F16" s="1056">
        <f>'Table 3 Comm Assets '!F16+'Table 7 Merchant Bank Assets'!F16</f>
        <v>147.78598203999999</v>
      </c>
      <c r="G16" s="1057">
        <f>+'Table 3 Comm Assets '!G16+'Table 7 Merchant Bank Assets'!G16</f>
        <v>158.81235231000002</v>
      </c>
      <c r="H16" s="1057">
        <f>+'Table 3 Comm Assets '!H16+'Table 7 Merchant Bank Assets'!H16</f>
        <v>63.476548999999999</v>
      </c>
      <c r="I16" s="1057">
        <f>'Table 3 Comm Assets '!I16+'Table 7 Merchant Bank Assets'!I16</f>
        <v>377.89206773000001</v>
      </c>
      <c r="J16" s="1058">
        <f>'Table 3 Comm Assets '!J16+'Table 7 Merchant Bank Assets'!J16</f>
        <v>0</v>
      </c>
      <c r="K16" s="1058">
        <f>'Table 3 Comm Assets '!K16+'Table 7 Merchant Bank Assets'!K16</f>
        <v>5.3899169999999996</v>
      </c>
      <c r="L16" s="1058">
        <f>'Table 7 Merchant Bank Assets'!L16+'Table 3 Comm Assets '!L16</f>
        <v>83.202850670000004</v>
      </c>
      <c r="M16" s="1057">
        <f>'Table 3 Comm Assets '!M16+'Table 7 Merchant Bank Assets'!M16</f>
        <v>122.45244700000001</v>
      </c>
      <c r="N16" s="1057">
        <f>'Table 3 Comm Assets '!N16+'Table 7 Merchant Bank Assets'!N16</f>
        <v>11.617811</v>
      </c>
      <c r="O16" s="1057">
        <f>'Table 3 Comm Assets '!O16+'Table 7 Merchant Bank Assets'!O16</f>
        <v>64.426882000000006</v>
      </c>
      <c r="P16" s="1057">
        <f>'Table 3 Comm Assets '!R16+'Table 7 Merchant Bank Assets'!P16</f>
        <v>2841.9902014499999</v>
      </c>
      <c r="Q16" s="1057">
        <f>'Table 3 Comm Assets '!S16</f>
        <v>26.519293999999999</v>
      </c>
      <c r="R16" s="1057">
        <f>'Table 3 Comm Assets '!T16+'Table 7 Merchant Bank Assets'!Q16</f>
        <v>535.46589876999997</v>
      </c>
      <c r="S16" s="1057">
        <f>'Table 3 Comm Assets '!U16+'Table 7 Merchant Bank Assets'!R16</f>
        <v>301.89835056000004</v>
      </c>
      <c r="T16" s="1057">
        <f>+'Table 3 Comm Assets '!V16+'Table 7 Merchant Bank Assets'!S16</f>
        <v>385.35850649999998</v>
      </c>
      <c r="U16" s="1059">
        <f t="shared" si="0"/>
        <v>5851.9781632199993</v>
      </c>
      <c r="W16" s="1060">
        <f>+U16-'Table 7 Merchant Bank Assets'!T16-'Table 3 Comm Assets '!W16</f>
        <v>0</v>
      </c>
      <c r="X16" s="1061">
        <f t="shared" si="1"/>
        <v>0</v>
      </c>
      <c r="Y16" s="1030">
        <f t="shared" si="2"/>
        <v>0</v>
      </c>
    </row>
    <row r="17" spans="2:25" ht="15" customHeight="1">
      <c r="B17" s="1054" t="s">
        <v>1174</v>
      </c>
      <c r="C17" s="1055">
        <f>'Table 3 Comm Assets '!C17+'Table 7 Merchant Bank Assets'!C17</f>
        <v>0.72192398000000013</v>
      </c>
      <c r="D17" s="1056">
        <f>'Table 3 Comm Assets '!D17+'Table 7 Merchant Bank Assets'!D17</f>
        <v>205.77003796</v>
      </c>
      <c r="E17" s="1056">
        <f>'Table 3 Comm Assets '!E17+'Table 7 Merchant Bank Assets'!E17</f>
        <v>511.00395261</v>
      </c>
      <c r="F17" s="1056">
        <f>'Table 3 Comm Assets '!F17+'Table 7 Merchant Bank Assets'!F17</f>
        <v>158.60236703999999</v>
      </c>
      <c r="G17" s="1057">
        <f>+'Table 3 Comm Assets '!G17+'Table 7 Merchant Bank Assets'!G17</f>
        <v>193.09342905000003</v>
      </c>
      <c r="H17" s="1057">
        <f>+'Table 3 Comm Assets '!H17+'Table 7 Merchant Bank Assets'!H17</f>
        <v>25.504653999999999</v>
      </c>
      <c r="I17" s="1057">
        <f>'Table 3 Comm Assets '!I17+'Table 7 Merchant Bank Assets'!I17</f>
        <v>369.90936752000005</v>
      </c>
      <c r="J17" s="1058">
        <f>'Table 3 Comm Assets '!J17+'Table 7 Merchant Bank Assets'!J17</f>
        <v>0</v>
      </c>
      <c r="K17" s="1058">
        <f>'Table 3 Comm Assets '!K17+'Table 7 Merchant Bank Assets'!K17</f>
        <v>5.4363338399999996</v>
      </c>
      <c r="L17" s="1058">
        <f>'Table 7 Merchant Bank Assets'!L17+'Table 3 Comm Assets '!L17</f>
        <v>77.35306525</v>
      </c>
      <c r="M17" s="1057">
        <f>'Table 3 Comm Assets '!M17+'Table 7 Merchant Bank Assets'!M17</f>
        <v>128.927269</v>
      </c>
      <c r="N17" s="1057">
        <f>'Table 3 Comm Assets '!N17+'Table 7 Merchant Bank Assets'!N17</f>
        <v>16.62137697</v>
      </c>
      <c r="O17" s="1057">
        <f>'Table 3 Comm Assets '!O17+'Table 7 Merchant Bank Assets'!O17</f>
        <v>95.306522000000001</v>
      </c>
      <c r="P17" s="1057">
        <f>'Table 3 Comm Assets '!R17+'Table 7 Merchant Bank Assets'!P17</f>
        <v>2797.3784844899997</v>
      </c>
      <c r="Q17" s="1057">
        <f>'Table 3 Comm Assets '!S17</f>
        <v>57.640788000000001</v>
      </c>
      <c r="R17" s="1057">
        <f>'Table 3 Comm Assets '!T17+'Table 7 Merchant Bank Assets'!Q17</f>
        <v>527.11888409000005</v>
      </c>
      <c r="S17" s="1057">
        <f>'Table 3 Comm Assets '!U17+'Table 7 Merchant Bank Assets'!R17</f>
        <v>313.80715918999999</v>
      </c>
      <c r="T17" s="1057">
        <f>+'Table 3 Comm Assets '!V17+'Table 7 Merchant Bank Assets'!S17</f>
        <v>406.71435673000002</v>
      </c>
      <c r="U17" s="1059">
        <f t="shared" si="0"/>
        <v>5890.9099717199997</v>
      </c>
      <c r="W17" s="1060">
        <f>+U17-'Table 7 Merchant Bank Assets'!T17-'Table 3 Comm Assets '!W17</f>
        <v>0</v>
      </c>
      <c r="X17" s="1061">
        <f t="shared" si="1"/>
        <v>0</v>
      </c>
      <c r="Y17" s="1030">
        <f t="shared" si="2"/>
        <v>0</v>
      </c>
    </row>
    <row r="18" spans="2:25" ht="15" customHeight="1">
      <c r="B18" s="1054" t="s">
        <v>1165</v>
      </c>
      <c r="C18" s="1055">
        <f>'Table 3 Comm Assets '!C18+'Table 7 Merchant Bank Assets'!C18</f>
        <v>0.72361205000000006</v>
      </c>
      <c r="D18" s="1056">
        <f>'Table 3 Comm Assets '!D18+'Table 7 Merchant Bank Assets'!D18</f>
        <v>237.75113343000001</v>
      </c>
      <c r="E18" s="1056">
        <f>'Table 3 Comm Assets '!E18+'Table 7 Merchant Bank Assets'!E18</f>
        <v>513.80835565999996</v>
      </c>
      <c r="F18" s="1056">
        <f>'Table 3 Comm Assets '!F18+'Table 7 Merchant Bank Assets'!F18</f>
        <v>135.07083553000001</v>
      </c>
      <c r="G18" s="1057">
        <f>+'Table 3 Comm Assets '!G18+'Table 7 Merchant Bank Assets'!G18</f>
        <v>155.93018459999999</v>
      </c>
      <c r="H18" s="1057">
        <f>+'Table 3 Comm Assets '!H18+'Table 7 Merchant Bank Assets'!H18</f>
        <v>25.040576000000001</v>
      </c>
      <c r="I18" s="1057">
        <f>'Table 3 Comm Assets '!I18+'Table 7 Merchant Bank Assets'!I18</f>
        <v>661.14375647000008</v>
      </c>
      <c r="J18" s="1058">
        <f>'Table 3 Comm Assets '!J18+'Table 7 Merchant Bank Assets'!J18</f>
        <v>0</v>
      </c>
      <c r="K18" s="1058">
        <f>'Table 3 Comm Assets '!K18+'Table 7 Merchant Bank Assets'!K18</f>
        <v>5.4899159299999996</v>
      </c>
      <c r="L18" s="1058">
        <f>'Table 7 Merchant Bank Assets'!L18+'Table 3 Comm Assets '!L18</f>
        <v>63.068097000000002</v>
      </c>
      <c r="M18" s="1057">
        <f>'Table 3 Comm Assets '!M18+'Table 7 Merchant Bank Assets'!M18</f>
        <v>123.284716</v>
      </c>
      <c r="N18" s="1057">
        <f>'Table 3 Comm Assets '!N18+'Table 7 Merchant Bank Assets'!N18</f>
        <v>16.318673280000002</v>
      </c>
      <c r="O18" s="1057">
        <f>'Table 3 Comm Assets '!O18+'Table 7 Merchant Bank Assets'!O18</f>
        <v>96.946061999999998</v>
      </c>
      <c r="P18" s="1057">
        <f>'Table 3 Comm Assets '!R18+'Table 7 Merchant Bank Assets'!P18</f>
        <v>2805.5243096299996</v>
      </c>
      <c r="Q18" s="1057">
        <f>'Table 3 Comm Assets '!S18</f>
        <v>76.006703999999999</v>
      </c>
      <c r="R18" s="1057">
        <f>'Table 3 Comm Assets '!T18+'Table 7 Merchant Bank Assets'!Q18</f>
        <v>525.71072257000003</v>
      </c>
      <c r="S18" s="1057">
        <f>'Table 3 Comm Assets '!U18+'Table 7 Merchant Bank Assets'!R18</f>
        <v>316.30340266999997</v>
      </c>
      <c r="T18" s="1057">
        <f>+'Table 3 Comm Assets '!V18+'Table 7 Merchant Bank Assets'!S18</f>
        <v>405.46232189999989</v>
      </c>
      <c r="U18" s="1059">
        <f t="shared" si="0"/>
        <v>6163.5833787199999</v>
      </c>
      <c r="W18" s="1060">
        <f>+U18-'Table 7 Merchant Bank Assets'!T18-'Table 3 Comm Assets '!W18</f>
        <v>0</v>
      </c>
      <c r="X18" s="1061">
        <f t="shared" si="1"/>
        <v>0</v>
      </c>
      <c r="Y18" s="1030">
        <f t="shared" si="2"/>
        <v>0</v>
      </c>
    </row>
    <row r="19" spans="2:25" ht="15" customHeight="1">
      <c r="B19" s="1054" t="s">
        <v>1175</v>
      </c>
      <c r="C19" s="1055">
        <f>'Table 3 Comm Assets '!C19+'Table 7 Merchant Bank Assets'!C19</f>
        <v>0.7872711446666667</v>
      </c>
      <c r="D19" s="1056">
        <f>'Table 3 Comm Assets '!D19+'Table 7 Merchant Bank Assets'!D19</f>
        <v>245.94243386082712</v>
      </c>
      <c r="E19" s="1056">
        <f>'Table 3 Comm Assets '!E19+'Table 7 Merchant Bank Assets'!E19</f>
        <v>599.73043198170001</v>
      </c>
      <c r="F19" s="1056">
        <f>'Table 3 Comm Assets '!F19+'Table 7 Merchant Bank Assets'!F19</f>
        <v>155.12915428970001</v>
      </c>
      <c r="G19" s="1057">
        <f>+'Table 3 Comm Assets '!G19+'Table 7 Merchant Bank Assets'!G19</f>
        <v>119.51244241901129</v>
      </c>
      <c r="H19" s="1057">
        <f>+'Table 3 Comm Assets '!H19+'Table 7 Merchant Bank Assets'!H19</f>
        <v>25.153434499999999</v>
      </c>
      <c r="I19" s="1057">
        <f>'Table 3 Comm Assets '!I19+'Table 7 Merchant Bank Assets'!I19</f>
        <v>791.30769448989997</v>
      </c>
      <c r="J19" s="1058">
        <f>'Table 3 Comm Assets '!J19+'Table 7 Merchant Bank Assets'!J19</f>
        <v>0</v>
      </c>
      <c r="K19" s="1058">
        <f>'Table 3 Comm Assets '!K19+'Table 7 Merchant Bank Assets'!K19</f>
        <v>4.3797052999999995</v>
      </c>
      <c r="L19" s="1058">
        <f>'Table 7 Merchant Bank Assets'!L19+'Table 3 Comm Assets '!L19</f>
        <v>49.779743000000003</v>
      </c>
      <c r="M19" s="1057">
        <f>'Table 3 Comm Assets '!M19+'Table 7 Merchant Bank Assets'!M19</f>
        <v>112.804649</v>
      </c>
      <c r="N19" s="1057">
        <f>'Table 3 Comm Assets '!N19+'Table 7 Merchant Bank Assets'!N19</f>
        <v>15.77860678</v>
      </c>
      <c r="O19" s="1057">
        <f>'Table 3 Comm Assets '!O19+'Table 7 Merchant Bank Assets'!O19</f>
        <v>46.874259000000002</v>
      </c>
      <c r="P19" s="1057">
        <f>'Table 3 Comm Assets '!R19+'Table 7 Merchant Bank Assets'!P19</f>
        <v>2761.0301740649602</v>
      </c>
      <c r="Q19" s="1057">
        <f>'Table 3 Comm Assets '!S19</f>
        <v>74.041585799999993</v>
      </c>
      <c r="R19" s="1057">
        <f>'Table 3 Comm Assets '!T19+'Table 7 Merchant Bank Assets'!Q19</f>
        <v>498.44792678250724</v>
      </c>
      <c r="S19" s="1057">
        <f>'Table 3 Comm Assets '!U19+'Table 7 Merchant Bank Assets'!R19</f>
        <v>290.82750542167821</v>
      </c>
      <c r="T19" s="1057">
        <f>+'Table 3 Comm Assets '!V19+'Table 7 Merchant Bank Assets'!S19</f>
        <v>407.3192205499999</v>
      </c>
      <c r="U19" s="1059">
        <f t="shared" si="0"/>
        <v>6198.846238384951</v>
      </c>
      <c r="W19" s="1060">
        <f>+U19-'Table 7 Merchant Bank Assets'!T19-'Table 3 Comm Assets '!W19</f>
        <v>0</v>
      </c>
      <c r="X19" s="1061">
        <f t="shared" si="1"/>
        <v>0</v>
      </c>
      <c r="Y19" s="1030">
        <f t="shared" si="2"/>
        <v>0</v>
      </c>
    </row>
    <row r="20" spans="2:25" ht="15" customHeight="1">
      <c r="B20" s="1054" t="s">
        <v>1176</v>
      </c>
      <c r="C20" s="1055">
        <f>'Table 3 Comm Assets '!C20+'Table 7 Merchant Bank Assets'!C20</f>
        <v>0.92511275000000004</v>
      </c>
      <c r="D20" s="1056">
        <f>'Table 3 Comm Assets '!D20+'Table 7 Merchant Bank Assets'!D20</f>
        <v>226.20609511000001</v>
      </c>
      <c r="E20" s="1056">
        <f>'Table 3 Comm Assets '!E20+'Table 7 Merchant Bank Assets'!E20</f>
        <v>571.38710628000001</v>
      </c>
      <c r="F20" s="1056">
        <f>'Table 3 Comm Assets '!F20+'Table 7 Merchant Bank Assets'!F20</f>
        <v>137.28589253000001</v>
      </c>
      <c r="G20" s="1057">
        <f>+'Table 3 Comm Assets '!G20+'Table 7 Merchant Bank Assets'!G20</f>
        <v>110.05283948</v>
      </c>
      <c r="H20" s="1057">
        <f>+'Table 3 Comm Assets '!H20+'Table 7 Merchant Bank Assets'!H20</f>
        <v>25.258697999999999</v>
      </c>
      <c r="I20" s="1057">
        <f>'Table 3 Comm Assets '!I20+'Table 7 Merchant Bank Assets'!I20</f>
        <v>816.26121872999988</v>
      </c>
      <c r="J20" s="1058">
        <f>'Table 3 Comm Assets '!J20+'Table 7 Merchant Bank Assets'!J20</f>
        <v>0</v>
      </c>
      <c r="K20" s="1058">
        <f>'Table 3 Comm Assets '!K20+'Table 7 Merchant Bank Assets'!K20</f>
        <v>0</v>
      </c>
      <c r="L20" s="1058">
        <f>'Table 7 Merchant Bank Assets'!L20+'Table 3 Comm Assets '!L20</f>
        <v>45.290246000000003</v>
      </c>
      <c r="M20" s="1057">
        <f>'Table 3 Comm Assets '!M20+'Table 7 Merchant Bank Assets'!M20</f>
        <v>33.450823</v>
      </c>
      <c r="N20" s="1057">
        <f>'Table 3 Comm Assets '!N20+'Table 7 Merchant Bank Assets'!N20</f>
        <v>15.680016539999999</v>
      </c>
      <c r="O20" s="1057">
        <f>'Table 3 Comm Assets '!O20+'Table 7 Merchant Bank Assets'!O20</f>
        <v>46.510334999999998</v>
      </c>
      <c r="P20" s="1057">
        <f>'Table 3 Comm Assets '!R20+'Table 7 Merchant Bank Assets'!P20</f>
        <v>2774.7663871499999</v>
      </c>
      <c r="Q20" s="1057">
        <f>'Table 3 Comm Assets '!S20</f>
        <v>74.420865000000006</v>
      </c>
      <c r="R20" s="1057">
        <f>'Table 3 Comm Assets '!T20+'Table 7 Merchant Bank Assets'!Q20</f>
        <v>504.14914328999998</v>
      </c>
      <c r="S20" s="1057">
        <f>'Table 3 Comm Assets '!U20+'Table 7 Merchant Bank Assets'!R20</f>
        <v>307.0819176</v>
      </c>
      <c r="T20" s="1057">
        <f>+'Table 3 Comm Assets '!V20+'Table 7 Merchant Bank Assets'!S20</f>
        <v>409.79303712999996</v>
      </c>
      <c r="U20" s="1059">
        <f t="shared" si="0"/>
        <v>6098.5197335900002</v>
      </c>
      <c r="W20" s="1060">
        <f>+U20-'Table 7 Merchant Bank Assets'!T20-'Table 3 Comm Assets '!W20</f>
        <v>0</v>
      </c>
      <c r="X20" s="1061">
        <f t="shared" si="1"/>
        <v>0</v>
      </c>
      <c r="Y20" s="1030">
        <f t="shared" si="2"/>
        <v>0</v>
      </c>
    </row>
    <row r="21" spans="2:25" ht="15" customHeight="1">
      <c r="B21" s="1054" t="s">
        <v>1177</v>
      </c>
      <c r="C21" s="1055">
        <f>'Table 3 Comm Assets '!C21+'Table 7 Merchant Bank Assets'!C21</f>
        <v>0.99669406000000005</v>
      </c>
      <c r="D21" s="1056">
        <f>'Table 3 Comm Assets '!D21+'Table 7 Merchant Bank Assets'!D21</f>
        <v>234.03833085999995</v>
      </c>
      <c r="E21" s="1056">
        <f>'Table 3 Comm Assets '!E21+'Table 7 Merchant Bank Assets'!E21</f>
        <v>554.20230513000001</v>
      </c>
      <c r="F21" s="1056">
        <f>'Table 3 Comm Assets '!F21+'Table 7 Merchant Bank Assets'!F21</f>
        <v>104.32556040999999</v>
      </c>
      <c r="G21" s="1057">
        <f>+'Table 3 Comm Assets '!G21+'Table 7 Merchant Bank Assets'!G21</f>
        <v>168.71799819999998</v>
      </c>
      <c r="H21" s="1057">
        <f>+'Table 3 Comm Assets '!H21+'Table 7 Merchant Bank Assets'!H21</f>
        <v>25.946432999999999</v>
      </c>
      <c r="I21" s="1057">
        <f>'Table 3 Comm Assets '!I21+'Table 7 Merchant Bank Assets'!I21</f>
        <v>826.85222926000006</v>
      </c>
      <c r="J21" s="1058">
        <f>'Table 3 Comm Assets '!J21+'Table 7 Merchant Bank Assets'!J21</f>
        <v>0</v>
      </c>
      <c r="K21" s="1058">
        <f>'Table 3 Comm Assets '!K21+'Table 7 Merchant Bank Assets'!K21</f>
        <v>5.0845507699999999</v>
      </c>
      <c r="L21" s="1058">
        <f>'Table 7 Merchant Bank Assets'!L21+'Table 3 Comm Assets '!L21</f>
        <v>33.080532740000002</v>
      </c>
      <c r="M21" s="1057">
        <f>'Table 3 Comm Assets '!M21+'Table 7 Merchant Bank Assets'!M21</f>
        <v>28.903646999999999</v>
      </c>
      <c r="N21" s="1057">
        <f>'Table 3 Comm Assets '!N21+'Table 7 Merchant Bank Assets'!N21</f>
        <v>20.324645329999999</v>
      </c>
      <c r="O21" s="1057">
        <f>'Table 3 Comm Assets '!O21+'Table 7 Merchant Bank Assets'!O21</f>
        <v>48.045639999999999</v>
      </c>
      <c r="P21" s="1057">
        <f>'Table 3 Comm Assets '!R21+'Table 7 Merchant Bank Assets'!P21</f>
        <v>2753.4039110699996</v>
      </c>
      <c r="Q21" s="1057">
        <f>'Table 3 Comm Assets '!S21</f>
        <v>73.141198000000003</v>
      </c>
      <c r="R21" s="1057">
        <f>'Table 3 Comm Assets '!T21+'Table 7 Merchant Bank Assets'!Q21</f>
        <v>535.18379902000004</v>
      </c>
      <c r="S21" s="1057">
        <f>'Table 3 Comm Assets '!U21+'Table 7 Merchant Bank Assets'!R21</f>
        <v>298.22479311000006</v>
      </c>
      <c r="T21" s="1057">
        <f>+'Table 3 Comm Assets '!V21+'Table 7 Merchant Bank Assets'!S21</f>
        <v>418.56229203999999</v>
      </c>
      <c r="U21" s="1059">
        <f t="shared" si="0"/>
        <v>6129.0345600000001</v>
      </c>
      <c r="W21" s="1060">
        <f>+U21-'Table 7 Merchant Bank Assets'!T21-'Table 3 Comm Assets '!W21</f>
        <v>0</v>
      </c>
      <c r="X21" s="1061">
        <f t="shared" si="1"/>
        <v>0</v>
      </c>
      <c r="Y21" s="1030">
        <f t="shared" si="2"/>
        <v>0</v>
      </c>
    </row>
    <row r="22" spans="2:25" ht="15" customHeight="1">
      <c r="B22" s="1054" t="s">
        <v>1178</v>
      </c>
      <c r="C22" s="1055">
        <f>'Table 3 Comm Assets '!C22+'Table 7 Merchant Bank Assets'!C22</f>
        <v>0.98628269999999996</v>
      </c>
      <c r="D22" s="1056">
        <f>'Table 3 Comm Assets '!D22+'Table 7 Merchant Bank Assets'!D22</f>
        <v>255.32489937999998</v>
      </c>
      <c r="E22" s="1056">
        <f>'Table 3 Comm Assets '!E22+'Table 7 Merchant Bank Assets'!E22</f>
        <v>581.99215120999997</v>
      </c>
      <c r="F22" s="1056">
        <f>'Table 3 Comm Assets '!F22+'Table 7 Merchant Bank Assets'!F22</f>
        <v>114.80694443</v>
      </c>
      <c r="G22" s="1057">
        <f>+'Table 3 Comm Assets '!G22+'Table 7 Merchant Bank Assets'!G22</f>
        <v>167.64098541349279</v>
      </c>
      <c r="H22" s="1057">
        <f>+'Table 3 Comm Assets '!H22+'Table 7 Merchant Bank Assets'!H22</f>
        <v>25.253903999999999</v>
      </c>
      <c r="I22" s="1057">
        <f>'Table 3 Comm Assets '!I22+'Table 7 Merchant Bank Assets'!I22</f>
        <v>805.43310867999992</v>
      </c>
      <c r="J22" s="1058">
        <f>'Table 3 Comm Assets '!J22+'Table 7 Merchant Bank Assets'!J22</f>
        <v>0</v>
      </c>
      <c r="K22" s="1058">
        <f>'Table 3 Comm Assets '!K22+'Table 7 Merchant Bank Assets'!K22</f>
        <v>5.1258262699999992</v>
      </c>
      <c r="L22" s="1058">
        <f>'Table 7 Merchant Bank Assets'!L22+'Table 3 Comm Assets '!L22</f>
        <v>20.61860759</v>
      </c>
      <c r="M22" s="1057">
        <f>'Table 3 Comm Assets '!M22+'Table 7 Merchant Bank Assets'!M22</f>
        <v>29.14963625</v>
      </c>
      <c r="N22" s="1057">
        <f>'Table 3 Comm Assets '!N22+'Table 7 Merchant Bank Assets'!N22</f>
        <v>21.86375718</v>
      </c>
      <c r="O22" s="1057">
        <f>'Table 3 Comm Assets '!O22+'Table 7 Merchant Bank Assets'!O22</f>
        <v>45.661877310000001</v>
      </c>
      <c r="P22" s="1057">
        <f>'Table 3 Comm Assets '!R22+'Table 7 Merchant Bank Assets'!P22</f>
        <v>2845.6839804111078</v>
      </c>
      <c r="Q22" s="1057">
        <f>'Table 3 Comm Assets '!S22</f>
        <v>73.16446418000001</v>
      </c>
      <c r="R22" s="1057">
        <f>'Table 3 Comm Assets '!T22+'Table 7 Merchant Bank Assets'!Q22</f>
        <v>599.19664738999995</v>
      </c>
      <c r="S22" s="1057">
        <f>'Table 3 Comm Assets '!U22+'Table 7 Merchant Bank Assets'!R22</f>
        <v>304.37929924065133</v>
      </c>
      <c r="T22" s="1057">
        <f>+'Table 3 Comm Assets '!V22+'Table 7 Merchant Bank Assets'!S22</f>
        <v>420.26402486000001</v>
      </c>
      <c r="U22" s="1059">
        <f t="shared" si="0"/>
        <v>6316.5463964952523</v>
      </c>
      <c r="W22" s="1060">
        <f>+U22-'Table 7 Merchant Bank Assets'!T22-'Table 3 Comm Assets '!W22</f>
        <v>0</v>
      </c>
      <c r="X22" s="1061">
        <f t="shared" si="1"/>
        <v>0</v>
      </c>
      <c r="Y22" s="1030">
        <f t="shared" si="2"/>
        <v>0</v>
      </c>
    </row>
    <row r="23" spans="2:25" ht="15" customHeight="1">
      <c r="B23" s="1054" t="s">
        <v>1179</v>
      </c>
      <c r="C23" s="1055">
        <f>'Table 3 Comm Assets '!C23+'Table 7 Merchant Bank Assets'!C23</f>
        <v>0.88442494000000005</v>
      </c>
      <c r="D23" s="1056">
        <f>'Table 3 Comm Assets '!D23+'Table 7 Merchant Bank Assets'!D23</f>
        <v>215.82809497399998</v>
      </c>
      <c r="E23" s="1056">
        <f>'Table 3 Comm Assets '!E23+'Table 7 Merchant Bank Assets'!E23</f>
        <v>564.85377365169984</v>
      </c>
      <c r="F23" s="1056">
        <f>'Table 3 Comm Assets '!F23+'Table 7 Merchant Bank Assets'!F23</f>
        <v>143.67563662969999</v>
      </c>
      <c r="G23" s="1057">
        <f>+'Table 3 Comm Assets '!G23+'Table 7 Merchant Bank Assets'!G23</f>
        <v>146.43660333770003</v>
      </c>
      <c r="H23" s="1057">
        <f>+'Table 3 Comm Assets '!H23+'Table 7 Merchant Bank Assets'!H23</f>
        <v>25.040291</v>
      </c>
      <c r="I23" s="1057">
        <f>'Table 3 Comm Assets '!I23+'Table 7 Merchant Bank Assets'!I23</f>
        <v>853.69010164690019</v>
      </c>
      <c r="J23" s="1058">
        <f>'Table 3 Comm Assets '!J23+'Table 7 Merchant Bank Assets'!J23</f>
        <v>0</v>
      </c>
      <c r="K23" s="1058">
        <f>'Table 3 Comm Assets '!K23+'Table 7 Merchant Bank Assets'!K23</f>
        <v>5.1691875899999999</v>
      </c>
      <c r="L23" s="1058">
        <f>'Table 7 Merchant Bank Assets'!L23+'Table 3 Comm Assets '!L23</f>
        <v>33.931483739999997</v>
      </c>
      <c r="M23" s="1057">
        <f>'Table 3 Comm Assets '!M23+'Table 7 Merchant Bank Assets'!M23</f>
        <v>32.046033000000001</v>
      </c>
      <c r="N23" s="1057">
        <f>'Table 3 Comm Assets '!N23+'Table 7 Merchant Bank Assets'!N23</f>
        <v>21.10564089</v>
      </c>
      <c r="O23" s="1057">
        <f>'Table 3 Comm Assets '!O23+'Table 7 Merchant Bank Assets'!O23</f>
        <v>48.178766000000003</v>
      </c>
      <c r="P23" s="1057">
        <f>'Table 3 Comm Assets '!R23+'Table 7 Merchant Bank Assets'!P23</f>
        <v>2825.3939377269094</v>
      </c>
      <c r="Q23" s="1057">
        <f>'Table 3 Comm Assets '!S23</f>
        <v>74.831714000000005</v>
      </c>
      <c r="R23" s="1057">
        <f>'Table 3 Comm Assets '!T23+'Table 7 Merchant Bank Assets'!Q23</f>
        <v>599.33266299074842</v>
      </c>
      <c r="S23" s="1057">
        <f>'Table 3 Comm Assets '!U23+'Table 7 Merchant Bank Assets'!R23</f>
        <v>306.10632203540001</v>
      </c>
      <c r="T23" s="1057">
        <f>+'Table 3 Comm Assets '!V23+'Table 7 Merchant Bank Assets'!S23</f>
        <v>419.27286088</v>
      </c>
      <c r="U23" s="1059">
        <f t="shared" si="0"/>
        <v>6315.7775350330585</v>
      </c>
      <c r="W23" s="1060">
        <f>+U23-'Table 7 Merchant Bank Assets'!T23-'Table 3 Comm Assets '!W23</f>
        <v>0</v>
      </c>
      <c r="X23" s="1061">
        <f t="shared" si="1"/>
        <v>0</v>
      </c>
      <c r="Y23" s="1030">
        <f t="shared" si="2"/>
        <v>0</v>
      </c>
    </row>
    <row r="24" spans="2:25" ht="15" customHeight="1">
      <c r="B24" s="1054" t="s">
        <v>1180</v>
      </c>
      <c r="C24" s="1055">
        <f>'Table 3 Comm Assets '!C24+'Table 7 Merchant Bank Assets'!C24</f>
        <v>1.1542073199999998</v>
      </c>
      <c r="D24" s="1056">
        <f>'Table 3 Comm Assets '!D24+'Table 7 Merchant Bank Assets'!D24</f>
        <v>187.05268068230001</v>
      </c>
      <c r="E24" s="1056">
        <f>'Table 3 Comm Assets '!E24+'Table 7 Merchant Bank Assets'!E24</f>
        <v>554.74934808170008</v>
      </c>
      <c r="F24" s="1056">
        <f>'Table 3 Comm Assets '!F24+'Table 7 Merchant Bank Assets'!F24</f>
        <v>135.90030052294904</v>
      </c>
      <c r="G24" s="1057">
        <f>+'Table 3 Comm Assets '!G24+'Table 7 Merchant Bank Assets'!G24</f>
        <v>98.430936252508815</v>
      </c>
      <c r="H24" s="1057">
        <f>+'Table 3 Comm Assets '!H24+'Table 7 Merchant Bank Assets'!H24</f>
        <v>25.03896039</v>
      </c>
      <c r="I24" s="1057">
        <f>'Table 3 Comm Assets '!I24+'Table 7 Merchant Bank Assets'!I24</f>
        <v>921.59618940976304</v>
      </c>
      <c r="J24" s="1058">
        <f>'Table 3 Comm Assets '!J24+'Table 7 Merchant Bank Assets'!J24</f>
        <v>0</v>
      </c>
      <c r="K24" s="1058">
        <f>'Table 3 Comm Assets '!K24+'Table 7 Merchant Bank Assets'!K24</f>
        <v>5.2118544199999999</v>
      </c>
      <c r="L24" s="1058">
        <f>'Table 7 Merchant Bank Assets'!L24+'Table 3 Comm Assets '!L24</f>
        <v>20.401278740000002</v>
      </c>
      <c r="M24" s="1057">
        <f>'Table 3 Comm Assets '!M24+'Table 7 Merchant Bank Assets'!M24</f>
        <v>28.652607</v>
      </c>
      <c r="N24" s="1057">
        <f>'Table 3 Comm Assets '!N24+'Table 7 Merchant Bank Assets'!N24</f>
        <v>20.44583824</v>
      </c>
      <c r="O24" s="1057">
        <f>'Table 3 Comm Assets '!O24+'Table 7 Merchant Bank Assets'!O24</f>
        <v>47.292653999999999</v>
      </c>
      <c r="P24" s="1057">
        <f>'Table 3 Comm Assets '!R24+'Table 7 Merchant Bank Assets'!P24</f>
        <v>2870.4127916236816</v>
      </c>
      <c r="Q24" s="1057">
        <f>'Table 3 Comm Assets '!S24</f>
        <v>74.80697948000001</v>
      </c>
      <c r="R24" s="1057">
        <f>'Table 3 Comm Assets '!T24+'Table 7 Merchant Bank Assets'!Q24</f>
        <v>603.61777945662607</v>
      </c>
      <c r="S24" s="1057">
        <f>'Table 3 Comm Assets '!U24+'Table 7 Merchant Bank Assets'!R24</f>
        <v>317.56533528759763</v>
      </c>
      <c r="T24" s="1057">
        <f>+'Table 3 Comm Assets '!V24+'Table 7 Merchant Bank Assets'!S24</f>
        <v>414.15554956</v>
      </c>
      <c r="U24" s="1059">
        <f t="shared" si="0"/>
        <v>6326.485290467127</v>
      </c>
      <c r="W24" s="1060">
        <f>+U24-'Table 7 Merchant Bank Assets'!T24-'Table 3 Comm Assets '!W24</f>
        <v>0</v>
      </c>
      <c r="X24" s="1061">
        <f t="shared" si="1"/>
        <v>0</v>
      </c>
      <c r="Y24" s="1030">
        <f t="shared" si="2"/>
        <v>0</v>
      </c>
    </row>
    <row r="25" spans="2:25" ht="15" customHeight="1">
      <c r="B25" s="1054" t="s">
        <v>1181</v>
      </c>
      <c r="C25" s="1055">
        <f>'Table 3 Comm Assets '!C25+'Table 7 Merchant Bank Assets'!C25</f>
        <v>0.73696269999999997</v>
      </c>
      <c r="D25" s="1056">
        <f>'Table 3 Comm Assets '!D25+'Table 7 Merchant Bank Assets'!D25</f>
        <v>181.67966543230003</v>
      </c>
      <c r="E25" s="1056">
        <f>'Table 3 Comm Assets '!E25+'Table 7 Merchant Bank Assets'!E25</f>
        <v>565.26498408170005</v>
      </c>
      <c r="F25" s="1056">
        <f>'Table 3 Comm Assets '!F25+'Table 7 Merchant Bank Assets'!F25</f>
        <v>127.53988080226065</v>
      </c>
      <c r="G25" s="1057">
        <f>+'Table 3 Comm Assets '!G25+'Table 7 Merchant Bank Assets'!G25</f>
        <v>93.600894628667277</v>
      </c>
      <c r="H25" s="1057">
        <f>+'Table 3 Comm Assets '!H25+'Table 7 Merchant Bank Assets'!H25</f>
        <v>25.039524929999999</v>
      </c>
      <c r="I25" s="1057">
        <f>'Table 3 Comm Assets '!I25+'Table 7 Merchant Bank Assets'!I25</f>
        <v>1093.7264080267494</v>
      </c>
      <c r="J25" s="1058">
        <f>'Table 3 Comm Assets '!J25+'Table 7 Merchant Bank Assets'!J25</f>
        <v>0</v>
      </c>
      <c r="K25" s="1058">
        <f>'Table 3 Comm Assets '!K25+'Table 7 Merchant Bank Assets'!K25</f>
        <v>5.2118544199999999</v>
      </c>
      <c r="L25" s="1058">
        <f>'Table 7 Merchant Bank Assets'!L25+'Table 3 Comm Assets '!L25</f>
        <v>17.451385740000003</v>
      </c>
      <c r="M25" s="1057">
        <f>'Table 3 Comm Assets '!M25+'Table 7 Merchant Bank Assets'!M25</f>
        <v>25.99371</v>
      </c>
      <c r="N25" s="1057">
        <f>'Table 3 Comm Assets '!N25+'Table 7 Merchant Bank Assets'!N25</f>
        <v>15.931582429999999</v>
      </c>
      <c r="O25" s="1057">
        <f>'Table 3 Comm Assets '!O25+'Table 7 Merchant Bank Assets'!O25</f>
        <v>54.990951769999995</v>
      </c>
      <c r="P25" s="1057">
        <f>'Table 3 Comm Assets '!R25+'Table 7 Merchant Bank Assets'!P25</f>
        <v>2779.9419139880392</v>
      </c>
      <c r="Q25" s="1057">
        <f>'Table 3 Comm Assets '!S25</f>
        <v>60.962729539999998</v>
      </c>
      <c r="R25" s="1057">
        <f>'Table 3 Comm Assets '!T25+'Table 7 Merchant Bank Assets'!Q25</f>
        <v>582.00459599013891</v>
      </c>
      <c r="S25" s="1057">
        <f>'Table 3 Comm Assets '!U25+'Table 7 Merchant Bank Assets'!R25</f>
        <v>304.72552189233869</v>
      </c>
      <c r="T25" s="1057">
        <f>+'Table 3 Comm Assets '!V25+'Table 7 Merchant Bank Assets'!S25</f>
        <v>417.14009379000004</v>
      </c>
      <c r="U25" s="1059">
        <f t="shared" si="0"/>
        <v>6351.9426601621935</v>
      </c>
      <c r="W25" s="1060">
        <f>+U25-'Table 7 Merchant Bank Assets'!T25-'Table 3 Comm Assets '!W25</f>
        <v>0</v>
      </c>
      <c r="X25" s="1061">
        <f t="shared" si="1"/>
        <v>0</v>
      </c>
      <c r="Y25" s="1030">
        <f t="shared" si="2"/>
        <v>0</v>
      </c>
    </row>
    <row r="26" spans="2:25" ht="15" customHeight="1">
      <c r="B26" s="1062"/>
      <c r="C26" s="1055"/>
      <c r="D26" s="1056"/>
      <c r="E26" s="1056"/>
      <c r="F26" s="1056"/>
      <c r="G26" s="1057"/>
      <c r="H26" s="1057"/>
      <c r="I26" s="1057"/>
      <c r="J26" s="1058"/>
      <c r="K26" s="1058"/>
      <c r="L26" s="1058"/>
      <c r="M26" s="1057"/>
      <c r="N26" s="1057"/>
      <c r="O26" s="1057"/>
      <c r="P26" s="1057"/>
      <c r="Q26" s="1057"/>
      <c r="R26" s="1057"/>
      <c r="S26" s="1057"/>
      <c r="T26" s="1057"/>
      <c r="U26" s="1059"/>
      <c r="W26" s="1060"/>
      <c r="X26" s="1061"/>
    </row>
    <row r="27" spans="2:25" ht="15" customHeight="1">
      <c r="B27" s="1053">
        <v>2016</v>
      </c>
      <c r="C27" s="1055"/>
      <c r="D27" s="1056"/>
      <c r="E27" s="1056"/>
      <c r="F27" s="1056"/>
      <c r="G27" s="1057"/>
      <c r="H27" s="1057"/>
      <c r="I27" s="1057"/>
      <c r="J27" s="1058"/>
      <c r="K27" s="1058"/>
      <c r="L27" s="1058"/>
      <c r="M27" s="1057"/>
      <c r="N27" s="1057"/>
      <c r="O27" s="1057"/>
      <c r="P27" s="1057"/>
      <c r="Q27" s="1057"/>
      <c r="R27" s="1057"/>
      <c r="S27" s="1057"/>
      <c r="T27" s="1057"/>
      <c r="U27" s="1059"/>
      <c r="W27" s="1060"/>
      <c r="X27" s="1061"/>
    </row>
    <row r="28" spans="2:25" ht="15" customHeight="1">
      <c r="B28" s="1063" t="s">
        <v>345</v>
      </c>
      <c r="C28" s="1055">
        <f>'Table 3 Comm Assets '!C28+'Table 7 Merchant Bank Assets'!C28</f>
        <v>1.0474226979999999</v>
      </c>
      <c r="D28" s="1056">
        <f>'Table 3 Comm Assets '!D28+'Table 7 Merchant Bank Assets'!D28</f>
        <v>172.07971947430002</v>
      </c>
      <c r="E28" s="1056">
        <f>'Table 3 Comm Assets '!E28+'Table 7 Merchant Bank Assets'!E28</f>
        <v>669.42594157169992</v>
      </c>
      <c r="F28" s="1056">
        <f>'Table 3 Comm Assets '!F28+'Table 7 Merchant Bank Assets'!F28</f>
        <v>119.1952387597</v>
      </c>
      <c r="G28" s="1057">
        <f>+'Table 3 Comm Assets '!G28+'Table 7 Merchant Bank Assets'!G28</f>
        <v>105.6554329036237</v>
      </c>
      <c r="H28" s="1057">
        <f>+'Table 3 Comm Assets '!H28+'Table 7 Merchant Bank Assets'!H28</f>
        <v>25.038319999999999</v>
      </c>
      <c r="I28" s="1057">
        <f>'Table 3 Comm Assets '!I28+'Table 7 Merchant Bank Assets'!I28</f>
        <v>1039.5805829837357</v>
      </c>
      <c r="J28" s="1058">
        <f>'Table 3 Comm Assets '!J28+'Table 7 Merchant Bank Assets'!J28</f>
        <v>0</v>
      </c>
      <c r="K28" s="1058">
        <f>'Table 3 Comm Assets '!K28+'Table 7 Merchant Bank Assets'!K28</f>
        <v>5.22269673</v>
      </c>
      <c r="L28" s="1058">
        <f>'Table 7 Merchant Bank Assets'!L28+'Table 3 Comm Assets '!L28</f>
        <v>19.085629000000001</v>
      </c>
      <c r="M28" s="1057">
        <f>'Table 3 Comm Assets '!M28+'Table 7 Merchant Bank Assets'!M28</f>
        <v>28.5147683</v>
      </c>
      <c r="N28" s="1057">
        <f>'Table 3 Comm Assets '!N28+'Table 7 Merchant Bank Assets'!N28</f>
        <v>15.63985516</v>
      </c>
      <c r="O28" s="1057">
        <f>'Table 3 Comm Assets '!O28+'Table 7 Merchant Bank Assets'!O28</f>
        <v>62.62572815</v>
      </c>
      <c r="P28" s="1057">
        <f>'Table 3 Comm Assets '!R28+'Table 7 Merchant Bank Assets'!P28</f>
        <v>2764.6093519861183</v>
      </c>
      <c r="Q28" s="1057">
        <f>'Table 3 Comm Assets '!S28</f>
        <v>61.490157140000001</v>
      </c>
      <c r="R28" s="1057">
        <f>'Table 3 Comm Assets '!T28+'Table 7 Merchant Bank Assets'!Q28</f>
        <v>582.75130776951482</v>
      </c>
      <c r="S28" s="1057">
        <f>'Table 3 Comm Assets '!U28+'Table 7 Merchant Bank Assets'!R28</f>
        <v>288.12220137089997</v>
      </c>
      <c r="T28" s="1057">
        <f>+'Table 3 Comm Assets '!V28+'Table 7 Merchant Bank Assets'!S28</f>
        <v>416.88196337999995</v>
      </c>
      <c r="U28" s="1059">
        <f t="shared" si="0"/>
        <v>6376.9663173775925</v>
      </c>
      <c r="W28" s="1060">
        <f>+U28-'Table 7 Merchant Bank Assets'!T28-'Table 3 Comm Assets '!W28</f>
        <v>0</v>
      </c>
      <c r="X28" s="1061">
        <f t="shared" si="1"/>
        <v>0</v>
      </c>
      <c r="Y28" s="1030">
        <f t="shared" si="2"/>
        <v>0</v>
      </c>
    </row>
    <row r="29" spans="2:25" ht="15" customHeight="1">
      <c r="B29" s="1054" t="s">
        <v>334</v>
      </c>
      <c r="C29" s="1055">
        <f>'Table 3 Comm Assets '!C29+'Table 7 Merchant Bank Assets'!C29</f>
        <v>1.2093999654999998</v>
      </c>
      <c r="D29" s="1056">
        <f>'Table 3 Comm Assets '!D29+'Table 7 Merchant Bank Assets'!D29</f>
        <v>140.88433490680001</v>
      </c>
      <c r="E29" s="1056">
        <f>'Table 3 Comm Assets '!E29+'Table 7 Merchant Bank Assets'!E29</f>
        <v>703.04202114169993</v>
      </c>
      <c r="F29" s="1056">
        <f>'Table 3 Comm Assets '!F29+'Table 7 Merchant Bank Assets'!F29</f>
        <v>97.377434186830101</v>
      </c>
      <c r="G29" s="1057">
        <f>+'Table 3 Comm Assets '!G29+'Table 7 Merchant Bank Assets'!G29</f>
        <v>93.09545646205612</v>
      </c>
      <c r="H29" s="1057">
        <f>+'Table 3 Comm Assets '!H29+'Table 7 Merchant Bank Assets'!H29</f>
        <v>25.038083579999999</v>
      </c>
      <c r="I29" s="1057">
        <f>'Table 3 Comm Assets '!I29+'Table 7 Merchant Bank Assets'!I29</f>
        <v>1128.3145942099</v>
      </c>
      <c r="J29" s="1058">
        <f>'Table 3 Comm Assets '!J29+'Table 7 Merchant Bank Assets'!J29</f>
        <v>0</v>
      </c>
      <c r="K29" s="1058">
        <f>'Table 3 Comm Assets '!K29+'Table 7 Merchant Bank Assets'!K29</f>
        <v>5.1793040000000001</v>
      </c>
      <c r="L29" s="1058">
        <f>'Table 7 Merchant Bank Assets'!L29+'Table 3 Comm Assets '!L29</f>
        <v>19.007518999999998</v>
      </c>
      <c r="M29" s="1057">
        <f>'Table 3 Comm Assets '!M29+'Table 7 Merchant Bank Assets'!M29</f>
        <v>24.980537909999999</v>
      </c>
      <c r="N29" s="1057">
        <f>'Table 3 Comm Assets '!N29+'Table 7 Merchant Bank Assets'!N29</f>
        <v>15.80160382</v>
      </c>
      <c r="O29" s="1057">
        <f>'Table 3 Comm Assets '!O29+'Table 7 Merchant Bank Assets'!O29</f>
        <v>60.148714670000004</v>
      </c>
      <c r="P29" s="1057">
        <f>'Table 3 Comm Assets '!R29+'Table 7 Merchant Bank Assets'!P29</f>
        <v>2676.5980022714025</v>
      </c>
      <c r="Q29" s="1057">
        <f>'Table 3 Comm Assets '!S29</f>
        <v>62.104994620800007</v>
      </c>
      <c r="R29" s="1057">
        <f>'Table 3 Comm Assets '!T29+'Table 7 Merchant Bank Assets'!Q29</f>
        <v>477.14552052691261</v>
      </c>
      <c r="S29" s="1057">
        <f>'Table 3 Comm Assets '!U29+'Table 7 Merchant Bank Assets'!R29</f>
        <v>301.99269856985001</v>
      </c>
      <c r="T29" s="1057">
        <f>+'Table 3 Comm Assets '!V29+'Table 7 Merchant Bank Assets'!S29</f>
        <v>419.4727054</v>
      </c>
      <c r="U29" s="1059">
        <f t="shared" si="0"/>
        <v>6251.3929252417511</v>
      </c>
      <c r="W29" s="1060">
        <f>+U29-'Table 7 Merchant Bank Assets'!T29-'Table 3 Comm Assets '!W29</f>
        <v>0</v>
      </c>
      <c r="X29" s="1061">
        <f t="shared" si="1"/>
        <v>0</v>
      </c>
      <c r="Y29" s="1030">
        <f t="shared" si="2"/>
        <v>0</v>
      </c>
    </row>
    <row r="30" spans="2:25" ht="15" customHeight="1">
      <c r="B30" s="1054" t="s">
        <v>335</v>
      </c>
      <c r="C30" s="1055">
        <f>'Table 3 Comm Assets '!C30+'Table 7 Merchant Bank Assets'!C30</f>
        <v>1.3095436713999999</v>
      </c>
      <c r="D30" s="1056">
        <f>'Table 3 Comm Assets '!D30+'Table 7 Merchant Bank Assets'!D30</f>
        <v>162.02945010089996</v>
      </c>
      <c r="E30" s="1056">
        <f>'Table 3 Comm Assets '!E30+'Table 7 Merchant Bank Assets'!E30</f>
        <v>736.47485533170004</v>
      </c>
      <c r="F30" s="1056">
        <f>'Table 3 Comm Assets '!F30+'Table 7 Merchant Bank Assets'!F30</f>
        <v>96.338996566247658</v>
      </c>
      <c r="G30" s="1057">
        <f>+'Table 3 Comm Assets '!G30+'Table 7 Merchant Bank Assets'!G30</f>
        <v>131.76316613499256</v>
      </c>
      <c r="H30" s="1057">
        <f>+'Table 3 Comm Assets '!H30+'Table 7 Merchant Bank Assets'!H30</f>
        <v>25.039335000000001</v>
      </c>
      <c r="I30" s="1057">
        <f>'Table 3 Comm Assets '!I30+'Table 7 Merchant Bank Assets'!I30</f>
        <v>1143.5383949598997</v>
      </c>
      <c r="J30" s="1058">
        <f>'Table 3 Comm Assets '!J30+'Table 7 Merchant Bank Assets'!J30</f>
        <v>0</v>
      </c>
      <c r="K30" s="1058">
        <f>'Table 3 Comm Assets '!K30+'Table 7 Merchant Bank Assets'!K30</f>
        <v>5.1321250000000003</v>
      </c>
      <c r="L30" s="1058">
        <f>'Table 7 Merchant Bank Assets'!L30+'Table 3 Comm Assets '!L30</f>
        <v>16.364352</v>
      </c>
      <c r="M30" s="1057">
        <f>'Table 3 Comm Assets '!M30+'Table 7 Merchant Bank Assets'!M30</f>
        <v>22.582032229999999</v>
      </c>
      <c r="N30" s="1057">
        <f>'Table 3 Comm Assets '!N30+'Table 7 Merchant Bank Assets'!N30</f>
        <v>14.240465650000001</v>
      </c>
      <c r="O30" s="1057">
        <f>'Table 3 Comm Assets '!O30+'Table 7 Merchant Bank Assets'!O30</f>
        <v>102.93024582</v>
      </c>
      <c r="P30" s="1057">
        <f>'Table 3 Comm Assets '!R30+'Table 7 Merchant Bank Assets'!P30</f>
        <v>2680.8987973372364</v>
      </c>
      <c r="Q30" s="1057">
        <f>'Table 3 Comm Assets '!S30</f>
        <v>62.644283078199997</v>
      </c>
      <c r="R30" s="1057">
        <f>'Table 3 Comm Assets '!T30+'Table 7 Merchant Bank Assets'!Q30</f>
        <v>470.95604003922534</v>
      </c>
      <c r="S30" s="1057">
        <f>'Table 3 Comm Assets '!U30+'Table 7 Merchant Bank Assets'!R30</f>
        <v>307.26380760954999</v>
      </c>
      <c r="T30" s="1057">
        <f>+'Table 3 Comm Assets '!V30+'Table 7 Merchant Bank Assets'!S30</f>
        <v>425.20287579999996</v>
      </c>
      <c r="U30" s="1059">
        <f t="shared" si="0"/>
        <v>6404.7087663293514</v>
      </c>
      <c r="W30" s="1060">
        <f>+U30-'Table 7 Merchant Bank Assets'!T30-'Table 3 Comm Assets '!W30</f>
        <v>0</v>
      </c>
      <c r="X30" s="1061">
        <f t="shared" si="1"/>
        <v>0</v>
      </c>
      <c r="Y30" s="1030">
        <f t="shared" si="2"/>
        <v>0</v>
      </c>
    </row>
    <row r="31" spans="2:25" ht="15" customHeight="1">
      <c r="B31" s="1054" t="s">
        <v>336</v>
      </c>
      <c r="C31" s="1055">
        <f>'Table 3 Comm Assets '!C31+'Table 7 Merchant Bank Assets'!C31</f>
        <v>1.3465734500000002</v>
      </c>
      <c r="D31" s="1056">
        <f>'Table 3 Comm Assets '!D31+'Table 7 Merchant Bank Assets'!D31</f>
        <v>135.68712290000002</v>
      </c>
      <c r="E31" s="1056">
        <f>'Table 3 Comm Assets '!E31+'Table 7 Merchant Bank Assets'!E31</f>
        <v>778.94265688999997</v>
      </c>
      <c r="F31" s="1056">
        <f>'Table 3 Comm Assets '!F31+'Table 7 Merchant Bank Assets'!F31</f>
        <v>136.56741307969997</v>
      </c>
      <c r="G31" s="1057">
        <f>+'Table 3 Comm Assets '!G31+'Table 7 Merchant Bank Assets'!G31</f>
        <v>108.3178243</v>
      </c>
      <c r="H31" s="1057">
        <f>+'Table 3 Comm Assets '!H31+'Table 7 Merchant Bank Assets'!H31</f>
        <v>25.039470000000001</v>
      </c>
      <c r="I31" s="1057">
        <f>'Table 3 Comm Assets '!I31+'Table 7 Merchant Bank Assets'!I31</f>
        <v>1201.1346898699999</v>
      </c>
      <c r="J31" s="1058">
        <f>'Table 3 Comm Assets '!J31+'Table 7 Merchant Bank Assets'!J31</f>
        <v>0</v>
      </c>
      <c r="K31" s="1058">
        <f>'Table 3 Comm Assets '!K31+'Table 7 Merchant Bank Assets'!K31</f>
        <v>5.0856690000000002</v>
      </c>
      <c r="L31" s="1058">
        <f>'Table 7 Merchant Bank Assets'!L31+'Table 3 Comm Assets '!L31</f>
        <v>15.84911</v>
      </c>
      <c r="M31" s="1057">
        <f>'Table 3 Comm Assets '!M31+'Table 7 Merchant Bank Assets'!M31</f>
        <v>25.061142699999998</v>
      </c>
      <c r="N31" s="1057">
        <f>'Table 3 Comm Assets '!N31+'Table 7 Merchant Bank Assets'!N31</f>
        <v>14.96162692</v>
      </c>
      <c r="O31" s="1057">
        <f>'Table 3 Comm Assets '!O31+'Table 7 Merchant Bank Assets'!O31</f>
        <v>101.48292606999999</v>
      </c>
      <c r="P31" s="1057">
        <f>'Table 3 Comm Assets '!R31+'Table 7 Merchant Bank Assets'!P31</f>
        <v>2635.9374675399999</v>
      </c>
      <c r="Q31" s="1057">
        <f>'Table 3 Comm Assets '!S31</f>
        <v>69.573761210000015</v>
      </c>
      <c r="R31" s="1057">
        <f>'Table 3 Comm Assets '!T31+'Table 7 Merchant Bank Assets'!Q31</f>
        <v>413.71047123</v>
      </c>
      <c r="S31" s="1057">
        <f>'Table 3 Comm Assets '!U31+'Table 7 Merchant Bank Assets'!R31</f>
        <v>319.10685996000001</v>
      </c>
      <c r="T31" s="1057">
        <f>+'Table 3 Comm Assets '!V31+'Table 7 Merchant Bank Assets'!S31</f>
        <v>424.63218594000006</v>
      </c>
      <c r="U31" s="1059">
        <f t="shared" si="0"/>
        <v>6412.4369710597002</v>
      </c>
      <c r="W31" s="1060">
        <f>+U31-'Table 7 Merchant Bank Assets'!T31-'Table 3 Comm Assets '!W31</f>
        <v>0</v>
      </c>
      <c r="X31" s="1061">
        <f t="shared" si="1"/>
        <v>0</v>
      </c>
      <c r="Y31" s="1030">
        <f t="shared" si="2"/>
        <v>0</v>
      </c>
    </row>
    <row r="32" spans="2:25" ht="15" customHeight="1">
      <c r="B32" s="1054" t="s">
        <v>337</v>
      </c>
      <c r="C32" s="1055">
        <f>'Table 3 Comm Assets '!C32+'Table 7 Merchant Bank Assets'!C32</f>
        <v>1.3764242169999998</v>
      </c>
      <c r="D32" s="1056">
        <f>'Table 3 Comm Assets '!D32+'Table 7 Merchant Bank Assets'!D32</f>
        <v>89.672718263000007</v>
      </c>
      <c r="E32" s="1056">
        <f>'Table 3 Comm Assets '!E32+'Table 7 Merchant Bank Assets'!E32</f>
        <v>892.31133929999987</v>
      </c>
      <c r="F32" s="1056">
        <f>'Table 3 Comm Assets '!F32+'Table 7 Merchant Bank Assets'!F32</f>
        <v>131.71808079780769</v>
      </c>
      <c r="G32" s="1057">
        <f>+'Table 3 Comm Assets '!G32+'Table 7 Merchant Bank Assets'!G32</f>
        <v>85.348474038037196</v>
      </c>
      <c r="H32" s="1057">
        <f>+'Table 3 Comm Assets '!H32+'Table 7 Merchant Bank Assets'!H32</f>
        <v>25.039100000000001</v>
      </c>
      <c r="I32" s="1057">
        <f>'Table 3 Comm Assets '!I32+'Table 7 Merchant Bank Assets'!I32</f>
        <v>1229.6740331999999</v>
      </c>
      <c r="J32" s="1058">
        <f>'Table 3 Comm Assets '!J32+'Table 7 Merchant Bank Assets'!J32</f>
        <v>0</v>
      </c>
      <c r="K32" s="1058">
        <f>'Table 3 Comm Assets '!K32+'Table 7 Merchant Bank Assets'!K32</f>
        <v>5.0368170000000001</v>
      </c>
      <c r="L32" s="1058">
        <f>'Table 7 Merchant Bank Assets'!L32+'Table 3 Comm Assets '!L32</f>
        <v>16.628885</v>
      </c>
      <c r="M32" s="1057">
        <f>'Table 3 Comm Assets '!M32+'Table 7 Merchant Bank Assets'!M32</f>
        <v>12.2877557</v>
      </c>
      <c r="N32" s="1057">
        <f>'Table 3 Comm Assets '!N32+'Table 7 Merchant Bank Assets'!N32</f>
        <v>14.74906818</v>
      </c>
      <c r="O32" s="1057">
        <f>'Table 3 Comm Assets '!O32+'Table 7 Merchant Bank Assets'!O32</f>
        <v>100.05150286999999</v>
      </c>
      <c r="P32" s="1057">
        <f>'Table 3 Comm Assets '!R32+'Table 7 Merchant Bank Assets'!P32</f>
        <v>2596.862109727082</v>
      </c>
      <c r="Q32" s="1057">
        <f>'Table 3 Comm Assets '!S32</f>
        <v>64.035365380000002</v>
      </c>
      <c r="R32" s="1057">
        <f>'Table 3 Comm Assets '!T32+'Table 7 Merchant Bank Assets'!Q32</f>
        <v>397.00229246806668</v>
      </c>
      <c r="S32" s="1057">
        <f>'Table 3 Comm Assets '!U32+'Table 7 Merchant Bank Assets'!R32</f>
        <v>311.51748139944999</v>
      </c>
      <c r="T32" s="1057">
        <f>+'Table 3 Comm Assets '!V32+'Table 7 Merchant Bank Assets'!S32</f>
        <v>433.6148949900001</v>
      </c>
      <c r="U32" s="1059">
        <f t="shared" si="0"/>
        <v>6406.9263425304443</v>
      </c>
      <c r="W32" s="1060">
        <f>+U32-'Table 7 Merchant Bank Assets'!T32-'Table 3 Comm Assets '!W32</f>
        <v>0</v>
      </c>
      <c r="X32" s="1061">
        <f t="shared" si="1"/>
        <v>0</v>
      </c>
      <c r="Y32" s="1030">
        <f t="shared" si="2"/>
        <v>0</v>
      </c>
    </row>
    <row r="33" spans="2:25" ht="15" customHeight="1">
      <c r="B33" s="1054" t="s">
        <v>338</v>
      </c>
      <c r="C33" s="1055">
        <f>'Table 3 Comm Assets '!C33+'Table 7 Merchant Bank Assets'!C33</f>
        <v>1.41963857</v>
      </c>
      <c r="D33" s="1056">
        <f>'Table 3 Comm Assets '!D33+'Table 7 Merchant Bank Assets'!D33</f>
        <v>108.63598116230001</v>
      </c>
      <c r="E33" s="1056">
        <f>'Table 3 Comm Assets '!E33+'Table 7 Merchant Bank Assets'!E33</f>
        <v>935.29355102952889</v>
      </c>
      <c r="F33" s="1056">
        <f>'Table 3 Comm Assets '!F33+'Table 7 Merchant Bank Assets'!F33</f>
        <v>85.846854086479411</v>
      </c>
      <c r="G33" s="1057">
        <f>+'Table 3 Comm Assets '!G33+'Table 7 Merchant Bank Assets'!G33</f>
        <v>123.24197345918617</v>
      </c>
      <c r="H33" s="1057">
        <f>+'Table 3 Comm Assets '!H33+'Table 7 Merchant Bank Assets'!H33</f>
        <v>25.037852000000001</v>
      </c>
      <c r="I33" s="1057">
        <f>'Table 3 Comm Assets '!I33+'Table 7 Merchant Bank Assets'!I33</f>
        <v>1279.2127136798999</v>
      </c>
      <c r="J33" s="1058">
        <f>'Table 3 Comm Assets '!J33+'Table 7 Merchant Bank Assets'!J33</f>
        <v>0</v>
      </c>
      <c r="K33" s="1058">
        <f>'Table 3 Comm Assets '!K33+'Table 7 Merchant Bank Assets'!K33</f>
        <v>0</v>
      </c>
      <c r="L33" s="1058">
        <f>'Table 7 Merchant Bank Assets'!L33+'Table 3 Comm Assets '!L33</f>
        <v>16.419430429999998</v>
      </c>
      <c r="M33" s="1057">
        <f>'Table 3 Comm Assets '!M33+'Table 7 Merchant Bank Assets'!M33</f>
        <v>28.07940821</v>
      </c>
      <c r="N33" s="1057">
        <f>'Table 3 Comm Assets '!N33+'Table 7 Merchant Bank Assets'!N33</f>
        <v>14.57283739</v>
      </c>
      <c r="O33" s="1057">
        <f>'Table 3 Comm Assets '!O33+'Table 7 Merchant Bank Assets'!O33</f>
        <v>97.861232520000016</v>
      </c>
      <c r="P33" s="1057">
        <f>'Table 3 Comm Assets '!R33+'Table 7 Merchant Bank Assets'!P33</f>
        <v>2586.3521495409859</v>
      </c>
      <c r="Q33" s="1057">
        <f>'Table 3 Comm Assets '!S33</f>
        <v>64.125496689999991</v>
      </c>
      <c r="R33" s="1057">
        <f>'Table 3 Comm Assets '!T33+'Table 7 Merchant Bank Assets'!Q33</f>
        <v>407.69533586455083</v>
      </c>
      <c r="S33" s="1057">
        <f>'Table 3 Comm Assets '!U33+'Table 7 Merchant Bank Assets'!R33</f>
        <v>308.2771548913156</v>
      </c>
      <c r="T33" s="1057">
        <f>+'Table 3 Comm Assets '!V33+'Table 7 Merchant Bank Assets'!S33</f>
        <v>451.42571439</v>
      </c>
      <c r="U33" s="1059">
        <f t="shared" si="0"/>
        <v>6533.4973239142464</v>
      </c>
      <c r="W33" s="1060">
        <f>+U33-'Table 7 Merchant Bank Assets'!T33-'Table 3 Comm Assets '!W33</f>
        <v>0</v>
      </c>
      <c r="X33" s="1061">
        <f t="shared" si="1"/>
        <v>0</v>
      </c>
      <c r="Y33" s="1030">
        <f t="shared" si="2"/>
        <v>0</v>
      </c>
    </row>
    <row r="34" spans="2:25" ht="15" customHeight="1">
      <c r="B34" s="1054" t="s">
        <v>339</v>
      </c>
      <c r="C34" s="1055">
        <f>'Table 3 Comm Assets '!C34+'Table 7 Merchant Bank Assets'!C34</f>
        <v>1.4518472400000002</v>
      </c>
      <c r="D34" s="1056">
        <f>'Table 3 Comm Assets '!D34+'Table 7 Merchant Bank Assets'!D34</f>
        <v>101.8030380023</v>
      </c>
      <c r="E34" s="1056">
        <f>'Table 3 Comm Assets '!E34+'Table 7 Merchant Bank Assets'!E34</f>
        <v>979.45099194170007</v>
      </c>
      <c r="F34" s="1056">
        <f>'Table 3 Comm Assets '!F34+'Table 7 Merchant Bank Assets'!F34</f>
        <v>80.099246059699993</v>
      </c>
      <c r="G34" s="1057">
        <f>+'Table 3 Comm Assets '!G34+'Table 7 Merchant Bank Assets'!G34</f>
        <v>141.29329859561048</v>
      </c>
      <c r="H34" s="1057">
        <f>+'Table 3 Comm Assets '!H34+'Table 7 Merchant Bank Assets'!H34</f>
        <v>25.037567199999998</v>
      </c>
      <c r="I34" s="1057">
        <f>'Table 3 Comm Assets '!I34+'Table 7 Merchant Bank Assets'!I34</f>
        <v>1317.0564531399</v>
      </c>
      <c r="J34" s="1058">
        <f>'Table 3 Comm Assets '!J34+'Table 7 Merchant Bank Assets'!J34</f>
        <v>0</v>
      </c>
      <c r="K34" s="1058">
        <f>'Table 3 Comm Assets '!K34+'Table 7 Merchant Bank Assets'!K34</f>
        <v>0</v>
      </c>
      <c r="L34" s="1058">
        <f>'Table 7 Merchant Bank Assets'!L34+'Table 3 Comm Assets '!L34</f>
        <v>16.21002</v>
      </c>
      <c r="M34" s="1057">
        <f>'Table 3 Comm Assets '!M34+'Table 7 Merchant Bank Assets'!M34</f>
        <v>26.560466640000001</v>
      </c>
      <c r="N34" s="1057">
        <f>'Table 3 Comm Assets '!N34+'Table 7 Merchant Bank Assets'!N34</f>
        <v>15.37217223</v>
      </c>
      <c r="O34" s="1057">
        <f>'Table 3 Comm Assets '!O34+'Table 7 Merchant Bank Assets'!O34</f>
        <v>99.711673709999999</v>
      </c>
      <c r="P34" s="1057">
        <f>'Table 3 Comm Assets '!R34+'Table 7 Merchant Bank Assets'!P34</f>
        <v>2478.103942268473</v>
      </c>
      <c r="Q34" s="1057">
        <f>'Table 3 Comm Assets '!S34</f>
        <v>65.716627639999999</v>
      </c>
      <c r="R34" s="1057">
        <f>'Table 3 Comm Assets '!T34+'Table 7 Merchant Bank Assets'!Q34</f>
        <v>393.12728124983909</v>
      </c>
      <c r="S34" s="1057">
        <f>'Table 3 Comm Assets '!U34+'Table 7 Merchant Bank Assets'!R34</f>
        <v>293.22179912213915</v>
      </c>
      <c r="T34" s="1057">
        <f>+'Table 3 Comm Assets '!V34+'Table 7 Merchant Bank Assets'!S34</f>
        <v>460.52330293</v>
      </c>
      <c r="U34" s="1059">
        <f t="shared" si="0"/>
        <v>6494.7397279696615</v>
      </c>
      <c r="W34" s="1060">
        <f>+U34-'Table 7 Merchant Bank Assets'!T34-'Table 3 Comm Assets '!W34</f>
        <v>0</v>
      </c>
      <c r="X34" s="1061">
        <f t="shared" si="1"/>
        <v>0</v>
      </c>
      <c r="Y34" s="1030">
        <f t="shared" si="2"/>
        <v>0</v>
      </c>
    </row>
    <row r="35" spans="2:25" ht="15" customHeight="1">
      <c r="B35" s="1054" t="s">
        <v>340</v>
      </c>
      <c r="C35" s="1055">
        <f>'Table 3 Comm Assets '!C35+'Table 7 Merchant Bank Assets'!C35</f>
        <v>1.3552565400000001</v>
      </c>
      <c r="D35" s="1056">
        <f>'Table 3 Comm Assets '!D35+'Table 7 Merchant Bank Assets'!D35</f>
        <v>140.30966554</v>
      </c>
      <c r="E35" s="1056">
        <f>'Table 3 Comm Assets '!E35+'Table 7 Merchant Bank Assets'!E35</f>
        <v>1076.2121287</v>
      </c>
      <c r="F35" s="1056">
        <f>'Table 3 Comm Assets '!F35+'Table 7 Merchant Bank Assets'!F35</f>
        <v>98.131985609999987</v>
      </c>
      <c r="G35" s="1057">
        <f>+'Table 3 Comm Assets '!G35+'Table 7 Merchant Bank Assets'!G35</f>
        <v>131.88015039000001</v>
      </c>
      <c r="H35" s="1057">
        <f>+'Table 3 Comm Assets '!H35+'Table 7 Merchant Bank Assets'!H35</f>
        <v>25.024455</v>
      </c>
      <c r="I35" s="1057">
        <f>'Table 3 Comm Assets '!I35+'Table 7 Merchant Bank Assets'!I35</f>
        <v>1297.63502094</v>
      </c>
      <c r="J35" s="1058">
        <f>'Table 3 Comm Assets '!J35+'Table 7 Merchant Bank Assets'!J35</f>
        <v>0</v>
      </c>
      <c r="K35" s="1058">
        <f>'Table 3 Comm Assets '!K35+'Table 7 Merchant Bank Assets'!K35</f>
        <v>0</v>
      </c>
      <c r="L35" s="1058">
        <f>'Table 7 Merchant Bank Assets'!L35+'Table 3 Comm Assets '!L35</f>
        <v>11.316049</v>
      </c>
      <c r="M35" s="1057">
        <f>'Table 3 Comm Assets '!M35+'Table 7 Merchant Bank Assets'!M35</f>
        <v>22.894730249999999</v>
      </c>
      <c r="N35" s="1057">
        <f>'Table 3 Comm Assets '!N35+'Table 7 Merchant Bank Assets'!N35</f>
        <v>15.37266574</v>
      </c>
      <c r="O35" s="1057">
        <f>'Table 3 Comm Assets '!O35+'Table 7 Merchant Bank Assets'!O35</f>
        <v>99.545599449999983</v>
      </c>
      <c r="P35" s="1057">
        <f>'Table 3 Comm Assets '!R35+'Table 7 Merchant Bank Assets'!P35</f>
        <v>2478.3935681100002</v>
      </c>
      <c r="Q35" s="1057">
        <f>'Table 3 Comm Assets '!S35</f>
        <v>67.255912540000011</v>
      </c>
      <c r="R35" s="1057">
        <f>'Table 3 Comm Assets '!T35+'Table 7 Merchant Bank Assets'!Q35</f>
        <v>390.15579482999999</v>
      </c>
      <c r="S35" s="1057">
        <f>'Table 3 Comm Assets '!U35+'Table 7 Merchant Bank Assets'!R35</f>
        <v>322.87856561000001</v>
      </c>
      <c r="T35" s="1057">
        <f>+'Table 3 Comm Assets '!V35+'Table 7 Merchant Bank Assets'!S35</f>
        <v>467.04410825000002</v>
      </c>
      <c r="U35" s="1059">
        <f t="shared" si="0"/>
        <v>6645.4056565000001</v>
      </c>
      <c r="W35" s="1060">
        <f>+U35-'Table 7 Merchant Bank Assets'!T35-'Table 3 Comm Assets '!W35</f>
        <v>0</v>
      </c>
      <c r="X35" s="1061">
        <f t="shared" si="1"/>
        <v>0</v>
      </c>
      <c r="Y35" s="1030">
        <f t="shared" si="2"/>
        <v>0</v>
      </c>
    </row>
    <row r="36" spans="2:25" ht="15" customHeight="1">
      <c r="B36" s="1054" t="s">
        <v>341</v>
      </c>
      <c r="C36" s="1055">
        <f>'Table 3 Comm Assets '!C36+'Table 7 Merchant Bank Assets'!C36</f>
        <v>1.3976632499999999</v>
      </c>
      <c r="D36" s="1056">
        <f>'Table 3 Comm Assets '!D36+'Table 7 Merchant Bank Assets'!D36</f>
        <v>91.681128512299992</v>
      </c>
      <c r="E36" s="1056">
        <f>'Table 3 Comm Assets '!E36+'Table 7 Merchant Bank Assets'!E36</f>
        <v>1124.3848913717</v>
      </c>
      <c r="F36" s="1056">
        <f>'Table 3 Comm Assets '!F36+'Table 7 Merchant Bank Assets'!F36</f>
        <v>144.51462657969998</v>
      </c>
      <c r="G36" s="1057">
        <f>+'Table 3 Comm Assets '!G36+'Table 7 Merchant Bank Assets'!G36</f>
        <v>169.62410750769999</v>
      </c>
      <c r="H36" s="1057">
        <f>+'Table 3 Comm Assets '!H36+'Table 7 Merchant Bank Assets'!H36</f>
        <v>25.011838000000001</v>
      </c>
      <c r="I36" s="1057">
        <f>'Table 3 Comm Assets '!I36+'Table 7 Merchant Bank Assets'!I36</f>
        <v>1332.0685749998997</v>
      </c>
      <c r="J36" s="1058">
        <f>'Table 3 Comm Assets '!J36+'Table 7 Merchant Bank Assets'!J36</f>
        <v>0</v>
      </c>
      <c r="K36" s="1058">
        <f>'Table 3 Comm Assets '!K36+'Table 7 Merchant Bank Assets'!K36</f>
        <v>5.404064</v>
      </c>
      <c r="L36" s="1058">
        <f>'Table 7 Merchant Bank Assets'!L36+'Table 3 Comm Assets '!L36</f>
        <v>3.2428180000000002</v>
      </c>
      <c r="M36" s="1057">
        <f>'Table 3 Comm Assets '!M36+'Table 7 Merchant Bank Assets'!M36</f>
        <v>27.279846579999997</v>
      </c>
      <c r="N36" s="1057">
        <f>'Table 3 Comm Assets '!N36+'Table 7 Merchant Bank Assets'!N36</f>
        <v>14.544005609999999</v>
      </c>
      <c r="O36" s="1057">
        <f>'Table 3 Comm Assets '!O36+'Table 7 Merchant Bank Assets'!O36</f>
        <v>87.295904739999997</v>
      </c>
      <c r="P36" s="1057">
        <f>'Table 3 Comm Assets '!R36+'Table 7 Merchant Bank Assets'!P36</f>
        <v>2515.8555336200002</v>
      </c>
      <c r="Q36" s="1057">
        <f>'Table 3 Comm Assets '!S36</f>
        <v>71.390368540000011</v>
      </c>
      <c r="R36" s="1057">
        <f>'Table 3 Comm Assets '!T36+'Table 7 Merchant Bank Assets'!Q36</f>
        <v>382.31225025825972</v>
      </c>
      <c r="S36" s="1057">
        <f>'Table 3 Comm Assets '!U36+'Table 7 Merchant Bank Assets'!R36</f>
        <v>326.69312751610005</v>
      </c>
      <c r="T36" s="1057">
        <f>+'Table 3 Comm Assets '!V36+'Table 7 Merchant Bank Assets'!S36</f>
        <v>475.44607084000006</v>
      </c>
      <c r="U36" s="1059">
        <f t="shared" si="0"/>
        <v>6798.1468199256597</v>
      </c>
      <c r="W36" s="1060">
        <f>+U36-'Table 7 Merchant Bank Assets'!T36-'Table 3 Comm Assets '!W36</f>
        <v>0</v>
      </c>
      <c r="X36" s="1061">
        <f t="shared" si="1"/>
        <v>0</v>
      </c>
      <c r="Y36" s="1030">
        <f t="shared" si="2"/>
        <v>0</v>
      </c>
    </row>
    <row r="37" spans="2:25" ht="15" customHeight="1">
      <c r="B37" s="1054" t="s">
        <v>342</v>
      </c>
      <c r="C37" s="1055">
        <f>'Table 3 Comm Assets '!C37+'Table 7 Merchant Bank Assets'!C37</f>
        <v>1.27459229</v>
      </c>
      <c r="D37" s="1056">
        <f>'Table 3 Comm Assets '!D37+'Table 7 Merchant Bank Assets'!D37</f>
        <v>81.088747470000001</v>
      </c>
      <c r="E37" s="1056">
        <f>'Table 3 Comm Assets '!E37+'Table 7 Merchant Bank Assets'!E37</f>
        <v>1091.5549960599999</v>
      </c>
      <c r="F37" s="1056">
        <f>'Table 3 Comm Assets '!F37+'Table 7 Merchant Bank Assets'!F37</f>
        <v>130.80280128999999</v>
      </c>
      <c r="G37" s="1057">
        <f>+'Table 3 Comm Assets '!G37+'Table 7 Merchant Bank Assets'!G37</f>
        <v>155.11004245999999</v>
      </c>
      <c r="H37" s="1057">
        <f>+'Table 3 Comm Assets '!H37+'Table 7 Merchant Bank Assets'!H37</f>
        <v>27.022425999999999</v>
      </c>
      <c r="I37" s="1057">
        <f>'Table 3 Comm Assets '!I37+'Table 7 Merchant Bank Assets'!I37</f>
        <v>1376.3940644699999</v>
      </c>
      <c r="J37" s="1058">
        <f>'Table 3 Comm Assets '!J37+'Table 7 Merchant Bank Assets'!J37</f>
        <v>0</v>
      </c>
      <c r="K37" s="1058">
        <f>'Table 3 Comm Assets '!K37+'Table 7 Merchant Bank Assets'!K37</f>
        <v>15.445392</v>
      </c>
      <c r="L37" s="1058">
        <f>'Table 7 Merchant Bank Assets'!L37+'Table 3 Comm Assets '!L37</f>
        <v>3.892115</v>
      </c>
      <c r="M37" s="1057">
        <f>'Table 3 Comm Assets '!M37+'Table 7 Merchant Bank Assets'!M37</f>
        <v>28.736145</v>
      </c>
      <c r="N37" s="1057">
        <f>'Table 3 Comm Assets '!N37+'Table 7 Merchant Bank Assets'!N37</f>
        <v>15.457660779999999</v>
      </c>
      <c r="O37" s="1057">
        <f>'Table 3 Comm Assets '!O37+'Table 7 Merchant Bank Assets'!O37</f>
        <v>87.08869614999999</v>
      </c>
      <c r="P37" s="1057">
        <f>'Table 3 Comm Assets '!R37+'Table 7 Merchant Bank Assets'!P37</f>
        <v>2536.63913112</v>
      </c>
      <c r="Q37" s="1057">
        <f>'Table 3 Comm Assets '!S37</f>
        <v>66.005315039999999</v>
      </c>
      <c r="R37" s="1057">
        <f>'Table 3 Comm Assets '!T37+'Table 7 Merchant Bank Assets'!Q37</f>
        <v>397.17807607999998</v>
      </c>
      <c r="S37" s="1057">
        <f>'Table 3 Comm Assets '!U37+'Table 7 Merchant Bank Assets'!R37</f>
        <v>302.63346544000001</v>
      </c>
      <c r="T37" s="1057">
        <f>+'Table 3 Comm Assets '!V37+'Table 7 Merchant Bank Assets'!S37</f>
        <v>477.78888710999996</v>
      </c>
      <c r="U37" s="1059">
        <f t="shared" si="0"/>
        <v>6794.1125537599992</v>
      </c>
      <c r="W37" s="1060">
        <f>+U37-'Table 7 Merchant Bank Assets'!T37-'Table 3 Comm Assets '!W37</f>
        <v>0</v>
      </c>
      <c r="X37" s="1061">
        <f t="shared" si="1"/>
        <v>0</v>
      </c>
      <c r="Y37" s="1030">
        <f t="shared" si="2"/>
        <v>0</v>
      </c>
    </row>
    <row r="38" spans="2:25" ht="15" customHeight="1">
      <c r="B38" s="1054" t="s">
        <v>343</v>
      </c>
      <c r="C38" s="1055">
        <f>'Table 3 Comm Assets '!C38+'Table 7 Merchant Bank Assets'!C38</f>
        <v>4.2362066600000006</v>
      </c>
      <c r="D38" s="1056">
        <f>'Table 3 Comm Assets '!D38+'Table 7 Merchant Bank Assets'!D38</f>
        <v>69.448281289999997</v>
      </c>
      <c r="E38" s="1056">
        <f>'Table 3 Comm Assets '!E38+'Table 7 Merchant Bank Assets'!E38</f>
        <v>1243.8390628799998</v>
      </c>
      <c r="F38" s="1056">
        <f>'Table 3 Comm Assets '!F38+'Table 7 Merchant Bank Assets'!F38</f>
        <v>103.81995594612695</v>
      </c>
      <c r="G38" s="1057">
        <f>+'Table 3 Comm Assets '!G38+'Table 7 Merchant Bank Assets'!G38</f>
        <v>136.33147457387304</v>
      </c>
      <c r="H38" s="1057">
        <f>+'Table 3 Comm Assets '!H38+'Table 7 Merchant Bank Assets'!H38</f>
        <v>27.022337</v>
      </c>
      <c r="I38" s="1057">
        <f>'Table 3 Comm Assets '!I38+'Table 7 Merchant Bank Assets'!I38</f>
        <v>1350.01327277</v>
      </c>
      <c r="J38" s="1058">
        <f>'Table 3 Comm Assets '!J38+'Table 7 Merchant Bank Assets'!J38</f>
        <v>0</v>
      </c>
      <c r="K38" s="1058">
        <f>'Table 3 Comm Assets '!K38+'Table 7 Merchant Bank Assets'!K38</f>
        <v>15.482654</v>
      </c>
      <c r="L38" s="1058">
        <f>'Table 7 Merchant Bank Assets'!L38+'Table 3 Comm Assets '!L38</f>
        <v>4.6021770000000002</v>
      </c>
      <c r="M38" s="1057">
        <f>'Table 3 Comm Assets '!M38+'Table 7 Merchant Bank Assets'!M38</f>
        <v>17.627693000000001</v>
      </c>
      <c r="N38" s="1057">
        <f>'Table 3 Comm Assets '!N38+'Table 7 Merchant Bank Assets'!N38</f>
        <v>15.439528730000001</v>
      </c>
      <c r="O38" s="1057">
        <f>'Table 3 Comm Assets '!O38+'Table 7 Merchant Bank Assets'!O38</f>
        <v>85.177418410000001</v>
      </c>
      <c r="P38" s="1057">
        <f>'Table 3 Comm Assets '!R38+'Table 7 Merchant Bank Assets'!P38</f>
        <v>2574.8874461100963</v>
      </c>
      <c r="Q38" s="1057">
        <f>'Table 3 Comm Assets '!S38</f>
        <v>68.47820904000001</v>
      </c>
      <c r="R38" s="1057">
        <f>'Table 3 Comm Assets '!T38+'Table 7 Merchant Bank Assets'!Q38</f>
        <v>350.50690121986366</v>
      </c>
      <c r="S38" s="1057">
        <f>'Table 3 Comm Assets '!U38+'Table 7 Merchant Bank Assets'!R38</f>
        <v>295.14299922145028</v>
      </c>
      <c r="T38" s="1057">
        <f>+'Table 3 Comm Assets '!V38+'Table 7 Merchant Bank Assets'!S38</f>
        <v>485.74021617</v>
      </c>
      <c r="U38" s="1059">
        <f t="shared" si="0"/>
        <v>6847.7958340214109</v>
      </c>
      <c r="W38" s="1060">
        <f>+U38-'Table 7 Merchant Bank Assets'!T38-'Table 3 Comm Assets '!W38</f>
        <v>0</v>
      </c>
      <c r="X38" s="1061">
        <f t="shared" si="1"/>
        <v>0</v>
      </c>
      <c r="Y38" s="1030">
        <f t="shared" si="2"/>
        <v>0</v>
      </c>
    </row>
    <row r="39" spans="2:25" ht="15" customHeight="1">
      <c r="B39" s="1054" t="s">
        <v>344</v>
      </c>
      <c r="C39" s="1055">
        <f>'Table 3 Comm Assets '!C39+'Table 7 Merchant Bank Assets'!C39</f>
        <v>14.06625846</v>
      </c>
      <c r="D39" s="1056">
        <f>'Table 3 Comm Assets '!D39+'Table 7 Merchant Bank Assets'!D39</f>
        <v>99.061778472299991</v>
      </c>
      <c r="E39" s="1056">
        <f>'Table 3 Comm Assets '!E39+'Table 7 Merchant Bank Assets'!E39</f>
        <v>1308.4971872916999</v>
      </c>
      <c r="F39" s="1056">
        <f>'Table 3 Comm Assets '!F39+'Table 7 Merchant Bank Assets'!F39</f>
        <v>134.35122947434772</v>
      </c>
      <c r="G39" s="1057">
        <f>+'Table 3 Comm Assets '!G39+'Table 7 Merchant Bank Assets'!G39</f>
        <v>156.69206087546152</v>
      </c>
      <c r="H39" s="1057">
        <f>+'Table 3 Comm Assets '!H39+'Table 7 Merchant Bank Assets'!H39</f>
        <v>27.022394999999999</v>
      </c>
      <c r="I39" s="1057">
        <f>'Table 3 Comm Assets '!I39+'Table 7 Merchant Bank Assets'!I39</f>
        <v>1416.1811285299</v>
      </c>
      <c r="J39" s="1058">
        <f>'Table 3 Comm Assets '!J39+'Table 7 Merchant Bank Assets'!J39</f>
        <v>0</v>
      </c>
      <c r="K39" s="1058">
        <f>'Table 3 Comm Assets '!K39+'Table 7 Merchant Bank Assets'!K39</f>
        <v>15.341118960000001</v>
      </c>
      <c r="L39" s="1058">
        <f>'Table 7 Merchant Bank Assets'!L39+'Table 3 Comm Assets '!L39</f>
        <v>4.9419510000000004</v>
      </c>
      <c r="M39" s="1057">
        <f>'Table 3 Comm Assets '!M39+'Table 7 Merchant Bank Assets'!M39</f>
        <v>17.793823</v>
      </c>
      <c r="N39" s="1057">
        <f>'Table 3 Comm Assets '!N39+'Table 7 Merchant Bank Assets'!N39</f>
        <v>13.240949379999998</v>
      </c>
      <c r="O39" s="1057">
        <f>'Table 3 Comm Assets '!O39+'Table 7 Merchant Bank Assets'!O39</f>
        <v>70.369215370000006</v>
      </c>
      <c r="P39" s="1057">
        <f>'Table 3 Comm Assets '!R39+'Table 7 Merchant Bank Assets'!P39</f>
        <v>2439.9507610338746</v>
      </c>
      <c r="Q39" s="1057">
        <f>'Table 3 Comm Assets '!S39</f>
        <v>273.77574654</v>
      </c>
      <c r="R39" s="1057">
        <f>'Table 3 Comm Assets '!T39+'Table 7 Merchant Bank Assets'!Q39</f>
        <v>376.74725877473753</v>
      </c>
      <c r="S39" s="1057">
        <f>'Table 3 Comm Assets '!U39+'Table 7 Merchant Bank Assets'!R39</f>
        <v>283.5198448390999</v>
      </c>
      <c r="T39" s="1057">
        <f>+'Table 3 Comm Assets '!V39+'Table 7 Merchant Bank Assets'!S39</f>
        <v>493.82651318000006</v>
      </c>
      <c r="U39" s="1059">
        <f t="shared" si="0"/>
        <v>7145.3792201814222</v>
      </c>
      <c r="W39" s="1060">
        <f>+U39-'Table 7 Merchant Bank Assets'!T39-'Table 3 Comm Assets '!W39</f>
        <v>0</v>
      </c>
      <c r="X39" s="1061">
        <f t="shared" si="1"/>
        <v>0</v>
      </c>
      <c r="Y39" s="1030">
        <f t="shared" si="2"/>
        <v>0</v>
      </c>
    </row>
    <row r="40" spans="2:25" ht="15" customHeight="1">
      <c r="B40" s="1054"/>
      <c r="C40" s="1055"/>
      <c r="D40" s="1056"/>
      <c r="E40" s="1056"/>
      <c r="F40" s="1056"/>
      <c r="G40" s="1057"/>
      <c r="H40" s="1057"/>
      <c r="I40" s="1057"/>
      <c r="J40" s="1058"/>
      <c r="K40" s="1058"/>
      <c r="L40" s="1058"/>
      <c r="M40" s="1057"/>
      <c r="N40" s="1057"/>
      <c r="O40" s="1057"/>
      <c r="P40" s="1057"/>
      <c r="Q40" s="1057"/>
      <c r="R40" s="1057"/>
      <c r="S40" s="1057"/>
      <c r="T40" s="1057"/>
      <c r="U40" s="1059"/>
      <c r="W40" s="1060"/>
      <c r="X40" s="1061"/>
    </row>
    <row r="41" spans="2:25" ht="15" customHeight="1">
      <c r="B41" s="1064">
        <v>2017</v>
      </c>
      <c r="C41" s="1055"/>
      <c r="D41" s="1056"/>
      <c r="E41" s="1056"/>
      <c r="F41" s="1056"/>
      <c r="G41" s="1057"/>
      <c r="H41" s="1057"/>
      <c r="I41" s="1057"/>
      <c r="J41" s="1058"/>
      <c r="K41" s="1058"/>
      <c r="L41" s="1058"/>
      <c r="M41" s="1057"/>
      <c r="N41" s="1057"/>
      <c r="O41" s="1057"/>
      <c r="P41" s="1057"/>
      <c r="Q41" s="1057"/>
      <c r="R41" s="1057"/>
      <c r="S41" s="1057"/>
      <c r="T41" s="1057"/>
      <c r="U41" s="1059"/>
      <c r="W41" s="1060"/>
      <c r="X41" s="1061"/>
    </row>
    <row r="42" spans="2:25" ht="15" customHeight="1">
      <c r="B42" s="1057" t="s">
        <v>345</v>
      </c>
      <c r="C42" s="1055">
        <f>'Table 3 Comm Assets '!C42+'Table 7 Merchant Bank Assets'!C41</f>
        <v>17.719062670000003</v>
      </c>
      <c r="D42" s="1056">
        <f>'Table 3 Comm Assets '!D42+'Table 7 Merchant Bank Assets'!D41</f>
        <v>103.7542866723</v>
      </c>
      <c r="E42" s="1056">
        <f>'Table 3 Comm Assets '!E42+'Table 7 Merchant Bank Assets'!E41</f>
        <v>1322.3811501417001</v>
      </c>
      <c r="F42" s="1056">
        <f>'Table 3 Comm Assets '!F42+'Table 7 Merchant Bank Assets'!F41</f>
        <v>81.888622288832948</v>
      </c>
      <c r="G42" s="1057">
        <f>+'Table 3 Comm Assets '!G42+'Table 7 Merchant Bank Assets'!G41</f>
        <v>128.20668442856706</v>
      </c>
      <c r="H42" s="1057">
        <f>+'Table 3 Comm Assets '!H42+'Table 7 Merchant Bank Assets'!H41</f>
        <v>27.022455000000001</v>
      </c>
      <c r="I42" s="1057">
        <f>'Table 3 Comm Assets '!I42+'Table 7 Merchant Bank Assets'!I41</f>
        <v>1484.9597176099001</v>
      </c>
      <c r="J42" s="1058">
        <f>'Table 3 Comm Assets '!J42+'Table 7 Merchant Bank Assets'!J41</f>
        <v>0</v>
      </c>
      <c r="K42" s="1058">
        <f>'Table 3 Comm Assets '!K42+'Table 7 Merchant Bank Assets'!K41</f>
        <v>15.449965000000001</v>
      </c>
      <c r="L42" s="1058">
        <f>'Table 7 Merchant Bank Assets'!L41+'Table 3 Comm Assets '!L42</f>
        <v>3.6451880000000001</v>
      </c>
      <c r="M42" s="1057">
        <f>'Table 3 Comm Assets '!M42+'Table 7 Merchant Bank Assets'!M41</f>
        <v>15.885876</v>
      </c>
      <c r="N42" s="1057">
        <f>'Table 3 Comm Assets '!N42+'Table 7 Merchant Bank Assets'!N41</f>
        <v>15.10820249</v>
      </c>
      <c r="O42" s="1057">
        <f>'Table 3 Comm Assets '!O42+'Table 7 Merchant Bank Assets'!O41</f>
        <v>68.567446319999988</v>
      </c>
      <c r="P42" s="1057">
        <f>'Table 3 Comm Assets '!R42+'Table 7 Merchant Bank Assets'!P41</f>
        <v>2467.7082701199997</v>
      </c>
      <c r="Q42" s="1057">
        <f>'Table 3 Comm Assets '!S42</f>
        <v>53.855364039999998</v>
      </c>
      <c r="R42" s="1057">
        <f>'Table 3 Comm Assets '!T42+'Table 7 Merchant Bank Assets'!Q41</f>
        <v>395.72233977084448</v>
      </c>
      <c r="S42" s="1057">
        <f>'Table 3 Comm Assets '!U42+'Table 7 Merchant Bank Assets'!R41</f>
        <v>251.9228050360999</v>
      </c>
      <c r="T42" s="1057">
        <f>+'Table 3 Comm Assets '!V42+'Table 7 Merchant Bank Assets'!S41</f>
        <v>479.27541236000002</v>
      </c>
      <c r="U42" s="1059">
        <f>SUM(C42:T42)</f>
        <v>6933.0728479482432</v>
      </c>
      <c r="W42" s="1060">
        <f>+U42-'Table 7 Merchant Bank Assets'!T41-'Table 3 Comm Assets '!W42</f>
        <v>0</v>
      </c>
      <c r="X42" s="1061">
        <f>+W42/U42</f>
        <v>0</v>
      </c>
      <c r="Y42" s="1030">
        <f>+W42*1000000</f>
        <v>0</v>
      </c>
    </row>
    <row r="43" spans="2:25" ht="15" customHeight="1">
      <c r="B43" s="1057" t="s">
        <v>334</v>
      </c>
      <c r="C43" s="1055">
        <f>'Table 3 Comm Assets '!C43+'Table 7 Merchant Bank Assets'!C42</f>
        <v>16.29159971</v>
      </c>
      <c r="D43" s="1056">
        <f>'Table 3 Comm Assets '!D43+'Table 7 Merchant Bank Assets'!D42</f>
        <v>89.437781570000013</v>
      </c>
      <c r="E43" s="1056">
        <f>'Table 3 Comm Assets '!E43+'Table 7 Merchant Bank Assets'!E42</f>
        <v>1398.20066965</v>
      </c>
      <c r="F43" s="1056">
        <f>'Table 3 Comm Assets '!F43+'Table 7 Merchant Bank Assets'!F42</f>
        <v>96.158628078449212</v>
      </c>
      <c r="G43" s="1057">
        <f>+'Table 3 Comm Assets '!G43+'Table 7 Merchant Bank Assets'!G42</f>
        <v>137.33710031155076</v>
      </c>
      <c r="H43" s="1057">
        <f>+'Table 3 Comm Assets '!H43+'Table 7 Merchant Bank Assets'!H42</f>
        <v>48.6116952</v>
      </c>
      <c r="I43" s="1057">
        <f>'Table 3 Comm Assets '!I43+'Table 7 Merchant Bank Assets'!I42</f>
        <v>1502.70179067</v>
      </c>
      <c r="J43" s="1058">
        <f>'Table 3 Comm Assets '!J43+'Table 7 Merchant Bank Assets'!J42</f>
        <v>0</v>
      </c>
      <c r="K43" s="1058">
        <f>'Table 3 Comm Assets '!K43+'Table 7 Merchant Bank Assets'!K42</f>
        <v>15.548707</v>
      </c>
      <c r="L43" s="1058">
        <f>'Table 7 Merchant Bank Assets'!L42+'Table 3 Comm Assets '!L43</f>
        <v>3.2377630000000002</v>
      </c>
      <c r="M43" s="1057">
        <f>'Table 3 Comm Assets '!M43+'Table 7 Merchant Bank Assets'!M42</f>
        <v>14.96855</v>
      </c>
      <c r="N43" s="1057">
        <f>'Table 3 Comm Assets '!N43+'Table 7 Merchant Bank Assets'!N42</f>
        <v>14.900994539999999</v>
      </c>
      <c r="O43" s="1057">
        <f>'Table 3 Comm Assets '!O43+'Table 7 Merchant Bank Assets'!O42</f>
        <v>68.169878260000004</v>
      </c>
      <c r="P43" s="1057">
        <f>'Table 3 Comm Assets '!R43+'Table 7 Merchant Bank Assets'!P42</f>
        <v>2303.4549960300965</v>
      </c>
      <c r="Q43" s="1057">
        <f>'Table 3 Comm Assets '!S43</f>
        <v>239.71558916000001</v>
      </c>
      <c r="R43" s="1057">
        <f>'Table 3 Comm Assets '!T43+'Table 7 Merchant Bank Assets'!Q42</f>
        <v>398.50626927999997</v>
      </c>
      <c r="S43" s="1057">
        <f>'Table 3 Comm Assets '!U43+'Table 7 Merchant Bank Assets'!R42</f>
        <v>275.89671165145006</v>
      </c>
      <c r="T43" s="1057">
        <f>+'Table 3 Comm Assets '!V43+'Table 7 Merchant Bank Assets'!S42</f>
        <v>499.12967979000001</v>
      </c>
      <c r="U43" s="1059">
        <f>SUM(C43:T43)</f>
        <v>7122.2684039015467</v>
      </c>
      <c r="W43" s="1060">
        <f>+U43-'Table 7 Merchant Bank Assets'!T42-'Table 3 Comm Assets '!W43</f>
        <v>0</v>
      </c>
      <c r="X43" s="1061">
        <f>+W43/U43</f>
        <v>0</v>
      </c>
      <c r="Y43" s="1030">
        <f>+W43*1000000</f>
        <v>0</v>
      </c>
    </row>
    <row r="44" spans="2:25" ht="15" customHeight="1">
      <c r="B44" s="1057" t="s">
        <v>335</v>
      </c>
      <c r="C44" s="1057"/>
      <c r="D44" s="1057"/>
      <c r="E44" s="1057"/>
      <c r="F44" s="1057"/>
      <c r="G44" s="1057"/>
      <c r="H44" s="1057"/>
      <c r="I44" s="1057"/>
      <c r="J44" s="1057"/>
      <c r="K44" s="1057"/>
      <c r="L44" s="1057"/>
      <c r="M44" s="1057"/>
      <c r="N44" s="1057"/>
      <c r="O44" s="1057"/>
      <c r="P44" s="1057"/>
      <c r="Q44" s="1057"/>
      <c r="R44" s="1057"/>
      <c r="S44" s="1057"/>
      <c r="T44" s="1057"/>
      <c r="U44" s="1059"/>
    </row>
    <row r="45" spans="2:25" ht="15" customHeight="1">
      <c r="B45" s="1062" t="s">
        <v>1174</v>
      </c>
      <c r="C45" s="1057"/>
      <c r="D45" s="1057"/>
      <c r="E45" s="1057"/>
      <c r="F45" s="1057"/>
      <c r="G45" s="1057"/>
      <c r="H45" s="1057"/>
      <c r="I45" s="1057"/>
      <c r="J45" s="1057"/>
      <c r="K45" s="1057"/>
      <c r="L45" s="1057"/>
      <c r="M45" s="1057"/>
      <c r="N45" s="1057"/>
      <c r="O45" s="1057"/>
      <c r="P45" s="1057"/>
      <c r="Q45" s="1057"/>
      <c r="R45" s="1057"/>
      <c r="S45" s="1057"/>
      <c r="T45" s="1057"/>
      <c r="U45" s="1059"/>
    </row>
    <row r="46" spans="2:25" ht="15" customHeight="1">
      <c r="B46" s="1057" t="s">
        <v>337</v>
      </c>
      <c r="C46" s="1062"/>
      <c r="D46" s="1057"/>
      <c r="E46" s="1057"/>
      <c r="F46" s="1057"/>
      <c r="G46" s="1057"/>
      <c r="H46" s="1057"/>
      <c r="I46" s="1057"/>
      <c r="J46" s="1057"/>
      <c r="K46" s="1057"/>
      <c r="L46" s="1057"/>
      <c r="M46" s="1057"/>
      <c r="N46" s="1057"/>
      <c r="O46" s="1057"/>
      <c r="P46" s="1057"/>
      <c r="Q46" s="1057"/>
      <c r="R46" s="1057"/>
      <c r="S46" s="1057"/>
      <c r="T46" s="1057"/>
      <c r="U46" s="1059"/>
    </row>
    <row r="47" spans="2:25" ht="15" customHeight="1">
      <c r="B47" s="1057" t="s">
        <v>338</v>
      </c>
      <c r="C47" s="1057"/>
      <c r="D47" s="1057"/>
      <c r="E47" s="1057"/>
      <c r="F47" s="1057"/>
      <c r="G47" s="1057"/>
      <c r="H47" s="1057"/>
      <c r="I47" s="1057"/>
      <c r="J47" s="1057"/>
      <c r="K47" s="1057"/>
      <c r="L47" s="1057"/>
      <c r="M47" s="1057"/>
      <c r="N47" s="1057"/>
      <c r="O47" s="1057"/>
      <c r="P47" s="1057"/>
      <c r="Q47" s="1057"/>
      <c r="R47" s="1057"/>
      <c r="S47" s="1057"/>
      <c r="T47" s="1057"/>
      <c r="U47" s="1059"/>
    </row>
    <row r="48" spans="2:25" ht="15" customHeight="1">
      <c r="B48" s="1057" t="s">
        <v>339</v>
      </c>
      <c r="C48" s="1057"/>
      <c r="D48" s="1057"/>
      <c r="E48" s="1057"/>
      <c r="F48" s="1057"/>
      <c r="G48" s="1057"/>
      <c r="H48" s="1057"/>
      <c r="I48" s="1057"/>
      <c r="J48" s="1057"/>
      <c r="K48" s="1057"/>
      <c r="L48" s="1057"/>
      <c r="M48" s="1057"/>
      <c r="N48" s="1057"/>
      <c r="O48" s="1057"/>
      <c r="P48" s="1057"/>
      <c r="Q48" s="1057"/>
      <c r="R48" s="1057"/>
      <c r="S48" s="1057"/>
      <c r="T48" s="1057"/>
      <c r="U48" s="1059"/>
    </row>
    <row r="49" spans="2:25" ht="15" customHeight="1">
      <c r="B49" s="1057" t="s">
        <v>340</v>
      </c>
      <c r="C49" s="1057"/>
      <c r="D49" s="1057"/>
      <c r="E49" s="1057"/>
      <c r="F49" s="1057"/>
      <c r="G49" s="1057"/>
      <c r="H49" s="1057"/>
      <c r="I49" s="1057"/>
      <c r="J49" s="1057"/>
      <c r="K49" s="1057"/>
      <c r="L49" s="1057"/>
      <c r="M49" s="1057"/>
      <c r="N49" s="1057"/>
      <c r="O49" s="1057"/>
      <c r="P49" s="1057"/>
      <c r="Q49" s="1057"/>
      <c r="R49" s="1057"/>
      <c r="S49" s="1057"/>
      <c r="T49" s="1057"/>
      <c r="U49" s="1059"/>
    </row>
    <row r="50" spans="2:25" ht="15" customHeight="1" thickBot="1">
      <c r="B50" s="1065" t="s">
        <v>1178</v>
      </c>
      <c r="C50" s="1057"/>
      <c r="D50" s="1057"/>
      <c r="E50" s="1057"/>
      <c r="F50" s="1057"/>
      <c r="G50" s="1057"/>
      <c r="H50" s="1057"/>
      <c r="I50" s="1057"/>
      <c r="J50" s="1057"/>
      <c r="K50" s="1057"/>
      <c r="L50" s="1057"/>
      <c r="M50" s="1057"/>
      <c r="N50" s="1057"/>
      <c r="O50" s="1057"/>
      <c r="P50" s="1057"/>
      <c r="Q50" s="1057"/>
      <c r="R50" s="1057"/>
      <c r="S50" s="1057"/>
      <c r="T50" s="1057"/>
      <c r="U50" s="1059"/>
    </row>
    <row r="51" spans="2:25" ht="15" customHeight="1" thickTop="1" thickBot="1">
      <c r="B51" s="1065"/>
      <c r="C51" s="1065"/>
      <c r="D51" s="1066"/>
      <c r="E51" s="1066"/>
      <c r="F51" s="1066"/>
      <c r="G51" s="1066"/>
      <c r="H51" s="1066"/>
      <c r="I51" s="1066"/>
      <c r="J51" s="1066"/>
      <c r="K51" s="1066"/>
      <c r="L51" s="1066"/>
      <c r="M51" s="1067"/>
      <c r="N51" s="1066"/>
      <c r="O51" s="1067"/>
      <c r="P51" s="1066"/>
      <c r="Q51" s="1066"/>
      <c r="R51" s="1066"/>
      <c r="S51" s="1066"/>
      <c r="T51" s="1066"/>
      <c r="U51" s="1068"/>
    </row>
    <row r="52" spans="2:25" ht="12" thickTop="1"/>
    <row r="53" spans="2:25" ht="16.5">
      <c r="B53" s="963" t="s">
        <v>1360</v>
      </c>
      <c r="C53" s="926"/>
      <c r="D53" s="926"/>
      <c r="E53" s="1069"/>
      <c r="F53" s="1069"/>
      <c r="G53" s="1069"/>
      <c r="H53" s="1069"/>
      <c r="I53" s="1069"/>
      <c r="J53" s="1069"/>
      <c r="K53" s="1069"/>
      <c r="L53" s="1069"/>
      <c r="M53" s="1069"/>
      <c r="N53" s="1069"/>
      <c r="O53" s="1069"/>
      <c r="P53" s="1069"/>
      <c r="Q53" s="1069"/>
      <c r="R53" s="1069"/>
      <c r="S53" s="1069"/>
      <c r="T53" s="1069"/>
      <c r="U53" s="1069"/>
      <c r="V53" s="1070"/>
    </row>
    <row r="54" spans="2:25">
      <c r="D54" s="1069"/>
      <c r="E54" s="1069"/>
      <c r="F54" s="1069"/>
      <c r="G54" s="1069"/>
      <c r="H54" s="1069"/>
      <c r="I54" s="1069"/>
      <c r="J54" s="1069"/>
      <c r="K54" s="1069"/>
      <c r="L54" s="1069"/>
      <c r="M54" s="1069"/>
      <c r="N54" s="1069"/>
      <c r="O54" s="1069"/>
      <c r="P54" s="1069"/>
      <c r="Q54" s="1069"/>
      <c r="R54" s="1069"/>
      <c r="S54" s="1069"/>
      <c r="T54" s="1069"/>
      <c r="U54" s="1069"/>
      <c r="V54" s="1070"/>
    </row>
    <row r="55" spans="2:25" ht="15.75">
      <c r="B55" s="237" t="s">
        <v>998</v>
      </c>
    </row>
    <row r="56" spans="2:25" s="921" customFormat="1" ht="15">
      <c r="B56" s="1071">
        <v>1</v>
      </c>
      <c r="C56" s="921" t="s">
        <v>1710</v>
      </c>
      <c r="W56" s="1072"/>
      <c r="X56" s="1073"/>
      <c r="Y56" s="1074"/>
    </row>
    <row r="57" spans="2:25" s="921" customFormat="1" ht="15">
      <c r="B57" s="1071">
        <v>2</v>
      </c>
      <c r="C57" s="921" t="s">
        <v>1711</v>
      </c>
      <c r="W57" s="1072"/>
      <c r="X57" s="1073"/>
      <c r="Y57" s="1074"/>
    </row>
    <row r="58" spans="2:25" s="921" customFormat="1" ht="15">
      <c r="B58" s="1071">
        <v>3</v>
      </c>
      <c r="C58" s="921" t="s">
        <v>1712</v>
      </c>
      <c r="W58" s="1072"/>
      <c r="X58" s="1073"/>
      <c r="Y58" s="1074"/>
    </row>
    <row r="59" spans="2:25" s="921" customFormat="1" ht="15">
      <c r="W59" s="1072"/>
      <c r="X59" s="1073"/>
      <c r="Y59" s="1074"/>
    </row>
    <row r="60" spans="2:25" s="921" customFormat="1" ht="15">
      <c r="W60" s="1072"/>
      <c r="X60" s="1073"/>
      <c r="Y60" s="1074"/>
    </row>
    <row r="61" spans="2:25" s="921" customFormat="1" ht="15">
      <c r="W61" s="1072"/>
      <c r="X61" s="1073"/>
      <c r="Y61" s="1074"/>
    </row>
    <row r="62" spans="2:25" s="921" customFormat="1" ht="15">
      <c r="W62" s="1072"/>
      <c r="X62" s="1073"/>
      <c r="Y62" s="1074"/>
    </row>
    <row r="63" spans="2:25" s="921" customFormat="1" ht="15">
      <c r="W63" s="1072"/>
      <c r="X63" s="1073"/>
      <c r="Y63" s="1074"/>
    </row>
    <row r="64" spans="2:25" s="921" customFormat="1" ht="15">
      <c r="W64" s="1072"/>
      <c r="X64" s="1073"/>
      <c r="Y64" s="1074"/>
    </row>
    <row r="65" spans="23:25" s="921" customFormat="1" ht="15">
      <c r="W65" s="1072"/>
      <c r="X65" s="1073"/>
      <c r="Y65" s="1074"/>
    </row>
    <row r="66" spans="23:25" s="921" customFormat="1" ht="15">
      <c r="W66" s="1072"/>
      <c r="X66" s="1073"/>
      <c r="Y66" s="1074"/>
    </row>
    <row r="67" spans="23:25" s="921" customFormat="1" ht="15">
      <c r="W67" s="1072"/>
      <c r="X67" s="1073"/>
      <c r="Y67" s="1074"/>
    </row>
    <row r="68" spans="23:25" s="921" customFormat="1" ht="15">
      <c r="W68" s="1072"/>
      <c r="X68" s="1073"/>
      <c r="Y68" s="1074"/>
    </row>
    <row r="69" spans="23:25" s="921" customFormat="1" ht="15">
      <c r="W69" s="1072"/>
      <c r="X69" s="1073"/>
      <c r="Y69" s="1074"/>
    </row>
    <row r="70" spans="23:25" s="921" customFormat="1" ht="15">
      <c r="W70" s="1072"/>
      <c r="X70" s="1073"/>
      <c r="Y70" s="1074"/>
    </row>
    <row r="71" spans="23:25" s="921" customFormat="1" ht="15">
      <c r="W71" s="1072"/>
      <c r="X71" s="1073"/>
      <c r="Y71" s="1074"/>
    </row>
    <row r="72" spans="23:25" s="921" customFormat="1" ht="15">
      <c r="W72" s="1072"/>
      <c r="X72" s="1073"/>
      <c r="Y72" s="1074"/>
    </row>
    <row r="73" spans="23:25" s="921" customFormat="1" ht="15">
      <c r="W73" s="1072"/>
      <c r="X73" s="1073"/>
      <c r="Y73" s="1074"/>
    </row>
    <row r="74" spans="23:25" s="921" customFormat="1" ht="15">
      <c r="W74" s="1072"/>
      <c r="X74" s="1073"/>
      <c r="Y74" s="1074"/>
    </row>
    <row r="75" spans="23:25" s="921" customFormat="1" ht="15">
      <c r="W75" s="1072"/>
      <c r="X75" s="1073"/>
      <c r="Y75" s="1074"/>
    </row>
    <row r="76" spans="23:25" s="921" customFormat="1" ht="15">
      <c r="W76" s="1072"/>
      <c r="X76" s="1073"/>
      <c r="Y76" s="1074"/>
    </row>
    <row r="77" spans="23:25" s="921" customFormat="1" ht="15">
      <c r="W77" s="1072"/>
      <c r="X77" s="1073"/>
      <c r="Y77" s="1074"/>
    </row>
    <row r="78" spans="23:25" s="921" customFormat="1" ht="15">
      <c r="W78" s="1072"/>
      <c r="X78" s="1073"/>
      <c r="Y78" s="1074"/>
    </row>
    <row r="79" spans="23:25" s="921" customFormat="1" ht="15">
      <c r="W79" s="1072"/>
      <c r="X79" s="1073"/>
      <c r="Y79" s="1074"/>
    </row>
    <row r="80" spans="23:25" s="921" customFormat="1" ht="15">
      <c r="W80" s="1072"/>
      <c r="X80" s="1073"/>
      <c r="Y80" s="1074"/>
    </row>
    <row r="81" spans="23:25" s="921" customFormat="1" ht="15">
      <c r="W81" s="1072"/>
      <c r="X81" s="1073"/>
      <c r="Y81" s="1074"/>
    </row>
    <row r="82" spans="23:25" s="921" customFormat="1" ht="15">
      <c r="W82" s="1072"/>
      <c r="X82" s="1073"/>
      <c r="Y82" s="1074"/>
    </row>
    <row r="83" spans="23:25" s="921" customFormat="1" ht="15">
      <c r="W83" s="1072"/>
      <c r="X83" s="1073"/>
      <c r="Y83" s="1074"/>
    </row>
    <row r="84" spans="23:25" s="921" customFormat="1" ht="15">
      <c r="W84" s="1072"/>
      <c r="X84" s="1073"/>
      <c r="Y84" s="1074"/>
    </row>
    <row r="85" spans="23:25" s="921" customFormat="1" ht="15">
      <c r="W85" s="1072"/>
      <c r="X85" s="1073"/>
      <c r="Y85" s="1074"/>
    </row>
    <row r="86" spans="23:25" s="921" customFormat="1" ht="15">
      <c r="W86" s="1072"/>
      <c r="X86" s="1073"/>
      <c r="Y86" s="1074"/>
    </row>
    <row r="87" spans="23:25" s="921" customFormat="1" ht="15">
      <c r="W87" s="1072"/>
      <c r="X87" s="1073"/>
      <c r="Y87" s="1074"/>
    </row>
    <row r="88" spans="23:25" s="921" customFormat="1" ht="15">
      <c r="W88" s="1072"/>
      <c r="X88" s="1073"/>
      <c r="Y88" s="1074"/>
    </row>
    <row r="89" spans="23:25" s="921" customFormat="1" ht="15">
      <c r="W89" s="1072"/>
      <c r="X89" s="1073"/>
      <c r="Y89" s="1074"/>
    </row>
    <row r="90" spans="23:25" s="921" customFormat="1" ht="15">
      <c r="W90" s="1072"/>
      <c r="X90" s="1073"/>
      <c r="Y90" s="1074"/>
    </row>
    <row r="91" spans="23:25" s="921" customFormat="1" ht="15">
      <c r="W91" s="1072"/>
      <c r="X91" s="1073"/>
      <c r="Y91" s="1074"/>
    </row>
    <row r="92" spans="23:25" s="921" customFormat="1" ht="15">
      <c r="W92" s="1072"/>
      <c r="X92" s="1073"/>
      <c r="Y92" s="1074"/>
    </row>
    <row r="93" spans="23:25" s="921" customFormat="1" ht="15">
      <c r="W93" s="1072"/>
      <c r="X93" s="1073"/>
      <c r="Y93" s="1074"/>
    </row>
    <row r="94" spans="23:25" s="921" customFormat="1" ht="15">
      <c r="W94" s="1072"/>
      <c r="X94" s="1073"/>
      <c r="Y94" s="1074"/>
    </row>
    <row r="95" spans="23:25" s="921" customFormat="1" ht="15">
      <c r="W95" s="1072"/>
      <c r="X95" s="1073"/>
      <c r="Y95" s="1074"/>
    </row>
    <row r="96" spans="23:25" s="921" customFormat="1" ht="15">
      <c r="W96" s="1072"/>
      <c r="X96" s="1073"/>
      <c r="Y96" s="1074"/>
    </row>
    <row r="97" spans="23:25" s="921" customFormat="1" ht="15">
      <c r="W97" s="1072"/>
      <c r="X97" s="1073"/>
      <c r="Y97" s="1074"/>
    </row>
    <row r="98" spans="23:25" s="921" customFormat="1" ht="15">
      <c r="W98" s="1072"/>
      <c r="X98" s="1073"/>
      <c r="Y98" s="1074"/>
    </row>
    <row r="99" spans="23:25" s="921" customFormat="1" ht="15">
      <c r="W99" s="1072"/>
      <c r="X99" s="1073"/>
      <c r="Y99" s="1074"/>
    </row>
    <row r="100" spans="23:25" s="921" customFormat="1" ht="15">
      <c r="W100" s="1072"/>
      <c r="X100" s="1073"/>
      <c r="Y100" s="1074"/>
    </row>
    <row r="101" spans="23:25" s="921" customFormat="1" ht="15">
      <c r="W101" s="1072"/>
      <c r="X101" s="1073"/>
      <c r="Y101" s="1074"/>
    </row>
    <row r="102" spans="23:25" s="921" customFormat="1" ht="15">
      <c r="W102" s="1072"/>
      <c r="X102" s="1073"/>
      <c r="Y102" s="1074"/>
    </row>
    <row r="103" spans="23:25" s="921" customFormat="1" ht="15">
      <c r="W103" s="1072"/>
      <c r="X103" s="1073"/>
      <c r="Y103" s="1074"/>
    </row>
    <row r="104" spans="23:25" s="921" customFormat="1" ht="15">
      <c r="W104" s="1072"/>
      <c r="X104" s="1073"/>
      <c r="Y104" s="1074"/>
    </row>
    <row r="105" spans="23:25" s="921" customFormat="1" ht="15">
      <c r="W105" s="1072"/>
      <c r="X105" s="1073"/>
      <c r="Y105" s="1074"/>
    </row>
    <row r="106" spans="23:25" s="921" customFormat="1" ht="15">
      <c r="W106" s="1072"/>
      <c r="X106" s="1073"/>
      <c r="Y106" s="1074"/>
    </row>
    <row r="107" spans="23:25" s="921" customFormat="1" ht="15">
      <c r="W107" s="1072"/>
      <c r="X107" s="1073"/>
      <c r="Y107" s="1074"/>
    </row>
    <row r="108" spans="23:25" s="921" customFormat="1" ht="15">
      <c r="W108" s="1072"/>
      <c r="X108" s="1073"/>
      <c r="Y108" s="1074"/>
    </row>
    <row r="109" spans="23:25" s="921" customFormat="1" ht="15">
      <c r="W109" s="1072"/>
      <c r="X109" s="1073"/>
      <c r="Y109" s="1074"/>
    </row>
    <row r="110" spans="23:25" s="921" customFormat="1" ht="15">
      <c r="W110" s="1072"/>
      <c r="X110" s="1073"/>
      <c r="Y110" s="1074"/>
    </row>
    <row r="111" spans="23:25" s="921" customFormat="1" ht="15">
      <c r="W111" s="1072"/>
      <c r="X111" s="1073"/>
      <c r="Y111" s="1074"/>
    </row>
    <row r="112" spans="23:25" s="921" customFormat="1" ht="15">
      <c r="W112" s="1072"/>
      <c r="X112" s="1073"/>
      <c r="Y112" s="1074"/>
    </row>
    <row r="113" spans="23:25" s="921" customFormat="1" ht="15">
      <c r="W113" s="1072"/>
      <c r="X113" s="1073"/>
      <c r="Y113" s="1074"/>
    </row>
    <row r="114" spans="23:25" s="921" customFormat="1" ht="15">
      <c r="W114" s="1072"/>
      <c r="X114" s="1073"/>
      <c r="Y114" s="1074"/>
    </row>
    <row r="115" spans="23:25" s="921" customFormat="1" ht="15">
      <c r="W115" s="1072"/>
      <c r="X115" s="1073"/>
      <c r="Y115" s="1074"/>
    </row>
    <row r="116" spans="23:25" s="921" customFormat="1" ht="15">
      <c r="W116" s="1072"/>
      <c r="X116" s="1073"/>
      <c r="Y116" s="1074"/>
    </row>
    <row r="117" spans="23:25" s="921" customFormat="1" ht="15">
      <c r="W117" s="1072"/>
      <c r="X117" s="1073"/>
      <c r="Y117" s="1074"/>
    </row>
    <row r="118" spans="23:25" s="921" customFormat="1" ht="15">
      <c r="W118" s="1072"/>
      <c r="X118" s="1073"/>
      <c r="Y118" s="1074"/>
    </row>
    <row r="119" spans="23:25" s="921" customFormat="1" ht="15">
      <c r="W119" s="1072"/>
      <c r="X119" s="1073"/>
      <c r="Y119" s="1074"/>
    </row>
    <row r="120" spans="23:25" s="921" customFormat="1" ht="15">
      <c r="W120" s="1072"/>
      <c r="X120" s="1073"/>
      <c r="Y120" s="1074"/>
    </row>
    <row r="121" spans="23:25" s="921" customFormat="1" ht="15">
      <c r="W121" s="1072"/>
      <c r="X121" s="1073"/>
      <c r="Y121" s="1074"/>
    </row>
    <row r="122" spans="23:25" s="921" customFormat="1" ht="15">
      <c r="W122" s="1072"/>
      <c r="X122" s="1073"/>
      <c r="Y122" s="1074"/>
    </row>
    <row r="123" spans="23:25" s="921" customFormat="1" ht="15">
      <c r="W123" s="1072"/>
      <c r="X123" s="1073"/>
      <c r="Y123" s="1074"/>
    </row>
    <row r="124" spans="23:25" s="921" customFormat="1" ht="15">
      <c r="W124" s="1072"/>
      <c r="X124" s="1073"/>
      <c r="Y124" s="1074"/>
    </row>
    <row r="125" spans="23:25" s="921" customFormat="1" ht="15">
      <c r="W125" s="1072"/>
      <c r="X125" s="1073"/>
      <c r="Y125" s="1074"/>
    </row>
    <row r="126" spans="23:25" s="921" customFormat="1" ht="15">
      <c r="W126" s="1072"/>
      <c r="X126" s="1073"/>
      <c r="Y126" s="1074"/>
    </row>
    <row r="127" spans="23:25" s="921" customFormat="1" ht="15">
      <c r="W127" s="1072"/>
      <c r="X127" s="1073"/>
      <c r="Y127" s="1074"/>
    </row>
    <row r="128" spans="23:25" s="921" customFormat="1" ht="15">
      <c r="W128" s="1072"/>
      <c r="X128" s="1073"/>
      <c r="Y128" s="1074"/>
    </row>
    <row r="129" spans="23:25" s="921" customFormat="1" ht="15">
      <c r="W129" s="1072"/>
      <c r="X129" s="1073"/>
      <c r="Y129" s="1074"/>
    </row>
    <row r="130" spans="23:25" s="921" customFormat="1" ht="15">
      <c r="W130" s="1072"/>
      <c r="X130" s="1073"/>
      <c r="Y130" s="1074"/>
    </row>
    <row r="131" spans="23:25" s="921" customFormat="1" ht="15">
      <c r="W131" s="1072"/>
      <c r="X131" s="1073"/>
      <c r="Y131" s="1074"/>
    </row>
    <row r="132" spans="23:25" s="921" customFormat="1" ht="15">
      <c r="W132" s="1072"/>
      <c r="X132" s="1073"/>
      <c r="Y132" s="1074"/>
    </row>
    <row r="133" spans="23:25" s="921" customFormat="1" ht="15">
      <c r="W133" s="1072"/>
      <c r="X133" s="1073"/>
      <c r="Y133" s="1074"/>
    </row>
    <row r="134" spans="23:25" s="921" customFormat="1" ht="15">
      <c r="W134" s="1072"/>
      <c r="X134" s="1073"/>
      <c r="Y134" s="1074"/>
    </row>
    <row r="135" spans="23:25" s="921" customFormat="1" ht="15">
      <c r="W135" s="1072"/>
      <c r="X135" s="1073"/>
      <c r="Y135" s="1074"/>
    </row>
    <row r="136" spans="23:25" s="921" customFormat="1" ht="15">
      <c r="W136" s="1072"/>
      <c r="X136" s="1073"/>
      <c r="Y136" s="1074"/>
    </row>
    <row r="137" spans="23:25" s="921" customFormat="1" ht="15">
      <c r="W137" s="1072"/>
      <c r="X137" s="1073"/>
      <c r="Y137" s="1074"/>
    </row>
    <row r="138" spans="23:25" s="921" customFormat="1" ht="15">
      <c r="W138" s="1072"/>
      <c r="X138" s="1073"/>
      <c r="Y138" s="1074"/>
    </row>
    <row r="139" spans="23:25" s="921" customFormat="1" ht="15">
      <c r="W139" s="1072"/>
      <c r="X139" s="1073"/>
      <c r="Y139" s="1074"/>
    </row>
    <row r="140" spans="23:25" s="921" customFormat="1" ht="15">
      <c r="W140" s="1072"/>
      <c r="X140" s="1073"/>
      <c r="Y140" s="1074"/>
    </row>
    <row r="141" spans="23:25" s="921" customFormat="1" ht="15">
      <c r="W141" s="1072"/>
      <c r="X141" s="1073"/>
      <c r="Y141" s="1074"/>
    </row>
    <row r="142" spans="23:25" s="921" customFormat="1" ht="15">
      <c r="W142" s="1072"/>
      <c r="X142" s="1073"/>
      <c r="Y142" s="1074"/>
    </row>
    <row r="143" spans="23:25" s="921" customFormat="1" ht="15">
      <c r="W143" s="1072"/>
      <c r="X143" s="1073"/>
      <c r="Y143" s="1074"/>
    </row>
    <row r="144" spans="23:25" s="921" customFormat="1" ht="15">
      <c r="W144" s="1072"/>
      <c r="X144" s="1073"/>
      <c r="Y144" s="1074"/>
    </row>
    <row r="145" spans="23:25" s="921" customFormat="1" ht="15">
      <c r="W145" s="1072"/>
      <c r="X145" s="1073"/>
      <c r="Y145" s="1074"/>
    </row>
    <row r="146" spans="23:25" s="921" customFormat="1" ht="15">
      <c r="W146" s="1072"/>
      <c r="X146" s="1073"/>
      <c r="Y146" s="1074"/>
    </row>
    <row r="147" spans="23:25" s="921" customFormat="1" ht="15">
      <c r="W147" s="1072"/>
      <c r="X147" s="1073"/>
      <c r="Y147" s="1074"/>
    </row>
    <row r="148" spans="23:25" s="921" customFormat="1" ht="15">
      <c r="W148" s="1072"/>
      <c r="X148" s="1073"/>
      <c r="Y148" s="1074"/>
    </row>
    <row r="149" spans="23:25" s="921" customFormat="1" ht="15">
      <c r="W149" s="1072"/>
      <c r="X149" s="1073"/>
      <c r="Y149" s="1074"/>
    </row>
    <row r="150" spans="23:25" s="921" customFormat="1" ht="15">
      <c r="W150" s="1072"/>
      <c r="X150" s="1073"/>
      <c r="Y150" s="1074"/>
    </row>
    <row r="151" spans="23:25" s="921" customFormat="1" ht="15">
      <c r="W151" s="1072"/>
      <c r="X151" s="1073"/>
      <c r="Y151" s="1074"/>
    </row>
    <row r="152" spans="23:25" s="921" customFormat="1" ht="15">
      <c r="W152" s="1072"/>
      <c r="X152" s="1073"/>
      <c r="Y152" s="1074"/>
    </row>
    <row r="153" spans="23:25" s="921" customFormat="1" ht="15">
      <c r="W153" s="1072"/>
      <c r="X153" s="1073"/>
      <c r="Y153" s="1074"/>
    </row>
    <row r="154" spans="23:25" s="921" customFormat="1" ht="15">
      <c r="W154" s="1072"/>
      <c r="X154" s="1073"/>
      <c r="Y154" s="1074"/>
    </row>
    <row r="155" spans="23:25" s="921" customFormat="1" ht="15">
      <c r="W155" s="1072"/>
      <c r="X155" s="1073"/>
      <c r="Y155" s="1074"/>
    </row>
    <row r="156" spans="23:25" s="921" customFormat="1" ht="15">
      <c r="W156" s="1072"/>
      <c r="X156" s="1073"/>
      <c r="Y156" s="1074"/>
    </row>
    <row r="157" spans="23:25" s="921" customFormat="1" ht="15">
      <c r="W157" s="1072"/>
      <c r="X157" s="1073"/>
      <c r="Y157" s="1074"/>
    </row>
    <row r="158" spans="23:25" s="921" customFormat="1" ht="15">
      <c r="W158" s="1072"/>
      <c r="X158" s="1073"/>
      <c r="Y158" s="1074"/>
    </row>
    <row r="159" spans="23:25" s="921" customFormat="1" ht="15">
      <c r="W159" s="1072"/>
      <c r="X159" s="1073"/>
      <c r="Y159" s="1074"/>
    </row>
    <row r="160" spans="23:25" s="921" customFormat="1" ht="15">
      <c r="W160" s="1072"/>
      <c r="X160" s="1073"/>
      <c r="Y160" s="1074"/>
    </row>
    <row r="161" spans="23:25" s="921" customFormat="1" ht="15">
      <c r="W161" s="1072"/>
      <c r="X161" s="1073"/>
      <c r="Y161" s="1074"/>
    </row>
    <row r="162" spans="23:25" s="921" customFormat="1" ht="15">
      <c r="W162" s="1072"/>
      <c r="X162" s="1073"/>
      <c r="Y162" s="1074"/>
    </row>
    <row r="163" spans="23:25" s="921" customFormat="1" ht="15">
      <c r="W163" s="1072"/>
      <c r="X163" s="1073"/>
      <c r="Y163" s="1074"/>
    </row>
    <row r="164" spans="23:25" s="921" customFormat="1" ht="15">
      <c r="W164" s="1072"/>
      <c r="X164" s="1073"/>
      <c r="Y164" s="1074"/>
    </row>
    <row r="165" spans="23:25" s="921" customFormat="1" ht="15">
      <c r="W165" s="1072"/>
      <c r="X165" s="1073"/>
      <c r="Y165" s="1074"/>
    </row>
    <row r="166" spans="23:25" s="921" customFormat="1" ht="15">
      <c r="W166" s="1072"/>
      <c r="X166" s="1073"/>
      <c r="Y166" s="1074"/>
    </row>
    <row r="167" spans="23:25" s="921" customFormat="1" ht="15">
      <c r="W167" s="1072"/>
      <c r="X167" s="1073"/>
      <c r="Y167" s="1074"/>
    </row>
    <row r="168" spans="23:25" s="921" customFormat="1" ht="15">
      <c r="W168" s="1072"/>
      <c r="X168" s="1073"/>
      <c r="Y168" s="1074"/>
    </row>
    <row r="169" spans="23:25" s="921" customFormat="1" ht="15">
      <c r="W169" s="1072"/>
      <c r="X169" s="1073"/>
      <c r="Y169" s="1074"/>
    </row>
    <row r="170" spans="23:25" s="921" customFormat="1" ht="15">
      <c r="W170" s="1072"/>
      <c r="X170" s="1073"/>
      <c r="Y170" s="1074"/>
    </row>
    <row r="171" spans="23:25" s="921" customFormat="1" ht="15">
      <c r="W171" s="1072"/>
      <c r="X171" s="1073"/>
      <c r="Y171" s="1074"/>
    </row>
    <row r="172" spans="23:25" s="921" customFormat="1" ht="15">
      <c r="W172" s="1072"/>
      <c r="X172" s="1073"/>
      <c r="Y172" s="1074"/>
    </row>
    <row r="173" spans="23:25" s="921" customFormat="1" ht="15">
      <c r="W173" s="1072"/>
      <c r="X173" s="1073"/>
      <c r="Y173" s="1074"/>
    </row>
    <row r="174" spans="23:25" s="921" customFormat="1" ht="15">
      <c r="W174" s="1072"/>
      <c r="X174" s="1073"/>
      <c r="Y174" s="1074"/>
    </row>
    <row r="175" spans="23:25" s="921" customFormat="1" ht="15">
      <c r="W175" s="1072"/>
      <c r="X175" s="1073"/>
      <c r="Y175" s="1074"/>
    </row>
    <row r="176" spans="23:25" s="921" customFormat="1" ht="15">
      <c r="W176" s="1072"/>
      <c r="X176" s="1073"/>
      <c r="Y176" s="1074"/>
    </row>
  </sheetData>
  <customSheetViews>
    <customSheetView guid="{705E0D18-9A83-42CA-8732-90923BE2EC7D}"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89CA84C2-78F5-4B05-8F1D-B7C5F97BCB4E}"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U1"/>
    <mergeCell ref="B3:U3"/>
    <mergeCell ref="D6:G6"/>
    <mergeCell ref="I6:L6"/>
    <mergeCell ref="I7:L7"/>
    <mergeCell ref="M7:P7"/>
  </mergeCells>
  <printOptions horizontalCentered="1"/>
  <pageMargins left="0.01" right="0.01" top="0.17" bottom="0.02" header="0.51" footer="0.5"/>
  <pageSetup paperSize="9" scale="62" orientation="landscape" horizontalDpi="300" verticalDpi="300" r:id="rId4"/>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D4:X47"/>
  <sheetViews>
    <sheetView showGridLines="0" topLeftCell="C1" zoomScale="85" zoomScaleNormal="60" zoomScaleSheetLayoutView="85" workbookViewId="0">
      <pane xSplit="2" ySplit="12" topLeftCell="E40" activePane="bottomRight" state="frozen"/>
      <selection activeCell="C1" sqref="C1"/>
      <selection pane="topRight" activeCell="E1" sqref="E1"/>
      <selection pane="bottomLeft" activeCell="C13" sqref="C13"/>
      <selection pane="bottomRight" activeCell="B2" sqref="B2:O2"/>
    </sheetView>
  </sheetViews>
  <sheetFormatPr defaultColWidth="8.77734375" defaultRowHeight="12.75"/>
  <cols>
    <col min="1" max="2" width="8.77734375" style="1075"/>
    <col min="3" max="3" width="10.5546875" style="1075" customWidth="1"/>
    <col min="4" max="4" width="11.77734375" style="1075" customWidth="1"/>
    <col min="5" max="5" width="12.77734375" style="1075" customWidth="1"/>
    <col min="6" max="7" width="17.21875" style="1075" customWidth="1"/>
    <col min="8" max="8" width="17.21875" style="1077" customWidth="1"/>
    <col min="9" max="9" width="17.21875" style="1075" customWidth="1"/>
    <col min="10" max="10" width="11.77734375" style="1075" customWidth="1"/>
    <col min="11" max="11" width="10.5546875" style="1077" customWidth="1"/>
    <col min="12" max="12" width="12.109375" style="1075" bestFit="1" customWidth="1"/>
    <col min="13" max="13" width="15.77734375" style="1075" customWidth="1"/>
    <col min="14" max="14" width="13.21875" style="1075" customWidth="1"/>
    <col min="15" max="15" width="12.77734375" style="1075" bestFit="1" customWidth="1"/>
    <col min="16" max="16" width="10.5546875" style="1075" bestFit="1" customWidth="1"/>
    <col min="17" max="17" width="11" style="1075" customWidth="1"/>
    <col min="18" max="18" width="11.109375" style="1075" customWidth="1"/>
    <col min="19" max="19" width="11.5546875" style="1075" customWidth="1"/>
    <col min="20" max="20" width="13.77734375" style="1077" customWidth="1"/>
    <col min="21" max="21" width="14.6640625" style="1075" customWidth="1"/>
    <col min="22" max="22" width="18.77734375" style="1078" customWidth="1"/>
    <col min="23" max="23" width="15.21875" style="1075" customWidth="1"/>
    <col min="24" max="16384" width="8.77734375" style="1075"/>
  </cols>
  <sheetData>
    <row r="4" spans="4:24" ht="14.25">
      <c r="D4" s="1893" t="s">
        <v>1726</v>
      </c>
      <c r="E4" s="1893"/>
      <c r="F4" s="1893"/>
      <c r="G4" s="1893"/>
      <c r="H4" s="1893"/>
      <c r="I4" s="1893"/>
      <c r="J4" s="1893"/>
      <c r="K4" s="1893"/>
      <c r="L4" s="1893"/>
      <c r="M4" s="1893"/>
      <c r="N4" s="1893"/>
      <c r="O4" s="1893"/>
      <c r="P4" s="1893"/>
      <c r="Q4" s="1893"/>
      <c r="R4" s="1893"/>
      <c r="S4" s="1893"/>
      <c r="T4" s="1893"/>
      <c r="U4" s="754"/>
      <c r="V4" s="1076"/>
      <c r="W4" s="753"/>
      <c r="X4" s="753"/>
    </row>
    <row r="5" spans="4:24" ht="13.5" thickBot="1"/>
    <row r="6" spans="4:24" ht="13.5" thickTop="1">
      <c r="D6" s="1031"/>
      <c r="E6" s="1079"/>
      <c r="F6" s="1080"/>
      <c r="G6" s="1080"/>
      <c r="H6" s="1081"/>
      <c r="I6" s="1080"/>
      <c r="J6" s="1080"/>
      <c r="K6" s="1082"/>
      <c r="L6" s="1083"/>
      <c r="M6" s="1084"/>
      <c r="N6" s="1079"/>
      <c r="O6" s="1080"/>
      <c r="P6" s="1083"/>
      <c r="Q6" s="1084"/>
      <c r="R6" s="1084"/>
      <c r="S6" s="1084"/>
      <c r="T6" s="1085"/>
    </row>
    <row r="7" spans="4:24" ht="15" thickBot="1">
      <c r="D7" s="1086"/>
      <c r="E7" s="1890" t="s">
        <v>38</v>
      </c>
      <c r="F7" s="1891"/>
      <c r="G7" s="1891"/>
      <c r="H7" s="1891"/>
      <c r="I7" s="1891"/>
      <c r="J7" s="1891"/>
      <c r="K7" s="1892"/>
      <c r="L7" s="1087" t="s">
        <v>1694</v>
      </c>
      <c r="M7" s="1087" t="s">
        <v>1169</v>
      </c>
      <c r="N7" s="1890" t="s">
        <v>1166</v>
      </c>
      <c r="O7" s="1891"/>
      <c r="P7" s="1892"/>
      <c r="Q7" s="1043" t="s">
        <v>39</v>
      </c>
      <c r="R7" s="1043" t="s">
        <v>997</v>
      </c>
      <c r="S7" s="1043" t="s">
        <v>31</v>
      </c>
      <c r="T7" s="1043" t="s">
        <v>37</v>
      </c>
    </row>
    <row r="8" spans="4:24" ht="16.5" thickTop="1" thickBot="1">
      <c r="D8" s="1088"/>
      <c r="E8" s="1089"/>
      <c r="F8" s="1039"/>
      <c r="G8" s="1039"/>
      <c r="H8" s="1090"/>
      <c r="I8" s="1039"/>
      <c r="J8" s="1039"/>
      <c r="K8" s="1091"/>
      <c r="L8" s="1046"/>
      <c r="M8" s="1040"/>
      <c r="N8" s="1042"/>
      <c r="O8" s="1039"/>
      <c r="P8" s="1050"/>
      <c r="Q8" s="1043" t="s">
        <v>45</v>
      </c>
      <c r="R8" s="1043" t="s">
        <v>1167</v>
      </c>
      <c r="S8" s="1043" t="s">
        <v>1167</v>
      </c>
      <c r="T8" s="1043"/>
    </row>
    <row r="9" spans="4:24" ht="15.75" thickTop="1">
      <c r="D9" s="1092" t="s">
        <v>32</v>
      </c>
      <c r="E9" s="1092" t="s">
        <v>1168</v>
      </c>
      <c r="F9" s="1040" t="s">
        <v>1007</v>
      </c>
      <c r="G9" s="1040" t="s">
        <v>1713</v>
      </c>
      <c r="H9" s="1043" t="s">
        <v>1714</v>
      </c>
      <c r="I9" s="1093" t="s">
        <v>1715</v>
      </c>
      <c r="J9" s="1040" t="s">
        <v>1716</v>
      </c>
      <c r="K9" s="1043" t="s">
        <v>37</v>
      </c>
      <c r="L9" s="1040"/>
      <c r="M9" s="1040"/>
      <c r="N9" s="1044" t="s">
        <v>1005</v>
      </c>
      <c r="O9" s="1044" t="s">
        <v>1699</v>
      </c>
      <c r="P9" s="1040" t="s">
        <v>1717</v>
      </c>
      <c r="Q9" s="1043" t="s">
        <v>1008</v>
      </c>
      <c r="R9" s="1040"/>
      <c r="S9" s="1040"/>
      <c r="T9" s="1043"/>
    </row>
    <row r="10" spans="4:24" ht="15">
      <c r="D10" s="1088"/>
      <c r="E10" s="1092"/>
      <c r="F10" s="1040"/>
      <c r="G10" s="1040"/>
      <c r="H10" s="1043" t="s">
        <v>1718</v>
      </c>
      <c r="I10" s="1040" t="s">
        <v>1706</v>
      </c>
      <c r="J10" s="1040"/>
      <c r="K10" s="1043"/>
      <c r="L10" s="1040"/>
      <c r="M10" s="1040"/>
      <c r="N10" s="1040"/>
      <c r="O10" s="1040" t="s">
        <v>1719</v>
      </c>
      <c r="P10" s="1040" t="s">
        <v>1719</v>
      </c>
      <c r="Q10" s="1040"/>
      <c r="R10" s="1040"/>
      <c r="S10" s="1040"/>
      <c r="T10" s="1043"/>
    </row>
    <row r="11" spans="4:24" ht="15">
      <c r="D11" s="1088"/>
      <c r="E11" s="1092"/>
      <c r="F11" s="1040"/>
      <c r="G11" s="1040"/>
      <c r="H11" s="1043"/>
      <c r="I11" s="1040"/>
      <c r="J11" s="1040"/>
      <c r="K11" s="1043"/>
      <c r="L11" s="1040"/>
      <c r="M11" s="1040"/>
      <c r="N11" s="1040"/>
      <c r="O11" s="1040"/>
      <c r="P11" s="1040"/>
      <c r="Q11" s="1040"/>
      <c r="R11" s="1040"/>
      <c r="S11" s="1040"/>
      <c r="T11" s="1043"/>
    </row>
    <row r="12" spans="4:24" ht="15.75" thickBot="1">
      <c r="D12" s="1088"/>
      <c r="E12" s="1094"/>
      <c r="F12" s="1049"/>
      <c r="G12" s="1049"/>
      <c r="H12" s="1095"/>
      <c r="I12" s="1049"/>
      <c r="J12" s="1049"/>
      <c r="K12" s="1095"/>
      <c r="L12" s="1049"/>
      <c r="M12" s="1049"/>
      <c r="N12" s="1049"/>
      <c r="O12" s="1049"/>
      <c r="P12" s="1049"/>
      <c r="Q12" s="1049"/>
      <c r="R12" s="1049"/>
      <c r="S12" s="1049"/>
      <c r="T12" s="1095"/>
    </row>
    <row r="13" spans="4:24" ht="15.75" thickTop="1">
      <c r="D13" s="1096"/>
      <c r="E13" s="1088"/>
      <c r="F13" s="1041"/>
      <c r="G13" s="1041"/>
      <c r="H13" s="1097"/>
      <c r="I13" s="1041"/>
      <c r="J13" s="1041"/>
      <c r="K13" s="1097"/>
      <c r="L13" s="1041"/>
      <c r="M13" s="1041"/>
      <c r="N13" s="1041"/>
      <c r="O13" s="1041"/>
      <c r="P13" s="1041"/>
      <c r="Q13" s="1041"/>
      <c r="R13" s="1041"/>
      <c r="S13" s="1041"/>
      <c r="T13" s="1097"/>
      <c r="V13" s="1098" t="s">
        <v>1720</v>
      </c>
    </row>
    <row r="14" spans="4:24" ht="15">
      <c r="D14" s="1099">
        <v>2015</v>
      </c>
      <c r="E14" s="1088"/>
      <c r="F14" s="1041"/>
      <c r="G14" s="1041"/>
      <c r="H14" s="1097"/>
      <c r="I14" s="1041"/>
      <c r="J14" s="1041"/>
      <c r="K14" s="1097"/>
      <c r="L14" s="1041"/>
      <c r="M14" s="1041"/>
      <c r="N14" s="1041"/>
      <c r="O14" s="1041"/>
      <c r="P14" s="1041"/>
      <c r="Q14" s="1041"/>
      <c r="R14" s="1041"/>
      <c r="S14" s="1041"/>
      <c r="T14" s="1041"/>
      <c r="V14" s="1100"/>
      <c r="W14" s="1101" t="e">
        <f>+V15/#REF!</f>
        <v>#REF!</v>
      </c>
    </row>
    <row r="15" spans="4:24" ht="15">
      <c r="D15" s="1102" t="s">
        <v>1170</v>
      </c>
      <c r="E15" s="1103" t="e">
        <f>#REF!+'Table 8 Merchant Liabilities'!E15</f>
        <v>#REF!</v>
      </c>
      <c r="F15" s="1057" t="e">
        <f>#REF!</f>
        <v>#REF!</v>
      </c>
      <c r="G15" s="1057" t="e">
        <f>#REF!+'Table 8 Merchant Liabilities'!G15</f>
        <v>#REF!</v>
      </c>
      <c r="H15" s="1134" t="e">
        <f>SUM(E15:G15)</f>
        <v>#REF!</v>
      </c>
      <c r="I15" s="1059" t="e">
        <f>#REF!+'Table 8 Merchant Liabilities'!I15</f>
        <v>#REF!</v>
      </c>
      <c r="J15" s="1057" t="e">
        <f>#REF!+'Table 8 Merchant Liabilities'!J15</f>
        <v>#REF!</v>
      </c>
      <c r="K15" s="1059" t="e">
        <f>SUM(H15:J15)</f>
        <v>#REF!</v>
      </c>
      <c r="L15" s="1057" t="e">
        <f>#REF!+'Table 8 Merchant Liabilities'!L15</f>
        <v>#REF!</v>
      </c>
      <c r="M15" s="1057" t="e">
        <f>#REF!+'Table 8 Merchant Liabilities'!M15</f>
        <v>#REF!</v>
      </c>
      <c r="N15" s="1057" t="e">
        <f>#REF!+'Table 8 Merchant Liabilities'!N15</f>
        <v>#REF!</v>
      </c>
      <c r="O15" s="1057" t="e">
        <f>#REF!+'Table 8 Merchant Liabilities'!O15</f>
        <v>#REF!</v>
      </c>
      <c r="P15" s="1057" t="e">
        <f>#REF!+'Table 8 Merchant Liabilities'!P15</f>
        <v>#REF!</v>
      </c>
      <c r="Q15" s="1057" t="e">
        <f>#REF!+'Table 8 Merchant Liabilities'!Q15</f>
        <v>#REF!</v>
      </c>
      <c r="R15" s="1057" t="e">
        <f>#REF!+'Table 8 Merchant Liabilities'!R15</f>
        <v>#REF!</v>
      </c>
      <c r="S15" s="1057" t="e">
        <f>#REF!+'Table 8 Merchant Liabilities'!S15</f>
        <v>#REF!</v>
      </c>
      <c r="T15" s="1104" t="e">
        <f>SUM(K15:S15)</f>
        <v>#REF!</v>
      </c>
      <c r="V15" s="1105" t="e">
        <f>T15-'Table 8 Merchant Liabilities'!T15-#REF!</f>
        <v>#REF!</v>
      </c>
    </row>
    <row r="16" spans="4:24" ht="15">
      <c r="D16" s="1102" t="s">
        <v>1172</v>
      </c>
      <c r="E16" s="1103" t="e">
        <f>#REF!+'Table 8 Merchant Liabilities'!E16</f>
        <v>#REF!</v>
      </c>
      <c r="F16" s="1057" t="e">
        <f>#REF!</f>
        <v>#REF!</v>
      </c>
      <c r="G16" s="1057" t="e">
        <f>#REF!+'Table 8 Merchant Liabilities'!G16</f>
        <v>#REF!</v>
      </c>
      <c r="H16" s="1134" t="e">
        <f t="shared" ref="H16:H40" si="0">SUM(E16:G16)</f>
        <v>#REF!</v>
      </c>
      <c r="I16" s="1059" t="e">
        <f>#REF!+'Table 8 Merchant Liabilities'!I16</f>
        <v>#REF!</v>
      </c>
      <c r="J16" s="1057" t="e">
        <f>#REF!+'Table 8 Merchant Liabilities'!J16</f>
        <v>#REF!</v>
      </c>
      <c r="K16" s="1059" t="e">
        <f t="shared" ref="K16:K40" si="1">SUM(H16:J16)</f>
        <v>#REF!</v>
      </c>
      <c r="L16" s="1057" t="e">
        <f>#REF!+'Table 8 Merchant Liabilities'!L16</f>
        <v>#REF!</v>
      </c>
      <c r="M16" s="1057" t="e">
        <f>#REF!+'Table 8 Merchant Liabilities'!M16</f>
        <v>#REF!</v>
      </c>
      <c r="N16" s="1057" t="e">
        <f>#REF!+'Table 8 Merchant Liabilities'!N16</f>
        <v>#REF!</v>
      </c>
      <c r="O16" s="1057" t="e">
        <f>#REF!+'Table 8 Merchant Liabilities'!O16</f>
        <v>#REF!</v>
      </c>
      <c r="P16" s="1057" t="e">
        <f>#REF!+'Table 8 Merchant Liabilities'!P16</f>
        <v>#REF!</v>
      </c>
      <c r="Q16" s="1057" t="e">
        <f>#REF!+'Table 8 Merchant Liabilities'!Q16</f>
        <v>#REF!</v>
      </c>
      <c r="R16" s="1057" t="e">
        <f>#REF!+'Table 8 Merchant Liabilities'!R16</f>
        <v>#REF!</v>
      </c>
      <c r="S16" s="1057" t="e">
        <f>#REF!+'Table 8 Merchant Liabilities'!S16</f>
        <v>#REF!</v>
      </c>
      <c r="T16" s="1104" t="e">
        <f t="shared" ref="T16:T40" si="2">SUM(K16:S16)</f>
        <v>#REF!</v>
      </c>
      <c r="V16" s="1105" t="e">
        <f>T16-'Table 8 Merchant Liabilities'!T16-#REF!</f>
        <v>#REF!</v>
      </c>
    </row>
    <row r="17" spans="4:22" ht="15">
      <c r="D17" s="1102" t="s">
        <v>1173</v>
      </c>
      <c r="E17" s="1103" t="e">
        <f>#REF!+'Table 8 Merchant Liabilities'!E17</f>
        <v>#REF!</v>
      </c>
      <c r="F17" s="1057" t="e">
        <f>#REF!</f>
        <v>#REF!</v>
      </c>
      <c r="G17" s="1057" t="e">
        <f>#REF!+'Table 8 Merchant Liabilities'!G17</f>
        <v>#REF!</v>
      </c>
      <c r="H17" s="1134" t="e">
        <f t="shared" si="0"/>
        <v>#REF!</v>
      </c>
      <c r="I17" s="1059" t="e">
        <f>#REF!+'Table 8 Merchant Liabilities'!I17</f>
        <v>#REF!</v>
      </c>
      <c r="J17" s="1057" t="e">
        <f>#REF!+'Table 8 Merchant Liabilities'!J17</f>
        <v>#REF!</v>
      </c>
      <c r="K17" s="1059" t="e">
        <f t="shared" si="1"/>
        <v>#REF!</v>
      </c>
      <c r="L17" s="1057" t="e">
        <f>#REF!+'Table 8 Merchant Liabilities'!L17</f>
        <v>#REF!</v>
      </c>
      <c r="M17" s="1057" t="e">
        <f>#REF!+'Table 8 Merchant Liabilities'!M17</f>
        <v>#REF!</v>
      </c>
      <c r="N17" s="1057" t="e">
        <f>#REF!+'Table 8 Merchant Liabilities'!N17</f>
        <v>#REF!</v>
      </c>
      <c r="O17" s="1057" t="e">
        <f>#REF!+'Table 8 Merchant Liabilities'!O17</f>
        <v>#REF!</v>
      </c>
      <c r="P17" s="1057" t="e">
        <f>#REF!+'Table 8 Merchant Liabilities'!P17</f>
        <v>#REF!</v>
      </c>
      <c r="Q17" s="1057" t="e">
        <f>#REF!+'Table 8 Merchant Liabilities'!Q17</f>
        <v>#REF!</v>
      </c>
      <c r="R17" s="1057" t="e">
        <f>#REF!+'Table 8 Merchant Liabilities'!R17</f>
        <v>#REF!</v>
      </c>
      <c r="S17" s="1057" t="e">
        <f>#REF!+'Table 8 Merchant Liabilities'!S17</f>
        <v>#REF!</v>
      </c>
      <c r="T17" s="1104" t="e">
        <f t="shared" si="2"/>
        <v>#REF!</v>
      </c>
      <c r="V17" s="1105" t="e">
        <f>T17-'Table 8 Merchant Liabilities'!T17-#REF!</f>
        <v>#REF!</v>
      </c>
    </row>
    <row r="18" spans="4:22" ht="15">
      <c r="D18" s="1102" t="s">
        <v>1174</v>
      </c>
      <c r="E18" s="1103" t="e">
        <f>#REF!+'Table 8 Merchant Liabilities'!E18</f>
        <v>#REF!</v>
      </c>
      <c r="F18" s="1057" t="e">
        <f>#REF!</f>
        <v>#REF!</v>
      </c>
      <c r="G18" s="1057" t="e">
        <f>#REF!+'Table 8 Merchant Liabilities'!G18</f>
        <v>#REF!</v>
      </c>
      <c r="H18" s="1134" t="e">
        <f t="shared" si="0"/>
        <v>#REF!</v>
      </c>
      <c r="I18" s="1059" t="e">
        <f>#REF!+'Table 8 Merchant Liabilities'!I18</f>
        <v>#REF!</v>
      </c>
      <c r="J18" s="1057" t="e">
        <f>#REF!+'Table 8 Merchant Liabilities'!J18</f>
        <v>#REF!</v>
      </c>
      <c r="K18" s="1059" t="e">
        <f t="shared" si="1"/>
        <v>#REF!</v>
      </c>
      <c r="L18" s="1057" t="e">
        <f>#REF!+'Table 8 Merchant Liabilities'!L18</f>
        <v>#REF!</v>
      </c>
      <c r="M18" s="1057" t="e">
        <f>#REF!+'Table 8 Merchant Liabilities'!M18</f>
        <v>#REF!</v>
      </c>
      <c r="N18" s="1057" t="e">
        <f>#REF!+'Table 8 Merchant Liabilities'!N18</f>
        <v>#REF!</v>
      </c>
      <c r="O18" s="1057" t="e">
        <f>#REF!+'Table 8 Merchant Liabilities'!O18</f>
        <v>#REF!</v>
      </c>
      <c r="P18" s="1057" t="e">
        <f>#REF!+'Table 8 Merchant Liabilities'!P18</f>
        <v>#REF!</v>
      </c>
      <c r="Q18" s="1057" t="e">
        <f>#REF!+'Table 8 Merchant Liabilities'!Q18</f>
        <v>#REF!</v>
      </c>
      <c r="R18" s="1057" t="e">
        <f>#REF!+'Table 8 Merchant Liabilities'!R18</f>
        <v>#REF!</v>
      </c>
      <c r="S18" s="1057" t="e">
        <f>#REF!+'Table 8 Merchant Liabilities'!S18</f>
        <v>#REF!</v>
      </c>
      <c r="T18" s="1104" t="e">
        <f t="shared" si="2"/>
        <v>#REF!</v>
      </c>
      <c r="V18" s="1105" t="e">
        <f>T18-'Table 8 Merchant Liabilities'!T18-#REF!</f>
        <v>#REF!</v>
      </c>
    </row>
    <row r="19" spans="4:22" ht="15">
      <c r="D19" s="1102" t="s">
        <v>1165</v>
      </c>
      <c r="E19" s="1103" t="e">
        <f>#REF!+'Table 8 Merchant Liabilities'!E19</f>
        <v>#REF!</v>
      </c>
      <c r="F19" s="1057" t="e">
        <f>#REF!</f>
        <v>#REF!</v>
      </c>
      <c r="G19" s="1057" t="e">
        <f>#REF!+'Table 8 Merchant Liabilities'!G19</f>
        <v>#REF!</v>
      </c>
      <c r="H19" s="1134" t="e">
        <f t="shared" si="0"/>
        <v>#REF!</v>
      </c>
      <c r="I19" s="1059" t="e">
        <f>#REF!+'Table 8 Merchant Liabilities'!I19</f>
        <v>#REF!</v>
      </c>
      <c r="J19" s="1057" t="e">
        <f>#REF!+'Table 8 Merchant Liabilities'!J19</f>
        <v>#REF!</v>
      </c>
      <c r="K19" s="1059" t="e">
        <f t="shared" si="1"/>
        <v>#REF!</v>
      </c>
      <c r="L19" s="1057" t="e">
        <f>#REF!+'Table 8 Merchant Liabilities'!L19</f>
        <v>#REF!</v>
      </c>
      <c r="M19" s="1057" t="e">
        <f>#REF!+'Table 8 Merchant Liabilities'!M19</f>
        <v>#REF!</v>
      </c>
      <c r="N19" s="1057" t="e">
        <f>#REF!+'Table 8 Merchant Liabilities'!N19</f>
        <v>#REF!</v>
      </c>
      <c r="O19" s="1057" t="e">
        <f>#REF!+'Table 8 Merchant Liabilities'!O19</f>
        <v>#REF!</v>
      </c>
      <c r="P19" s="1057" t="e">
        <f>#REF!+'Table 8 Merchant Liabilities'!P19</f>
        <v>#REF!</v>
      </c>
      <c r="Q19" s="1057" t="e">
        <f>#REF!+'Table 8 Merchant Liabilities'!Q19</f>
        <v>#REF!</v>
      </c>
      <c r="R19" s="1057" t="e">
        <f>#REF!+'Table 8 Merchant Liabilities'!R19</f>
        <v>#REF!</v>
      </c>
      <c r="S19" s="1057" t="e">
        <f>#REF!+'Table 8 Merchant Liabilities'!S19</f>
        <v>#REF!</v>
      </c>
      <c r="T19" s="1104" t="e">
        <f t="shared" si="2"/>
        <v>#REF!</v>
      </c>
      <c r="V19" s="1105" t="e">
        <f>T19-'Table 8 Merchant Liabilities'!T19-#REF!</f>
        <v>#REF!</v>
      </c>
    </row>
    <row r="20" spans="4:22" ht="15">
      <c r="D20" s="1102" t="s">
        <v>1175</v>
      </c>
      <c r="E20" s="1103" t="e">
        <f>#REF!+'Table 8 Merchant Liabilities'!E20</f>
        <v>#REF!</v>
      </c>
      <c r="F20" s="1057" t="e">
        <f>#REF!</f>
        <v>#REF!</v>
      </c>
      <c r="G20" s="1057" t="e">
        <f>#REF!+'Table 8 Merchant Liabilities'!G20</f>
        <v>#REF!</v>
      </c>
      <c r="H20" s="1134" t="e">
        <f t="shared" si="0"/>
        <v>#REF!</v>
      </c>
      <c r="I20" s="1059" t="e">
        <f>#REF!+'Table 8 Merchant Liabilities'!I20</f>
        <v>#REF!</v>
      </c>
      <c r="J20" s="1057" t="e">
        <f>#REF!+'Table 8 Merchant Liabilities'!J20</f>
        <v>#REF!</v>
      </c>
      <c r="K20" s="1059" t="e">
        <f t="shared" si="1"/>
        <v>#REF!</v>
      </c>
      <c r="L20" s="1057" t="e">
        <f>#REF!+'Table 8 Merchant Liabilities'!L20</f>
        <v>#REF!</v>
      </c>
      <c r="M20" s="1057" t="e">
        <f>#REF!+'Table 8 Merchant Liabilities'!M20</f>
        <v>#REF!</v>
      </c>
      <c r="N20" s="1057" t="e">
        <f>#REF!+'Table 8 Merchant Liabilities'!N20</f>
        <v>#REF!</v>
      </c>
      <c r="O20" s="1057" t="e">
        <f>#REF!+'Table 8 Merchant Liabilities'!O20</f>
        <v>#REF!</v>
      </c>
      <c r="P20" s="1057" t="e">
        <f>#REF!+'Table 8 Merchant Liabilities'!P20</f>
        <v>#REF!</v>
      </c>
      <c r="Q20" s="1057" t="e">
        <f>#REF!+'Table 8 Merchant Liabilities'!Q20</f>
        <v>#REF!</v>
      </c>
      <c r="R20" s="1057" t="e">
        <f>#REF!+'Table 8 Merchant Liabilities'!R20</f>
        <v>#REF!</v>
      </c>
      <c r="S20" s="1057" t="e">
        <f>#REF!+'Table 8 Merchant Liabilities'!S20</f>
        <v>#REF!</v>
      </c>
      <c r="T20" s="1104" t="e">
        <f t="shared" si="2"/>
        <v>#REF!</v>
      </c>
      <c r="V20" s="1105" t="e">
        <f>T20-'Table 8 Merchant Liabilities'!T20-#REF!</f>
        <v>#REF!</v>
      </c>
    </row>
    <row r="21" spans="4:22" ht="15">
      <c r="D21" s="1102" t="s">
        <v>1176</v>
      </c>
      <c r="E21" s="1103" t="e">
        <f>#REF!+'Table 8 Merchant Liabilities'!E21</f>
        <v>#REF!</v>
      </c>
      <c r="F21" s="1057" t="e">
        <f>#REF!</f>
        <v>#REF!</v>
      </c>
      <c r="G21" s="1057" t="e">
        <f>#REF!+'Table 8 Merchant Liabilities'!G21</f>
        <v>#REF!</v>
      </c>
      <c r="H21" s="1134" t="e">
        <f t="shared" si="0"/>
        <v>#REF!</v>
      </c>
      <c r="I21" s="1059" t="e">
        <f>#REF!+'Table 8 Merchant Liabilities'!I21</f>
        <v>#REF!</v>
      </c>
      <c r="J21" s="1057" t="e">
        <f>#REF!+'Table 8 Merchant Liabilities'!J21</f>
        <v>#REF!</v>
      </c>
      <c r="K21" s="1059" t="e">
        <f t="shared" si="1"/>
        <v>#REF!</v>
      </c>
      <c r="L21" s="1057" t="e">
        <f>#REF!+'Table 8 Merchant Liabilities'!L21</f>
        <v>#REF!</v>
      </c>
      <c r="M21" s="1057" t="e">
        <f>#REF!+'Table 8 Merchant Liabilities'!M21</f>
        <v>#REF!</v>
      </c>
      <c r="N21" s="1057" t="e">
        <f>#REF!+'Table 8 Merchant Liabilities'!N21</f>
        <v>#REF!</v>
      </c>
      <c r="O21" s="1057" t="e">
        <f>#REF!+'Table 8 Merchant Liabilities'!O21</f>
        <v>#REF!</v>
      </c>
      <c r="P21" s="1057" t="e">
        <f>#REF!+'Table 8 Merchant Liabilities'!P21</f>
        <v>#REF!</v>
      </c>
      <c r="Q21" s="1057" t="e">
        <f>#REF!+'Table 8 Merchant Liabilities'!Q21</f>
        <v>#REF!</v>
      </c>
      <c r="R21" s="1057" t="e">
        <f>#REF!+'Table 8 Merchant Liabilities'!R21</f>
        <v>#REF!</v>
      </c>
      <c r="S21" s="1057" t="e">
        <f>#REF!+'Table 8 Merchant Liabilities'!S21</f>
        <v>#REF!</v>
      </c>
      <c r="T21" s="1104" t="e">
        <f t="shared" si="2"/>
        <v>#REF!</v>
      </c>
      <c r="V21" s="1105" t="e">
        <f>T21-'Table 8 Merchant Liabilities'!T21-#REF!</f>
        <v>#REF!</v>
      </c>
    </row>
    <row r="22" spans="4:22" ht="15">
      <c r="D22" s="1102" t="s">
        <v>1177</v>
      </c>
      <c r="E22" s="1103" t="e">
        <f>#REF!+'Table 8 Merchant Liabilities'!E22</f>
        <v>#REF!</v>
      </c>
      <c r="F22" s="1057" t="e">
        <f>#REF!</f>
        <v>#REF!</v>
      </c>
      <c r="G22" s="1057" t="e">
        <f>#REF!+'Table 8 Merchant Liabilities'!G22</f>
        <v>#REF!</v>
      </c>
      <c r="H22" s="1134" t="e">
        <f t="shared" si="0"/>
        <v>#REF!</v>
      </c>
      <c r="I22" s="1059" t="e">
        <f>#REF!+'Table 8 Merchant Liabilities'!I22</f>
        <v>#REF!</v>
      </c>
      <c r="J22" s="1057" t="e">
        <f>#REF!+'Table 8 Merchant Liabilities'!J22</f>
        <v>#REF!</v>
      </c>
      <c r="K22" s="1059" t="e">
        <f t="shared" si="1"/>
        <v>#REF!</v>
      </c>
      <c r="L22" s="1057" t="e">
        <f>#REF!+'Table 8 Merchant Liabilities'!L22</f>
        <v>#REF!</v>
      </c>
      <c r="M22" s="1057" t="e">
        <f>#REF!+'Table 8 Merchant Liabilities'!M22</f>
        <v>#REF!</v>
      </c>
      <c r="N22" s="1057" t="e">
        <f>#REF!+'Table 8 Merchant Liabilities'!N22</f>
        <v>#REF!</v>
      </c>
      <c r="O22" s="1057" t="e">
        <f>#REF!+'Table 8 Merchant Liabilities'!O22</f>
        <v>#REF!</v>
      </c>
      <c r="P22" s="1057" t="e">
        <f>#REF!+'Table 8 Merchant Liabilities'!P22</f>
        <v>#REF!</v>
      </c>
      <c r="Q22" s="1057" t="e">
        <f>#REF!+'Table 8 Merchant Liabilities'!Q22</f>
        <v>#REF!</v>
      </c>
      <c r="R22" s="1057" t="e">
        <f>#REF!+'Table 8 Merchant Liabilities'!R22</f>
        <v>#REF!</v>
      </c>
      <c r="S22" s="1057" t="e">
        <f>#REF!+'Table 8 Merchant Liabilities'!S22</f>
        <v>#REF!</v>
      </c>
      <c r="T22" s="1104" t="e">
        <f t="shared" si="2"/>
        <v>#REF!</v>
      </c>
      <c r="V22" s="1105" t="e">
        <f>T22-'Table 8 Merchant Liabilities'!T22-#REF!</f>
        <v>#REF!</v>
      </c>
    </row>
    <row r="23" spans="4:22" ht="15">
      <c r="D23" s="1102" t="s">
        <v>1178</v>
      </c>
      <c r="E23" s="1103" t="e">
        <f>#REF!+'Table 8 Merchant Liabilities'!E23</f>
        <v>#REF!</v>
      </c>
      <c r="F23" s="1057" t="e">
        <f>#REF!</f>
        <v>#REF!</v>
      </c>
      <c r="G23" s="1057" t="e">
        <f>#REF!+'Table 8 Merchant Liabilities'!G23</f>
        <v>#REF!</v>
      </c>
      <c r="H23" s="1134" t="e">
        <f t="shared" si="0"/>
        <v>#REF!</v>
      </c>
      <c r="I23" s="1059" t="e">
        <f>#REF!+'Table 8 Merchant Liabilities'!I23</f>
        <v>#REF!</v>
      </c>
      <c r="J23" s="1057" t="e">
        <f>#REF!+'Table 8 Merchant Liabilities'!J23</f>
        <v>#REF!</v>
      </c>
      <c r="K23" s="1059" t="e">
        <f t="shared" si="1"/>
        <v>#REF!</v>
      </c>
      <c r="L23" s="1057" t="e">
        <f>#REF!+'Table 8 Merchant Liabilities'!L23</f>
        <v>#REF!</v>
      </c>
      <c r="M23" s="1057" t="e">
        <f>#REF!+'Table 8 Merchant Liabilities'!M23</f>
        <v>#REF!</v>
      </c>
      <c r="N23" s="1057" t="e">
        <f>#REF!+'Table 8 Merchant Liabilities'!N23</f>
        <v>#REF!</v>
      </c>
      <c r="O23" s="1057" t="e">
        <f>#REF!+'Table 8 Merchant Liabilities'!O23</f>
        <v>#REF!</v>
      </c>
      <c r="P23" s="1057" t="e">
        <f>#REF!+'Table 8 Merchant Liabilities'!P23</f>
        <v>#REF!</v>
      </c>
      <c r="Q23" s="1057" t="e">
        <f>#REF!+'Table 8 Merchant Liabilities'!Q23</f>
        <v>#REF!</v>
      </c>
      <c r="R23" s="1057" t="e">
        <f>#REF!+'Table 8 Merchant Liabilities'!R23</f>
        <v>#REF!</v>
      </c>
      <c r="S23" s="1057" t="e">
        <f>#REF!+'Table 8 Merchant Liabilities'!S23</f>
        <v>#REF!</v>
      </c>
      <c r="T23" s="1104" t="e">
        <f t="shared" si="2"/>
        <v>#REF!</v>
      </c>
      <c r="V23" s="1105" t="e">
        <f>T23-'Table 8 Merchant Liabilities'!T23-#REF!</f>
        <v>#REF!</v>
      </c>
    </row>
    <row r="24" spans="4:22" ht="15">
      <c r="D24" s="1102" t="s">
        <v>1179</v>
      </c>
      <c r="E24" s="1103" t="e">
        <f>#REF!+'Table 8 Merchant Liabilities'!E24</f>
        <v>#REF!</v>
      </c>
      <c r="F24" s="1057" t="e">
        <f>#REF!</f>
        <v>#REF!</v>
      </c>
      <c r="G24" s="1057" t="e">
        <f>#REF!+'Table 8 Merchant Liabilities'!G24</f>
        <v>#REF!</v>
      </c>
      <c r="H24" s="1134" t="e">
        <f t="shared" si="0"/>
        <v>#REF!</v>
      </c>
      <c r="I24" s="1059" t="e">
        <f>#REF!+'Table 8 Merchant Liabilities'!I24</f>
        <v>#REF!</v>
      </c>
      <c r="J24" s="1057" t="e">
        <f>#REF!+'Table 8 Merchant Liabilities'!J24</f>
        <v>#REF!</v>
      </c>
      <c r="K24" s="1059" t="e">
        <f t="shared" si="1"/>
        <v>#REF!</v>
      </c>
      <c r="L24" s="1057" t="e">
        <f>#REF!+'Table 8 Merchant Liabilities'!L24</f>
        <v>#REF!</v>
      </c>
      <c r="M24" s="1057" t="e">
        <f>#REF!+'Table 8 Merchant Liabilities'!M24</f>
        <v>#REF!</v>
      </c>
      <c r="N24" s="1057" t="e">
        <f>#REF!+'Table 8 Merchant Liabilities'!N24</f>
        <v>#REF!</v>
      </c>
      <c r="O24" s="1057" t="e">
        <f>#REF!+'Table 8 Merchant Liabilities'!O24</f>
        <v>#REF!</v>
      </c>
      <c r="P24" s="1057" t="e">
        <f>#REF!+'Table 8 Merchant Liabilities'!P24</f>
        <v>#REF!</v>
      </c>
      <c r="Q24" s="1057" t="e">
        <f>#REF!+'Table 8 Merchant Liabilities'!Q24</f>
        <v>#REF!</v>
      </c>
      <c r="R24" s="1057" t="e">
        <f>#REF!+'Table 8 Merchant Liabilities'!R24</f>
        <v>#REF!</v>
      </c>
      <c r="S24" s="1057" t="e">
        <f>#REF!+'Table 8 Merchant Liabilities'!S24</f>
        <v>#REF!</v>
      </c>
      <c r="T24" s="1104" t="e">
        <f t="shared" si="2"/>
        <v>#REF!</v>
      </c>
      <c r="V24" s="1105" t="e">
        <f>T24-'Table 8 Merchant Liabilities'!T24-#REF!</f>
        <v>#REF!</v>
      </c>
    </row>
    <row r="25" spans="4:22" ht="15">
      <c r="D25" s="1102" t="s">
        <v>1180</v>
      </c>
      <c r="E25" s="1103" t="e">
        <f>#REF!+'Table 8 Merchant Liabilities'!E25</f>
        <v>#REF!</v>
      </c>
      <c r="F25" s="1057" t="e">
        <f>#REF!</f>
        <v>#REF!</v>
      </c>
      <c r="G25" s="1057" t="e">
        <f>#REF!+'Table 8 Merchant Liabilities'!G25</f>
        <v>#REF!</v>
      </c>
      <c r="H25" s="1134" t="e">
        <f t="shared" si="0"/>
        <v>#REF!</v>
      </c>
      <c r="I25" s="1059" t="e">
        <f>#REF!+'Table 8 Merchant Liabilities'!I25</f>
        <v>#REF!</v>
      </c>
      <c r="J25" s="1057" t="e">
        <f>#REF!+'Table 8 Merchant Liabilities'!J25</f>
        <v>#REF!</v>
      </c>
      <c r="K25" s="1059" t="e">
        <f t="shared" si="1"/>
        <v>#REF!</v>
      </c>
      <c r="L25" s="1057" t="e">
        <f>#REF!+'Table 8 Merchant Liabilities'!L25</f>
        <v>#REF!</v>
      </c>
      <c r="M25" s="1057" t="e">
        <f>#REF!+'Table 8 Merchant Liabilities'!M25</f>
        <v>#REF!</v>
      </c>
      <c r="N25" s="1057" t="e">
        <f>#REF!+'Table 8 Merchant Liabilities'!N25</f>
        <v>#REF!</v>
      </c>
      <c r="O25" s="1057" t="e">
        <f>#REF!+'Table 8 Merchant Liabilities'!O25</f>
        <v>#REF!</v>
      </c>
      <c r="P25" s="1057" t="e">
        <f>#REF!+'Table 8 Merchant Liabilities'!P25</f>
        <v>#REF!</v>
      </c>
      <c r="Q25" s="1057" t="e">
        <f>#REF!+'Table 8 Merchant Liabilities'!Q25</f>
        <v>#REF!</v>
      </c>
      <c r="R25" s="1057" t="e">
        <f>#REF!+'Table 8 Merchant Liabilities'!R25</f>
        <v>#REF!</v>
      </c>
      <c r="S25" s="1057" t="e">
        <f>#REF!+'Table 8 Merchant Liabilities'!S25</f>
        <v>#REF!</v>
      </c>
      <c r="T25" s="1104" t="e">
        <f t="shared" si="2"/>
        <v>#REF!</v>
      </c>
      <c r="V25" s="1105" t="e">
        <f>T25-'Table 8 Merchant Liabilities'!T25-#REF!</f>
        <v>#REF!</v>
      </c>
    </row>
    <row r="26" spans="4:22" ht="15">
      <c r="D26" s="1102" t="s">
        <v>1181</v>
      </c>
      <c r="E26" s="1103" t="e">
        <f>#REF!+'Table 8 Merchant Liabilities'!E26</f>
        <v>#REF!</v>
      </c>
      <c r="F26" s="1057" t="e">
        <f>#REF!</f>
        <v>#REF!</v>
      </c>
      <c r="G26" s="1057" t="e">
        <f>#REF!+'Table 8 Merchant Liabilities'!G26</f>
        <v>#REF!</v>
      </c>
      <c r="H26" s="1134" t="e">
        <f t="shared" si="0"/>
        <v>#REF!</v>
      </c>
      <c r="I26" s="1059" t="e">
        <f>#REF!+'Table 8 Merchant Liabilities'!I26</f>
        <v>#REF!</v>
      </c>
      <c r="J26" s="1057" t="e">
        <f>#REF!+'Table 8 Merchant Liabilities'!J26</f>
        <v>#REF!</v>
      </c>
      <c r="K26" s="1059" t="e">
        <f t="shared" si="1"/>
        <v>#REF!</v>
      </c>
      <c r="L26" s="1057" t="e">
        <f>#REF!+'Table 8 Merchant Liabilities'!L26</f>
        <v>#REF!</v>
      </c>
      <c r="M26" s="1057" t="e">
        <f>#REF!+'Table 8 Merchant Liabilities'!M26</f>
        <v>#REF!</v>
      </c>
      <c r="N26" s="1057" t="e">
        <f>#REF!+'Table 8 Merchant Liabilities'!N26</f>
        <v>#REF!</v>
      </c>
      <c r="O26" s="1057" t="e">
        <f>#REF!+'Table 8 Merchant Liabilities'!O26</f>
        <v>#REF!</v>
      </c>
      <c r="P26" s="1057" t="e">
        <f>#REF!+'Table 8 Merchant Liabilities'!P26</f>
        <v>#REF!</v>
      </c>
      <c r="Q26" s="1057" t="e">
        <f>#REF!+'Table 8 Merchant Liabilities'!Q26</f>
        <v>#REF!</v>
      </c>
      <c r="R26" s="1057" t="e">
        <f>#REF!+'Table 8 Merchant Liabilities'!R26</f>
        <v>#REF!</v>
      </c>
      <c r="S26" s="1057" t="e">
        <f>#REF!+'Table 8 Merchant Liabilities'!S26</f>
        <v>#REF!</v>
      </c>
      <c r="T26" s="1104" t="e">
        <f t="shared" si="2"/>
        <v>#REF!</v>
      </c>
      <c r="V26" s="1105" t="e">
        <f>T26-'Table 8 Merchant Liabilities'!T26-#REF!</f>
        <v>#REF!</v>
      </c>
    </row>
    <row r="27" spans="4:22" ht="15">
      <c r="D27" s="1102"/>
      <c r="E27" s="1103"/>
      <c r="F27" s="1057"/>
      <c r="G27" s="1057"/>
      <c r="H27" s="1134"/>
      <c r="I27" s="1059"/>
      <c r="J27" s="1057"/>
      <c r="K27" s="1059"/>
      <c r="L27" s="1057"/>
      <c r="M27" s="1057"/>
      <c r="N27" s="1057"/>
      <c r="O27" s="1057"/>
      <c r="P27" s="1057"/>
      <c r="Q27" s="1057"/>
      <c r="R27" s="1057"/>
      <c r="S27" s="1057"/>
      <c r="T27" s="1104"/>
      <c r="V27" s="1105"/>
    </row>
    <row r="28" spans="4:22" ht="15">
      <c r="D28" s="1099">
        <v>2016</v>
      </c>
      <c r="E28" s="1103"/>
      <c r="F28" s="1057"/>
      <c r="G28" s="1057"/>
      <c r="H28" s="1134"/>
      <c r="I28" s="1059"/>
      <c r="J28" s="1057"/>
      <c r="K28" s="1059"/>
      <c r="L28" s="1057"/>
      <c r="M28" s="1057"/>
      <c r="N28" s="1057"/>
      <c r="O28" s="1057"/>
      <c r="P28" s="1057"/>
      <c r="Q28" s="1057"/>
      <c r="R28" s="1057"/>
      <c r="S28" s="1057"/>
      <c r="T28" s="1104"/>
      <c r="V28" s="1105"/>
    </row>
    <row r="29" spans="4:22" ht="15">
      <c r="D29" s="1102" t="s">
        <v>1170</v>
      </c>
      <c r="E29" s="1103" t="e">
        <f>#REF!+'Table 8 Merchant Liabilities'!E29</f>
        <v>#REF!</v>
      </c>
      <c r="F29" s="1057" t="e">
        <f>#REF!</f>
        <v>#REF!</v>
      </c>
      <c r="G29" s="1057" t="e">
        <f>#REF!+'Table 8 Merchant Liabilities'!G29</f>
        <v>#REF!</v>
      </c>
      <c r="H29" s="1134" t="e">
        <f t="shared" si="0"/>
        <v>#REF!</v>
      </c>
      <c r="I29" s="1059" t="e">
        <f>#REF!+'Table 8 Merchant Liabilities'!I29</f>
        <v>#REF!</v>
      </c>
      <c r="J29" s="1057" t="e">
        <f>#REF!+'Table 8 Merchant Liabilities'!J29</f>
        <v>#REF!</v>
      </c>
      <c r="K29" s="1059" t="e">
        <f t="shared" si="1"/>
        <v>#REF!</v>
      </c>
      <c r="L29" s="1057" t="e">
        <f>#REF!+'Table 8 Merchant Liabilities'!L29</f>
        <v>#REF!</v>
      </c>
      <c r="M29" s="1057" t="e">
        <f>#REF!+'Table 8 Merchant Liabilities'!M29</f>
        <v>#REF!</v>
      </c>
      <c r="N29" s="1057" t="e">
        <f>#REF!+'Table 8 Merchant Liabilities'!N29</f>
        <v>#REF!</v>
      </c>
      <c r="O29" s="1057" t="e">
        <f>#REF!+'Table 8 Merchant Liabilities'!O29</f>
        <v>#REF!</v>
      </c>
      <c r="P29" s="1057" t="e">
        <f>#REF!+'Table 8 Merchant Liabilities'!P29</f>
        <v>#REF!</v>
      </c>
      <c r="Q29" s="1057" t="e">
        <f>#REF!+'Table 8 Merchant Liabilities'!Q29</f>
        <v>#REF!</v>
      </c>
      <c r="R29" s="1057" t="e">
        <f>#REF!+'Table 8 Merchant Liabilities'!R29</f>
        <v>#REF!</v>
      </c>
      <c r="S29" s="1057" t="e">
        <f>#REF!+'Table 8 Merchant Liabilities'!S29</f>
        <v>#REF!</v>
      </c>
      <c r="T29" s="1104" t="e">
        <f t="shared" si="2"/>
        <v>#REF!</v>
      </c>
      <c r="V29" s="1105" t="e">
        <f>T29-'Table 8 Merchant Liabilities'!T29-#REF!</f>
        <v>#REF!</v>
      </c>
    </row>
    <row r="30" spans="4:22" ht="15">
      <c r="D30" s="1102" t="s">
        <v>1172</v>
      </c>
      <c r="E30" s="1103" t="e">
        <f>#REF!+'Table 8 Merchant Liabilities'!E30</f>
        <v>#REF!</v>
      </c>
      <c r="F30" s="1057" t="e">
        <f>#REF!</f>
        <v>#REF!</v>
      </c>
      <c r="G30" s="1057" t="e">
        <f>#REF!+'Table 8 Merchant Liabilities'!G30</f>
        <v>#REF!</v>
      </c>
      <c r="H30" s="1134" t="e">
        <f t="shared" si="0"/>
        <v>#REF!</v>
      </c>
      <c r="I30" s="1059" t="e">
        <f>#REF!+'Table 8 Merchant Liabilities'!I30</f>
        <v>#REF!</v>
      </c>
      <c r="J30" s="1057" t="e">
        <f>#REF!+'Table 8 Merchant Liabilities'!J30</f>
        <v>#REF!</v>
      </c>
      <c r="K30" s="1059" t="e">
        <f t="shared" si="1"/>
        <v>#REF!</v>
      </c>
      <c r="L30" s="1057" t="e">
        <f>#REF!+'Table 8 Merchant Liabilities'!L30</f>
        <v>#REF!</v>
      </c>
      <c r="M30" s="1057" t="e">
        <f>#REF!+'Table 8 Merchant Liabilities'!M30</f>
        <v>#REF!</v>
      </c>
      <c r="N30" s="1057" t="e">
        <f>#REF!+'Table 8 Merchant Liabilities'!N30</f>
        <v>#REF!</v>
      </c>
      <c r="O30" s="1057" t="e">
        <f>#REF!+'Table 8 Merchant Liabilities'!O30</f>
        <v>#REF!</v>
      </c>
      <c r="P30" s="1057" t="e">
        <f>#REF!+'Table 8 Merchant Liabilities'!P30</f>
        <v>#REF!</v>
      </c>
      <c r="Q30" s="1057" t="e">
        <f>#REF!+'Table 8 Merchant Liabilities'!Q30</f>
        <v>#REF!</v>
      </c>
      <c r="R30" s="1057" t="e">
        <f>#REF!+'Table 8 Merchant Liabilities'!R30</f>
        <v>#REF!</v>
      </c>
      <c r="S30" s="1057" t="e">
        <f>#REF!+'Table 8 Merchant Liabilities'!S30</f>
        <v>#REF!</v>
      </c>
      <c r="T30" s="1104" t="e">
        <f t="shared" si="2"/>
        <v>#REF!</v>
      </c>
      <c r="V30" s="1105" t="e">
        <f>T30-'Table 8 Merchant Liabilities'!T30-#REF!</f>
        <v>#REF!</v>
      </c>
    </row>
    <row r="31" spans="4:22" ht="15">
      <c r="D31" s="1102" t="s">
        <v>1173</v>
      </c>
      <c r="E31" s="1103" t="e">
        <f>#REF!+'Table 8 Merchant Liabilities'!E31</f>
        <v>#REF!</v>
      </c>
      <c r="F31" s="1057" t="e">
        <f>#REF!</f>
        <v>#REF!</v>
      </c>
      <c r="G31" s="1057" t="e">
        <f>#REF!+'Table 8 Merchant Liabilities'!G31</f>
        <v>#REF!</v>
      </c>
      <c r="H31" s="1134" t="e">
        <f t="shared" si="0"/>
        <v>#REF!</v>
      </c>
      <c r="I31" s="1059" t="e">
        <f>#REF!+'Table 8 Merchant Liabilities'!I31</f>
        <v>#REF!</v>
      </c>
      <c r="J31" s="1057" t="e">
        <f>#REF!+'Table 8 Merchant Liabilities'!J31</f>
        <v>#REF!</v>
      </c>
      <c r="K31" s="1059" t="e">
        <f t="shared" si="1"/>
        <v>#REF!</v>
      </c>
      <c r="L31" s="1057" t="e">
        <f>#REF!+'Table 8 Merchant Liabilities'!L31</f>
        <v>#REF!</v>
      </c>
      <c r="M31" s="1057" t="e">
        <f>#REF!+'Table 8 Merchant Liabilities'!M31</f>
        <v>#REF!</v>
      </c>
      <c r="N31" s="1057" t="e">
        <f>#REF!+'Table 8 Merchant Liabilities'!N31</f>
        <v>#REF!</v>
      </c>
      <c r="O31" s="1057" t="e">
        <f>#REF!+'Table 8 Merchant Liabilities'!O31</f>
        <v>#REF!</v>
      </c>
      <c r="P31" s="1057" t="e">
        <f>#REF!+'Table 8 Merchant Liabilities'!P31</f>
        <v>#REF!</v>
      </c>
      <c r="Q31" s="1057" t="e">
        <f>#REF!+'Table 8 Merchant Liabilities'!Q31</f>
        <v>#REF!</v>
      </c>
      <c r="R31" s="1057" t="e">
        <f>#REF!+'Table 8 Merchant Liabilities'!R31</f>
        <v>#REF!</v>
      </c>
      <c r="S31" s="1057" t="e">
        <f>#REF!+'Table 8 Merchant Liabilities'!S31</f>
        <v>#REF!</v>
      </c>
      <c r="T31" s="1104" t="e">
        <f t="shared" si="2"/>
        <v>#REF!</v>
      </c>
      <c r="V31" s="1105" t="e">
        <f>T31-'Table 8 Merchant Liabilities'!T31-#REF!</f>
        <v>#REF!</v>
      </c>
    </row>
    <row r="32" spans="4:22" ht="15">
      <c r="D32" s="1102" t="s">
        <v>1174</v>
      </c>
      <c r="E32" s="1103" t="e">
        <f>#REF!+'Table 8 Merchant Liabilities'!E32</f>
        <v>#REF!</v>
      </c>
      <c r="F32" s="1057" t="e">
        <f>#REF!</f>
        <v>#REF!</v>
      </c>
      <c r="G32" s="1057" t="e">
        <f>#REF!+'Table 8 Merchant Liabilities'!G32</f>
        <v>#REF!</v>
      </c>
      <c r="H32" s="1134" t="e">
        <f t="shared" si="0"/>
        <v>#REF!</v>
      </c>
      <c r="I32" s="1059" t="e">
        <f>#REF!+'Table 8 Merchant Liabilities'!I32</f>
        <v>#REF!</v>
      </c>
      <c r="J32" s="1057" t="e">
        <f>#REF!+'Table 8 Merchant Liabilities'!J32</f>
        <v>#REF!</v>
      </c>
      <c r="K32" s="1059" t="e">
        <f t="shared" si="1"/>
        <v>#REF!</v>
      </c>
      <c r="L32" s="1057" t="e">
        <f>#REF!+'Table 8 Merchant Liabilities'!L32</f>
        <v>#REF!</v>
      </c>
      <c r="M32" s="1057" t="e">
        <f>#REF!+'Table 8 Merchant Liabilities'!M32</f>
        <v>#REF!</v>
      </c>
      <c r="N32" s="1057" t="e">
        <f>#REF!+'Table 8 Merchant Liabilities'!N32</f>
        <v>#REF!</v>
      </c>
      <c r="O32" s="1057" t="e">
        <f>#REF!+'Table 8 Merchant Liabilities'!O32</f>
        <v>#REF!</v>
      </c>
      <c r="P32" s="1057" t="e">
        <f>#REF!+'Table 8 Merchant Liabilities'!P32</f>
        <v>#REF!</v>
      </c>
      <c r="Q32" s="1057" t="e">
        <f>#REF!+'Table 8 Merchant Liabilities'!Q32</f>
        <v>#REF!</v>
      </c>
      <c r="R32" s="1057" t="e">
        <f>#REF!+'Table 8 Merchant Liabilities'!R32</f>
        <v>#REF!</v>
      </c>
      <c r="S32" s="1057" t="e">
        <f>#REF!+'Table 8 Merchant Liabilities'!S32</f>
        <v>#REF!</v>
      </c>
      <c r="T32" s="1104" t="e">
        <f t="shared" si="2"/>
        <v>#REF!</v>
      </c>
      <c r="V32" s="1105" t="e">
        <f>T32-'Table 8 Merchant Liabilities'!T32-#REF!</f>
        <v>#REF!</v>
      </c>
    </row>
    <row r="33" spans="4:23" ht="15">
      <c r="D33" s="1102" t="s">
        <v>1165</v>
      </c>
      <c r="E33" s="1103" t="e">
        <f>#REF!+'Table 8 Merchant Liabilities'!E33</f>
        <v>#REF!</v>
      </c>
      <c r="F33" s="1057" t="e">
        <f>#REF!</f>
        <v>#REF!</v>
      </c>
      <c r="G33" s="1057" t="e">
        <f>#REF!+'Table 8 Merchant Liabilities'!G33</f>
        <v>#REF!</v>
      </c>
      <c r="H33" s="1134" t="e">
        <f t="shared" si="0"/>
        <v>#REF!</v>
      </c>
      <c r="I33" s="1059" t="e">
        <f>#REF!+'Table 8 Merchant Liabilities'!I33</f>
        <v>#REF!</v>
      </c>
      <c r="J33" s="1057" t="e">
        <f>#REF!+'Table 8 Merchant Liabilities'!J33</f>
        <v>#REF!</v>
      </c>
      <c r="K33" s="1059" t="e">
        <f t="shared" si="1"/>
        <v>#REF!</v>
      </c>
      <c r="L33" s="1057" t="e">
        <f>#REF!+'Table 8 Merchant Liabilities'!L33</f>
        <v>#REF!</v>
      </c>
      <c r="M33" s="1057" t="e">
        <f>#REF!+'Table 8 Merchant Liabilities'!M33</f>
        <v>#REF!</v>
      </c>
      <c r="N33" s="1057" t="e">
        <f>#REF!+'Table 8 Merchant Liabilities'!N33</f>
        <v>#REF!</v>
      </c>
      <c r="O33" s="1057" t="e">
        <f>#REF!+'Table 8 Merchant Liabilities'!O33</f>
        <v>#REF!</v>
      </c>
      <c r="P33" s="1057" t="e">
        <f>#REF!+'Table 8 Merchant Liabilities'!P33</f>
        <v>#REF!</v>
      </c>
      <c r="Q33" s="1057" t="e">
        <f>#REF!+'Table 8 Merchant Liabilities'!Q33</f>
        <v>#REF!</v>
      </c>
      <c r="R33" s="1057" t="e">
        <f>#REF!+'Table 8 Merchant Liabilities'!R33</f>
        <v>#REF!</v>
      </c>
      <c r="S33" s="1057" t="e">
        <f>#REF!+'Table 8 Merchant Liabilities'!S33</f>
        <v>#REF!</v>
      </c>
      <c r="T33" s="1104" t="e">
        <f t="shared" si="2"/>
        <v>#REF!</v>
      </c>
      <c r="V33" s="1105" t="e">
        <f>T33-'Table 8 Merchant Liabilities'!T33-#REF!</f>
        <v>#REF!</v>
      </c>
    </row>
    <row r="34" spans="4:23" ht="15">
      <c r="D34" s="1102" t="s">
        <v>1203</v>
      </c>
      <c r="E34" s="1103" t="e">
        <f>#REF!+'Table 8 Merchant Liabilities'!E34</f>
        <v>#REF!</v>
      </c>
      <c r="F34" s="1057" t="e">
        <f>#REF!</f>
        <v>#REF!</v>
      </c>
      <c r="G34" s="1057" t="e">
        <f>#REF!+'Table 8 Merchant Liabilities'!G34</f>
        <v>#REF!</v>
      </c>
      <c r="H34" s="1134" t="e">
        <f t="shared" si="0"/>
        <v>#REF!</v>
      </c>
      <c r="I34" s="1059" t="e">
        <f>#REF!+'Table 8 Merchant Liabilities'!I34</f>
        <v>#REF!</v>
      </c>
      <c r="J34" s="1057" t="e">
        <f>#REF!+'Table 8 Merchant Liabilities'!J34</f>
        <v>#REF!</v>
      </c>
      <c r="K34" s="1059" t="e">
        <f t="shared" si="1"/>
        <v>#REF!</v>
      </c>
      <c r="L34" s="1057" t="e">
        <f>#REF!+'Table 8 Merchant Liabilities'!L34</f>
        <v>#REF!</v>
      </c>
      <c r="M34" s="1057" t="e">
        <f>#REF!+'Table 8 Merchant Liabilities'!M34</f>
        <v>#REF!</v>
      </c>
      <c r="N34" s="1057" t="e">
        <f>#REF!+'Table 8 Merchant Liabilities'!N34</f>
        <v>#REF!</v>
      </c>
      <c r="O34" s="1057" t="e">
        <f>#REF!+'Table 8 Merchant Liabilities'!O34</f>
        <v>#REF!</v>
      </c>
      <c r="P34" s="1057" t="e">
        <f>#REF!+'Table 8 Merchant Liabilities'!P34</f>
        <v>#REF!</v>
      </c>
      <c r="Q34" s="1057" t="e">
        <f>#REF!+'Table 8 Merchant Liabilities'!Q34</f>
        <v>#REF!</v>
      </c>
      <c r="R34" s="1057" t="e">
        <f>#REF!+'Table 8 Merchant Liabilities'!R34</f>
        <v>#REF!</v>
      </c>
      <c r="S34" s="1057" t="e">
        <f>#REF!+'Table 8 Merchant Liabilities'!S34</f>
        <v>#REF!</v>
      </c>
      <c r="T34" s="1104" t="e">
        <f t="shared" si="2"/>
        <v>#REF!</v>
      </c>
      <c r="V34" s="1105" t="e">
        <f>T34-'Table 8 Merchant Liabilities'!T34-#REF!</f>
        <v>#REF!</v>
      </c>
    </row>
    <row r="35" spans="4:23" ht="15">
      <c r="D35" s="1102" t="s">
        <v>1205</v>
      </c>
      <c r="E35" s="1103" t="e">
        <f>#REF!+'Table 8 Merchant Liabilities'!E35</f>
        <v>#REF!</v>
      </c>
      <c r="F35" s="1057" t="e">
        <f>#REF!</f>
        <v>#REF!</v>
      </c>
      <c r="G35" s="1057" t="e">
        <f>#REF!+'Table 8 Merchant Liabilities'!G35</f>
        <v>#REF!</v>
      </c>
      <c r="H35" s="1134" t="e">
        <f t="shared" si="0"/>
        <v>#REF!</v>
      </c>
      <c r="I35" s="1059" t="e">
        <f>#REF!+'Table 8 Merchant Liabilities'!I35</f>
        <v>#REF!</v>
      </c>
      <c r="J35" s="1057" t="e">
        <f>#REF!+'Table 8 Merchant Liabilities'!J35</f>
        <v>#REF!</v>
      </c>
      <c r="K35" s="1059" t="e">
        <f t="shared" si="1"/>
        <v>#REF!</v>
      </c>
      <c r="L35" s="1057" t="e">
        <f>#REF!+'Table 8 Merchant Liabilities'!L35</f>
        <v>#REF!</v>
      </c>
      <c r="M35" s="1057" t="e">
        <f>#REF!+'Table 8 Merchant Liabilities'!M35</f>
        <v>#REF!</v>
      </c>
      <c r="N35" s="1057" t="e">
        <f>#REF!+'Table 8 Merchant Liabilities'!N35</f>
        <v>#REF!</v>
      </c>
      <c r="O35" s="1057" t="e">
        <f>#REF!+'Table 8 Merchant Liabilities'!O35</f>
        <v>#REF!</v>
      </c>
      <c r="P35" s="1057" t="e">
        <f>#REF!+'Table 8 Merchant Liabilities'!P35</f>
        <v>#REF!</v>
      </c>
      <c r="Q35" s="1057" t="e">
        <f>#REF!+'Table 8 Merchant Liabilities'!Q35</f>
        <v>#REF!</v>
      </c>
      <c r="R35" s="1057" t="e">
        <f>#REF!+'Table 8 Merchant Liabilities'!R35</f>
        <v>#REF!</v>
      </c>
      <c r="S35" s="1057" t="e">
        <f>#REF!+'Table 8 Merchant Liabilities'!S35</f>
        <v>#REF!</v>
      </c>
      <c r="T35" s="1104" t="e">
        <f t="shared" si="2"/>
        <v>#REF!</v>
      </c>
      <c r="V35" s="1105" t="e">
        <f>T35-'Table 8 Merchant Liabilities'!T35-#REF!</f>
        <v>#REF!</v>
      </c>
    </row>
    <row r="36" spans="4:23" ht="15">
      <c r="D36" s="1102" t="s">
        <v>1177</v>
      </c>
      <c r="E36" s="1103" t="e">
        <f>#REF!+'Table 8 Merchant Liabilities'!E36</f>
        <v>#REF!</v>
      </c>
      <c r="F36" s="1057" t="e">
        <f>#REF!</f>
        <v>#REF!</v>
      </c>
      <c r="G36" s="1057" t="e">
        <f>#REF!+'Table 8 Merchant Liabilities'!G36</f>
        <v>#REF!</v>
      </c>
      <c r="H36" s="1134" t="e">
        <f t="shared" si="0"/>
        <v>#REF!</v>
      </c>
      <c r="I36" s="1059" t="e">
        <f>#REF!+'Table 8 Merchant Liabilities'!I36</f>
        <v>#REF!</v>
      </c>
      <c r="J36" s="1057" t="e">
        <f>#REF!+'Table 8 Merchant Liabilities'!J36</f>
        <v>#REF!</v>
      </c>
      <c r="K36" s="1059" t="e">
        <f t="shared" si="1"/>
        <v>#REF!</v>
      </c>
      <c r="L36" s="1057" t="e">
        <f>#REF!+'Table 8 Merchant Liabilities'!L36</f>
        <v>#REF!</v>
      </c>
      <c r="M36" s="1057" t="e">
        <f>#REF!+'Table 8 Merchant Liabilities'!M36</f>
        <v>#REF!</v>
      </c>
      <c r="N36" s="1057" t="e">
        <f>#REF!+'Table 8 Merchant Liabilities'!N36</f>
        <v>#REF!</v>
      </c>
      <c r="O36" s="1057" t="e">
        <f>#REF!+'Table 8 Merchant Liabilities'!O36</f>
        <v>#REF!</v>
      </c>
      <c r="P36" s="1057" t="e">
        <f>#REF!+'Table 8 Merchant Liabilities'!P36</f>
        <v>#REF!</v>
      </c>
      <c r="Q36" s="1057" t="e">
        <f>#REF!+'Table 8 Merchant Liabilities'!Q36</f>
        <v>#REF!</v>
      </c>
      <c r="R36" s="1057" t="e">
        <f>#REF!+'Table 8 Merchant Liabilities'!R36</f>
        <v>#REF!</v>
      </c>
      <c r="S36" s="1057" t="e">
        <f>#REF!+'Table 8 Merchant Liabilities'!S36</f>
        <v>#REF!</v>
      </c>
      <c r="T36" s="1104" t="e">
        <f t="shared" si="2"/>
        <v>#REF!</v>
      </c>
      <c r="V36" s="1105" t="e">
        <f>T36-'Table 8 Merchant Liabilities'!T36-#REF!</f>
        <v>#REF!</v>
      </c>
      <c r="W36" s="1106"/>
    </row>
    <row r="37" spans="4:23" ht="15">
      <c r="D37" s="1102" t="s">
        <v>1178</v>
      </c>
      <c r="E37" s="1103" t="e">
        <f>#REF!+'Table 8 Merchant Liabilities'!E37</f>
        <v>#REF!</v>
      </c>
      <c r="F37" s="1057" t="e">
        <f>#REF!</f>
        <v>#REF!</v>
      </c>
      <c r="G37" s="1057" t="e">
        <f>#REF!+'Table 8 Merchant Liabilities'!G37</f>
        <v>#REF!</v>
      </c>
      <c r="H37" s="1134" t="e">
        <f t="shared" si="0"/>
        <v>#REF!</v>
      </c>
      <c r="I37" s="1059" t="e">
        <f>#REF!+'Table 8 Merchant Liabilities'!I37</f>
        <v>#REF!</v>
      </c>
      <c r="J37" s="1057" t="e">
        <f>#REF!+'Table 8 Merchant Liabilities'!J37</f>
        <v>#REF!</v>
      </c>
      <c r="K37" s="1059" t="e">
        <f t="shared" si="1"/>
        <v>#REF!</v>
      </c>
      <c r="L37" s="1057" t="e">
        <f>#REF!+'Table 8 Merchant Liabilities'!L37</f>
        <v>#REF!</v>
      </c>
      <c r="M37" s="1057" t="e">
        <f>#REF!+'Table 8 Merchant Liabilities'!M37</f>
        <v>#REF!</v>
      </c>
      <c r="N37" s="1057" t="e">
        <f>#REF!+'Table 8 Merchant Liabilities'!N37</f>
        <v>#REF!</v>
      </c>
      <c r="O37" s="1057" t="e">
        <f>#REF!+'Table 8 Merchant Liabilities'!O37</f>
        <v>#REF!</v>
      </c>
      <c r="P37" s="1057" t="e">
        <f>#REF!+'Table 8 Merchant Liabilities'!P37</f>
        <v>#REF!</v>
      </c>
      <c r="Q37" s="1057" t="e">
        <f>#REF!+'Table 8 Merchant Liabilities'!Q37</f>
        <v>#REF!</v>
      </c>
      <c r="R37" s="1057" t="e">
        <f>#REF!+'Table 8 Merchant Liabilities'!R37</f>
        <v>#REF!</v>
      </c>
      <c r="S37" s="1057" t="e">
        <f>#REF!+'Table 8 Merchant Liabilities'!S37</f>
        <v>#REF!</v>
      </c>
      <c r="T37" s="1104" t="e">
        <f t="shared" si="2"/>
        <v>#REF!</v>
      </c>
      <c r="V37" s="1105" t="e">
        <f>T37-'Table 8 Merchant Liabilities'!T37-#REF!</f>
        <v>#REF!</v>
      </c>
      <c r="W37" s="1106"/>
    </row>
    <row r="38" spans="4:23" ht="15">
      <c r="D38" s="1102" t="s">
        <v>1179</v>
      </c>
      <c r="E38" s="1103" t="e">
        <f>#REF!+'Table 8 Merchant Liabilities'!E38</f>
        <v>#REF!</v>
      </c>
      <c r="F38" s="1057" t="e">
        <f>#REF!</f>
        <v>#REF!</v>
      </c>
      <c r="G38" s="1057" t="e">
        <f>#REF!+'Table 8 Merchant Liabilities'!G38</f>
        <v>#REF!</v>
      </c>
      <c r="H38" s="1134" t="e">
        <f t="shared" si="0"/>
        <v>#REF!</v>
      </c>
      <c r="I38" s="1059" t="e">
        <f>#REF!+'Table 8 Merchant Liabilities'!I38</f>
        <v>#REF!</v>
      </c>
      <c r="J38" s="1057" t="e">
        <f>#REF!+'Table 8 Merchant Liabilities'!J38</f>
        <v>#REF!</v>
      </c>
      <c r="K38" s="1059" t="e">
        <f t="shared" si="1"/>
        <v>#REF!</v>
      </c>
      <c r="L38" s="1057" t="e">
        <f>#REF!+'Table 8 Merchant Liabilities'!L38</f>
        <v>#REF!</v>
      </c>
      <c r="M38" s="1057" t="e">
        <f>#REF!+'Table 8 Merchant Liabilities'!M38</f>
        <v>#REF!</v>
      </c>
      <c r="N38" s="1057" t="e">
        <f>#REF!+'Table 8 Merchant Liabilities'!N38</f>
        <v>#REF!</v>
      </c>
      <c r="O38" s="1057" t="e">
        <f>#REF!+'Table 8 Merchant Liabilities'!O38</f>
        <v>#REF!</v>
      </c>
      <c r="P38" s="1057" t="e">
        <f>#REF!+'Table 8 Merchant Liabilities'!P38</f>
        <v>#REF!</v>
      </c>
      <c r="Q38" s="1057" t="e">
        <f>#REF!+'Table 8 Merchant Liabilities'!Q38</f>
        <v>#REF!</v>
      </c>
      <c r="R38" s="1057" t="e">
        <f>#REF!+'Table 8 Merchant Liabilities'!R38</f>
        <v>#REF!</v>
      </c>
      <c r="S38" s="1057" t="e">
        <f>#REF!+'Table 8 Merchant Liabilities'!S38</f>
        <v>#REF!</v>
      </c>
      <c r="T38" s="1104" t="e">
        <f t="shared" si="2"/>
        <v>#REF!</v>
      </c>
      <c r="V38" s="1105" t="e">
        <f>T38-'Table 8 Merchant Liabilities'!T38-#REF!</f>
        <v>#REF!</v>
      </c>
      <c r="W38" s="1106"/>
    </row>
    <row r="39" spans="4:23" ht="15">
      <c r="D39" s="1102" t="s">
        <v>1180</v>
      </c>
      <c r="E39" s="1103" t="e">
        <f>#REF!+'Table 8 Merchant Liabilities'!E39</f>
        <v>#REF!</v>
      </c>
      <c r="F39" s="1057" t="e">
        <f>#REF!</f>
        <v>#REF!</v>
      </c>
      <c r="G39" s="1057" t="e">
        <f>#REF!+'Table 8 Merchant Liabilities'!G39</f>
        <v>#REF!</v>
      </c>
      <c r="H39" s="1134" t="e">
        <f t="shared" si="0"/>
        <v>#REF!</v>
      </c>
      <c r="I39" s="1059" t="e">
        <f>#REF!+'Table 8 Merchant Liabilities'!I39</f>
        <v>#REF!</v>
      </c>
      <c r="J39" s="1057" t="e">
        <f>#REF!+'Table 8 Merchant Liabilities'!J39</f>
        <v>#REF!</v>
      </c>
      <c r="K39" s="1059" t="e">
        <f t="shared" si="1"/>
        <v>#REF!</v>
      </c>
      <c r="L39" s="1057" t="e">
        <f>#REF!+'Table 8 Merchant Liabilities'!L39</f>
        <v>#REF!</v>
      </c>
      <c r="M39" s="1057" t="e">
        <f>#REF!+'Table 8 Merchant Liabilities'!M39</f>
        <v>#REF!</v>
      </c>
      <c r="N39" s="1057" t="e">
        <f>#REF!+'Table 8 Merchant Liabilities'!N39</f>
        <v>#REF!</v>
      </c>
      <c r="O39" s="1057" t="e">
        <f>#REF!+'Table 8 Merchant Liabilities'!O39</f>
        <v>#REF!</v>
      </c>
      <c r="P39" s="1057" t="e">
        <f>#REF!+'Table 8 Merchant Liabilities'!P39</f>
        <v>#REF!</v>
      </c>
      <c r="Q39" s="1057" t="e">
        <f>#REF!+'Table 8 Merchant Liabilities'!Q39</f>
        <v>#REF!</v>
      </c>
      <c r="R39" s="1057" t="e">
        <f>#REF!+'Table 8 Merchant Liabilities'!R39</f>
        <v>#REF!</v>
      </c>
      <c r="S39" s="1057" t="e">
        <f>#REF!+'Table 8 Merchant Liabilities'!S39</f>
        <v>#REF!</v>
      </c>
      <c r="T39" s="1104" t="e">
        <f t="shared" si="2"/>
        <v>#REF!</v>
      </c>
      <c r="V39" s="1105" t="e">
        <f>T39-'Table 8 Merchant Liabilities'!T39-#REF!</f>
        <v>#REF!</v>
      </c>
      <c r="W39" s="1106"/>
    </row>
    <row r="40" spans="4:23" ht="15">
      <c r="D40" s="1102" t="s">
        <v>1181</v>
      </c>
      <c r="E40" s="1103" t="e">
        <f>#REF!+'Table 8 Merchant Liabilities'!E40</f>
        <v>#REF!</v>
      </c>
      <c r="F40" s="1057" t="e">
        <f>#REF!</f>
        <v>#REF!</v>
      </c>
      <c r="G40" s="1057" t="e">
        <f>#REF!+'Table 8 Merchant Liabilities'!G40</f>
        <v>#REF!</v>
      </c>
      <c r="H40" s="1134" t="e">
        <f t="shared" si="0"/>
        <v>#REF!</v>
      </c>
      <c r="I40" s="1059" t="e">
        <f>#REF!+'Table 8 Merchant Liabilities'!I40</f>
        <v>#REF!</v>
      </c>
      <c r="J40" s="1057" t="e">
        <f>#REF!+'Table 8 Merchant Liabilities'!J40</f>
        <v>#REF!</v>
      </c>
      <c r="K40" s="1059" t="e">
        <f t="shared" si="1"/>
        <v>#REF!</v>
      </c>
      <c r="L40" s="1057" t="e">
        <f>#REF!+'Table 8 Merchant Liabilities'!L40</f>
        <v>#REF!</v>
      </c>
      <c r="M40" s="1057" t="e">
        <f>#REF!+'Table 8 Merchant Liabilities'!M40</f>
        <v>#REF!</v>
      </c>
      <c r="N40" s="1057" t="e">
        <f>#REF!+'Table 8 Merchant Liabilities'!N40</f>
        <v>#REF!</v>
      </c>
      <c r="O40" s="1057" t="e">
        <f>#REF!+'Table 8 Merchant Liabilities'!O40</f>
        <v>#REF!</v>
      </c>
      <c r="P40" s="1057" t="e">
        <f>#REF!+'Table 8 Merchant Liabilities'!P40</f>
        <v>#REF!</v>
      </c>
      <c r="Q40" s="1057" t="e">
        <f>#REF!+'Table 8 Merchant Liabilities'!Q40</f>
        <v>#REF!</v>
      </c>
      <c r="R40" s="1057" t="e">
        <f>#REF!+'Table 8 Merchant Liabilities'!R40</f>
        <v>#REF!</v>
      </c>
      <c r="S40" s="1057" t="e">
        <f>#REF!+'Table 8 Merchant Liabilities'!S40</f>
        <v>#REF!</v>
      </c>
      <c r="T40" s="1104" t="e">
        <f t="shared" si="2"/>
        <v>#REF!</v>
      </c>
      <c r="V40" s="1105" t="e">
        <f>T40-'Table 8 Merchant Liabilities'!T40-#REF!</f>
        <v>#REF!</v>
      </c>
      <c r="W40" s="1106"/>
    </row>
    <row r="41" spans="4:23" ht="15">
      <c r="D41" s="1102"/>
      <c r="E41" s="1103"/>
      <c r="F41" s="1057"/>
      <c r="G41" s="1057"/>
      <c r="H41" s="1059"/>
      <c r="I41" s="1057"/>
      <c r="J41" s="1057"/>
      <c r="K41" s="1059"/>
      <c r="L41" s="1057"/>
      <c r="M41" s="1057"/>
      <c r="N41" s="1057"/>
      <c r="O41" s="1057"/>
      <c r="P41" s="1057"/>
      <c r="Q41" s="1057"/>
      <c r="R41" s="1057"/>
      <c r="S41" s="1057"/>
      <c r="T41" s="1104"/>
      <c r="W41" s="1106"/>
    </row>
    <row r="42" spans="4:23" ht="15">
      <c r="D42" s="1099">
        <v>2017</v>
      </c>
      <c r="E42" s="1103"/>
      <c r="F42" s="1057"/>
      <c r="G42" s="1057"/>
      <c r="H42" s="1059"/>
      <c r="I42" s="1057"/>
      <c r="J42" s="1057"/>
      <c r="K42" s="1059"/>
      <c r="L42" s="1057"/>
      <c r="M42" s="1057"/>
      <c r="N42" s="1057"/>
      <c r="O42" s="1057"/>
      <c r="P42" s="1057"/>
      <c r="Q42" s="1057"/>
      <c r="R42" s="1057"/>
      <c r="S42" s="1057"/>
      <c r="T42" s="1059"/>
      <c r="U42" s="1107"/>
      <c r="V42" s="1109"/>
      <c r="W42" s="1106"/>
    </row>
    <row r="43" spans="4:23" ht="15">
      <c r="D43" s="1102" t="s">
        <v>1170</v>
      </c>
      <c r="E43" s="1103" t="e">
        <f>#REF!+'Table 8 Merchant Liabilities'!E43</f>
        <v>#REF!</v>
      </c>
      <c r="F43" s="1057" t="e">
        <f>#REF!</f>
        <v>#REF!</v>
      </c>
      <c r="G43" s="1057" t="e">
        <f>#REF!+'Table 8 Merchant Liabilities'!G43</f>
        <v>#REF!</v>
      </c>
      <c r="H43" s="1134" t="e">
        <f>SUM(E43:G43)</f>
        <v>#REF!</v>
      </c>
      <c r="I43" s="1059" t="e">
        <f>#REF!+'Table 8 Merchant Liabilities'!I43</f>
        <v>#REF!</v>
      </c>
      <c r="J43" s="1057" t="e">
        <f>#REF!+'Table 8 Merchant Liabilities'!J43</f>
        <v>#REF!</v>
      </c>
      <c r="K43" s="1059" t="e">
        <f>SUM(H43:J43)</f>
        <v>#REF!</v>
      </c>
      <c r="L43" s="1057" t="e">
        <f>#REF!+'Table 8 Merchant Liabilities'!L43</f>
        <v>#REF!</v>
      </c>
      <c r="M43" s="1057" t="e">
        <f>#REF!+'Table 8 Merchant Liabilities'!M43</f>
        <v>#REF!</v>
      </c>
      <c r="N43" s="1057" t="e">
        <f>#REF!+'Table 8 Merchant Liabilities'!N43</f>
        <v>#REF!</v>
      </c>
      <c r="O43" s="1057" t="e">
        <f>#REF!+'Table 8 Merchant Liabilities'!O43</f>
        <v>#REF!</v>
      </c>
      <c r="P43" s="1057" t="e">
        <f>#REF!+'Table 8 Merchant Liabilities'!P43</f>
        <v>#REF!</v>
      </c>
      <c r="Q43" s="1057" t="e">
        <f>#REF!+'Table 8 Merchant Liabilities'!Q43</f>
        <v>#REF!</v>
      </c>
      <c r="R43" s="1057" t="e">
        <f>#REF!+'Table 8 Merchant Liabilities'!R43</f>
        <v>#REF!</v>
      </c>
      <c r="S43" s="1057" t="e">
        <f>#REF!+'Table 8 Merchant Liabilities'!S43</f>
        <v>#REF!</v>
      </c>
      <c r="T43" s="1104" t="e">
        <f>SUM(K43:S43)</f>
        <v>#REF!</v>
      </c>
      <c r="V43" s="1105" t="e">
        <f>T43-'Table 8 Merchant Liabilities'!T43-#REF!</f>
        <v>#REF!</v>
      </c>
      <c r="W43" s="1106"/>
    </row>
    <row r="44" spans="4:23" ht="15">
      <c r="D44" s="1102" t="s">
        <v>1172</v>
      </c>
      <c r="E44" s="1103" t="e">
        <f>#REF!+'Table 8 Merchant Liabilities'!E44</f>
        <v>#REF!</v>
      </c>
      <c r="F44" s="1057" t="e">
        <f>#REF!</f>
        <v>#REF!</v>
      </c>
      <c r="G44" s="1057" t="e">
        <f>#REF!+'Table 8 Merchant Liabilities'!G44</f>
        <v>#REF!</v>
      </c>
      <c r="H44" s="1134" t="e">
        <f>SUM(E44:G44)</f>
        <v>#REF!</v>
      </c>
      <c r="I44" s="1059" t="e">
        <f>#REF!+'Table 8 Merchant Liabilities'!I44</f>
        <v>#REF!</v>
      </c>
      <c r="J44" s="1057" t="e">
        <f>#REF!+'Table 8 Merchant Liabilities'!J44</f>
        <v>#REF!</v>
      </c>
      <c r="K44" s="1059" t="e">
        <f>SUM(H44:J44)</f>
        <v>#REF!</v>
      </c>
      <c r="L44" s="1057" t="e">
        <f>#REF!+'Table 8 Merchant Liabilities'!L44</f>
        <v>#REF!</v>
      </c>
      <c r="M44" s="1057" t="e">
        <f>#REF!+'Table 8 Merchant Liabilities'!M44</f>
        <v>#REF!</v>
      </c>
      <c r="N44" s="1057" t="e">
        <f>#REF!+'Table 8 Merchant Liabilities'!N44</f>
        <v>#REF!</v>
      </c>
      <c r="O44" s="1057" t="e">
        <f>#REF!+'Table 8 Merchant Liabilities'!O44</f>
        <v>#REF!</v>
      </c>
      <c r="P44" s="1057" t="e">
        <f>#REF!+'Table 8 Merchant Liabilities'!P44</f>
        <v>#REF!</v>
      </c>
      <c r="Q44" s="1057" t="e">
        <f>#REF!+'Table 8 Merchant Liabilities'!Q44</f>
        <v>#REF!</v>
      </c>
      <c r="R44" s="1057" t="e">
        <f>#REF!+'Table 8 Merchant Liabilities'!R44</f>
        <v>#REF!</v>
      </c>
      <c r="S44" s="1057" t="e">
        <f>#REF!+'Table 8 Merchant Liabilities'!S44</f>
        <v>#REF!</v>
      </c>
      <c r="T44" s="1104" t="e">
        <f>SUM(K44:S44)</f>
        <v>#REF!</v>
      </c>
      <c r="V44" s="1105" t="e">
        <f>T44-'Table 8 Merchant Liabilities'!T44-#REF!</f>
        <v>#REF!</v>
      </c>
      <c r="W44" s="1106"/>
    </row>
    <row r="45" spans="4:23" ht="15.75" thickBot="1">
      <c r="D45" s="1114"/>
      <c r="E45" s="1124"/>
      <c r="F45" s="1127"/>
      <c r="G45" s="1127"/>
      <c r="H45" s="1128"/>
      <c r="I45" s="1127"/>
      <c r="J45" s="1127"/>
      <c r="K45" s="1128"/>
      <c r="L45" s="1127"/>
      <c r="M45" s="1127"/>
      <c r="N45" s="1127"/>
      <c r="O45" s="1127"/>
      <c r="P45" s="1127"/>
      <c r="Q45" s="1127"/>
      <c r="R45" s="1127"/>
      <c r="S45" s="1127"/>
      <c r="T45" s="1128"/>
      <c r="U45" s="1100"/>
    </row>
    <row r="46" spans="4:23" ht="13.5" thickTop="1">
      <c r="D46" s="1129"/>
      <c r="E46" s="1130"/>
      <c r="F46" s="1130"/>
      <c r="G46" s="1130"/>
      <c r="H46" s="1131"/>
      <c r="I46" s="1130"/>
      <c r="J46" s="1130"/>
      <c r="K46" s="1132"/>
      <c r="L46" s="1133"/>
      <c r="M46" s="1133"/>
      <c r="N46" s="1133"/>
      <c r="O46" s="1133"/>
      <c r="P46" s="1133"/>
      <c r="Q46" s="1133"/>
      <c r="R46" s="1133"/>
      <c r="S46" s="1133"/>
      <c r="T46" s="1132"/>
      <c r="U46" s="1100"/>
    </row>
    <row r="47" spans="4:23" ht="16.5">
      <c r="D47" s="963" t="s">
        <v>1360</v>
      </c>
      <c r="E47" s="926"/>
      <c r="F47" s="926"/>
    </row>
  </sheetData>
  <customSheetViews>
    <customSheetView guid="{705E0D18-9A83-42CA-8732-90923BE2EC7D}" scale="85" showPageBreaks="1" showGridLines="0" fitToPage="1" printArea="1" state="hidden" topLeftCell="C1">
      <pane xSplit="2" ySplit="12" topLeftCell="E40" activePane="bottomRight" state="frozen"/>
      <selection pane="bottomRight" activeCell="B2" sqref="B2:O2"/>
      <pageMargins left="0.09" right="0.13" top="0.6" bottom="0.53" header="0.5" footer="0.5"/>
      <pageSetup scale="44" orientation="landscape" horizontalDpi="300" verticalDpi="300" r:id="rId1"/>
      <headerFooter alignWithMargins="0"/>
    </customSheetView>
    <customSheetView guid="{D45E5F9E-4EA6-40A2-8A1D-3AC67FB8CE54}" scale="85" showPageBreaks="1" showGridLines="0" fitToPage="1" printArea="1" state="hidden" topLeftCell="C1">
      <pane xSplit="2" ySplit="12" topLeftCell="E40" activePane="bottomRight" state="frozen"/>
      <selection pane="bottomRight" activeCell="B2" sqref="B2:O2"/>
      <pageMargins left="0.09" right="0.13" top="0.6" bottom="0.53" header="0.5" footer="0.5"/>
      <pageSetup scale="44" orientation="landscape" horizontalDpi="300" verticalDpi="300" r:id="rId2"/>
      <headerFooter alignWithMargins="0"/>
    </customSheetView>
    <customSheetView guid="{89CA84C2-78F5-4B05-8F1D-B7C5F97BCB4E}" scale="85" showPageBreaks="1" showGridLines="0" fitToPage="1" printArea="1" state="hidden" topLeftCell="C1">
      <pane xSplit="2" ySplit="12" topLeftCell="E40" activePane="bottomRight" state="frozen"/>
      <selection pane="bottomRight" activeCell="B2" sqref="B2:O2"/>
      <pageMargins left="0.09" right="0.13" top="0.6" bottom="0.53" header="0.5" footer="0.5"/>
      <pageSetup scale="44" orientation="landscape" horizontalDpi="300" verticalDpi="300" r:id="rId3"/>
      <headerFooter alignWithMargins="0"/>
    </customSheetView>
  </customSheetViews>
  <mergeCells count="3">
    <mergeCell ref="D4:T4"/>
    <mergeCell ref="E7:K7"/>
    <mergeCell ref="N7:P7"/>
  </mergeCells>
  <pageMargins left="0.09" right="0.13" top="0.6" bottom="0.53" header="0.5" footer="0.5"/>
  <pageSetup scale="45" orientation="landscape" horizontalDpi="300" verticalDpi="300" r:id="rId4"/>
  <headerFooter alignWithMargins="0"/>
  <drawing r:id="rId5"/>
  <legacyDrawing r:id="rId6"/>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autoPageBreaks="0" fitToPage="1"/>
  </sheetPr>
  <dimension ref="A1:V175"/>
  <sheetViews>
    <sheetView showGridLines="0" showOutlineSymbols="0" topLeftCell="A31" zoomScale="85" zoomScaleNormal="85" zoomScaleSheetLayoutView="100" workbookViewId="0">
      <selection activeCell="B2" sqref="B2:O2"/>
    </sheetView>
  </sheetViews>
  <sheetFormatPr defaultColWidth="8.6640625" defaultRowHeight="11.25"/>
  <cols>
    <col min="1" max="1" width="10.109375" style="614" customWidth="1"/>
    <col min="2" max="3" width="8.77734375" style="614" customWidth="1"/>
    <col min="4" max="4" width="10.77734375" style="614" customWidth="1"/>
    <col min="5" max="5" width="11" style="614" customWidth="1"/>
    <col min="6" max="6" width="13.77734375" style="614" customWidth="1"/>
    <col min="7" max="8" width="12.77734375" style="614" customWidth="1"/>
    <col min="9" max="9" width="11.109375" style="614" customWidth="1"/>
    <col min="10" max="10" width="12.21875" style="614" bestFit="1" customWidth="1"/>
    <col min="11" max="11" width="15" style="614" customWidth="1"/>
    <col min="12" max="12" width="10.21875" style="614" customWidth="1"/>
    <col min="13" max="13" width="9.77734375" style="614" bestFit="1" customWidth="1"/>
    <col min="14" max="14" width="13" style="614" bestFit="1" customWidth="1"/>
    <col min="15" max="15" width="12.6640625" style="614" bestFit="1" customWidth="1"/>
    <col min="16" max="17" width="11.44140625" style="614" customWidth="1"/>
    <col min="18" max="18" width="12.21875" style="614" customWidth="1"/>
    <col min="19" max="19" width="17.5546875" style="614" customWidth="1"/>
    <col min="20" max="20" width="18.109375" style="1028" bestFit="1" customWidth="1"/>
    <col min="21" max="21" width="8.77734375" style="1029" bestFit="1" customWidth="1"/>
    <col min="22" max="22" width="9.21875" style="1030" bestFit="1" customWidth="1"/>
    <col min="23" max="16384" width="8.6640625" style="614"/>
  </cols>
  <sheetData>
    <row r="1" spans="1:22" ht="27" customHeight="1">
      <c r="B1" s="1893" t="s">
        <v>1721</v>
      </c>
      <c r="C1" s="1893"/>
      <c r="D1" s="1893"/>
      <c r="E1" s="1893"/>
      <c r="F1" s="1893"/>
      <c r="G1" s="1893"/>
      <c r="H1" s="1893"/>
      <c r="I1" s="1893"/>
      <c r="J1" s="1893"/>
      <c r="K1" s="1893"/>
      <c r="L1" s="1893"/>
      <c r="M1" s="1893"/>
      <c r="N1" s="1893"/>
      <c r="O1" s="1893"/>
      <c r="P1" s="1893"/>
      <c r="Q1" s="1893"/>
      <c r="R1" s="1893"/>
    </row>
    <row r="2" spans="1:22" ht="13.9" customHeight="1">
      <c r="A2" s="616"/>
      <c r="B2" s="957"/>
      <c r="C2" s="957"/>
      <c r="D2" s="957"/>
      <c r="E2" s="957"/>
      <c r="F2" s="957"/>
      <c r="G2" s="957"/>
      <c r="H2" s="957"/>
      <c r="I2" s="957"/>
      <c r="J2" s="957"/>
      <c r="K2" s="957"/>
      <c r="L2" s="957"/>
      <c r="M2" s="957"/>
      <c r="N2" s="957"/>
      <c r="O2" s="957"/>
      <c r="P2" s="957"/>
      <c r="Q2" s="957"/>
      <c r="R2" s="957"/>
    </row>
    <row r="3" spans="1:22" ht="19.5" customHeight="1">
      <c r="A3" s="615"/>
      <c r="B3" s="1886" t="s">
        <v>1349</v>
      </c>
      <c r="C3" s="1886"/>
      <c r="D3" s="1886"/>
      <c r="E3" s="1886"/>
      <c r="F3" s="1886"/>
      <c r="G3" s="1886"/>
      <c r="H3" s="1886"/>
      <c r="I3" s="1886"/>
      <c r="J3" s="1886"/>
      <c r="K3" s="1886"/>
      <c r="L3" s="1886"/>
      <c r="M3" s="1886"/>
      <c r="N3" s="1886"/>
      <c r="O3" s="1886"/>
      <c r="P3" s="1886"/>
      <c r="Q3" s="1886"/>
      <c r="R3" s="1886"/>
    </row>
    <row r="4" spans="1:22" ht="13.9" customHeight="1" thickBot="1">
      <c r="A4" s="616"/>
      <c r="B4" s="752"/>
      <c r="C4" s="752"/>
      <c r="D4" s="752"/>
      <c r="E4" s="752"/>
      <c r="F4" s="752"/>
      <c r="G4" s="752"/>
      <c r="H4" s="752"/>
      <c r="I4" s="752"/>
      <c r="J4" s="752"/>
      <c r="K4" s="752"/>
      <c r="L4" s="752"/>
      <c r="M4" s="752"/>
      <c r="N4" s="752"/>
      <c r="O4" s="752"/>
      <c r="P4" s="752"/>
      <c r="Q4" s="752"/>
      <c r="R4" s="752"/>
    </row>
    <row r="5" spans="1:22" ht="15" customHeight="1" thickTop="1">
      <c r="B5" s="1031"/>
      <c r="C5" s="1032"/>
      <c r="D5" s="1033"/>
      <c r="E5" s="1034"/>
      <c r="F5" s="1034"/>
      <c r="G5" s="1035"/>
      <c r="H5" s="1034"/>
      <c r="I5" s="1033"/>
      <c r="J5" s="1034"/>
      <c r="K5" s="1034"/>
      <c r="L5" s="1035"/>
      <c r="M5" s="1033"/>
      <c r="N5" s="1034"/>
      <c r="O5" s="1035"/>
      <c r="P5" s="1036"/>
      <c r="Q5" s="1036"/>
      <c r="R5" s="1036"/>
    </row>
    <row r="6" spans="1:22" ht="19.5" customHeight="1" thickBot="1">
      <c r="B6" s="1037"/>
      <c r="C6" s="1038"/>
      <c r="D6" s="1853"/>
      <c r="E6" s="1854"/>
      <c r="F6" s="1854"/>
      <c r="G6" s="1855"/>
      <c r="H6" s="1039"/>
      <c r="I6" s="1856"/>
      <c r="J6" s="1857"/>
      <c r="K6" s="1857"/>
      <c r="L6" s="1858"/>
      <c r="M6" s="1042"/>
      <c r="N6" s="1093"/>
      <c r="O6" s="1046"/>
      <c r="P6" s="1040"/>
      <c r="Q6" s="1040"/>
      <c r="R6" s="1040"/>
    </row>
    <row r="7" spans="1:22" ht="15" customHeight="1" thickTop="1" thickBot="1">
      <c r="B7" s="1041"/>
      <c r="C7" s="1041"/>
      <c r="D7" s="1040" t="s">
        <v>35</v>
      </c>
      <c r="E7" s="1040"/>
      <c r="F7" s="1040"/>
      <c r="G7" s="1040"/>
      <c r="H7" s="1042"/>
      <c r="I7" s="1890" t="s">
        <v>1694</v>
      </c>
      <c r="J7" s="1891"/>
      <c r="K7" s="1891"/>
      <c r="L7" s="1891"/>
      <c r="M7" s="1887" t="s">
        <v>1695</v>
      </c>
      <c r="N7" s="1888"/>
      <c r="O7" s="1889"/>
      <c r="P7" s="1040" t="s">
        <v>1479</v>
      </c>
      <c r="Q7" s="1040" t="s">
        <v>1164</v>
      </c>
      <c r="R7" s="1043" t="s">
        <v>287</v>
      </c>
    </row>
    <row r="8" spans="1:22" ht="16.5" customHeight="1" thickTop="1">
      <c r="B8" s="1040" t="s">
        <v>32</v>
      </c>
      <c r="C8" s="1040"/>
      <c r="D8" s="1040" t="s">
        <v>998</v>
      </c>
      <c r="E8" s="1040"/>
      <c r="F8" s="1040"/>
      <c r="G8" s="1040"/>
      <c r="H8" s="1040"/>
      <c r="I8" s="1044"/>
      <c r="J8" s="1045"/>
      <c r="K8" s="1045"/>
      <c r="L8" s="1045"/>
      <c r="M8" s="1040"/>
      <c r="N8" s="1040"/>
      <c r="O8" s="1040"/>
      <c r="P8" s="1040"/>
      <c r="Q8" s="1040" t="s">
        <v>1026</v>
      </c>
      <c r="R8" s="1040"/>
    </row>
    <row r="9" spans="1:22" ht="18" customHeight="1">
      <c r="B9" s="1041"/>
      <c r="C9" s="1040" t="s">
        <v>1326</v>
      </c>
      <c r="D9" s="1040" t="s">
        <v>766</v>
      </c>
      <c r="E9" s="1040" t="s">
        <v>999</v>
      </c>
      <c r="F9" s="1040" t="s">
        <v>1697</v>
      </c>
      <c r="G9" s="1040" t="s">
        <v>999</v>
      </c>
      <c r="H9" s="1040" t="s">
        <v>1698</v>
      </c>
      <c r="I9" s="1040"/>
      <c r="J9" s="1046"/>
      <c r="K9" s="1046"/>
      <c r="L9" s="1046"/>
      <c r="M9" s="1040"/>
      <c r="N9" s="1040"/>
      <c r="O9" s="1040"/>
      <c r="P9" s="1040"/>
      <c r="Q9" s="1040"/>
      <c r="R9" s="1040"/>
    </row>
    <row r="10" spans="1:22" ht="17.25" customHeight="1">
      <c r="B10" s="1041"/>
      <c r="C10" s="1040" t="s">
        <v>1351</v>
      </c>
      <c r="D10" s="1040" t="s">
        <v>1004</v>
      </c>
      <c r="E10" s="1040" t="s">
        <v>1001</v>
      </c>
      <c r="F10" s="1040" t="s">
        <v>1699</v>
      </c>
      <c r="G10" s="1040" t="s">
        <v>1001</v>
      </c>
      <c r="H10" s="1040" t="s">
        <v>1700</v>
      </c>
      <c r="I10" s="1046" t="s">
        <v>1701</v>
      </c>
      <c r="J10" s="1046" t="s">
        <v>1702</v>
      </c>
      <c r="K10" s="1040" t="s">
        <v>1141</v>
      </c>
      <c r="L10" s="1046" t="s">
        <v>1703</v>
      </c>
      <c r="M10" s="1040" t="s">
        <v>1723</v>
      </c>
      <c r="N10" s="1040" t="s">
        <v>64</v>
      </c>
      <c r="O10" s="1040" t="s">
        <v>31</v>
      </c>
      <c r="P10" s="1040"/>
      <c r="Q10" s="1040"/>
      <c r="R10" s="1040"/>
    </row>
    <row r="11" spans="1:22" ht="18.75" customHeight="1" thickBot="1">
      <c r="B11" s="1047"/>
      <c r="C11" s="1048" t="s">
        <v>1324</v>
      </c>
      <c r="D11" s="1049"/>
      <c r="E11" s="1049" t="s">
        <v>1005</v>
      </c>
      <c r="F11" s="1049" t="s">
        <v>1706</v>
      </c>
      <c r="G11" s="1049" t="s">
        <v>1187</v>
      </c>
      <c r="H11" s="1049" t="s">
        <v>1707</v>
      </c>
      <c r="I11" s="1049" t="s">
        <v>1163</v>
      </c>
      <c r="J11" s="1050" t="s">
        <v>1708</v>
      </c>
      <c r="K11" s="1050"/>
      <c r="L11" s="1050"/>
      <c r="M11" s="1049"/>
      <c r="N11" s="1049"/>
      <c r="O11" s="1049"/>
      <c r="P11" s="1049"/>
      <c r="Q11" s="1049"/>
      <c r="R11" s="1049"/>
    </row>
    <row r="12" spans="1:22" ht="15" customHeight="1" thickTop="1">
      <c r="B12" s="1051"/>
      <c r="C12" s="1051"/>
      <c r="D12" s="1044"/>
      <c r="E12" s="1040"/>
      <c r="F12" s="1040"/>
      <c r="G12" s="1040"/>
      <c r="H12" s="1040"/>
      <c r="I12" s="1044"/>
      <c r="J12" s="1046"/>
      <c r="K12" s="1046"/>
      <c r="L12" s="1046"/>
      <c r="M12" s="1040"/>
      <c r="N12" s="1040"/>
      <c r="O12" s="1040"/>
      <c r="P12" s="1040"/>
      <c r="Q12" s="1040"/>
      <c r="R12" s="1040"/>
      <c r="T12" s="1052" t="s">
        <v>1709</v>
      </c>
    </row>
    <row r="13" spans="1:22" ht="15" customHeight="1">
      <c r="B13" s="1053">
        <v>2015</v>
      </c>
      <c r="C13" s="1053"/>
      <c r="D13" s="1040"/>
      <c r="E13" s="1040"/>
      <c r="F13" s="1040"/>
      <c r="G13" s="1040"/>
      <c r="H13" s="1040"/>
      <c r="I13" s="1040"/>
      <c r="J13" s="1046"/>
      <c r="K13" s="1046"/>
      <c r="L13" s="1046"/>
      <c r="M13" s="1040"/>
      <c r="N13" s="1040"/>
      <c r="O13" s="1040"/>
      <c r="P13" s="1040"/>
      <c r="Q13" s="1040"/>
      <c r="R13" s="1040"/>
    </row>
    <row r="14" spans="1:22" ht="15" customHeight="1">
      <c r="B14" s="1054" t="s">
        <v>1170</v>
      </c>
      <c r="C14" s="1055" t="e">
        <f>#REF!+'Table 9 POSB Assets'!C14</f>
        <v>#REF!</v>
      </c>
      <c r="D14" s="1056" t="e">
        <f>#REF!+'Table 9 POSB Assets'!D14</f>
        <v>#REF!</v>
      </c>
      <c r="E14" s="1056" t="e">
        <f>#REF!+'Table 9 POSB Assets'!E14</f>
        <v>#REF!</v>
      </c>
      <c r="F14" s="1056" t="e">
        <f>+#REF!+'Table 9 POSB Assets'!F14</f>
        <v>#REF!</v>
      </c>
      <c r="G14" s="1057" t="e">
        <f>#REF!+'Table 9 POSB Assets'!G14</f>
        <v>#REF!</v>
      </c>
      <c r="H14" s="1057" t="e">
        <f>#REF!+'Table 9 POSB Assets'!H14</f>
        <v>#REF!</v>
      </c>
      <c r="I14" s="1057" t="e">
        <f>#REF!+'Table 9 POSB Assets'!I14</f>
        <v>#REF!</v>
      </c>
      <c r="J14" s="1058" t="e">
        <f>#REF!+'Table 9 POSB Assets'!J14</f>
        <v>#REF!</v>
      </c>
      <c r="K14" s="1058" t="e">
        <f>#REF!+'Table 9 POSB Assets'!K14</f>
        <v>#REF!</v>
      </c>
      <c r="L14" s="1058" t="e">
        <f>#REF!+'Table 9 POSB Assets'!L14</f>
        <v>#REF!</v>
      </c>
      <c r="M14" s="1057" t="e">
        <f>#REF!</f>
        <v>#REF!</v>
      </c>
      <c r="N14" s="1057" t="e">
        <f>#REF!+'Table 9 POSB Assets'!M14</f>
        <v>#REF!</v>
      </c>
      <c r="O14" s="1057" t="e">
        <f>#REF!+'Table 9 POSB Assets'!N14+'Table 9 POSB Assets'!O14+'Table 9 POSB Assets'!P14+'Table 9 POSB Assets'!Q14</f>
        <v>#REF!</v>
      </c>
      <c r="P14" s="1057" t="e">
        <f>#REF!+'Table 9 POSB Assets'!S14</f>
        <v>#REF!</v>
      </c>
      <c r="Q14" s="1057" t="e">
        <f>#REF!+'Table 9 POSB Assets'!T14</f>
        <v>#REF!</v>
      </c>
      <c r="R14" s="1059" t="e">
        <f>SUM(C14:Q14)</f>
        <v>#REF!</v>
      </c>
      <c r="T14" s="1060" t="e">
        <f>R14-'Table 9 POSB Assets'!U14-#REF!</f>
        <v>#REF!</v>
      </c>
      <c r="U14" s="1061" t="e">
        <f>+T14/R14</f>
        <v>#REF!</v>
      </c>
      <c r="V14" s="1030" t="e">
        <f>+T14*1000000</f>
        <v>#REF!</v>
      </c>
    </row>
    <row r="15" spans="1:22" ht="15" customHeight="1">
      <c r="B15" s="1054" t="s">
        <v>1172</v>
      </c>
      <c r="C15" s="1055" t="e">
        <f>#REF!+'Table 9 POSB Assets'!C15</f>
        <v>#REF!</v>
      </c>
      <c r="D15" s="1056" t="e">
        <f>#REF!+'Table 9 POSB Assets'!D15</f>
        <v>#REF!</v>
      </c>
      <c r="E15" s="1056" t="e">
        <f>#REF!+'Table 9 POSB Assets'!E15</f>
        <v>#REF!</v>
      </c>
      <c r="F15" s="1056" t="e">
        <f>+#REF!+'Table 9 POSB Assets'!F15</f>
        <v>#REF!</v>
      </c>
      <c r="G15" s="1057" t="e">
        <f>#REF!+'Table 9 POSB Assets'!G15</f>
        <v>#REF!</v>
      </c>
      <c r="H15" s="1057" t="e">
        <f>#REF!+'Table 9 POSB Assets'!H15</f>
        <v>#REF!</v>
      </c>
      <c r="I15" s="1057" t="e">
        <f>#REF!+'Table 9 POSB Assets'!I15</f>
        <v>#REF!</v>
      </c>
      <c r="J15" s="1058" t="e">
        <f>#REF!+'Table 9 POSB Assets'!J15</f>
        <v>#REF!</v>
      </c>
      <c r="K15" s="1058" t="e">
        <f>#REF!+'Table 9 POSB Assets'!K15</f>
        <v>#REF!</v>
      </c>
      <c r="L15" s="1058" t="e">
        <f>#REF!+'Table 9 POSB Assets'!L15</f>
        <v>#REF!</v>
      </c>
      <c r="M15" s="1057" t="e">
        <f>#REF!</f>
        <v>#REF!</v>
      </c>
      <c r="N15" s="1057" t="e">
        <f>#REF!+'Table 9 POSB Assets'!M15</f>
        <v>#REF!</v>
      </c>
      <c r="O15" s="1057" t="e">
        <f>#REF!+'Table 9 POSB Assets'!N15+'Table 9 POSB Assets'!O15+'Table 9 POSB Assets'!P15+'Table 9 POSB Assets'!Q15</f>
        <v>#REF!</v>
      </c>
      <c r="P15" s="1057" t="e">
        <f>#REF!+'Table 9 POSB Assets'!S15</f>
        <v>#REF!</v>
      </c>
      <c r="Q15" s="1057" t="e">
        <f>#REF!+'Table 9 POSB Assets'!T15</f>
        <v>#REF!</v>
      </c>
      <c r="R15" s="1059" t="e">
        <f t="shared" ref="R15:R39" si="0">SUM(C15:Q15)</f>
        <v>#REF!</v>
      </c>
      <c r="T15" s="1060" t="e">
        <f>R15-'Table 9 POSB Assets'!U15-#REF!</f>
        <v>#REF!</v>
      </c>
      <c r="U15" s="1061" t="e">
        <f t="shared" ref="U15:U39" si="1">+T15/R15</f>
        <v>#REF!</v>
      </c>
      <c r="V15" s="1030" t="e">
        <f t="shared" ref="V15:V25" si="2">+T15*1000000</f>
        <v>#REF!</v>
      </c>
    </row>
    <row r="16" spans="1:22" ht="15" customHeight="1">
      <c r="B16" s="1054" t="s">
        <v>1173</v>
      </c>
      <c r="C16" s="1055" t="e">
        <f>#REF!+'Table 9 POSB Assets'!C16</f>
        <v>#REF!</v>
      </c>
      <c r="D16" s="1056" t="e">
        <f>#REF!+'Table 9 POSB Assets'!D16</f>
        <v>#REF!</v>
      </c>
      <c r="E16" s="1056" t="e">
        <f>#REF!+'Table 9 POSB Assets'!E16</f>
        <v>#REF!</v>
      </c>
      <c r="F16" s="1056" t="e">
        <f>+#REF!+'Table 9 POSB Assets'!F16</f>
        <v>#REF!</v>
      </c>
      <c r="G16" s="1057" t="e">
        <f>#REF!+'Table 9 POSB Assets'!G16</f>
        <v>#REF!</v>
      </c>
      <c r="H16" s="1057" t="e">
        <f>#REF!+'Table 9 POSB Assets'!H16</f>
        <v>#REF!</v>
      </c>
      <c r="I16" s="1057" t="e">
        <f>#REF!+'Table 9 POSB Assets'!I16</f>
        <v>#REF!</v>
      </c>
      <c r="J16" s="1058" t="e">
        <f>#REF!+'Table 9 POSB Assets'!J16</f>
        <v>#REF!</v>
      </c>
      <c r="K16" s="1058" t="e">
        <f>#REF!+'Table 9 POSB Assets'!K16</f>
        <v>#REF!</v>
      </c>
      <c r="L16" s="1058" t="e">
        <f>#REF!+'Table 9 POSB Assets'!L16</f>
        <v>#REF!</v>
      </c>
      <c r="M16" s="1057" t="e">
        <f>#REF!</f>
        <v>#REF!</v>
      </c>
      <c r="N16" s="1057" t="e">
        <f>#REF!+'Table 9 POSB Assets'!M16</f>
        <v>#REF!</v>
      </c>
      <c r="O16" s="1057" t="e">
        <f>#REF!+'Table 9 POSB Assets'!N16+'Table 9 POSB Assets'!O16+'Table 9 POSB Assets'!P16+'Table 9 POSB Assets'!Q16</f>
        <v>#REF!</v>
      </c>
      <c r="P16" s="1057" t="e">
        <f>#REF!+'Table 9 POSB Assets'!S16</f>
        <v>#REF!</v>
      </c>
      <c r="Q16" s="1057" t="e">
        <f>#REF!+'Table 9 POSB Assets'!T16</f>
        <v>#REF!</v>
      </c>
      <c r="R16" s="1059" t="e">
        <f t="shared" si="0"/>
        <v>#REF!</v>
      </c>
      <c r="T16" s="1060" t="e">
        <f>R16-'Table 9 POSB Assets'!U16-#REF!</f>
        <v>#REF!</v>
      </c>
      <c r="U16" s="1061" t="e">
        <f t="shared" si="1"/>
        <v>#REF!</v>
      </c>
      <c r="V16" s="1030" t="e">
        <f t="shared" si="2"/>
        <v>#REF!</v>
      </c>
    </row>
    <row r="17" spans="2:22" ht="15" customHeight="1">
      <c r="B17" s="1054" t="s">
        <v>1174</v>
      </c>
      <c r="C17" s="1055" t="e">
        <f>#REF!+'Table 9 POSB Assets'!C17</f>
        <v>#REF!</v>
      </c>
      <c r="D17" s="1056" t="e">
        <f>#REF!+'Table 9 POSB Assets'!D17</f>
        <v>#REF!</v>
      </c>
      <c r="E17" s="1056" t="e">
        <f>#REF!+'Table 9 POSB Assets'!E17</f>
        <v>#REF!</v>
      </c>
      <c r="F17" s="1056" t="e">
        <f>+#REF!+'Table 9 POSB Assets'!F17</f>
        <v>#REF!</v>
      </c>
      <c r="G17" s="1057" t="e">
        <f>#REF!+'Table 9 POSB Assets'!G17</f>
        <v>#REF!</v>
      </c>
      <c r="H17" s="1057" t="e">
        <f>#REF!+'Table 9 POSB Assets'!H17</f>
        <v>#REF!</v>
      </c>
      <c r="I17" s="1057" t="e">
        <f>#REF!+'Table 9 POSB Assets'!I17</f>
        <v>#REF!</v>
      </c>
      <c r="J17" s="1058" t="e">
        <f>#REF!+'Table 9 POSB Assets'!J17</f>
        <v>#REF!</v>
      </c>
      <c r="K17" s="1058" t="e">
        <f>#REF!+'Table 9 POSB Assets'!K17</f>
        <v>#REF!</v>
      </c>
      <c r="L17" s="1058" t="e">
        <f>#REF!+'Table 9 POSB Assets'!L17</f>
        <v>#REF!</v>
      </c>
      <c r="M17" s="1057" t="e">
        <f>#REF!</f>
        <v>#REF!</v>
      </c>
      <c r="N17" s="1057" t="e">
        <f>#REF!+'Table 9 POSB Assets'!M17</f>
        <v>#REF!</v>
      </c>
      <c r="O17" s="1057" t="e">
        <f>#REF!+'Table 9 POSB Assets'!N17+'Table 9 POSB Assets'!O17+'Table 9 POSB Assets'!P17+'Table 9 POSB Assets'!Q17</f>
        <v>#REF!</v>
      </c>
      <c r="P17" s="1057" t="e">
        <f>#REF!+'Table 9 POSB Assets'!S17</f>
        <v>#REF!</v>
      </c>
      <c r="Q17" s="1057" t="e">
        <f>#REF!+'Table 9 POSB Assets'!T17</f>
        <v>#REF!</v>
      </c>
      <c r="R17" s="1059" t="e">
        <f t="shared" si="0"/>
        <v>#REF!</v>
      </c>
      <c r="T17" s="1060" t="e">
        <f>R17-'Table 9 POSB Assets'!U17-#REF!</f>
        <v>#REF!</v>
      </c>
      <c r="U17" s="1061" t="e">
        <f t="shared" si="1"/>
        <v>#REF!</v>
      </c>
      <c r="V17" s="1030" t="e">
        <f t="shared" si="2"/>
        <v>#REF!</v>
      </c>
    </row>
    <row r="18" spans="2:22" ht="15" customHeight="1">
      <c r="B18" s="1054" t="s">
        <v>1165</v>
      </c>
      <c r="C18" s="1055" t="e">
        <f>#REF!+'Table 9 POSB Assets'!C18</f>
        <v>#REF!</v>
      </c>
      <c r="D18" s="1056" t="e">
        <f>#REF!+'Table 9 POSB Assets'!D18</f>
        <v>#REF!</v>
      </c>
      <c r="E18" s="1056" t="e">
        <f>#REF!+'Table 9 POSB Assets'!E18</f>
        <v>#REF!</v>
      </c>
      <c r="F18" s="1056" t="e">
        <f>+#REF!+'Table 9 POSB Assets'!F18</f>
        <v>#REF!</v>
      </c>
      <c r="G18" s="1057" t="e">
        <f>#REF!+'Table 9 POSB Assets'!G18</f>
        <v>#REF!</v>
      </c>
      <c r="H18" s="1057" t="e">
        <f>#REF!+'Table 9 POSB Assets'!H18</f>
        <v>#REF!</v>
      </c>
      <c r="I18" s="1057" t="e">
        <f>#REF!+'Table 9 POSB Assets'!I18</f>
        <v>#REF!</v>
      </c>
      <c r="J18" s="1058" t="e">
        <f>#REF!+'Table 9 POSB Assets'!J18</f>
        <v>#REF!</v>
      </c>
      <c r="K18" s="1058" t="e">
        <f>#REF!+'Table 9 POSB Assets'!K18</f>
        <v>#REF!</v>
      </c>
      <c r="L18" s="1058" t="e">
        <f>#REF!+'Table 9 POSB Assets'!L18</f>
        <v>#REF!</v>
      </c>
      <c r="M18" s="1057" t="e">
        <f>#REF!</f>
        <v>#REF!</v>
      </c>
      <c r="N18" s="1057" t="e">
        <f>#REF!+'Table 9 POSB Assets'!M18</f>
        <v>#REF!</v>
      </c>
      <c r="O18" s="1057" t="e">
        <f>#REF!+'Table 9 POSB Assets'!N18+'Table 9 POSB Assets'!O18+'Table 9 POSB Assets'!P18+'Table 9 POSB Assets'!Q18</f>
        <v>#REF!</v>
      </c>
      <c r="P18" s="1057" t="e">
        <f>#REF!+'Table 9 POSB Assets'!S18</f>
        <v>#REF!</v>
      </c>
      <c r="Q18" s="1057" t="e">
        <f>#REF!+'Table 9 POSB Assets'!T18</f>
        <v>#REF!</v>
      </c>
      <c r="R18" s="1059" t="e">
        <f t="shared" si="0"/>
        <v>#REF!</v>
      </c>
      <c r="T18" s="1060" t="e">
        <f>R18-'Table 9 POSB Assets'!U18-#REF!</f>
        <v>#REF!</v>
      </c>
      <c r="U18" s="1061" t="e">
        <f t="shared" si="1"/>
        <v>#REF!</v>
      </c>
      <c r="V18" s="1030" t="e">
        <f t="shared" si="2"/>
        <v>#REF!</v>
      </c>
    </row>
    <row r="19" spans="2:22" ht="15" customHeight="1">
      <c r="B19" s="1054" t="s">
        <v>1175</v>
      </c>
      <c r="C19" s="1055" t="e">
        <f>#REF!+'Table 9 POSB Assets'!C19</f>
        <v>#REF!</v>
      </c>
      <c r="D19" s="1056" t="e">
        <f>#REF!+'Table 9 POSB Assets'!D19</f>
        <v>#REF!</v>
      </c>
      <c r="E19" s="1056" t="e">
        <f>#REF!+'Table 9 POSB Assets'!E19</f>
        <v>#REF!</v>
      </c>
      <c r="F19" s="1056" t="e">
        <f>+#REF!+'Table 9 POSB Assets'!F19</f>
        <v>#REF!</v>
      </c>
      <c r="G19" s="1057" t="e">
        <f>#REF!+'Table 9 POSB Assets'!G19</f>
        <v>#REF!</v>
      </c>
      <c r="H19" s="1057" t="e">
        <f>#REF!+'Table 9 POSB Assets'!H19</f>
        <v>#REF!</v>
      </c>
      <c r="I19" s="1057" t="e">
        <f>#REF!+'Table 9 POSB Assets'!I19</f>
        <v>#REF!</v>
      </c>
      <c r="J19" s="1058" t="e">
        <f>#REF!+'Table 9 POSB Assets'!J19</f>
        <v>#REF!</v>
      </c>
      <c r="K19" s="1058" t="e">
        <f>#REF!+'Table 9 POSB Assets'!K19</f>
        <v>#REF!</v>
      </c>
      <c r="L19" s="1058" t="e">
        <f>#REF!+'Table 9 POSB Assets'!L19</f>
        <v>#REF!</v>
      </c>
      <c r="M19" s="1057" t="e">
        <f>#REF!</f>
        <v>#REF!</v>
      </c>
      <c r="N19" s="1057" t="e">
        <f>#REF!+'Table 9 POSB Assets'!M19</f>
        <v>#REF!</v>
      </c>
      <c r="O19" s="1057" t="e">
        <f>#REF!+'Table 9 POSB Assets'!N19+'Table 9 POSB Assets'!O19+'Table 9 POSB Assets'!P19+'Table 9 POSB Assets'!Q19</f>
        <v>#REF!</v>
      </c>
      <c r="P19" s="1057" t="e">
        <f>#REF!+'Table 9 POSB Assets'!S19</f>
        <v>#REF!</v>
      </c>
      <c r="Q19" s="1057" t="e">
        <f>#REF!+'Table 9 POSB Assets'!T19</f>
        <v>#REF!</v>
      </c>
      <c r="R19" s="1059" t="e">
        <f t="shared" si="0"/>
        <v>#REF!</v>
      </c>
      <c r="T19" s="1060" t="e">
        <f>R19-'Table 9 POSB Assets'!U19-#REF!</f>
        <v>#REF!</v>
      </c>
      <c r="U19" s="1061" t="e">
        <f t="shared" si="1"/>
        <v>#REF!</v>
      </c>
      <c r="V19" s="1030" t="e">
        <f t="shared" si="2"/>
        <v>#REF!</v>
      </c>
    </row>
    <row r="20" spans="2:22" ht="15" customHeight="1">
      <c r="B20" s="1054" t="s">
        <v>1176</v>
      </c>
      <c r="C20" s="1055" t="e">
        <f>#REF!+'Table 9 POSB Assets'!C20</f>
        <v>#REF!</v>
      </c>
      <c r="D20" s="1056" t="e">
        <f>#REF!+'Table 9 POSB Assets'!D20</f>
        <v>#REF!</v>
      </c>
      <c r="E20" s="1056" t="e">
        <f>#REF!+'Table 9 POSB Assets'!E20</f>
        <v>#REF!</v>
      </c>
      <c r="F20" s="1056" t="e">
        <f>+#REF!+'Table 9 POSB Assets'!F20</f>
        <v>#REF!</v>
      </c>
      <c r="G20" s="1057" t="e">
        <f>#REF!+'Table 9 POSB Assets'!G20</f>
        <v>#REF!</v>
      </c>
      <c r="H20" s="1057" t="e">
        <f>#REF!+'Table 9 POSB Assets'!H20</f>
        <v>#REF!</v>
      </c>
      <c r="I20" s="1057" t="e">
        <f>#REF!+'Table 9 POSB Assets'!I20</f>
        <v>#REF!</v>
      </c>
      <c r="J20" s="1058" t="e">
        <f>#REF!+'Table 9 POSB Assets'!J20</f>
        <v>#REF!</v>
      </c>
      <c r="K20" s="1058" t="e">
        <f>#REF!+'Table 9 POSB Assets'!K20</f>
        <v>#REF!</v>
      </c>
      <c r="L20" s="1058" t="e">
        <f>#REF!+'Table 9 POSB Assets'!L20</f>
        <v>#REF!</v>
      </c>
      <c r="M20" s="1057" t="e">
        <f>#REF!</f>
        <v>#REF!</v>
      </c>
      <c r="N20" s="1057" t="e">
        <f>#REF!+'Table 9 POSB Assets'!M20</f>
        <v>#REF!</v>
      </c>
      <c r="O20" s="1057" t="e">
        <f>#REF!+'Table 9 POSB Assets'!N20+'Table 9 POSB Assets'!O20+'Table 9 POSB Assets'!P20+'Table 9 POSB Assets'!Q20</f>
        <v>#REF!</v>
      </c>
      <c r="P20" s="1057" t="e">
        <f>#REF!+'Table 9 POSB Assets'!S20</f>
        <v>#REF!</v>
      </c>
      <c r="Q20" s="1057" t="e">
        <f>#REF!+'Table 9 POSB Assets'!T20</f>
        <v>#REF!</v>
      </c>
      <c r="R20" s="1059" t="e">
        <f t="shared" si="0"/>
        <v>#REF!</v>
      </c>
      <c r="T20" s="1060" t="e">
        <f>R20-'Table 9 POSB Assets'!U20-#REF!</f>
        <v>#REF!</v>
      </c>
      <c r="U20" s="1061" t="e">
        <f t="shared" si="1"/>
        <v>#REF!</v>
      </c>
      <c r="V20" s="1030" t="e">
        <f t="shared" si="2"/>
        <v>#REF!</v>
      </c>
    </row>
    <row r="21" spans="2:22" ht="15" customHeight="1">
      <c r="B21" s="1054" t="s">
        <v>1177</v>
      </c>
      <c r="C21" s="1055" t="e">
        <f>#REF!+'Table 9 POSB Assets'!C21</f>
        <v>#REF!</v>
      </c>
      <c r="D21" s="1056" t="e">
        <f>#REF!+'Table 9 POSB Assets'!D21</f>
        <v>#REF!</v>
      </c>
      <c r="E21" s="1056" t="e">
        <f>#REF!+'Table 9 POSB Assets'!E21</f>
        <v>#REF!</v>
      </c>
      <c r="F21" s="1056" t="e">
        <f>+#REF!+'Table 9 POSB Assets'!F21</f>
        <v>#REF!</v>
      </c>
      <c r="G21" s="1057" t="e">
        <f>#REF!+'Table 9 POSB Assets'!G21</f>
        <v>#REF!</v>
      </c>
      <c r="H21" s="1057" t="e">
        <f>#REF!+'Table 9 POSB Assets'!H21</f>
        <v>#REF!</v>
      </c>
      <c r="I21" s="1057" t="e">
        <f>#REF!+'Table 9 POSB Assets'!I21</f>
        <v>#REF!</v>
      </c>
      <c r="J21" s="1058" t="e">
        <f>#REF!+'Table 9 POSB Assets'!J21</f>
        <v>#REF!</v>
      </c>
      <c r="K21" s="1058" t="e">
        <f>#REF!+'Table 9 POSB Assets'!K21</f>
        <v>#REF!</v>
      </c>
      <c r="L21" s="1058" t="e">
        <f>#REF!+'Table 9 POSB Assets'!L21</f>
        <v>#REF!</v>
      </c>
      <c r="M21" s="1057" t="e">
        <f>#REF!</f>
        <v>#REF!</v>
      </c>
      <c r="N21" s="1057" t="e">
        <f>#REF!+'Table 9 POSB Assets'!M21</f>
        <v>#REF!</v>
      </c>
      <c r="O21" s="1057" t="e">
        <f>#REF!+'Table 9 POSB Assets'!N21+'Table 9 POSB Assets'!O21+'Table 9 POSB Assets'!P21+'Table 9 POSB Assets'!Q21</f>
        <v>#REF!</v>
      </c>
      <c r="P21" s="1057" t="e">
        <f>#REF!+'Table 9 POSB Assets'!S21</f>
        <v>#REF!</v>
      </c>
      <c r="Q21" s="1057" t="e">
        <f>#REF!+'Table 9 POSB Assets'!T21</f>
        <v>#REF!</v>
      </c>
      <c r="R21" s="1059" t="e">
        <f t="shared" si="0"/>
        <v>#REF!</v>
      </c>
      <c r="T21" s="1060" t="e">
        <f>R21-'Table 9 POSB Assets'!U21-#REF!</f>
        <v>#REF!</v>
      </c>
      <c r="U21" s="1061" t="e">
        <f t="shared" si="1"/>
        <v>#REF!</v>
      </c>
      <c r="V21" s="1030" t="e">
        <f t="shared" si="2"/>
        <v>#REF!</v>
      </c>
    </row>
    <row r="22" spans="2:22" ht="15" customHeight="1">
      <c r="B22" s="1054" t="s">
        <v>1178</v>
      </c>
      <c r="C22" s="1055" t="e">
        <f>#REF!+'Table 9 POSB Assets'!C22</f>
        <v>#REF!</v>
      </c>
      <c r="D22" s="1056" t="e">
        <f>#REF!+'Table 9 POSB Assets'!D22</f>
        <v>#REF!</v>
      </c>
      <c r="E22" s="1056" t="e">
        <f>#REF!+'Table 9 POSB Assets'!E22</f>
        <v>#REF!</v>
      </c>
      <c r="F22" s="1056" t="e">
        <f>+#REF!+'Table 9 POSB Assets'!F22</f>
        <v>#REF!</v>
      </c>
      <c r="G22" s="1057" t="e">
        <f>#REF!+'Table 9 POSB Assets'!G22</f>
        <v>#REF!</v>
      </c>
      <c r="H22" s="1057" t="e">
        <f>#REF!+'Table 9 POSB Assets'!H22</f>
        <v>#REF!</v>
      </c>
      <c r="I22" s="1057" t="e">
        <f>#REF!+'Table 9 POSB Assets'!I22</f>
        <v>#REF!</v>
      </c>
      <c r="J22" s="1058" t="e">
        <f>#REF!+'Table 9 POSB Assets'!J22</f>
        <v>#REF!</v>
      </c>
      <c r="K22" s="1058" t="e">
        <f>#REF!+'Table 9 POSB Assets'!K22</f>
        <v>#REF!</v>
      </c>
      <c r="L22" s="1058" t="e">
        <f>#REF!+'Table 9 POSB Assets'!L22</f>
        <v>#REF!</v>
      </c>
      <c r="M22" s="1057" t="e">
        <f>#REF!</f>
        <v>#REF!</v>
      </c>
      <c r="N22" s="1057" t="e">
        <f>#REF!+'Table 9 POSB Assets'!M22</f>
        <v>#REF!</v>
      </c>
      <c r="O22" s="1057" t="e">
        <f>#REF!+'Table 9 POSB Assets'!N22+'Table 9 POSB Assets'!O22+'Table 9 POSB Assets'!P22+'Table 9 POSB Assets'!Q22</f>
        <v>#REF!</v>
      </c>
      <c r="P22" s="1057" t="e">
        <f>#REF!+'Table 9 POSB Assets'!S22</f>
        <v>#REF!</v>
      </c>
      <c r="Q22" s="1057" t="e">
        <f>#REF!+'Table 9 POSB Assets'!T22</f>
        <v>#REF!</v>
      </c>
      <c r="R22" s="1059" t="e">
        <f t="shared" si="0"/>
        <v>#REF!</v>
      </c>
      <c r="T22" s="1060" t="e">
        <f>R22-'Table 9 POSB Assets'!U22-#REF!</f>
        <v>#REF!</v>
      </c>
      <c r="U22" s="1061" t="e">
        <f t="shared" si="1"/>
        <v>#REF!</v>
      </c>
      <c r="V22" s="1030" t="e">
        <f t="shared" si="2"/>
        <v>#REF!</v>
      </c>
    </row>
    <row r="23" spans="2:22" ht="15" customHeight="1">
      <c r="B23" s="1054" t="s">
        <v>1179</v>
      </c>
      <c r="C23" s="1055" t="e">
        <f>#REF!+'Table 9 POSB Assets'!C23</f>
        <v>#REF!</v>
      </c>
      <c r="D23" s="1056" t="e">
        <f>#REF!+'Table 9 POSB Assets'!D23</f>
        <v>#REF!</v>
      </c>
      <c r="E23" s="1056" t="e">
        <f>#REF!+'Table 9 POSB Assets'!E23</f>
        <v>#REF!</v>
      </c>
      <c r="F23" s="1056" t="e">
        <f>+#REF!+'Table 9 POSB Assets'!F23</f>
        <v>#REF!</v>
      </c>
      <c r="G23" s="1057" t="e">
        <f>#REF!+'Table 9 POSB Assets'!G23</f>
        <v>#REF!</v>
      </c>
      <c r="H23" s="1057" t="e">
        <f>#REF!+'Table 9 POSB Assets'!H23</f>
        <v>#REF!</v>
      </c>
      <c r="I23" s="1057" t="e">
        <f>#REF!+'Table 9 POSB Assets'!I23</f>
        <v>#REF!</v>
      </c>
      <c r="J23" s="1058" t="e">
        <f>#REF!+'Table 9 POSB Assets'!J23</f>
        <v>#REF!</v>
      </c>
      <c r="K23" s="1058" t="e">
        <f>#REF!+'Table 9 POSB Assets'!K23</f>
        <v>#REF!</v>
      </c>
      <c r="L23" s="1058" t="e">
        <f>#REF!+'Table 9 POSB Assets'!L23</f>
        <v>#REF!</v>
      </c>
      <c r="M23" s="1057" t="e">
        <f>#REF!</f>
        <v>#REF!</v>
      </c>
      <c r="N23" s="1057" t="e">
        <f>#REF!+'Table 9 POSB Assets'!M23</f>
        <v>#REF!</v>
      </c>
      <c r="O23" s="1057" t="e">
        <f>#REF!+'Table 9 POSB Assets'!N23+'Table 9 POSB Assets'!O23+'Table 9 POSB Assets'!P23+'Table 9 POSB Assets'!Q23</f>
        <v>#REF!</v>
      </c>
      <c r="P23" s="1057" t="e">
        <f>#REF!+'Table 9 POSB Assets'!S23</f>
        <v>#REF!</v>
      </c>
      <c r="Q23" s="1057" t="e">
        <f>#REF!+'Table 9 POSB Assets'!T23</f>
        <v>#REF!</v>
      </c>
      <c r="R23" s="1059" t="e">
        <f t="shared" si="0"/>
        <v>#REF!</v>
      </c>
      <c r="T23" s="1060" t="e">
        <f>R23-'Table 9 POSB Assets'!U23-#REF!</f>
        <v>#REF!</v>
      </c>
      <c r="U23" s="1061" t="e">
        <f t="shared" si="1"/>
        <v>#REF!</v>
      </c>
      <c r="V23" s="1030" t="e">
        <f t="shared" si="2"/>
        <v>#REF!</v>
      </c>
    </row>
    <row r="24" spans="2:22" ht="15" customHeight="1">
      <c r="B24" s="1054" t="s">
        <v>1180</v>
      </c>
      <c r="C24" s="1055" t="e">
        <f>#REF!+'Table 9 POSB Assets'!C24</f>
        <v>#REF!</v>
      </c>
      <c r="D24" s="1056" t="e">
        <f>#REF!+'Table 9 POSB Assets'!D24</f>
        <v>#REF!</v>
      </c>
      <c r="E24" s="1056" t="e">
        <f>#REF!+'Table 9 POSB Assets'!E24</f>
        <v>#REF!</v>
      </c>
      <c r="F24" s="1056" t="e">
        <f>+#REF!+'Table 9 POSB Assets'!F24</f>
        <v>#REF!</v>
      </c>
      <c r="G24" s="1057" t="e">
        <f>#REF!+'Table 9 POSB Assets'!G24</f>
        <v>#REF!</v>
      </c>
      <c r="H24" s="1057" t="e">
        <f>#REF!+'Table 9 POSB Assets'!H24</f>
        <v>#REF!</v>
      </c>
      <c r="I24" s="1057" t="e">
        <f>#REF!+'Table 9 POSB Assets'!I24</f>
        <v>#REF!</v>
      </c>
      <c r="J24" s="1058" t="e">
        <f>#REF!+'Table 9 POSB Assets'!J24</f>
        <v>#REF!</v>
      </c>
      <c r="K24" s="1058" t="e">
        <f>#REF!+'Table 9 POSB Assets'!K24</f>
        <v>#REF!</v>
      </c>
      <c r="L24" s="1058" t="e">
        <f>#REF!+'Table 9 POSB Assets'!L24</f>
        <v>#REF!</v>
      </c>
      <c r="M24" s="1057" t="e">
        <f>#REF!</f>
        <v>#REF!</v>
      </c>
      <c r="N24" s="1057" t="e">
        <f>#REF!+'Table 9 POSB Assets'!M24</f>
        <v>#REF!</v>
      </c>
      <c r="O24" s="1057" t="e">
        <f>#REF!+'Table 9 POSB Assets'!N24+'Table 9 POSB Assets'!O24+'Table 9 POSB Assets'!P24+'Table 9 POSB Assets'!Q24</f>
        <v>#REF!</v>
      </c>
      <c r="P24" s="1057" t="e">
        <f>#REF!+'Table 9 POSB Assets'!S24</f>
        <v>#REF!</v>
      </c>
      <c r="Q24" s="1057" t="e">
        <f>#REF!+'Table 9 POSB Assets'!T24</f>
        <v>#REF!</v>
      </c>
      <c r="R24" s="1059" t="e">
        <f t="shared" si="0"/>
        <v>#REF!</v>
      </c>
      <c r="T24" s="1060" t="e">
        <f>R24-'Table 9 POSB Assets'!U24-#REF!</f>
        <v>#REF!</v>
      </c>
      <c r="U24" s="1061" t="e">
        <f t="shared" si="1"/>
        <v>#REF!</v>
      </c>
      <c r="V24" s="1030" t="e">
        <f t="shared" si="2"/>
        <v>#REF!</v>
      </c>
    </row>
    <row r="25" spans="2:22" ht="15" customHeight="1">
      <c r="B25" s="1054" t="s">
        <v>1181</v>
      </c>
      <c r="C25" s="1055" t="e">
        <f>#REF!+'Table 9 POSB Assets'!C25</f>
        <v>#REF!</v>
      </c>
      <c r="D25" s="1056" t="e">
        <f>#REF!+'Table 9 POSB Assets'!D25</f>
        <v>#REF!</v>
      </c>
      <c r="E25" s="1056" t="e">
        <f>#REF!+'Table 9 POSB Assets'!E25</f>
        <v>#REF!</v>
      </c>
      <c r="F25" s="1056" t="e">
        <f>+#REF!+'Table 9 POSB Assets'!F25</f>
        <v>#REF!</v>
      </c>
      <c r="G25" s="1057" t="e">
        <f>#REF!+'Table 9 POSB Assets'!G25</f>
        <v>#REF!</v>
      </c>
      <c r="H25" s="1057" t="e">
        <f>#REF!+'Table 9 POSB Assets'!H25</f>
        <v>#REF!</v>
      </c>
      <c r="I25" s="1057" t="e">
        <f>#REF!+'Table 9 POSB Assets'!I25</f>
        <v>#REF!</v>
      </c>
      <c r="J25" s="1058" t="e">
        <f>#REF!+'Table 9 POSB Assets'!J25</f>
        <v>#REF!</v>
      </c>
      <c r="K25" s="1058" t="e">
        <f>#REF!+'Table 9 POSB Assets'!K25</f>
        <v>#REF!</v>
      </c>
      <c r="L25" s="1058" t="e">
        <f>#REF!+'Table 9 POSB Assets'!L25</f>
        <v>#REF!</v>
      </c>
      <c r="M25" s="1057" t="e">
        <f>#REF!</f>
        <v>#REF!</v>
      </c>
      <c r="N25" s="1057" t="e">
        <f>#REF!+'Table 9 POSB Assets'!M25</f>
        <v>#REF!</v>
      </c>
      <c r="O25" s="1057" t="e">
        <f>#REF!+'Table 9 POSB Assets'!N25+'Table 9 POSB Assets'!O25+'Table 9 POSB Assets'!P25+'Table 9 POSB Assets'!Q25</f>
        <v>#REF!</v>
      </c>
      <c r="P25" s="1057" t="e">
        <f>#REF!+'Table 9 POSB Assets'!S25</f>
        <v>#REF!</v>
      </c>
      <c r="Q25" s="1057" t="e">
        <f>#REF!+'Table 9 POSB Assets'!T25</f>
        <v>#REF!</v>
      </c>
      <c r="R25" s="1059" t="e">
        <f t="shared" si="0"/>
        <v>#REF!</v>
      </c>
      <c r="T25" s="1060" t="e">
        <f>R25-'Table 9 POSB Assets'!U25-#REF!</f>
        <v>#REF!</v>
      </c>
      <c r="U25" s="1061" t="e">
        <f t="shared" si="1"/>
        <v>#REF!</v>
      </c>
      <c r="V25" s="1030" t="e">
        <f t="shared" si="2"/>
        <v>#REF!</v>
      </c>
    </row>
    <row r="26" spans="2:22" ht="15" customHeight="1">
      <c r="B26" s="1062"/>
      <c r="C26" s="1055"/>
      <c r="D26" s="1056"/>
      <c r="E26" s="1056"/>
      <c r="F26" s="1056"/>
      <c r="G26" s="1057"/>
      <c r="H26" s="1057"/>
      <c r="I26" s="1057"/>
      <c r="J26" s="1058"/>
      <c r="K26" s="1058"/>
      <c r="L26" s="1058"/>
      <c r="M26" s="1057"/>
      <c r="N26" s="1057"/>
      <c r="O26" s="1057"/>
      <c r="P26" s="1057"/>
      <c r="Q26" s="1057"/>
      <c r="R26" s="1059"/>
      <c r="T26" s="1060" t="e">
        <f>R26-'Table 9 POSB Assets'!U26-#REF!</f>
        <v>#REF!</v>
      </c>
      <c r="U26" s="1061"/>
    </row>
    <row r="27" spans="2:22" ht="15" customHeight="1">
      <c r="B27" s="1053">
        <v>2016</v>
      </c>
      <c r="C27" s="1055"/>
      <c r="D27" s="1056"/>
      <c r="E27" s="1056"/>
      <c r="F27" s="1056"/>
      <c r="G27" s="1057"/>
      <c r="H27" s="1057"/>
      <c r="I27" s="1057"/>
      <c r="J27" s="1058"/>
      <c r="K27" s="1058"/>
      <c r="L27" s="1058"/>
      <c r="M27" s="1057"/>
      <c r="N27" s="1057"/>
      <c r="O27" s="1057"/>
      <c r="P27" s="1057"/>
      <c r="Q27" s="1057"/>
      <c r="R27" s="1059"/>
      <c r="T27" s="1060" t="e">
        <f>R27-'Table 9 POSB Assets'!U27-#REF!</f>
        <v>#REF!</v>
      </c>
      <c r="U27" s="1061"/>
    </row>
    <row r="28" spans="2:22" ht="15" customHeight="1">
      <c r="B28" s="1063" t="s">
        <v>345</v>
      </c>
      <c r="C28" s="1055" t="e">
        <f>#REF!+'Table 9 POSB Assets'!C28</f>
        <v>#REF!</v>
      </c>
      <c r="D28" s="1056" t="e">
        <f>#REF!+'Table 9 POSB Assets'!D28</f>
        <v>#REF!</v>
      </c>
      <c r="E28" s="1056" t="e">
        <f>#REF!+'Table 9 POSB Assets'!E28</f>
        <v>#REF!</v>
      </c>
      <c r="F28" s="1056" t="e">
        <f>+#REF!+'Table 9 POSB Assets'!F28</f>
        <v>#REF!</v>
      </c>
      <c r="G28" s="1057" t="e">
        <f>#REF!+'Table 9 POSB Assets'!G28</f>
        <v>#REF!</v>
      </c>
      <c r="H28" s="1057" t="e">
        <f>#REF!+'Table 9 POSB Assets'!H28</f>
        <v>#REF!</v>
      </c>
      <c r="I28" s="1057" t="e">
        <f>#REF!+'Table 9 POSB Assets'!I28</f>
        <v>#REF!</v>
      </c>
      <c r="J28" s="1058" t="e">
        <f>#REF!+'Table 9 POSB Assets'!J28</f>
        <v>#REF!</v>
      </c>
      <c r="K28" s="1058" t="e">
        <f>#REF!+'Table 9 POSB Assets'!K28</f>
        <v>#REF!</v>
      </c>
      <c r="L28" s="1058" t="e">
        <f>#REF!+'Table 9 POSB Assets'!L28</f>
        <v>#REF!</v>
      </c>
      <c r="M28" s="1057" t="e">
        <f>#REF!</f>
        <v>#REF!</v>
      </c>
      <c r="N28" s="1057" t="e">
        <f>#REF!+'Table 9 POSB Assets'!M28</f>
        <v>#REF!</v>
      </c>
      <c r="O28" s="1057" t="e">
        <f>#REF!+'Table 9 POSB Assets'!N28+'Table 9 POSB Assets'!O28+'Table 9 POSB Assets'!P28+'Table 9 POSB Assets'!Q28</f>
        <v>#REF!</v>
      </c>
      <c r="P28" s="1057" t="e">
        <f>#REF!+'Table 9 POSB Assets'!S28</f>
        <v>#REF!</v>
      </c>
      <c r="Q28" s="1057" t="e">
        <f>#REF!+'Table 9 POSB Assets'!T28</f>
        <v>#REF!</v>
      </c>
      <c r="R28" s="1059" t="e">
        <f t="shared" si="0"/>
        <v>#REF!</v>
      </c>
      <c r="T28" s="1060" t="e">
        <f>R28-'Table 9 POSB Assets'!U28-#REF!</f>
        <v>#REF!</v>
      </c>
      <c r="U28" s="1061" t="e">
        <f t="shared" si="1"/>
        <v>#REF!</v>
      </c>
      <c r="V28" s="1030" t="e">
        <f t="shared" ref="V28:V39" si="3">+T28*1000000</f>
        <v>#REF!</v>
      </c>
    </row>
    <row r="29" spans="2:22" ht="15" customHeight="1">
      <c r="B29" s="1054" t="s">
        <v>334</v>
      </c>
      <c r="C29" s="1055" t="e">
        <f>#REF!+'Table 9 POSB Assets'!C29</f>
        <v>#REF!</v>
      </c>
      <c r="D29" s="1056" t="e">
        <f>#REF!+'Table 9 POSB Assets'!D29</f>
        <v>#REF!</v>
      </c>
      <c r="E29" s="1056" t="e">
        <f>#REF!+'Table 9 POSB Assets'!E29</f>
        <v>#REF!</v>
      </c>
      <c r="F29" s="1056" t="e">
        <f>+#REF!+'Table 9 POSB Assets'!F29</f>
        <v>#REF!</v>
      </c>
      <c r="G29" s="1057" t="e">
        <f>#REF!+'Table 9 POSB Assets'!G29</f>
        <v>#REF!</v>
      </c>
      <c r="H29" s="1057" t="e">
        <f>#REF!+'Table 9 POSB Assets'!H29</f>
        <v>#REF!</v>
      </c>
      <c r="I29" s="1057" t="e">
        <f>#REF!+'Table 9 POSB Assets'!I29</f>
        <v>#REF!</v>
      </c>
      <c r="J29" s="1058" t="e">
        <f>#REF!+'Table 9 POSB Assets'!J29</f>
        <v>#REF!</v>
      </c>
      <c r="K29" s="1058" t="e">
        <f>#REF!+'Table 9 POSB Assets'!K29</f>
        <v>#REF!</v>
      </c>
      <c r="L29" s="1058" t="e">
        <f>#REF!+'Table 9 POSB Assets'!L29</f>
        <v>#REF!</v>
      </c>
      <c r="M29" s="1057" t="e">
        <f>#REF!</f>
        <v>#REF!</v>
      </c>
      <c r="N29" s="1057" t="e">
        <f>#REF!+'Table 9 POSB Assets'!M29</f>
        <v>#REF!</v>
      </c>
      <c r="O29" s="1057" t="e">
        <f>#REF!+'Table 9 POSB Assets'!N29+'Table 9 POSB Assets'!O29+'Table 9 POSB Assets'!P29+'Table 9 POSB Assets'!Q29</f>
        <v>#REF!</v>
      </c>
      <c r="P29" s="1057" t="e">
        <f>#REF!+'Table 9 POSB Assets'!S29</f>
        <v>#REF!</v>
      </c>
      <c r="Q29" s="1057" t="e">
        <f>#REF!+'Table 9 POSB Assets'!T29</f>
        <v>#REF!</v>
      </c>
      <c r="R29" s="1059" t="e">
        <f t="shared" si="0"/>
        <v>#REF!</v>
      </c>
      <c r="T29" s="1060" t="e">
        <f>R29-'Table 9 POSB Assets'!U29-#REF!</f>
        <v>#REF!</v>
      </c>
      <c r="U29" s="1061" t="e">
        <f t="shared" si="1"/>
        <v>#REF!</v>
      </c>
      <c r="V29" s="1030" t="e">
        <f t="shared" si="3"/>
        <v>#REF!</v>
      </c>
    </row>
    <row r="30" spans="2:22" ht="15" customHeight="1">
      <c r="B30" s="1054" t="s">
        <v>335</v>
      </c>
      <c r="C30" s="1055" t="e">
        <f>#REF!+'Table 9 POSB Assets'!C30</f>
        <v>#REF!</v>
      </c>
      <c r="D30" s="1056" t="e">
        <f>#REF!+'Table 9 POSB Assets'!D30</f>
        <v>#REF!</v>
      </c>
      <c r="E30" s="1056" t="e">
        <f>#REF!+'Table 9 POSB Assets'!E30</f>
        <v>#REF!</v>
      </c>
      <c r="F30" s="1056" t="e">
        <f>+#REF!+'Table 9 POSB Assets'!F30</f>
        <v>#REF!</v>
      </c>
      <c r="G30" s="1057" t="e">
        <f>#REF!+'Table 9 POSB Assets'!G30</f>
        <v>#REF!</v>
      </c>
      <c r="H30" s="1057" t="e">
        <f>#REF!+'Table 9 POSB Assets'!H30</f>
        <v>#REF!</v>
      </c>
      <c r="I30" s="1057" t="e">
        <f>#REF!+'Table 9 POSB Assets'!I30</f>
        <v>#REF!</v>
      </c>
      <c r="J30" s="1058" t="e">
        <f>#REF!+'Table 9 POSB Assets'!J30</f>
        <v>#REF!</v>
      </c>
      <c r="K30" s="1058" t="e">
        <f>#REF!+'Table 9 POSB Assets'!K30</f>
        <v>#REF!</v>
      </c>
      <c r="L30" s="1058" t="e">
        <f>#REF!+'Table 9 POSB Assets'!L30</f>
        <v>#REF!</v>
      </c>
      <c r="M30" s="1057" t="e">
        <f>#REF!</f>
        <v>#REF!</v>
      </c>
      <c r="N30" s="1057" t="e">
        <f>#REF!+'Table 9 POSB Assets'!M30</f>
        <v>#REF!</v>
      </c>
      <c r="O30" s="1057" t="e">
        <f>#REF!+'Table 9 POSB Assets'!N30+'Table 9 POSB Assets'!O30+'Table 9 POSB Assets'!P30+'Table 9 POSB Assets'!Q30</f>
        <v>#REF!</v>
      </c>
      <c r="P30" s="1057" t="e">
        <f>#REF!+'Table 9 POSB Assets'!S30</f>
        <v>#REF!</v>
      </c>
      <c r="Q30" s="1057" t="e">
        <f>#REF!+'Table 9 POSB Assets'!T30</f>
        <v>#REF!</v>
      </c>
      <c r="R30" s="1059" t="e">
        <f t="shared" si="0"/>
        <v>#REF!</v>
      </c>
      <c r="T30" s="1060" t="e">
        <f>R30-'Table 9 POSB Assets'!U30-#REF!</f>
        <v>#REF!</v>
      </c>
      <c r="U30" s="1061" t="e">
        <f t="shared" si="1"/>
        <v>#REF!</v>
      </c>
      <c r="V30" s="1030" t="e">
        <f t="shared" si="3"/>
        <v>#REF!</v>
      </c>
    </row>
    <row r="31" spans="2:22" ht="15" customHeight="1">
      <c r="B31" s="1054" t="s">
        <v>336</v>
      </c>
      <c r="C31" s="1055" t="e">
        <f>#REF!+'Table 9 POSB Assets'!C31</f>
        <v>#REF!</v>
      </c>
      <c r="D31" s="1056" t="e">
        <f>#REF!+'Table 9 POSB Assets'!D31</f>
        <v>#REF!</v>
      </c>
      <c r="E31" s="1056" t="e">
        <f>#REF!+'Table 9 POSB Assets'!E31</f>
        <v>#REF!</v>
      </c>
      <c r="F31" s="1056" t="e">
        <f>+#REF!+'Table 9 POSB Assets'!F31</f>
        <v>#REF!</v>
      </c>
      <c r="G31" s="1057" t="e">
        <f>#REF!+'Table 9 POSB Assets'!G31</f>
        <v>#REF!</v>
      </c>
      <c r="H31" s="1057" t="e">
        <f>#REF!+'Table 9 POSB Assets'!H31</f>
        <v>#REF!</v>
      </c>
      <c r="I31" s="1057" t="e">
        <f>#REF!+'Table 9 POSB Assets'!I31</f>
        <v>#REF!</v>
      </c>
      <c r="J31" s="1058" t="e">
        <f>#REF!+'Table 9 POSB Assets'!J31</f>
        <v>#REF!</v>
      </c>
      <c r="K31" s="1058" t="e">
        <f>#REF!+'Table 9 POSB Assets'!K31</f>
        <v>#REF!</v>
      </c>
      <c r="L31" s="1058" t="e">
        <f>#REF!+'Table 9 POSB Assets'!L31</f>
        <v>#REF!</v>
      </c>
      <c r="M31" s="1057" t="e">
        <f>#REF!</f>
        <v>#REF!</v>
      </c>
      <c r="N31" s="1057" t="e">
        <f>#REF!+'Table 9 POSB Assets'!M31</f>
        <v>#REF!</v>
      </c>
      <c r="O31" s="1057" t="e">
        <f>#REF!+'Table 9 POSB Assets'!N31+'Table 9 POSB Assets'!O31+'Table 9 POSB Assets'!P31+'Table 9 POSB Assets'!Q31</f>
        <v>#REF!</v>
      </c>
      <c r="P31" s="1057" t="e">
        <f>#REF!+'Table 9 POSB Assets'!S31</f>
        <v>#REF!</v>
      </c>
      <c r="Q31" s="1057" t="e">
        <f>#REF!+'Table 9 POSB Assets'!T31</f>
        <v>#REF!</v>
      </c>
      <c r="R31" s="1059" t="e">
        <f t="shared" si="0"/>
        <v>#REF!</v>
      </c>
      <c r="T31" s="1060" t="e">
        <f>R31-'Table 9 POSB Assets'!U31-#REF!</f>
        <v>#REF!</v>
      </c>
      <c r="U31" s="1061" t="e">
        <f t="shared" si="1"/>
        <v>#REF!</v>
      </c>
      <c r="V31" s="1030" t="e">
        <f t="shared" si="3"/>
        <v>#REF!</v>
      </c>
    </row>
    <row r="32" spans="2:22" ht="15" customHeight="1">
      <c r="B32" s="1054" t="s">
        <v>337</v>
      </c>
      <c r="C32" s="1055" t="e">
        <f>#REF!+'Table 9 POSB Assets'!C32</f>
        <v>#REF!</v>
      </c>
      <c r="D32" s="1056" t="e">
        <f>#REF!+'Table 9 POSB Assets'!D32</f>
        <v>#REF!</v>
      </c>
      <c r="E32" s="1056" t="e">
        <f>#REF!+'Table 9 POSB Assets'!E32</f>
        <v>#REF!</v>
      </c>
      <c r="F32" s="1056" t="e">
        <f>+#REF!+'Table 9 POSB Assets'!F32</f>
        <v>#REF!</v>
      </c>
      <c r="G32" s="1057" t="e">
        <f>#REF!+'Table 9 POSB Assets'!G32</f>
        <v>#REF!</v>
      </c>
      <c r="H32" s="1057" t="e">
        <f>#REF!+'Table 9 POSB Assets'!H32</f>
        <v>#REF!</v>
      </c>
      <c r="I32" s="1057" t="e">
        <f>#REF!+'Table 9 POSB Assets'!I32</f>
        <v>#REF!</v>
      </c>
      <c r="J32" s="1058" t="e">
        <f>#REF!+'Table 9 POSB Assets'!J32</f>
        <v>#REF!</v>
      </c>
      <c r="K32" s="1058" t="e">
        <f>#REF!+'Table 9 POSB Assets'!K32</f>
        <v>#REF!</v>
      </c>
      <c r="L32" s="1058" t="e">
        <f>#REF!+'Table 9 POSB Assets'!L32</f>
        <v>#REF!</v>
      </c>
      <c r="M32" s="1057" t="e">
        <f>#REF!</f>
        <v>#REF!</v>
      </c>
      <c r="N32" s="1057" t="e">
        <f>#REF!+'Table 9 POSB Assets'!M32</f>
        <v>#REF!</v>
      </c>
      <c r="O32" s="1057" t="e">
        <f>#REF!+'Table 9 POSB Assets'!N32+'Table 9 POSB Assets'!O32+'Table 9 POSB Assets'!P32+'Table 9 POSB Assets'!Q32</f>
        <v>#REF!</v>
      </c>
      <c r="P32" s="1057" t="e">
        <f>#REF!+'Table 9 POSB Assets'!S32</f>
        <v>#REF!</v>
      </c>
      <c r="Q32" s="1057" t="e">
        <f>#REF!+'Table 9 POSB Assets'!T32</f>
        <v>#REF!</v>
      </c>
      <c r="R32" s="1059" t="e">
        <f t="shared" si="0"/>
        <v>#REF!</v>
      </c>
      <c r="T32" s="1060" t="e">
        <f>R32-'Table 9 POSB Assets'!U32-#REF!</f>
        <v>#REF!</v>
      </c>
      <c r="U32" s="1061" t="e">
        <f t="shared" si="1"/>
        <v>#REF!</v>
      </c>
      <c r="V32" s="1030" t="e">
        <f t="shared" si="3"/>
        <v>#REF!</v>
      </c>
    </row>
    <row r="33" spans="2:22" ht="15" customHeight="1">
      <c r="B33" s="1054" t="s">
        <v>338</v>
      </c>
      <c r="C33" s="1055" t="e">
        <f>#REF!+'Table 9 POSB Assets'!C33</f>
        <v>#REF!</v>
      </c>
      <c r="D33" s="1056" t="e">
        <f>#REF!+'Table 9 POSB Assets'!D33</f>
        <v>#REF!</v>
      </c>
      <c r="E33" s="1056" t="e">
        <f>#REF!+'Table 9 POSB Assets'!E33</f>
        <v>#REF!</v>
      </c>
      <c r="F33" s="1056" t="e">
        <f>+#REF!+'Table 9 POSB Assets'!F33</f>
        <v>#REF!</v>
      </c>
      <c r="G33" s="1057" t="e">
        <f>#REF!+'Table 9 POSB Assets'!G33</f>
        <v>#REF!</v>
      </c>
      <c r="H33" s="1057" t="e">
        <f>#REF!+'Table 9 POSB Assets'!H33</f>
        <v>#REF!</v>
      </c>
      <c r="I33" s="1057" t="e">
        <f>#REF!+'Table 9 POSB Assets'!I33</f>
        <v>#REF!</v>
      </c>
      <c r="J33" s="1058" t="e">
        <f>#REF!+'Table 9 POSB Assets'!J33</f>
        <v>#REF!</v>
      </c>
      <c r="K33" s="1058" t="e">
        <f>#REF!+'Table 9 POSB Assets'!K33</f>
        <v>#REF!</v>
      </c>
      <c r="L33" s="1058" t="e">
        <f>#REF!+'Table 9 POSB Assets'!L33</f>
        <v>#REF!</v>
      </c>
      <c r="M33" s="1057" t="e">
        <f>#REF!</f>
        <v>#REF!</v>
      </c>
      <c r="N33" s="1057" t="e">
        <f>#REF!+'Table 9 POSB Assets'!M33</f>
        <v>#REF!</v>
      </c>
      <c r="O33" s="1057" t="e">
        <f>#REF!+'Table 9 POSB Assets'!N33+'Table 9 POSB Assets'!O33+'Table 9 POSB Assets'!P33+'Table 9 POSB Assets'!Q33</f>
        <v>#REF!</v>
      </c>
      <c r="P33" s="1057" t="e">
        <f>#REF!+'Table 9 POSB Assets'!S33</f>
        <v>#REF!</v>
      </c>
      <c r="Q33" s="1057" t="e">
        <f>#REF!+'Table 9 POSB Assets'!T33</f>
        <v>#REF!</v>
      </c>
      <c r="R33" s="1059" t="e">
        <f t="shared" si="0"/>
        <v>#REF!</v>
      </c>
      <c r="T33" s="1060" t="e">
        <f>R33-'Table 9 POSB Assets'!U33-#REF!</f>
        <v>#REF!</v>
      </c>
      <c r="U33" s="1061" t="e">
        <f t="shared" si="1"/>
        <v>#REF!</v>
      </c>
      <c r="V33" s="1030" t="e">
        <f t="shared" si="3"/>
        <v>#REF!</v>
      </c>
    </row>
    <row r="34" spans="2:22" ht="15" customHeight="1">
      <c r="B34" s="1054" t="s">
        <v>339</v>
      </c>
      <c r="C34" s="1055" t="e">
        <f>#REF!+'Table 9 POSB Assets'!C34</f>
        <v>#REF!</v>
      </c>
      <c r="D34" s="1056" t="e">
        <f>#REF!+'Table 9 POSB Assets'!D34</f>
        <v>#REF!</v>
      </c>
      <c r="E34" s="1056" t="e">
        <f>#REF!+'Table 9 POSB Assets'!E34</f>
        <v>#REF!</v>
      </c>
      <c r="F34" s="1056" t="e">
        <f>+#REF!+'Table 9 POSB Assets'!F34</f>
        <v>#REF!</v>
      </c>
      <c r="G34" s="1057" t="e">
        <f>#REF!+'Table 9 POSB Assets'!G34</f>
        <v>#REF!</v>
      </c>
      <c r="H34" s="1057" t="e">
        <f>#REF!+'Table 9 POSB Assets'!H34</f>
        <v>#REF!</v>
      </c>
      <c r="I34" s="1057" t="e">
        <f>#REF!+'Table 9 POSB Assets'!I34</f>
        <v>#REF!</v>
      </c>
      <c r="J34" s="1058" t="e">
        <f>#REF!+'Table 9 POSB Assets'!J34</f>
        <v>#REF!</v>
      </c>
      <c r="K34" s="1058" t="e">
        <f>#REF!+'Table 9 POSB Assets'!K34</f>
        <v>#REF!</v>
      </c>
      <c r="L34" s="1058" t="e">
        <f>#REF!+'Table 9 POSB Assets'!L34</f>
        <v>#REF!</v>
      </c>
      <c r="M34" s="1057" t="e">
        <f>#REF!</f>
        <v>#REF!</v>
      </c>
      <c r="N34" s="1057" t="e">
        <f>#REF!+'Table 9 POSB Assets'!M34</f>
        <v>#REF!</v>
      </c>
      <c r="O34" s="1057" t="e">
        <f>#REF!+'Table 9 POSB Assets'!N34+'Table 9 POSB Assets'!O34+'Table 9 POSB Assets'!P34+'Table 9 POSB Assets'!Q34</f>
        <v>#REF!</v>
      </c>
      <c r="P34" s="1057" t="e">
        <f>#REF!+'Table 9 POSB Assets'!S34</f>
        <v>#REF!</v>
      </c>
      <c r="Q34" s="1057" t="e">
        <f>#REF!+'Table 9 POSB Assets'!T34</f>
        <v>#REF!</v>
      </c>
      <c r="R34" s="1059" t="e">
        <f t="shared" si="0"/>
        <v>#REF!</v>
      </c>
      <c r="T34" s="1060" t="e">
        <f>R34-'Table 9 POSB Assets'!U34-#REF!</f>
        <v>#REF!</v>
      </c>
      <c r="U34" s="1061" t="e">
        <f t="shared" si="1"/>
        <v>#REF!</v>
      </c>
      <c r="V34" s="1030" t="e">
        <f t="shared" si="3"/>
        <v>#REF!</v>
      </c>
    </row>
    <row r="35" spans="2:22" ht="15" customHeight="1">
      <c r="B35" s="1054" t="s">
        <v>340</v>
      </c>
      <c r="C35" s="1055" t="e">
        <f>#REF!+'Table 9 POSB Assets'!C35</f>
        <v>#REF!</v>
      </c>
      <c r="D35" s="1056" t="e">
        <f>#REF!+'Table 9 POSB Assets'!D35</f>
        <v>#REF!</v>
      </c>
      <c r="E35" s="1056" t="e">
        <f>#REF!+'Table 9 POSB Assets'!E35</f>
        <v>#REF!</v>
      </c>
      <c r="F35" s="1056" t="e">
        <f>+#REF!+'Table 9 POSB Assets'!F35</f>
        <v>#REF!</v>
      </c>
      <c r="G35" s="1057" t="e">
        <f>#REF!+'Table 9 POSB Assets'!G35</f>
        <v>#REF!</v>
      </c>
      <c r="H35" s="1057" t="e">
        <f>#REF!+'Table 9 POSB Assets'!H35</f>
        <v>#REF!</v>
      </c>
      <c r="I35" s="1057" t="e">
        <f>#REF!+'Table 9 POSB Assets'!I35</f>
        <v>#REF!</v>
      </c>
      <c r="J35" s="1058" t="e">
        <f>#REF!+'Table 9 POSB Assets'!J35</f>
        <v>#REF!</v>
      </c>
      <c r="K35" s="1058" t="e">
        <f>#REF!+'Table 9 POSB Assets'!K35</f>
        <v>#REF!</v>
      </c>
      <c r="L35" s="1058" t="e">
        <f>#REF!+'Table 9 POSB Assets'!L35</f>
        <v>#REF!</v>
      </c>
      <c r="M35" s="1057" t="e">
        <f>#REF!</f>
        <v>#REF!</v>
      </c>
      <c r="N35" s="1057" t="e">
        <f>#REF!+'Table 9 POSB Assets'!M35</f>
        <v>#REF!</v>
      </c>
      <c r="O35" s="1057" t="e">
        <f>#REF!+'Table 9 POSB Assets'!N35+'Table 9 POSB Assets'!O35+'Table 9 POSB Assets'!P35+'Table 9 POSB Assets'!Q35</f>
        <v>#REF!</v>
      </c>
      <c r="P35" s="1057" t="e">
        <f>#REF!+'Table 9 POSB Assets'!S35</f>
        <v>#REF!</v>
      </c>
      <c r="Q35" s="1057" t="e">
        <f>#REF!+'Table 9 POSB Assets'!T35</f>
        <v>#REF!</v>
      </c>
      <c r="R35" s="1059" t="e">
        <f t="shared" si="0"/>
        <v>#REF!</v>
      </c>
      <c r="T35" s="1060" t="e">
        <f>R35-'Table 9 POSB Assets'!U35-#REF!</f>
        <v>#REF!</v>
      </c>
      <c r="U35" s="1061" t="e">
        <f t="shared" si="1"/>
        <v>#REF!</v>
      </c>
      <c r="V35" s="1030" t="e">
        <f t="shared" si="3"/>
        <v>#REF!</v>
      </c>
    </row>
    <row r="36" spans="2:22" ht="15" customHeight="1">
      <c r="B36" s="1054" t="s">
        <v>341</v>
      </c>
      <c r="C36" s="1055" t="e">
        <f>#REF!+'Table 9 POSB Assets'!C36</f>
        <v>#REF!</v>
      </c>
      <c r="D36" s="1056" t="e">
        <f>#REF!+'Table 9 POSB Assets'!D36</f>
        <v>#REF!</v>
      </c>
      <c r="E36" s="1056" t="e">
        <f>#REF!+'Table 9 POSB Assets'!E36</f>
        <v>#REF!</v>
      </c>
      <c r="F36" s="1056" t="e">
        <f>+#REF!+'Table 9 POSB Assets'!F36</f>
        <v>#REF!</v>
      </c>
      <c r="G36" s="1057" t="e">
        <f>#REF!+'Table 9 POSB Assets'!G36</f>
        <v>#REF!</v>
      </c>
      <c r="H36" s="1057" t="e">
        <f>#REF!+'Table 9 POSB Assets'!H36</f>
        <v>#REF!</v>
      </c>
      <c r="I36" s="1057" t="e">
        <f>#REF!+'Table 9 POSB Assets'!I36</f>
        <v>#REF!</v>
      </c>
      <c r="J36" s="1058" t="e">
        <f>#REF!+'Table 9 POSB Assets'!J36</f>
        <v>#REF!</v>
      </c>
      <c r="K36" s="1058" t="e">
        <f>#REF!+'Table 9 POSB Assets'!K36</f>
        <v>#REF!</v>
      </c>
      <c r="L36" s="1058" t="e">
        <f>#REF!+'Table 9 POSB Assets'!L36</f>
        <v>#REF!</v>
      </c>
      <c r="M36" s="1057" t="e">
        <f>#REF!</f>
        <v>#REF!</v>
      </c>
      <c r="N36" s="1057" t="e">
        <f>#REF!+'Table 9 POSB Assets'!M36</f>
        <v>#REF!</v>
      </c>
      <c r="O36" s="1057" t="e">
        <f>#REF!+'Table 9 POSB Assets'!N36+'Table 9 POSB Assets'!O36+'Table 9 POSB Assets'!P36+'Table 9 POSB Assets'!Q36</f>
        <v>#REF!</v>
      </c>
      <c r="P36" s="1057" t="e">
        <f>#REF!+'Table 9 POSB Assets'!S36</f>
        <v>#REF!</v>
      </c>
      <c r="Q36" s="1057" t="e">
        <f>#REF!+'Table 9 POSB Assets'!T36</f>
        <v>#REF!</v>
      </c>
      <c r="R36" s="1059" t="e">
        <f t="shared" si="0"/>
        <v>#REF!</v>
      </c>
      <c r="T36" s="1060" t="e">
        <f>R36-'Table 9 POSB Assets'!U36-#REF!</f>
        <v>#REF!</v>
      </c>
      <c r="U36" s="1061" t="e">
        <f t="shared" si="1"/>
        <v>#REF!</v>
      </c>
      <c r="V36" s="1030" t="e">
        <f t="shared" si="3"/>
        <v>#REF!</v>
      </c>
    </row>
    <row r="37" spans="2:22" ht="15" customHeight="1">
      <c r="B37" s="1054" t="s">
        <v>342</v>
      </c>
      <c r="C37" s="1055" t="e">
        <f>#REF!+'Table 9 POSB Assets'!C37</f>
        <v>#REF!</v>
      </c>
      <c r="D37" s="1056" t="e">
        <f>#REF!+'Table 9 POSB Assets'!D37</f>
        <v>#REF!</v>
      </c>
      <c r="E37" s="1056" t="e">
        <f>#REF!+'Table 9 POSB Assets'!E37</f>
        <v>#REF!</v>
      </c>
      <c r="F37" s="1056" t="e">
        <f>+#REF!+'Table 9 POSB Assets'!F37</f>
        <v>#REF!</v>
      </c>
      <c r="G37" s="1057" t="e">
        <f>#REF!+'Table 9 POSB Assets'!G37</f>
        <v>#REF!</v>
      </c>
      <c r="H37" s="1057" t="e">
        <f>#REF!+'Table 9 POSB Assets'!H37</f>
        <v>#REF!</v>
      </c>
      <c r="I37" s="1057" t="e">
        <f>#REF!+'Table 9 POSB Assets'!I37</f>
        <v>#REF!</v>
      </c>
      <c r="J37" s="1058" t="e">
        <f>#REF!+'Table 9 POSB Assets'!J37</f>
        <v>#REF!</v>
      </c>
      <c r="K37" s="1058" t="e">
        <f>#REF!+'Table 9 POSB Assets'!K37</f>
        <v>#REF!</v>
      </c>
      <c r="L37" s="1058" t="e">
        <f>#REF!+'Table 9 POSB Assets'!L37</f>
        <v>#REF!</v>
      </c>
      <c r="M37" s="1057" t="e">
        <f>#REF!</f>
        <v>#REF!</v>
      </c>
      <c r="N37" s="1057" t="e">
        <f>#REF!+'Table 9 POSB Assets'!M37</f>
        <v>#REF!</v>
      </c>
      <c r="O37" s="1057" t="e">
        <f>#REF!+'Table 9 POSB Assets'!N37+'Table 9 POSB Assets'!O37+'Table 9 POSB Assets'!P37+'Table 9 POSB Assets'!Q37</f>
        <v>#REF!</v>
      </c>
      <c r="P37" s="1057" t="e">
        <f>#REF!+'Table 9 POSB Assets'!S37</f>
        <v>#REF!</v>
      </c>
      <c r="Q37" s="1057" t="e">
        <f>#REF!+'Table 9 POSB Assets'!T37</f>
        <v>#REF!</v>
      </c>
      <c r="R37" s="1059" t="e">
        <f t="shared" si="0"/>
        <v>#REF!</v>
      </c>
      <c r="T37" s="1060" t="e">
        <f>R37-'Table 9 POSB Assets'!U37-#REF!</f>
        <v>#REF!</v>
      </c>
      <c r="U37" s="1061" t="e">
        <f t="shared" si="1"/>
        <v>#REF!</v>
      </c>
      <c r="V37" s="1030" t="e">
        <f t="shared" si="3"/>
        <v>#REF!</v>
      </c>
    </row>
    <row r="38" spans="2:22" ht="15" customHeight="1">
      <c r="B38" s="1054" t="s">
        <v>343</v>
      </c>
      <c r="C38" s="1055" t="e">
        <f>#REF!+'Table 9 POSB Assets'!C38</f>
        <v>#REF!</v>
      </c>
      <c r="D38" s="1056" t="e">
        <f>#REF!+'Table 9 POSB Assets'!D38</f>
        <v>#REF!</v>
      </c>
      <c r="E38" s="1056" t="e">
        <f>#REF!+'Table 9 POSB Assets'!E38</f>
        <v>#REF!</v>
      </c>
      <c r="F38" s="1056" t="e">
        <f>+#REF!+'Table 9 POSB Assets'!F38</f>
        <v>#REF!</v>
      </c>
      <c r="G38" s="1057" t="e">
        <f>#REF!+'Table 9 POSB Assets'!G38</f>
        <v>#REF!</v>
      </c>
      <c r="H38" s="1057" t="e">
        <f>#REF!+'Table 9 POSB Assets'!H38</f>
        <v>#REF!</v>
      </c>
      <c r="I38" s="1057" t="e">
        <f>#REF!+'Table 9 POSB Assets'!I38</f>
        <v>#REF!</v>
      </c>
      <c r="J38" s="1058" t="e">
        <f>#REF!+'Table 9 POSB Assets'!J38</f>
        <v>#REF!</v>
      </c>
      <c r="K38" s="1058" t="e">
        <f>#REF!+'Table 9 POSB Assets'!K38</f>
        <v>#REF!</v>
      </c>
      <c r="L38" s="1058" t="e">
        <f>#REF!+'Table 9 POSB Assets'!L38</f>
        <v>#REF!</v>
      </c>
      <c r="M38" s="1057" t="e">
        <f>#REF!</f>
        <v>#REF!</v>
      </c>
      <c r="N38" s="1057" t="e">
        <f>#REF!+'Table 9 POSB Assets'!M38</f>
        <v>#REF!</v>
      </c>
      <c r="O38" s="1057" t="e">
        <f>#REF!+'Table 9 POSB Assets'!N38+'Table 9 POSB Assets'!O38+'Table 9 POSB Assets'!P38+'Table 9 POSB Assets'!Q38</f>
        <v>#REF!</v>
      </c>
      <c r="P38" s="1057" t="e">
        <f>#REF!+'Table 9 POSB Assets'!S38</f>
        <v>#REF!</v>
      </c>
      <c r="Q38" s="1057" t="e">
        <f>#REF!+'Table 9 POSB Assets'!T38</f>
        <v>#REF!</v>
      </c>
      <c r="R38" s="1059" t="e">
        <f t="shared" si="0"/>
        <v>#REF!</v>
      </c>
      <c r="T38" s="1060" t="e">
        <f>R38-'Table 9 POSB Assets'!U38-#REF!</f>
        <v>#REF!</v>
      </c>
      <c r="U38" s="1061" t="e">
        <f t="shared" si="1"/>
        <v>#REF!</v>
      </c>
      <c r="V38" s="1030" t="e">
        <f t="shared" si="3"/>
        <v>#REF!</v>
      </c>
    </row>
    <row r="39" spans="2:22" ht="15" customHeight="1">
      <c r="B39" s="1054" t="s">
        <v>344</v>
      </c>
      <c r="C39" s="1055" t="e">
        <f>#REF!+'Table 9 POSB Assets'!C39</f>
        <v>#REF!</v>
      </c>
      <c r="D39" s="1056" t="e">
        <f>#REF!+'Table 9 POSB Assets'!D39</f>
        <v>#REF!</v>
      </c>
      <c r="E39" s="1056" t="e">
        <f>#REF!+'Table 9 POSB Assets'!E39</f>
        <v>#REF!</v>
      </c>
      <c r="F39" s="1056" t="e">
        <f>+#REF!+'Table 9 POSB Assets'!F39</f>
        <v>#REF!</v>
      </c>
      <c r="G39" s="1057" t="e">
        <f>#REF!+'Table 9 POSB Assets'!G39</f>
        <v>#REF!</v>
      </c>
      <c r="H39" s="1057" t="e">
        <f>#REF!+'Table 9 POSB Assets'!H39</f>
        <v>#REF!</v>
      </c>
      <c r="I39" s="1057" t="e">
        <f>#REF!+'Table 9 POSB Assets'!I39</f>
        <v>#REF!</v>
      </c>
      <c r="J39" s="1058" t="e">
        <f>#REF!+'Table 9 POSB Assets'!J39</f>
        <v>#REF!</v>
      </c>
      <c r="K39" s="1058" t="e">
        <f>#REF!+'Table 9 POSB Assets'!K39</f>
        <v>#REF!</v>
      </c>
      <c r="L39" s="1058" t="e">
        <f>#REF!+'Table 9 POSB Assets'!L39</f>
        <v>#REF!</v>
      </c>
      <c r="M39" s="1057" t="e">
        <f>#REF!</f>
        <v>#REF!</v>
      </c>
      <c r="N39" s="1057" t="e">
        <f>#REF!+'Table 9 POSB Assets'!M39</f>
        <v>#REF!</v>
      </c>
      <c r="O39" s="1057" t="e">
        <f>#REF!+'Table 9 POSB Assets'!N39+'Table 9 POSB Assets'!O39+'Table 9 POSB Assets'!P39+'Table 9 POSB Assets'!Q39</f>
        <v>#REF!</v>
      </c>
      <c r="P39" s="1057" t="e">
        <f>#REF!+'Table 9 POSB Assets'!S39</f>
        <v>#REF!</v>
      </c>
      <c r="Q39" s="1057" t="e">
        <f>#REF!+'Table 9 POSB Assets'!T39</f>
        <v>#REF!</v>
      </c>
      <c r="R39" s="1059" t="e">
        <f t="shared" si="0"/>
        <v>#REF!</v>
      </c>
      <c r="T39" s="1060" t="e">
        <f>R39-'Table 9 POSB Assets'!U39-#REF!</f>
        <v>#REF!</v>
      </c>
      <c r="U39" s="1061" t="e">
        <f t="shared" si="1"/>
        <v>#REF!</v>
      </c>
      <c r="V39" s="1030" t="e">
        <f t="shared" si="3"/>
        <v>#REF!</v>
      </c>
    </row>
    <row r="40" spans="2:22" ht="15" customHeight="1">
      <c r="B40" s="1057"/>
      <c r="C40" s="1055"/>
      <c r="D40" s="1056"/>
      <c r="E40" s="1056"/>
      <c r="F40" s="1056"/>
      <c r="G40" s="1057"/>
      <c r="H40" s="1057"/>
      <c r="I40" s="1057"/>
      <c r="J40" s="1058"/>
      <c r="K40" s="1058"/>
      <c r="L40" s="1058"/>
      <c r="M40" s="1057"/>
      <c r="N40" s="1057"/>
      <c r="O40" s="1057"/>
      <c r="P40" s="1057"/>
      <c r="Q40" s="1057"/>
      <c r="R40" s="1059"/>
      <c r="T40" s="1060"/>
      <c r="U40" s="1061"/>
    </row>
    <row r="41" spans="2:22" ht="15" customHeight="1">
      <c r="B41" s="1064">
        <v>2017</v>
      </c>
      <c r="C41" s="1136"/>
      <c r="D41" s="1057"/>
      <c r="E41" s="1057"/>
      <c r="F41" s="1057"/>
      <c r="G41" s="1057"/>
      <c r="H41" s="1057"/>
      <c r="I41" s="1057"/>
      <c r="J41" s="1057"/>
      <c r="K41" s="1057"/>
      <c r="L41" s="1057"/>
      <c r="M41" s="1057"/>
      <c r="N41" s="1057"/>
      <c r="O41" s="1057"/>
      <c r="P41" s="1057"/>
      <c r="Q41" s="1057"/>
      <c r="R41" s="1059"/>
    </row>
    <row r="42" spans="2:22" ht="15" customHeight="1">
      <c r="B42" s="1057" t="s">
        <v>345</v>
      </c>
      <c r="C42" s="1055" t="e">
        <f>#REF!+'Table 9 POSB Assets'!C42</f>
        <v>#REF!</v>
      </c>
      <c r="D42" s="1056" t="e">
        <f>#REF!+'Table 9 POSB Assets'!D42</f>
        <v>#REF!</v>
      </c>
      <c r="E42" s="1056" t="e">
        <f>#REF!+'Table 9 POSB Assets'!E42</f>
        <v>#REF!</v>
      </c>
      <c r="F42" s="1056" t="e">
        <f>+#REF!+'Table 9 POSB Assets'!F42</f>
        <v>#REF!</v>
      </c>
      <c r="G42" s="1057" t="e">
        <f>#REF!+'Table 9 POSB Assets'!G42</f>
        <v>#REF!</v>
      </c>
      <c r="H42" s="1057" t="e">
        <f>#REF!+'Table 9 POSB Assets'!H42</f>
        <v>#REF!</v>
      </c>
      <c r="I42" s="1057" t="e">
        <f>#REF!+'Table 9 POSB Assets'!I42</f>
        <v>#REF!</v>
      </c>
      <c r="J42" s="1058" t="e">
        <f>#REF!+'Table 9 POSB Assets'!J42</f>
        <v>#REF!</v>
      </c>
      <c r="K42" s="1058" t="e">
        <f>#REF!+'Table 9 POSB Assets'!K42</f>
        <v>#REF!</v>
      </c>
      <c r="L42" s="1058" t="e">
        <f>#REF!+'Table 9 POSB Assets'!L42</f>
        <v>#REF!</v>
      </c>
      <c r="M42" s="1057" t="e">
        <f>#REF!</f>
        <v>#REF!</v>
      </c>
      <c r="N42" s="1057" t="e">
        <f>#REF!+'Table 9 POSB Assets'!M42</f>
        <v>#REF!</v>
      </c>
      <c r="O42" s="1057" t="e">
        <f>#REF!+'Table 9 POSB Assets'!N42+'Table 9 POSB Assets'!O42+'Table 9 POSB Assets'!P42+'Table 9 POSB Assets'!Q42</f>
        <v>#REF!</v>
      </c>
      <c r="P42" s="1057" t="e">
        <f>#REF!+'Table 9 POSB Assets'!S42</f>
        <v>#REF!</v>
      </c>
      <c r="Q42" s="1057" t="e">
        <f>#REF!+'Table 9 POSB Assets'!T42</f>
        <v>#REF!</v>
      </c>
      <c r="R42" s="1059" t="e">
        <f>SUM(C42:Q42)</f>
        <v>#REF!</v>
      </c>
      <c r="T42" s="1060" t="e">
        <f>R42-'Table 9 POSB Assets'!U42-#REF!</f>
        <v>#REF!</v>
      </c>
      <c r="U42" s="1061" t="e">
        <f>+T42/R42</f>
        <v>#REF!</v>
      </c>
      <c r="V42" s="1030" t="e">
        <f>+T42*1000000</f>
        <v>#REF!</v>
      </c>
    </row>
    <row r="43" spans="2:22" ht="15" customHeight="1">
      <c r="B43" s="1057" t="s">
        <v>334</v>
      </c>
      <c r="C43" s="1055" t="e">
        <f>#REF!+'Table 9 POSB Assets'!C43</f>
        <v>#REF!</v>
      </c>
      <c r="D43" s="1056" t="e">
        <f>#REF!+'Table 9 POSB Assets'!D43</f>
        <v>#REF!</v>
      </c>
      <c r="E43" s="1056" t="e">
        <f>#REF!+'Table 9 POSB Assets'!E43</f>
        <v>#REF!</v>
      </c>
      <c r="F43" s="1056" t="e">
        <f>+#REF!+'Table 9 POSB Assets'!F43</f>
        <v>#REF!</v>
      </c>
      <c r="G43" s="1057" t="e">
        <f>#REF!+'Table 9 POSB Assets'!G43</f>
        <v>#REF!</v>
      </c>
      <c r="H43" s="1057" t="e">
        <f>#REF!+'Table 9 POSB Assets'!H43</f>
        <v>#REF!</v>
      </c>
      <c r="I43" s="1057" t="e">
        <f>#REF!+'Table 9 POSB Assets'!I43</f>
        <v>#REF!</v>
      </c>
      <c r="J43" s="1058" t="e">
        <f>#REF!+'Table 9 POSB Assets'!J43</f>
        <v>#REF!</v>
      </c>
      <c r="K43" s="1058" t="e">
        <f>#REF!+'Table 9 POSB Assets'!K43</f>
        <v>#REF!</v>
      </c>
      <c r="L43" s="1058" t="e">
        <f>#REF!+'Table 9 POSB Assets'!L43</f>
        <v>#REF!</v>
      </c>
      <c r="M43" s="1057" t="e">
        <f>#REF!</f>
        <v>#REF!</v>
      </c>
      <c r="N43" s="1057" t="e">
        <f>#REF!+'Table 9 POSB Assets'!M43</f>
        <v>#REF!</v>
      </c>
      <c r="O43" s="1057" t="e">
        <f>#REF!+'Table 9 POSB Assets'!N43+'Table 9 POSB Assets'!O43+'Table 9 POSB Assets'!P43+'Table 9 POSB Assets'!Q43</f>
        <v>#REF!</v>
      </c>
      <c r="P43" s="1057" t="e">
        <f>#REF!+'Table 9 POSB Assets'!S43</f>
        <v>#REF!</v>
      </c>
      <c r="Q43" s="1057" t="e">
        <f>#REF!+'Table 9 POSB Assets'!T43</f>
        <v>#REF!</v>
      </c>
      <c r="R43" s="1059" t="e">
        <f>SUM(C43:Q43)</f>
        <v>#REF!</v>
      </c>
      <c r="T43" s="1060" t="e">
        <f>R43-'Table 9 POSB Assets'!U43-#REF!</f>
        <v>#REF!</v>
      </c>
      <c r="U43" s="1061" t="e">
        <f>+T43/R43</f>
        <v>#REF!</v>
      </c>
      <c r="V43" s="1030" t="e">
        <f>+T43*1000000</f>
        <v>#REF!</v>
      </c>
    </row>
    <row r="44" spans="2:22" ht="15" customHeight="1">
      <c r="B44" s="1057" t="s">
        <v>335</v>
      </c>
      <c r="C44" s="1057"/>
      <c r="D44" s="1057"/>
      <c r="E44" s="1057"/>
      <c r="F44" s="1057"/>
      <c r="G44" s="1057"/>
      <c r="H44" s="1057"/>
      <c r="I44" s="1057"/>
      <c r="J44" s="1057"/>
      <c r="K44" s="1057"/>
      <c r="L44" s="1057"/>
      <c r="M44" s="1057"/>
      <c r="N44" s="1057"/>
      <c r="O44" s="1057"/>
      <c r="P44" s="1057"/>
      <c r="Q44" s="1057"/>
      <c r="R44" s="1059"/>
    </row>
    <row r="45" spans="2:22" ht="15" customHeight="1">
      <c r="B45" s="1062" t="s">
        <v>1174</v>
      </c>
      <c r="C45" s="1062"/>
      <c r="D45" s="1057"/>
      <c r="E45" s="1057"/>
      <c r="F45" s="1057"/>
      <c r="G45" s="1057"/>
      <c r="H45" s="1057"/>
      <c r="I45" s="1057"/>
      <c r="J45" s="1057"/>
      <c r="K45" s="1057"/>
      <c r="L45" s="1057"/>
      <c r="M45" s="1057"/>
      <c r="N45" s="1057"/>
      <c r="O45" s="1057"/>
      <c r="P45" s="1057"/>
      <c r="Q45" s="1057"/>
      <c r="R45" s="1059"/>
    </row>
    <row r="46" spans="2:22" ht="15" customHeight="1">
      <c r="B46" s="1057" t="s">
        <v>337</v>
      </c>
      <c r="C46" s="1057"/>
      <c r="D46" s="1057"/>
      <c r="E46" s="1057"/>
      <c r="F46" s="1057"/>
      <c r="G46" s="1057"/>
      <c r="H46" s="1057"/>
      <c r="I46" s="1057"/>
      <c r="J46" s="1057"/>
      <c r="K46" s="1057"/>
      <c r="L46" s="1057"/>
      <c r="M46" s="1057"/>
      <c r="N46" s="1057"/>
      <c r="O46" s="1057"/>
      <c r="P46" s="1057"/>
      <c r="Q46" s="1057"/>
      <c r="R46" s="1059"/>
    </row>
    <row r="47" spans="2:22" ht="15" customHeight="1">
      <c r="B47" s="1057" t="s">
        <v>338</v>
      </c>
      <c r="C47" s="1057"/>
      <c r="D47" s="1057"/>
      <c r="E47" s="1057"/>
      <c r="F47" s="1057"/>
      <c r="G47" s="1057"/>
      <c r="H47" s="1057"/>
      <c r="I47" s="1057"/>
      <c r="J47" s="1057"/>
      <c r="K47" s="1057"/>
      <c r="L47" s="1057"/>
      <c r="M47" s="1057"/>
      <c r="N47" s="1057"/>
      <c r="O47" s="1057"/>
      <c r="P47" s="1057"/>
      <c r="Q47" s="1057"/>
      <c r="R47" s="1059"/>
    </row>
    <row r="48" spans="2:22" ht="15" customHeight="1">
      <c r="B48" s="1057" t="s">
        <v>339</v>
      </c>
      <c r="C48" s="1057"/>
      <c r="D48" s="1057"/>
      <c r="E48" s="1057"/>
      <c r="F48" s="1057"/>
      <c r="G48" s="1057"/>
      <c r="H48" s="1057"/>
      <c r="I48" s="1057"/>
      <c r="J48" s="1057"/>
      <c r="K48" s="1057"/>
      <c r="L48" s="1057"/>
      <c r="M48" s="1057"/>
      <c r="N48" s="1057"/>
      <c r="O48" s="1057"/>
      <c r="P48" s="1057"/>
      <c r="Q48" s="1057"/>
      <c r="R48" s="1059"/>
    </row>
    <row r="49" spans="2:22" ht="15" customHeight="1">
      <c r="B49" s="1057" t="s">
        <v>340</v>
      </c>
      <c r="C49" s="1057"/>
      <c r="D49" s="1057"/>
      <c r="E49" s="1057"/>
      <c r="F49" s="1057"/>
      <c r="G49" s="1057"/>
      <c r="H49" s="1057"/>
      <c r="I49" s="1057"/>
      <c r="J49" s="1057"/>
      <c r="K49" s="1057"/>
      <c r="L49" s="1057"/>
      <c r="M49" s="1057"/>
      <c r="N49" s="1057"/>
      <c r="O49" s="1057"/>
      <c r="P49" s="1057"/>
      <c r="Q49" s="1057"/>
      <c r="R49" s="1059"/>
    </row>
    <row r="50" spans="2:22" ht="15" customHeight="1" thickBot="1">
      <c r="B50" s="1065" t="s">
        <v>1178</v>
      </c>
      <c r="C50" s="1065"/>
      <c r="D50" s="1066"/>
      <c r="E50" s="1066"/>
      <c r="F50" s="1066"/>
      <c r="G50" s="1066"/>
      <c r="H50" s="1066"/>
      <c r="I50" s="1066"/>
      <c r="J50" s="1066"/>
      <c r="K50" s="1066"/>
      <c r="L50" s="1066"/>
      <c r="M50" s="1067"/>
      <c r="N50" s="1066"/>
      <c r="O50" s="1067"/>
      <c r="P50" s="1066"/>
      <c r="Q50" s="1066"/>
      <c r="R50" s="1068"/>
    </row>
    <row r="51" spans="2:22" ht="12" thickTop="1"/>
    <row r="52" spans="2:22">
      <c r="B52" s="1069"/>
      <c r="C52" s="1069"/>
      <c r="D52" s="1069"/>
      <c r="E52" s="1069"/>
      <c r="F52" s="1069"/>
      <c r="G52" s="1069"/>
      <c r="H52" s="1069"/>
      <c r="I52" s="1069"/>
      <c r="J52" s="1069"/>
      <c r="K52" s="1069"/>
      <c r="L52" s="1069"/>
      <c r="M52" s="1069"/>
      <c r="N52" s="1069"/>
      <c r="O52" s="1069"/>
      <c r="P52" s="1069"/>
      <c r="Q52" s="1069"/>
      <c r="R52" s="1069"/>
      <c r="S52" s="1070"/>
    </row>
    <row r="53" spans="2:22" ht="16.5">
      <c r="B53" s="963" t="s">
        <v>1360</v>
      </c>
      <c r="C53" s="926"/>
      <c r="D53" s="926"/>
      <c r="E53" s="1069"/>
      <c r="F53" s="1069"/>
      <c r="G53" s="1069"/>
      <c r="H53" s="1069"/>
      <c r="I53" s="1069"/>
      <c r="J53" s="1069"/>
      <c r="K53" s="1069"/>
      <c r="L53" s="1069"/>
      <c r="M53" s="1069"/>
      <c r="N53" s="1069"/>
      <c r="O53" s="1069"/>
      <c r="P53" s="1069"/>
      <c r="Q53" s="1069"/>
      <c r="R53" s="1069"/>
      <c r="S53" s="1070"/>
    </row>
    <row r="54" spans="2:22" ht="15.75">
      <c r="B54" s="237" t="s">
        <v>998</v>
      </c>
    </row>
    <row r="55" spans="2:22" s="921" customFormat="1" ht="15">
      <c r="B55" s="1071">
        <v>1</v>
      </c>
      <c r="T55" s="1072"/>
      <c r="U55" s="1073"/>
      <c r="V55" s="1074"/>
    </row>
    <row r="56" spans="2:22" s="921" customFormat="1" ht="15">
      <c r="B56" s="1071">
        <v>2</v>
      </c>
      <c r="T56" s="1072"/>
      <c r="U56" s="1073"/>
      <c r="V56" s="1074"/>
    </row>
    <row r="57" spans="2:22" s="921" customFormat="1" ht="15">
      <c r="B57" s="1071">
        <v>3</v>
      </c>
      <c r="T57" s="1072"/>
      <c r="U57" s="1073"/>
      <c r="V57" s="1074"/>
    </row>
    <row r="58" spans="2:22" s="921" customFormat="1" ht="15">
      <c r="T58" s="1072"/>
      <c r="U58" s="1073"/>
      <c r="V58" s="1074"/>
    </row>
    <row r="59" spans="2:22" s="921" customFormat="1" ht="15">
      <c r="T59" s="1072"/>
      <c r="U59" s="1073"/>
      <c r="V59" s="1074"/>
    </row>
    <row r="60" spans="2:22" s="921" customFormat="1" ht="15">
      <c r="T60" s="1072"/>
      <c r="U60" s="1073"/>
      <c r="V60" s="1074"/>
    </row>
    <row r="61" spans="2:22" s="921" customFormat="1" ht="15">
      <c r="T61" s="1072"/>
      <c r="U61" s="1073"/>
      <c r="V61" s="1074"/>
    </row>
    <row r="62" spans="2:22" s="921" customFormat="1" ht="15">
      <c r="T62" s="1072"/>
      <c r="U62" s="1073"/>
      <c r="V62" s="1074"/>
    </row>
    <row r="63" spans="2:22" s="921" customFormat="1" ht="15">
      <c r="T63" s="1072"/>
      <c r="U63" s="1073"/>
      <c r="V63" s="1074"/>
    </row>
    <row r="64" spans="2:22" s="921" customFormat="1" ht="15">
      <c r="T64" s="1072"/>
      <c r="U64" s="1073"/>
      <c r="V64" s="1074"/>
    </row>
    <row r="65" spans="20:22" s="921" customFormat="1" ht="15">
      <c r="T65" s="1072"/>
      <c r="U65" s="1073"/>
      <c r="V65" s="1074"/>
    </row>
    <row r="66" spans="20:22" s="921" customFormat="1" ht="15">
      <c r="T66" s="1072"/>
      <c r="U66" s="1073"/>
      <c r="V66" s="1074"/>
    </row>
    <row r="67" spans="20:22" s="921" customFormat="1" ht="15">
      <c r="T67" s="1072"/>
      <c r="U67" s="1073"/>
      <c r="V67" s="1074"/>
    </row>
    <row r="68" spans="20:22" s="921" customFormat="1" ht="15">
      <c r="T68" s="1072"/>
      <c r="U68" s="1073"/>
      <c r="V68" s="1074"/>
    </row>
    <row r="69" spans="20:22" s="921" customFormat="1" ht="15">
      <c r="T69" s="1072"/>
      <c r="U69" s="1073"/>
      <c r="V69" s="1074"/>
    </row>
    <row r="70" spans="20:22" s="921" customFormat="1" ht="15">
      <c r="T70" s="1072"/>
      <c r="U70" s="1073"/>
      <c r="V70" s="1074"/>
    </row>
    <row r="71" spans="20:22" s="921" customFormat="1" ht="15">
      <c r="T71" s="1072"/>
      <c r="U71" s="1073"/>
      <c r="V71" s="1074"/>
    </row>
    <row r="72" spans="20:22" s="921" customFormat="1" ht="15">
      <c r="T72" s="1072"/>
      <c r="U72" s="1073"/>
      <c r="V72" s="1074"/>
    </row>
    <row r="73" spans="20:22" s="921" customFormat="1" ht="15">
      <c r="T73" s="1072"/>
      <c r="U73" s="1073"/>
      <c r="V73" s="1074"/>
    </row>
    <row r="74" spans="20:22" s="921" customFormat="1" ht="15">
      <c r="T74" s="1072"/>
      <c r="U74" s="1073"/>
      <c r="V74" s="1074"/>
    </row>
    <row r="75" spans="20:22" s="921" customFormat="1" ht="15">
      <c r="T75" s="1072"/>
      <c r="U75" s="1073"/>
      <c r="V75" s="1074"/>
    </row>
    <row r="76" spans="20:22" s="921" customFormat="1" ht="15">
      <c r="T76" s="1072"/>
      <c r="U76" s="1073"/>
      <c r="V76" s="1074"/>
    </row>
    <row r="77" spans="20:22" s="921" customFormat="1" ht="15">
      <c r="T77" s="1072"/>
      <c r="U77" s="1073"/>
      <c r="V77" s="1074"/>
    </row>
    <row r="78" spans="20:22" s="921" customFormat="1" ht="15">
      <c r="T78" s="1072"/>
      <c r="U78" s="1073"/>
      <c r="V78" s="1074"/>
    </row>
    <row r="79" spans="20:22" s="921" customFormat="1" ht="15">
      <c r="T79" s="1072"/>
      <c r="U79" s="1073"/>
      <c r="V79" s="1074"/>
    </row>
    <row r="80" spans="20:22" s="921" customFormat="1" ht="15">
      <c r="T80" s="1072"/>
      <c r="U80" s="1073"/>
      <c r="V80" s="1074"/>
    </row>
    <row r="81" spans="20:22" s="921" customFormat="1" ht="15">
      <c r="T81" s="1072"/>
      <c r="U81" s="1073"/>
      <c r="V81" s="1074"/>
    </row>
    <row r="82" spans="20:22" s="921" customFormat="1" ht="15">
      <c r="T82" s="1072"/>
      <c r="U82" s="1073"/>
      <c r="V82" s="1074"/>
    </row>
    <row r="83" spans="20:22" s="921" customFormat="1" ht="15">
      <c r="T83" s="1072"/>
      <c r="U83" s="1073"/>
      <c r="V83" s="1074"/>
    </row>
    <row r="84" spans="20:22" s="921" customFormat="1" ht="15">
      <c r="T84" s="1072"/>
      <c r="U84" s="1073"/>
      <c r="V84" s="1074"/>
    </row>
    <row r="85" spans="20:22" s="921" customFormat="1" ht="15">
      <c r="T85" s="1072"/>
      <c r="U85" s="1073"/>
      <c r="V85" s="1074"/>
    </row>
    <row r="86" spans="20:22" s="921" customFormat="1" ht="15">
      <c r="T86" s="1072"/>
      <c r="U86" s="1073"/>
      <c r="V86" s="1074"/>
    </row>
    <row r="87" spans="20:22" s="921" customFormat="1" ht="15">
      <c r="T87" s="1072"/>
      <c r="U87" s="1073"/>
      <c r="V87" s="1074"/>
    </row>
    <row r="88" spans="20:22" s="921" customFormat="1" ht="15">
      <c r="T88" s="1072"/>
      <c r="U88" s="1073"/>
      <c r="V88" s="1074"/>
    </row>
    <row r="89" spans="20:22" s="921" customFormat="1" ht="15">
      <c r="T89" s="1072"/>
      <c r="U89" s="1073"/>
      <c r="V89" s="1074"/>
    </row>
    <row r="90" spans="20:22" s="921" customFormat="1" ht="15">
      <c r="T90" s="1072"/>
      <c r="U90" s="1073"/>
      <c r="V90" s="1074"/>
    </row>
    <row r="91" spans="20:22" s="921" customFormat="1" ht="15">
      <c r="T91" s="1072"/>
      <c r="U91" s="1073"/>
      <c r="V91" s="1074"/>
    </row>
    <row r="92" spans="20:22" s="921" customFormat="1" ht="15">
      <c r="T92" s="1072"/>
      <c r="U92" s="1073"/>
      <c r="V92" s="1074"/>
    </row>
    <row r="93" spans="20:22" s="921" customFormat="1" ht="15">
      <c r="T93" s="1072"/>
      <c r="U93" s="1073"/>
      <c r="V93" s="1074"/>
    </row>
    <row r="94" spans="20:22" s="921" customFormat="1" ht="15">
      <c r="T94" s="1072"/>
      <c r="U94" s="1073"/>
      <c r="V94" s="1074"/>
    </row>
    <row r="95" spans="20:22" s="921" customFormat="1" ht="15">
      <c r="T95" s="1072"/>
      <c r="U95" s="1073"/>
      <c r="V95" s="1074"/>
    </row>
    <row r="96" spans="20:22" s="921" customFormat="1" ht="15">
      <c r="T96" s="1072"/>
      <c r="U96" s="1073"/>
      <c r="V96" s="1074"/>
    </row>
    <row r="97" spans="20:22" s="921" customFormat="1" ht="15">
      <c r="T97" s="1072"/>
      <c r="U97" s="1073"/>
      <c r="V97" s="1074"/>
    </row>
    <row r="98" spans="20:22" s="921" customFormat="1" ht="15">
      <c r="T98" s="1072"/>
      <c r="U98" s="1073"/>
      <c r="V98" s="1074"/>
    </row>
    <row r="99" spans="20:22" s="921" customFormat="1" ht="15">
      <c r="T99" s="1072"/>
      <c r="U99" s="1073"/>
      <c r="V99" s="1074"/>
    </row>
    <row r="100" spans="20:22" s="921" customFormat="1" ht="15">
      <c r="T100" s="1072"/>
      <c r="U100" s="1073"/>
      <c r="V100" s="1074"/>
    </row>
    <row r="101" spans="20:22" s="921" customFormat="1" ht="15">
      <c r="T101" s="1072"/>
      <c r="U101" s="1073"/>
      <c r="V101" s="1074"/>
    </row>
    <row r="102" spans="20:22" s="921" customFormat="1" ht="15">
      <c r="T102" s="1072"/>
      <c r="U102" s="1073"/>
      <c r="V102" s="1074"/>
    </row>
    <row r="103" spans="20:22" s="921" customFormat="1" ht="15">
      <c r="T103" s="1072"/>
      <c r="U103" s="1073"/>
      <c r="V103" s="1074"/>
    </row>
    <row r="104" spans="20:22" s="921" customFormat="1" ht="15">
      <c r="T104" s="1072"/>
      <c r="U104" s="1073"/>
      <c r="V104" s="1074"/>
    </row>
    <row r="105" spans="20:22" s="921" customFormat="1" ht="15">
      <c r="T105" s="1072"/>
      <c r="U105" s="1073"/>
      <c r="V105" s="1074"/>
    </row>
    <row r="106" spans="20:22" s="921" customFormat="1" ht="15">
      <c r="T106" s="1072"/>
      <c r="U106" s="1073"/>
      <c r="V106" s="1074"/>
    </row>
    <row r="107" spans="20:22" s="921" customFormat="1" ht="15">
      <c r="T107" s="1072"/>
      <c r="U107" s="1073"/>
      <c r="V107" s="1074"/>
    </row>
    <row r="108" spans="20:22" s="921" customFormat="1" ht="15">
      <c r="T108" s="1072"/>
      <c r="U108" s="1073"/>
      <c r="V108" s="1074"/>
    </row>
    <row r="109" spans="20:22" s="921" customFormat="1" ht="15">
      <c r="T109" s="1072"/>
      <c r="U109" s="1073"/>
      <c r="V109" s="1074"/>
    </row>
    <row r="110" spans="20:22" s="921" customFormat="1" ht="15">
      <c r="T110" s="1072"/>
      <c r="U110" s="1073"/>
      <c r="V110" s="1074"/>
    </row>
    <row r="111" spans="20:22" s="921" customFormat="1" ht="15">
      <c r="T111" s="1072"/>
      <c r="U111" s="1073"/>
      <c r="V111" s="1074"/>
    </row>
    <row r="112" spans="20:22" s="921" customFormat="1" ht="15">
      <c r="T112" s="1072"/>
      <c r="U112" s="1073"/>
      <c r="V112" s="1074"/>
    </row>
    <row r="113" spans="20:22" s="921" customFormat="1" ht="15">
      <c r="T113" s="1072"/>
      <c r="U113" s="1073"/>
      <c r="V113" s="1074"/>
    </row>
    <row r="114" spans="20:22" s="921" customFormat="1" ht="15">
      <c r="T114" s="1072"/>
      <c r="U114" s="1073"/>
      <c r="V114" s="1074"/>
    </row>
    <row r="115" spans="20:22" s="921" customFormat="1" ht="15">
      <c r="T115" s="1072"/>
      <c r="U115" s="1073"/>
      <c r="V115" s="1074"/>
    </row>
    <row r="116" spans="20:22" s="921" customFormat="1" ht="15">
      <c r="T116" s="1072"/>
      <c r="U116" s="1073"/>
      <c r="V116" s="1074"/>
    </row>
    <row r="117" spans="20:22" s="921" customFormat="1" ht="15">
      <c r="T117" s="1072"/>
      <c r="U117" s="1073"/>
      <c r="V117" s="1074"/>
    </row>
    <row r="118" spans="20:22" s="921" customFormat="1" ht="15">
      <c r="T118" s="1072"/>
      <c r="U118" s="1073"/>
      <c r="V118" s="1074"/>
    </row>
    <row r="119" spans="20:22" s="921" customFormat="1" ht="15">
      <c r="T119" s="1072"/>
      <c r="U119" s="1073"/>
      <c r="V119" s="1074"/>
    </row>
    <row r="120" spans="20:22" s="921" customFormat="1" ht="15">
      <c r="T120" s="1072"/>
      <c r="U120" s="1073"/>
      <c r="V120" s="1074"/>
    </row>
    <row r="121" spans="20:22" s="921" customFormat="1" ht="15">
      <c r="T121" s="1072"/>
      <c r="U121" s="1073"/>
      <c r="V121" s="1074"/>
    </row>
    <row r="122" spans="20:22" s="921" customFormat="1" ht="15">
      <c r="T122" s="1072"/>
      <c r="U122" s="1073"/>
      <c r="V122" s="1074"/>
    </row>
    <row r="123" spans="20:22" s="921" customFormat="1" ht="15">
      <c r="T123" s="1072"/>
      <c r="U123" s="1073"/>
      <c r="V123" s="1074"/>
    </row>
    <row r="124" spans="20:22" s="921" customFormat="1" ht="15">
      <c r="T124" s="1072"/>
      <c r="U124" s="1073"/>
      <c r="V124" s="1074"/>
    </row>
    <row r="125" spans="20:22" s="921" customFormat="1" ht="15">
      <c r="T125" s="1072"/>
      <c r="U125" s="1073"/>
      <c r="V125" s="1074"/>
    </row>
    <row r="126" spans="20:22" s="921" customFormat="1" ht="15">
      <c r="T126" s="1072"/>
      <c r="U126" s="1073"/>
      <c r="V126" s="1074"/>
    </row>
    <row r="127" spans="20:22" s="921" customFormat="1" ht="15">
      <c r="T127" s="1072"/>
      <c r="U127" s="1073"/>
      <c r="V127" s="1074"/>
    </row>
    <row r="128" spans="20:22" s="921" customFormat="1" ht="15">
      <c r="T128" s="1072"/>
      <c r="U128" s="1073"/>
      <c r="V128" s="1074"/>
    </row>
    <row r="129" spans="20:22" s="921" customFormat="1" ht="15">
      <c r="T129" s="1072"/>
      <c r="U129" s="1073"/>
      <c r="V129" s="1074"/>
    </row>
    <row r="130" spans="20:22" s="921" customFormat="1" ht="15">
      <c r="T130" s="1072"/>
      <c r="U130" s="1073"/>
      <c r="V130" s="1074"/>
    </row>
    <row r="131" spans="20:22" s="921" customFormat="1" ht="15">
      <c r="T131" s="1072"/>
      <c r="U131" s="1073"/>
      <c r="V131" s="1074"/>
    </row>
    <row r="132" spans="20:22" s="921" customFormat="1" ht="15">
      <c r="T132" s="1072"/>
      <c r="U132" s="1073"/>
      <c r="V132" s="1074"/>
    </row>
    <row r="133" spans="20:22" s="921" customFormat="1" ht="15">
      <c r="T133" s="1072"/>
      <c r="U133" s="1073"/>
      <c r="V133" s="1074"/>
    </row>
    <row r="134" spans="20:22" s="921" customFormat="1" ht="15">
      <c r="T134" s="1072"/>
      <c r="U134" s="1073"/>
      <c r="V134" s="1074"/>
    </row>
    <row r="135" spans="20:22" s="921" customFormat="1" ht="15">
      <c r="T135" s="1072"/>
      <c r="U135" s="1073"/>
      <c r="V135" s="1074"/>
    </row>
    <row r="136" spans="20:22" s="921" customFormat="1" ht="15">
      <c r="T136" s="1072"/>
      <c r="U136" s="1073"/>
      <c r="V136" s="1074"/>
    </row>
    <row r="137" spans="20:22" s="921" customFormat="1" ht="15">
      <c r="T137" s="1072"/>
      <c r="U137" s="1073"/>
      <c r="V137" s="1074"/>
    </row>
    <row r="138" spans="20:22" s="921" customFormat="1" ht="15">
      <c r="T138" s="1072"/>
      <c r="U138" s="1073"/>
      <c r="V138" s="1074"/>
    </row>
    <row r="139" spans="20:22" s="921" customFormat="1" ht="15">
      <c r="T139" s="1072"/>
      <c r="U139" s="1073"/>
      <c r="V139" s="1074"/>
    </row>
    <row r="140" spans="20:22" s="921" customFormat="1" ht="15">
      <c r="T140" s="1072"/>
      <c r="U140" s="1073"/>
      <c r="V140" s="1074"/>
    </row>
    <row r="141" spans="20:22" s="921" customFormat="1" ht="15">
      <c r="T141" s="1072"/>
      <c r="U141" s="1073"/>
      <c r="V141" s="1074"/>
    </row>
    <row r="142" spans="20:22" s="921" customFormat="1" ht="15">
      <c r="T142" s="1072"/>
      <c r="U142" s="1073"/>
      <c r="V142" s="1074"/>
    </row>
    <row r="143" spans="20:22" s="921" customFormat="1" ht="15">
      <c r="T143" s="1072"/>
      <c r="U143" s="1073"/>
      <c r="V143" s="1074"/>
    </row>
    <row r="144" spans="20:22" s="921" customFormat="1" ht="15">
      <c r="T144" s="1072"/>
      <c r="U144" s="1073"/>
      <c r="V144" s="1074"/>
    </row>
    <row r="145" spans="20:22" s="921" customFormat="1" ht="15">
      <c r="T145" s="1072"/>
      <c r="U145" s="1073"/>
      <c r="V145" s="1074"/>
    </row>
    <row r="146" spans="20:22" s="921" customFormat="1" ht="15">
      <c r="T146" s="1072"/>
      <c r="U146" s="1073"/>
      <c r="V146" s="1074"/>
    </row>
    <row r="147" spans="20:22" s="921" customFormat="1" ht="15">
      <c r="T147" s="1072"/>
      <c r="U147" s="1073"/>
      <c r="V147" s="1074"/>
    </row>
    <row r="148" spans="20:22" s="921" customFormat="1" ht="15">
      <c r="T148" s="1072"/>
      <c r="U148" s="1073"/>
      <c r="V148" s="1074"/>
    </row>
    <row r="149" spans="20:22" s="921" customFormat="1" ht="15">
      <c r="T149" s="1072"/>
      <c r="U149" s="1073"/>
      <c r="V149" s="1074"/>
    </row>
    <row r="150" spans="20:22" s="921" customFormat="1" ht="15">
      <c r="T150" s="1072"/>
      <c r="U150" s="1073"/>
      <c r="V150" s="1074"/>
    </row>
    <row r="151" spans="20:22" s="921" customFormat="1" ht="15">
      <c r="T151" s="1072"/>
      <c r="U151" s="1073"/>
      <c r="V151" s="1074"/>
    </row>
    <row r="152" spans="20:22" s="921" customFormat="1" ht="15">
      <c r="T152" s="1072"/>
      <c r="U152" s="1073"/>
      <c r="V152" s="1074"/>
    </row>
    <row r="153" spans="20:22" s="921" customFormat="1" ht="15">
      <c r="T153" s="1072"/>
      <c r="U153" s="1073"/>
      <c r="V153" s="1074"/>
    </row>
    <row r="154" spans="20:22" s="921" customFormat="1" ht="15">
      <c r="T154" s="1072"/>
      <c r="U154" s="1073"/>
      <c r="V154" s="1074"/>
    </row>
    <row r="155" spans="20:22" s="921" customFormat="1" ht="15">
      <c r="T155" s="1072"/>
      <c r="U155" s="1073"/>
      <c r="V155" s="1074"/>
    </row>
    <row r="156" spans="20:22" s="921" customFormat="1" ht="15">
      <c r="T156" s="1072"/>
      <c r="U156" s="1073"/>
      <c r="V156" s="1074"/>
    </row>
    <row r="157" spans="20:22" s="921" customFormat="1" ht="15">
      <c r="T157" s="1072"/>
      <c r="U157" s="1073"/>
      <c r="V157" s="1074"/>
    </row>
    <row r="158" spans="20:22" s="921" customFormat="1" ht="15">
      <c r="T158" s="1072"/>
      <c r="U158" s="1073"/>
      <c r="V158" s="1074"/>
    </row>
    <row r="159" spans="20:22" s="921" customFormat="1" ht="15">
      <c r="T159" s="1072"/>
      <c r="U159" s="1073"/>
      <c r="V159" s="1074"/>
    </row>
    <row r="160" spans="20:22" s="921" customFormat="1" ht="15">
      <c r="T160" s="1072"/>
      <c r="U160" s="1073"/>
      <c r="V160" s="1074"/>
    </row>
    <row r="161" spans="20:22" s="921" customFormat="1" ht="15">
      <c r="T161" s="1072"/>
      <c r="U161" s="1073"/>
      <c r="V161" s="1074"/>
    </row>
    <row r="162" spans="20:22" s="921" customFormat="1" ht="15">
      <c r="T162" s="1072"/>
      <c r="U162" s="1073"/>
      <c r="V162" s="1074"/>
    </row>
    <row r="163" spans="20:22" s="921" customFormat="1" ht="15">
      <c r="T163" s="1072"/>
      <c r="U163" s="1073"/>
      <c r="V163" s="1074"/>
    </row>
    <row r="164" spans="20:22" s="921" customFormat="1" ht="15">
      <c r="T164" s="1072"/>
      <c r="U164" s="1073"/>
      <c r="V164" s="1074"/>
    </row>
    <row r="165" spans="20:22" s="921" customFormat="1" ht="15">
      <c r="T165" s="1072"/>
      <c r="U165" s="1073"/>
      <c r="V165" s="1074"/>
    </row>
    <row r="166" spans="20:22" s="921" customFormat="1" ht="15">
      <c r="T166" s="1072"/>
      <c r="U166" s="1073"/>
      <c r="V166" s="1074"/>
    </row>
    <row r="167" spans="20:22" s="921" customFormat="1" ht="15">
      <c r="T167" s="1072"/>
      <c r="U167" s="1073"/>
      <c r="V167" s="1074"/>
    </row>
    <row r="168" spans="20:22" s="921" customFormat="1" ht="15">
      <c r="T168" s="1072"/>
      <c r="U168" s="1073"/>
      <c r="V168" s="1074"/>
    </row>
    <row r="169" spans="20:22" s="921" customFormat="1" ht="15">
      <c r="T169" s="1072"/>
      <c r="U169" s="1073"/>
      <c r="V169" s="1074"/>
    </row>
    <row r="170" spans="20:22" s="921" customFormat="1" ht="15">
      <c r="T170" s="1072"/>
      <c r="U170" s="1073"/>
      <c r="V170" s="1074"/>
    </row>
    <row r="171" spans="20:22" s="921" customFormat="1" ht="15">
      <c r="T171" s="1072"/>
      <c r="U171" s="1073"/>
      <c r="V171" s="1074"/>
    </row>
    <row r="172" spans="20:22" s="921" customFormat="1" ht="15">
      <c r="T172" s="1072"/>
      <c r="U172" s="1073"/>
      <c r="V172" s="1074"/>
    </row>
    <row r="173" spans="20:22" s="921" customFormat="1" ht="15">
      <c r="T173" s="1072"/>
      <c r="U173" s="1073"/>
      <c r="V173" s="1074"/>
    </row>
    <row r="174" spans="20:22" s="921" customFormat="1" ht="15">
      <c r="T174" s="1072"/>
      <c r="U174" s="1073"/>
      <c r="V174" s="1074"/>
    </row>
    <row r="175" spans="20:22" s="921" customFormat="1" ht="15">
      <c r="T175" s="1072"/>
      <c r="U175" s="1073"/>
      <c r="V175" s="1074"/>
    </row>
  </sheetData>
  <customSheetViews>
    <customSheetView guid="{705E0D18-9A83-42CA-8732-90923BE2EC7D}"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89CA84C2-78F5-4B05-8F1D-B7C5F97BCB4E}"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R1"/>
    <mergeCell ref="B3:R3"/>
    <mergeCell ref="D6:G6"/>
    <mergeCell ref="I6:L6"/>
    <mergeCell ref="I7:L7"/>
    <mergeCell ref="M7:O7"/>
  </mergeCells>
  <printOptions horizontalCentered="1"/>
  <pageMargins left="0.01" right="0.01" top="0.17" bottom="0.02" header="0.51" footer="0.5"/>
  <pageSetup paperSize="9" scale="62" orientation="landscape" horizontalDpi="300" verticalDpi="300" r:id="rId4"/>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B4:V47"/>
  <sheetViews>
    <sheetView showGridLines="0" topLeftCell="C1" zoomScale="85" zoomScaleNormal="60" zoomScaleSheetLayoutView="85" workbookViewId="0">
      <pane xSplit="2" ySplit="12" topLeftCell="E13" activePane="bottomRight" state="frozen"/>
      <selection activeCell="C1" sqref="C1"/>
      <selection pane="topRight" activeCell="E1" sqref="E1"/>
      <selection pane="bottomLeft" activeCell="C13" sqref="C13"/>
      <selection pane="bottomRight" activeCell="B2" sqref="B2:O2"/>
    </sheetView>
  </sheetViews>
  <sheetFormatPr defaultColWidth="8.77734375" defaultRowHeight="12.75"/>
  <cols>
    <col min="1" max="2" width="8.77734375" style="1075"/>
    <col min="3" max="3" width="10.5546875" style="1075" customWidth="1"/>
    <col min="4" max="4" width="11.77734375" style="1075" customWidth="1"/>
    <col min="5" max="6" width="17.21875" style="1075" customWidth="1"/>
    <col min="7" max="7" width="17.21875" style="1077" customWidth="1"/>
    <col min="8" max="8" width="17.21875" style="1075" customWidth="1"/>
    <col min="9" max="9" width="11.77734375" style="1075" customWidth="1"/>
    <col min="10" max="10" width="10.5546875" style="1077" customWidth="1"/>
    <col min="11" max="11" width="12.109375" style="1075" bestFit="1" customWidth="1"/>
    <col min="12" max="12" width="15.77734375" style="1075" customWidth="1"/>
    <col min="13" max="13" width="13.21875" style="1075" customWidth="1"/>
    <col min="14" max="14" width="12.77734375" style="1075" bestFit="1" customWidth="1"/>
    <col min="15" max="15" width="10.5546875" style="1075" bestFit="1" customWidth="1"/>
    <col min="16" max="16" width="11" style="1075" customWidth="1"/>
    <col min="17" max="17" width="11.5546875" style="1075" customWidth="1"/>
    <col min="18" max="18" width="13.77734375" style="1077" customWidth="1"/>
    <col min="19" max="19" width="14.6640625" style="1075" customWidth="1"/>
    <col min="20" max="20" width="18.77734375" style="1078" customWidth="1"/>
    <col min="21" max="21" width="15.21875" style="1075" customWidth="1"/>
    <col min="22" max="16384" width="8.77734375" style="1075"/>
  </cols>
  <sheetData>
    <row r="4" spans="4:22" ht="14.25">
      <c r="D4" s="1893" t="s">
        <v>1724</v>
      </c>
      <c r="E4" s="1893"/>
      <c r="F4" s="1893"/>
      <c r="G4" s="1893"/>
      <c r="H4" s="1893"/>
      <c r="I4" s="1893"/>
      <c r="J4" s="1893"/>
      <c r="K4" s="1893"/>
      <c r="L4" s="1893"/>
      <c r="M4" s="1893"/>
      <c r="N4" s="1893"/>
      <c r="O4" s="1893"/>
      <c r="P4" s="1893"/>
      <c r="Q4" s="1893"/>
      <c r="R4" s="1893"/>
      <c r="S4" s="754"/>
      <c r="T4" s="1076"/>
      <c r="U4" s="753"/>
      <c r="V4" s="753"/>
    </row>
    <row r="5" spans="4:22" ht="13.5" thickBot="1"/>
    <row r="6" spans="4:22" ht="13.5" thickTop="1">
      <c r="D6" s="1031"/>
      <c r="E6" s="1080"/>
      <c r="F6" s="1080"/>
      <c r="G6" s="1081"/>
      <c r="H6" s="1080"/>
      <c r="I6" s="1080"/>
      <c r="J6" s="1082"/>
      <c r="K6" s="1083"/>
      <c r="L6" s="1084"/>
      <c r="M6" s="1079"/>
      <c r="N6" s="1080"/>
      <c r="O6" s="1083"/>
      <c r="P6" s="1084"/>
      <c r="Q6" s="1084"/>
      <c r="R6" s="1085"/>
    </row>
    <row r="7" spans="4:22" ht="15" thickBot="1">
      <c r="D7" s="1086"/>
      <c r="E7" s="1891"/>
      <c r="F7" s="1891"/>
      <c r="G7" s="1891"/>
      <c r="H7" s="1891"/>
      <c r="I7" s="1891"/>
      <c r="J7" s="1892"/>
      <c r="K7" s="1087" t="s">
        <v>1694</v>
      </c>
      <c r="L7" s="1087" t="s">
        <v>1169</v>
      </c>
      <c r="M7" s="1890" t="s">
        <v>1166</v>
      </c>
      <c r="N7" s="1891"/>
      <c r="O7" s="1892"/>
      <c r="P7" s="1043" t="s">
        <v>39</v>
      </c>
      <c r="Q7" s="1043" t="s">
        <v>31</v>
      </c>
      <c r="R7" s="1043" t="s">
        <v>37</v>
      </c>
    </row>
    <row r="8" spans="4:22" ht="16.5" thickTop="1" thickBot="1">
      <c r="D8" s="1088"/>
      <c r="E8" s="1039"/>
      <c r="F8" s="1039"/>
      <c r="G8" s="1090"/>
      <c r="H8" s="1039"/>
      <c r="I8" s="1039"/>
      <c r="J8" s="1091"/>
      <c r="K8" s="1046"/>
      <c r="L8" s="1040"/>
      <c r="M8" s="1042"/>
      <c r="N8" s="1039"/>
      <c r="O8" s="1050"/>
      <c r="P8" s="1043" t="s">
        <v>45</v>
      </c>
      <c r="Q8" s="1043" t="s">
        <v>1167</v>
      </c>
      <c r="R8" s="1043"/>
    </row>
    <row r="9" spans="4:22" ht="15.75" thickTop="1">
      <c r="D9" s="1092" t="s">
        <v>32</v>
      </c>
      <c r="E9" s="1040" t="s">
        <v>1007</v>
      </c>
      <c r="F9" s="1040" t="s">
        <v>1713</v>
      </c>
      <c r="G9" s="1043" t="s">
        <v>1714</v>
      </c>
      <c r="H9" s="1093" t="s">
        <v>1715</v>
      </c>
      <c r="I9" s="1040" t="s">
        <v>1716</v>
      </c>
      <c r="J9" s="1043" t="s">
        <v>37</v>
      </c>
      <c r="K9" s="1040"/>
      <c r="L9" s="1040"/>
      <c r="M9" s="1044" t="s">
        <v>1005</v>
      </c>
      <c r="N9" s="1044" t="s">
        <v>1699</v>
      </c>
      <c r="O9" s="1040" t="s">
        <v>1717</v>
      </c>
      <c r="P9" s="1043" t="s">
        <v>1008</v>
      </c>
      <c r="Q9" s="1040"/>
      <c r="R9" s="1043"/>
    </row>
    <row r="10" spans="4:22" ht="15">
      <c r="D10" s="1088"/>
      <c r="E10" s="1040"/>
      <c r="F10" s="1040"/>
      <c r="G10" s="1043" t="s">
        <v>1718</v>
      </c>
      <c r="H10" s="1040" t="s">
        <v>1706</v>
      </c>
      <c r="I10" s="1040"/>
      <c r="J10" s="1043"/>
      <c r="K10" s="1040"/>
      <c r="L10" s="1040"/>
      <c r="M10" s="1040"/>
      <c r="N10" s="1040" t="s">
        <v>1719</v>
      </c>
      <c r="O10" s="1040" t="s">
        <v>1719</v>
      </c>
      <c r="P10" s="1040"/>
      <c r="Q10" s="1040"/>
      <c r="R10" s="1043"/>
    </row>
    <row r="11" spans="4:22" ht="15">
      <c r="D11" s="1088"/>
      <c r="E11" s="1040"/>
      <c r="F11" s="1040"/>
      <c r="G11" s="1043"/>
      <c r="H11" s="1040"/>
      <c r="I11" s="1040"/>
      <c r="J11" s="1043"/>
      <c r="K11" s="1040"/>
      <c r="L11" s="1040"/>
      <c r="M11" s="1040"/>
      <c r="N11" s="1040"/>
      <c r="O11" s="1040"/>
      <c r="P11" s="1040"/>
      <c r="Q11" s="1040"/>
      <c r="R11" s="1043"/>
    </row>
    <row r="12" spans="4:22" ht="15.75" thickBot="1">
      <c r="D12" s="1088"/>
      <c r="E12" s="1049"/>
      <c r="F12" s="1049"/>
      <c r="G12" s="1095"/>
      <c r="H12" s="1049"/>
      <c r="I12" s="1049"/>
      <c r="J12" s="1095"/>
      <c r="K12" s="1049"/>
      <c r="L12" s="1049"/>
      <c r="M12" s="1049"/>
      <c r="N12" s="1049"/>
      <c r="O12" s="1049"/>
      <c r="P12" s="1049"/>
      <c r="Q12" s="1049"/>
      <c r="R12" s="1095"/>
    </row>
    <row r="13" spans="4:22" ht="15.75" thickTop="1">
      <c r="D13" s="1096"/>
      <c r="E13" s="1041"/>
      <c r="F13" s="1041"/>
      <c r="G13" s="1097"/>
      <c r="H13" s="1041"/>
      <c r="I13" s="1041"/>
      <c r="J13" s="1097"/>
      <c r="K13" s="1041"/>
      <c r="L13" s="1041"/>
      <c r="M13" s="1041"/>
      <c r="N13" s="1041"/>
      <c r="O13" s="1041"/>
      <c r="P13" s="1041"/>
      <c r="Q13" s="1041"/>
      <c r="R13" s="1097"/>
      <c r="T13" s="1098" t="s">
        <v>1720</v>
      </c>
    </row>
    <row r="14" spans="4:22" ht="15">
      <c r="D14" s="1099">
        <v>2015</v>
      </c>
      <c r="E14" s="1041"/>
      <c r="F14" s="1041"/>
      <c r="G14" s="1097"/>
      <c r="H14" s="1041"/>
      <c r="I14" s="1041"/>
      <c r="J14" s="1097"/>
      <c r="K14" s="1041"/>
      <c r="L14" s="1041"/>
      <c r="M14" s="1041"/>
      <c r="N14" s="1041"/>
      <c r="O14" s="1041"/>
      <c r="P14" s="1041"/>
      <c r="Q14" s="1041"/>
      <c r="R14" s="1041"/>
      <c r="T14" s="1100"/>
      <c r="U14" s="1101" t="e">
        <f>+T15/#REF!</f>
        <v>#REF!</v>
      </c>
    </row>
    <row r="15" spans="4:22" ht="15">
      <c r="D15" s="1114" t="s">
        <v>1170</v>
      </c>
      <c r="E15" s="1057" t="e">
        <f>#REF!+'Table 10 POSB Liabilities'!E15</f>
        <v>#REF!</v>
      </c>
      <c r="F15" s="1057" t="e">
        <f>#REF!+'Table 10 POSB Liabilities'!F15</f>
        <v>#REF!</v>
      </c>
      <c r="G15" s="1134" t="e">
        <f>SUM(E15:F15)</f>
        <v>#REF!</v>
      </c>
      <c r="H15" s="1059" t="e">
        <f>#REF!+'Table 10 POSB Liabilities'!H15</f>
        <v>#REF!</v>
      </c>
      <c r="I15" s="1057" t="e">
        <f>#REF!+'Table 10 POSB Liabilities'!I15</f>
        <v>#REF!</v>
      </c>
      <c r="J15" s="1059" t="e">
        <f>SUM(G15:I15)</f>
        <v>#REF!</v>
      </c>
      <c r="K15" s="1057" t="e">
        <f>+#REF!+'Table 10 POSB Liabilities'!K15</f>
        <v>#REF!</v>
      </c>
      <c r="L15" s="1057" t="e">
        <f>#REF!+'Table 10 POSB Liabilities'!L15</f>
        <v>#REF!</v>
      </c>
      <c r="M15" s="1057" t="e">
        <f>#REF!+'Table 10 POSB Liabilities'!M15</f>
        <v>#REF!</v>
      </c>
      <c r="N15" s="1057" t="e">
        <f>#REF!+'Table 10 POSB Liabilities'!N15</f>
        <v>#REF!</v>
      </c>
      <c r="O15" s="1057" t="e">
        <f>#REF!+'Table 10 POSB Liabilities'!O15</f>
        <v>#REF!</v>
      </c>
      <c r="P15" s="1057" t="e">
        <f>#REF!+'Table 10 POSB Liabilities'!P15</f>
        <v>#REF!</v>
      </c>
      <c r="Q15" s="1057" t="e">
        <f>#REF!+'Table 10 POSB Liabilities'!Q15</f>
        <v>#REF!</v>
      </c>
      <c r="R15" s="1104" t="e">
        <f>SUM(J15:Q15)</f>
        <v>#REF!</v>
      </c>
      <c r="T15" s="1105" t="e">
        <f>R15-'Table 10 POSB Liabilities'!R15-#REF!</f>
        <v>#REF!</v>
      </c>
    </row>
    <row r="16" spans="4:22" ht="15">
      <c r="D16" s="1114" t="s">
        <v>1172</v>
      </c>
      <c r="E16" s="1057" t="e">
        <f>#REF!+'Table 10 POSB Liabilities'!E16</f>
        <v>#REF!</v>
      </c>
      <c r="F16" s="1057" t="e">
        <f>#REF!+'Table 10 POSB Liabilities'!F16</f>
        <v>#REF!</v>
      </c>
      <c r="G16" s="1134" t="e">
        <f t="shared" ref="G16:G40" si="0">SUM(E16:F16)</f>
        <v>#REF!</v>
      </c>
      <c r="H16" s="1059" t="e">
        <f>#REF!+'Table 10 POSB Liabilities'!H16</f>
        <v>#REF!</v>
      </c>
      <c r="I16" s="1057" t="e">
        <f>#REF!+'Table 10 POSB Liabilities'!I16</f>
        <v>#REF!</v>
      </c>
      <c r="J16" s="1059" t="e">
        <f t="shared" ref="J16:J40" si="1">SUM(G16:I16)</f>
        <v>#REF!</v>
      </c>
      <c r="K16" s="1057" t="e">
        <f>+#REF!+'Table 10 POSB Liabilities'!K16</f>
        <v>#REF!</v>
      </c>
      <c r="L16" s="1057" t="e">
        <f>#REF!+'Table 10 POSB Liabilities'!L16</f>
        <v>#REF!</v>
      </c>
      <c r="M16" s="1057" t="e">
        <f>#REF!+'Table 10 POSB Liabilities'!M16</f>
        <v>#REF!</v>
      </c>
      <c r="N16" s="1057" t="e">
        <f>#REF!+'Table 10 POSB Liabilities'!N16</f>
        <v>#REF!</v>
      </c>
      <c r="O16" s="1057" t="e">
        <f>#REF!+'Table 10 POSB Liabilities'!O16</f>
        <v>#REF!</v>
      </c>
      <c r="P16" s="1057" t="e">
        <f>#REF!+'Table 10 POSB Liabilities'!P16</f>
        <v>#REF!</v>
      </c>
      <c r="Q16" s="1057" t="e">
        <f>#REF!+'Table 10 POSB Liabilities'!Q16</f>
        <v>#REF!</v>
      </c>
      <c r="R16" s="1104" t="e">
        <f t="shared" ref="R16:R40" si="2">SUM(J16:Q16)</f>
        <v>#REF!</v>
      </c>
      <c r="T16" s="1105" t="e">
        <f>R16-'Table 10 POSB Liabilities'!R16-#REF!</f>
        <v>#REF!</v>
      </c>
    </row>
    <row r="17" spans="4:20" ht="15">
      <c r="D17" s="1114" t="s">
        <v>1173</v>
      </c>
      <c r="E17" s="1057" t="e">
        <f>#REF!+'Table 10 POSB Liabilities'!E17</f>
        <v>#REF!</v>
      </c>
      <c r="F17" s="1057" t="e">
        <f>#REF!+'Table 10 POSB Liabilities'!F17</f>
        <v>#REF!</v>
      </c>
      <c r="G17" s="1134" t="e">
        <f t="shared" si="0"/>
        <v>#REF!</v>
      </c>
      <c r="H17" s="1059" t="e">
        <f>#REF!+'Table 10 POSB Liabilities'!H17</f>
        <v>#REF!</v>
      </c>
      <c r="I17" s="1057" t="e">
        <f>#REF!+'Table 10 POSB Liabilities'!I17</f>
        <v>#REF!</v>
      </c>
      <c r="J17" s="1059" t="e">
        <f t="shared" si="1"/>
        <v>#REF!</v>
      </c>
      <c r="K17" s="1057" t="e">
        <f>+#REF!+'Table 10 POSB Liabilities'!K17</f>
        <v>#REF!</v>
      </c>
      <c r="L17" s="1057" t="e">
        <f>#REF!+'Table 10 POSB Liabilities'!L17</f>
        <v>#REF!</v>
      </c>
      <c r="M17" s="1057" t="e">
        <f>#REF!+'Table 10 POSB Liabilities'!M17</f>
        <v>#REF!</v>
      </c>
      <c r="N17" s="1057" t="e">
        <f>#REF!+'Table 10 POSB Liabilities'!N17</f>
        <v>#REF!</v>
      </c>
      <c r="O17" s="1057" t="e">
        <f>#REF!+'Table 10 POSB Liabilities'!O17</f>
        <v>#REF!</v>
      </c>
      <c r="P17" s="1057" t="e">
        <f>#REF!+'Table 10 POSB Liabilities'!P17</f>
        <v>#REF!</v>
      </c>
      <c r="Q17" s="1057" t="e">
        <f>#REF!+'Table 10 POSB Liabilities'!Q17</f>
        <v>#REF!</v>
      </c>
      <c r="R17" s="1104" t="e">
        <f t="shared" si="2"/>
        <v>#REF!</v>
      </c>
      <c r="T17" s="1105" t="e">
        <f>R17-'Table 10 POSB Liabilities'!R17-#REF!</f>
        <v>#REF!</v>
      </c>
    </row>
    <row r="18" spans="4:20" ht="15">
      <c r="D18" s="1114" t="s">
        <v>1174</v>
      </c>
      <c r="E18" s="1057" t="e">
        <f>#REF!+'Table 10 POSB Liabilities'!E18</f>
        <v>#REF!</v>
      </c>
      <c r="F18" s="1057" t="e">
        <f>#REF!+'Table 10 POSB Liabilities'!F18</f>
        <v>#REF!</v>
      </c>
      <c r="G18" s="1134" t="e">
        <f t="shared" si="0"/>
        <v>#REF!</v>
      </c>
      <c r="H18" s="1059" t="e">
        <f>#REF!+'Table 10 POSB Liabilities'!H18</f>
        <v>#REF!</v>
      </c>
      <c r="I18" s="1057" t="e">
        <f>#REF!+'Table 10 POSB Liabilities'!I18</f>
        <v>#REF!</v>
      </c>
      <c r="J18" s="1059" t="e">
        <f t="shared" si="1"/>
        <v>#REF!</v>
      </c>
      <c r="K18" s="1057" t="e">
        <f>+#REF!+'Table 10 POSB Liabilities'!K18</f>
        <v>#REF!</v>
      </c>
      <c r="L18" s="1057" t="e">
        <f>#REF!+'Table 10 POSB Liabilities'!L18</f>
        <v>#REF!</v>
      </c>
      <c r="M18" s="1057" t="e">
        <f>#REF!+'Table 10 POSB Liabilities'!M18</f>
        <v>#REF!</v>
      </c>
      <c r="N18" s="1057" t="e">
        <f>#REF!+'Table 10 POSB Liabilities'!N18</f>
        <v>#REF!</v>
      </c>
      <c r="O18" s="1057" t="e">
        <f>#REF!+'Table 10 POSB Liabilities'!O18</f>
        <v>#REF!</v>
      </c>
      <c r="P18" s="1057" t="e">
        <f>#REF!+'Table 10 POSB Liabilities'!P18</f>
        <v>#REF!</v>
      </c>
      <c r="Q18" s="1057" t="e">
        <f>#REF!+'Table 10 POSB Liabilities'!Q18</f>
        <v>#REF!</v>
      </c>
      <c r="R18" s="1104" t="e">
        <f t="shared" si="2"/>
        <v>#REF!</v>
      </c>
      <c r="T18" s="1105" t="e">
        <f>R18-'Table 10 POSB Liabilities'!R18-#REF!</f>
        <v>#REF!</v>
      </c>
    </row>
    <row r="19" spans="4:20" ht="15">
      <c r="D19" s="1114" t="s">
        <v>1165</v>
      </c>
      <c r="E19" s="1057" t="e">
        <f>#REF!+'Table 10 POSB Liabilities'!E19</f>
        <v>#REF!</v>
      </c>
      <c r="F19" s="1057" t="e">
        <f>#REF!+'Table 10 POSB Liabilities'!F19</f>
        <v>#REF!</v>
      </c>
      <c r="G19" s="1134" t="e">
        <f t="shared" si="0"/>
        <v>#REF!</v>
      </c>
      <c r="H19" s="1059" t="e">
        <f>#REF!+'Table 10 POSB Liabilities'!H19</f>
        <v>#REF!</v>
      </c>
      <c r="I19" s="1057" t="e">
        <f>#REF!+'Table 10 POSB Liabilities'!I19</f>
        <v>#REF!</v>
      </c>
      <c r="J19" s="1059" t="e">
        <f t="shared" si="1"/>
        <v>#REF!</v>
      </c>
      <c r="K19" s="1057" t="e">
        <f>+#REF!+'Table 10 POSB Liabilities'!K19</f>
        <v>#REF!</v>
      </c>
      <c r="L19" s="1057" t="e">
        <f>#REF!+'Table 10 POSB Liabilities'!L19</f>
        <v>#REF!</v>
      </c>
      <c r="M19" s="1057" t="e">
        <f>#REF!+'Table 10 POSB Liabilities'!M19</f>
        <v>#REF!</v>
      </c>
      <c r="N19" s="1057" t="e">
        <f>#REF!+'Table 10 POSB Liabilities'!N19</f>
        <v>#REF!</v>
      </c>
      <c r="O19" s="1057" t="e">
        <f>#REF!+'Table 10 POSB Liabilities'!O19</f>
        <v>#REF!</v>
      </c>
      <c r="P19" s="1057" t="e">
        <f>#REF!+'Table 10 POSB Liabilities'!P19</f>
        <v>#REF!</v>
      </c>
      <c r="Q19" s="1057" t="e">
        <f>#REF!+'Table 10 POSB Liabilities'!Q19</f>
        <v>#REF!</v>
      </c>
      <c r="R19" s="1104" t="e">
        <f t="shared" si="2"/>
        <v>#REF!</v>
      </c>
      <c r="T19" s="1105" t="e">
        <f>R19-'Table 10 POSB Liabilities'!R19-#REF!</f>
        <v>#REF!</v>
      </c>
    </row>
    <row r="20" spans="4:20" ht="15">
      <c r="D20" s="1114" t="s">
        <v>1175</v>
      </c>
      <c r="E20" s="1057" t="e">
        <f>#REF!+'Table 10 POSB Liabilities'!E20</f>
        <v>#REF!</v>
      </c>
      <c r="F20" s="1057" t="e">
        <f>#REF!+'Table 10 POSB Liabilities'!F20</f>
        <v>#REF!</v>
      </c>
      <c r="G20" s="1134" t="e">
        <f t="shared" si="0"/>
        <v>#REF!</v>
      </c>
      <c r="H20" s="1059" t="e">
        <f>#REF!+'Table 10 POSB Liabilities'!H20</f>
        <v>#REF!</v>
      </c>
      <c r="I20" s="1057" t="e">
        <f>#REF!+'Table 10 POSB Liabilities'!I20</f>
        <v>#REF!</v>
      </c>
      <c r="J20" s="1059" t="e">
        <f t="shared" si="1"/>
        <v>#REF!</v>
      </c>
      <c r="K20" s="1057" t="e">
        <f>+#REF!+'Table 10 POSB Liabilities'!K20</f>
        <v>#REF!</v>
      </c>
      <c r="L20" s="1057" t="e">
        <f>#REF!+'Table 10 POSB Liabilities'!L20</f>
        <v>#REF!</v>
      </c>
      <c r="M20" s="1057" t="e">
        <f>#REF!+'Table 10 POSB Liabilities'!M20</f>
        <v>#REF!</v>
      </c>
      <c r="N20" s="1057" t="e">
        <f>#REF!+'Table 10 POSB Liabilities'!N20</f>
        <v>#REF!</v>
      </c>
      <c r="O20" s="1057" t="e">
        <f>#REF!+'Table 10 POSB Liabilities'!O20</f>
        <v>#REF!</v>
      </c>
      <c r="P20" s="1057" t="e">
        <f>#REF!+'Table 10 POSB Liabilities'!P20</f>
        <v>#REF!</v>
      </c>
      <c r="Q20" s="1057" t="e">
        <f>#REF!+'Table 10 POSB Liabilities'!Q20</f>
        <v>#REF!</v>
      </c>
      <c r="R20" s="1104" t="e">
        <f t="shared" si="2"/>
        <v>#REF!</v>
      </c>
      <c r="T20" s="1105" t="e">
        <f>R20-'Table 10 POSB Liabilities'!R20-#REF!</f>
        <v>#REF!</v>
      </c>
    </row>
    <row r="21" spans="4:20" ht="15">
      <c r="D21" s="1114" t="s">
        <v>1176</v>
      </c>
      <c r="E21" s="1057" t="e">
        <f>#REF!+'Table 10 POSB Liabilities'!E21</f>
        <v>#REF!</v>
      </c>
      <c r="F21" s="1057" t="e">
        <f>#REF!+'Table 10 POSB Liabilities'!F21</f>
        <v>#REF!</v>
      </c>
      <c r="G21" s="1134" t="e">
        <f t="shared" si="0"/>
        <v>#REF!</v>
      </c>
      <c r="H21" s="1059" t="e">
        <f>#REF!+'Table 10 POSB Liabilities'!H21</f>
        <v>#REF!</v>
      </c>
      <c r="I21" s="1057" t="e">
        <f>#REF!+'Table 10 POSB Liabilities'!I21</f>
        <v>#REF!</v>
      </c>
      <c r="J21" s="1059" t="e">
        <f t="shared" si="1"/>
        <v>#REF!</v>
      </c>
      <c r="K21" s="1057" t="e">
        <f>+#REF!+'Table 10 POSB Liabilities'!K21</f>
        <v>#REF!</v>
      </c>
      <c r="L21" s="1057" t="e">
        <f>#REF!+'Table 10 POSB Liabilities'!L21</f>
        <v>#REF!</v>
      </c>
      <c r="M21" s="1057" t="e">
        <f>#REF!+'Table 10 POSB Liabilities'!M21</f>
        <v>#REF!</v>
      </c>
      <c r="N21" s="1057" t="e">
        <f>#REF!+'Table 10 POSB Liabilities'!N21</f>
        <v>#REF!</v>
      </c>
      <c r="O21" s="1057" t="e">
        <f>#REF!+'Table 10 POSB Liabilities'!O21</f>
        <v>#REF!</v>
      </c>
      <c r="P21" s="1057" t="e">
        <f>#REF!+'Table 10 POSB Liabilities'!P21</f>
        <v>#REF!</v>
      </c>
      <c r="Q21" s="1057" t="e">
        <f>#REF!+'Table 10 POSB Liabilities'!Q21</f>
        <v>#REF!</v>
      </c>
      <c r="R21" s="1104" t="e">
        <f t="shared" si="2"/>
        <v>#REF!</v>
      </c>
      <c r="T21" s="1105" t="e">
        <f>R21-'Table 10 POSB Liabilities'!R21-#REF!</f>
        <v>#REF!</v>
      </c>
    </row>
    <row r="22" spans="4:20" ht="15">
      <c r="D22" s="1114" t="s">
        <v>1177</v>
      </c>
      <c r="E22" s="1057" t="e">
        <f>#REF!+'Table 10 POSB Liabilities'!E22</f>
        <v>#REF!</v>
      </c>
      <c r="F22" s="1057" t="e">
        <f>#REF!+'Table 10 POSB Liabilities'!F22</f>
        <v>#REF!</v>
      </c>
      <c r="G22" s="1134" t="e">
        <f t="shared" si="0"/>
        <v>#REF!</v>
      </c>
      <c r="H22" s="1059" t="e">
        <f>#REF!+'Table 10 POSB Liabilities'!H22</f>
        <v>#REF!</v>
      </c>
      <c r="I22" s="1057" t="e">
        <f>#REF!+'Table 10 POSB Liabilities'!I22</f>
        <v>#REF!</v>
      </c>
      <c r="J22" s="1059" t="e">
        <f t="shared" si="1"/>
        <v>#REF!</v>
      </c>
      <c r="K22" s="1057" t="e">
        <f>+#REF!+'Table 10 POSB Liabilities'!K22</f>
        <v>#REF!</v>
      </c>
      <c r="L22" s="1057" t="e">
        <f>#REF!+'Table 10 POSB Liabilities'!L22</f>
        <v>#REF!</v>
      </c>
      <c r="M22" s="1057" t="e">
        <f>#REF!+'Table 10 POSB Liabilities'!M22</f>
        <v>#REF!</v>
      </c>
      <c r="N22" s="1057" t="e">
        <f>#REF!+'Table 10 POSB Liabilities'!N22</f>
        <v>#REF!</v>
      </c>
      <c r="O22" s="1057" t="e">
        <f>#REF!+'Table 10 POSB Liabilities'!O22</f>
        <v>#REF!</v>
      </c>
      <c r="P22" s="1057" t="e">
        <f>#REF!+'Table 10 POSB Liabilities'!P22</f>
        <v>#REF!</v>
      </c>
      <c r="Q22" s="1057" t="e">
        <f>#REF!+'Table 10 POSB Liabilities'!Q22</f>
        <v>#REF!</v>
      </c>
      <c r="R22" s="1104" t="e">
        <f t="shared" si="2"/>
        <v>#REF!</v>
      </c>
      <c r="T22" s="1105" t="e">
        <f>R22-'Table 10 POSB Liabilities'!R22-#REF!</f>
        <v>#REF!</v>
      </c>
    </row>
    <row r="23" spans="4:20" ht="15">
      <c r="D23" s="1114" t="s">
        <v>1178</v>
      </c>
      <c r="E23" s="1057" t="e">
        <f>#REF!+'Table 10 POSB Liabilities'!E23</f>
        <v>#REF!</v>
      </c>
      <c r="F23" s="1057" t="e">
        <f>#REF!+'Table 10 POSB Liabilities'!F23</f>
        <v>#REF!</v>
      </c>
      <c r="G23" s="1134" t="e">
        <f t="shared" si="0"/>
        <v>#REF!</v>
      </c>
      <c r="H23" s="1059" t="e">
        <f>#REF!+'Table 10 POSB Liabilities'!H23</f>
        <v>#REF!</v>
      </c>
      <c r="I23" s="1057" t="e">
        <f>#REF!+'Table 10 POSB Liabilities'!I23</f>
        <v>#REF!</v>
      </c>
      <c r="J23" s="1059" t="e">
        <f t="shared" si="1"/>
        <v>#REF!</v>
      </c>
      <c r="K23" s="1057" t="e">
        <f>+#REF!+'Table 10 POSB Liabilities'!K23</f>
        <v>#REF!</v>
      </c>
      <c r="L23" s="1057" t="e">
        <f>#REF!+'Table 10 POSB Liabilities'!L23</f>
        <v>#REF!</v>
      </c>
      <c r="M23" s="1057" t="e">
        <f>#REF!+'Table 10 POSB Liabilities'!M23</f>
        <v>#REF!</v>
      </c>
      <c r="N23" s="1057" t="e">
        <f>#REF!+'Table 10 POSB Liabilities'!N23</f>
        <v>#REF!</v>
      </c>
      <c r="O23" s="1057" t="e">
        <f>#REF!+'Table 10 POSB Liabilities'!O23</f>
        <v>#REF!</v>
      </c>
      <c r="P23" s="1057" t="e">
        <f>#REF!+'Table 10 POSB Liabilities'!P23</f>
        <v>#REF!</v>
      </c>
      <c r="Q23" s="1057" t="e">
        <f>#REF!+'Table 10 POSB Liabilities'!Q23</f>
        <v>#REF!</v>
      </c>
      <c r="R23" s="1104" t="e">
        <f t="shared" si="2"/>
        <v>#REF!</v>
      </c>
      <c r="T23" s="1105" t="e">
        <f>R23-'Table 10 POSB Liabilities'!R23-#REF!</f>
        <v>#REF!</v>
      </c>
    </row>
    <row r="24" spans="4:20" ht="15">
      <c r="D24" s="1114" t="s">
        <v>1179</v>
      </c>
      <c r="E24" s="1057" t="e">
        <f>#REF!+'Table 10 POSB Liabilities'!E24</f>
        <v>#REF!</v>
      </c>
      <c r="F24" s="1057" t="e">
        <f>#REF!+'Table 10 POSB Liabilities'!F24</f>
        <v>#REF!</v>
      </c>
      <c r="G24" s="1134" t="e">
        <f t="shared" si="0"/>
        <v>#REF!</v>
      </c>
      <c r="H24" s="1059" t="e">
        <f>#REF!+'Table 10 POSB Liabilities'!H24</f>
        <v>#REF!</v>
      </c>
      <c r="I24" s="1057" t="e">
        <f>#REF!+'Table 10 POSB Liabilities'!I24</f>
        <v>#REF!</v>
      </c>
      <c r="J24" s="1059" t="e">
        <f t="shared" si="1"/>
        <v>#REF!</v>
      </c>
      <c r="K24" s="1057" t="e">
        <f>+#REF!+'Table 10 POSB Liabilities'!K24</f>
        <v>#REF!</v>
      </c>
      <c r="L24" s="1057" t="e">
        <f>#REF!+'Table 10 POSB Liabilities'!L24</f>
        <v>#REF!</v>
      </c>
      <c r="M24" s="1057" t="e">
        <f>#REF!+'Table 10 POSB Liabilities'!M24</f>
        <v>#REF!</v>
      </c>
      <c r="N24" s="1057" t="e">
        <f>#REF!+'Table 10 POSB Liabilities'!N24</f>
        <v>#REF!</v>
      </c>
      <c r="O24" s="1057" t="e">
        <f>#REF!+'Table 10 POSB Liabilities'!O24</f>
        <v>#REF!</v>
      </c>
      <c r="P24" s="1057" t="e">
        <f>#REF!+'Table 10 POSB Liabilities'!P24</f>
        <v>#REF!</v>
      </c>
      <c r="Q24" s="1057" t="e">
        <f>#REF!+'Table 10 POSB Liabilities'!Q24</f>
        <v>#REF!</v>
      </c>
      <c r="R24" s="1104" t="e">
        <f t="shared" si="2"/>
        <v>#REF!</v>
      </c>
      <c r="T24" s="1105" t="e">
        <f>R24-'Table 10 POSB Liabilities'!R24-#REF!</f>
        <v>#REF!</v>
      </c>
    </row>
    <row r="25" spans="4:20" ht="15">
      <c r="D25" s="1114" t="s">
        <v>1180</v>
      </c>
      <c r="E25" s="1057" t="e">
        <f>#REF!+'Table 10 POSB Liabilities'!E25</f>
        <v>#REF!</v>
      </c>
      <c r="F25" s="1057" t="e">
        <f>#REF!+'Table 10 POSB Liabilities'!F25</f>
        <v>#REF!</v>
      </c>
      <c r="G25" s="1134" t="e">
        <f t="shared" si="0"/>
        <v>#REF!</v>
      </c>
      <c r="H25" s="1059" t="e">
        <f>#REF!+'Table 10 POSB Liabilities'!H25</f>
        <v>#REF!</v>
      </c>
      <c r="I25" s="1057" t="e">
        <f>#REF!+'Table 10 POSB Liabilities'!I25</f>
        <v>#REF!</v>
      </c>
      <c r="J25" s="1059" t="e">
        <f t="shared" si="1"/>
        <v>#REF!</v>
      </c>
      <c r="K25" s="1057" t="e">
        <f>+#REF!+'Table 10 POSB Liabilities'!K25</f>
        <v>#REF!</v>
      </c>
      <c r="L25" s="1057" t="e">
        <f>#REF!+'Table 10 POSB Liabilities'!L25</f>
        <v>#REF!</v>
      </c>
      <c r="M25" s="1057" t="e">
        <f>#REF!+'Table 10 POSB Liabilities'!M25</f>
        <v>#REF!</v>
      </c>
      <c r="N25" s="1057" t="e">
        <f>#REF!+'Table 10 POSB Liabilities'!N25</f>
        <v>#REF!</v>
      </c>
      <c r="O25" s="1057" t="e">
        <f>#REF!+'Table 10 POSB Liabilities'!O25</f>
        <v>#REF!</v>
      </c>
      <c r="P25" s="1057" t="e">
        <f>#REF!+'Table 10 POSB Liabilities'!P25</f>
        <v>#REF!</v>
      </c>
      <c r="Q25" s="1057" t="e">
        <f>#REF!+'Table 10 POSB Liabilities'!Q25</f>
        <v>#REF!</v>
      </c>
      <c r="R25" s="1104" t="e">
        <f t="shared" si="2"/>
        <v>#REF!</v>
      </c>
      <c r="T25" s="1105" t="e">
        <f>R25-'Table 10 POSB Liabilities'!R25-#REF!</f>
        <v>#REF!</v>
      </c>
    </row>
    <row r="26" spans="4:20" ht="15">
      <c r="D26" s="1114" t="s">
        <v>1181</v>
      </c>
      <c r="E26" s="1057" t="e">
        <f>#REF!+'Table 10 POSB Liabilities'!E26</f>
        <v>#REF!</v>
      </c>
      <c r="F26" s="1057" t="e">
        <f>#REF!+'Table 10 POSB Liabilities'!F26</f>
        <v>#REF!</v>
      </c>
      <c r="G26" s="1134" t="e">
        <f t="shared" si="0"/>
        <v>#REF!</v>
      </c>
      <c r="H26" s="1059" t="e">
        <f>#REF!+'Table 10 POSB Liabilities'!H26</f>
        <v>#REF!</v>
      </c>
      <c r="I26" s="1057" t="e">
        <f>#REF!+'Table 10 POSB Liabilities'!I26</f>
        <v>#REF!</v>
      </c>
      <c r="J26" s="1059" t="e">
        <f t="shared" si="1"/>
        <v>#REF!</v>
      </c>
      <c r="K26" s="1057" t="e">
        <f>+#REF!+'Table 10 POSB Liabilities'!K26</f>
        <v>#REF!</v>
      </c>
      <c r="L26" s="1057" t="e">
        <f>#REF!+'Table 10 POSB Liabilities'!L26</f>
        <v>#REF!</v>
      </c>
      <c r="M26" s="1057" t="e">
        <f>#REF!+'Table 10 POSB Liabilities'!M26</f>
        <v>#REF!</v>
      </c>
      <c r="N26" s="1057" t="e">
        <f>#REF!+'Table 10 POSB Liabilities'!N26</f>
        <v>#REF!</v>
      </c>
      <c r="O26" s="1057" t="e">
        <f>#REF!+'Table 10 POSB Liabilities'!O26</f>
        <v>#REF!</v>
      </c>
      <c r="P26" s="1057" t="e">
        <f>#REF!+'Table 10 POSB Liabilities'!P26</f>
        <v>#REF!</v>
      </c>
      <c r="Q26" s="1057" t="e">
        <f>#REF!+'Table 10 POSB Liabilities'!Q26</f>
        <v>#REF!</v>
      </c>
      <c r="R26" s="1104" t="e">
        <f t="shared" si="2"/>
        <v>#REF!</v>
      </c>
      <c r="T26" s="1105" t="e">
        <f>R26-'Table 10 POSB Liabilities'!R26-#REF!</f>
        <v>#REF!</v>
      </c>
    </row>
    <row r="27" spans="4:20" ht="15">
      <c r="D27" s="1114"/>
      <c r="E27" s="1057"/>
      <c r="F27" s="1057"/>
      <c r="G27" s="1134"/>
      <c r="H27" s="1059"/>
      <c r="I27" s="1057"/>
      <c r="J27" s="1059"/>
      <c r="K27" s="1057"/>
      <c r="L27" s="1057"/>
      <c r="M27" s="1057"/>
      <c r="N27" s="1057"/>
      <c r="O27" s="1057"/>
      <c r="P27" s="1057"/>
      <c r="Q27" s="1057"/>
      <c r="R27" s="1104"/>
      <c r="T27" s="1105"/>
    </row>
    <row r="28" spans="4:20" ht="15">
      <c r="D28" s="1099">
        <v>2016</v>
      </c>
      <c r="E28" s="1057"/>
      <c r="F28" s="1057"/>
      <c r="G28" s="1134"/>
      <c r="H28" s="1059"/>
      <c r="I28" s="1057"/>
      <c r="J28" s="1059"/>
      <c r="K28" s="1057"/>
      <c r="L28" s="1057"/>
      <c r="M28" s="1057"/>
      <c r="N28" s="1057"/>
      <c r="O28" s="1057"/>
      <c r="P28" s="1057"/>
      <c r="Q28" s="1057"/>
      <c r="R28" s="1104"/>
      <c r="T28" s="1105"/>
    </row>
    <row r="29" spans="4:20" ht="15">
      <c r="D29" s="1114" t="s">
        <v>1170</v>
      </c>
      <c r="E29" s="1057" t="e">
        <f>#REF!+'Table 10 POSB Liabilities'!E29</f>
        <v>#REF!</v>
      </c>
      <c r="F29" s="1057" t="e">
        <f>#REF!+'Table 10 POSB Liabilities'!F29</f>
        <v>#REF!</v>
      </c>
      <c r="G29" s="1134" t="e">
        <f t="shared" si="0"/>
        <v>#REF!</v>
      </c>
      <c r="H29" s="1059" t="e">
        <f>#REF!+'Table 10 POSB Liabilities'!H29</f>
        <v>#REF!</v>
      </c>
      <c r="I29" s="1057" t="e">
        <f>#REF!+'Table 10 POSB Liabilities'!I29</f>
        <v>#REF!</v>
      </c>
      <c r="J29" s="1059" t="e">
        <f t="shared" si="1"/>
        <v>#REF!</v>
      </c>
      <c r="K29" s="1057" t="e">
        <f>+#REF!+'Table 10 POSB Liabilities'!K29</f>
        <v>#REF!</v>
      </c>
      <c r="L29" s="1057" t="e">
        <f>#REF!+'Table 10 POSB Liabilities'!L29</f>
        <v>#REF!</v>
      </c>
      <c r="M29" s="1057" t="e">
        <f>#REF!+'Table 10 POSB Liabilities'!M29</f>
        <v>#REF!</v>
      </c>
      <c r="N29" s="1057" t="e">
        <f>#REF!+'Table 10 POSB Liabilities'!N29</f>
        <v>#REF!</v>
      </c>
      <c r="O29" s="1057" t="e">
        <f>#REF!+'Table 10 POSB Liabilities'!O29</f>
        <v>#REF!</v>
      </c>
      <c r="P29" s="1057" t="e">
        <f>#REF!+'Table 10 POSB Liabilities'!P29</f>
        <v>#REF!</v>
      </c>
      <c r="Q29" s="1057" t="e">
        <f>#REF!+'Table 10 POSB Liabilities'!Q29</f>
        <v>#REF!</v>
      </c>
      <c r="R29" s="1104" t="e">
        <f t="shared" si="2"/>
        <v>#REF!</v>
      </c>
      <c r="T29" s="1105" t="e">
        <f>R29-'Table 10 POSB Liabilities'!R29-#REF!</f>
        <v>#REF!</v>
      </c>
    </row>
    <row r="30" spans="4:20" ht="15">
      <c r="D30" s="1114" t="s">
        <v>1172</v>
      </c>
      <c r="E30" s="1057" t="e">
        <f>#REF!+'Table 10 POSB Liabilities'!E30</f>
        <v>#REF!</v>
      </c>
      <c r="F30" s="1057" t="e">
        <f>#REF!+'Table 10 POSB Liabilities'!F30</f>
        <v>#REF!</v>
      </c>
      <c r="G30" s="1134" t="e">
        <f t="shared" si="0"/>
        <v>#REF!</v>
      </c>
      <c r="H30" s="1059" t="e">
        <f>#REF!+'Table 10 POSB Liabilities'!H30</f>
        <v>#REF!</v>
      </c>
      <c r="I30" s="1057" t="e">
        <f>#REF!+'Table 10 POSB Liabilities'!I30</f>
        <v>#REF!</v>
      </c>
      <c r="J30" s="1059" t="e">
        <f t="shared" si="1"/>
        <v>#REF!</v>
      </c>
      <c r="K30" s="1057" t="e">
        <f>+#REF!+'Table 10 POSB Liabilities'!K30</f>
        <v>#REF!</v>
      </c>
      <c r="L30" s="1057" t="e">
        <f>#REF!+'Table 10 POSB Liabilities'!L30</f>
        <v>#REF!</v>
      </c>
      <c r="M30" s="1057" t="e">
        <f>#REF!+'Table 10 POSB Liabilities'!M30</f>
        <v>#REF!</v>
      </c>
      <c r="N30" s="1057" t="e">
        <f>#REF!+'Table 10 POSB Liabilities'!N30</f>
        <v>#REF!</v>
      </c>
      <c r="O30" s="1057" t="e">
        <f>#REF!+'Table 10 POSB Liabilities'!O30</f>
        <v>#REF!</v>
      </c>
      <c r="P30" s="1057" t="e">
        <f>#REF!+'Table 10 POSB Liabilities'!P30</f>
        <v>#REF!</v>
      </c>
      <c r="Q30" s="1057" t="e">
        <f>#REF!+'Table 10 POSB Liabilities'!Q30</f>
        <v>#REF!</v>
      </c>
      <c r="R30" s="1104" t="e">
        <f t="shared" si="2"/>
        <v>#REF!</v>
      </c>
      <c r="T30" s="1105" t="e">
        <f>R30-'Table 10 POSB Liabilities'!R30-#REF!</f>
        <v>#REF!</v>
      </c>
    </row>
    <row r="31" spans="4:20" ht="15">
      <c r="D31" s="1114" t="s">
        <v>1173</v>
      </c>
      <c r="E31" s="1057" t="e">
        <f>#REF!+'Table 10 POSB Liabilities'!E31</f>
        <v>#REF!</v>
      </c>
      <c r="F31" s="1057" t="e">
        <f>#REF!+'Table 10 POSB Liabilities'!F31</f>
        <v>#REF!</v>
      </c>
      <c r="G31" s="1134" t="e">
        <f t="shared" si="0"/>
        <v>#REF!</v>
      </c>
      <c r="H31" s="1059" t="e">
        <f>#REF!+'Table 10 POSB Liabilities'!H31</f>
        <v>#REF!</v>
      </c>
      <c r="I31" s="1057" t="e">
        <f>#REF!+'Table 10 POSB Liabilities'!I31</f>
        <v>#REF!</v>
      </c>
      <c r="J31" s="1059" t="e">
        <f t="shared" si="1"/>
        <v>#REF!</v>
      </c>
      <c r="K31" s="1057" t="e">
        <f>+#REF!+'Table 10 POSB Liabilities'!K31</f>
        <v>#REF!</v>
      </c>
      <c r="L31" s="1057" t="e">
        <f>#REF!+'Table 10 POSB Liabilities'!L31</f>
        <v>#REF!</v>
      </c>
      <c r="M31" s="1057" t="e">
        <f>#REF!+'Table 10 POSB Liabilities'!M31</f>
        <v>#REF!</v>
      </c>
      <c r="N31" s="1057" t="e">
        <f>#REF!+'Table 10 POSB Liabilities'!N31</f>
        <v>#REF!</v>
      </c>
      <c r="O31" s="1057" t="e">
        <f>#REF!+'Table 10 POSB Liabilities'!O31</f>
        <v>#REF!</v>
      </c>
      <c r="P31" s="1057" t="e">
        <f>#REF!+'Table 10 POSB Liabilities'!P31</f>
        <v>#REF!</v>
      </c>
      <c r="Q31" s="1057" t="e">
        <f>#REF!+'Table 10 POSB Liabilities'!Q31</f>
        <v>#REF!</v>
      </c>
      <c r="R31" s="1104" t="e">
        <f t="shared" si="2"/>
        <v>#REF!</v>
      </c>
      <c r="T31" s="1105" t="e">
        <f>R31-'Table 10 POSB Liabilities'!R31-#REF!</f>
        <v>#REF!</v>
      </c>
    </row>
    <row r="32" spans="4:20" ht="15">
      <c r="D32" s="1114" t="s">
        <v>1174</v>
      </c>
      <c r="E32" s="1057" t="e">
        <f>#REF!+'Table 10 POSB Liabilities'!E32</f>
        <v>#REF!</v>
      </c>
      <c r="F32" s="1057" t="e">
        <f>#REF!+'Table 10 POSB Liabilities'!F32</f>
        <v>#REF!</v>
      </c>
      <c r="G32" s="1134" t="e">
        <f t="shared" si="0"/>
        <v>#REF!</v>
      </c>
      <c r="H32" s="1059" t="e">
        <f>#REF!+'Table 10 POSB Liabilities'!H32</f>
        <v>#REF!</v>
      </c>
      <c r="I32" s="1057" t="e">
        <f>#REF!+'Table 10 POSB Liabilities'!I32</f>
        <v>#REF!</v>
      </c>
      <c r="J32" s="1059" t="e">
        <f t="shared" si="1"/>
        <v>#REF!</v>
      </c>
      <c r="K32" s="1057" t="e">
        <f>+#REF!+'Table 10 POSB Liabilities'!K32</f>
        <v>#REF!</v>
      </c>
      <c r="L32" s="1057" t="e">
        <f>#REF!+'Table 10 POSB Liabilities'!L32</f>
        <v>#REF!</v>
      </c>
      <c r="M32" s="1057" t="e">
        <f>#REF!+'Table 10 POSB Liabilities'!M32</f>
        <v>#REF!</v>
      </c>
      <c r="N32" s="1057" t="e">
        <f>#REF!+'Table 10 POSB Liabilities'!N32</f>
        <v>#REF!</v>
      </c>
      <c r="O32" s="1057" t="e">
        <f>#REF!+'Table 10 POSB Liabilities'!O32</f>
        <v>#REF!</v>
      </c>
      <c r="P32" s="1057" t="e">
        <f>#REF!+'Table 10 POSB Liabilities'!P32</f>
        <v>#REF!</v>
      </c>
      <c r="Q32" s="1057" t="e">
        <f>#REF!+'Table 10 POSB Liabilities'!Q32</f>
        <v>#REF!</v>
      </c>
      <c r="R32" s="1104" t="e">
        <f t="shared" si="2"/>
        <v>#REF!</v>
      </c>
      <c r="T32" s="1105" t="e">
        <f>R32-'Table 10 POSB Liabilities'!R32-#REF!</f>
        <v>#REF!</v>
      </c>
    </row>
    <row r="33" spans="2:21" ht="15">
      <c r="D33" s="1114" t="s">
        <v>1165</v>
      </c>
      <c r="E33" s="1057" t="e">
        <f>#REF!+'Table 10 POSB Liabilities'!E33</f>
        <v>#REF!</v>
      </c>
      <c r="F33" s="1057" t="e">
        <f>#REF!+'Table 10 POSB Liabilities'!F33</f>
        <v>#REF!</v>
      </c>
      <c r="G33" s="1134" t="e">
        <f t="shared" si="0"/>
        <v>#REF!</v>
      </c>
      <c r="H33" s="1059" t="e">
        <f>#REF!+'Table 10 POSB Liabilities'!H33</f>
        <v>#REF!</v>
      </c>
      <c r="I33" s="1057" t="e">
        <f>#REF!+'Table 10 POSB Liabilities'!I33</f>
        <v>#REF!</v>
      </c>
      <c r="J33" s="1059" t="e">
        <f t="shared" si="1"/>
        <v>#REF!</v>
      </c>
      <c r="K33" s="1057" t="e">
        <f>+#REF!+'Table 10 POSB Liabilities'!K33</f>
        <v>#REF!</v>
      </c>
      <c r="L33" s="1057" t="e">
        <f>#REF!+'Table 10 POSB Liabilities'!L33</f>
        <v>#REF!</v>
      </c>
      <c r="M33" s="1057" t="e">
        <f>#REF!+'Table 10 POSB Liabilities'!M33</f>
        <v>#REF!</v>
      </c>
      <c r="N33" s="1057" t="e">
        <f>#REF!+'Table 10 POSB Liabilities'!N33</f>
        <v>#REF!</v>
      </c>
      <c r="O33" s="1057" t="e">
        <f>#REF!+'Table 10 POSB Liabilities'!O33</f>
        <v>#REF!</v>
      </c>
      <c r="P33" s="1057" t="e">
        <f>#REF!+'Table 10 POSB Liabilities'!P33</f>
        <v>#REF!</v>
      </c>
      <c r="Q33" s="1057" t="e">
        <f>#REF!+'Table 10 POSB Liabilities'!Q33</f>
        <v>#REF!</v>
      </c>
      <c r="R33" s="1104" t="e">
        <f t="shared" si="2"/>
        <v>#REF!</v>
      </c>
      <c r="T33" s="1105" t="e">
        <f>R33-'Table 10 POSB Liabilities'!R33-#REF!</f>
        <v>#REF!</v>
      </c>
    </row>
    <row r="34" spans="2:21" ht="15">
      <c r="D34" s="1114" t="s">
        <v>1203</v>
      </c>
      <c r="E34" s="1057" t="e">
        <f>#REF!+'Table 10 POSB Liabilities'!E34</f>
        <v>#REF!</v>
      </c>
      <c r="F34" s="1057" t="e">
        <f>#REF!+'Table 10 POSB Liabilities'!F34</f>
        <v>#REF!</v>
      </c>
      <c r="G34" s="1134" t="e">
        <f t="shared" si="0"/>
        <v>#REF!</v>
      </c>
      <c r="H34" s="1059" t="e">
        <f>#REF!+'Table 10 POSB Liabilities'!H34</f>
        <v>#REF!</v>
      </c>
      <c r="I34" s="1057" t="e">
        <f>#REF!+'Table 10 POSB Liabilities'!I34</f>
        <v>#REF!</v>
      </c>
      <c r="J34" s="1059" t="e">
        <f t="shared" si="1"/>
        <v>#REF!</v>
      </c>
      <c r="K34" s="1057" t="e">
        <f>+#REF!+'Table 10 POSB Liabilities'!K34</f>
        <v>#REF!</v>
      </c>
      <c r="L34" s="1057" t="e">
        <f>#REF!+'Table 10 POSB Liabilities'!L34</f>
        <v>#REF!</v>
      </c>
      <c r="M34" s="1057" t="e">
        <f>#REF!+'Table 10 POSB Liabilities'!M34</f>
        <v>#REF!</v>
      </c>
      <c r="N34" s="1057" t="e">
        <f>#REF!+'Table 10 POSB Liabilities'!N34</f>
        <v>#REF!</v>
      </c>
      <c r="O34" s="1057" t="e">
        <f>#REF!+'Table 10 POSB Liabilities'!O34</f>
        <v>#REF!</v>
      </c>
      <c r="P34" s="1057" t="e">
        <f>#REF!+'Table 10 POSB Liabilities'!P34</f>
        <v>#REF!</v>
      </c>
      <c r="Q34" s="1057" t="e">
        <f>#REF!+'Table 10 POSB Liabilities'!Q34</f>
        <v>#REF!</v>
      </c>
      <c r="R34" s="1104" t="e">
        <f t="shared" si="2"/>
        <v>#REF!</v>
      </c>
      <c r="T34" s="1105" t="e">
        <f>R34-'Table 10 POSB Liabilities'!R34-#REF!</f>
        <v>#REF!</v>
      </c>
    </row>
    <row r="35" spans="2:21" ht="15">
      <c r="D35" s="1114" t="s">
        <v>1205</v>
      </c>
      <c r="E35" s="1057" t="e">
        <f>#REF!+'Table 10 POSB Liabilities'!E35</f>
        <v>#REF!</v>
      </c>
      <c r="F35" s="1057" t="e">
        <f>#REF!+'Table 10 POSB Liabilities'!F35</f>
        <v>#REF!</v>
      </c>
      <c r="G35" s="1134" t="e">
        <f t="shared" si="0"/>
        <v>#REF!</v>
      </c>
      <c r="H35" s="1059" t="e">
        <f>#REF!+'Table 10 POSB Liabilities'!H35</f>
        <v>#REF!</v>
      </c>
      <c r="I35" s="1057" t="e">
        <f>#REF!+'Table 10 POSB Liabilities'!I35</f>
        <v>#REF!</v>
      </c>
      <c r="J35" s="1059" t="e">
        <f t="shared" si="1"/>
        <v>#REF!</v>
      </c>
      <c r="K35" s="1057" t="e">
        <f>+#REF!+'Table 10 POSB Liabilities'!K35</f>
        <v>#REF!</v>
      </c>
      <c r="L35" s="1057" t="e">
        <f>#REF!+'Table 10 POSB Liabilities'!L35</f>
        <v>#REF!</v>
      </c>
      <c r="M35" s="1057" t="e">
        <f>#REF!+'Table 10 POSB Liabilities'!M35</f>
        <v>#REF!</v>
      </c>
      <c r="N35" s="1057" t="e">
        <f>#REF!+'Table 10 POSB Liabilities'!N35</f>
        <v>#REF!</v>
      </c>
      <c r="O35" s="1057" t="e">
        <f>#REF!+'Table 10 POSB Liabilities'!O35</f>
        <v>#REF!</v>
      </c>
      <c r="P35" s="1057" t="e">
        <f>#REF!+'Table 10 POSB Liabilities'!P35</f>
        <v>#REF!</v>
      </c>
      <c r="Q35" s="1057" t="e">
        <f>#REF!+'Table 10 POSB Liabilities'!Q35</f>
        <v>#REF!</v>
      </c>
      <c r="R35" s="1104" t="e">
        <f t="shared" si="2"/>
        <v>#REF!</v>
      </c>
      <c r="T35" s="1105" t="e">
        <f>R35-'Table 10 POSB Liabilities'!R35-#REF!</f>
        <v>#REF!</v>
      </c>
    </row>
    <row r="36" spans="2:21" ht="15">
      <c r="D36" s="1114" t="s">
        <v>1177</v>
      </c>
      <c r="E36" s="1057" t="e">
        <f>#REF!+'Table 10 POSB Liabilities'!E36</f>
        <v>#REF!</v>
      </c>
      <c r="F36" s="1057" t="e">
        <f>#REF!+'Table 10 POSB Liabilities'!F36</f>
        <v>#REF!</v>
      </c>
      <c r="G36" s="1134" t="e">
        <f t="shared" si="0"/>
        <v>#REF!</v>
      </c>
      <c r="H36" s="1059" t="e">
        <f>#REF!+'Table 10 POSB Liabilities'!H36</f>
        <v>#REF!</v>
      </c>
      <c r="I36" s="1057" t="e">
        <f>#REF!+'Table 10 POSB Liabilities'!I36</f>
        <v>#REF!</v>
      </c>
      <c r="J36" s="1059" t="e">
        <f t="shared" si="1"/>
        <v>#REF!</v>
      </c>
      <c r="K36" s="1057" t="e">
        <f>+#REF!+'Table 10 POSB Liabilities'!K36</f>
        <v>#REF!</v>
      </c>
      <c r="L36" s="1057" t="e">
        <f>#REF!+'Table 10 POSB Liabilities'!L36</f>
        <v>#REF!</v>
      </c>
      <c r="M36" s="1057" t="e">
        <f>#REF!+'Table 10 POSB Liabilities'!M36</f>
        <v>#REF!</v>
      </c>
      <c r="N36" s="1057" t="e">
        <f>#REF!+'Table 10 POSB Liabilities'!N36</f>
        <v>#REF!</v>
      </c>
      <c r="O36" s="1057" t="e">
        <f>#REF!+'Table 10 POSB Liabilities'!O36</f>
        <v>#REF!</v>
      </c>
      <c r="P36" s="1057" t="e">
        <f>#REF!+'Table 10 POSB Liabilities'!P36</f>
        <v>#REF!</v>
      </c>
      <c r="Q36" s="1057" t="e">
        <f>#REF!+'Table 10 POSB Liabilities'!Q36</f>
        <v>#REF!</v>
      </c>
      <c r="R36" s="1104" t="e">
        <f t="shared" si="2"/>
        <v>#REF!</v>
      </c>
      <c r="T36" s="1105" t="e">
        <f>R36-'Table 10 POSB Liabilities'!R36-#REF!</f>
        <v>#REF!</v>
      </c>
    </row>
    <row r="37" spans="2:21" ht="15">
      <c r="D37" s="1114" t="s">
        <v>1178</v>
      </c>
      <c r="E37" s="1057" t="e">
        <f>#REF!+'Table 10 POSB Liabilities'!E37</f>
        <v>#REF!</v>
      </c>
      <c r="F37" s="1057" t="e">
        <f>#REF!+'Table 10 POSB Liabilities'!F37</f>
        <v>#REF!</v>
      </c>
      <c r="G37" s="1134" t="e">
        <f t="shared" si="0"/>
        <v>#REF!</v>
      </c>
      <c r="H37" s="1059" t="e">
        <f>#REF!+'Table 10 POSB Liabilities'!H37</f>
        <v>#REF!</v>
      </c>
      <c r="I37" s="1057" t="e">
        <f>#REF!+'Table 10 POSB Liabilities'!I37</f>
        <v>#REF!</v>
      </c>
      <c r="J37" s="1059" t="e">
        <f t="shared" si="1"/>
        <v>#REF!</v>
      </c>
      <c r="K37" s="1057" t="e">
        <f>+#REF!+'Table 10 POSB Liabilities'!K37</f>
        <v>#REF!</v>
      </c>
      <c r="L37" s="1057" t="e">
        <f>#REF!+'Table 10 POSB Liabilities'!L37</f>
        <v>#REF!</v>
      </c>
      <c r="M37" s="1057" t="e">
        <f>#REF!+'Table 10 POSB Liabilities'!M37</f>
        <v>#REF!</v>
      </c>
      <c r="N37" s="1057" t="e">
        <f>#REF!+'Table 10 POSB Liabilities'!N37</f>
        <v>#REF!</v>
      </c>
      <c r="O37" s="1057" t="e">
        <f>#REF!+'Table 10 POSB Liabilities'!O37</f>
        <v>#REF!</v>
      </c>
      <c r="P37" s="1057" t="e">
        <f>#REF!+'Table 10 POSB Liabilities'!P37</f>
        <v>#REF!</v>
      </c>
      <c r="Q37" s="1057" t="e">
        <f>#REF!+'Table 10 POSB Liabilities'!Q37</f>
        <v>#REF!</v>
      </c>
      <c r="R37" s="1104" t="e">
        <f t="shared" si="2"/>
        <v>#REF!</v>
      </c>
      <c r="T37" s="1105" t="e">
        <f>R37-'Table 10 POSB Liabilities'!R37-#REF!</f>
        <v>#REF!</v>
      </c>
    </row>
    <row r="38" spans="2:21" ht="15">
      <c r="D38" s="1114" t="s">
        <v>1179</v>
      </c>
      <c r="E38" s="1057" t="e">
        <f>#REF!+'Table 10 POSB Liabilities'!E38</f>
        <v>#REF!</v>
      </c>
      <c r="F38" s="1057" t="e">
        <f>#REF!+'Table 10 POSB Liabilities'!F38</f>
        <v>#REF!</v>
      </c>
      <c r="G38" s="1134" t="e">
        <f t="shared" si="0"/>
        <v>#REF!</v>
      </c>
      <c r="H38" s="1059" t="e">
        <f>#REF!+'Table 10 POSB Liabilities'!H38</f>
        <v>#REF!</v>
      </c>
      <c r="I38" s="1057" t="e">
        <f>#REF!+'Table 10 POSB Liabilities'!I38</f>
        <v>#REF!</v>
      </c>
      <c r="J38" s="1059" t="e">
        <f t="shared" si="1"/>
        <v>#REF!</v>
      </c>
      <c r="K38" s="1057" t="e">
        <f>+#REF!+'Table 10 POSB Liabilities'!K38</f>
        <v>#REF!</v>
      </c>
      <c r="L38" s="1057" t="e">
        <f>#REF!+'Table 10 POSB Liabilities'!L38</f>
        <v>#REF!</v>
      </c>
      <c r="M38" s="1057" t="e">
        <f>#REF!+'Table 10 POSB Liabilities'!M38</f>
        <v>#REF!</v>
      </c>
      <c r="N38" s="1057" t="e">
        <f>#REF!+'Table 10 POSB Liabilities'!N38</f>
        <v>#REF!</v>
      </c>
      <c r="O38" s="1057" t="e">
        <f>#REF!+'Table 10 POSB Liabilities'!O38</f>
        <v>#REF!</v>
      </c>
      <c r="P38" s="1057" t="e">
        <f>#REF!+'Table 10 POSB Liabilities'!P38</f>
        <v>#REF!</v>
      </c>
      <c r="Q38" s="1057" t="e">
        <f>#REF!+'Table 10 POSB Liabilities'!Q38</f>
        <v>#REF!</v>
      </c>
      <c r="R38" s="1104" t="e">
        <f t="shared" si="2"/>
        <v>#REF!</v>
      </c>
      <c r="T38" s="1105" t="e">
        <f>R38-'Table 10 POSB Liabilities'!R38-#REF!</f>
        <v>#REF!</v>
      </c>
    </row>
    <row r="39" spans="2:21" ht="15">
      <c r="D39" s="1114" t="s">
        <v>1180</v>
      </c>
      <c r="E39" s="1057" t="e">
        <f>#REF!+'Table 10 POSB Liabilities'!E39</f>
        <v>#REF!</v>
      </c>
      <c r="F39" s="1057" t="e">
        <f>#REF!+'Table 10 POSB Liabilities'!F39</f>
        <v>#REF!</v>
      </c>
      <c r="G39" s="1134" t="e">
        <f t="shared" si="0"/>
        <v>#REF!</v>
      </c>
      <c r="H39" s="1059" t="e">
        <f>#REF!+'Table 10 POSB Liabilities'!H39</f>
        <v>#REF!</v>
      </c>
      <c r="I39" s="1057" t="e">
        <f>#REF!+'Table 10 POSB Liabilities'!I39</f>
        <v>#REF!</v>
      </c>
      <c r="J39" s="1059" t="e">
        <f t="shared" si="1"/>
        <v>#REF!</v>
      </c>
      <c r="K39" s="1057" t="e">
        <f>+#REF!+'Table 10 POSB Liabilities'!K39</f>
        <v>#REF!</v>
      </c>
      <c r="L39" s="1057" t="e">
        <f>#REF!+'Table 10 POSB Liabilities'!L39</f>
        <v>#REF!</v>
      </c>
      <c r="M39" s="1057" t="e">
        <f>#REF!+'Table 10 POSB Liabilities'!M39</f>
        <v>#REF!</v>
      </c>
      <c r="N39" s="1057" t="e">
        <f>#REF!+'Table 10 POSB Liabilities'!N39</f>
        <v>#REF!</v>
      </c>
      <c r="O39" s="1057" t="e">
        <f>#REF!+'Table 10 POSB Liabilities'!O39</f>
        <v>#REF!</v>
      </c>
      <c r="P39" s="1057" t="e">
        <f>#REF!+'Table 10 POSB Liabilities'!P39</f>
        <v>#REF!</v>
      </c>
      <c r="Q39" s="1057" t="e">
        <f>#REF!+'Table 10 POSB Liabilities'!Q39</f>
        <v>#REF!</v>
      </c>
      <c r="R39" s="1104" t="e">
        <f t="shared" si="2"/>
        <v>#REF!</v>
      </c>
      <c r="T39" s="1105" t="e">
        <f>R39-'Table 10 POSB Liabilities'!R39-#REF!</f>
        <v>#REF!</v>
      </c>
    </row>
    <row r="40" spans="2:21" ht="15">
      <c r="D40" s="1114" t="s">
        <v>1181</v>
      </c>
      <c r="E40" s="1057" t="e">
        <f>#REF!+'Table 10 POSB Liabilities'!E40</f>
        <v>#REF!</v>
      </c>
      <c r="F40" s="1057" t="e">
        <f>#REF!+'Table 10 POSB Liabilities'!F40</f>
        <v>#REF!</v>
      </c>
      <c r="G40" s="1134" t="e">
        <f t="shared" si="0"/>
        <v>#REF!</v>
      </c>
      <c r="H40" s="1059" t="e">
        <f>#REF!+'Table 10 POSB Liabilities'!H40</f>
        <v>#REF!</v>
      </c>
      <c r="I40" s="1057" t="e">
        <f>#REF!+'Table 10 POSB Liabilities'!I40</f>
        <v>#REF!</v>
      </c>
      <c r="J40" s="1059" t="e">
        <f t="shared" si="1"/>
        <v>#REF!</v>
      </c>
      <c r="K40" s="1057" t="e">
        <f>+#REF!+'Table 10 POSB Liabilities'!K40</f>
        <v>#REF!</v>
      </c>
      <c r="L40" s="1057" t="e">
        <f>#REF!+'Table 10 POSB Liabilities'!L40</f>
        <v>#REF!</v>
      </c>
      <c r="M40" s="1057" t="e">
        <f>#REF!+'Table 10 POSB Liabilities'!M40</f>
        <v>#REF!</v>
      </c>
      <c r="N40" s="1057" t="e">
        <f>#REF!+'Table 10 POSB Liabilities'!N40</f>
        <v>#REF!</v>
      </c>
      <c r="O40" s="1057" t="e">
        <f>#REF!+'Table 10 POSB Liabilities'!O40</f>
        <v>#REF!</v>
      </c>
      <c r="P40" s="1057" t="e">
        <f>#REF!+'Table 10 POSB Liabilities'!P40</f>
        <v>#REF!</v>
      </c>
      <c r="Q40" s="1057" t="e">
        <f>#REF!+'Table 10 POSB Liabilities'!Q40</f>
        <v>#REF!</v>
      </c>
      <c r="R40" s="1104" t="e">
        <f t="shared" si="2"/>
        <v>#REF!</v>
      </c>
      <c r="T40" s="1105" t="e">
        <f>R40-'Table 10 POSB Liabilities'!R40-#REF!</f>
        <v>#REF!</v>
      </c>
    </row>
    <row r="41" spans="2:21" ht="15">
      <c r="D41" s="1114"/>
      <c r="E41" s="1057"/>
      <c r="F41" s="1057"/>
      <c r="G41" s="1059"/>
      <c r="H41" s="1057"/>
      <c r="I41" s="1057"/>
      <c r="J41" s="1059"/>
      <c r="K41" s="1057"/>
      <c r="L41" s="1057"/>
      <c r="M41" s="1057"/>
      <c r="N41" s="1057"/>
      <c r="O41" s="1057"/>
      <c r="P41" s="1057"/>
      <c r="Q41" s="1057"/>
      <c r="R41" s="1104"/>
      <c r="U41" s="1106"/>
    </row>
    <row r="42" spans="2:21" ht="15">
      <c r="D42" s="1099">
        <v>2017</v>
      </c>
      <c r="E42" s="1057"/>
      <c r="F42" s="1057"/>
      <c r="G42" s="1059"/>
      <c r="H42" s="1057"/>
      <c r="I42" s="1057"/>
      <c r="J42" s="1059"/>
      <c r="K42" s="1057"/>
      <c r="L42" s="1057"/>
      <c r="M42" s="1057"/>
      <c r="N42" s="1057"/>
      <c r="O42" s="1057"/>
      <c r="P42" s="1057"/>
      <c r="Q42" s="1057"/>
      <c r="R42" s="1059"/>
      <c r="S42" s="1107"/>
      <c r="T42" s="1109"/>
      <c r="U42" s="1106"/>
    </row>
    <row r="43" spans="2:21" ht="15">
      <c r="D43" s="1114" t="s">
        <v>1170</v>
      </c>
      <c r="E43" s="1057" t="e">
        <f>#REF!+'Table 10 POSB Liabilities'!E43</f>
        <v>#REF!</v>
      </c>
      <c r="F43" s="1057" t="e">
        <f>#REF!+'Table 10 POSB Liabilities'!F43</f>
        <v>#REF!</v>
      </c>
      <c r="G43" s="1134" t="e">
        <f>SUM(E43:F43)</f>
        <v>#REF!</v>
      </c>
      <c r="H43" s="1059" t="e">
        <f>#REF!+'Table 10 POSB Liabilities'!H43</f>
        <v>#REF!</v>
      </c>
      <c r="I43" s="1057" t="e">
        <f>#REF!+'Table 10 POSB Liabilities'!I43</f>
        <v>#REF!</v>
      </c>
      <c r="J43" s="1059" t="e">
        <f>SUM(G43:I43)</f>
        <v>#REF!</v>
      </c>
      <c r="K43" s="1057" t="e">
        <f>+#REF!+'Table 10 POSB Liabilities'!K43</f>
        <v>#REF!</v>
      </c>
      <c r="L43" s="1057" t="e">
        <f>#REF!+'Table 10 POSB Liabilities'!L43</f>
        <v>#REF!</v>
      </c>
      <c r="M43" s="1057" t="e">
        <f>#REF!+'Table 10 POSB Liabilities'!M43</f>
        <v>#REF!</v>
      </c>
      <c r="N43" s="1057" t="e">
        <f>#REF!+'Table 10 POSB Liabilities'!N43</f>
        <v>#REF!</v>
      </c>
      <c r="O43" s="1057" t="e">
        <f>#REF!+'Table 10 POSB Liabilities'!O43</f>
        <v>#REF!</v>
      </c>
      <c r="P43" s="1057" t="e">
        <f>#REF!+'Table 10 POSB Liabilities'!P43</f>
        <v>#REF!</v>
      </c>
      <c r="Q43" s="1057" t="e">
        <f>#REF!+'Table 10 POSB Liabilities'!Q43</f>
        <v>#REF!</v>
      </c>
      <c r="R43" s="1104" t="e">
        <f>SUM(J43:Q43)</f>
        <v>#REF!</v>
      </c>
      <c r="T43" s="1105" t="e">
        <f>R43-'Table 10 POSB Liabilities'!R43-#REF!</f>
        <v>#REF!</v>
      </c>
    </row>
    <row r="44" spans="2:21" ht="15">
      <c r="D44" s="1114" t="s">
        <v>1172</v>
      </c>
      <c r="E44" s="1057" t="e">
        <f>#REF!+'Table 10 POSB Liabilities'!E44</f>
        <v>#REF!</v>
      </c>
      <c r="F44" s="1057" t="e">
        <f>#REF!+'Table 10 POSB Liabilities'!F44</f>
        <v>#REF!</v>
      </c>
      <c r="G44" s="1134" t="e">
        <f>SUM(E44:F44)</f>
        <v>#REF!</v>
      </c>
      <c r="H44" s="1059" t="e">
        <f>#REF!+'Table 10 POSB Liabilities'!H44</f>
        <v>#REF!</v>
      </c>
      <c r="I44" s="1057" t="e">
        <f>#REF!+'Table 10 POSB Liabilities'!I44</f>
        <v>#REF!</v>
      </c>
      <c r="J44" s="1059" t="e">
        <f>SUM(G44:I44)</f>
        <v>#REF!</v>
      </c>
      <c r="K44" s="1057" t="e">
        <f>+#REF!+'Table 10 POSB Liabilities'!K44</f>
        <v>#REF!</v>
      </c>
      <c r="L44" s="1057" t="e">
        <f>#REF!+'Table 10 POSB Liabilities'!L44</f>
        <v>#REF!</v>
      </c>
      <c r="M44" s="1057" t="e">
        <f>#REF!+'Table 10 POSB Liabilities'!M44</f>
        <v>#REF!</v>
      </c>
      <c r="N44" s="1057" t="e">
        <f>#REF!+'Table 10 POSB Liabilities'!N44</f>
        <v>#REF!</v>
      </c>
      <c r="O44" s="1057" t="e">
        <f>#REF!+'Table 10 POSB Liabilities'!O44</f>
        <v>#REF!</v>
      </c>
      <c r="P44" s="1057" t="e">
        <f>#REF!+'Table 10 POSB Liabilities'!P44</f>
        <v>#REF!</v>
      </c>
      <c r="Q44" s="1057" t="e">
        <f>#REF!+'Table 10 POSB Liabilities'!Q44</f>
        <v>#REF!</v>
      </c>
      <c r="R44" s="1104" t="e">
        <f>SUM(J44:Q44)</f>
        <v>#REF!</v>
      </c>
      <c r="T44" s="1105" t="e">
        <f>R44-'Table 10 POSB Liabilities'!R44-#REF!</f>
        <v>#REF!</v>
      </c>
    </row>
    <row r="45" spans="2:21" ht="15.75" thickBot="1">
      <c r="D45" s="1114"/>
      <c r="E45" s="1127"/>
      <c r="F45" s="1127"/>
      <c r="G45" s="1128"/>
      <c r="H45" s="1127"/>
      <c r="I45" s="1127"/>
      <c r="J45" s="1128"/>
      <c r="K45" s="1127"/>
      <c r="L45" s="1127"/>
      <c r="M45" s="1127"/>
      <c r="N45" s="1127"/>
      <c r="O45" s="1127"/>
      <c r="P45" s="1127"/>
      <c r="Q45" s="1127"/>
      <c r="R45" s="1128"/>
      <c r="S45" s="1100"/>
    </row>
    <row r="46" spans="2:21" ht="13.5" thickTop="1">
      <c r="D46" s="1129"/>
      <c r="E46" s="1130"/>
      <c r="F46" s="1130"/>
      <c r="G46" s="1131"/>
      <c r="H46" s="1130"/>
      <c r="I46" s="1130"/>
      <c r="J46" s="1132"/>
      <c r="K46" s="1133"/>
      <c r="L46" s="1133"/>
      <c r="M46" s="1133"/>
      <c r="N46" s="1133"/>
      <c r="O46" s="1133"/>
      <c r="P46" s="1133"/>
      <c r="Q46" s="1133"/>
      <c r="R46" s="1132"/>
      <c r="S46" s="1100"/>
    </row>
    <row r="47" spans="2:21" s="530" customFormat="1" ht="18" customHeight="1">
      <c r="B47" s="963"/>
      <c r="C47" s="926"/>
      <c r="D47" s="963" t="s">
        <v>1360</v>
      </c>
      <c r="E47" s="926"/>
      <c r="F47" s="926"/>
      <c r="G47" s="924"/>
      <c r="H47" s="924"/>
      <c r="I47" s="924"/>
      <c r="J47" s="924"/>
      <c r="K47" s="924"/>
      <c r="L47" s="924"/>
      <c r="M47" s="924"/>
      <c r="N47" s="924"/>
      <c r="O47" s="924"/>
    </row>
  </sheetData>
  <customSheetViews>
    <customSheetView guid="{705E0D18-9A83-42CA-8732-90923BE2EC7D}" scale="85" showPageBreaks="1" showGridLines="0" fitToPage="1" printArea="1" state="hidden" topLeftCell="C1">
      <pane xSplit="2" ySplit="12" topLeftCell="E13" activePane="bottomRight" state="frozen"/>
      <selection pane="bottomRight" activeCell="B2" sqref="B2:O2"/>
      <pageMargins left="0.09" right="0.13" top="0.6" bottom="0.53" header="0.5" footer="0.5"/>
      <pageSetup scale="49" orientation="landscape" horizontalDpi="300" verticalDpi="300" r:id="rId1"/>
      <headerFooter alignWithMargins="0"/>
    </customSheetView>
    <customSheetView guid="{D45E5F9E-4EA6-40A2-8A1D-3AC67FB8CE54}" scale="85" showPageBreaks="1" showGridLines="0" fitToPage="1" printArea="1" state="hidden" topLeftCell="C1">
      <pane xSplit="2" ySplit="12" topLeftCell="E13" activePane="bottomRight" state="frozen"/>
      <selection pane="bottomRight" activeCell="B2" sqref="B2:O2"/>
      <pageMargins left="0.09" right="0.13" top="0.6" bottom="0.53" header="0.5" footer="0.5"/>
      <pageSetup scale="49" orientation="landscape" horizontalDpi="300" verticalDpi="300" r:id="rId2"/>
      <headerFooter alignWithMargins="0"/>
    </customSheetView>
    <customSheetView guid="{89CA84C2-78F5-4B05-8F1D-B7C5F97BCB4E}" scale="85" showPageBreaks="1" showGridLines="0" fitToPage="1" printArea="1" state="hidden" topLeftCell="C1">
      <pane xSplit="2" ySplit="12" topLeftCell="E13" activePane="bottomRight" state="frozen"/>
      <selection pane="bottomRight" activeCell="B2" sqref="B2:O2"/>
      <pageMargins left="0.09" right="0.13" top="0.6" bottom="0.53" header="0.5" footer="0.5"/>
      <pageSetup scale="49" orientation="landscape" horizontalDpi="300" verticalDpi="300" r:id="rId3"/>
      <headerFooter alignWithMargins="0"/>
    </customSheetView>
  </customSheetViews>
  <mergeCells count="3">
    <mergeCell ref="D4:R4"/>
    <mergeCell ref="E7:J7"/>
    <mergeCell ref="M7:O7"/>
  </mergeCells>
  <pageMargins left="0.09" right="0.13" top="0.6" bottom="0.53" header="0.5" footer="0.5"/>
  <pageSetup scale="49" orientation="landscape" horizontalDpi="300" verticalDpi="300" r:id="rId4"/>
  <headerFooter alignWithMargins="0"/>
  <drawing r:id="rId5"/>
  <legacyDrawing r:id="rId6"/>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9"/>
    <pageSetUpPr autoPageBreaks="0" fitToPage="1"/>
  </sheetPr>
  <dimension ref="A1:BG212"/>
  <sheetViews>
    <sheetView showGridLines="0" showOutlineSymbols="0" zoomScale="80" zoomScaleNormal="80" zoomScaleSheetLayoutView="100" workbookViewId="0">
      <pane xSplit="2" ySplit="9" topLeftCell="C173" activePane="bottomRight" state="frozen"/>
      <selection activeCell="J193" sqref="J193"/>
      <selection pane="topRight" activeCell="J193" sqref="J193"/>
      <selection pane="bottomLeft" activeCell="J193" sqref="J193"/>
      <selection pane="bottomRight" activeCell="J193" sqref="J193"/>
    </sheetView>
  </sheetViews>
  <sheetFormatPr defaultColWidth="15.6640625" defaultRowHeight="8.25"/>
  <cols>
    <col min="1" max="1" width="1.77734375" style="530" customWidth="1"/>
    <col min="2" max="2" width="11.5546875" style="530" bestFit="1" customWidth="1"/>
    <col min="3" max="3" width="13.77734375" style="530" customWidth="1"/>
    <col min="4" max="4" width="11.109375" style="530" bestFit="1" customWidth="1"/>
    <col min="5" max="5" width="12.6640625" style="530" customWidth="1"/>
    <col min="6" max="6" width="11.109375" style="530" customWidth="1"/>
    <col min="7" max="7" width="10.77734375" style="530" customWidth="1"/>
    <col min="8" max="8" width="13.44140625" style="530" customWidth="1"/>
    <col min="9" max="9" width="11.77734375" style="530" bestFit="1" customWidth="1"/>
    <col min="10" max="10" width="12.21875" style="530" customWidth="1"/>
    <col min="11" max="11" width="11.21875" style="530" customWidth="1"/>
    <col min="12" max="12" width="9.5546875" style="530" customWidth="1"/>
    <col min="13" max="13" width="11.5546875" style="530" customWidth="1"/>
    <col min="14" max="14" width="12.109375" style="530" customWidth="1"/>
    <col min="15" max="15" width="12.77734375" style="530" customWidth="1"/>
    <col min="16" max="16" width="11.5546875" style="530" customWidth="1"/>
    <col min="17" max="17" width="15.6640625" style="530" customWidth="1"/>
    <col min="18" max="16384" width="15.6640625" style="530"/>
  </cols>
  <sheetData>
    <row r="1" spans="1:59" ht="16.149999999999999" customHeight="1"/>
    <row r="2" spans="1:59" ht="20.25" customHeight="1">
      <c r="A2" s="531"/>
      <c r="B2" s="1894" t="s">
        <v>1736</v>
      </c>
      <c r="C2" s="1894"/>
      <c r="D2" s="1894"/>
      <c r="E2" s="1894"/>
      <c r="F2" s="1894"/>
      <c r="G2" s="1894"/>
      <c r="H2" s="1894"/>
      <c r="I2" s="1894"/>
      <c r="J2" s="1894"/>
      <c r="K2" s="1894"/>
      <c r="L2" s="1894"/>
      <c r="M2" s="1894"/>
      <c r="N2" s="1894"/>
      <c r="O2" s="1894"/>
      <c r="P2" s="532"/>
      <c r="Q2" s="531"/>
    </row>
    <row r="3" spans="1:59" ht="6.75" customHeight="1">
      <c r="A3" s="531"/>
      <c r="B3" s="936"/>
      <c r="C3" s="936"/>
      <c r="D3" s="243"/>
      <c r="E3" s="243"/>
      <c r="F3" s="243"/>
      <c r="G3" s="243"/>
      <c r="H3" s="243"/>
      <c r="I3" s="243"/>
      <c r="J3" s="243"/>
      <c r="K3" s="243"/>
      <c r="L3" s="243"/>
      <c r="M3" s="243"/>
      <c r="N3" s="243"/>
      <c r="O3" s="243"/>
      <c r="P3" s="532"/>
      <c r="Q3" s="531"/>
    </row>
    <row r="4" spans="1:59" ht="13.9" customHeight="1">
      <c r="A4" s="531"/>
      <c r="B4" s="1894" t="s">
        <v>1788</v>
      </c>
      <c r="C4" s="1894"/>
      <c r="D4" s="1894"/>
      <c r="E4" s="1894"/>
      <c r="F4" s="1894"/>
      <c r="G4" s="1894"/>
      <c r="H4" s="1894"/>
      <c r="I4" s="1894"/>
      <c r="J4" s="1894"/>
      <c r="K4" s="1894"/>
      <c r="L4" s="1894"/>
      <c r="M4" s="1894"/>
      <c r="N4" s="1894"/>
      <c r="O4" s="1894"/>
      <c r="P4" s="729"/>
      <c r="Q4" s="729"/>
      <c r="R4" s="729"/>
      <c r="S4" s="729"/>
      <c r="T4" s="729"/>
      <c r="U4" s="729"/>
      <c r="V4" s="729"/>
      <c r="W4" s="729"/>
      <c r="X4" s="729"/>
      <c r="Y4" s="729"/>
      <c r="Z4" s="729"/>
      <c r="AA4" s="729"/>
      <c r="AB4" s="729"/>
      <c r="AC4" s="729"/>
      <c r="AD4" s="729"/>
      <c r="AE4" s="729"/>
      <c r="AF4" s="729"/>
      <c r="AG4" s="729"/>
      <c r="AH4" s="729"/>
      <c r="AI4" s="729"/>
      <c r="AJ4" s="729"/>
      <c r="AK4" s="729"/>
      <c r="AL4" s="729"/>
      <c r="AM4" s="729"/>
      <c r="AN4" s="729"/>
      <c r="AO4" s="729"/>
      <c r="AP4" s="729"/>
      <c r="AQ4" s="729"/>
      <c r="AR4" s="729"/>
      <c r="AS4" s="729"/>
      <c r="AT4" s="729"/>
      <c r="AU4" s="729"/>
      <c r="AV4" s="729"/>
      <c r="AW4" s="729"/>
      <c r="AX4" s="729"/>
      <c r="AY4" s="729"/>
      <c r="AZ4" s="729"/>
      <c r="BA4" s="729"/>
      <c r="BB4" s="729"/>
      <c r="BC4" s="729"/>
      <c r="BD4" s="729"/>
      <c r="BE4" s="729"/>
      <c r="BF4" s="729"/>
      <c r="BG4" s="729"/>
    </row>
    <row r="5" spans="1:59" ht="19.899999999999999" customHeight="1" thickBot="1">
      <c r="A5" s="531"/>
      <c r="B5" s="925"/>
      <c r="C5" s="925"/>
      <c r="D5" s="925"/>
      <c r="E5" s="925"/>
      <c r="F5" s="925"/>
      <c r="G5" s="925"/>
      <c r="H5" s="925"/>
      <c r="I5" s="925"/>
      <c r="J5" s="925"/>
      <c r="K5" s="925"/>
      <c r="L5" s="925"/>
      <c r="M5" s="925"/>
      <c r="N5" s="925"/>
      <c r="O5" s="925"/>
      <c r="P5" s="532"/>
      <c r="Q5" s="531"/>
    </row>
    <row r="6" spans="1:59" ht="22.9" customHeight="1" thickTop="1">
      <c r="A6" s="531"/>
      <c r="B6" s="892"/>
      <c r="C6" s="892"/>
      <c r="D6" s="892"/>
      <c r="E6" s="892" t="s">
        <v>296</v>
      </c>
      <c r="F6" s="1768"/>
      <c r="G6" s="1778"/>
      <c r="H6" s="1769"/>
      <c r="I6" s="1778"/>
      <c r="J6" s="1786"/>
      <c r="K6" s="1778"/>
      <c r="L6" s="1778"/>
      <c r="M6" s="1787"/>
      <c r="N6" s="892"/>
      <c r="O6" s="892"/>
      <c r="P6" s="533"/>
      <c r="Q6" s="1367">
        <v>1000</v>
      </c>
      <c r="R6" s="534"/>
      <c r="S6" s="534"/>
      <c r="T6" s="534"/>
      <c r="U6" s="534"/>
    </row>
    <row r="7" spans="1:59" ht="19.899999999999999" customHeight="1">
      <c r="A7" s="531"/>
      <c r="B7" s="1490"/>
      <c r="C7" s="855" t="s">
        <v>392</v>
      </c>
      <c r="D7" s="856" t="s">
        <v>393</v>
      </c>
      <c r="E7" s="856" t="s">
        <v>395</v>
      </c>
      <c r="F7" s="856" t="s">
        <v>396</v>
      </c>
      <c r="G7" s="1758" t="s">
        <v>401</v>
      </c>
      <c r="H7" s="1747" t="s">
        <v>402</v>
      </c>
      <c r="I7" s="1758" t="s">
        <v>403</v>
      </c>
      <c r="J7" s="1758" t="s">
        <v>404</v>
      </c>
      <c r="K7" s="1758" t="s">
        <v>405</v>
      </c>
      <c r="L7" s="1758" t="s">
        <v>406</v>
      </c>
      <c r="M7" s="1747" t="s">
        <v>407</v>
      </c>
      <c r="N7" s="856" t="s">
        <v>1313</v>
      </c>
      <c r="O7" s="856" t="s">
        <v>287</v>
      </c>
      <c r="P7" s="533"/>
      <c r="Q7" s="534"/>
      <c r="R7" s="534"/>
      <c r="S7" s="534"/>
      <c r="T7" s="534"/>
      <c r="U7" s="534"/>
    </row>
    <row r="8" spans="1:59" ht="19.899999999999999" customHeight="1">
      <c r="A8" s="531"/>
      <c r="B8" s="856" t="s">
        <v>263</v>
      </c>
      <c r="C8" s="856" t="s">
        <v>296</v>
      </c>
      <c r="D8" s="856" t="s">
        <v>296</v>
      </c>
      <c r="E8" s="855"/>
      <c r="F8" s="856" t="s">
        <v>296</v>
      </c>
      <c r="G8" s="1758" t="s">
        <v>408</v>
      </c>
      <c r="H8" s="1747" t="s">
        <v>409</v>
      </c>
      <c r="I8" s="1758" t="s">
        <v>296</v>
      </c>
      <c r="J8" s="1758" t="s">
        <v>296</v>
      </c>
      <c r="K8" s="1758" t="s">
        <v>296</v>
      </c>
      <c r="L8" s="1758" t="s">
        <v>296</v>
      </c>
      <c r="M8" s="1748"/>
      <c r="N8" s="855"/>
      <c r="O8" s="855"/>
      <c r="P8" s="533"/>
      <c r="Q8" s="534"/>
      <c r="R8" s="534"/>
      <c r="S8" s="534"/>
      <c r="T8" s="534"/>
      <c r="U8" s="534"/>
    </row>
    <row r="9" spans="1:59" ht="19.899999999999999" customHeight="1" thickBot="1">
      <c r="A9" s="531"/>
      <c r="B9" s="857"/>
      <c r="C9" s="857"/>
      <c r="D9" s="857"/>
      <c r="E9" s="857"/>
      <c r="F9" s="1739"/>
      <c r="G9" s="1759"/>
      <c r="H9" s="1749"/>
      <c r="I9" s="1759"/>
      <c r="J9" s="1759"/>
      <c r="K9" s="1788"/>
      <c r="L9" s="1788"/>
      <c r="M9" s="1749"/>
      <c r="N9" s="857"/>
      <c r="O9" s="858"/>
      <c r="P9" s="533"/>
      <c r="Q9" s="534"/>
      <c r="R9" s="534"/>
      <c r="S9" s="534"/>
      <c r="T9" s="534"/>
      <c r="U9" s="534"/>
    </row>
    <row r="10" spans="1:59" ht="19.5" hidden="1" customHeight="1" thickTop="1">
      <c r="A10" s="531"/>
      <c r="B10" s="859">
        <v>2009</v>
      </c>
      <c r="C10" s="860"/>
      <c r="D10" s="860"/>
      <c r="E10" s="860"/>
      <c r="F10" s="860"/>
      <c r="G10" s="1760"/>
      <c r="H10" s="1750"/>
      <c r="I10" s="1760"/>
      <c r="J10" s="1760"/>
      <c r="K10" s="1760"/>
      <c r="L10" s="1770"/>
      <c r="M10" s="1750"/>
      <c r="N10" s="860"/>
      <c r="O10" s="861"/>
      <c r="P10" s="533"/>
      <c r="Q10" s="534"/>
      <c r="R10" s="534"/>
      <c r="S10" s="534"/>
      <c r="T10" s="534"/>
      <c r="U10" s="534"/>
    </row>
    <row r="11" spans="1:59" ht="12" hidden="1" thickTop="1">
      <c r="B11" s="862"/>
      <c r="C11" s="860"/>
      <c r="D11" s="860"/>
      <c r="E11" s="860"/>
      <c r="F11" s="860"/>
      <c r="G11" s="1760"/>
      <c r="H11" s="1750"/>
      <c r="I11" s="1760"/>
      <c r="J11" s="1760"/>
      <c r="K11" s="1760"/>
      <c r="L11" s="1770"/>
      <c r="M11" s="1750"/>
      <c r="N11" s="860"/>
      <c r="O11" s="861"/>
    </row>
    <row r="12" spans="1:59" ht="12" hidden="1" thickTop="1">
      <c r="B12" s="613" t="s">
        <v>299</v>
      </c>
      <c r="C12" s="617">
        <v>26021242</v>
      </c>
      <c r="D12" s="617">
        <v>3439039</v>
      </c>
      <c r="E12" s="617">
        <v>0</v>
      </c>
      <c r="F12" s="1740">
        <v>8471455</v>
      </c>
      <c r="G12" s="1761">
        <v>85425.8</v>
      </c>
      <c r="H12" s="1779">
        <v>19611109</v>
      </c>
      <c r="I12" s="1761">
        <v>10868597</v>
      </c>
      <c r="J12" s="1761">
        <v>12918429</v>
      </c>
      <c r="K12" s="1761">
        <v>14807252</v>
      </c>
      <c r="L12" s="1771">
        <v>634503</v>
      </c>
      <c r="M12" s="1751">
        <v>18960000</v>
      </c>
      <c r="N12" s="617">
        <v>2219578</v>
      </c>
      <c r="O12" s="617">
        <f>SUM(C12:N12)</f>
        <v>118036629.8</v>
      </c>
    </row>
    <row r="13" spans="1:59" ht="12" hidden="1" thickTop="1">
      <c r="B13" s="613"/>
      <c r="C13" s="617"/>
      <c r="D13" s="617"/>
      <c r="E13" s="617"/>
      <c r="F13" s="1740"/>
      <c r="G13" s="1761"/>
      <c r="H13" s="1779"/>
      <c r="I13" s="1761"/>
      <c r="J13" s="1761"/>
      <c r="K13" s="1761"/>
      <c r="L13" s="1771"/>
      <c r="M13" s="1751"/>
      <c r="N13" s="617"/>
      <c r="O13" s="617"/>
    </row>
    <row r="14" spans="1:59" ht="12" hidden="1" thickTop="1">
      <c r="B14" s="613" t="s">
        <v>300</v>
      </c>
      <c r="C14" s="617">
        <v>25217746</v>
      </c>
      <c r="D14" s="617">
        <v>2170514</v>
      </c>
      <c r="E14" s="617">
        <v>148254</v>
      </c>
      <c r="F14" s="1740">
        <v>10974370</v>
      </c>
      <c r="G14" s="1761">
        <v>260101.7</v>
      </c>
      <c r="H14" s="1779">
        <v>17851016</v>
      </c>
      <c r="I14" s="1761">
        <v>11412152</v>
      </c>
      <c r="J14" s="1761">
        <v>12533450</v>
      </c>
      <c r="K14" s="1761">
        <v>12784468</v>
      </c>
      <c r="L14" s="1771">
        <v>728611</v>
      </c>
      <c r="M14" s="1751">
        <v>1323943</v>
      </c>
      <c r="N14" s="617">
        <v>1879589</v>
      </c>
      <c r="O14" s="617">
        <f>SUM(C14:N14)</f>
        <v>97284214.700000003</v>
      </c>
    </row>
    <row r="15" spans="1:59" ht="12" hidden="1" thickTop="1">
      <c r="B15" s="613"/>
      <c r="C15" s="617"/>
      <c r="D15" s="617"/>
      <c r="E15" s="617"/>
      <c r="F15" s="1740"/>
      <c r="G15" s="1761"/>
      <c r="H15" s="1779"/>
      <c r="I15" s="1761"/>
      <c r="J15" s="1761"/>
      <c r="K15" s="1761"/>
      <c r="L15" s="1771"/>
      <c r="M15" s="1751"/>
      <c r="N15" s="617"/>
      <c r="O15" s="617"/>
    </row>
    <row r="16" spans="1:59" ht="12" hidden="1" thickTop="1">
      <c r="B16" s="613" t="s">
        <v>301</v>
      </c>
      <c r="C16" s="617">
        <v>31977627</v>
      </c>
      <c r="D16" s="617">
        <v>2762518</v>
      </c>
      <c r="E16" s="617">
        <v>285506</v>
      </c>
      <c r="F16" s="1740">
        <v>20930038</v>
      </c>
      <c r="G16" s="1761">
        <v>1208205.7</v>
      </c>
      <c r="H16" s="1779">
        <v>15821698</v>
      </c>
      <c r="I16" s="1761">
        <v>12326901</v>
      </c>
      <c r="J16" s="1761">
        <v>18154502</v>
      </c>
      <c r="K16" s="1761">
        <v>19499463</v>
      </c>
      <c r="L16" s="1771">
        <v>3893283</v>
      </c>
      <c r="M16" s="1751">
        <v>5776306</v>
      </c>
      <c r="N16" s="617">
        <v>1872163</v>
      </c>
      <c r="O16" s="617">
        <f>SUM(C16:N16)</f>
        <v>134508210.69999999</v>
      </c>
    </row>
    <row r="17" spans="2:15" ht="12" hidden="1" thickTop="1">
      <c r="B17" s="613"/>
      <c r="C17" s="617"/>
      <c r="D17" s="617"/>
      <c r="E17" s="617"/>
      <c r="F17" s="1740"/>
      <c r="G17" s="1761"/>
      <c r="H17" s="1779"/>
      <c r="I17" s="1761"/>
      <c r="J17" s="1761"/>
      <c r="K17" s="1761"/>
      <c r="L17" s="1771"/>
      <c r="M17" s="1751"/>
      <c r="N17" s="617"/>
      <c r="O17" s="617"/>
    </row>
    <row r="18" spans="2:15" ht="12" hidden="1" thickTop="1">
      <c r="B18" s="613" t="s">
        <v>302</v>
      </c>
      <c r="C18" s="617">
        <v>37158997</v>
      </c>
      <c r="D18" s="617">
        <v>717613</v>
      </c>
      <c r="E18" s="617">
        <v>869291</v>
      </c>
      <c r="F18" s="1740">
        <v>37525610</v>
      </c>
      <c r="G18" s="1761">
        <v>81094</v>
      </c>
      <c r="H18" s="1779">
        <v>49684820</v>
      </c>
      <c r="I18" s="1761">
        <v>18622305</v>
      </c>
      <c r="J18" s="1761">
        <v>16767522</v>
      </c>
      <c r="K18" s="1761">
        <v>12510478</v>
      </c>
      <c r="L18" s="1771">
        <v>6736073</v>
      </c>
      <c r="M18" s="1751">
        <v>3532434</v>
      </c>
      <c r="N18" s="617">
        <v>1873408</v>
      </c>
      <c r="O18" s="617">
        <f>SUM(C18:N18)</f>
        <v>186079645</v>
      </c>
    </row>
    <row r="19" spans="2:15" ht="12" hidden="1" thickTop="1">
      <c r="B19" s="613"/>
      <c r="C19" s="617"/>
      <c r="D19" s="617"/>
      <c r="E19" s="617"/>
      <c r="F19" s="1740"/>
      <c r="G19" s="1761"/>
      <c r="H19" s="1779"/>
      <c r="I19" s="1761"/>
      <c r="J19" s="1761"/>
      <c r="K19" s="1761"/>
      <c r="L19" s="1771"/>
      <c r="M19" s="1751"/>
      <c r="N19" s="617"/>
      <c r="O19" s="617"/>
    </row>
    <row r="20" spans="2:15" ht="12" hidden="1" thickTop="1">
      <c r="B20" s="613" t="s">
        <v>303</v>
      </c>
      <c r="C20" s="617">
        <v>60649728</v>
      </c>
      <c r="D20" s="617">
        <v>2717375</v>
      </c>
      <c r="E20" s="617">
        <v>114977</v>
      </c>
      <c r="F20" s="1740">
        <v>63147870</v>
      </c>
      <c r="G20" s="1761">
        <v>6437</v>
      </c>
      <c r="H20" s="1779">
        <v>18918170</v>
      </c>
      <c r="I20" s="1761">
        <v>21023280</v>
      </c>
      <c r="J20" s="1761">
        <v>32087232</v>
      </c>
      <c r="K20" s="1761">
        <v>14378180</v>
      </c>
      <c r="L20" s="1771">
        <v>5238914</v>
      </c>
      <c r="M20" s="1751">
        <v>4618150</v>
      </c>
      <c r="N20" s="617">
        <v>3027982</v>
      </c>
      <c r="O20" s="617">
        <f>SUM(C20:N20)</f>
        <v>225928295</v>
      </c>
    </row>
    <row r="21" spans="2:15" ht="12" hidden="1" thickTop="1">
      <c r="B21" s="613"/>
      <c r="C21" s="617"/>
      <c r="D21" s="617"/>
      <c r="E21" s="617"/>
      <c r="F21" s="1740"/>
      <c r="G21" s="1761"/>
      <c r="H21" s="1779"/>
      <c r="I21" s="1761"/>
      <c r="J21" s="1761"/>
      <c r="K21" s="1761"/>
      <c r="L21" s="1771"/>
      <c r="M21" s="1751"/>
      <c r="N21" s="617"/>
      <c r="O21" s="617"/>
    </row>
    <row r="22" spans="2:15" ht="12" hidden="1" thickTop="1">
      <c r="B22" s="613" t="s">
        <v>304</v>
      </c>
      <c r="C22" s="617">
        <v>71959378</v>
      </c>
      <c r="D22" s="617">
        <v>1612127</v>
      </c>
      <c r="E22" s="617">
        <v>494612</v>
      </c>
      <c r="F22" s="1740">
        <v>88289148</v>
      </c>
      <c r="G22" s="1761">
        <v>2058131</v>
      </c>
      <c r="H22" s="1779">
        <v>15896680</v>
      </c>
      <c r="I22" s="1761">
        <v>45291709</v>
      </c>
      <c r="J22" s="1761">
        <v>13421853</v>
      </c>
      <c r="K22" s="1761">
        <v>17329820</v>
      </c>
      <c r="L22" s="1771">
        <v>5804314</v>
      </c>
      <c r="M22" s="1751">
        <v>7581296</v>
      </c>
      <c r="N22" s="617">
        <v>3965040</v>
      </c>
      <c r="O22" s="617">
        <f>SUM(C22:N22)</f>
        <v>273704108</v>
      </c>
    </row>
    <row r="23" spans="2:15" ht="12" hidden="1" thickTop="1">
      <c r="B23" s="632"/>
      <c r="C23" s="617"/>
      <c r="D23" s="617"/>
      <c r="E23" s="617"/>
      <c r="F23" s="1740"/>
      <c r="G23" s="1761"/>
      <c r="H23" s="1779"/>
      <c r="I23" s="1761"/>
      <c r="J23" s="1761"/>
      <c r="K23" s="1761"/>
      <c r="L23" s="1771"/>
      <c r="M23" s="1751"/>
      <c r="N23" s="617"/>
      <c r="O23" s="617"/>
    </row>
    <row r="24" spans="2:15" ht="12" hidden="1" thickTop="1">
      <c r="B24" s="613" t="s">
        <v>305</v>
      </c>
      <c r="C24" s="617">
        <v>75293750</v>
      </c>
      <c r="D24" s="617">
        <v>4042618</v>
      </c>
      <c r="E24" s="617">
        <v>2776378</v>
      </c>
      <c r="F24" s="1740">
        <v>110366777</v>
      </c>
      <c r="G24" s="1761">
        <v>2328797</v>
      </c>
      <c r="H24" s="1779">
        <v>19028432</v>
      </c>
      <c r="I24" s="1761">
        <v>58827545</v>
      </c>
      <c r="J24" s="1761">
        <v>24737863</v>
      </c>
      <c r="K24" s="1761">
        <v>24412367</v>
      </c>
      <c r="L24" s="1771">
        <v>7411649</v>
      </c>
      <c r="M24" s="1751">
        <v>10683052</v>
      </c>
      <c r="N24" s="617">
        <v>1131294</v>
      </c>
      <c r="O24" s="617">
        <f>SUM(C24:N24)</f>
        <v>341040522</v>
      </c>
    </row>
    <row r="25" spans="2:15" ht="12" hidden="1" thickTop="1">
      <c r="B25" s="613"/>
      <c r="C25" s="617"/>
      <c r="D25" s="617"/>
      <c r="E25" s="617"/>
      <c r="F25" s="1740"/>
      <c r="G25" s="1763"/>
      <c r="H25" s="1779"/>
      <c r="I25" s="1761"/>
      <c r="J25" s="1761"/>
      <c r="K25" s="1761"/>
      <c r="L25" s="1771"/>
      <c r="M25" s="1751"/>
      <c r="N25" s="617"/>
      <c r="O25" s="617"/>
    </row>
    <row r="26" spans="2:15" ht="12" hidden="1" thickTop="1">
      <c r="B26" s="613" t="s">
        <v>306</v>
      </c>
      <c r="C26" s="617">
        <v>89385054</v>
      </c>
      <c r="D26" s="617">
        <v>7001930</v>
      </c>
      <c r="E26" s="617">
        <v>365490</v>
      </c>
      <c r="F26" s="1740">
        <v>119125294</v>
      </c>
      <c r="G26" s="1761">
        <v>125534</v>
      </c>
      <c r="H26" s="1779">
        <v>23640794</v>
      </c>
      <c r="I26" s="1761">
        <v>74835010</v>
      </c>
      <c r="J26" s="1761">
        <v>17470843</v>
      </c>
      <c r="K26" s="1761">
        <v>28860694</v>
      </c>
      <c r="L26" s="1771">
        <v>8579169</v>
      </c>
      <c r="M26" s="1751">
        <v>12870973</v>
      </c>
      <c r="N26" s="617">
        <v>448477</v>
      </c>
      <c r="O26" s="617">
        <f>SUM(C26:N26)</f>
        <v>382709262</v>
      </c>
    </row>
    <row r="27" spans="2:15" ht="12" hidden="1" thickTop="1">
      <c r="B27" s="613"/>
      <c r="C27" s="617"/>
      <c r="D27" s="617"/>
      <c r="E27" s="617"/>
      <c r="F27" s="1740"/>
      <c r="G27" s="1761"/>
      <c r="H27" s="1779"/>
      <c r="I27" s="1761"/>
      <c r="J27" s="1761"/>
      <c r="K27" s="1761"/>
      <c r="L27" s="1771"/>
      <c r="M27" s="1751"/>
      <c r="N27" s="617"/>
      <c r="O27" s="617"/>
    </row>
    <row r="28" spans="2:15" ht="12" hidden="1" thickTop="1">
      <c r="B28" s="613" t="s">
        <v>307</v>
      </c>
      <c r="C28" s="617">
        <v>110009533</v>
      </c>
      <c r="D28" s="617">
        <v>7763050</v>
      </c>
      <c r="E28" s="617">
        <v>1616957</v>
      </c>
      <c r="F28" s="1740">
        <v>117495193</v>
      </c>
      <c r="G28" s="1761">
        <v>446967</v>
      </c>
      <c r="H28" s="1779">
        <v>23557936</v>
      </c>
      <c r="I28" s="1761">
        <v>85825069</v>
      </c>
      <c r="J28" s="1761">
        <v>23784207</v>
      </c>
      <c r="K28" s="1761">
        <v>31810583</v>
      </c>
      <c r="L28" s="1771">
        <v>8871096</v>
      </c>
      <c r="M28" s="1751">
        <v>14460771</v>
      </c>
      <c r="N28" s="617">
        <v>1132022</v>
      </c>
      <c r="O28" s="617">
        <f>SUM(C28:N28)</f>
        <v>426773384</v>
      </c>
    </row>
    <row r="29" spans="2:15" ht="12" hidden="1" thickTop="1">
      <c r="B29" s="613"/>
      <c r="C29" s="617"/>
      <c r="D29" s="617"/>
      <c r="E29" s="617"/>
      <c r="F29" s="1740"/>
      <c r="G29" s="1763"/>
      <c r="H29" s="1779"/>
      <c r="I29" s="1761"/>
      <c r="J29" s="1761"/>
      <c r="K29" s="1761"/>
      <c r="L29" s="1771"/>
      <c r="M29" s="1751"/>
      <c r="N29" s="617"/>
      <c r="O29" s="617"/>
    </row>
    <row r="30" spans="2:15" ht="12" hidden="1" thickTop="1">
      <c r="B30" s="613" t="s">
        <v>308</v>
      </c>
      <c r="C30" s="617">
        <v>110086065</v>
      </c>
      <c r="D30" s="617">
        <v>7760431</v>
      </c>
      <c r="E30" s="617">
        <v>1679889</v>
      </c>
      <c r="F30" s="1740">
        <v>117127947</v>
      </c>
      <c r="G30" s="1761">
        <v>446982</v>
      </c>
      <c r="H30" s="1779">
        <v>23557957</v>
      </c>
      <c r="I30" s="1761">
        <v>85852322</v>
      </c>
      <c r="J30" s="1761">
        <v>23790672</v>
      </c>
      <c r="K30" s="1761">
        <v>31910583</v>
      </c>
      <c r="L30" s="1771">
        <v>8870820</v>
      </c>
      <c r="M30" s="1751">
        <v>14108182</v>
      </c>
      <c r="N30" s="617">
        <v>1632569</v>
      </c>
      <c r="O30" s="617">
        <f>SUM(C30:N30)</f>
        <v>426824419</v>
      </c>
    </row>
    <row r="31" spans="2:15" ht="12" hidden="1" thickTop="1">
      <c r="B31" s="613"/>
      <c r="C31" s="617"/>
      <c r="D31" s="617"/>
      <c r="E31" s="617"/>
      <c r="F31" s="1740"/>
      <c r="G31" s="1761"/>
      <c r="H31" s="1779"/>
      <c r="I31" s="1761"/>
      <c r="J31" s="1761"/>
      <c r="K31" s="1761"/>
      <c r="L31" s="1771"/>
      <c r="M31" s="1751"/>
      <c r="N31" s="617"/>
      <c r="O31" s="617"/>
    </row>
    <row r="32" spans="2:15" ht="12" hidden="1" thickTop="1">
      <c r="B32" s="613" t="s">
        <v>311</v>
      </c>
      <c r="C32" s="617">
        <v>110230371</v>
      </c>
      <c r="D32" s="617">
        <v>12406596</v>
      </c>
      <c r="E32" s="617">
        <v>10948327</v>
      </c>
      <c r="F32" s="1740">
        <v>151169935</v>
      </c>
      <c r="G32" s="1761">
        <v>345035</v>
      </c>
      <c r="H32" s="1779">
        <v>32093204</v>
      </c>
      <c r="I32" s="1761">
        <v>116375509</v>
      </c>
      <c r="J32" s="1761">
        <v>36259743</v>
      </c>
      <c r="K32" s="1761">
        <v>35593340</v>
      </c>
      <c r="L32" s="1771">
        <v>12726097</v>
      </c>
      <c r="M32" s="1751">
        <v>23212507</v>
      </c>
      <c r="N32" s="617">
        <v>1016065</v>
      </c>
      <c r="O32" s="617">
        <f>SUM(C32:N32)</f>
        <v>542376729</v>
      </c>
    </row>
    <row r="33" spans="2:15" ht="12" hidden="1" thickTop="1">
      <c r="B33" s="613"/>
      <c r="C33" s="617"/>
      <c r="D33" s="617"/>
      <c r="E33" s="617"/>
      <c r="F33" s="1740"/>
      <c r="G33" s="1761"/>
      <c r="H33" s="1779"/>
      <c r="I33" s="1761"/>
      <c r="J33" s="1761"/>
      <c r="K33" s="1761"/>
      <c r="L33" s="1771"/>
      <c r="M33" s="1751"/>
      <c r="N33" s="617"/>
      <c r="O33" s="617"/>
    </row>
    <row r="34" spans="2:15" ht="12.75" hidden="1" thickTop="1" thickBot="1">
      <c r="B34" s="863"/>
      <c r="C34" s="865"/>
      <c r="D34" s="864"/>
      <c r="E34" s="864"/>
      <c r="F34" s="1785"/>
      <c r="G34" s="1762"/>
      <c r="H34" s="1780"/>
      <c r="I34" s="1762"/>
      <c r="J34" s="1762"/>
      <c r="K34" s="1762"/>
      <c r="L34" s="1772"/>
      <c r="M34" s="1752"/>
      <c r="N34" s="864"/>
      <c r="O34" s="618"/>
    </row>
    <row r="35" spans="2:15" ht="12" hidden="1" thickTop="1">
      <c r="B35" s="613"/>
      <c r="C35" s="617"/>
      <c r="D35" s="617"/>
      <c r="E35" s="617"/>
      <c r="F35" s="1740"/>
      <c r="G35" s="1761"/>
      <c r="H35" s="1779"/>
      <c r="I35" s="1761"/>
      <c r="J35" s="1761"/>
      <c r="K35" s="1761"/>
      <c r="L35" s="1771"/>
      <c r="M35" s="1751"/>
      <c r="N35" s="617"/>
      <c r="O35" s="617"/>
    </row>
    <row r="36" spans="2:15" ht="12" hidden="1" thickTop="1">
      <c r="B36" s="613" t="s">
        <v>298</v>
      </c>
      <c r="C36" s="617">
        <v>126806641</v>
      </c>
      <c r="D36" s="617">
        <v>13557619</v>
      </c>
      <c r="E36" s="617">
        <v>10452523</v>
      </c>
      <c r="F36" s="1740">
        <v>166638417</v>
      </c>
      <c r="G36" s="1763">
        <v>324394</v>
      </c>
      <c r="H36" s="1779">
        <v>31606952</v>
      </c>
      <c r="I36" s="1761">
        <v>124451366</v>
      </c>
      <c r="J36" s="1761">
        <v>34187664</v>
      </c>
      <c r="K36" s="1761">
        <v>44462348</v>
      </c>
      <c r="L36" s="1771">
        <v>8589982</v>
      </c>
      <c r="M36" s="1751">
        <v>29965936</v>
      </c>
      <c r="N36" s="617">
        <v>1050475</v>
      </c>
      <c r="O36" s="617">
        <f>SUM(C36:N36)</f>
        <v>592094317</v>
      </c>
    </row>
    <row r="37" spans="2:15" ht="12" hidden="1" thickTop="1">
      <c r="B37" s="613"/>
      <c r="C37" s="617"/>
      <c r="D37" s="617"/>
      <c r="E37" s="617"/>
      <c r="F37" s="1740"/>
      <c r="G37" s="1761"/>
      <c r="H37" s="1779"/>
      <c r="I37" s="1761"/>
      <c r="J37" s="1761"/>
      <c r="K37" s="1761"/>
      <c r="L37" s="1771"/>
      <c r="M37" s="1751"/>
      <c r="N37" s="617"/>
      <c r="O37" s="617"/>
    </row>
    <row r="38" spans="2:15" ht="12" hidden="1" thickTop="1">
      <c r="B38" s="613" t="s">
        <v>299</v>
      </c>
      <c r="C38" s="617">
        <v>134257590</v>
      </c>
      <c r="D38" s="617">
        <v>13751428</v>
      </c>
      <c r="E38" s="617">
        <v>4589266</v>
      </c>
      <c r="F38" s="1740">
        <v>168902531</v>
      </c>
      <c r="G38" s="1761">
        <v>636124</v>
      </c>
      <c r="H38" s="1779">
        <v>34954809</v>
      </c>
      <c r="I38" s="1761">
        <v>132703218</v>
      </c>
      <c r="J38" s="1761">
        <v>40798291</v>
      </c>
      <c r="K38" s="1761">
        <v>54744240</v>
      </c>
      <c r="L38" s="1771">
        <v>13683640</v>
      </c>
      <c r="M38" s="1751">
        <v>24011967</v>
      </c>
      <c r="N38" s="617">
        <v>1048086</v>
      </c>
      <c r="O38" s="617">
        <f>SUM(C38:N38)</f>
        <v>624081190</v>
      </c>
    </row>
    <row r="39" spans="2:15" ht="12" hidden="1" thickTop="1">
      <c r="B39" s="613"/>
      <c r="C39" s="617"/>
      <c r="D39" s="617"/>
      <c r="E39" s="617"/>
      <c r="F39" s="1740"/>
      <c r="G39" s="1761"/>
      <c r="H39" s="1779"/>
      <c r="I39" s="1761"/>
      <c r="J39" s="1761"/>
      <c r="K39" s="1761"/>
      <c r="L39" s="1771"/>
      <c r="M39" s="1751"/>
      <c r="N39" s="617"/>
      <c r="O39" s="617"/>
    </row>
    <row r="40" spans="2:15" ht="12" hidden="1" thickTop="1">
      <c r="B40" s="613" t="s">
        <v>300</v>
      </c>
      <c r="C40" s="617">
        <v>113573036</v>
      </c>
      <c r="D40" s="617">
        <v>15437672</v>
      </c>
      <c r="E40" s="617">
        <v>14235853</v>
      </c>
      <c r="F40" s="1740">
        <v>248576130</v>
      </c>
      <c r="G40" s="1763">
        <v>698257</v>
      </c>
      <c r="H40" s="1779">
        <v>44086427</v>
      </c>
      <c r="I40" s="1761">
        <v>150409728</v>
      </c>
      <c r="J40" s="1761">
        <v>43043770</v>
      </c>
      <c r="K40" s="1761">
        <v>54527803</v>
      </c>
      <c r="L40" s="1771">
        <v>18847812</v>
      </c>
      <c r="M40" s="1751">
        <v>27490973</v>
      </c>
      <c r="N40" s="617">
        <v>1146358</v>
      </c>
      <c r="O40" s="617">
        <f>SUM(C40:N40)</f>
        <v>732073819</v>
      </c>
    </row>
    <row r="41" spans="2:15" ht="12" hidden="1" thickTop="1">
      <c r="B41" s="613"/>
      <c r="C41" s="617"/>
      <c r="D41" s="617"/>
      <c r="E41" s="617"/>
      <c r="F41" s="1740"/>
      <c r="G41" s="1761"/>
      <c r="H41" s="1781"/>
      <c r="I41" s="1761"/>
      <c r="J41" s="1763"/>
      <c r="K41" s="1761"/>
      <c r="L41" s="1771"/>
      <c r="M41" s="1751"/>
      <c r="N41" s="617"/>
      <c r="O41" s="617"/>
    </row>
    <row r="42" spans="2:15" ht="12" hidden="1" thickTop="1">
      <c r="B42" s="613" t="s">
        <v>301</v>
      </c>
      <c r="C42" s="617">
        <v>169847116</v>
      </c>
      <c r="D42" s="617">
        <v>13763848</v>
      </c>
      <c r="E42" s="617">
        <v>8857550</v>
      </c>
      <c r="F42" s="1740">
        <v>177958572</v>
      </c>
      <c r="G42" s="1761">
        <v>615967</v>
      </c>
      <c r="H42" s="1779">
        <v>47074396</v>
      </c>
      <c r="I42" s="1761">
        <v>136299370</v>
      </c>
      <c r="J42" s="1761">
        <v>52387305</v>
      </c>
      <c r="K42" s="1761">
        <v>72529468</v>
      </c>
      <c r="L42" s="1771">
        <v>15494579</v>
      </c>
      <c r="M42" s="1751">
        <v>42421832</v>
      </c>
      <c r="N42" s="617">
        <v>1142329</v>
      </c>
      <c r="O42" s="617">
        <f>SUM(C42:N42)</f>
        <v>738392332</v>
      </c>
    </row>
    <row r="43" spans="2:15" ht="12" hidden="1" thickTop="1">
      <c r="B43" s="613"/>
      <c r="C43" s="617"/>
      <c r="D43" s="617"/>
      <c r="E43" s="617"/>
      <c r="F43" s="1740"/>
      <c r="G43" s="1761"/>
      <c r="H43" s="1779"/>
      <c r="I43" s="1761"/>
      <c r="J43" s="1761"/>
      <c r="K43" s="1761"/>
      <c r="L43" s="1771"/>
      <c r="M43" s="1751"/>
      <c r="N43" s="617"/>
      <c r="O43" s="617"/>
    </row>
    <row r="44" spans="2:15" ht="12" hidden="1" thickTop="1">
      <c r="B44" s="613" t="s">
        <v>302</v>
      </c>
      <c r="C44" s="617">
        <v>158118930</v>
      </c>
      <c r="D44" s="617">
        <v>13674590</v>
      </c>
      <c r="E44" s="617">
        <v>10286935</v>
      </c>
      <c r="F44" s="1740">
        <v>202105314</v>
      </c>
      <c r="G44" s="1761">
        <v>3348985</v>
      </c>
      <c r="H44" s="1779">
        <v>40814283</v>
      </c>
      <c r="I44" s="1761">
        <v>151302531</v>
      </c>
      <c r="J44" s="1761">
        <v>60951695</v>
      </c>
      <c r="K44" s="1761">
        <v>74946718</v>
      </c>
      <c r="L44" s="1771">
        <v>19682044</v>
      </c>
      <c r="M44" s="1751">
        <v>54314902</v>
      </c>
      <c r="N44" s="617">
        <v>954937</v>
      </c>
      <c r="O44" s="617">
        <f>SUM(C44:N44)</f>
        <v>790501864</v>
      </c>
    </row>
    <row r="45" spans="2:15" ht="12" hidden="1" thickTop="1">
      <c r="B45" s="613"/>
      <c r="C45" s="617"/>
      <c r="D45" s="617"/>
      <c r="E45" s="617"/>
      <c r="F45" s="1740"/>
      <c r="G45" s="1761"/>
      <c r="H45" s="1779"/>
      <c r="I45" s="1761"/>
      <c r="J45" s="1761"/>
      <c r="K45" s="1761"/>
      <c r="L45" s="1771"/>
      <c r="M45" s="1751"/>
      <c r="N45" s="617"/>
      <c r="O45" s="617"/>
    </row>
    <row r="46" spans="2:15" ht="12" hidden="1" thickTop="1">
      <c r="B46" s="613" t="s">
        <v>303</v>
      </c>
      <c r="C46" s="617">
        <v>206231613</v>
      </c>
      <c r="D46" s="617">
        <v>1324092</v>
      </c>
      <c r="E46" s="617">
        <v>11212304</v>
      </c>
      <c r="F46" s="1740">
        <v>173269267</v>
      </c>
      <c r="G46" s="1761">
        <v>3298193</v>
      </c>
      <c r="H46" s="1779">
        <v>27666281</v>
      </c>
      <c r="I46" s="1761">
        <v>142099512</v>
      </c>
      <c r="J46" s="1761">
        <v>55611315</v>
      </c>
      <c r="K46" s="1761">
        <v>95509373</v>
      </c>
      <c r="L46" s="1771">
        <v>17105143</v>
      </c>
      <c r="M46" s="1751">
        <v>49979972</v>
      </c>
      <c r="N46" s="617">
        <v>15742204</v>
      </c>
      <c r="O46" s="617">
        <f>SUM(C46:N46)</f>
        <v>799049269</v>
      </c>
    </row>
    <row r="47" spans="2:15" ht="12" hidden="1" thickTop="1">
      <c r="B47" s="613"/>
      <c r="C47" s="617"/>
      <c r="D47" s="617"/>
      <c r="E47" s="617"/>
      <c r="F47" s="1740"/>
      <c r="G47" s="1761"/>
      <c r="H47" s="1779"/>
      <c r="I47" s="1761"/>
      <c r="J47" s="1761"/>
      <c r="K47" s="1761"/>
      <c r="L47" s="1771"/>
      <c r="M47" s="1751"/>
      <c r="N47" s="617"/>
      <c r="O47" s="617"/>
    </row>
    <row r="48" spans="2:15" ht="12" hidden="1" thickTop="1">
      <c r="B48" s="613" t="s">
        <v>304</v>
      </c>
      <c r="C48" s="617">
        <v>193573089</v>
      </c>
      <c r="D48" s="617">
        <v>15645372</v>
      </c>
      <c r="E48" s="617">
        <v>6933538</v>
      </c>
      <c r="F48" s="1740">
        <v>188003475</v>
      </c>
      <c r="G48" s="1761">
        <v>4981402</v>
      </c>
      <c r="H48" s="1779">
        <v>53420360</v>
      </c>
      <c r="I48" s="1761">
        <v>162534588</v>
      </c>
      <c r="J48" s="1761">
        <v>65789251</v>
      </c>
      <c r="K48" s="1761">
        <v>96519288</v>
      </c>
      <c r="L48" s="1771">
        <v>16652154</v>
      </c>
      <c r="M48" s="1751">
        <v>71341798</v>
      </c>
      <c r="N48" s="617">
        <v>816295</v>
      </c>
      <c r="O48" s="617">
        <f>SUM(C48:N48)</f>
        <v>876210610</v>
      </c>
    </row>
    <row r="49" spans="2:15" ht="12" hidden="1" thickTop="1">
      <c r="B49" s="613"/>
      <c r="C49" s="617"/>
      <c r="D49" s="617"/>
      <c r="E49" s="617"/>
      <c r="F49" s="1740"/>
      <c r="G49" s="1761"/>
      <c r="H49" s="1779"/>
      <c r="I49" s="1761"/>
      <c r="J49" s="1761"/>
      <c r="K49" s="1761"/>
      <c r="L49" s="1771"/>
      <c r="M49" s="1751"/>
      <c r="N49" s="617"/>
      <c r="O49" s="617"/>
    </row>
    <row r="50" spans="2:15" ht="12" hidden="1" thickTop="1">
      <c r="B50" s="613" t="s">
        <v>305</v>
      </c>
      <c r="C50" s="617">
        <v>201135528</v>
      </c>
      <c r="D50" s="617">
        <v>16718000</v>
      </c>
      <c r="E50" s="617">
        <v>16542469</v>
      </c>
      <c r="F50" s="1740">
        <v>207903061</v>
      </c>
      <c r="G50" s="1763">
        <v>798737</v>
      </c>
      <c r="H50" s="1779">
        <v>57230308</v>
      </c>
      <c r="I50" s="1761">
        <v>183180663</v>
      </c>
      <c r="J50" s="1761">
        <v>65285564</v>
      </c>
      <c r="K50" s="1761">
        <v>93229562</v>
      </c>
      <c r="L50" s="1771">
        <v>18680786</v>
      </c>
      <c r="M50" s="1751">
        <v>76944931</v>
      </c>
      <c r="N50" s="617">
        <v>879101</v>
      </c>
      <c r="O50" s="617">
        <f>SUM(C50:N50)</f>
        <v>938528710</v>
      </c>
    </row>
    <row r="51" spans="2:15" ht="12" hidden="1" thickTop="1">
      <c r="B51" s="613"/>
      <c r="C51" s="617"/>
      <c r="D51" s="617"/>
      <c r="E51" s="617"/>
      <c r="F51" s="1740"/>
      <c r="G51" s="1761"/>
      <c r="H51" s="1781"/>
      <c r="I51" s="1761"/>
      <c r="J51" s="1763"/>
      <c r="K51" s="1761"/>
      <c r="L51" s="1771"/>
      <c r="M51" s="1751"/>
      <c r="N51" s="617"/>
      <c r="O51" s="617"/>
    </row>
    <row r="52" spans="2:15" ht="12" hidden="1" thickTop="1">
      <c r="B52" s="613" t="s">
        <v>306</v>
      </c>
      <c r="C52" s="617">
        <v>213277856</v>
      </c>
      <c r="D52" s="617">
        <v>17004135</v>
      </c>
      <c r="E52" s="617">
        <v>14513760</v>
      </c>
      <c r="F52" s="1740">
        <v>217275138</v>
      </c>
      <c r="G52" s="1761">
        <v>1802040</v>
      </c>
      <c r="H52" s="1779">
        <v>70523343</v>
      </c>
      <c r="I52" s="1761">
        <v>204046735</v>
      </c>
      <c r="J52" s="1761">
        <v>67892379</v>
      </c>
      <c r="K52" s="1761">
        <v>102020636</v>
      </c>
      <c r="L52" s="1771">
        <v>19623689</v>
      </c>
      <c r="M52" s="1751">
        <v>75364041</v>
      </c>
      <c r="N52" s="617">
        <v>1014993</v>
      </c>
      <c r="O52" s="617">
        <f>SUM(C52:N52)</f>
        <v>1004358745</v>
      </c>
    </row>
    <row r="53" spans="2:15" ht="12" hidden="1" thickTop="1">
      <c r="B53" s="613"/>
      <c r="C53" s="617"/>
      <c r="D53" s="617"/>
      <c r="E53" s="617"/>
      <c r="F53" s="1740"/>
      <c r="G53" s="1761"/>
      <c r="H53" s="1779"/>
      <c r="I53" s="1761"/>
      <c r="J53" s="1761"/>
      <c r="K53" s="1761"/>
      <c r="L53" s="1771"/>
      <c r="M53" s="1751"/>
      <c r="N53" s="617"/>
      <c r="O53" s="617"/>
    </row>
    <row r="54" spans="2:15" ht="12" hidden="1" thickTop="1">
      <c r="B54" s="613" t="s">
        <v>307</v>
      </c>
      <c r="C54" s="617">
        <v>228476002</v>
      </c>
      <c r="D54" s="617">
        <v>17846996</v>
      </c>
      <c r="E54" s="617">
        <v>15447909</v>
      </c>
      <c r="F54" s="1740">
        <v>223141265</v>
      </c>
      <c r="G54" s="1761">
        <v>3087436</v>
      </c>
      <c r="H54" s="1779">
        <v>72709632</v>
      </c>
      <c r="I54" s="1761">
        <v>208774541</v>
      </c>
      <c r="J54" s="1761">
        <v>68465125</v>
      </c>
      <c r="K54" s="1761">
        <v>107447537</v>
      </c>
      <c r="L54" s="1771">
        <v>23324173</v>
      </c>
      <c r="M54" s="1751">
        <v>80073123</v>
      </c>
      <c r="N54" s="617">
        <v>787355</v>
      </c>
      <c r="O54" s="617">
        <f>SUM(C54:N54)</f>
        <v>1049581094</v>
      </c>
    </row>
    <row r="55" spans="2:15" ht="12" hidden="1" thickTop="1">
      <c r="B55" s="613"/>
      <c r="C55" s="581"/>
      <c r="D55" s="617"/>
      <c r="E55" s="617"/>
      <c r="F55" s="1742"/>
      <c r="G55" s="1761"/>
      <c r="H55" s="1779"/>
      <c r="I55" s="1761"/>
      <c r="J55" s="1761"/>
      <c r="K55" s="1761"/>
      <c r="L55" s="1771"/>
      <c r="M55" s="1751"/>
      <c r="N55" s="617"/>
      <c r="O55" s="617"/>
    </row>
    <row r="56" spans="2:15" ht="12" hidden="1" thickTop="1">
      <c r="B56" s="613" t="s">
        <v>308</v>
      </c>
      <c r="C56" s="617">
        <v>236381431</v>
      </c>
      <c r="D56" s="617">
        <v>22499176</v>
      </c>
      <c r="E56" s="617">
        <v>16024146</v>
      </c>
      <c r="F56" s="1740">
        <v>211197900</v>
      </c>
      <c r="G56" s="1761">
        <v>413703</v>
      </c>
      <c r="H56" s="1779">
        <v>72693042</v>
      </c>
      <c r="I56" s="1761">
        <v>215367746</v>
      </c>
      <c r="J56" s="1761">
        <v>75412024</v>
      </c>
      <c r="K56" s="1761">
        <v>117037786</v>
      </c>
      <c r="L56" s="1771">
        <v>22315554</v>
      </c>
      <c r="M56" s="1751">
        <v>87760623</v>
      </c>
      <c r="N56" s="617">
        <v>1122125</v>
      </c>
      <c r="O56" s="617">
        <f>SUM(C56:N56)</f>
        <v>1078225256</v>
      </c>
    </row>
    <row r="57" spans="2:15" ht="12" hidden="1" thickTop="1">
      <c r="B57" s="613"/>
      <c r="C57" s="617"/>
      <c r="D57" s="617"/>
      <c r="E57" s="617"/>
      <c r="F57" s="1740"/>
      <c r="G57" s="1763"/>
      <c r="H57" s="1779"/>
      <c r="I57" s="1761"/>
      <c r="J57" s="1761"/>
      <c r="K57" s="1761"/>
      <c r="L57" s="1771"/>
      <c r="M57" s="1751"/>
      <c r="N57" s="617"/>
      <c r="O57" s="617"/>
    </row>
    <row r="58" spans="2:15" ht="12" hidden="1" thickTop="1">
      <c r="B58" s="613" t="s">
        <v>311</v>
      </c>
      <c r="C58" s="617">
        <v>238969772</v>
      </c>
      <c r="D58" s="617">
        <v>24075466</v>
      </c>
      <c r="E58" s="617">
        <v>15855738</v>
      </c>
      <c r="F58" s="1740">
        <v>225277028</v>
      </c>
      <c r="G58" s="1761">
        <v>384554</v>
      </c>
      <c r="H58" s="1779">
        <v>72693089</v>
      </c>
      <c r="I58" s="1761">
        <v>218621381</v>
      </c>
      <c r="J58" s="1761">
        <v>71729905</v>
      </c>
      <c r="K58" s="1761">
        <v>112325194</v>
      </c>
      <c r="L58" s="1771">
        <v>22015593</v>
      </c>
      <c r="M58" s="1751">
        <v>86980598</v>
      </c>
      <c r="N58" s="617">
        <v>1122125</v>
      </c>
      <c r="O58" s="617">
        <f>SUM(C58:N58)</f>
        <v>1090050443</v>
      </c>
    </row>
    <row r="59" spans="2:15" ht="12" hidden="1" thickTop="1">
      <c r="B59" s="859">
        <v>2011</v>
      </c>
      <c r="C59" s="617"/>
      <c r="D59" s="617"/>
      <c r="E59" s="617"/>
      <c r="F59" s="1740"/>
      <c r="G59" s="1761"/>
      <c r="H59" s="1779"/>
      <c r="I59" s="1761"/>
      <c r="J59" s="1761"/>
      <c r="K59" s="1761"/>
      <c r="L59" s="1771"/>
      <c r="M59" s="1751"/>
      <c r="N59" s="617"/>
      <c r="O59" s="617"/>
    </row>
    <row r="60" spans="2:15" ht="12" hidden="1" thickTop="1">
      <c r="B60" s="613"/>
      <c r="C60" s="617"/>
      <c r="D60" s="617"/>
      <c r="E60" s="617"/>
      <c r="F60" s="1740"/>
      <c r="G60" s="1761"/>
      <c r="H60" s="1779"/>
      <c r="I60" s="1761"/>
      <c r="J60" s="1761"/>
      <c r="K60" s="1761"/>
      <c r="L60" s="1771"/>
      <c r="M60" s="1751"/>
      <c r="N60" s="617"/>
      <c r="O60" s="617"/>
    </row>
    <row r="61" spans="2:15" ht="12" hidden="1" thickTop="1">
      <c r="B61" s="613" t="s">
        <v>298</v>
      </c>
      <c r="C61" s="617">
        <v>248101</v>
      </c>
      <c r="D61" s="617">
        <v>24196.400000000001</v>
      </c>
      <c r="E61" s="617">
        <v>25232.799999999999</v>
      </c>
      <c r="F61" s="1740">
        <v>214184</v>
      </c>
      <c r="G61" s="1784">
        <v>1379.6</v>
      </c>
      <c r="H61" s="1779">
        <v>70319.3</v>
      </c>
      <c r="I61" s="1761">
        <v>231581</v>
      </c>
      <c r="J61" s="1761">
        <v>79356.2</v>
      </c>
      <c r="K61" s="1761">
        <v>140098.6</v>
      </c>
      <c r="L61" s="1771">
        <v>31181.8</v>
      </c>
      <c r="M61" s="1751">
        <v>100618.4</v>
      </c>
      <c r="N61" s="617">
        <v>1190.0999999999999</v>
      </c>
      <c r="O61" s="617">
        <v>1167439.3</v>
      </c>
    </row>
    <row r="62" spans="2:15" ht="12" hidden="1" thickTop="1">
      <c r="B62" s="613" t="s">
        <v>299</v>
      </c>
      <c r="C62" s="617">
        <v>246306.9</v>
      </c>
      <c r="D62" s="617">
        <v>26640.400000000001</v>
      </c>
      <c r="E62" s="617">
        <v>18348.599999999999</v>
      </c>
      <c r="F62" s="1740">
        <v>251404</v>
      </c>
      <c r="G62" s="1761">
        <v>952.5</v>
      </c>
      <c r="H62" s="1782">
        <v>71844.2</v>
      </c>
      <c r="I62" s="1761">
        <v>249530.6</v>
      </c>
      <c r="J62" s="1784">
        <v>72882.100000000006</v>
      </c>
      <c r="K62" s="1761">
        <v>128101.1</v>
      </c>
      <c r="L62" s="1771">
        <v>33021.699999999997</v>
      </c>
      <c r="M62" s="1751">
        <v>105899</v>
      </c>
      <c r="N62" s="617">
        <v>1278.5999999999999</v>
      </c>
      <c r="O62" s="617">
        <v>1206209.7</v>
      </c>
    </row>
    <row r="63" spans="2:15" ht="12" hidden="1" thickTop="1">
      <c r="B63" s="613" t="s">
        <v>301</v>
      </c>
      <c r="C63" s="617">
        <v>257571.4</v>
      </c>
      <c r="D63" s="617">
        <v>31141.3</v>
      </c>
      <c r="E63" s="617">
        <v>26562.400000000001</v>
      </c>
      <c r="F63" s="1740">
        <v>275966.8</v>
      </c>
      <c r="G63" s="1761">
        <v>1583.2</v>
      </c>
      <c r="H63" s="1779">
        <v>64759.1</v>
      </c>
      <c r="I63" s="1761">
        <v>269699.40000000002</v>
      </c>
      <c r="J63" s="1761">
        <v>74819.600000000006</v>
      </c>
      <c r="K63" s="1761">
        <v>130687.1</v>
      </c>
      <c r="L63" s="1771">
        <v>37645.4</v>
      </c>
      <c r="M63" s="1751">
        <v>129424.1</v>
      </c>
      <c r="N63" s="617">
        <v>1179.9000000000001</v>
      </c>
      <c r="O63" s="617">
        <v>1301039.8</v>
      </c>
    </row>
    <row r="64" spans="2:15" ht="12" hidden="1" thickTop="1">
      <c r="B64" s="613" t="s">
        <v>300</v>
      </c>
      <c r="C64" s="617">
        <v>257571.416</v>
      </c>
      <c r="D64" s="617">
        <v>31141.31</v>
      </c>
      <c r="E64" s="617">
        <v>26562.395</v>
      </c>
      <c r="F64" s="1740">
        <v>275966.76</v>
      </c>
      <c r="G64" s="1761">
        <v>1583.24</v>
      </c>
      <c r="H64" s="1779">
        <v>64759.084999999999</v>
      </c>
      <c r="I64" s="1761">
        <v>269699.44900000002</v>
      </c>
      <c r="J64" s="1761">
        <v>74819.562000000005</v>
      </c>
      <c r="K64" s="1761">
        <v>131698.117</v>
      </c>
      <c r="L64" s="1771">
        <v>37645.430999999997</v>
      </c>
      <c r="M64" s="1751">
        <v>129424.121</v>
      </c>
      <c r="N64" s="617">
        <v>1179.9110000000001</v>
      </c>
      <c r="O64" s="617">
        <f>+SUM(C64:N64)</f>
        <v>1302050.7970000003</v>
      </c>
    </row>
    <row r="65" spans="2:15" ht="12" hidden="1" thickTop="1">
      <c r="B65" s="613" t="s">
        <v>302</v>
      </c>
      <c r="C65" s="617">
        <v>319706.09999999998</v>
      </c>
      <c r="D65" s="617">
        <v>31801.1</v>
      </c>
      <c r="E65" s="617">
        <v>21097.4</v>
      </c>
      <c r="F65" s="1740">
        <v>293801.90000000002</v>
      </c>
      <c r="G65" s="1761">
        <v>19061.7</v>
      </c>
      <c r="H65" s="1779">
        <v>92452.2</v>
      </c>
      <c r="I65" s="1761">
        <v>277047.8</v>
      </c>
      <c r="J65" s="1761">
        <v>74438.899999999994</v>
      </c>
      <c r="K65" s="1761">
        <v>111134.2</v>
      </c>
      <c r="L65" s="1771">
        <v>41107.300000000003</v>
      </c>
      <c r="M65" s="1751">
        <v>135736.70000000001</v>
      </c>
      <c r="N65" s="617">
        <v>1344.8</v>
      </c>
      <c r="O65" s="617">
        <v>1418730.1</v>
      </c>
    </row>
    <row r="66" spans="2:15" ht="12" hidden="1" thickTop="1">
      <c r="B66" s="613" t="s">
        <v>303</v>
      </c>
      <c r="C66" s="617">
        <v>316350.09999999998</v>
      </c>
      <c r="D66" s="617">
        <v>31832</v>
      </c>
      <c r="E66" s="617">
        <v>26185.8</v>
      </c>
      <c r="F66" s="1740">
        <v>283750.3</v>
      </c>
      <c r="G66" s="1761">
        <v>1805.6</v>
      </c>
      <c r="H66" s="1779">
        <v>129730.9</v>
      </c>
      <c r="I66" s="1761">
        <v>268223.8</v>
      </c>
      <c r="J66" s="1761">
        <v>76460.5</v>
      </c>
      <c r="K66" s="1761">
        <v>109775.8</v>
      </c>
      <c r="L66" s="1771">
        <v>36538.9</v>
      </c>
      <c r="M66" s="1751">
        <v>151781.1</v>
      </c>
      <c r="N66" s="617">
        <v>1555</v>
      </c>
      <c r="O66" s="617">
        <v>1433989.9</v>
      </c>
    </row>
    <row r="67" spans="2:15" ht="12" hidden="1" thickTop="1">
      <c r="B67" s="613" t="s">
        <v>304</v>
      </c>
      <c r="C67" s="617">
        <v>333578.7</v>
      </c>
      <c r="D67" s="617">
        <v>26846</v>
      </c>
      <c r="E67" s="617">
        <v>25889.3</v>
      </c>
      <c r="F67" s="1740">
        <v>308559.5</v>
      </c>
      <c r="G67" s="1761">
        <v>966.1</v>
      </c>
      <c r="H67" s="1779">
        <v>140823.4</v>
      </c>
      <c r="I67" s="1761">
        <v>283992.90000000002</v>
      </c>
      <c r="J67" s="1761">
        <v>72152.800000000003</v>
      </c>
      <c r="K67" s="1761">
        <v>113101.5</v>
      </c>
      <c r="L67" s="1771">
        <v>41983</v>
      </c>
      <c r="M67" s="1751">
        <v>161051.29999999999</v>
      </c>
      <c r="N67" s="617">
        <v>1668.4</v>
      </c>
      <c r="O67" s="617">
        <v>1510612.9</v>
      </c>
    </row>
    <row r="68" spans="2:15" ht="12" hidden="1" thickTop="1">
      <c r="B68" s="613" t="s">
        <v>305</v>
      </c>
      <c r="C68" s="617">
        <v>332796.09999999998</v>
      </c>
      <c r="D68" s="617">
        <v>44134.7</v>
      </c>
      <c r="E68" s="617">
        <v>24796.9</v>
      </c>
      <c r="F68" s="1740">
        <v>315240.5</v>
      </c>
      <c r="G68" s="1761">
        <v>96774.1</v>
      </c>
      <c r="H68" s="1781">
        <v>447.7</v>
      </c>
      <c r="I68" s="1761">
        <v>306216</v>
      </c>
      <c r="J68" s="1761">
        <v>77595.899999999994</v>
      </c>
      <c r="K68" s="1761">
        <v>129450.6</v>
      </c>
      <c r="L68" s="1771">
        <v>27445.1</v>
      </c>
      <c r="M68" s="1751">
        <v>173033.1</v>
      </c>
      <c r="N68" s="617">
        <v>1691.1</v>
      </c>
      <c r="O68" s="617">
        <v>1529799.8</v>
      </c>
    </row>
    <row r="69" spans="2:15" ht="12" hidden="1" thickTop="1">
      <c r="B69" s="613" t="s">
        <v>306</v>
      </c>
      <c r="C69" s="617">
        <v>329948.79999999999</v>
      </c>
      <c r="D69" s="617">
        <v>28973.8</v>
      </c>
      <c r="E69" s="617">
        <v>25205.5</v>
      </c>
      <c r="F69" s="1740">
        <v>343973.3</v>
      </c>
      <c r="G69" s="1761">
        <v>1106.3</v>
      </c>
      <c r="H69" s="1779">
        <v>95277.9</v>
      </c>
      <c r="I69" s="1761">
        <v>319798.5</v>
      </c>
      <c r="J69" s="1761">
        <v>79764.399999999994</v>
      </c>
      <c r="K69" s="1761">
        <v>123027.1</v>
      </c>
      <c r="L69" s="1771">
        <v>45935.1</v>
      </c>
      <c r="M69" s="1751">
        <v>195852.2</v>
      </c>
      <c r="N69" s="617">
        <v>1597.8</v>
      </c>
      <c r="O69" s="617">
        <v>1590460.9</v>
      </c>
    </row>
    <row r="70" spans="2:15" ht="12" hidden="1" thickTop="1">
      <c r="B70" s="613" t="s">
        <v>307</v>
      </c>
      <c r="C70" s="617">
        <v>338584.5</v>
      </c>
      <c r="D70" s="617">
        <v>31789.8</v>
      </c>
      <c r="E70" s="617">
        <v>31700</v>
      </c>
      <c r="F70" s="1740">
        <v>367819.7</v>
      </c>
      <c r="G70" s="1761">
        <v>88231</v>
      </c>
      <c r="H70" s="1779">
        <v>3022.7</v>
      </c>
      <c r="I70" s="1761">
        <v>295604.5</v>
      </c>
      <c r="J70" s="1761">
        <v>88673.3</v>
      </c>
      <c r="K70" s="1761">
        <v>136534.5</v>
      </c>
      <c r="L70" s="1771">
        <v>44887</v>
      </c>
      <c r="M70" s="1751">
        <v>215665.9</v>
      </c>
      <c r="N70" s="617">
        <v>1592.5</v>
      </c>
      <c r="O70" s="617">
        <v>1644846.2</v>
      </c>
    </row>
    <row r="71" spans="2:15" ht="12" hidden="1" thickTop="1">
      <c r="B71" s="613" t="s">
        <v>308</v>
      </c>
      <c r="C71" s="617">
        <v>340028</v>
      </c>
      <c r="D71" s="617">
        <v>33626</v>
      </c>
      <c r="E71" s="617">
        <v>27319.9</v>
      </c>
      <c r="F71" s="1740">
        <v>361122.8</v>
      </c>
      <c r="G71" s="1761">
        <v>89338.4</v>
      </c>
      <c r="H71" s="1779">
        <v>2950.9</v>
      </c>
      <c r="I71" s="1761">
        <v>293019.3</v>
      </c>
      <c r="J71" s="1761">
        <v>92514.5</v>
      </c>
      <c r="K71" s="1761">
        <v>147837.29999999999</v>
      </c>
      <c r="L71" s="1771">
        <v>52656.7</v>
      </c>
      <c r="M71" s="1751">
        <v>204873.8</v>
      </c>
      <c r="N71" s="617">
        <v>5371.9</v>
      </c>
      <c r="O71" s="617">
        <v>1650659.5</v>
      </c>
    </row>
    <row r="72" spans="2:15" ht="12" hidden="1" thickTop="1">
      <c r="B72" s="613" t="s">
        <v>311</v>
      </c>
      <c r="C72" s="617">
        <v>366827.1</v>
      </c>
      <c r="D72" s="617">
        <v>36043.9</v>
      </c>
      <c r="E72" s="617">
        <v>24836.9</v>
      </c>
      <c r="F72" s="1740" t="s">
        <v>1209</v>
      </c>
      <c r="G72" s="1761">
        <v>3720.8</v>
      </c>
      <c r="H72" s="1779">
        <v>87963.3</v>
      </c>
      <c r="I72" s="1761">
        <v>310488.5</v>
      </c>
      <c r="J72" s="1761">
        <v>75310.399999999994</v>
      </c>
      <c r="K72" s="1761">
        <v>191534.5</v>
      </c>
      <c r="L72" s="1771">
        <v>55295.7</v>
      </c>
      <c r="M72" s="1751">
        <v>180205</v>
      </c>
      <c r="N72" s="617">
        <v>4726.2</v>
      </c>
      <c r="O72" s="893">
        <v>1660274.6</v>
      </c>
    </row>
    <row r="73" spans="2:15" ht="12" hidden="1" thickTop="1">
      <c r="B73" s="613"/>
      <c r="C73" s="617"/>
      <c r="D73" s="617"/>
      <c r="E73" s="617"/>
      <c r="F73" s="1740"/>
      <c r="G73" s="1761"/>
      <c r="H73" s="1779"/>
      <c r="I73" s="1761"/>
      <c r="J73" s="1761"/>
      <c r="K73" s="1761"/>
      <c r="L73" s="1771"/>
      <c r="M73" s="1751"/>
      <c r="N73" s="617"/>
      <c r="O73" s="617"/>
    </row>
    <row r="74" spans="2:15" ht="12" hidden="1" thickTop="1">
      <c r="B74" s="859">
        <v>2012</v>
      </c>
      <c r="C74" s="581"/>
      <c r="D74" s="581"/>
      <c r="E74" s="581"/>
      <c r="F74" s="1742"/>
      <c r="G74" s="1763"/>
      <c r="H74" s="1781"/>
      <c r="I74" s="1763"/>
      <c r="J74" s="1763"/>
      <c r="K74" s="1763"/>
      <c r="L74" s="1773"/>
      <c r="M74" s="1753"/>
      <c r="N74" s="581"/>
      <c r="O74" s="581"/>
    </row>
    <row r="75" spans="2:15" ht="12" hidden="1" thickTop="1">
      <c r="B75" s="613"/>
      <c r="C75" s="581"/>
      <c r="D75" s="581"/>
      <c r="E75" s="581"/>
      <c r="F75" s="1742"/>
      <c r="G75" s="1763"/>
      <c r="H75" s="1781"/>
      <c r="I75" s="1763"/>
      <c r="J75" s="1763"/>
      <c r="K75" s="1763"/>
      <c r="L75" s="1773"/>
      <c r="M75" s="1753"/>
      <c r="N75" s="581"/>
      <c r="O75" s="581"/>
    </row>
    <row r="76" spans="2:15" ht="12" hidden="1" thickTop="1">
      <c r="B76" s="613" t="s">
        <v>298</v>
      </c>
      <c r="C76" s="617">
        <v>363990.9</v>
      </c>
      <c r="D76" s="617">
        <v>39589.599999999999</v>
      </c>
      <c r="E76" s="617">
        <v>27332.799999999999</v>
      </c>
      <c r="F76" s="1740">
        <v>322510.09999999998</v>
      </c>
      <c r="G76" s="1761">
        <v>8749.9</v>
      </c>
      <c r="H76" s="1779">
        <v>74636.2</v>
      </c>
      <c r="I76" s="1761">
        <v>336196.7</v>
      </c>
      <c r="J76" s="1761">
        <v>77655.7</v>
      </c>
      <c r="K76" s="1761">
        <v>198437.3</v>
      </c>
      <c r="L76" s="1771">
        <v>52515.7</v>
      </c>
      <c r="M76" s="1751">
        <v>171956.3</v>
      </c>
      <c r="N76" s="617">
        <v>1013.2</v>
      </c>
      <c r="O76" s="893">
        <v>1674584.5</v>
      </c>
    </row>
    <row r="77" spans="2:15" ht="12" hidden="1" thickTop="1">
      <c r="B77" s="613" t="s">
        <v>299</v>
      </c>
      <c r="C77" s="617">
        <v>352190.2</v>
      </c>
      <c r="D77" s="617">
        <v>36718.69</v>
      </c>
      <c r="E77" s="617">
        <v>26551.03</v>
      </c>
      <c r="F77" s="1740">
        <v>284567.87</v>
      </c>
      <c r="G77" s="1761">
        <v>9291.08</v>
      </c>
      <c r="H77" s="1779">
        <v>85886.99</v>
      </c>
      <c r="I77" s="1761">
        <v>336261.49</v>
      </c>
      <c r="J77" s="1761">
        <v>88738.25</v>
      </c>
      <c r="K77" s="1761">
        <v>202845.2</v>
      </c>
      <c r="L77" s="1771">
        <v>53191.93</v>
      </c>
      <c r="M77" s="1751">
        <v>172424.01</v>
      </c>
      <c r="N77" s="617">
        <v>1567.65</v>
      </c>
      <c r="O77" s="893">
        <v>1650234.17</v>
      </c>
    </row>
    <row r="78" spans="2:15" ht="12" hidden="1" thickTop="1">
      <c r="B78" s="613" t="s">
        <v>300</v>
      </c>
      <c r="C78" s="617">
        <v>354440.8</v>
      </c>
      <c r="D78" s="617">
        <v>37811</v>
      </c>
      <c r="E78" s="617">
        <v>31484.9</v>
      </c>
      <c r="F78" s="1740">
        <v>328381.09999999998</v>
      </c>
      <c r="G78" s="1761">
        <v>8193.5</v>
      </c>
      <c r="H78" s="1779">
        <v>92178.6</v>
      </c>
      <c r="I78" s="1761">
        <v>324375.5</v>
      </c>
      <c r="J78" s="1761">
        <v>108000.1</v>
      </c>
      <c r="K78" s="1761">
        <v>205453.7</v>
      </c>
      <c r="L78" s="1771">
        <v>32088.9</v>
      </c>
      <c r="M78" s="1751">
        <v>174479.6</v>
      </c>
      <c r="N78" s="617">
        <v>1583.8</v>
      </c>
      <c r="O78" s="893">
        <v>1698471.4</v>
      </c>
    </row>
    <row r="79" spans="2:15" ht="12" hidden="1" thickTop="1">
      <c r="B79" s="613" t="s">
        <v>301</v>
      </c>
      <c r="C79" s="617">
        <v>341893.5</v>
      </c>
      <c r="D79" s="617">
        <v>30462</v>
      </c>
      <c r="E79" s="617">
        <v>33633.800000000003</v>
      </c>
      <c r="F79" s="1740">
        <v>358038</v>
      </c>
      <c r="G79" s="1761">
        <v>5558.5</v>
      </c>
      <c r="H79" s="1779">
        <v>78498.399999999994</v>
      </c>
      <c r="I79" s="1761">
        <v>334699.5</v>
      </c>
      <c r="J79" s="1761">
        <v>110765.7</v>
      </c>
      <c r="K79" s="1761">
        <v>220956.5</v>
      </c>
      <c r="L79" s="1771">
        <v>26181.8</v>
      </c>
      <c r="M79" s="1751">
        <v>179845.8</v>
      </c>
      <c r="N79" s="617">
        <v>1355.3</v>
      </c>
      <c r="O79" s="893">
        <v>1721888.8</v>
      </c>
    </row>
    <row r="80" spans="2:15" ht="12" hidden="1" thickTop="1">
      <c r="B80" s="613" t="s">
        <v>302</v>
      </c>
      <c r="C80" s="617">
        <v>375541</v>
      </c>
      <c r="D80" s="617">
        <v>30286.7</v>
      </c>
      <c r="E80" s="617">
        <v>31158.400000000001</v>
      </c>
      <c r="F80" s="1740">
        <v>350097.9</v>
      </c>
      <c r="G80" s="1761">
        <v>7623.4</v>
      </c>
      <c r="H80" s="1779">
        <v>97695.7</v>
      </c>
      <c r="I80" s="1761">
        <v>327187.7</v>
      </c>
      <c r="J80" s="1761">
        <v>113796.7</v>
      </c>
      <c r="K80" s="1761">
        <v>207041.1</v>
      </c>
      <c r="L80" s="1771">
        <v>28432.9</v>
      </c>
      <c r="M80" s="1751">
        <v>202146.6</v>
      </c>
      <c r="N80" s="617">
        <v>1738.3</v>
      </c>
      <c r="O80" s="893">
        <v>1772746.5</v>
      </c>
    </row>
    <row r="81" spans="2:15" ht="12" hidden="1" thickTop="1">
      <c r="B81" s="613" t="s">
        <v>303</v>
      </c>
      <c r="C81" s="617">
        <v>402314.1</v>
      </c>
      <c r="D81" s="617">
        <v>30399.7</v>
      </c>
      <c r="E81" s="617">
        <v>37466.6</v>
      </c>
      <c r="F81" s="1740">
        <v>356842.2</v>
      </c>
      <c r="G81" s="1761">
        <v>7580.8</v>
      </c>
      <c r="H81" s="1779">
        <v>28025.9</v>
      </c>
      <c r="I81" s="1761">
        <v>337059.2</v>
      </c>
      <c r="J81" s="1761">
        <v>130973.8</v>
      </c>
      <c r="K81" s="1761">
        <v>201898</v>
      </c>
      <c r="L81" s="1771">
        <v>40295.4</v>
      </c>
      <c r="M81" s="1751">
        <v>219606.7</v>
      </c>
      <c r="N81" s="617">
        <v>1649.8</v>
      </c>
      <c r="O81" s="893">
        <v>1794112.2</v>
      </c>
    </row>
    <row r="82" spans="2:15" ht="12" hidden="1" thickTop="1">
      <c r="B82" s="613" t="s">
        <v>304</v>
      </c>
      <c r="C82" s="617">
        <v>416536.2</v>
      </c>
      <c r="D82" s="617">
        <v>26795.9</v>
      </c>
      <c r="E82" s="617">
        <v>36424.199999999997</v>
      </c>
      <c r="F82" s="1740">
        <v>369410.8</v>
      </c>
      <c r="G82" s="1761">
        <v>8174</v>
      </c>
      <c r="H82" s="1779">
        <v>26119.1</v>
      </c>
      <c r="I82" s="1761">
        <v>348484.2</v>
      </c>
      <c r="J82" s="1761">
        <v>136934.20000000001</v>
      </c>
      <c r="K82" s="1761">
        <v>203314.6</v>
      </c>
      <c r="L82" s="1771">
        <v>36869.5</v>
      </c>
      <c r="M82" s="1751">
        <v>249542.8</v>
      </c>
      <c r="N82" s="617">
        <v>3382.6</v>
      </c>
      <c r="O82" s="893">
        <v>1861988</v>
      </c>
    </row>
    <row r="83" spans="2:15" ht="12" hidden="1" thickTop="1">
      <c r="B83" s="613" t="s">
        <v>305</v>
      </c>
      <c r="C83" s="617">
        <v>422545.8</v>
      </c>
      <c r="D83" s="617">
        <v>30950.3</v>
      </c>
      <c r="E83" s="617">
        <v>43395.1</v>
      </c>
      <c r="F83" s="1740">
        <v>390558.4</v>
      </c>
      <c r="G83" s="1761">
        <v>8333</v>
      </c>
      <c r="H83" s="1779">
        <v>29323.9</v>
      </c>
      <c r="I83" s="1761">
        <v>348252</v>
      </c>
      <c r="J83" s="1761">
        <v>146338.5</v>
      </c>
      <c r="K83" s="1761">
        <v>173945.4</v>
      </c>
      <c r="L83" s="1771">
        <v>55950.3</v>
      </c>
      <c r="M83" s="1751">
        <v>254919.8</v>
      </c>
      <c r="N83" s="617">
        <v>3523.5</v>
      </c>
      <c r="O83" s="893">
        <v>1907991.4</v>
      </c>
    </row>
    <row r="84" spans="2:15" ht="12" hidden="1" thickTop="1">
      <c r="B84" s="613" t="s">
        <v>306</v>
      </c>
      <c r="C84" s="617">
        <v>431501.7</v>
      </c>
      <c r="D84" s="617">
        <v>36637.9</v>
      </c>
      <c r="E84" s="617">
        <v>38487.800000000003</v>
      </c>
      <c r="F84" s="1740">
        <v>384840.8</v>
      </c>
      <c r="G84" s="1761">
        <v>6828.2</v>
      </c>
      <c r="H84" s="1779">
        <v>37420.1</v>
      </c>
      <c r="I84" s="1761">
        <v>396813.5</v>
      </c>
      <c r="J84" s="1761">
        <v>145657.9</v>
      </c>
      <c r="K84" s="1761">
        <v>219452.1</v>
      </c>
      <c r="L84" s="1771">
        <v>29378.2</v>
      </c>
      <c r="M84" s="1751">
        <v>254248.3</v>
      </c>
      <c r="N84" s="617">
        <v>5036.1000000000004</v>
      </c>
      <c r="O84" s="893">
        <v>1986302.5</v>
      </c>
    </row>
    <row r="85" spans="2:15" ht="12.75" hidden="1" thickTop="1" thickBot="1">
      <c r="B85" s="613" t="s">
        <v>307</v>
      </c>
      <c r="C85" s="864">
        <v>444653.7</v>
      </c>
      <c r="D85" s="864">
        <v>33583.199999999997</v>
      </c>
      <c r="E85" s="864">
        <v>34764.400000000001</v>
      </c>
      <c r="F85" s="1741">
        <v>411489.2</v>
      </c>
      <c r="G85" s="1762">
        <v>9551.4</v>
      </c>
      <c r="H85" s="1780">
        <v>29439.4</v>
      </c>
      <c r="I85" s="1762">
        <v>401206.1</v>
      </c>
      <c r="J85" s="1762">
        <v>144223.4</v>
      </c>
      <c r="K85" s="1762">
        <v>230809.2</v>
      </c>
      <c r="L85" s="1772">
        <v>35103.599999999999</v>
      </c>
      <c r="M85" s="1752">
        <v>271795.8</v>
      </c>
      <c r="N85" s="864">
        <v>6715.9</v>
      </c>
      <c r="O85" s="893">
        <v>2053335.2</v>
      </c>
    </row>
    <row r="86" spans="2:15" ht="12" hidden="1" thickTop="1">
      <c r="B86" s="613" t="s">
        <v>308</v>
      </c>
      <c r="C86" s="617">
        <v>444527.3</v>
      </c>
      <c r="D86" s="617">
        <v>33548</v>
      </c>
      <c r="E86" s="617">
        <v>37207.300000000003</v>
      </c>
      <c r="F86" s="1740">
        <v>428008.3</v>
      </c>
      <c r="G86" s="1761">
        <v>10704.6</v>
      </c>
      <c r="H86" s="1779">
        <v>32236.2</v>
      </c>
      <c r="I86" s="1761">
        <v>417838.2</v>
      </c>
      <c r="J86" s="1761">
        <v>142715</v>
      </c>
      <c r="K86" s="1761">
        <v>228088.4</v>
      </c>
      <c r="L86" s="1771">
        <v>36568</v>
      </c>
      <c r="M86" s="1751">
        <v>267282</v>
      </c>
      <c r="N86" s="617">
        <v>8055.2</v>
      </c>
      <c r="O86" s="893">
        <v>2087778.7</v>
      </c>
    </row>
    <row r="87" spans="2:15" ht="12" hidden="1" thickTop="1">
      <c r="B87" s="613" t="s">
        <v>311</v>
      </c>
      <c r="C87" s="617">
        <v>444341</v>
      </c>
      <c r="D87" s="617">
        <v>32622.799999999999</v>
      </c>
      <c r="E87" s="617">
        <v>37353.199999999997</v>
      </c>
      <c r="F87" s="1740">
        <v>428782.2</v>
      </c>
      <c r="G87" s="1761">
        <v>8513.2000000000007</v>
      </c>
      <c r="H87" s="1779">
        <v>31513.9</v>
      </c>
      <c r="I87" s="1761">
        <v>414044.9</v>
      </c>
      <c r="J87" s="1761">
        <v>148927.9</v>
      </c>
      <c r="K87" s="1761">
        <v>233864.4</v>
      </c>
      <c r="L87" s="1771">
        <v>33116.1</v>
      </c>
      <c r="M87" s="1751">
        <v>288628.5</v>
      </c>
      <c r="N87" s="617">
        <v>9370.9</v>
      </c>
      <c r="O87" s="893">
        <v>2111078.9</v>
      </c>
    </row>
    <row r="88" spans="2:15" ht="12" hidden="1" thickTop="1">
      <c r="B88" s="613"/>
      <c r="C88" s="617"/>
      <c r="D88" s="617"/>
      <c r="E88" s="617"/>
      <c r="F88" s="1740"/>
      <c r="G88" s="1761"/>
      <c r="H88" s="1779"/>
      <c r="I88" s="1761"/>
      <c r="J88" s="1761"/>
      <c r="K88" s="1761"/>
      <c r="L88" s="1771"/>
      <c r="M88" s="1751"/>
      <c r="N88" s="617"/>
      <c r="O88" s="617"/>
    </row>
    <row r="89" spans="2:15" ht="12" hidden="1" thickTop="1">
      <c r="B89" s="859">
        <v>2013</v>
      </c>
      <c r="C89" s="617"/>
      <c r="D89" s="617"/>
      <c r="E89" s="617"/>
      <c r="F89" s="1740"/>
      <c r="G89" s="1761"/>
      <c r="H89" s="1779"/>
      <c r="I89" s="1761"/>
      <c r="J89" s="1761"/>
      <c r="K89" s="1761"/>
      <c r="L89" s="1771"/>
      <c r="M89" s="1751"/>
      <c r="N89" s="617"/>
      <c r="O89" s="866"/>
    </row>
    <row r="90" spans="2:15" ht="12" hidden="1" thickTop="1">
      <c r="B90" s="745" t="s">
        <v>345</v>
      </c>
      <c r="C90" s="894">
        <v>450170</v>
      </c>
      <c r="D90" s="894">
        <v>31073.4</v>
      </c>
      <c r="E90" s="894">
        <v>38762.300000000003</v>
      </c>
      <c r="F90" s="1743">
        <v>426050.9</v>
      </c>
      <c r="G90" s="1764">
        <v>11967.9</v>
      </c>
      <c r="H90" s="924">
        <v>31547.4</v>
      </c>
      <c r="I90" s="1764">
        <v>417961.3</v>
      </c>
      <c r="J90" s="1764">
        <v>144645.1</v>
      </c>
      <c r="K90" s="1764">
        <v>237323.7</v>
      </c>
      <c r="L90" s="1774">
        <v>33906.5</v>
      </c>
      <c r="M90" s="1754">
        <v>300841.09999999998</v>
      </c>
      <c r="N90" s="895">
        <v>9373.1</v>
      </c>
      <c r="O90" s="894">
        <v>2133622.7000000002</v>
      </c>
    </row>
    <row r="91" spans="2:15" ht="12" hidden="1" thickTop="1">
      <c r="B91" s="607" t="s">
        <v>1278</v>
      </c>
      <c r="C91" s="868">
        <v>494536.6</v>
      </c>
      <c r="D91" s="868">
        <v>33786.9</v>
      </c>
      <c r="E91" s="868">
        <v>28372</v>
      </c>
      <c r="F91" s="1744">
        <v>439556.7</v>
      </c>
      <c r="G91" s="1764">
        <v>14811.4</v>
      </c>
      <c r="H91" s="924">
        <v>33948.5</v>
      </c>
      <c r="I91" s="1764">
        <v>409692.7</v>
      </c>
      <c r="J91" s="1764">
        <v>128242.7</v>
      </c>
      <c r="K91" s="1764">
        <v>303269.90000000002</v>
      </c>
      <c r="L91" s="1774">
        <v>38235.9</v>
      </c>
      <c r="M91" s="1755">
        <v>298171.5</v>
      </c>
      <c r="N91" s="868">
        <v>3685.5</v>
      </c>
      <c r="O91" s="894">
        <v>2226310.2000000002</v>
      </c>
    </row>
    <row r="92" spans="2:15" ht="12" hidden="1" thickTop="1">
      <c r="B92" s="607" t="s">
        <v>335</v>
      </c>
      <c r="C92" s="894">
        <v>467873.97</v>
      </c>
      <c r="D92" s="894">
        <v>41532.699999999997</v>
      </c>
      <c r="E92" s="894">
        <v>68987.199999999997</v>
      </c>
      <c r="F92" s="1743">
        <v>433337.1</v>
      </c>
      <c r="G92" s="1764">
        <v>16118.8</v>
      </c>
      <c r="H92" s="924">
        <v>34704.699999999997</v>
      </c>
      <c r="I92" s="1764">
        <v>471204.9</v>
      </c>
      <c r="J92" s="1764">
        <v>159925.70000000001</v>
      </c>
      <c r="K92" s="1764">
        <v>307134.7</v>
      </c>
      <c r="L92" s="1774">
        <v>44413.57</v>
      </c>
      <c r="M92" s="1754">
        <v>370123.5</v>
      </c>
      <c r="N92" s="895">
        <v>4491.7</v>
      </c>
      <c r="O92" s="894">
        <v>2419848.6</v>
      </c>
    </row>
    <row r="93" spans="2:15" ht="12" hidden="1" thickTop="1">
      <c r="B93" s="607" t="s">
        <v>336</v>
      </c>
      <c r="C93" s="894">
        <v>455178.9</v>
      </c>
      <c r="D93" s="894">
        <v>43628.2</v>
      </c>
      <c r="E93" s="894">
        <v>23433.4</v>
      </c>
      <c r="F93" s="1743">
        <v>428381.7</v>
      </c>
      <c r="G93" s="1764">
        <v>14997.8</v>
      </c>
      <c r="H93" s="924">
        <v>35589.1</v>
      </c>
      <c r="I93" s="1764">
        <v>444798.7</v>
      </c>
      <c r="J93" s="1764">
        <v>135046.20000000001</v>
      </c>
      <c r="K93" s="1764">
        <v>288857.59999999998</v>
      </c>
      <c r="L93" s="1774">
        <v>45643.6</v>
      </c>
      <c r="M93" s="1754">
        <v>377037</v>
      </c>
      <c r="N93" s="895">
        <v>7693.7</v>
      </c>
      <c r="O93" s="894">
        <v>2300585.7999999998</v>
      </c>
    </row>
    <row r="94" spans="2:15" ht="12" hidden="1" thickTop="1">
      <c r="B94" s="607" t="s">
        <v>337</v>
      </c>
      <c r="C94" s="894">
        <v>484635</v>
      </c>
      <c r="D94" s="894">
        <v>38637.199999999997</v>
      </c>
      <c r="E94" s="894">
        <v>27795.200000000001</v>
      </c>
      <c r="F94" s="1743">
        <v>455737.9</v>
      </c>
      <c r="G94" s="1764">
        <v>14699.1</v>
      </c>
      <c r="H94" s="924">
        <v>35106.1</v>
      </c>
      <c r="I94" s="1764">
        <v>465890.2</v>
      </c>
      <c r="J94" s="1764">
        <v>115457.8</v>
      </c>
      <c r="K94" s="1764">
        <v>301547.90000000002</v>
      </c>
      <c r="L94" s="1774">
        <v>52075.199999999997</v>
      </c>
      <c r="M94" s="1754">
        <v>382172.8</v>
      </c>
      <c r="N94" s="895">
        <v>5034</v>
      </c>
      <c r="O94" s="894">
        <v>2378788.7000000002</v>
      </c>
    </row>
    <row r="95" spans="2:15" ht="12" hidden="1" thickTop="1">
      <c r="B95" s="607" t="s">
        <v>338</v>
      </c>
      <c r="C95" s="894">
        <v>489730.1</v>
      </c>
      <c r="D95" s="894">
        <v>37474.300000000003</v>
      </c>
      <c r="E95" s="894">
        <v>38198.699999999997</v>
      </c>
      <c r="F95" s="1743">
        <v>425521.3</v>
      </c>
      <c r="G95" s="1764">
        <v>7310.7</v>
      </c>
      <c r="H95" s="924">
        <v>53815</v>
      </c>
      <c r="I95" s="1764">
        <v>454368.5</v>
      </c>
      <c r="J95" s="1764">
        <v>110349.9</v>
      </c>
      <c r="K95" s="1764">
        <v>295432.3</v>
      </c>
      <c r="L95" s="1774">
        <v>51453.599999999999</v>
      </c>
      <c r="M95" s="1754">
        <v>385769.7</v>
      </c>
      <c r="N95" s="895">
        <v>11033.4</v>
      </c>
      <c r="O95" s="894">
        <v>2360457.5</v>
      </c>
    </row>
    <row r="96" spans="2:15" ht="12" hidden="1" thickTop="1">
      <c r="B96" s="607" t="s">
        <v>339</v>
      </c>
      <c r="C96" s="894">
        <v>483103.7</v>
      </c>
      <c r="D96" s="894">
        <v>40342.5</v>
      </c>
      <c r="E96" s="894">
        <v>33494.300000000003</v>
      </c>
      <c r="F96" s="1743">
        <v>464921.7</v>
      </c>
      <c r="G96" s="1764">
        <v>6869.2</v>
      </c>
      <c r="H96" s="924">
        <v>38522.6</v>
      </c>
      <c r="I96" s="1764">
        <v>541025.9</v>
      </c>
      <c r="J96" s="1764">
        <v>116557.1</v>
      </c>
      <c r="K96" s="1764">
        <v>307117.5</v>
      </c>
      <c r="L96" s="1774">
        <v>48218</v>
      </c>
      <c r="M96" s="1754">
        <v>426582.7</v>
      </c>
      <c r="N96" s="895">
        <v>4455.3</v>
      </c>
      <c r="O96" s="894">
        <v>2511210.5</v>
      </c>
    </row>
    <row r="97" spans="2:26" ht="12" hidden="1" thickTop="1">
      <c r="B97" s="607" t="s">
        <v>340</v>
      </c>
      <c r="C97" s="894">
        <v>521743</v>
      </c>
      <c r="D97" s="894">
        <v>38889.1</v>
      </c>
      <c r="E97" s="894">
        <v>43894.5</v>
      </c>
      <c r="F97" s="1743">
        <v>425531.4</v>
      </c>
      <c r="G97" s="1764">
        <v>7260.6</v>
      </c>
      <c r="H97" s="924" t="s">
        <v>1297</v>
      </c>
      <c r="I97" s="1764">
        <v>451871.2</v>
      </c>
      <c r="J97" s="1764">
        <v>110041.8</v>
      </c>
      <c r="K97" s="1764">
        <v>346006</v>
      </c>
      <c r="L97" s="1774">
        <v>40216</v>
      </c>
      <c r="M97" s="1754">
        <v>374587.1</v>
      </c>
      <c r="N97" s="895">
        <v>9914.6</v>
      </c>
      <c r="O97" s="894">
        <v>2409042.5</v>
      </c>
    </row>
    <row r="98" spans="2:26" ht="12" hidden="1" thickTop="1">
      <c r="B98" s="607" t="s">
        <v>341</v>
      </c>
      <c r="C98" s="894">
        <v>496289.3</v>
      </c>
      <c r="D98" s="894">
        <v>39446.9</v>
      </c>
      <c r="E98" s="894">
        <v>38856.6</v>
      </c>
      <c r="F98" s="1743">
        <v>447247.2</v>
      </c>
      <c r="G98" s="1764">
        <v>13953.5</v>
      </c>
      <c r="H98" s="924">
        <v>43006.7</v>
      </c>
      <c r="I98" s="1764">
        <v>437211.9</v>
      </c>
      <c r="J98" s="1764">
        <v>118873.7</v>
      </c>
      <c r="K98" s="1764">
        <v>330709.59999999998</v>
      </c>
      <c r="L98" s="1774">
        <v>40046.6</v>
      </c>
      <c r="M98" s="1754">
        <v>373596.8</v>
      </c>
      <c r="N98" s="895">
        <v>9790.6</v>
      </c>
      <c r="O98" s="894">
        <v>2389029.4</v>
      </c>
    </row>
    <row r="99" spans="2:26" ht="12" hidden="1" thickTop="1">
      <c r="B99" s="607" t="s">
        <v>342</v>
      </c>
      <c r="C99" s="894">
        <v>491610.6</v>
      </c>
      <c r="D99" s="894">
        <v>38871.5</v>
      </c>
      <c r="E99" s="894">
        <v>39766</v>
      </c>
      <c r="F99" s="1743">
        <v>471966.2</v>
      </c>
      <c r="G99" s="1764">
        <v>8023.3</v>
      </c>
      <c r="H99" s="924">
        <v>40835.300000000003</v>
      </c>
      <c r="I99" s="1764">
        <v>420445.3</v>
      </c>
      <c r="J99" s="1764">
        <v>110778.3</v>
      </c>
      <c r="K99" s="1764">
        <v>417411.6</v>
      </c>
      <c r="L99" s="1774">
        <v>36334.1</v>
      </c>
      <c r="M99" s="1754">
        <v>376463.1</v>
      </c>
      <c r="N99" s="895">
        <v>9861.9</v>
      </c>
      <c r="O99" s="894">
        <v>2462367.2999999998</v>
      </c>
    </row>
    <row r="100" spans="2:26" ht="12" hidden="1" thickTop="1">
      <c r="B100" s="607" t="s">
        <v>343</v>
      </c>
      <c r="C100" s="894">
        <v>487289.4</v>
      </c>
      <c r="D100" s="894">
        <v>40321.699999999997</v>
      </c>
      <c r="E100" s="894">
        <v>42332</v>
      </c>
      <c r="F100" s="1743">
        <v>488637.3</v>
      </c>
      <c r="G100" s="1764">
        <v>3116.5</v>
      </c>
      <c r="H100" s="924">
        <v>36852</v>
      </c>
      <c r="I100" s="1764">
        <v>417162.5</v>
      </c>
      <c r="J100" s="1764">
        <v>117050.8</v>
      </c>
      <c r="K100" s="1764">
        <v>389727.1</v>
      </c>
      <c r="L100" s="1774">
        <v>39126.400000000001</v>
      </c>
      <c r="M100" s="1754">
        <v>369190.3</v>
      </c>
      <c r="N100" s="895">
        <v>17960.5</v>
      </c>
      <c r="O100" s="894">
        <v>2448766.4</v>
      </c>
    </row>
    <row r="101" spans="2:26" ht="12" hidden="1" thickTop="1">
      <c r="B101" s="607" t="s">
        <v>344</v>
      </c>
      <c r="C101" s="894">
        <v>533165.19999999995</v>
      </c>
      <c r="D101" s="894">
        <v>42285.1</v>
      </c>
      <c r="E101" s="894">
        <v>17617.900000000001</v>
      </c>
      <c r="F101" s="1743">
        <v>435613.1</v>
      </c>
      <c r="G101" s="1764">
        <v>5047</v>
      </c>
      <c r="H101" s="924">
        <v>62165.8</v>
      </c>
      <c r="I101" s="1764">
        <v>389181.2</v>
      </c>
      <c r="J101" s="1764">
        <v>115404.6</v>
      </c>
      <c r="K101" s="1764">
        <v>379809.3</v>
      </c>
      <c r="L101" s="1774">
        <v>37409.1</v>
      </c>
      <c r="M101" s="1754">
        <v>369838.8</v>
      </c>
      <c r="N101" s="895">
        <v>18252.900000000001</v>
      </c>
      <c r="O101" s="894">
        <v>2405790</v>
      </c>
    </row>
    <row r="102" spans="2:26" ht="12" hidden="1" thickTop="1">
      <c r="B102" s="632"/>
      <c r="C102" s="617"/>
      <c r="D102" s="617"/>
      <c r="E102" s="617"/>
      <c r="F102" s="1740"/>
      <c r="G102" s="1761"/>
      <c r="H102" s="1779"/>
      <c r="I102" s="1761"/>
      <c r="J102" s="1761"/>
      <c r="K102" s="1761"/>
      <c r="L102" s="1771"/>
      <c r="M102" s="1751"/>
      <c r="N102" s="617"/>
      <c r="O102" s="617"/>
    </row>
    <row r="103" spans="2:26" ht="12" hidden="1" thickTop="1">
      <c r="B103" s="896">
        <v>2014</v>
      </c>
      <c r="C103" s="894"/>
      <c r="D103" s="894"/>
      <c r="E103" s="894"/>
      <c r="F103" s="1743"/>
      <c r="G103" s="1764"/>
      <c r="H103" s="924"/>
      <c r="I103" s="1764"/>
      <c r="J103" s="1764"/>
      <c r="K103" s="1764"/>
      <c r="L103" s="1774"/>
      <c r="M103" s="1754"/>
      <c r="N103" s="894"/>
      <c r="O103" s="894"/>
    </row>
    <row r="104" spans="2:26" ht="12" hidden="1" thickTop="1">
      <c r="B104" s="745" t="s">
        <v>345</v>
      </c>
      <c r="C104" s="894">
        <v>489585.3</v>
      </c>
      <c r="D104" s="894">
        <v>43743.8</v>
      </c>
      <c r="E104" s="894">
        <v>18574.7</v>
      </c>
      <c r="F104" s="1743">
        <v>464097.6</v>
      </c>
      <c r="G104" s="1764">
        <v>5467.4</v>
      </c>
      <c r="H104" s="924">
        <v>48086.1</v>
      </c>
      <c r="I104" s="1764">
        <v>362554</v>
      </c>
      <c r="J104" s="1764">
        <v>116635.5</v>
      </c>
      <c r="K104" s="1764">
        <v>412901.1</v>
      </c>
      <c r="L104" s="1774">
        <v>37722.199999999997</v>
      </c>
      <c r="M104" s="1754">
        <v>367126.2</v>
      </c>
      <c r="N104" s="894">
        <v>16773.099999999999</v>
      </c>
      <c r="O104" s="894">
        <v>2383267.1</v>
      </c>
    </row>
    <row r="105" spans="2:26" ht="12" hidden="1" thickTop="1">
      <c r="B105" s="607" t="s">
        <v>1278</v>
      </c>
      <c r="C105" s="894">
        <v>519154.6</v>
      </c>
      <c r="D105" s="894">
        <v>38918.1</v>
      </c>
      <c r="E105" s="894">
        <v>24765.4</v>
      </c>
      <c r="F105" s="1743">
        <v>460528.2</v>
      </c>
      <c r="G105" s="1764">
        <v>10397.299999999999</v>
      </c>
      <c r="H105" s="924">
        <v>47488.6</v>
      </c>
      <c r="I105" s="1764">
        <v>385038.1</v>
      </c>
      <c r="J105" s="1764">
        <v>116670.5</v>
      </c>
      <c r="K105" s="1764">
        <v>401619.6</v>
      </c>
      <c r="L105" s="1774">
        <v>32978.1</v>
      </c>
      <c r="M105" s="1754">
        <v>396800.8</v>
      </c>
      <c r="N105" s="894">
        <v>8542.7000000000007</v>
      </c>
      <c r="O105" s="894">
        <v>2442902.1</v>
      </c>
    </row>
    <row r="106" spans="2:26" ht="12" hidden="1" thickTop="1">
      <c r="B106" s="607" t="s">
        <v>335</v>
      </c>
      <c r="C106" s="894">
        <v>503868.1</v>
      </c>
      <c r="D106" s="894">
        <v>42707.9</v>
      </c>
      <c r="E106" s="894">
        <v>35785.1</v>
      </c>
      <c r="F106" s="1743">
        <v>494663.8</v>
      </c>
      <c r="G106" s="1764">
        <v>5257.4</v>
      </c>
      <c r="H106" s="924">
        <v>52722</v>
      </c>
      <c r="I106" s="1764">
        <v>374809.1</v>
      </c>
      <c r="J106" s="1764">
        <v>116653</v>
      </c>
      <c r="K106" s="1764">
        <v>396000.6</v>
      </c>
      <c r="L106" s="1774">
        <v>38089.300000000003</v>
      </c>
      <c r="M106" s="1754">
        <v>406503.1</v>
      </c>
      <c r="N106" s="894">
        <v>15833.1</v>
      </c>
      <c r="O106" s="894">
        <v>2482892.7000000002</v>
      </c>
      <c r="P106" s="897"/>
      <c r="Q106" s="901"/>
      <c r="R106" s="730"/>
      <c r="S106" s="723"/>
      <c r="T106" s="723"/>
      <c r="U106" s="723"/>
      <c r="V106" s="723"/>
      <c r="W106" s="723"/>
      <c r="X106" s="723"/>
      <c r="Y106" s="724"/>
      <c r="Z106" s="723"/>
    </row>
    <row r="107" spans="2:26" ht="12" hidden="1" thickTop="1">
      <c r="B107" s="607" t="s">
        <v>336</v>
      </c>
      <c r="C107" s="867">
        <v>540156.19999999995</v>
      </c>
      <c r="D107" s="867">
        <v>40707.1</v>
      </c>
      <c r="E107" s="867">
        <v>18138.900000000001</v>
      </c>
      <c r="F107" s="1743">
        <v>502514.1</v>
      </c>
      <c r="G107" s="1764">
        <v>9898.6</v>
      </c>
      <c r="H107" s="924">
        <v>18817.900000000001</v>
      </c>
      <c r="I107" s="1764">
        <v>407595</v>
      </c>
      <c r="J107" s="1764">
        <v>175048.3</v>
      </c>
      <c r="K107" s="1764">
        <v>447549.2</v>
      </c>
      <c r="L107" s="1774">
        <v>49619.1</v>
      </c>
      <c r="M107" s="1754">
        <v>511048.2</v>
      </c>
      <c r="N107" s="867">
        <v>15136.7</v>
      </c>
      <c r="O107" s="867">
        <v>2736229.2</v>
      </c>
    </row>
    <row r="108" spans="2:26" ht="12" hidden="1" thickTop="1">
      <c r="B108" s="607" t="s">
        <v>337</v>
      </c>
      <c r="C108" s="867">
        <v>546733.9</v>
      </c>
      <c r="D108" s="867">
        <v>41594.199999999997</v>
      </c>
      <c r="E108" s="867">
        <v>21547.9</v>
      </c>
      <c r="F108" s="1743">
        <v>488389.7</v>
      </c>
      <c r="G108" s="1764">
        <v>10073.799999999999</v>
      </c>
      <c r="H108" s="924">
        <v>23049.1</v>
      </c>
      <c r="I108" s="1764">
        <v>396846</v>
      </c>
      <c r="J108" s="1764">
        <v>184730.9</v>
      </c>
      <c r="K108" s="1764" t="s">
        <v>1310</v>
      </c>
      <c r="L108" s="1774">
        <v>51891.8</v>
      </c>
      <c r="M108" s="1754">
        <v>512864.5</v>
      </c>
      <c r="N108" s="867">
        <v>17718.8</v>
      </c>
      <c r="O108" s="867">
        <v>2747814.6</v>
      </c>
    </row>
    <row r="109" spans="2:26" ht="12" hidden="1" thickTop="1">
      <c r="B109" s="607" t="s">
        <v>338</v>
      </c>
      <c r="C109" s="867">
        <v>536188.9</v>
      </c>
      <c r="D109" s="867">
        <v>46085.8</v>
      </c>
      <c r="E109" s="867">
        <v>28201</v>
      </c>
      <c r="F109" s="1743">
        <v>500266.1</v>
      </c>
      <c r="G109" s="1764">
        <v>10656.3</v>
      </c>
      <c r="H109" s="924">
        <v>25616.2</v>
      </c>
      <c r="I109" s="1764">
        <v>417002.7</v>
      </c>
      <c r="J109" s="1764">
        <v>197441.1</v>
      </c>
      <c r="K109" s="1764">
        <v>432692.4</v>
      </c>
      <c r="L109" s="1774">
        <v>46751.6</v>
      </c>
      <c r="M109" s="1754">
        <v>499191.5</v>
      </c>
      <c r="N109" s="867">
        <v>17173.900000000001</v>
      </c>
      <c r="O109" s="867">
        <v>2757267.4</v>
      </c>
    </row>
    <row r="110" spans="2:26" ht="12" hidden="1" thickTop="1">
      <c r="B110" s="607" t="s">
        <v>339</v>
      </c>
      <c r="C110" s="867">
        <v>575645.30000000005</v>
      </c>
      <c r="D110" s="867">
        <v>43055</v>
      </c>
      <c r="E110" s="867">
        <v>28090.799999999999</v>
      </c>
      <c r="F110" s="1743">
        <v>480483.6</v>
      </c>
      <c r="G110" s="1764">
        <v>6359.2</v>
      </c>
      <c r="H110" s="924">
        <v>27284.9</v>
      </c>
      <c r="I110" s="1764">
        <v>428611.4</v>
      </c>
      <c r="J110" s="1764">
        <v>206052.3</v>
      </c>
      <c r="K110" s="1764">
        <v>479384.6</v>
      </c>
      <c r="L110" s="1774">
        <v>49260.4</v>
      </c>
      <c r="M110" s="1754">
        <v>507930</v>
      </c>
      <c r="N110" s="867">
        <v>46148.1</v>
      </c>
      <c r="O110" s="867">
        <v>2878305.8</v>
      </c>
    </row>
    <row r="111" spans="2:26" ht="12" hidden="1" thickTop="1">
      <c r="B111" s="607" t="s">
        <v>340</v>
      </c>
      <c r="C111" s="867">
        <v>548866.69999999995</v>
      </c>
      <c r="D111" s="867">
        <v>56886.1</v>
      </c>
      <c r="E111" s="867">
        <v>38891.300000000003</v>
      </c>
      <c r="F111" s="1743">
        <v>498696.8</v>
      </c>
      <c r="G111" s="1764">
        <v>54387.199999999997</v>
      </c>
      <c r="H111" s="924">
        <v>110618.5</v>
      </c>
      <c r="I111" s="1764">
        <v>422942.5</v>
      </c>
      <c r="J111" s="1764">
        <v>221099.2</v>
      </c>
      <c r="K111" s="1764">
        <v>430156.3</v>
      </c>
      <c r="L111" s="1774">
        <v>48167</v>
      </c>
      <c r="M111" s="1754">
        <v>474060.2</v>
      </c>
      <c r="N111" s="867">
        <v>37230.9</v>
      </c>
      <c r="O111" s="867">
        <v>2942002.7</v>
      </c>
    </row>
    <row r="112" spans="2:26" ht="12" hidden="1" thickTop="1">
      <c r="B112" s="607" t="s">
        <v>341</v>
      </c>
      <c r="C112" s="867">
        <v>539818.75</v>
      </c>
      <c r="D112" s="867">
        <v>51349.05</v>
      </c>
      <c r="E112" s="867">
        <v>29191.78</v>
      </c>
      <c r="F112" s="1743">
        <v>493610.73</v>
      </c>
      <c r="G112" s="1764">
        <v>51998.96</v>
      </c>
      <c r="H112" s="924">
        <v>109974.98</v>
      </c>
      <c r="I112" s="1764">
        <v>428697.3</v>
      </c>
      <c r="J112" s="1764">
        <v>201791.64</v>
      </c>
      <c r="K112" s="1764">
        <v>451117.23</v>
      </c>
      <c r="L112" s="1774">
        <v>45099.97</v>
      </c>
      <c r="M112" s="1754">
        <v>539108.11</v>
      </c>
      <c r="N112" s="867">
        <v>36708.589999999997</v>
      </c>
      <c r="O112" s="867">
        <f>+SUM(C112:N112)</f>
        <v>2978467.09</v>
      </c>
    </row>
    <row r="113" spans="2:17" ht="12" hidden="1" thickTop="1">
      <c r="B113" s="607" t="s">
        <v>342</v>
      </c>
      <c r="C113" s="867">
        <v>530544.66121499997</v>
      </c>
      <c r="D113" s="867">
        <v>62891.783029999999</v>
      </c>
      <c r="E113" s="867">
        <v>55922.49543000001</v>
      </c>
      <c r="F113" s="1743">
        <v>507936.44028599991</v>
      </c>
      <c r="G113" s="1764">
        <v>50701.103630000005</v>
      </c>
      <c r="H113" s="924">
        <v>101818.47853000001</v>
      </c>
      <c r="I113" s="1764">
        <v>436519.07627200003</v>
      </c>
      <c r="J113" s="1764">
        <v>196490.99407999995</v>
      </c>
      <c r="K113" s="1764">
        <v>413443.49621499999</v>
      </c>
      <c r="L113" s="1774">
        <v>39088.306198999991</v>
      </c>
      <c r="M113" s="1754">
        <v>520436.95084999991</v>
      </c>
      <c r="N113" s="867">
        <v>5799.4104600000001</v>
      </c>
      <c r="O113" s="867">
        <f>+SUM(C113:N113)</f>
        <v>2921593.1961969994</v>
      </c>
    </row>
    <row r="114" spans="2:17" ht="12" hidden="1" thickTop="1">
      <c r="B114" s="607" t="s">
        <v>343</v>
      </c>
      <c r="C114" s="867">
        <v>574859.5</v>
      </c>
      <c r="D114" s="867">
        <v>58780.5</v>
      </c>
      <c r="E114" s="867">
        <v>46419.5</v>
      </c>
      <c r="F114" s="1743">
        <v>460989.3</v>
      </c>
      <c r="G114" s="1764">
        <v>50008.6</v>
      </c>
      <c r="H114" s="924">
        <v>120510.39999999999</v>
      </c>
      <c r="I114" s="1764">
        <v>453924.5</v>
      </c>
      <c r="J114" s="1764">
        <v>208418.3</v>
      </c>
      <c r="K114" s="1764">
        <v>413410.7</v>
      </c>
      <c r="L114" s="1774">
        <v>45289.599999999999</v>
      </c>
      <c r="M114" s="1754">
        <v>540638.4</v>
      </c>
      <c r="N114" s="867">
        <v>5976.9</v>
      </c>
      <c r="O114" s="867">
        <f>+SUM(C114:N114)</f>
        <v>2979226.2</v>
      </c>
    </row>
    <row r="115" spans="2:17" ht="12" hidden="1" thickTop="1">
      <c r="B115" s="607" t="s">
        <v>344</v>
      </c>
      <c r="C115" s="867">
        <v>565840.1</v>
      </c>
      <c r="D115" s="867">
        <v>46298.5</v>
      </c>
      <c r="E115" s="867">
        <v>42604.800000000003</v>
      </c>
      <c r="F115" s="1743">
        <v>437975.3</v>
      </c>
      <c r="G115" s="1764">
        <v>47805.8</v>
      </c>
      <c r="H115" s="924">
        <v>88485.5</v>
      </c>
      <c r="I115" s="1764">
        <v>478895.5</v>
      </c>
      <c r="J115" s="1764">
        <v>220501.3</v>
      </c>
      <c r="K115" s="1764">
        <v>481497.5</v>
      </c>
      <c r="L115" s="1774">
        <v>43449.8</v>
      </c>
      <c r="M115" s="1754">
        <v>543038.5</v>
      </c>
      <c r="N115" s="867">
        <v>5957.7</v>
      </c>
      <c r="O115" s="867">
        <v>3002529.6</v>
      </c>
    </row>
    <row r="116" spans="2:17" ht="13.5" hidden="1" customHeight="1">
      <c r="B116" s="607"/>
      <c r="C116" s="867"/>
      <c r="D116" s="867"/>
      <c r="E116" s="867"/>
      <c r="F116" s="1743"/>
      <c r="G116" s="1764"/>
      <c r="H116" s="924"/>
      <c r="I116" s="1764"/>
      <c r="J116" s="1764"/>
      <c r="K116" s="1764"/>
      <c r="L116" s="1774"/>
      <c r="M116" s="1754"/>
      <c r="N116" s="867"/>
      <c r="O116" s="867"/>
    </row>
    <row r="117" spans="2:17" ht="13.5" hidden="1" thickTop="1">
      <c r="B117" s="951">
        <v>2015</v>
      </c>
      <c r="C117" s="952"/>
      <c r="D117" s="952"/>
      <c r="E117" s="952"/>
      <c r="F117" s="1745"/>
      <c r="G117" s="1765"/>
      <c r="H117" s="1783"/>
      <c r="I117" s="1765"/>
      <c r="J117" s="1765"/>
      <c r="K117" s="1765"/>
      <c r="L117" s="1775"/>
      <c r="M117" s="1756"/>
      <c r="N117" s="952"/>
      <c r="O117" s="867"/>
    </row>
    <row r="118" spans="2:17" ht="13.5" hidden="1" customHeight="1">
      <c r="B118" s="953" t="s">
        <v>345</v>
      </c>
      <c r="C118" s="952">
        <v>541656.5</v>
      </c>
      <c r="D118" s="952">
        <v>46681.599999999999</v>
      </c>
      <c r="E118" s="952">
        <v>39906.800000000003</v>
      </c>
      <c r="F118" s="1745">
        <v>445656.6</v>
      </c>
      <c r="G118" s="1765">
        <v>21454.5</v>
      </c>
      <c r="H118" s="1783">
        <v>131350.1</v>
      </c>
      <c r="I118" s="1765">
        <v>466896.6</v>
      </c>
      <c r="J118" s="1765">
        <v>207686.6</v>
      </c>
      <c r="K118" s="1765">
        <v>452817.5</v>
      </c>
      <c r="L118" s="1775">
        <v>47945.7</v>
      </c>
      <c r="M118" s="1756">
        <v>557066.9</v>
      </c>
      <c r="N118" s="952">
        <v>1401.2</v>
      </c>
      <c r="O118" s="867">
        <v>2960820.4</v>
      </c>
    </row>
    <row r="119" spans="2:17" ht="13.5" hidden="1" customHeight="1">
      <c r="B119" s="953" t="s">
        <v>334</v>
      </c>
      <c r="C119" s="952">
        <v>538721.97400000005</v>
      </c>
      <c r="D119" s="952">
        <v>42062.785000000003</v>
      </c>
      <c r="E119" s="952">
        <v>47395.093000000001</v>
      </c>
      <c r="F119" s="1745">
        <v>446647.772</v>
      </c>
      <c r="G119" s="1765">
        <v>21790.041000000001</v>
      </c>
      <c r="H119" s="1783">
        <v>117681.552</v>
      </c>
      <c r="I119" s="1765">
        <v>461237.60100000002</v>
      </c>
      <c r="J119" s="1765">
        <v>214420.378</v>
      </c>
      <c r="K119" s="1765">
        <v>463884.63299999997</v>
      </c>
      <c r="L119" s="1775">
        <v>48357.036</v>
      </c>
      <c r="M119" s="1756">
        <v>544838.51699999999</v>
      </c>
      <c r="N119" s="952">
        <v>1416.181</v>
      </c>
      <c r="O119" s="867">
        <f t="shared" ref="O119:O129" si="0">+SUM(C119:N119)</f>
        <v>2948453.5629999996</v>
      </c>
    </row>
    <row r="120" spans="2:17" ht="13.5" hidden="1" customHeight="1">
      <c r="B120" s="953" t="s">
        <v>335</v>
      </c>
      <c r="C120" s="952">
        <v>549118.01597996976</v>
      </c>
      <c r="D120" s="952">
        <v>42010.121926477557</v>
      </c>
      <c r="E120" s="952">
        <v>44087.193608110443</v>
      </c>
      <c r="F120" s="1745">
        <v>448278.74424032884</v>
      </c>
      <c r="G120" s="1765">
        <v>76302.303252354061</v>
      </c>
      <c r="H120" s="1783">
        <v>110180.33954130944</v>
      </c>
      <c r="I120" s="1765">
        <v>473978.10470472439</v>
      </c>
      <c r="J120" s="1765">
        <v>203327.85640264343</v>
      </c>
      <c r="K120" s="1765">
        <v>466104.73954001314</v>
      </c>
      <c r="L120" s="1775">
        <v>48937.971365439233</v>
      </c>
      <c r="M120" s="1756">
        <v>550140.62449177809</v>
      </c>
      <c r="N120" s="952">
        <v>1339.63</v>
      </c>
      <c r="O120" s="867">
        <f t="shared" si="0"/>
        <v>3013805.6450531483</v>
      </c>
    </row>
    <row r="121" spans="2:17" ht="13.5" hidden="1" customHeight="1">
      <c r="B121" s="953" t="s">
        <v>336</v>
      </c>
      <c r="C121" s="952">
        <v>556457.40981999994</v>
      </c>
      <c r="D121" s="952">
        <v>30687.29435</v>
      </c>
      <c r="E121" s="952">
        <v>44546.875489999999</v>
      </c>
      <c r="F121" s="1745">
        <v>451852.94235000003</v>
      </c>
      <c r="G121" s="1765">
        <v>65696.102429999999</v>
      </c>
      <c r="H121" s="1783">
        <v>72653.711859999996</v>
      </c>
      <c r="I121" s="1765">
        <v>457797.14572999999</v>
      </c>
      <c r="J121" s="1765">
        <v>202418.23415999999</v>
      </c>
      <c r="K121" s="1765">
        <v>518353.56073999999</v>
      </c>
      <c r="L121" s="1775">
        <v>47653.808539999998</v>
      </c>
      <c r="M121" s="1756">
        <v>551662.81316999998</v>
      </c>
      <c r="N121" s="952">
        <v>990.09100000000001</v>
      </c>
      <c r="O121" s="867">
        <f t="shared" si="0"/>
        <v>3000769.9896399998</v>
      </c>
    </row>
    <row r="122" spans="2:17" ht="13.5" hidden="1" customHeight="1">
      <c r="B122" s="953" t="s">
        <v>337</v>
      </c>
      <c r="C122" s="952">
        <v>577258.56125000003</v>
      </c>
      <c r="D122" s="952">
        <v>31400.6734</v>
      </c>
      <c r="E122" s="952">
        <v>44839.148730000001</v>
      </c>
      <c r="F122" s="1745">
        <v>456652.07808000001</v>
      </c>
      <c r="G122" s="1765">
        <v>64792.34244</v>
      </c>
      <c r="H122" s="1783">
        <v>75682.160099999994</v>
      </c>
      <c r="I122" s="1765">
        <v>460700.34529999999</v>
      </c>
      <c r="J122" s="1765">
        <v>192377.23457999999</v>
      </c>
      <c r="K122" s="1765">
        <v>545363.40642999997</v>
      </c>
      <c r="L122" s="1775">
        <v>50061.856379999997</v>
      </c>
      <c r="M122" s="1756">
        <v>561058.28106999991</v>
      </c>
      <c r="N122" s="952">
        <v>1034.373</v>
      </c>
      <c r="O122" s="867">
        <f t="shared" si="0"/>
        <v>3061220.4607599997</v>
      </c>
      <c r="Q122" s="530">
        <v>1000</v>
      </c>
    </row>
    <row r="123" spans="2:17" ht="13.5" hidden="1" customHeight="1">
      <c r="B123" s="953" t="s">
        <v>338</v>
      </c>
      <c r="C123" s="952">
        <v>576485.09744000004</v>
      </c>
      <c r="D123" s="952">
        <v>29649.034710000004</v>
      </c>
      <c r="E123" s="952">
        <v>56936.487329999996</v>
      </c>
      <c r="F123" s="1745">
        <v>463750.65015</v>
      </c>
      <c r="G123" s="1765">
        <v>20117.853179999998</v>
      </c>
      <c r="H123" s="1783">
        <v>91678.383020000008</v>
      </c>
      <c r="I123" s="1765">
        <v>407948.96961999999</v>
      </c>
      <c r="J123" s="1765">
        <v>181512.65121000001</v>
      </c>
      <c r="K123" s="1765">
        <v>512108.38313999999</v>
      </c>
      <c r="L123" s="1775">
        <v>40839.715889999992</v>
      </c>
      <c r="M123" s="1756">
        <v>590917.06420999987</v>
      </c>
      <c r="N123" s="952">
        <v>965.947</v>
      </c>
      <c r="O123" s="867">
        <f t="shared" si="0"/>
        <v>2972910.2369000004</v>
      </c>
    </row>
    <row r="124" spans="2:17" ht="13.5" hidden="1" customHeight="1">
      <c r="B124" s="953" t="s">
        <v>339</v>
      </c>
      <c r="C124" s="952">
        <v>589866.73219999997</v>
      </c>
      <c r="D124" s="952">
        <v>27447.931700000001</v>
      </c>
      <c r="E124" s="952">
        <v>56456.137370000004</v>
      </c>
      <c r="F124" s="1745">
        <v>474568.68005000002</v>
      </c>
      <c r="G124" s="1765">
        <v>21025.910179999999</v>
      </c>
      <c r="H124" s="1783">
        <v>92335.550109999996</v>
      </c>
      <c r="I124" s="1765">
        <v>418612.02838999999</v>
      </c>
      <c r="J124" s="1765">
        <v>186238.83445000002</v>
      </c>
      <c r="K124" s="1765">
        <v>416928.87507999997</v>
      </c>
      <c r="L124" s="1775">
        <v>41201.590729999996</v>
      </c>
      <c r="M124" s="1756">
        <v>579629.04185999988</v>
      </c>
      <c r="N124" s="952">
        <v>941.43200000000002</v>
      </c>
      <c r="O124" s="867">
        <f t="shared" si="0"/>
        <v>2905252.7441199995</v>
      </c>
    </row>
    <row r="125" spans="2:17" ht="13.5" hidden="1" customHeight="1">
      <c r="B125" s="953" t="s">
        <v>340</v>
      </c>
      <c r="C125" s="952">
        <v>580775.28650000016</v>
      </c>
      <c r="D125" s="952">
        <v>28148.754950000002</v>
      </c>
      <c r="E125" s="952">
        <v>58618.61277</v>
      </c>
      <c r="F125" s="1745">
        <v>460451.35158000002</v>
      </c>
      <c r="G125" s="1765">
        <v>22509.193179999998</v>
      </c>
      <c r="H125" s="1783">
        <v>105466.94398000001</v>
      </c>
      <c r="I125" s="1765">
        <v>411831.58727999998</v>
      </c>
      <c r="J125" s="1765">
        <v>176732.66442000002</v>
      </c>
      <c r="K125" s="1765">
        <v>440470.41926</v>
      </c>
      <c r="L125" s="1775">
        <v>41154.466009999996</v>
      </c>
      <c r="M125" s="1756">
        <v>571925.97849999985</v>
      </c>
      <c r="N125" s="952">
        <v>886.88</v>
      </c>
      <c r="O125" s="867">
        <f t="shared" si="0"/>
        <v>2898972.1384299998</v>
      </c>
    </row>
    <row r="126" spans="2:17" ht="13.5" hidden="1" customHeight="1">
      <c r="B126" s="953" t="s">
        <v>341</v>
      </c>
      <c r="C126" s="952">
        <v>598429.93062</v>
      </c>
      <c r="D126" s="952">
        <v>28307.877280000001</v>
      </c>
      <c r="E126" s="952">
        <v>59212.988340000004</v>
      </c>
      <c r="F126" s="1745">
        <v>443604.09937000007</v>
      </c>
      <c r="G126" s="1765">
        <v>22711.873179999999</v>
      </c>
      <c r="H126" s="1783">
        <v>102014.98034000001</v>
      </c>
      <c r="I126" s="1765">
        <v>421227.97336</v>
      </c>
      <c r="J126" s="1765">
        <v>174144.20763000002</v>
      </c>
      <c r="K126" s="1765">
        <v>467804.49501000001</v>
      </c>
      <c r="L126" s="1775">
        <v>43051.036949999994</v>
      </c>
      <c r="M126" s="1756">
        <v>569250.05350999988</v>
      </c>
      <c r="N126" s="952">
        <v>929.52099999999996</v>
      </c>
      <c r="O126" s="867">
        <f t="shared" si="0"/>
        <v>2930689.0365900006</v>
      </c>
    </row>
    <row r="127" spans="2:17" ht="13.5" hidden="1" customHeight="1">
      <c r="B127" s="953" t="s">
        <v>342</v>
      </c>
      <c r="C127" s="952">
        <v>609537.23918000003</v>
      </c>
      <c r="D127" s="952">
        <v>33868.437749999997</v>
      </c>
      <c r="E127" s="952">
        <v>53813.711909999998</v>
      </c>
      <c r="F127" s="1745">
        <v>466727.60313</v>
      </c>
      <c r="G127" s="1765">
        <v>21566.011180000001</v>
      </c>
      <c r="H127" s="1783">
        <v>104959.34356000001</v>
      </c>
      <c r="I127" s="1765">
        <v>447136.59071999998</v>
      </c>
      <c r="J127" s="1765">
        <v>141401.60445000001</v>
      </c>
      <c r="K127" s="1765">
        <v>484254.75345999998</v>
      </c>
      <c r="L127" s="1775">
        <v>40156.61666</v>
      </c>
      <c r="M127" s="1756">
        <v>573330.36726999981</v>
      </c>
      <c r="N127" s="952">
        <v>907.71900000000005</v>
      </c>
      <c r="O127" s="867">
        <f t="shared" si="0"/>
        <v>2977659.9982699994</v>
      </c>
    </row>
    <row r="128" spans="2:17" ht="15" hidden="1" customHeight="1">
      <c r="B128" s="953" t="s">
        <v>343</v>
      </c>
      <c r="C128" s="952">
        <v>650547.17152713728</v>
      </c>
      <c r="D128" s="952">
        <v>28696.710920653444</v>
      </c>
      <c r="E128" s="952">
        <v>49784.853569917337</v>
      </c>
      <c r="F128" s="1745">
        <v>440864.16996849002</v>
      </c>
      <c r="G128" s="1765">
        <v>12868.914488701714</v>
      </c>
      <c r="H128" s="1783">
        <v>104288.08051410523</v>
      </c>
      <c r="I128" s="1765">
        <v>428393.14477142168</v>
      </c>
      <c r="J128" s="1765">
        <v>152136.92264850764</v>
      </c>
      <c r="K128" s="1765">
        <v>444207.75032272632</v>
      </c>
      <c r="L128" s="1775">
        <v>40760.518325870537</v>
      </c>
      <c r="M128" s="1756">
        <v>543920.39541271958</v>
      </c>
      <c r="N128" s="952">
        <v>696.20500000000004</v>
      </c>
      <c r="O128" s="867">
        <f t="shared" si="0"/>
        <v>2897164.8374702502</v>
      </c>
    </row>
    <row r="129" spans="2:17" ht="20.25" hidden="1" customHeight="1">
      <c r="B129" s="953" t="s">
        <v>344</v>
      </c>
      <c r="C129" s="952">
        <v>590610.63590820797</v>
      </c>
      <c r="D129" s="952">
        <v>30958.779564229499</v>
      </c>
      <c r="E129" s="952">
        <v>44706.473424362201</v>
      </c>
      <c r="F129" s="1745">
        <v>366799.18023429799</v>
      </c>
      <c r="G129" s="1765">
        <v>13354.598293802201</v>
      </c>
      <c r="H129" s="1783">
        <v>87897.476006565397</v>
      </c>
      <c r="I129" s="1765">
        <v>450208.49412079901</v>
      </c>
      <c r="J129" s="1765">
        <v>163452.877181324</v>
      </c>
      <c r="K129" s="1765">
        <v>475424.45868318499</v>
      </c>
      <c r="L129" s="1775">
        <v>40154.294660748703</v>
      </c>
      <c r="M129" s="1756">
        <v>518998.25283694401</v>
      </c>
      <c r="N129" s="952">
        <v>527.49935249794498</v>
      </c>
      <c r="O129" s="867">
        <f t="shared" si="0"/>
        <v>2783093.0202669641</v>
      </c>
    </row>
    <row r="130" spans="2:17" ht="18" hidden="1" customHeight="1">
      <c r="B130" s="953"/>
      <c r="C130" s="952"/>
      <c r="D130" s="952"/>
      <c r="E130" s="952"/>
      <c r="F130" s="1745"/>
      <c r="G130" s="1765"/>
      <c r="H130" s="1783"/>
      <c r="I130" s="1765"/>
      <c r="J130" s="1765"/>
      <c r="K130" s="1765"/>
      <c r="L130" s="1775"/>
      <c r="M130" s="1756"/>
      <c r="N130" s="952"/>
      <c r="O130" s="952"/>
    </row>
    <row r="131" spans="2:17" ht="12.75" hidden="1" customHeight="1">
      <c r="B131" s="930">
        <v>2016</v>
      </c>
      <c r="C131" s="952"/>
      <c r="D131" s="952"/>
      <c r="E131" s="952"/>
      <c r="F131" s="1745"/>
      <c r="G131" s="1765"/>
      <c r="H131" s="1783"/>
      <c r="I131" s="1765"/>
      <c r="J131" s="1765"/>
      <c r="K131" s="1765"/>
      <c r="L131" s="1775"/>
      <c r="M131" s="1756"/>
      <c r="N131" s="952"/>
      <c r="O131" s="867"/>
    </row>
    <row r="132" spans="2:17" ht="13.5" hidden="1" customHeight="1">
      <c r="B132" s="1182" t="s">
        <v>345</v>
      </c>
      <c r="C132" s="1179">
        <v>577684.3761313248</v>
      </c>
      <c r="D132" s="1179">
        <v>35033.634409999999</v>
      </c>
      <c r="E132" s="1179">
        <v>35535.939891852751</v>
      </c>
      <c r="F132" s="1746">
        <v>379618.18375131028</v>
      </c>
      <c r="G132" s="1766">
        <v>13329.157005185734</v>
      </c>
      <c r="H132" s="1225">
        <v>68325.795789646087</v>
      </c>
      <c r="I132" s="1766">
        <v>476676.99916535011</v>
      </c>
      <c r="J132" s="1766">
        <v>158150.49367627787</v>
      </c>
      <c r="K132" s="1766">
        <v>410992.5953438303</v>
      </c>
      <c r="L132" s="1776">
        <v>40295.606872492506</v>
      </c>
      <c r="M132" s="1757">
        <v>535379.27163607953</v>
      </c>
      <c r="N132" s="1179">
        <v>380.17099999999999</v>
      </c>
      <c r="O132" s="1179">
        <f>+SUM(C132:N132)</f>
        <v>2731402.2246733499</v>
      </c>
    </row>
    <row r="133" spans="2:17" ht="13.5" hidden="1" customHeight="1">
      <c r="B133" s="1182" t="s">
        <v>334</v>
      </c>
      <c r="C133" s="1179">
        <v>539562.80512999999</v>
      </c>
      <c r="D133" s="1179">
        <v>35885.126779999991</v>
      </c>
      <c r="E133" s="1179">
        <v>37857.431400000009</v>
      </c>
      <c r="F133" s="1746">
        <v>374835.12011000002</v>
      </c>
      <c r="G133" s="1766">
        <v>13285.87118</v>
      </c>
      <c r="H133" s="1225">
        <v>63301.788690000001</v>
      </c>
      <c r="I133" s="1766">
        <v>473970.28807000001</v>
      </c>
      <c r="J133" s="1766">
        <v>155889.37384000001</v>
      </c>
      <c r="K133" s="1766">
        <v>415520.55783000001</v>
      </c>
      <c r="L133" s="1776">
        <v>40862.49555</v>
      </c>
      <c r="M133" s="1757">
        <v>531789.54531999992</v>
      </c>
      <c r="N133" s="1179">
        <v>365.30700000000002</v>
      </c>
      <c r="O133" s="1179">
        <v>2683125.7109000008</v>
      </c>
      <c r="Q133" s="916">
        <v>1000</v>
      </c>
    </row>
    <row r="134" spans="2:17" ht="13.5" hidden="1" customHeight="1">
      <c r="B134" s="1180" t="s">
        <v>335</v>
      </c>
      <c r="C134" s="1179">
        <v>586349.72360000003</v>
      </c>
      <c r="D134" s="1179">
        <v>39180.482629999999</v>
      </c>
      <c r="E134" s="1179">
        <v>41037.509870000002</v>
      </c>
      <c r="F134" s="1746">
        <v>371809.63652</v>
      </c>
      <c r="G134" s="1766">
        <v>13397.894179999999</v>
      </c>
      <c r="H134" s="1225">
        <v>63061.358209999999</v>
      </c>
      <c r="I134" s="1766">
        <v>444769.08032000007</v>
      </c>
      <c r="J134" s="1766">
        <v>156209.21027000001</v>
      </c>
      <c r="K134" s="1766">
        <v>402900.48317999998</v>
      </c>
      <c r="L134" s="1776">
        <v>44606.678</v>
      </c>
      <c r="M134" s="1757">
        <v>588882.68245999992</v>
      </c>
      <c r="N134" s="1179">
        <v>410.74</v>
      </c>
      <c r="O134" s="1179">
        <v>2752615.4792400007</v>
      </c>
      <c r="Q134" s="916"/>
    </row>
    <row r="135" spans="2:17" ht="13.5" hidden="1" customHeight="1">
      <c r="B135" s="1180" t="s">
        <v>336</v>
      </c>
      <c r="C135" s="1179">
        <v>527545.79981</v>
      </c>
      <c r="D135" s="1179">
        <v>46612.508249999999</v>
      </c>
      <c r="E135" s="1179">
        <v>40624.21970999999</v>
      </c>
      <c r="F135" s="1746">
        <v>379571.96559000004</v>
      </c>
      <c r="G135" s="1766">
        <v>13428.107050000001</v>
      </c>
      <c r="H135" s="1225">
        <v>69469.708639999997</v>
      </c>
      <c r="I135" s="1766">
        <v>437795.36063000007</v>
      </c>
      <c r="J135" s="1766">
        <v>142682.07503000001</v>
      </c>
      <c r="K135" s="1766">
        <v>421335.55911999999</v>
      </c>
      <c r="L135" s="1776">
        <v>43921.374609999992</v>
      </c>
      <c r="M135" s="1757">
        <v>645037.29125000001</v>
      </c>
      <c r="N135" s="1179">
        <v>9410.027</v>
      </c>
      <c r="O135" s="1179">
        <v>2777433.9966899995</v>
      </c>
      <c r="Q135" s="916">
        <v>1000</v>
      </c>
    </row>
    <row r="136" spans="2:17" ht="13.5" hidden="1" customHeight="1">
      <c r="B136" s="1180" t="s">
        <v>337</v>
      </c>
      <c r="C136" s="1179">
        <v>522239.83062999998</v>
      </c>
      <c r="D136" s="1179">
        <v>40194.356060000006</v>
      </c>
      <c r="E136" s="1179">
        <v>38496.83481</v>
      </c>
      <c r="F136" s="1746">
        <v>358042.51500999997</v>
      </c>
      <c r="G136" s="1766">
        <v>13280.842050000001</v>
      </c>
      <c r="H136" s="1225">
        <v>65381.238259999998</v>
      </c>
      <c r="I136" s="1766">
        <v>439295.47350000002</v>
      </c>
      <c r="J136" s="1766">
        <v>145180.00293000002</v>
      </c>
      <c r="K136" s="1766">
        <v>401304.06614000001</v>
      </c>
      <c r="L136" s="1776">
        <v>41908.492130000006</v>
      </c>
      <c r="M136" s="1757">
        <v>651719.28992000001</v>
      </c>
      <c r="N136" s="1179">
        <v>9578.9740000000002</v>
      </c>
      <c r="O136" s="1179">
        <v>2726621.9154400001</v>
      </c>
      <c r="Q136" s="916"/>
    </row>
    <row r="137" spans="2:17" ht="13.5" hidden="1" customHeight="1">
      <c r="B137" s="1180" t="s">
        <v>338</v>
      </c>
      <c r="C137" s="1179">
        <v>510016.82611000002</v>
      </c>
      <c r="D137" s="1179">
        <v>39316.944040000002</v>
      </c>
      <c r="E137" s="1179">
        <v>36866.13027999999</v>
      </c>
      <c r="F137" s="1746">
        <v>361138.11921000003</v>
      </c>
      <c r="G137" s="1766">
        <v>12764.477050000001</v>
      </c>
      <c r="H137" s="1225">
        <v>68850.32465000001</v>
      </c>
      <c r="I137" s="1766">
        <v>433145.27992999996</v>
      </c>
      <c r="J137" s="1766">
        <v>143595.57198000001</v>
      </c>
      <c r="K137" s="1766">
        <v>476484.52530999994</v>
      </c>
      <c r="L137" s="1776">
        <v>42179.59865</v>
      </c>
      <c r="M137" s="1757">
        <v>650071.35571999988</v>
      </c>
      <c r="N137" s="1179">
        <v>9739.1579999999994</v>
      </c>
      <c r="O137" s="1179">
        <v>2784168.3109300002</v>
      </c>
      <c r="Q137" s="916"/>
    </row>
    <row r="138" spans="2:17" ht="13.5" hidden="1" customHeight="1">
      <c r="B138" s="1180" t="s">
        <v>339</v>
      </c>
      <c r="C138" s="1179">
        <v>501744.55872999993</v>
      </c>
      <c r="D138" s="1179">
        <v>43266.633040000001</v>
      </c>
      <c r="E138" s="1179">
        <v>12746.621230000001</v>
      </c>
      <c r="F138" s="1746">
        <v>287960.53413000004</v>
      </c>
      <c r="G138" s="1766">
        <v>11403.028050000001</v>
      </c>
      <c r="H138" s="1225">
        <v>64344.74164</v>
      </c>
      <c r="I138" s="1766">
        <v>423354.38434000005</v>
      </c>
      <c r="J138" s="1766">
        <v>141639.58378000002</v>
      </c>
      <c r="K138" s="1766">
        <v>489050.58799000003</v>
      </c>
      <c r="L138" s="1776">
        <v>40059.881970000002</v>
      </c>
      <c r="M138" s="1757">
        <v>652366.76529000001</v>
      </c>
      <c r="N138" s="1179">
        <v>9804.5709999999999</v>
      </c>
      <c r="O138" s="1179">
        <v>2677741.8911900003</v>
      </c>
      <c r="Q138" s="916"/>
    </row>
    <row r="139" spans="2:17" ht="13.5" hidden="1" customHeight="1">
      <c r="B139" s="1180" t="s">
        <v>340</v>
      </c>
      <c r="C139" s="1179">
        <v>498489.63701000006</v>
      </c>
      <c r="D139" s="1179">
        <v>43265.509809999996</v>
      </c>
      <c r="E139" s="1179">
        <v>26005.351309999998</v>
      </c>
      <c r="F139" s="1746">
        <v>295107.96183000004</v>
      </c>
      <c r="G139" s="1766">
        <v>11957.40418</v>
      </c>
      <c r="H139" s="1225">
        <v>69959.847399999999</v>
      </c>
      <c r="I139" s="1766">
        <v>423824.70783999999</v>
      </c>
      <c r="J139" s="1766">
        <v>139556.66958000002</v>
      </c>
      <c r="K139" s="1766">
        <v>458763.31650000002</v>
      </c>
      <c r="L139" s="1776">
        <v>44237.337509999998</v>
      </c>
      <c r="M139" s="1757">
        <v>636726.75025000004</v>
      </c>
      <c r="N139" s="1179">
        <v>10497.050999999999</v>
      </c>
      <c r="O139" s="1179">
        <v>2658391.54422</v>
      </c>
      <c r="Q139" s="916"/>
    </row>
    <row r="140" spans="2:17" ht="13.5" hidden="1" customHeight="1">
      <c r="B140" s="1180" t="s">
        <v>341</v>
      </c>
      <c r="C140" s="1181">
        <v>487504.2</v>
      </c>
      <c r="D140" s="1179">
        <v>42900.696519999998</v>
      </c>
      <c r="E140" s="1181">
        <v>20644.2</v>
      </c>
      <c r="F140" s="1746">
        <v>338165.8</v>
      </c>
      <c r="G140" s="1766">
        <v>11960.4</v>
      </c>
      <c r="H140" s="1225">
        <v>154582.0232</v>
      </c>
      <c r="I140" s="1766">
        <v>409891.03</v>
      </c>
      <c r="J140" s="1766">
        <v>142259.6</v>
      </c>
      <c r="K140" s="1766">
        <v>400059.8</v>
      </c>
      <c r="L140" s="1776">
        <v>40609.699999999997</v>
      </c>
      <c r="M140" s="1757">
        <v>636000.75586000003</v>
      </c>
      <c r="N140" s="1181">
        <v>11273.255999999999</v>
      </c>
      <c r="O140" s="1181">
        <f>SUM(C140:N140)</f>
        <v>2695851.4615800004</v>
      </c>
      <c r="Q140" s="916"/>
    </row>
    <row r="141" spans="2:17" ht="13.5" hidden="1" customHeight="1">
      <c r="B141" s="1180" t="s">
        <v>342</v>
      </c>
      <c r="C141" s="1181">
        <v>513303.73326999997</v>
      </c>
      <c r="D141" s="1181">
        <v>44348.826719999997</v>
      </c>
      <c r="E141" s="1181">
        <v>23814.148100000002</v>
      </c>
      <c r="F141" s="1746">
        <v>333709.51535</v>
      </c>
      <c r="G141" s="1766">
        <v>11968.597179999999</v>
      </c>
      <c r="H141" s="1225">
        <v>70984.282059999998</v>
      </c>
      <c r="I141" s="1766">
        <v>418465.26685999997</v>
      </c>
      <c r="J141" s="1766">
        <v>152571.55562999999</v>
      </c>
      <c r="K141" s="1766">
        <v>456867.40477999998</v>
      </c>
      <c r="L141" s="1776">
        <v>45511.398910000004</v>
      </c>
      <c r="M141" s="1757">
        <v>637546.11503999995</v>
      </c>
      <c r="N141" s="1181">
        <v>11122.177</v>
      </c>
      <c r="O141" s="1181">
        <v>2720213.0208999994</v>
      </c>
      <c r="Q141" s="916"/>
    </row>
    <row r="142" spans="2:17" ht="13.5" hidden="1" customHeight="1">
      <c r="B142" s="1180" t="s">
        <v>343</v>
      </c>
      <c r="C142" s="1181">
        <v>526709.80000000005</v>
      </c>
      <c r="D142" s="1179">
        <v>42580.2</v>
      </c>
      <c r="E142" s="1179">
        <v>22481.4</v>
      </c>
      <c r="F142" s="1746">
        <v>338556.1</v>
      </c>
      <c r="G142" s="1766">
        <v>11358.7</v>
      </c>
      <c r="H142" s="1225">
        <v>72491.899999999994</v>
      </c>
      <c r="I142" s="1766">
        <v>413849.2</v>
      </c>
      <c r="J142" s="1766">
        <v>152092.29999999999</v>
      </c>
      <c r="K142" s="1766">
        <v>464279.4</v>
      </c>
      <c r="L142" s="1776">
        <v>42762.1</v>
      </c>
      <c r="M142" s="1757">
        <v>641080.5</v>
      </c>
      <c r="N142" s="1179">
        <v>10545.5</v>
      </c>
      <c r="O142" s="1179">
        <v>2738787</v>
      </c>
      <c r="Q142" s="916"/>
    </row>
    <row r="143" spans="2:17" ht="15.75" hidden="1" customHeight="1">
      <c r="B143" s="1178" t="s">
        <v>344</v>
      </c>
      <c r="C143" s="1179">
        <v>436452.3</v>
      </c>
      <c r="D143" s="1179">
        <v>41297.5</v>
      </c>
      <c r="E143" s="1179">
        <v>19541.400000000001</v>
      </c>
      <c r="F143" s="1746">
        <v>311503.09999999998</v>
      </c>
      <c r="G143" s="1766">
        <v>11668.9</v>
      </c>
      <c r="H143" s="1225">
        <v>327575.96676725923</v>
      </c>
      <c r="I143" s="1766">
        <v>377945.5</v>
      </c>
      <c r="J143" s="1766">
        <v>134516</v>
      </c>
      <c r="K143" s="1766">
        <v>415801.59999999998</v>
      </c>
      <c r="L143" s="1776">
        <v>36867.199999999997</v>
      </c>
      <c r="M143" s="1757">
        <v>613022.6</v>
      </c>
      <c r="N143" s="1179">
        <v>10287.700000000001</v>
      </c>
      <c r="O143" s="1179">
        <v>2736479.6</v>
      </c>
      <c r="Q143" s="916"/>
    </row>
    <row r="144" spans="2:17" ht="13.5" customHeight="1" thickTop="1">
      <c r="B144" s="1018"/>
      <c r="C144" s="952"/>
      <c r="D144" s="952"/>
      <c r="E144" s="952"/>
      <c r="F144" s="1745"/>
      <c r="G144" s="1765"/>
      <c r="H144" s="1783"/>
      <c r="I144" s="1765"/>
      <c r="J144" s="1765"/>
      <c r="K144" s="1765"/>
      <c r="L144" s="1775"/>
      <c r="M144" s="1756"/>
      <c r="N144" s="952"/>
      <c r="O144" s="952"/>
      <c r="Q144" s="916"/>
    </row>
    <row r="145" spans="2:18" ht="13.5" customHeight="1">
      <c r="B145" s="930">
        <v>2017</v>
      </c>
      <c r="C145" s="952"/>
      <c r="D145" s="952"/>
      <c r="E145" s="952"/>
      <c r="F145" s="1745"/>
      <c r="G145" s="1765"/>
      <c r="H145" s="1783"/>
      <c r="I145" s="1765"/>
      <c r="J145" s="1765"/>
      <c r="K145" s="1765"/>
      <c r="L145" s="1775"/>
      <c r="M145" s="1756"/>
      <c r="N145" s="952"/>
      <c r="O145" s="952"/>
      <c r="Q145" s="916"/>
      <c r="R145" s="530">
        <v>1000000</v>
      </c>
    </row>
    <row r="146" spans="2:18" ht="13.5" hidden="1" customHeight="1">
      <c r="B146" s="1178" t="s">
        <v>345</v>
      </c>
      <c r="C146" s="1179">
        <v>448344.69129898638</v>
      </c>
      <c r="D146" s="1179">
        <v>41732.817209746907</v>
      </c>
      <c r="E146" s="1179">
        <v>22069.342129563138</v>
      </c>
      <c r="F146" s="1746">
        <v>264734.22784650838</v>
      </c>
      <c r="G146" s="1766">
        <v>12019.334933587603</v>
      </c>
      <c r="H146" s="1225">
        <v>270117.20045183407</v>
      </c>
      <c r="I146" s="1766">
        <v>350757.13128586317</v>
      </c>
      <c r="J146" s="1766">
        <v>144447.32195607288</v>
      </c>
      <c r="K146" s="1766">
        <v>394945.00020818261</v>
      </c>
      <c r="L146" s="1776">
        <v>40974.963209417139</v>
      </c>
      <c r="M146" s="1757">
        <v>591245.72641620948</v>
      </c>
      <c r="N146" s="1179">
        <v>11489.307543607361</v>
      </c>
      <c r="O146" s="1179">
        <v>2592877.0644895793</v>
      </c>
      <c r="Q146" s="916"/>
    </row>
    <row r="147" spans="2:18" ht="13.5" hidden="1" customHeight="1">
      <c r="B147" s="1178" t="s">
        <v>334</v>
      </c>
      <c r="C147" s="1179">
        <v>436206.24388999998</v>
      </c>
      <c r="D147" s="1179">
        <v>40112.294190000001</v>
      </c>
      <c r="E147" s="1179">
        <v>24467.489409999998</v>
      </c>
      <c r="F147" s="1746">
        <v>269358.31718000001</v>
      </c>
      <c r="G147" s="1766">
        <v>12146.785180000001</v>
      </c>
      <c r="H147" s="1225">
        <v>272314.83276999998</v>
      </c>
      <c r="I147" s="1766">
        <v>361416.83984999999</v>
      </c>
      <c r="J147" s="1766">
        <v>143990.36227000001</v>
      </c>
      <c r="K147" s="1766">
        <v>373445.05574999994</v>
      </c>
      <c r="L147" s="1776">
        <v>40250.681809999995</v>
      </c>
      <c r="M147" s="1757">
        <v>568686.27506999997</v>
      </c>
      <c r="N147" s="1179">
        <v>11227.869000000001</v>
      </c>
      <c r="O147" s="1179">
        <v>2553623.0463700001</v>
      </c>
      <c r="Q147" s="916"/>
    </row>
    <row r="148" spans="2:18" ht="13.5" hidden="1" customHeight="1">
      <c r="B148" s="1178" t="s">
        <v>335</v>
      </c>
      <c r="C148" s="1179">
        <v>425496.81008999998</v>
      </c>
      <c r="D148" s="1179">
        <v>54688.362419999998</v>
      </c>
      <c r="E148" s="1179">
        <v>25533.44051</v>
      </c>
      <c r="F148" s="1746">
        <v>275500.14506000001</v>
      </c>
      <c r="G148" s="1766">
        <v>12241.775180000001</v>
      </c>
      <c r="H148" s="1225">
        <v>290985.25154999993</v>
      </c>
      <c r="I148" s="1766">
        <v>349722.51429999998</v>
      </c>
      <c r="J148" s="1766">
        <v>159101.03737000001</v>
      </c>
      <c r="K148" s="1766">
        <v>359672.51640999998</v>
      </c>
      <c r="L148" s="1776">
        <v>37864.054630000006</v>
      </c>
      <c r="M148" s="1757">
        <v>572233.2647099999</v>
      </c>
      <c r="N148" s="1179">
        <v>13047.709000000001</v>
      </c>
      <c r="O148" s="1179">
        <f t="shared" ref="O148:O157" si="1">(SUM(C148:N148))</f>
        <v>2576086.8812299995</v>
      </c>
      <c r="Q148" s="916"/>
    </row>
    <row r="149" spans="2:18" ht="13.5" hidden="1" customHeight="1">
      <c r="B149" s="1178" t="s">
        <v>336</v>
      </c>
      <c r="C149" s="1179">
        <v>426696.6</v>
      </c>
      <c r="D149" s="1179">
        <v>43836.6</v>
      </c>
      <c r="E149" s="1179">
        <v>18145.2</v>
      </c>
      <c r="F149" s="1746">
        <v>340025.3</v>
      </c>
      <c r="G149" s="1766">
        <v>12219.1</v>
      </c>
      <c r="H149" s="1225">
        <v>271824</v>
      </c>
      <c r="I149" s="1766">
        <v>360945.8</v>
      </c>
      <c r="J149" s="1766">
        <v>134101</v>
      </c>
      <c r="K149" s="1766">
        <v>350475.1</v>
      </c>
      <c r="L149" s="1776">
        <v>42208.4</v>
      </c>
      <c r="M149" s="1757">
        <v>571000.5</v>
      </c>
      <c r="N149" s="1179">
        <v>12492.9</v>
      </c>
      <c r="O149" s="1179">
        <f t="shared" si="1"/>
        <v>2583970.4999999995</v>
      </c>
      <c r="Q149" s="916"/>
    </row>
    <row r="150" spans="2:18" ht="13.5" hidden="1" customHeight="1">
      <c r="B150" s="1178" t="s">
        <v>337</v>
      </c>
      <c r="C150" s="1179">
        <v>428873.96071999997</v>
      </c>
      <c r="D150" s="1179">
        <v>43426.976769999994</v>
      </c>
      <c r="E150" s="1179">
        <v>16689.044549999999</v>
      </c>
      <c r="F150" s="1746">
        <v>322695.44492000004</v>
      </c>
      <c r="G150" s="1766">
        <v>12252.609179999999</v>
      </c>
      <c r="H150" s="1225">
        <v>269976.33457000001</v>
      </c>
      <c r="I150" s="1766">
        <v>360929.89127999998</v>
      </c>
      <c r="J150" s="1766">
        <v>117479.92615000001</v>
      </c>
      <c r="K150" s="1766">
        <v>354102.72136000003</v>
      </c>
      <c r="L150" s="1776">
        <v>41337.505020000004</v>
      </c>
      <c r="M150" s="1757">
        <v>569798.85404999997</v>
      </c>
      <c r="N150" s="1179">
        <v>11923.703</v>
      </c>
      <c r="O150" s="1179">
        <f t="shared" si="1"/>
        <v>2549486.9715700005</v>
      </c>
      <c r="Q150" s="916"/>
    </row>
    <row r="151" spans="2:18" ht="13.5" customHeight="1">
      <c r="B151" s="1178" t="s">
        <v>338</v>
      </c>
      <c r="C151" s="1179">
        <v>431677.54699</v>
      </c>
      <c r="D151" s="1179">
        <v>45017.95362</v>
      </c>
      <c r="E151" s="1179">
        <v>16989.168490000004</v>
      </c>
      <c r="F151" s="1746">
        <v>311641.37383</v>
      </c>
      <c r="G151" s="1766">
        <v>14435.56018</v>
      </c>
      <c r="H151" s="1225">
        <v>266917.50887000002</v>
      </c>
      <c r="I151" s="1766">
        <v>343590.17304000002</v>
      </c>
      <c r="J151" s="1766">
        <v>126542.83456000002</v>
      </c>
      <c r="K151" s="1766">
        <v>417469.76240000001</v>
      </c>
      <c r="L151" s="1776">
        <v>37849.48401</v>
      </c>
      <c r="M151" s="1757">
        <v>595749.54584999988</v>
      </c>
      <c r="N151" s="1179">
        <v>12001.606</v>
      </c>
      <c r="O151" s="1179">
        <f t="shared" si="1"/>
        <v>2619882.5178400003</v>
      </c>
      <c r="Q151" s="916">
        <v>1000</v>
      </c>
    </row>
    <row r="152" spans="2:18" ht="13.5" customHeight="1">
      <c r="B152" s="1178" t="s">
        <v>339</v>
      </c>
      <c r="C152" s="1179">
        <v>459127.9734496781</v>
      </c>
      <c r="D152" s="1179">
        <v>52500.082293626874</v>
      </c>
      <c r="E152" s="1179">
        <v>11717.012812728704</v>
      </c>
      <c r="F152" s="1746">
        <v>255319.03706294263</v>
      </c>
      <c r="G152" s="1766">
        <v>14541.04051585981</v>
      </c>
      <c r="H152" s="1225">
        <v>255591.1537658149</v>
      </c>
      <c r="I152" s="1766">
        <v>311364.35411469842</v>
      </c>
      <c r="J152" s="1766">
        <v>131420.5025827128</v>
      </c>
      <c r="K152" s="1766">
        <v>422799.79531096894</v>
      </c>
      <c r="L152" s="1776">
        <v>39630.676448242302</v>
      </c>
      <c r="M152" s="1757">
        <v>609112.51201887568</v>
      </c>
      <c r="N152" s="1179">
        <v>14464.342581858118</v>
      </c>
      <c r="O152" s="1179">
        <f t="shared" si="1"/>
        <v>2577588.4829580071</v>
      </c>
      <c r="Q152" s="916"/>
      <c r="R152" s="959">
        <v>1000</v>
      </c>
    </row>
    <row r="153" spans="2:18" ht="13.5" customHeight="1">
      <c r="B153" s="1178" t="s">
        <v>340</v>
      </c>
      <c r="C153" s="1179">
        <v>457861.92856999999</v>
      </c>
      <c r="D153" s="1179">
        <v>52622.559820000002</v>
      </c>
      <c r="E153" s="1179">
        <v>11736.01714</v>
      </c>
      <c r="F153" s="1746">
        <v>262602.65463</v>
      </c>
      <c r="G153" s="1766">
        <v>17438.897089999999</v>
      </c>
      <c r="H153" s="1225">
        <v>256802.26422000001</v>
      </c>
      <c r="I153" s="1766">
        <v>313868.53775000002</v>
      </c>
      <c r="J153" s="1766">
        <v>138714.90734000001</v>
      </c>
      <c r="K153" s="1766">
        <v>420653.59417</v>
      </c>
      <c r="L153" s="1776">
        <v>41089.288860000001</v>
      </c>
      <c r="M153" s="1757">
        <v>617686.42952999996</v>
      </c>
      <c r="N153" s="1179">
        <v>15194.183999999999</v>
      </c>
      <c r="O153" s="1179">
        <f t="shared" si="1"/>
        <v>2606271.2631199998</v>
      </c>
      <c r="Q153" s="916">
        <v>1000000</v>
      </c>
    </row>
    <row r="154" spans="2:18" ht="13.5" customHeight="1">
      <c r="B154" s="1178" t="s">
        <v>341</v>
      </c>
      <c r="C154" s="1179">
        <v>457157.17464398593</v>
      </c>
      <c r="D154" s="1179">
        <v>48477.145406154974</v>
      </c>
      <c r="E154" s="1179">
        <v>12117.865641883207</v>
      </c>
      <c r="F154" s="1746">
        <v>340506.37120804441</v>
      </c>
      <c r="G154" s="1766">
        <v>21660.117839999999</v>
      </c>
      <c r="H154" s="1225">
        <v>265082.33934053994</v>
      </c>
      <c r="I154" s="1766">
        <v>331929.56044874655</v>
      </c>
      <c r="J154" s="1766">
        <v>124822.81084450224</v>
      </c>
      <c r="K154" s="1766">
        <v>393491.34103733988</v>
      </c>
      <c r="L154" s="1776">
        <v>41116.954274736338</v>
      </c>
      <c r="M154" s="1757">
        <v>619866.96501938126</v>
      </c>
      <c r="N154" s="1179">
        <v>16061.198</v>
      </c>
      <c r="O154" s="1179">
        <f t="shared" si="1"/>
        <v>2672289.8437053142</v>
      </c>
      <c r="Q154" s="916"/>
    </row>
    <row r="155" spans="2:18" ht="13.5" customHeight="1">
      <c r="B155" s="1178" t="s">
        <v>342</v>
      </c>
      <c r="C155" s="1179">
        <v>460475.05972905498</v>
      </c>
      <c r="D155" s="1179">
        <v>46588.024888095097</v>
      </c>
      <c r="E155" s="1179">
        <v>12273.5604823049</v>
      </c>
      <c r="F155" s="1746">
        <v>329020.80449819099</v>
      </c>
      <c r="G155" s="1766">
        <v>21810.625470160601</v>
      </c>
      <c r="H155" s="1225">
        <v>262118.23717054</v>
      </c>
      <c r="I155" s="1766">
        <v>317587.017546847</v>
      </c>
      <c r="J155" s="1766">
        <v>126041.558366058</v>
      </c>
      <c r="K155" s="1766">
        <v>383374.31535188202</v>
      </c>
      <c r="L155" s="1776">
        <v>41351.434681445302</v>
      </c>
      <c r="M155" s="1757">
        <v>634561.22937300103</v>
      </c>
      <c r="N155" s="1179">
        <v>16061.198</v>
      </c>
      <c r="O155" s="1179">
        <f t="shared" si="1"/>
        <v>2651263.0655575795</v>
      </c>
      <c r="Q155" s="916"/>
    </row>
    <row r="156" spans="2:18" ht="13.5" customHeight="1">
      <c r="B156" s="1178" t="s">
        <v>343</v>
      </c>
      <c r="C156" s="1179">
        <v>477486.139098374</v>
      </c>
      <c r="D156" s="1179">
        <v>46318.316296178702</v>
      </c>
      <c r="E156" s="1179">
        <v>12005.2406981645</v>
      </c>
      <c r="F156" s="1746">
        <v>323990.014348995</v>
      </c>
      <c r="G156" s="1766">
        <v>21811.003291485998</v>
      </c>
      <c r="H156" s="1225">
        <v>261421.05925054001</v>
      </c>
      <c r="I156" s="1766">
        <v>316225.50860697997</v>
      </c>
      <c r="J156" s="1766">
        <v>123307.23199390899</v>
      </c>
      <c r="K156" s="1766">
        <v>379542.70734984102</v>
      </c>
      <c r="L156" s="1776">
        <v>32215.253190544401</v>
      </c>
      <c r="M156" s="1757">
        <v>649034.32937159797</v>
      </c>
      <c r="N156" s="1179">
        <v>16061.198</v>
      </c>
      <c r="O156" s="1179">
        <f t="shared" si="1"/>
        <v>2659418.0014966102</v>
      </c>
      <c r="Q156" s="916"/>
    </row>
    <row r="157" spans="2:18" ht="13.5" customHeight="1">
      <c r="B157" s="1178" t="s">
        <v>344</v>
      </c>
      <c r="C157" s="1179">
        <v>489695.59354745218</v>
      </c>
      <c r="D157" s="1179">
        <v>54162.931060538322</v>
      </c>
      <c r="E157" s="1179">
        <v>10118.992550000001</v>
      </c>
      <c r="F157" s="1746">
        <v>334030.31992725091</v>
      </c>
      <c r="G157" s="1766">
        <v>21844.564739999998</v>
      </c>
      <c r="H157" s="1225">
        <v>269399.26811</v>
      </c>
      <c r="I157" s="1766">
        <v>307801.96198279236</v>
      </c>
      <c r="J157" s="1766">
        <v>126718.9919820948</v>
      </c>
      <c r="K157" s="1766">
        <v>375161.73033999995</v>
      </c>
      <c r="L157" s="1776">
        <v>31701.628600045075</v>
      </c>
      <c r="M157" s="1757">
        <v>621421.89894183911</v>
      </c>
      <c r="N157" s="1179">
        <v>13938.093510000001</v>
      </c>
      <c r="O157" s="1179">
        <f t="shared" si="1"/>
        <v>2655995.9752920126</v>
      </c>
      <c r="Q157" s="916"/>
    </row>
    <row r="158" spans="2:18" ht="13.5" customHeight="1">
      <c r="B158" s="1290"/>
      <c r="C158" s="1291"/>
      <c r="D158" s="1291"/>
      <c r="E158" s="1291"/>
      <c r="F158" s="1746"/>
      <c r="G158" s="1766"/>
      <c r="H158" s="1225"/>
      <c r="I158" s="1766"/>
      <c r="J158" s="1766"/>
      <c r="K158" s="1766"/>
      <c r="L158" s="1776"/>
      <c r="M158" s="1757"/>
      <c r="N158" s="1291"/>
      <c r="O158" s="1291"/>
      <c r="Q158" s="916"/>
    </row>
    <row r="159" spans="2:18" ht="13.5" customHeight="1">
      <c r="B159" s="930">
        <v>2018</v>
      </c>
      <c r="C159" s="1291"/>
      <c r="D159" s="1291"/>
      <c r="E159" s="1291"/>
      <c r="F159" s="1746"/>
      <c r="G159" s="1766"/>
      <c r="H159" s="1225"/>
      <c r="I159" s="1766"/>
      <c r="J159" s="1766"/>
      <c r="K159" s="1766"/>
      <c r="L159" s="1776"/>
      <c r="M159" s="1757"/>
      <c r="N159" s="1291"/>
      <c r="O159" s="1291"/>
      <c r="Q159" s="916"/>
    </row>
    <row r="160" spans="2:18" ht="13.5" customHeight="1">
      <c r="B160" s="930" t="s">
        <v>345</v>
      </c>
      <c r="C160" s="1291">
        <v>479109.64676880161</v>
      </c>
      <c r="D160" s="1291">
        <v>59336.798786619343</v>
      </c>
      <c r="E160" s="1291">
        <v>9442.4018342491108</v>
      </c>
      <c r="F160" s="1746">
        <v>289531.26020183339</v>
      </c>
      <c r="G160" s="1766">
        <v>20569.744815363094</v>
      </c>
      <c r="H160" s="1225">
        <v>258034.97019189221</v>
      </c>
      <c r="I160" s="1766">
        <v>271453.80955297028</v>
      </c>
      <c r="J160" s="1766">
        <v>106425.09261003375</v>
      </c>
      <c r="K160" s="1766">
        <v>390052.89160106052</v>
      </c>
      <c r="L160" s="1776">
        <v>32328.601481895585</v>
      </c>
      <c r="M160" s="1757">
        <v>617302.9504504432</v>
      </c>
      <c r="N160" s="1291">
        <v>14394.66285366872</v>
      </c>
      <c r="O160" s="1291">
        <f t="shared" ref="O160:O170" si="2">SUM(C160:N160)</f>
        <v>2547982.8311488312</v>
      </c>
      <c r="Q160" s="1343"/>
    </row>
    <row r="161" spans="2:17" ht="13.5" customHeight="1">
      <c r="B161" s="1290" t="s">
        <v>334</v>
      </c>
      <c r="C161" s="1291">
        <v>488203.1</v>
      </c>
      <c r="D161" s="1291" t="s">
        <v>1768</v>
      </c>
      <c r="E161" s="1179">
        <v>9271.6</v>
      </c>
      <c r="F161" s="1746">
        <v>315569.59999999998</v>
      </c>
      <c r="G161" s="1766">
        <v>20133.099999999999</v>
      </c>
      <c r="H161" s="1225">
        <v>258263.6</v>
      </c>
      <c r="I161" s="1766">
        <v>285045.09999999998</v>
      </c>
      <c r="J161" s="1766">
        <v>108649</v>
      </c>
      <c r="K161" s="1766">
        <v>393604.9</v>
      </c>
      <c r="L161" s="1776">
        <v>31636.6</v>
      </c>
      <c r="M161" s="1757">
        <v>618377.4</v>
      </c>
      <c r="N161" s="1179">
        <v>15010.6</v>
      </c>
      <c r="O161" s="1291">
        <f t="shared" si="2"/>
        <v>2543764.6</v>
      </c>
      <c r="Q161" s="1343"/>
    </row>
    <row r="162" spans="2:17" ht="13.5" customHeight="1">
      <c r="B162" s="930" t="s">
        <v>335</v>
      </c>
      <c r="C162" s="1179">
        <v>484764.71253505844</v>
      </c>
      <c r="D162" s="1179">
        <v>64826.467882718694</v>
      </c>
      <c r="E162" s="1179">
        <v>11050.472406936629</v>
      </c>
      <c r="F162" s="1746">
        <v>344731.33604487282</v>
      </c>
      <c r="G162" s="1766">
        <v>15203.348110000237</v>
      </c>
      <c r="H162" s="1225">
        <v>274150.2215842749</v>
      </c>
      <c r="I162" s="1766">
        <v>303649.15301741689</v>
      </c>
      <c r="J162" s="1766">
        <v>114431.85458860947</v>
      </c>
      <c r="K162" s="1766">
        <v>363449.4021463223</v>
      </c>
      <c r="L162" s="1776">
        <v>32793.419828233069</v>
      </c>
      <c r="M162" s="1757">
        <v>640496.88423895754</v>
      </c>
      <c r="N162" s="1179">
        <v>19893.137143178672</v>
      </c>
      <c r="O162" s="1291">
        <f t="shared" si="2"/>
        <v>2669440.4095265795</v>
      </c>
      <c r="Q162" s="1343"/>
    </row>
    <row r="163" spans="2:17" ht="13.5" customHeight="1">
      <c r="B163" s="930" t="s">
        <v>336</v>
      </c>
      <c r="C163" s="1291">
        <v>485789.99875141226</v>
      </c>
      <c r="D163" s="1291">
        <v>63948.199061319967</v>
      </c>
      <c r="E163" s="1291">
        <v>10904.160777513018</v>
      </c>
      <c r="F163" s="1746">
        <v>344532.06291769107</v>
      </c>
      <c r="G163" s="1766">
        <v>15015.245110000238</v>
      </c>
      <c r="H163" s="1225">
        <v>271071.76931933267</v>
      </c>
      <c r="I163" s="1766">
        <v>294270.79599970573</v>
      </c>
      <c r="J163" s="1766">
        <v>112692.09441666929</v>
      </c>
      <c r="K163" s="1766">
        <v>333633.77908316033</v>
      </c>
      <c r="L163" s="1776">
        <v>31103.4893977344</v>
      </c>
      <c r="M163" s="1757">
        <v>631920.517458588</v>
      </c>
      <c r="N163" s="1291">
        <v>22066.041463178673</v>
      </c>
      <c r="O163" s="1291">
        <f t="shared" si="2"/>
        <v>2616948.1537563056</v>
      </c>
      <c r="Q163" s="1343"/>
    </row>
    <row r="164" spans="2:17" ht="13.5" customHeight="1">
      <c r="B164" s="930" t="s">
        <v>337</v>
      </c>
      <c r="C164" s="1291">
        <v>501783.66887267801</v>
      </c>
      <c r="D164" s="1291">
        <v>63555.316259964398</v>
      </c>
      <c r="E164" s="1291">
        <v>10933.541650109</v>
      </c>
      <c r="F164" s="1746">
        <v>362939.62958876998</v>
      </c>
      <c r="G164" s="1766">
        <v>15079.816628902199</v>
      </c>
      <c r="H164" s="1225">
        <v>358553.35256793798</v>
      </c>
      <c r="I164" s="1766">
        <v>317666.654123377</v>
      </c>
      <c r="J164" s="1766">
        <v>117122.998341274</v>
      </c>
      <c r="K164" s="1766">
        <v>338846.29733466002</v>
      </c>
      <c r="L164" s="1776">
        <v>31523.133874202598</v>
      </c>
      <c r="M164" s="1757">
        <v>651443.97487169097</v>
      </c>
      <c r="N164" s="1291">
        <v>24226.372028179801</v>
      </c>
      <c r="O164" s="1291">
        <f t="shared" si="2"/>
        <v>2793674.756141746</v>
      </c>
      <c r="Q164" s="1343"/>
    </row>
    <row r="165" spans="2:17" ht="13.5" customHeight="1">
      <c r="B165" s="930" t="s">
        <v>338</v>
      </c>
      <c r="C165" s="1367">
        <v>475105.70905097795</v>
      </c>
      <c r="D165" s="1367">
        <v>66796.846335130831</v>
      </c>
      <c r="E165" s="1367">
        <v>13907.733845409542</v>
      </c>
      <c r="F165" s="1746">
        <v>385583.3162918294</v>
      </c>
      <c r="G165" s="1766">
        <v>15079.816628902205</v>
      </c>
      <c r="H165" s="1225">
        <v>344917.25486531912</v>
      </c>
      <c r="I165" s="1766">
        <v>323212.11723267147</v>
      </c>
      <c r="J165" s="1766">
        <v>117146.59263816239</v>
      </c>
      <c r="K165" s="1766">
        <v>335216.91463160404</v>
      </c>
      <c r="L165" s="1776">
        <v>34457.606847128489</v>
      </c>
      <c r="M165" s="1757">
        <v>655427.01858683303</v>
      </c>
      <c r="N165" s="1367">
        <v>34163.404307006778</v>
      </c>
      <c r="O165" s="1291">
        <f t="shared" si="2"/>
        <v>2801014.3312609755</v>
      </c>
      <c r="Q165" s="1343"/>
    </row>
    <row r="166" spans="2:17" ht="13.5" customHeight="1">
      <c r="B166" s="930" t="s">
        <v>339</v>
      </c>
      <c r="C166" s="1367">
        <v>463286.3032977996</v>
      </c>
      <c r="D166" s="1367">
        <v>70905.217858786622</v>
      </c>
      <c r="E166" s="1367">
        <v>18924.141567027684</v>
      </c>
      <c r="F166" s="1746">
        <v>383314.67687243415</v>
      </c>
      <c r="G166" s="1766">
        <v>14976.417390000239</v>
      </c>
      <c r="H166" s="1225">
        <v>140624.55281053996</v>
      </c>
      <c r="I166" s="1766">
        <v>274507.8216338327</v>
      </c>
      <c r="J166" s="1766">
        <v>113776.27249330125</v>
      </c>
      <c r="K166" s="1766">
        <v>309209.52342701465</v>
      </c>
      <c r="L166" s="1776">
        <v>37473.989126977765</v>
      </c>
      <c r="M166" s="1757">
        <v>652652.69392370398</v>
      </c>
      <c r="N166" s="1367">
        <v>34402.123689999986</v>
      </c>
      <c r="O166" s="1291">
        <f t="shared" si="2"/>
        <v>2514053.7340914183</v>
      </c>
      <c r="Q166" s="1343"/>
    </row>
    <row r="167" spans="2:17" ht="13.5" customHeight="1">
      <c r="B167" s="930" t="s">
        <v>340</v>
      </c>
      <c r="C167" s="1367">
        <v>470756.06071724871</v>
      </c>
      <c r="D167" s="1367">
        <v>79237.127206635269</v>
      </c>
      <c r="E167" s="1367">
        <v>15167.311020117761</v>
      </c>
      <c r="F167" s="1746">
        <v>331672.7640569841</v>
      </c>
      <c r="G167" s="1766">
        <v>15021.942535308222</v>
      </c>
      <c r="H167" s="1225">
        <v>144100.73248032579</v>
      </c>
      <c r="I167" s="1766">
        <v>271000.49914444797</v>
      </c>
      <c r="J167" s="1766">
        <v>111960.20527735031</v>
      </c>
      <c r="K167" s="1766">
        <v>306022.67570570385</v>
      </c>
      <c r="L167" s="1776">
        <v>37341.232589143881</v>
      </c>
      <c r="M167" s="1757">
        <v>666649.40481467464</v>
      </c>
      <c r="N167" s="1367">
        <v>34402.123689999986</v>
      </c>
      <c r="O167" s="1291">
        <f t="shared" si="2"/>
        <v>2483332.0792379403</v>
      </c>
      <c r="Q167" s="1343"/>
    </row>
    <row r="168" spans="2:17" ht="13.5" customHeight="1">
      <c r="B168" s="930" t="s">
        <v>341</v>
      </c>
      <c r="C168" s="1367">
        <v>451745.25729724864</v>
      </c>
      <c r="D168" s="1367">
        <v>79055.659176635265</v>
      </c>
      <c r="E168" s="1367">
        <v>15021.568370117759</v>
      </c>
      <c r="F168" s="1746">
        <v>341851.67671698408</v>
      </c>
      <c r="G168" s="1766">
        <v>15021.942535308222</v>
      </c>
      <c r="H168" s="1225">
        <v>144799.61155032582</v>
      </c>
      <c r="I168" s="1766">
        <v>263994.21947444795</v>
      </c>
      <c r="J168" s="1766">
        <v>112656.59854735032</v>
      </c>
      <c r="K168" s="1766">
        <v>320788.49925570388</v>
      </c>
      <c r="L168" s="1776">
        <v>36914.63614914388</v>
      </c>
      <c r="M168" s="1757">
        <v>666971.46365467471</v>
      </c>
      <c r="N168" s="1367">
        <v>64407.071799999983</v>
      </c>
      <c r="O168" s="1291">
        <f t="shared" si="2"/>
        <v>2513228.2045279401</v>
      </c>
      <c r="Q168" s="1343"/>
    </row>
    <row r="169" spans="2:17" ht="13.5" customHeight="1">
      <c r="B169" s="930" t="s">
        <v>342</v>
      </c>
      <c r="C169" s="1367">
        <v>453068.260908917</v>
      </c>
      <c r="D169" s="1367">
        <v>74931.801252911202</v>
      </c>
      <c r="E169" s="1367">
        <v>16036.472169627299</v>
      </c>
      <c r="F169" s="1746">
        <v>389851.74465833302</v>
      </c>
      <c r="G169" s="1766">
        <v>15156.782181292499</v>
      </c>
      <c r="H169" s="1225">
        <v>165252.708320326</v>
      </c>
      <c r="I169" s="1766">
        <v>268933.16287545697</v>
      </c>
      <c r="J169" s="1766">
        <v>111956.57010536399</v>
      </c>
      <c r="K169" s="1766">
        <v>313376.78744288499</v>
      </c>
      <c r="L169" s="1776">
        <v>36118.5543576829</v>
      </c>
      <c r="M169" s="1757">
        <v>680445.74049072596</v>
      </c>
      <c r="N169" s="1367">
        <v>12855.736699999999</v>
      </c>
      <c r="O169" s="1291">
        <f t="shared" si="2"/>
        <v>2537984.321463522</v>
      </c>
      <c r="P169" s="959">
        <f>1000</f>
        <v>1000</v>
      </c>
      <c r="Q169" s="1343"/>
    </row>
    <row r="170" spans="2:17" ht="13.5" customHeight="1">
      <c r="B170" s="930" t="s">
        <v>343</v>
      </c>
      <c r="C170" s="1367">
        <v>444130.81063999998</v>
      </c>
      <c r="D170" s="1367">
        <v>133137.60000000001</v>
      </c>
      <c r="E170" s="1367">
        <v>14884.07879</v>
      </c>
      <c r="F170" s="1746">
        <v>313732.95688999997</v>
      </c>
      <c r="G170" s="1766">
        <v>15156.792390000001</v>
      </c>
      <c r="H170" s="1225">
        <v>165419.77432</v>
      </c>
      <c r="I170" s="1766">
        <v>269459.87569999998</v>
      </c>
      <c r="J170" s="1766">
        <v>149908.14887</v>
      </c>
      <c r="K170" s="1766">
        <v>316738.77162999997</v>
      </c>
      <c r="L170" s="1776">
        <v>45693.189630000001</v>
      </c>
      <c r="M170" s="1757">
        <v>679403.71819000004</v>
      </c>
      <c r="N170" s="1367">
        <v>12265.357769999999</v>
      </c>
      <c r="O170" s="1291">
        <f t="shared" si="2"/>
        <v>2559931.0748199997</v>
      </c>
      <c r="P170" s="959"/>
      <c r="Q170" s="1343"/>
    </row>
    <row r="171" spans="2:17" ht="13.5" customHeight="1">
      <c r="B171" s="930" t="s">
        <v>344</v>
      </c>
      <c r="C171" s="1367">
        <f>492669934.53/(1000)</f>
        <v>492669.93452999997</v>
      </c>
      <c r="D171" s="1367">
        <f>78176715.47/(1000)</f>
        <v>78176.715469999996</v>
      </c>
      <c r="E171" s="1367">
        <f>15958031.07/(1000)</f>
        <v>15958.031070000001</v>
      </c>
      <c r="F171" s="1746">
        <f>340422708.02/(1000)</f>
        <v>340422.70801999996</v>
      </c>
      <c r="G171" s="1766">
        <f>14425483.9/(1000)</f>
        <v>14425.483900000001</v>
      </c>
      <c r="H171" s="1225">
        <f>165648713.07/(1000)</f>
        <v>165648.71307</v>
      </c>
      <c r="I171" s="1766">
        <f>253354254.28/(1000)</f>
        <v>253354.25427999999</v>
      </c>
      <c r="J171" s="1766">
        <f>113596476.88/(1000)</f>
        <v>113596.47688</v>
      </c>
      <c r="K171" s="1766">
        <f>347242192.33/(1000)</f>
        <v>347242.19232999999</v>
      </c>
      <c r="L171" s="1776">
        <f>40695419.54/(1000)</f>
        <v>40695.419540000003</v>
      </c>
      <c r="M171" s="1757">
        <f>669879644.9/(1000)</f>
        <v>669879.64489999996</v>
      </c>
      <c r="N171" s="1367">
        <f>12254300.01/(1000)</f>
        <v>12254.300009999999</v>
      </c>
      <c r="O171" s="1464">
        <f>SUM(C171:N171)</f>
        <v>2544323.8739999994</v>
      </c>
      <c r="P171" s="959"/>
      <c r="Q171" s="1343"/>
    </row>
    <row r="172" spans="2:17" ht="13.5" customHeight="1">
      <c r="B172" s="1464"/>
      <c r="C172" s="1464"/>
      <c r="D172" s="1464"/>
      <c r="E172" s="1464"/>
      <c r="F172" s="1746"/>
      <c r="G172" s="1766"/>
      <c r="H172" s="1225"/>
      <c r="I172" s="1766"/>
      <c r="J172" s="1766"/>
      <c r="K172" s="1766"/>
      <c r="L172" s="1776"/>
      <c r="M172" s="1757"/>
      <c r="N172" s="1464"/>
      <c r="O172" s="1464"/>
      <c r="P172" s="959"/>
      <c r="Q172" s="1343"/>
    </row>
    <row r="173" spans="2:17" ht="13.5" customHeight="1">
      <c r="B173" s="930">
        <v>2019</v>
      </c>
      <c r="C173" s="1464"/>
      <c r="D173" s="1464"/>
      <c r="E173" s="1464"/>
      <c r="F173" s="1746"/>
      <c r="G173" s="1766"/>
      <c r="H173" s="1225"/>
      <c r="I173" s="1766"/>
      <c r="J173" s="1766"/>
      <c r="K173" s="1766"/>
      <c r="L173" s="1776"/>
      <c r="M173" s="1757"/>
      <c r="N173" s="1464"/>
      <c r="O173" s="1464"/>
      <c r="P173" s="959"/>
      <c r="Q173" s="1343"/>
    </row>
    <row r="174" spans="2:17" ht="13.5" customHeight="1">
      <c r="B174" s="1481" t="s">
        <v>345</v>
      </c>
      <c r="C174" s="1464">
        <v>525176.7124081091</v>
      </c>
      <c r="D174" s="1464">
        <v>80480.870471342059</v>
      </c>
      <c r="E174" s="1464">
        <v>20199.440149799921</v>
      </c>
      <c r="F174" s="1746">
        <v>349755.6263539166</v>
      </c>
      <c r="G174" s="1766">
        <v>15294.017253663371</v>
      </c>
      <c r="H174" s="1225">
        <v>158458.8992519812</v>
      </c>
      <c r="I174" s="1766">
        <v>255380.41992296313</v>
      </c>
      <c r="J174" s="1766">
        <v>123772.79441970463</v>
      </c>
      <c r="K174" s="1766">
        <v>358554.22057407192</v>
      </c>
      <c r="L174" s="1776">
        <v>42355.535583844961</v>
      </c>
      <c r="M174" s="1757">
        <v>666797.1330943082</v>
      </c>
      <c r="N174" s="1464">
        <v>16335.66505000008</v>
      </c>
      <c r="O174" s="1464">
        <f>SUM(C174:N174)</f>
        <v>2612561.3345337054</v>
      </c>
      <c r="P174" s="959"/>
      <c r="Q174" s="1343"/>
    </row>
    <row r="175" spans="2:17" ht="13.5" customHeight="1">
      <c r="B175" s="1481" t="s">
        <v>334</v>
      </c>
      <c r="C175" s="1464">
        <v>521988.101099669</v>
      </c>
      <c r="D175" s="1464">
        <v>79066.701533384796</v>
      </c>
      <c r="E175" s="1464">
        <v>10931.071856848401</v>
      </c>
      <c r="F175" s="1746">
        <v>352797.80806410301</v>
      </c>
      <c r="G175" s="1766">
        <v>14699.0367120839</v>
      </c>
      <c r="H175" s="1225">
        <v>80894.666692306593</v>
      </c>
      <c r="I175" s="1766">
        <v>253027.004267157</v>
      </c>
      <c r="J175" s="1766">
        <v>124474.738439215</v>
      </c>
      <c r="K175" s="1766">
        <v>389522.95526964398</v>
      </c>
      <c r="L175" s="1776">
        <v>40923.516466143097</v>
      </c>
      <c r="M175" s="1757">
        <v>644320.93699149496</v>
      </c>
      <c r="N175" s="1464">
        <v>11446.6076763828</v>
      </c>
      <c r="O175" s="1464">
        <f t="shared" ref="O175:O180" si="3">SUM(C175:N175)</f>
        <v>2524093.1450684327</v>
      </c>
      <c r="P175" s="959"/>
      <c r="Q175" s="1343"/>
    </row>
    <row r="176" spans="2:17" ht="13.5" customHeight="1">
      <c r="B176" s="1481" t="s">
        <v>335</v>
      </c>
      <c r="C176" s="1464">
        <v>538072.73901180399</v>
      </c>
      <c r="D176" s="1464">
        <v>87791.293839827995</v>
      </c>
      <c r="E176" s="1464">
        <v>18211.4589300398</v>
      </c>
      <c r="F176" s="1746">
        <v>379233.05853159499</v>
      </c>
      <c r="G176" s="1766">
        <v>14556.671470000199</v>
      </c>
      <c r="H176" s="1225">
        <v>205466.513940946</v>
      </c>
      <c r="I176" s="1766">
        <v>270360.06715263898</v>
      </c>
      <c r="J176" s="1766">
        <v>133324.779364685</v>
      </c>
      <c r="K176" s="1766">
        <v>407637.99169013399</v>
      </c>
      <c r="L176" s="1776">
        <v>43541.363856435601</v>
      </c>
      <c r="M176" s="1757">
        <v>731600.28266062005</v>
      </c>
      <c r="N176" s="1464">
        <v>11476.6249513356</v>
      </c>
      <c r="O176" s="1464">
        <f t="shared" si="3"/>
        <v>2841272.8454000624</v>
      </c>
      <c r="P176" s="959"/>
      <c r="Q176" s="1343"/>
    </row>
    <row r="177" spans="2:20" ht="13.5" customHeight="1">
      <c r="B177" s="1481" t="s">
        <v>336</v>
      </c>
      <c r="C177" s="1464">
        <v>584205.28810736351</v>
      </c>
      <c r="D177" s="1464">
        <v>96516.85884999999</v>
      </c>
      <c r="E177" s="1464">
        <v>22430.890009999956</v>
      </c>
      <c r="F177" s="1746">
        <v>421676.7098670298</v>
      </c>
      <c r="G177" s="1766">
        <v>15967.998880000241</v>
      </c>
      <c r="H177" s="1225">
        <v>236000.25127337387</v>
      </c>
      <c r="I177" s="1766">
        <v>310449.68368631211</v>
      </c>
      <c r="J177" s="1766">
        <v>193315.77188699497</v>
      </c>
      <c r="K177" s="1766">
        <v>387730.2462039222</v>
      </c>
      <c r="L177" s="1776">
        <v>44465.66474</v>
      </c>
      <c r="M177" s="1757">
        <v>788749.64867229888</v>
      </c>
      <c r="N177" s="1464">
        <v>14486.648578754115</v>
      </c>
      <c r="O177" s="1464">
        <f t="shared" si="3"/>
        <v>3115995.6607560497</v>
      </c>
      <c r="P177" s="959"/>
      <c r="Q177" s="1343"/>
    </row>
    <row r="178" spans="2:20" ht="13.5" customHeight="1">
      <c r="B178" s="1481" t="s">
        <v>337</v>
      </c>
      <c r="C178" s="1464">
        <v>712661.52439905796</v>
      </c>
      <c r="D178" s="1464">
        <v>98826.583708158694</v>
      </c>
      <c r="E178" s="1464">
        <v>27802.408706007998</v>
      </c>
      <c r="F178" s="1746">
        <v>466619.96550472401</v>
      </c>
      <c r="G178" s="1766">
        <v>17425.9075132791</v>
      </c>
      <c r="H178" s="1225">
        <v>317055.79607740103</v>
      </c>
      <c r="I178" s="1766">
        <v>368550.62948159297</v>
      </c>
      <c r="J178" s="1766">
        <v>250912.54415740099</v>
      </c>
      <c r="K178" s="1766">
        <v>441731.010525722</v>
      </c>
      <c r="L178" s="1776">
        <v>43682.617184668299</v>
      </c>
      <c r="M178" s="1757">
        <v>901283.38280025404</v>
      </c>
      <c r="N178" s="1464">
        <v>14096.642382891199</v>
      </c>
      <c r="O178" s="1464">
        <f t="shared" si="3"/>
        <v>3660649.0124411583</v>
      </c>
      <c r="P178" s="959"/>
      <c r="Q178" s="1343"/>
    </row>
    <row r="179" spans="2:20" ht="13.5" customHeight="1">
      <c r="B179" s="1481" t="s">
        <v>338</v>
      </c>
      <c r="C179" s="1464">
        <v>940505.80835589301</v>
      </c>
      <c r="D179" s="1464">
        <v>82926.784080944402</v>
      </c>
      <c r="E179" s="1464">
        <v>30534.650259734801</v>
      </c>
      <c r="F179" s="1746">
        <v>566391.09917709895</v>
      </c>
      <c r="G179" s="1766">
        <v>169400.78895074801</v>
      </c>
      <c r="H179" s="1225">
        <v>876820.36072189605</v>
      </c>
      <c r="I179" s="1766">
        <v>354648.57594111102</v>
      </c>
      <c r="J179" s="1766">
        <v>331070.00877182302</v>
      </c>
      <c r="K179" s="1766">
        <v>404941.112092036</v>
      </c>
      <c r="L179" s="1776">
        <v>49207.294501571101</v>
      </c>
      <c r="M179" s="1757">
        <v>898523.52644302405</v>
      </c>
      <c r="N179" s="1464">
        <v>14258.873310286799</v>
      </c>
      <c r="O179" s="1464">
        <f t="shared" si="3"/>
        <v>4719228.8826061664</v>
      </c>
      <c r="P179" s="959"/>
      <c r="Q179" s="1343"/>
    </row>
    <row r="180" spans="2:20" ht="13.5" customHeight="1">
      <c r="B180" s="1481" t="s">
        <v>339</v>
      </c>
      <c r="C180" s="1464">
        <v>1060152.3761237168</v>
      </c>
      <c r="D180" s="1464">
        <v>108889.31752000001</v>
      </c>
      <c r="E180" s="1464">
        <v>38005.814980000003</v>
      </c>
      <c r="F180" s="1746">
        <v>685729.83674689685</v>
      </c>
      <c r="G180" s="1766">
        <v>22484.810819999999</v>
      </c>
      <c r="H180" s="1225">
        <v>470421.81822315668</v>
      </c>
      <c r="I180" s="1766">
        <v>497581.29847534664</v>
      </c>
      <c r="J180" s="1766">
        <v>333137.40306596359</v>
      </c>
      <c r="K180" s="1766">
        <v>643721.98347870004</v>
      </c>
      <c r="L180" s="1776">
        <v>51560.669479999997</v>
      </c>
      <c r="M180" s="1757">
        <v>1111697.9958348952</v>
      </c>
      <c r="N180" s="1464">
        <v>7683.1802202867284</v>
      </c>
      <c r="O180" s="1464">
        <f t="shared" si="3"/>
        <v>5031066.5049689617</v>
      </c>
      <c r="P180" s="959"/>
      <c r="Q180" s="1343"/>
    </row>
    <row r="181" spans="2:20" ht="15.75" customHeight="1">
      <c r="B181" s="1481" t="s">
        <v>340</v>
      </c>
      <c r="C181" s="1464">
        <v>1163054.3278900001</v>
      </c>
      <c r="D181" s="1464">
        <v>117882.86313</v>
      </c>
      <c r="E181" s="1464">
        <v>40904.565790000001</v>
      </c>
      <c r="F181" s="1746">
        <v>720937.57499000011</v>
      </c>
      <c r="G181" s="1766">
        <v>15289.59633</v>
      </c>
      <c r="H181" s="1225">
        <v>524650.13558</v>
      </c>
      <c r="I181" s="1766">
        <v>575937.11866000004</v>
      </c>
      <c r="J181" s="1766">
        <v>378008.66503999993</v>
      </c>
      <c r="K181" s="1766">
        <v>742674.56477000006</v>
      </c>
      <c r="L181" s="1776">
        <v>51710.400540000002</v>
      </c>
      <c r="M181" s="1757">
        <v>1202415.0603047211</v>
      </c>
      <c r="N181" s="1464">
        <v>5830.8383200000007</v>
      </c>
      <c r="O181" s="1464">
        <f>SUM(C181:N181)</f>
        <v>5539295.7113447217</v>
      </c>
    </row>
    <row r="182" spans="2:20" ht="15.75" customHeight="1" thickBot="1">
      <c r="B182" s="1481" t="s">
        <v>341</v>
      </c>
      <c r="C182" s="1225"/>
      <c r="D182" s="1225"/>
      <c r="E182" s="1225"/>
      <c r="F182" s="1225">
        <v>755828.87821999996</v>
      </c>
      <c r="G182" s="1767">
        <v>15563.747649999999</v>
      </c>
      <c r="H182" s="1225">
        <v>143032.228065</v>
      </c>
      <c r="I182" s="1767">
        <v>520659.80680999998</v>
      </c>
      <c r="J182" s="1767">
        <v>487089.86255999998</v>
      </c>
      <c r="K182" s="1767">
        <v>594143.27041</v>
      </c>
      <c r="L182" s="1777">
        <v>59974.6368</v>
      </c>
      <c r="M182" s="1757">
        <v>1004073.31907</v>
      </c>
      <c r="N182" s="1225">
        <v>6055.4035899999999</v>
      </c>
      <c r="O182" s="1464">
        <f>SUM(C182:N182)</f>
        <v>3586421.1531749996</v>
      </c>
    </row>
    <row r="183" spans="2:20" ht="15" customHeight="1" thickTop="1">
      <c r="B183" s="1081"/>
      <c r="C183" s="1081"/>
      <c r="D183" s="1081"/>
      <c r="E183" s="1081"/>
      <c r="F183" s="1081"/>
      <c r="G183" s="1507"/>
      <c r="H183" s="1081"/>
      <c r="I183" s="1507"/>
      <c r="J183" s="1507"/>
      <c r="K183" s="1507"/>
      <c r="L183" s="1507"/>
      <c r="M183" s="1081"/>
      <c r="N183" s="1081"/>
      <c r="O183" s="1081"/>
    </row>
    <row r="184" spans="2:20" ht="18" customHeight="1">
      <c r="B184" s="1434" t="s">
        <v>1781</v>
      </c>
      <c r="C184" s="926"/>
      <c r="D184" s="926"/>
      <c r="E184" s="924"/>
      <c r="F184" s="924"/>
      <c r="G184" s="924"/>
      <c r="H184" s="924"/>
      <c r="I184" s="924"/>
      <c r="J184" s="924"/>
      <c r="K184" s="924"/>
      <c r="L184" s="924"/>
      <c r="M184" s="924"/>
      <c r="N184" s="924"/>
      <c r="O184" s="924"/>
    </row>
    <row r="185" spans="2:20" ht="15.75">
      <c r="B185" s="270" t="s">
        <v>1315</v>
      </c>
      <c r="C185" s="925"/>
      <c r="D185" s="925"/>
      <c r="H185" s="1225"/>
      <c r="I185" s="959"/>
    </row>
    <row r="186" spans="2:20" ht="12">
      <c r="B186" s="869"/>
      <c r="F186" s="959"/>
      <c r="G186" s="959"/>
      <c r="N186" s="959"/>
    </row>
    <row r="187" spans="2:20" ht="10.15" customHeight="1">
      <c r="B187" s="960"/>
      <c r="C187" s="924"/>
      <c r="D187" s="924"/>
      <c r="E187" s="924"/>
      <c r="F187" s="924"/>
      <c r="G187" s="924"/>
      <c r="H187" s="924"/>
      <c r="I187" s="924"/>
      <c r="J187" s="924"/>
      <c r="K187" s="924"/>
      <c r="L187" s="924"/>
      <c r="M187" s="924"/>
      <c r="N187" s="924"/>
      <c r="O187" s="960"/>
      <c r="P187" s="924"/>
      <c r="Q187" s="924"/>
      <c r="R187" s="924"/>
      <c r="S187" s="924"/>
      <c r="T187" s="924"/>
    </row>
    <row r="188" spans="2:20">
      <c r="G188" s="961"/>
      <c r="H188" s="961"/>
      <c r="I188" s="961"/>
      <c r="J188" s="961"/>
      <c r="K188" s="961"/>
      <c r="L188" s="961"/>
      <c r="M188" s="961"/>
      <c r="N188" s="961"/>
      <c r="O188" s="961"/>
      <c r="P188" s="961"/>
      <c r="Q188" s="961"/>
      <c r="R188" s="961"/>
      <c r="S188" s="961"/>
      <c r="T188" s="961"/>
    </row>
    <row r="189" spans="2:20">
      <c r="G189" s="961"/>
      <c r="H189" s="961"/>
      <c r="I189" s="961"/>
      <c r="J189" s="961"/>
      <c r="K189" s="961"/>
      <c r="L189" s="961"/>
      <c r="M189" s="961"/>
      <c r="N189" s="961"/>
      <c r="O189" s="961"/>
      <c r="P189" s="961"/>
      <c r="Q189" s="961"/>
      <c r="R189" s="961"/>
      <c r="S189" s="961"/>
      <c r="T189" s="961"/>
    </row>
    <row r="190" spans="2:20">
      <c r="F190" s="959"/>
      <c r="G190" s="961"/>
      <c r="H190" s="958"/>
      <c r="I190" s="958"/>
      <c r="J190" s="958"/>
      <c r="K190" s="958"/>
      <c r="L190" s="958"/>
      <c r="M190" s="958"/>
      <c r="N190" s="958"/>
      <c r="O190" s="958"/>
      <c r="P190" s="958"/>
      <c r="Q190" s="958"/>
      <c r="R190" s="958"/>
      <c r="S190" s="958"/>
      <c r="T190" s="958"/>
    </row>
    <row r="191" spans="2:20">
      <c r="G191" s="958"/>
      <c r="H191" s="958"/>
      <c r="I191" s="961"/>
      <c r="J191" s="961"/>
      <c r="K191" s="958"/>
      <c r="L191" s="958"/>
      <c r="M191" s="958"/>
      <c r="N191" s="958"/>
      <c r="O191" s="958"/>
      <c r="P191" s="958"/>
      <c r="Q191" s="958"/>
      <c r="R191" s="958"/>
      <c r="S191" s="961"/>
      <c r="T191" s="961"/>
    </row>
    <row r="192" spans="2:20">
      <c r="G192" s="961"/>
      <c r="H192" s="961"/>
      <c r="I192" s="961"/>
      <c r="J192" s="961"/>
      <c r="K192" s="961"/>
      <c r="L192" s="961"/>
      <c r="M192" s="961"/>
      <c r="N192" s="961"/>
      <c r="O192" s="961"/>
      <c r="P192" s="961"/>
      <c r="Q192" s="961"/>
      <c r="R192" s="961"/>
      <c r="S192" s="961"/>
      <c r="T192" s="961"/>
    </row>
    <row r="193" spans="7:20">
      <c r="G193" s="961"/>
      <c r="H193" s="958"/>
      <c r="I193" s="958"/>
      <c r="J193" s="958"/>
      <c r="K193" s="958"/>
      <c r="L193" s="958"/>
      <c r="M193" s="958"/>
      <c r="N193" s="958"/>
      <c r="O193" s="958"/>
      <c r="P193" s="958"/>
      <c r="Q193" s="958"/>
      <c r="R193" s="958"/>
      <c r="S193" s="958"/>
      <c r="T193" s="958"/>
    </row>
    <row r="194" spans="7:20">
      <c r="G194" s="961"/>
      <c r="H194" s="958"/>
      <c r="I194" s="958"/>
      <c r="J194" s="958"/>
      <c r="K194" s="958"/>
      <c r="L194" s="958"/>
      <c r="M194" s="958"/>
      <c r="N194" s="958"/>
      <c r="O194" s="958"/>
      <c r="P194" s="958"/>
      <c r="Q194" s="958"/>
      <c r="R194" s="958"/>
      <c r="S194" s="958"/>
      <c r="T194" s="958"/>
    </row>
    <row r="195" spans="7:20">
      <c r="G195" s="958"/>
      <c r="H195" s="958"/>
      <c r="I195" s="958"/>
      <c r="J195" s="958"/>
      <c r="K195" s="958"/>
      <c r="L195" s="958"/>
      <c r="M195" s="958"/>
      <c r="N195" s="958"/>
      <c r="O195" s="958"/>
      <c r="P195" s="958"/>
      <c r="Q195" s="958"/>
      <c r="R195" s="958"/>
      <c r="S195" s="958"/>
      <c r="T195" s="958"/>
    </row>
    <row r="196" spans="7:20">
      <c r="G196" s="961"/>
      <c r="H196" s="962"/>
      <c r="I196" s="962"/>
      <c r="J196" s="958"/>
      <c r="K196" s="962"/>
      <c r="L196" s="962"/>
      <c r="M196" s="962"/>
      <c r="N196" s="962"/>
      <c r="O196" s="962"/>
      <c r="P196" s="962"/>
      <c r="Q196" s="962"/>
      <c r="R196" s="962"/>
      <c r="S196" s="962"/>
      <c r="T196" s="962"/>
    </row>
    <row r="197" spans="7:20">
      <c r="G197" s="961"/>
      <c r="H197" s="962"/>
      <c r="I197" s="962"/>
      <c r="J197" s="958"/>
      <c r="K197" s="962"/>
      <c r="L197" s="962"/>
      <c r="M197" s="962"/>
      <c r="N197" s="962"/>
      <c r="O197" s="962"/>
      <c r="P197" s="962"/>
      <c r="Q197" s="962"/>
      <c r="R197" s="962"/>
      <c r="S197" s="962"/>
      <c r="T197" s="962"/>
    </row>
    <row r="198" spans="7:20">
      <c r="G198" s="961"/>
      <c r="H198" s="958"/>
      <c r="I198" s="958"/>
      <c r="J198" s="958"/>
      <c r="K198" s="958"/>
      <c r="L198" s="958"/>
      <c r="M198" s="958"/>
      <c r="N198" s="958"/>
      <c r="O198" s="958"/>
      <c r="P198" s="958"/>
      <c r="Q198" s="958"/>
      <c r="R198" s="958"/>
      <c r="S198" s="962"/>
      <c r="T198" s="958"/>
    </row>
    <row r="199" spans="7:20">
      <c r="G199" s="961"/>
      <c r="H199" s="962"/>
      <c r="I199" s="962"/>
      <c r="J199" s="962"/>
      <c r="K199" s="962"/>
      <c r="L199" s="962"/>
      <c r="M199" s="962"/>
      <c r="N199" s="962"/>
      <c r="O199" s="962"/>
      <c r="P199" s="962"/>
      <c r="Q199" s="962"/>
      <c r="R199" s="962"/>
      <c r="S199" s="962"/>
      <c r="T199" s="962"/>
    </row>
    <row r="200" spans="7:20">
      <c r="G200" s="961"/>
      <c r="H200" s="962"/>
      <c r="I200" s="962"/>
      <c r="J200" s="962"/>
      <c r="K200" s="962"/>
      <c r="L200" s="962"/>
      <c r="M200" s="962"/>
      <c r="N200" s="962"/>
      <c r="O200" s="962"/>
      <c r="P200" s="962"/>
      <c r="Q200" s="962"/>
      <c r="R200" s="962"/>
      <c r="S200" s="962"/>
      <c r="T200" s="962"/>
    </row>
    <row r="201" spans="7:20">
      <c r="G201" s="961"/>
      <c r="H201" s="962"/>
      <c r="I201" s="962"/>
      <c r="J201" s="962"/>
      <c r="K201" s="962"/>
      <c r="L201" s="962"/>
      <c r="M201" s="962"/>
      <c r="N201" s="962"/>
      <c r="O201" s="962"/>
      <c r="P201" s="962"/>
      <c r="Q201" s="962"/>
      <c r="R201" s="962"/>
      <c r="S201" s="962"/>
      <c r="T201" s="962"/>
    </row>
    <row r="202" spans="7:20">
      <c r="G202" s="961"/>
      <c r="H202" s="962"/>
      <c r="I202" s="962"/>
      <c r="J202" s="958"/>
      <c r="K202" s="962"/>
      <c r="L202" s="962"/>
      <c r="M202" s="962"/>
      <c r="N202" s="962"/>
      <c r="O202" s="962"/>
      <c r="P202" s="962"/>
      <c r="Q202" s="962"/>
      <c r="R202" s="962"/>
      <c r="S202" s="962"/>
      <c r="T202" s="962"/>
    </row>
    <row r="203" spans="7:20">
      <c r="G203" s="961"/>
      <c r="H203" s="962"/>
      <c r="I203" s="962"/>
      <c r="J203" s="958"/>
      <c r="K203" s="962"/>
      <c r="L203" s="962"/>
      <c r="M203" s="962"/>
      <c r="N203" s="962"/>
      <c r="O203" s="962"/>
      <c r="P203" s="962"/>
      <c r="Q203" s="962"/>
      <c r="R203" s="962"/>
      <c r="S203" s="962"/>
      <c r="T203" s="962"/>
    </row>
    <row r="204" spans="7:20">
      <c r="G204" s="961"/>
      <c r="H204" s="962"/>
      <c r="I204" s="962"/>
      <c r="J204" s="958"/>
      <c r="K204" s="962"/>
      <c r="L204" s="962"/>
      <c r="M204" s="962"/>
      <c r="N204" s="962"/>
      <c r="O204" s="962"/>
      <c r="P204" s="962"/>
      <c r="Q204" s="962"/>
      <c r="R204" s="962"/>
      <c r="S204" s="962"/>
      <c r="T204" s="962"/>
    </row>
    <row r="205" spans="7:20">
      <c r="G205" s="961"/>
      <c r="H205" s="962"/>
      <c r="I205" s="962"/>
      <c r="J205" s="958"/>
      <c r="K205" s="962"/>
      <c r="L205" s="962"/>
      <c r="M205" s="962"/>
      <c r="N205" s="962"/>
      <c r="O205" s="962"/>
      <c r="P205" s="962"/>
      <c r="Q205" s="962"/>
      <c r="R205" s="962"/>
      <c r="S205" s="962"/>
      <c r="T205" s="962"/>
    </row>
    <row r="206" spans="7:20">
      <c r="G206" s="961"/>
      <c r="H206" s="962"/>
      <c r="I206" s="962"/>
      <c r="J206" s="962"/>
      <c r="K206" s="962"/>
      <c r="L206" s="962"/>
      <c r="M206" s="962"/>
      <c r="N206" s="962"/>
      <c r="O206" s="962"/>
      <c r="P206" s="962"/>
      <c r="Q206" s="962"/>
      <c r="R206" s="962"/>
      <c r="S206" s="962"/>
      <c r="T206" s="962"/>
    </row>
    <row r="207" spans="7:20">
      <c r="G207" s="961"/>
      <c r="H207" s="962"/>
      <c r="I207" s="962"/>
      <c r="J207" s="962"/>
      <c r="K207" s="962"/>
      <c r="L207" s="962"/>
      <c r="M207" s="962"/>
      <c r="N207" s="962"/>
      <c r="O207" s="962"/>
      <c r="P207" s="962"/>
      <c r="Q207" s="962"/>
      <c r="R207" s="962"/>
      <c r="S207" s="962"/>
      <c r="T207" s="962"/>
    </row>
    <row r="208" spans="7:20">
      <c r="G208" s="961"/>
      <c r="H208" s="958"/>
      <c r="I208" s="958"/>
      <c r="J208" s="958"/>
      <c r="K208" s="958"/>
      <c r="L208" s="958"/>
      <c r="M208" s="958"/>
      <c r="N208" s="958"/>
      <c r="O208" s="958"/>
      <c r="P208" s="958"/>
      <c r="Q208" s="958"/>
      <c r="R208" s="958"/>
      <c r="S208" s="958"/>
      <c r="T208" s="958"/>
    </row>
    <row r="209" spans="7:20">
      <c r="G209" s="958"/>
      <c r="H209" s="958"/>
      <c r="I209" s="958"/>
      <c r="J209" s="958"/>
      <c r="K209" s="958"/>
      <c r="L209" s="958"/>
      <c r="M209" s="958"/>
      <c r="N209" s="958"/>
      <c r="O209" s="958"/>
      <c r="P209" s="958"/>
      <c r="Q209" s="958"/>
      <c r="R209" s="958"/>
      <c r="S209" s="958"/>
      <c r="T209" s="958"/>
    </row>
    <row r="210" spans="7:20">
      <c r="G210" s="961"/>
      <c r="H210" s="962"/>
      <c r="I210" s="962"/>
      <c r="J210" s="962"/>
      <c r="K210" s="958"/>
      <c r="L210" s="962"/>
      <c r="M210" s="962"/>
      <c r="N210" s="962"/>
      <c r="O210" s="962"/>
      <c r="P210" s="962"/>
      <c r="Q210" s="962"/>
      <c r="R210" s="962"/>
      <c r="S210" s="962"/>
      <c r="T210" s="962"/>
    </row>
    <row r="211" spans="7:20">
      <c r="G211" s="961"/>
      <c r="H211" s="962"/>
      <c r="I211" s="962"/>
      <c r="J211" s="962"/>
      <c r="K211" s="958"/>
      <c r="L211" s="962"/>
      <c r="M211" s="962"/>
      <c r="N211" s="962"/>
      <c r="O211" s="962"/>
      <c r="P211" s="962"/>
      <c r="Q211" s="962"/>
      <c r="R211" s="962"/>
      <c r="S211" s="962"/>
      <c r="T211" s="962"/>
    </row>
    <row r="212" spans="7:20">
      <c r="G212" s="961"/>
      <c r="H212" s="958"/>
      <c r="I212" s="958"/>
      <c r="J212" s="958"/>
      <c r="K212" s="958"/>
      <c r="L212" s="958"/>
      <c r="M212" s="958"/>
      <c r="N212" s="958"/>
      <c r="O212" s="958"/>
      <c r="P212" s="958"/>
      <c r="Q212" s="958"/>
      <c r="R212" s="958"/>
      <c r="S212" s="958"/>
      <c r="T212" s="958"/>
    </row>
  </sheetData>
  <customSheetViews>
    <customSheetView guid="{705E0D18-9A83-42CA-8732-90923BE2EC7D}" showGridLines="0" outlineSymbols="0" fitToPage="1" printArea="1" hiddenRows="1">
      <selection activeCell="B2" sqref="B2:O168"/>
      <pageMargins left="0.5" right="0.13" top="0.5" bottom="0.52" header="0.5" footer="0.5"/>
      <printOptions horizontalCentered="1"/>
      <pageSetup paperSize="9" orientation="landscape" horizontalDpi="300" verticalDpi="300" r:id="rId1"/>
      <headerFooter alignWithMargins="0"/>
    </customSheetView>
    <customSheetView guid="{D45E5F9E-4EA6-40A2-8A1D-3AC67FB8CE54}" showGridLines="0" outlineSymbols="0" fitToPage="1" printArea="1" hiddenRows="1" topLeftCell="A154">
      <selection activeCell="D166" sqref="D166"/>
      <pageMargins left="0.5" right="0.13" top="0.5" bottom="0.52" header="0.5" footer="0.5"/>
      <printOptions horizontalCentered="1"/>
      <pageSetup paperSize="9" orientation="landscape" horizontalDpi="300" verticalDpi="300" r:id="rId2"/>
      <headerFooter alignWithMargins="0"/>
    </customSheetView>
    <customSheetView guid="{098C004C-808F-436E-8F18-182F927479D1}" showGridLines="0" outlineSymbols="0" fitToPage="1" printArea="1" hiddenRows="1">
      <pane xSplit="2" ySplit="114" topLeftCell="D129" activePane="bottomRight" state="frozen"/>
      <selection pane="bottomRight" activeCell="F137" sqref="F137"/>
      <pageMargins left="0.5" right="0.13" top="0.5" bottom="0.52" header="0.5" footer="0.5"/>
      <printOptions horizontalCentered="1"/>
      <pageSetup paperSize="9" orientation="landscape" horizontalDpi="300" verticalDpi="300" r:id="rId3"/>
      <headerFooter alignWithMargins="0"/>
    </customSheetView>
    <customSheetView guid="{89CA84C2-78F5-4B05-8F1D-B7C5F97BCB4E}" showGridLines="0" outlineSymbols="0" fitToPage="1" printArea="1" hiddenRows="1" topLeftCell="A7">
      <selection activeCell="R151" sqref="R151"/>
      <pageMargins left="0.5" right="0.13" top="0.5" bottom="0.52" header="0.5" footer="0.5"/>
      <printOptions horizontalCentered="1"/>
      <pageSetup paperSize="9" orientation="landscape" horizontalDpi="300" verticalDpi="300" r:id="rId4"/>
      <headerFooter alignWithMargins="0"/>
    </customSheetView>
  </customSheetViews>
  <mergeCells count="2">
    <mergeCell ref="B2:O2"/>
    <mergeCell ref="B4:O4"/>
  </mergeCells>
  <printOptions horizontalCentered="1"/>
  <pageMargins left="0.5" right="0.13" top="0.5" bottom="0.52" header="0.5" footer="0.5"/>
  <pageSetup paperSize="9" orientation="landscape" horizontalDpi="300" verticalDpi="300" r:id="rId5"/>
  <headerFooter alignWithMargins="0"/>
  <ignoredErrors>
    <ignoredError sqref="O112:O114 O119:O125 O126:O129 O132 O40 O42 O38 O36 O12:O25 O26:O32 O44:O54 O140 O151:O153 O148:O150 O146:O147 O154:O157 O163:O165 O166:O170 O160:O162 C171:N171 O174 P169" unlockedFormula="1"/>
  </ignoredErrors>
  <drawing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9"/>
  </sheetPr>
  <dimension ref="B2:AF193"/>
  <sheetViews>
    <sheetView zoomScale="90" zoomScaleNormal="90" workbookViewId="0">
      <pane xSplit="2" ySplit="9" topLeftCell="K153" activePane="bottomRight" state="frozen"/>
      <selection activeCell="J193" sqref="J193"/>
      <selection pane="topRight" activeCell="J193" sqref="J193"/>
      <selection pane="bottomLeft" activeCell="J193" sqref="J193"/>
      <selection pane="bottomRight" activeCell="J193" sqref="J193"/>
    </sheetView>
  </sheetViews>
  <sheetFormatPr defaultColWidth="9.77734375" defaultRowHeight="15"/>
  <cols>
    <col min="1" max="1" width="8.77734375" style="155" customWidth="1"/>
    <col min="2" max="2" width="10.109375" style="156" customWidth="1"/>
    <col min="3" max="3" width="12.5546875" style="592" customWidth="1"/>
    <col min="4" max="4" width="13.21875" style="592" customWidth="1"/>
    <col min="5" max="5" width="16.5546875" style="592" customWidth="1"/>
    <col min="6" max="6" width="13.5546875" style="592" bestFit="1" customWidth="1"/>
    <col min="7" max="7" width="11.6640625" style="592" customWidth="1"/>
    <col min="8" max="8" width="13.77734375" style="592" customWidth="1"/>
    <col min="9" max="9" width="14.21875" style="592" customWidth="1"/>
    <col min="10" max="10" width="12.21875" style="592" customWidth="1"/>
    <col min="11" max="11" width="11.5546875" style="592" customWidth="1"/>
    <col min="12" max="12" width="12.21875" style="592" customWidth="1"/>
    <col min="13" max="13" width="12.44140625" style="592" customWidth="1"/>
    <col min="14" max="14" width="16" style="592" customWidth="1"/>
    <col min="15" max="15" width="12" style="592" customWidth="1"/>
    <col min="16" max="16" width="14.77734375" style="163" customWidth="1"/>
    <col min="17" max="17" width="14.109375" style="163" bestFit="1" customWidth="1"/>
    <col min="18" max="18" width="10.6640625" style="163" bestFit="1" customWidth="1"/>
    <col min="19" max="19" width="9.77734375" style="163"/>
    <col min="20" max="20" width="11.5546875" style="163" bestFit="1" customWidth="1"/>
    <col min="21" max="21" width="9.77734375" style="163"/>
    <col min="22" max="22" width="16.21875" style="163" bestFit="1" customWidth="1"/>
    <col min="23" max="23" width="10.6640625" style="163" bestFit="1" customWidth="1"/>
    <col min="24" max="24" width="9.77734375" style="163"/>
    <col min="25" max="25" width="9.77734375" style="163" bestFit="1" customWidth="1"/>
    <col min="26" max="26" width="10.6640625" style="163" bestFit="1" customWidth="1"/>
    <col min="27" max="27" width="9.77734375" style="163"/>
    <col min="28" max="28" width="9.77734375" style="163" bestFit="1" customWidth="1"/>
    <col min="29" max="29" width="9.77734375" style="163"/>
    <col min="30" max="30" width="12.44140625" style="163" bestFit="1" customWidth="1"/>
    <col min="31" max="16384" width="9.77734375" style="155"/>
  </cols>
  <sheetData>
    <row r="2" spans="2:18">
      <c r="B2" s="1895" t="s">
        <v>1737</v>
      </c>
      <c r="C2" s="1895"/>
      <c r="D2" s="1895"/>
      <c r="E2" s="1895"/>
      <c r="F2" s="1895"/>
      <c r="G2" s="1895"/>
      <c r="H2" s="1895"/>
      <c r="I2" s="1895"/>
      <c r="J2" s="1895"/>
      <c r="K2" s="1895"/>
      <c r="L2" s="1895"/>
      <c r="M2" s="1895"/>
      <c r="N2" s="1895"/>
      <c r="O2" s="1895"/>
    </row>
    <row r="3" spans="2:18">
      <c r="B3" s="870"/>
      <c r="C3" s="870"/>
      <c r="D3" s="870"/>
      <c r="E3" s="870"/>
      <c r="F3" s="870"/>
      <c r="G3" s="870"/>
      <c r="H3" s="870"/>
      <c r="I3" s="870"/>
      <c r="J3" s="870"/>
      <c r="K3" s="870"/>
      <c r="L3" s="870"/>
      <c r="M3" s="870"/>
      <c r="N3" s="870"/>
      <c r="O3" s="870"/>
    </row>
    <row r="4" spans="2:18" ht="15" customHeight="1">
      <c r="B4" s="1894" t="s">
        <v>1788</v>
      </c>
      <c r="C4" s="1894"/>
      <c r="D4" s="1894"/>
      <c r="E4" s="1894"/>
      <c r="F4" s="1894"/>
      <c r="G4" s="1894"/>
      <c r="H4" s="1894"/>
      <c r="I4" s="1894"/>
      <c r="J4" s="1894"/>
      <c r="K4" s="1894"/>
      <c r="L4" s="1894"/>
      <c r="M4" s="1894"/>
      <c r="N4" s="1894"/>
      <c r="O4" s="1894"/>
    </row>
    <row r="5" spans="2:18" ht="15" customHeight="1" thickBot="1">
      <c r="B5" s="731"/>
      <c r="C5" s="731"/>
      <c r="D5" s="731"/>
      <c r="E5" s="731"/>
      <c r="F5" s="731"/>
      <c r="G5" s="731"/>
      <c r="H5" s="731"/>
      <c r="I5" s="731"/>
      <c r="J5" s="731"/>
      <c r="K5" s="731"/>
      <c r="L5" s="731"/>
      <c r="M5" s="731"/>
      <c r="N5" s="731"/>
      <c r="O5" s="731"/>
    </row>
    <row r="6" spans="2:18" ht="15" customHeight="1" thickTop="1">
      <c r="B6" s="927"/>
      <c r="C6" s="927"/>
      <c r="D6" s="927"/>
      <c r="E6" s="927"/>
      <c r="F6" s="927"/>
      <c r="G6" s="927"/>
      <c r="H6" s="927"/>
      <c r="I6" s="927"/>
      <c r="J6" s="927"/>
      <c r="K6" s="927"/>
      <c r="L6" s="927"/>
      <c r="M6" s="927"/>
      <c r="N6" s="927"/>
      <c r="O6" s="927"/>
    </row>
    <row r="7" spans="2:18" ht="15" customHeight="1">
      <c r="B7" s="755" t="s">
        <v>263</v>
      </c>
      <c r="C7" s="755" t="s">
        <v>392</v>
      </c>
      <c r="D7" s="755" t="s">
        <v>393</v>
      </c>
      <c r="E7" s="755" t="s">
        <v>772</v>
      </c>
      <c r="F7" s="755" t="s">
        <v>396</v>
      </c>
      <c r="G7" s="755" t="s">
        <v>401</v>
      </c>
      <c r="H7" s="755" t="s">
        <v>402</v>
      </c>
      <c r="I7" s="755" t="s">
        <v>403</v>
      </c>
      <c r="J7" s="755" t="s">
        <v>404</v>
      </c>
      <c r="K7" s="755" t="s">
        <v>405</v>
      </c>
      <c r="L7" s="755" t="s">
        <v>406</v>
      </c>
      <c r="M7" s="755" t="s">
        <v>407</v>
      </c>
      <c r="N7" s="755" t="s">
        <v>1313</v>
      </c>
      <c r="O7" s="755" t="s">
        <v>287</v>
      </c>
    </row>
    <row r="8" spans="2:18" ht="15" customHeight="1">
      <c r="B8" s="928"/>
      <c r="C8" s="928"/>
      <c r="E8" s="928"/>
      <c r="F8" s="928"/>
      <c r="G8" s="755" t="s">
        <v>408</v>
      </c>
      <c r="H8" s="755" t="s">
        <v>409</v>
      </c>
      <c r="I8" s="928"/>
      <c r="J8" s="928"/>
      <c r="K8" s="928"/>
      <c r="L8" s="928"/>
      <c r="M8" s="928"/>
      <c r="N8" s="928"/>
      <c r="O8" s="928"/>
      <c r="R8" s="592"/>
    </row>
    <row r="9" spans="2:18" ht="15" customHeight="1" thickBot="1">
      <c r="B9" s="929"/>
      <c r="C9" s="929"/>
      <c r="D9" s="929"/>
      <c r="E9" s="929"/>
      <c r="F9" s="929"/>
      <c r="G9" s="929"/>
      <c r="H9" s="929"/>
      <c r="I9" s="929"/>
      <c r="J9" s="929"/>
      <c r="K9" s="929"/>
      <c r="L9" s="929"/>
      <c r="M9" s="929"/>
      <c r="N9" s="929"/>
      <c r="O9" s="929"/>
    </row>
    <row r="10" spans="2:18" ht="15" customHeight="1" thickTop="1">
      <c r="B10" s="928"/>
      <c r="C10" s="928"/>
      <c r="D10" s="928"/>
      <c r="E10" s="928"/>
      <c r="F10" s="928"/>
      <c r="G10" s="928"/>
      <c r="H10" s="928"/>
      <c r="I10" s="928"/>
      <c r="J10" s="928"/>
      <c r="K10" s="928"/>
      <c r="L10" s="928"/>
      <c r="M10" s="928"/>
      <c r="N10" s="928"/>
      <c r="O10" s="928"/>
    </row>
    <row r="11" spans="2:18" ht="15" hidden="1" customHeight="1">
      <c r="B11" s="950">
        <v>2009</v>
      </c>
      <c r="C11" s="928"/>
      <c r="D11" s="928"/>
      <c r="E11" s="928"/>
      <c r="F11" s="928"/>
      <c r="G11" s="928"/>
      <c r="H11" s="928"/>
      <c r="I11" s="928"/>
      <c r="J11" s="928"/>
      <c r="K11" s="928"/>
      <c r="L11" s="928"/>
      <c r="M11" s="928"/>
      <c r="N11" s="928"/>
      <c r="O11" s="928"/>
    </row>
    <row r="12" spans="2:18" ht="15" hidden="1" customHeight="1">
      <c r="B12" s="948" t="s">
        <v>345</v>
      </c>
      <c r="C12" s="949">
        <v>2518.0518480000001</v>
      </c>
      <c r="D12" s="949">
        <v>1070.447678</v>
      </c>
      <c r="E12" s="949">
        <v>686.65448800000001</v>
      </c>
      <c r="F12" s="949">
        <v>6623.5338519999996</v>
      </c>
      <c r="G12" s="949">
        <v>1792.2836239999999</v>
      </c>
      <c r="H12" s="949">
        <v>6125.2962150000003</v>
      </c>
      <c r="I12" s="949">
        <v>4852.6006420000003</v>
      </c>
      <c r="J12" s="949">
        <v>1062.4414039999999</v>
      </c>
      <c r="K12" s="949">
        <v>14192.634575</v>
      </c>
      <c r="L12" s="949">
        <v>1273.3944080000001</v>
      </c>
      <c r="M12" s="949">
        <v>8875.9697639999995</v>
      </c>
      <c r="N12" s="949">
        <v>100.676946</v>
      </c>
      <c r="O12" s="949">
        <v>49173.985443999998</v>
      </c>
    </row>
    <row r="13" spans="2:18" ht="15" hidden="1" customHeight="1">
      <c r="B13" s="948" t="s">
        <v>334</v>
      </c>
      <c r="C13" s="949">
        <v>4759841</v>
      </c>
      <c r="D13" s="949">
        <v>2985910</v>
      </c>
      <c r="E13" s="949">
        <v>7806849</v>
      </c>
      <c r="F13" s="949">
        <v>27751104</v>
      </c>
      <c r="G13" s="949">
        <v>21157828</v>
      </c>
      <c r="H13" s="949">
        <v>10647265</v>
      </c>
      <c r="I13" s="949">
        <v>33681185</v>
      </c>
      <c r="J13" s="949">
        <v>10152437</v>
      </c>
      <c r="K13" s="949">
        <v>116088574</v>
      </c>
      <c r="L13" s="949">
        <v>18885697</v>
      </c>
      <c r="M13" s="949">
        <v>174276176</v>
      </c>
      <c r="N13" s="949">
        <v>1888</v>
      </c>
      <c r="O13" s="949">
        <f t="shared" ref="O13:O23" si="0">SUM(C13:N13)</f>
        <v>428194754</v>
      </c>
    </row>
    <row r="14" spans="2:18" ht="15" hidden="1" customHeight="1">
      <c r="B14" s="948" t="s">
        <v>335</v>
      </c>
      <c r="C14" s="949">
        <v>11499459</v>
      </c>
      <c r="D14" s="949">
        <v>5324203</v>
      </c>
      <c r="E14" s="949">
        <v>7382936</v>
      </c>
      <c r="F14" s="949">
        <v>33303160</v>
      </c>
      <c r="G14" s="949">
        <v>9533999</v>
      </c>
      <c r="H14" s="949">
        <v>15086501</v>
      </c>
      <c r="I14" s="949">
        <v>32203522</v>
      </c>
      <c r="J14" s="949">
        <v>12925508</v>
      </c>
      <c r="K14" s="949">
        <v>118989643</v>
      </c>
      <c r="L14" s="949">
        <v>21908747</v>
      </c>
      <c r="M14" s="949">
        <v>47098362</v>
      </c>
      <c r="N14" s="949">
        <v>4370</v>
      </c>
      <c r="O14" s="949">
        <f t="shared" si="0"/>
        <v>315260410</v>
      </c>
    </row>
    <row r="15" spans="2:18" ht="15" hidden="1" customHeight="1">
      <c r="B15" s="948" t="s">
        <v>336</v>
      </c>
      <c r="C15" s="949">
        <v>12854030</v>
      </c>
      <c r="D15" s="949">
        <v>5787465</v>
      </c>
      <c r="E15" s="949">
        <v>11579173</v>
      </c>
      <c r="F15" s="949">
        <v>47022191</v>
      </c>
      <c r="G15" s="949">
        <v>9926801</v>
      </c>
      <c r="H15" s="949">
        <v>19358374</v>
      </c>
      <c r="I15" s="949">
        <v>36253825</v>
      </c>
      <c r="J15" s="949">
        <v>12829936</v>
      </c>
      <c r="K15" s="949">
        <v>171211340</v>
      </c>
      <c r="L15" s="949">
        <v>16479605</v>
      </c>
      <c r="M15" s="949">
        <v>50151323</v>
      </c>
      <c r="N15" s="949">
        <v>1471231</v>
      </c>
      <c r="O15" s="949">
        <f t="shared" si="0"/>
        <v>394925294</v>
      </c>
    </row>
    <row r="16" spans="2:18" ht="15" hidden="1" customHeight="1">
      <c r="B16" s="948" t="s">
        <v>337</v>
      </c>
      <c r="C16" s="949">
        <v>18771875</v>
      </c>
      <c r="D16" s="949">
        <v>8487119</v>
      </c>
      <c r="E16" s="949">
        <v>16330826</v>
      </c>
      <c r="F16" s="949">
        <v>40792442</v>
      </c>
      <c r="G16" s="949">
        <v>20654900</v>
      </c>
      <c r="H16" s="949">
        <v>20510692</v>
      </c>
      <c r="I16" s="949">
        <v>40219671</v>
      </c>
      <c r="J16" s="949">
        <v>14666473</v>
      </c>
      <c r="K16" s="949">
        <v>238556121</v>
      </c>
      <c r="L16" s="949">
        <v>14046194</v>
      </c>
      <c r="M16" s="949">
        <v>54419467</v>
      </c>
      <c r="N16" s="949">
        <v>1088468</v>
      </c>
      <c r="O16" s="949">
        <f t="shared" si="0"/>
        <v>488544248</v>
      </c>
    </row>
    <row r="17" spans="2:15" ht="15" hidden="1" customHeight="1">
      <c r="B17" s="948" t="s">
        <v>338</v>
      </c>
      <c r="C17" s="949">
        <v>32983464</v>
      </c>
      <c r="D17" s="949">
        <v>5059256</v>
      </c>
      <c r="E17" s="949">
        <v>9706358</v>
      </c>
      <c r="F17" s="949">
        <v>30946801</v>
      </c>
      <c r="G17" s="949">
        <v>59804106</v>
      </c>
      <c r="H17" s="949">
        <v>56197694</v>
      </c>
      <c r="I17" s="949">
        <v>35169208</v>
      </c>
      <c r="J17" s="949">
        <v>17126146</v>
      </c>
      <c r="K17" s="949">
        <v>253785766</v>
      </c>
      <c r="L17" s="949">
        <v>13254615</v>
      </c>
      <c r="M17" s="949">
        <v>62507686</v>
      </c>
      <c r="N17" s="949">
        <v>1830356</v>
      </c>
      <c r="O17" s="949">
        <f t="shared" si="0"/>
        <v>578371456</v>
      </c>
    </row>
    <row r="18" spans="2:15" ht="15" hidden="1" customHeight="1">
      <c r="B18" s="948" t="s">
        <v>339</v>
      </c>
      <c r="C18" s="949">
        <v>68550531</v>
      </c>
      <c r="D18" s="949">
        <v>2078765</v>
      </c>
      <c r="E18" s="949">
        <v>22835355</v>
      </c>
      <c r="F18" s="949">
        <v>41452416</v>
      </c>
      <c r="G18" s="949">
        <v>47158323</v>
      </c>
      <c r="H18" s="949">
        <v>61284262</v>
      </c>
      <c r="I18" s="949">
        <v>35061639</v>
      </c>
      <c r="J18" s="949">
        <v>19262315</v>
      </c>
      <c r="K18" s="949">
        <v>233687753</v>
      </c>
      <c r="L18" s="949">
        <v>12377493</v>
      </c>
      <c r="M18" s="949">
        <v>87138389</v>
      </c>
      <c r="N18" s="949">
        <v>2333197</v>
      </c>
      <c r="O18" s="949">
        <f t="shared" si="0"/>
        <v>633220438</v>
      </c>
    </row>
    <row r="19" spans="2:15" ht="15" hidden="1" customHeight="1">
      <c r="B19" s="948" t="s">
        <v>340</v>
      </c>
      <c r="C19" s="949">
        <v>43051449.399999999</v>
      </c>
      <c r="D19" s="949">
        <v>1921019.8</v>
      </c>
      <c r="E19" s="949">
        <v>21690678.100000001</v>
      </c>
      <c r="F19" s="949">
        <v>69595988.799999997</v>
      </c>
      <c r="G19" s="949">
        <v>46626278.200000003</v>
      </c>
      <c r="H19" s="949">
        <v>59062373.700000003</v>
      </c>
      <c r="I19" s="949">
        <v>37961289.200000003</v>
      </c>
      <c r="J19" s="949">
        <v>21738851.600000001</v>
      </c>
      <c r="K19" s="949">
        <v>277626205.80000001</v>
      </c>
      <c r="L19" s="949">
        <v>9628104.6999999993</v>
      </c>
      <c r="M19" s="949">
        <v>103850203.7</v>
      </c>
      <c r="N19" s="949">
        <v>1725844.5</v>
      </c>
      <c r="O19" s="949">
        <f t="shared" si="0"/>
        <v>694478287.50000012</v>
      </c>
    </row>
    <row r="20" spans="2:15" ht="15" hidden="1" customHeight="1">
      <c r="B20" s="948" t="s">
        <v>348</v>
      </c>
      <c r="C20" s="949">
        <v>50169629</v>
      </c>
      <c r="D20" s="949">
        <v>2897866</v>
      </c>
      <c r="E20" s="949">
        <v>25935263</v>
      </c>
      <c r="F20" s="949">
        <v>74566403</v>
      </c>
      <c r="G20" s="949">
        <v>38003053</v>
      </c>
      <c r="H20" s="949">
        <v>69346883</v>
      </c>
      <c r="I20" s="949">
        <v>61884938</v>
      </c>
      <c r="J20" s="949">
        <v>26521980</v>
      </c>
      <c r="K20" s="949">
        <v>280574722</v>
      </c>
      <c r="L20" s="949">
        <v>13466199</v>
      </c>
      <c r="M20" s="949">
        <v>117598801</v>
      </c>
      <c r="N20" s="949">
        <v>3258187</v>
      </c>
      <c r="O20" s="949">
        <f t="shared" si="0"/>
        <v>764223924</v>
      </c>
    </row>
    <row r="21" spans="2:15" ht="15" hidden="1" customHeight="1">
      <c r="B21" s="948" t="s">
        <v>342</v>
      </c>
      <c r="C21" s="949">
        <v>55618152</v>
      </c>
      <c r="D21" s="949">
        <v>2423973</v>
      </c>
      <c r="E21" s="949">
        <v>22148142</v>
      </c>
      <c r="F21" s="949">
        <v>84659482</v>
      </c>
      <c r="G21" s="949">
        <v>32413784</v>
      </c>
      <c r="H21" s="949">
        <v>67330309</v>
      </c>
      <c r="I21" s="949">
        <v>71392906</v>
      </c>
      <c r="J21" s="949">
        <v>23246168</v>
      </c>
      <c r="K21" s="949">
        <v>270980091</v>
      </c>
      <c r="L21" s="949">
        <v>9568634</v>
      </c>
      <c r="M21" s="949">
        <v>109889487</v>
      </c>
      <c r="N21" s="949">
        <v>3844791</v>
      </c>
      <c r="O21" s="949">
        <f t="shared" si="0"/>
        <v>753515919</v>
      </c>
    </row>
    <row r="22" spans="2:15" ht="15" hidden="1" customHeight="1">
      <c r="B22" s="948" t="s">
        <v>343</v>
      </c>
      <c r="C22" s="949">
        <v>55654297</v>
      </c>
      <c r="D22" s="949">
        <v>2431735</v>
      </c>
      <c r="E22" s="949">
        <v>22132513</v>
      </c>
      <c r="F22" s="949">
        <v>83019884</v>
      </c>
      <c r="G22" s="949">
        <v>32441187</v>
      </c>
      <c r="H22" s="949">
        <v>68033282</v>
      </c>
      <c r="I22" s="949">
        <v>71269166</v>
      </c>
      <c r="J22" s="949">
        <v>23157961</v>
      </c>
      <c r="K22" s="949">
        <v>270173059</v>
      </c>
      <c r="L22" s="949">
        <v>9622828</v>
      </c>
      <c r="M22" s="949">
        <v>110478966</v>
      </c>
      <c r="N22" s="949">
        <v>5615695</v>
      </c>
      <c r="O22" s="949">
        <f t="shared" si="0"/>
        <v>754030573</v>
      </c>
    </row>
    <row r="23" spans="2:15" ht="15" hidden="1" customHeight="1">
      <c r="B23" s="948" t="s">
        <v>344</v>
      </c>
      <c r="C23" s="949">
        <v>61792717</v>
      </c>
      <c r="D23" s="949">
        <v>6467231</v>
      </c>
      <c r="E23" s="949">
        <v>35365843</v>
      </c>
      <c r="F23" s="949">
        <v>81470729</v>
      </c>
      <c r="G23" s="949">
        <v>45127545</v>
      </c>
      <c r="H23" s="949">
        <v>68001800</v>
      </c>
      <c r="I23" s="949">
        <v>111397926</v>
      </c>
      <c r="J23" s="949">
        <v>30218267</v>
      </c>
      <c r="K23" s="949">
        <v>480954648</v>
      </c>
      <c r="L23" s="949">
        <v>14728806</v>
      </c>
      <c r="M23" s="949">
        <v>180117529</v>
      </c>
      <c r="N23" s="949">
        <v>3415491</v>
      </c>
      <c r="O23" s="949">
        <f t="shared" si="0"/>
        <v>1119058532</v>
      </c>
    </row>
    <row r="24" spans="2:15" ht="15" hidden="1" customHeight="1">
      <c r="B24" s="928"/>
      <c r="C24" s="928"/>
      <c r="D24" s="928"/>
      <c r="E24" s="928"/>
      <c r="F24" s="928"/>
      <c r="G24" s="928"/>
      <c r="H24" s="928"/>
      <c r="I24" s="928"/>
      <c r="J24" s="928"/>
      <c r="K24" s="928"/>
      <c r="L24" s="928"/>
      <c r="M24" s="928"/>
      <c r="N24" s="928"/>
      <c r="O24" s="928"/>
    </row>
    <row r="25" spans="2:15" ht="15" hidden="1" customHeight="1">
      <c r="B25" s="950">
        <v>2010</v>
      </c>
      <c r="C25" s="928"/>
      <c r="D25" s="928"/>
      <c r="E25" s="928"/>
      <c r="F25" s="928"/>
      <c r="G25" s="928"/>
      <c r="H25" s="928"/>
      <c r="I25" s="928"/>
      <c r="J25" s="928"/>
      <c r="K25" s="928"/>
      <c r="L25" s="928"/>
      <c r="M25" s="928"/>
      <c r="N25" s="928"/>
      <c r="O25" s="928"/>
    </row>
    <row r="26" spans="2:15" ht="15" hidden="1" customHeight="1">
      <c r="B26" s="948" t="s">
        <v>345</v>
      </c>
      <c r="C26" s="949">
        <v>52746055</v>
      </c>
      <c r="D26" s="949">
        <v>6898103</v>
      </c>
      <c r="E26" s="949">
        <v>37133870</v>
      </c>
      <c r="F26" s="949">
        <v>128348699</v>
      </c>
      <c r="G26" s="949">
        <v>41987904</v>
      </c>
      <c r="H26" s="949">
        <v>66416027</v>
      </c>
      <c r="I26" s="949">
        <v>112703090</v>
      </c>
      <c r="J26" s="949">
        <v>30726065</v>
      </c>
      <c r="K26" s="949">
        <v>437760534</v>
      </c>
      <c r="L26" s="949">
        <v>15811700</v>
      </c>
      <c r="M26" s="949">
        <v>199828026</v>
      </c>
      <c r="N26" s="949">
        <v>2852870</v>
      </c>
      <c r="O26" s="949">
        <f t="shared" ref="O26:O37" si="1">SUM(C26:N26)</f>
        <v>1133212943</v>
      </c>
    </row>
    <row r="27" spans="2:15" ht="15" hidden="1" customHeight="1">
      <c r="B27" s="948" t="s">
        <v>334</v>
      </c>
      <c r="C27" s="949">
        <v>49366341</v>
      </c>
      <c r="D27" s="949">
        <v>7072013</v>
      </c>
      <c r="E27" s="949">
        <v>32626468</v>
      </c>
      <c r="F27" s="949">
        <v>163425492</v>
      </c>
      <c r="G27" s="949">
        <v>42355670</v>
      </c>
      <c r="H27" s="949">
        <v>77153155</v>
      </c>
      <c r="I27" s="949">
        <v>118987642</v>
      </c>
      <c r="J27" s="949">
        <v>31397966</v>
      </c>
      <c r="K27" s="949">
        <v>470582117</v>
      </c>
      <c r="L27" s="949">
        <v>16074306</v>
      </c>
      <c r="M27" s="949">
        <v>226141076</v>
      </c>
      <c r="N27" s="949">
        <v>3286705</v>
      </c>
      <c r="O27" s="949">
        <f t="shared" si="1"/>
        <v>1238468951</v>
      </c>
    </row>
    <row r="28" spans="2:15" ht="15" hidden="1" customHeight="1">
      <c r="B28" s="948" t="s">
        <v>335</v>
      </c>
      <c r="C28" s="949">
        <v>53286966</v>
      </c>
      <c r="D28" s="949">
        <v>6934758</v>
      </c>
      <c r="E28" s="949">
        <v>39298087</v>
      </c>
      <c r="F28" s="949">
        <v>170832349</v>
      </c>
      <c r="G28" s="949">
        <v>50862305</v>
      </c>
      <c r="H28" s="949">
        <v>85479552</v>
      </c>
      <c r="I28" s="949">
        <v>134415419</v>
      </c>
      <c r="J28" s="949">
        <v>32604941</v>
      </c>
      <c r="K28" s="949">
        <v>486576788</v>
      </c>
      <c r="L28" s="949">
        <v>28015066</v>
      </c>
      <c r="M28" s="949">
        <v>239881899</v>
      </c>
      <c r="N28" s="949">
        <v>2959852</v>
      </c>
      <c r="O28" s="949">
        <f t="shared" si="1"/>
        <v>1331147982</v>
      </c>
    </row>
    <row r="29" spans="2:15" ht="15" hidden="1" customHeight="1">
      <c r="B29" s="948" t="s">
        <v>336</v>
      </c>
      <c r="C29" s="949">
        <v>54643830</v>
      </c>
      <c r="D29" s="949">
        <v>8141874</v>
      </c>
      <c r="E29" s="949">
        <v>45988401</v>
      </c>
      <c r="F29" s="949">
        <v>156411221</v>
      </c>
      <c r="G29" s="949">
        <v>77252920</v>
      </c>
      <c r="H29" s="949">
        <v>93994397</v>
      </c>
      <c r="I29" s="949">
        <v>137844861</v>
      </c>
      <c r="J29" s="949">
        <v>35557479</v>
      </c>
      <c r="K29" s="949">
        <v>474141191</v>
      </c>
      <c r="L29" s="949">
        <v>17876327</v>
      </c>
      <c r="M29" s="949">
        <v>231378777</v>
      </c>
      <c r="N29" s="949">
        <v>3035014</v>
      </c>
      <c r="O29" s="949">
        <f t="shared" si="1"/>
        <v>1336266292</v>
      </c>
    </row>
    <row r="30" spans="2:15" ht="15" hidden="1" customHeight="1">
      <c r="B30" s="948" t="s">
        <v>337</v>
      </c>
      <c r="C30" s="949">
        <v>51843636</v>
      </c>
      <c r="D30" s="949">
        <v>23925073</v>
      </c>
      <c r="E30" s="949">
        <v>51521671</v>
      </c>
      <c r="F30" s="949">
        <v>150250877</v>
      </c>
      <c r="G30" s="949">
        <v>58005320</v>
      </c>
      <c r="H30" s="949">
        <v>147062794</v>
      </c>
      <c r="I30" s="949">
        <v>97643142</v>
      </c>
      <c r="J30" s="949">
        <v>47341724</v>
      </c>
      <c r="K30" s="949">
        <v>497755511</v>
      </c>
      <c r="L30" s="949">
        <v>17685012</v>
      </c>
      <c r="M30" s="949">
        <v>240809995</v>
      </c>
      <c r="N30" s="949">
        <v>4517580</v>
      </c>
      <c r="O30" s="949">
        <f t="shared" si="1"/>
        <v>1388362335</v>
      </c>
    </row>
    <row r="31" spans="2:15" ht="15" hidden="1" customHeight="1">
      <c r="B31" s="948" t="s">
        <v>338</v>
      </c>
      <c r="C31" s="949">
        <v>52974871</v>
      </c>
      <c r="D31" s="949">
        <v>8653343</v>
      </c>
      <c r="E31" s="949">
        <v>45943238</v>
      </c>
      <c r="F31" s="949">
        <v>175974695</v>
      </c>
      <c r="G31" s="949">
        <v>98823367</v>
      </c>
      <c r="H31" s="949">
        <v>139559016</v>
      </c>
      <c r="I31" s="949">
        <v>95727465</v>
      </c>
      <c r="J31" s="949">
        <v>46389830</v>
      </c>
      <c r="K31" s="949">
        <v>498416248</v>
      </c>
      <c r="L31" s="949">
        <v>16385597</v>
      </c>
      <c r="M31" s="949">
        <v>216230397</v>
      </c>
      <c r="N31" s="949">
        <v>5720126</v>
      </c>
      <c r="O31" s="949">
        <f t="shared" si="1"/>
        <v>1400798193</v>
      </c>
    </row>
    <row r="32" spans="2:15" ht="15" hidden="1" customHeight="1">
      <c r="B32" s="948" t="s">
        <v>339</v>
      </c>
      <c r="C32" s="949">
        <v>68526601</v>
      </c>
      <c r="D32" s="949">
        <v>16038855</v>
      </c>
      <c r="E32" s="949">
        <v>51261373</v>
      </c>
      <c r="F32" s="949">
        <v>147912258</v>
      </c>
      <c r="G32" s="949">
        <v>82745726</v>
      </c>
      <c r="H32" s="949">
        <v>123693078</v>
      </c>
      <c r="I32" s="949">
        <v>87915247</v>
      </c>
      <c r="J32" s="949">
        <v>49761264</v>
      </c>
      <c r="K32" s="949">
        <v>512154974</v>
      </c>
      <c r="L32" s="949">
        <v>26288109</v>
      </c>
      <c r="M32" s="949">
        <v>245449897</v>
      </c>
      <c r="N32" s="949">
        <v>5539375</v>
      </c>
      <c r="O32" s="949">
        <f t="shared" si="1"/>
        <v>1417286757</v>
      </c>
    </row>
    <row r="33" spans="2:15" ht="15" hidden="1" customHeight="1">
      <c r="B33" s="948" t="s">
        <v>340</v>
      </c>
      <c r="C33" s="949">
        <v>58993128</v>
      </c>
      <c r="D33" s="949">
        <v>24267089</v>
      </c>
      <c r="E33" s="949">
        <v>74570769</v>
      </c>
      <c r="F33" s="949">
        <v>154173538</v>
      </c>
      <c r="G33" s="949">
        <v>113656901</v>
      </c>
      <c r="H33" s="949">
        <v>104524746</v>
      </c>
      <c r="I33" s="949">
        <v>81972282</v>
      </c>
      <c r="J33" s="949">
        <v>46456514</v>
      </c>
      <c r="K33" s="949">
        <v>546072133</v>
      </c>
      <c r="L33" s="949">
        <v>16054562</v>
      </c>
      <c r="M33" s="949">
        <v>254180316</v>
      </c>
      <c r="N33" s="949">
        <v>4994419</v>
      </c>
      <c r="O33" s="949">
        <f t="shared" si="1"/>
        <v>1479916397</v>
      </c>
    </row>
    <row r="34" spans="2:15" ht="15" hidden="1" customHeight="1">
      <c r="B34" s="948" t="s">
        <v>348</v>
      </c>
      <c r="C34" s="949">
        <v>121751301</v>
      </c>
      <c r="D34" s="949">
        <v>15759635</v>
      </c>
      <c r="E34" s="949">
        <v>61928831</v>
      </c>
      <c r="F34" s="949">
        <v>161856598</v>
      </c>
      <c r="G34" s="949">
        <v>90518259</v>
      </c>
      <c r="H34" s="949">
        <v>129713218</v>
      </c>
      <c r="I34" s="949">
        <v>115455695</v>
      </c>
      <c r="J34" s="949">
        <v>44185892</v>
      </c>
      <c r="K34" s="949">
        <v>569254456</v>
      </c>
      <c r="L34" s="949">
        <v>33596534</v>
      </c>
      <c r="M34" s="949">
        <v>255518995</v>
      </c>
      <c r="N34" s="949">
        <v>6803883</v>
      </c>
      <c r="O34" s="949">
        <f t="shared" si="1"/>
        <v>1606343297</v>
      </c>
    </row>
    <row r="35" spans="2:15" ht="15" hidden="1" customHeight="1">
      <c r="B35" s="948" t="s">
        <v>342</v>
      </c>
      <c r="C35" s="949">
        <v>115474967</v>
      </c>
      <c r="D35" s="949">
        <v>16591704</v>
      </c>
      <c r="E35" s="949">
        <v>61511257</v>
      </c>
      <c r="F35" s="949">
        <v>176540887</v>
      </c>
      <c r="G35" s="949">
        <v>110321918</v>
      </c>
      <c r="H35" s="949">
        <v>127747608</v>
      </c>
      <c r="I35" s="949">
        <v>184475305</v>
      </c>
      <c r="J35" s="949">
        <v>40827595</v>
      </c>
      <c r="K35" s="949">
        <v>430959062</v>
      </c>
      <c r="L35" s="949">
        <v>33291691</v>
      </c>
      <c r="M35" s="949">
        <v>265061015</v>
      </c>
      <c r="N35" s="949">
        <v>6389910</v>
      </c>
      <c r="O35" s="949">
        <f t="shared" si="1"/>
        <v>1569192919</v>
      </c>
    </row>
    <row r="36" spans="2:15" ht="15" hidden="1" customHeight="1">
      <c r="B36" s="948" t="s">
        <v>343</v>
      </c>
      <c r="C36" s="949">
        <v>73395298</v>
      </c>
      <c r="D36" s="949">
        <v>12086456</v>
      </c>
      <c r="E36" s="949">
        <v>52443446</v>
      </c>
      <c r="F36" s="949">
        <v>166741113</v>
      </c>
      <c r="G36" s="949">
        <v>113277502</v>
      </c>
      <c r="H36" s="949">
        <v>148533959</v>
      </c>
      <c r="I36" s="949">
        <v>237347156</v>
      </c>
      <c r="J36" s="949">
        <v>44612216</v>
      </c>
      <c r="K36" s="949">
        <v>510889340</v>
      </c>
      <c r="L36" s="949">
        <v>17332305</v>
      </c>
      <c r="M36" s="949">
        <v>287717965</v>
      </c>
      <c r="N36" s="949">
        <v>5962382</v>
      </c>
      <c r="O36" s="949">
        <f t="shared" si="1"/>
        <v>1670339138</v>
      </c>
    </row>
    <row r="37" spans="2:15" ht="15" hidden="1" customHeight="1">
      <c r="B37" s="948" t="s">
        <v>344</v>
      </c>
      <c r="C37" s="949">
        <v>113727052</v>
      </c>
      <c r="D37" s="949">
        <v>13189909</v>
      </c>
      <c r="E37" s="949">
        <v>52087130</v>
      </c>
      <c r="F37" s="949">
        <v>195080228</v>
      </c>
      <c r="G37" s="949">
        <v>84886789</v>
      </c>
      <c r="H37" s="949">
        <v>146548662</v>
      </c>
      <c r="I37" s="949">
        <v>144660921</v>
      </c>
      <c r="J37" s="949">
        <v>67916425</v>
      </c>
      <c r="K37" s="949">
        <v>504291241</v>
      </c>
      <c r="L37" s="949">
        <v>17349671</v>
      </c>
      <c r="M37" s="949">
        <v>300489056</v>
      </c>
      <c r="N37" s="949">
        <v>5962382</v>
      </c>
      <c r="O37" s="949">
        <f t="shared" si="1"/>
        <v>1646189466</v>
      </c>
    </row>
    <row r="38" spans="2:15" ht="15" hidden="1" customHeight="1">
      <c r="B38" s="928"/>
      <c r="C38" s="928"/>
      <c r="D38" s="928"/>
      <c r="E38" s="928"/>
      <c r="F38" s="928"/>
      <c r="G38" s="928"/>
      <c r="H38" s="928"/>
      <c r="I38" s="928"/>
      <c r="J38" s="928"/>
      <c r="K38" s="928"/>
      <c r="L38" s="928"/>
      <c r="M38" s="928"/>
      <c r="N38" s="928"/>
      <c r="O38" s="928"/>
    </row>
    <row r="39" spans="2:15" ht="15" hidden="1" customHeight="1">
      <c r="B39" s="950">
        <v>2011</v>
      </c>
      <c r="C39" s="928"/>
      <c r="D39" s="928"/>
      <c r="E39" s="928"/>
      <c r="F39" s="928"/>
      <c r="G39" s="928"/>
      <c r="H39" s="928"/>
      <c r="I39" s="928"/>
      <c r="J39" s="928"/>
      <c r="K39" s="928"/>
      <c r="L39" s="928"/>
      <c r="M39" s="928"/>
      <c r="N39" s="928"/>
      <c r="O39" s="928"/>
    </row>
    <row r="40" spans="2:15" ht="15" hidden="1" customHeight="1">
      <c r="B40" s="948" t="s">
        <v>345</v>
      </c>
      <c r="C40" s="949">
        <v>94390.399999999994</v>
      </c>
      <c r="D40" s="949">
        <v>20628.599999999999</v>
      </c>
      <c r="E40" s="949">
        <v>54617.2</v>
      </c>
      <c r="F40" s="949">
        <v>194886.6</v>
      </c>
      <c r="G40" s="949">
        <v>95039.5</v>
      </c>
      <c r="H40" s="949">
        <v>172893.2</v>
      </c>
      <c r="I40" s="949">
        <v>186958.4</v>
      </c>
      <c r="J40" s="949">
        <v>89729.2</v>
      </c>
      <c r="K40" s="949">
        <v>520911.6</v>
      </c>
      <c r="L40" s="949">
        <v>24613.5</v>
      </c>
      <c r="M40" s="949">
        <v>295838.3</v>
      </c>
      <c r="N40" s="949">
        <v>6388.8</v>
      </c>
      <c r="O40" s="949">
        <v>1756895.4</v>
      </c>
    </row>
    <row r="41" spans="2:15" ht="15" hidden="1" customHeight="1">
      <c r="B41" s="948" t="s">
        <v>334</v>
      </c>
      <c r="C41" s="949">
        <v>133717.9</v>
      </c>
      <c r="D41" s="949">
        <v>25834.3</v>
      </c>
      <c r="E41" s="949">
        <v>61714.3</v>
      </c>
      <c r="F41" s="949">
        <v>200791.9</v>
      </c>
      <c r="G41" s="949">
        <v>119665.3</v>
      </c>
      <c r="H41" s="949">
        <v>202629.5</v>
      </c>
      <c r="I41" s="949">
        <v>170980.3</v>
      </c>
      <c r="J41" s="949">
        <v>34762.5</v>
      </c>
      <c r="K41" s="949">
        <v>470724.5</v>
      </c>
      <c r="L41" s="949">
        <v>23809.8</v>
      </c>
      <c r="M41" s="949">
        <v>321623.59999999998</v>
      </c>
      <c r="N41" s="949">
        <v>8841.7000000000007</v>
      </c>
      <c r="O41" s="949">
        <v>1775095.5</v>
      </c>
    </row>
    <row r="42" spans="2:15" ht="15" hidden="1" customHeight="1">
      <c r="B42" s="948" t="s">
        <v>335</v>
      </c>
      <c r="C42" s="949">
        <v>77101</v>
      </c>
      <c r="D42" s="949">
        <v>15938.2</v>
      </c>
      <c r="E42" s="949">
        <v>58193.9</v>
      </c>
      <c r="F42" s="949">
        <v>223181.8</v>
      </c>
      <c r="G42" s="949">
        <v>117197.8</v>
      </c>
      <c r="H42" s="949">
        <v>236622.2</v>
      </c>
      <c r="I42" s="949">
        <v>119977.4</v>
      </c>
      <c r="J42" s="949">
        <v>46400.6</v>
      </c>
      <c r="K42" s="949">
        <v>602307.1</v>
      </c>
      <c r="L42" s="949">
        <v>16940.8</v>
      </c>
      <c r="M42" s="949">
        <v>325373.2</v>
      </c>
      <c r="N42" s="949">
        <v>8669.7999999999993</v>
      </c>
      <c r="O42" s="949">
        <v>1847903.8</v>
      </c>
    </row>
    <row r="43" spans="2:15" ht="15" hidden="1" customHeight="1">
      <c r="B43" s="948" t="s">
        <v>336</v>
      </c>
      <c r="C43" s="949">
        <v>102543.3</v>
      </c>
      <c r="D43" s="949">
        <v>20429.5</v>
      </c>
      <c r="E43" s="949">
        <v>64824.7</v>
      </c>
      <c r="F43" s="949">
        <v>238548.9</v>
      </c>
      <c r="G43" s="949">
        <v>80726.5</v>
      </c>
      <c r="H43" s="949">
        <v>225800.8</v>
      </c>
      <c r="I43" s="949">
        <v>147702.6</v>
      </c>
      <c r="J43" s="949">
        <v>49469.9</v>
      </c>
      <c r="K43" s="949">
        <v>524595.4</v>
      </c>
      <c r="L43" s="949">
        <v>23835.5</v>
      </c>
      <c r="M43" s="949">
        <v>417515.3</v>
      </c>
      <c r="N43" s="949">
        <v>8071.9</v>
      </c>
      <c r="O43" s="949">
        <v>1904064.4</v>
      </c>
    </row>
    <row r="44" spans="2:15" ht="15" hidden="1" customHeight="1">
      <c r="B44" s="948" t="s">
        <v>337</v>
      </c>
      <c r="C44" s="949">
        <v>93812.6</v>
      </c>
      <c r="D44" s="949">
        <v>19640.3</v>
      </c>
      <c r="E44" s="949">
        <v>61878.6</v>
      </c>
      <c r="F44" s="949">
        <v>267258.2</v>
      </c>
      <c r="G44" s="949">
        <v>92889.1</v>
      </c>
      <c r="H44" s="949">
        <v>252592.2</v>
      </c>
      <c r="I44" s="949">
        <v>157059.9</v>
      </c>
      <c r="J44" s="949">
        <v>39483.5</v>
      </c>
      <c r="K44" s="949">
        <v>564888</v>
      </c>
      <c r="L44" s="949">
        <v>26103.4</v>
      </c>
      <c r="M44" s="949">
        <v>411671.1</v>
      </c>
      <c r="N44" s="949">
        <v>13011.7</v>
      </c>
      <c r="O44" s="949">
        <v>2000288.5</v>
      </c>
    </row>
    <row r="45" spans="2:15" ht="15" hidden="1" customHeight="1">
      <c r="B45" s="948" t="s">
        <v>338</v>
      </c>
      <c r="C45" s="949">
        <v>76484.3</v>
      </c>
      <c r="D45" s="949">
        <v>23968.6</v>
      </c>
      <c r="E45" s="949">
        <v>67950.3</v>
      </c>
      <c r="F45" s="949">
        <v>301067.09999999998</v>
      </c>
      <c r="G45" s="949">
        <v>113720.4</v>
      </c>
      <c r="H45" s="949">
        <v>255439</v>
      </c>
      <c r="I45" s="949">
        <v>155982.70000000001</v>
      </c>
      <c r="J45" s="949">
        <v>44627.5</v>
      </c>
      <c r="K45" s="949">
        <v>621716.9</v>
      </c>
      <c r="L45" s="949">
        <v>31259.5</v>
      </c>
      <c r="M45" s="949">
        <v>432494.7</v>
      </c>
      <c r="N45" s="949">
        <v>12539.2</v>
      </c>
      <c r="O45" s="949">
        <v>2137250.1</v>
      </c>
    </row>
    <row r="46" spans="2:15" ht="15" hidden="1" customHeight="1">
      <c r="B46" s="948" t="s">
        <v>339</v>
      </c>
      <c r="C46" s="949">
        <v>86383.9</v>
      </c>
      <c r="D46" s="949">
        <v>26999.5</v>
      </c>
      <c r="E46" s="949">
        <v>66179.899999999994</v>
      </c>
      <c r="F46" s="949">
        <v>299595.59999999998</v>
      </c>
      <c r="G46" s="949">
        <v>94962</v>
      </c>
      <c r="H46" s="949">
        <v>253042</v>
      </c>
      <c r="I46" s="949">
        <v>163296.79999999999</v>
      </c>
      <c r="J46" s="949">
        <v>41455.9</v>
      </c>
      <c r="K46" s="949">
        <v>622835</v>
      </c>
      <c r="L46" s="949">
        <v>46710.1</v>
      </c>
      <c r="M46" s="949">
        <v>469790.7</v>
      </c>
      <c r="N46" s="949">
        <v>16584.3</v>
      </c>
      <c r="O46" s="949">
        <v>2187835.7000000002</v>
      </c>
    </row>
    <row r="47" spans="2:15" ht="15" hidden="1" customHeight="1">
      <c r="B47" s="948" t="s">
        <v>340</v>
      </c>
      <c r="C47" s="949">
        <v>112415.1</v>
      </c>
      <c r="D47" s="949">
        <v>59705.5</v>
      </c>
      <c r="E47" s="949">
        <v>75979.5</v>
      </c>
      <c r="F47" s="949">
        <v>279782.3</v>
      </c>
      <c r="G47" s="949">
        <v>100445.2</v>
      </c>
      <c r="H47" s="949">
        <v>268505.5</v>
      </c>
      <c r="I47" s="949">
        <v>184963.8</v>
      </c>
      <c r="J47" s="949">
        <v>66622.600000000006</v>
      </c>
      <c r="K47" s="949">
        <v>577045.4</v>
      </c>
      <c r="L47" s="949">
        <v>62380.800000000003</v>
      </c>
      <c r="M47" s="949">
        <v>438287</v>
      </c>
      <c r="N47" s="949">
        <v>17369.400000000001</v>
      </c>
      <c r="O47" s="949">
        <v>2243502</v>
      </c>
    </row>
    <row r="48" spans="2:15" ht="15" hidden="1" customHeight="1">
      <c r="B48" s="948" t="s">
        <v>348</v>
      </c>
      <c r="C48" s="949">
        <v>147621.70000000001</v>
      </c>
      <c r="D48" s="949">
        <v>65120.3</v>
      </c>
      <c r="E48" s="949">
        <v>77069.2</v>
      </c>
      <c r="F48" s="949">
        <v>311834</v>
      </c>
      <c r="G48" s="949">
        <v>86441</v>
      </c>
      <c r="H48" s="949">
        <v>262574</v>
      </c>
      <c r="I48" s="949">
        <v>175246.1</v>
      </c>
      <c r="J48" s="949">
        <v>74781.600000000006</v>
      </c>
      <c r="K48" s="949">
        <v>513888</v>
      </c>
      <c r="L48" s="949">
        <v>66793.8</v>
      </c>
      <c r="M48" s="949">
        <v>475822</v>
      </c>
      <c r="N48" s="949">
        <v>13952.5</v>
      </c>
      <c r="O48" s="949">
        <v>2271144</v>
      </c>
    </row>
    <row r="49" spans="2:15" ht="15" hidden="1" customHeight="1">
      <c r="B49" s="948" t="s">
        <v>342</v>
      </c>
      <c r="C49" s="949">
        <v>122658.8</v>
      </c>
      <c r="D49" s="949">
        <v>50310.9</v>
      </c>
      <c r="E49" s="949">
        <v>112599.7</v>
      </c>
      <c r="F49" s="949">
        <v>318080.09999999998</v>
      </c>
      <c r="G49" s="949">
        <v>86261.8</v>
      </c>
      <c r="H49" s="949">
        <v>282990.2</v>
      </c>
      <c r="I49" s="949">
        <v>163299</v>
      </c>
      <c r="J49" s="949">
        <v>74107.8</v>
      </c>
      <c r="K49" s="949">
        <v>562077.80000000005</v>
      </c>
      <c r="L49" s="949">
        <v>32280.7</v>
      </c>
      <c r="M49" s="949">
        <v>460614.3</v>
      </c>
      <c r="N49" s="949">
        <v>19378.3</v>
      </c>
      <c r="O49" s="949">
        <v>2284659.4</v>
      </c>
    </row>
    <row r="50" spans="2:15" ht="15" hidden="1" customHeight="1">
      <c r="B50" s="948" t="s">
        <v>343</v>
      </c>
      <c r="C50" s="949" t="s">
        <v>1217</v>
      </c>
      <c r="D50" s="949">
        <v>30524.1</v>
      </c>
      <c r="E50" s="949">
        <v>79461.899999999994</v>
      </c>
      <c r="F50" s="949">
        <v>310533.5</v>
      </c>
      <c r="G50" s="949">
        <v>79201.3</v>
      </c>
      <c r="H50" s="949">
        <v>259924.7</v>
      </c>
      <c r="I50" s="949">
        <v>204651</v>
      </c>
      <c r="J50" s="949">
        <v>95981.1</v>
      </c>
      <c r="K50" s="949">
        <v>577348.5</v>
      </c>
      <c r="L50" s="949">
        <v>25970.400000000001</v>
      </c>
      <c r="M50" s="949">
        <v>456874</v>
      </c>
      <c r="N50" s="949">
        <v>13736.1</v>
      </c>
      <c r="O50" s="949">
        <v>2241937.2999999998</v>
      </c>
    </row>
    <row r="51" spans="2:15" ht="15" hidden="1" customHeight="1">
      <c r="B51" s="948" t="s">
        <v>344</v>
      </c>
      <c r="C51" s="949">
        <v>120665.7</v>
      </c>
      <c r="D51" s="949">
        <v>35860.199999999997</v>
      </c>
      <c r="E51" s="949">
        <v>107439.2</v>
      </c>
      <c r="F51" s="949">
        <v>295439.3</v>
      </c>
      <c r="G51" s="949">
        <v>94854.2</v>
      </c>
      <c r="H51" s="949">
        <v>277933.7</v>
      </c>
      <c r="I51" s="949">
        <v>267305.3</v>
      </c>
      <c r="J51" s="949">
        <v>69436</v>
      </c>
      <c r="K51" s="949">
        <v>518311.2</v>
      </c>
      <c r="L51" s="949">
        <v>24462.2</v>
      </c>
      <c r="M51" s="949">
        <v>444051.7</v>
      </c>
      <c r="N51" s="949">
        <v>15849.9</v>
      </c>
      <c r="O51" s="949">
        <v>2271608.5</v>
      </c>
    </row>
    <row r="52" spans="2:15" ht="15" hidden="1" customHeight="1">
      <c r="B52" s="928"/>
      <c r="C52" s="928"/>
      <c r="D52" s="928"/>
      <c r="E52" s="928"/>
      <c r="F52" s="928"/>
      <c r="G52" s="928"/>
      <c r="H52" s="928"/>
      <c r="I52" s="928"/>
      <c r="J52" s="928"/>
      <c r="K52" s="928"/>
      <c r="L52" s="928"/>
      <c r="M52" s="928"/>
      <c r="N52" s="928"/>
      <c r="O52" s="928"/>
    </row>
    <row r="53" spans="2:15" ht="15" hidden="1" customHeight="1">
      <c r="B53" s="950">
        <v>2012</v>
      </c>
      <c r="C53" s="928"/>
      <c r="D53" s="928"/>
      <c r="E53" s="928"/>
      <c r="F53" s="928"/>
      <c r="G53" s="928"/>
      <c r="H53" s="928"/>
      <c r="I53" s="928"/>
      <c r="J53" s="928"/>
      <c r="K53" s="928"/>
      <c r="L53" s="928"/>
      <c r="M53" s="928"/>
      <c r="N53" s="928"/>
      <c r="O53" s="928"/>
    </row>
    <row r="54" spans="2:15" ht="15" hidden="1" customHeight="1">
      <c r="B54" s="948" t="s">
        <v>345</v>
      </c>
      <c r="C54" s="949">
        <v>137919.4</v>
      </c>
      <c r="D54" s="949">
        <v>35324.800000000003</v>
      </c>
      <c r="E54" s="949">
        <v>106812.5</v>
      </c>
      <c r="F54" s="949">
        <v>296807.8</v>
      </c>
      <c r="G54" s="949">
        <v>116945.8</v>
      </c>
      <c r="H54" s="949">
        <v>277304.7</v>
      </c>
      <c r="I54" s="949">
        <v>268525.2</v>
      </c>
      <c r="J54" s="949">
        <v>119278.5</v>
      </c>
      <c r="K54" s="949">
        <v>515754.9</v>
      </c>
      <c r="L54" s="949">
        <v>21989.9</v>
      </c>
      <c r="M54" s="949">
        <v>431208.6</v>
      </c>
      <c r="N54" s="949">
        <v>14582.8</v>
      </c>
      <c r="O54" s="949">
        <v>2342454.9</v>
      </c>
    </row>
    <row r="55" spans="2:15" ht="15" hidden="1" customHeight="1">
      <c r="B55" s="948" t="s">
        <v>334</v>
      </c>
      <c r="C55" s="949">
        <v>132404.53</v>
      </c>
      <c r="D55" s="949">
        <v>36283.33</v>
      </c>
      <c r="E55" s="949">
        <v>110794.26</v>
      </c>
      <c r="F55" s="949">
        <v>341462.75</v>
      </c>
      <c r="G55" s="949">
        <v>99165.46</v>
      </c>
      <c r="H55" s="949">
        <v>288834.34000000003</v>
      </c>
      <c r="I55" s="949">
        <v>264450.53000000003</v>
      </c>
      <c r="J55" s="949">
        <v>104923.38</v>
      </c>
      <c r="K55" s="949">
        <v>577378.61</v>
      </c>
      <c r="L55" s="949">
        <v>22873.9</v>
      </c>
      <c r="M55" s="949">
        <v>467084.94</v>
      </c>
      <c r="N55" s="949">
        <v>14234.06</v>
      </c>
      <c r="O55" s="949">
        <v>2459890.1</v>
      </c>
    </row>
    <row r="56" spans="2:15" ht="15" hidden="1" customHeight="1">
      <c r="B56" s="948" t="s">
        <v>335</v>
      </c>
      <c r="C56" s="949">
        <v>121233.1</v>
      </c>
      <c r="D56" s="949">
        <v>38555.4</v>
      </c>
      <c r="E56" s="949">
        <v>124038.5</v>
      </c>
      <c r="F56" s="949">
        <v>348687.2</v>
      </c>
      <c r="G56" s="949">
        <v>93320</v>
      </c>
      <c r="H56" s="949" t="s">
        <v>1219</v>
      </c>
      <c r="I56" s="949">
        <v>276941.5</v>
      </c>
      <c r="J56" s="949">
        <v>76084.399999999994</v>
      </c>
      <c r="K56" s="949">
        <v>629624.30000000005</v>
      </c>
      <c r="L56" s="949">
        <v>24984.1</v>
      </c>
      <c r="M56" s="949">
        <v>468608.5</v>
      </c>
      <c r="N56" s="949">
        <v>14756.2</v>
      </c>
      <c r="O56" s="949">
        <v>2480386.1</v>
      </c>
    </row>
    <row r="57" spans="2:15" ht="15" hidden="1" customHeight="1">
      <c r="B57" s="948" t="s">
        <v>336</v>
      </c>
      <c r="C57" s="949">
        <v>127168.8</v>
      </c>
      <c r="D57" s="949">
        <v>39606.6</v>
      </c>
      <c r="E57" s="949">
        <v>115033.7</v>
      </c>
      <c r="F57" s="949">
        <v>331306.5</v>
      </c>
      <c r="G57" s="949">
        <v>83707.8</v>
      </c>
      <c r="H57" s="949">
        <v>289829.09999999998</v>
      </c>
      <c r="I57" s="949">
        <v>276208.7</v>
      </c>
      <c r="J57" s="949">
        <v>75855.899999999994</v>
      </c>
      <c r="K57" s="949">
        <v>644979.80000000005</v>
      </c>
      <c r="L57" s="949">
        <v>24822.5</v>
      </c>
      <c r="M57" s="949">
        <v>465129</v>
      </c>
      <c r="N57" s="949">
        <v>14829.3</v>
      </c>
      <c r="O57" s="949">
        <v>2488477.6</v>
      </c>
    </row>
    <row r="58" spans="2:15" ht="15" hidden="1" customHeight="1">
      <c r="B58" s="948" t="s">
        <v>337</v>
      </c>
      <c r="C58" s="949">
        <v>124277.7</v>
      </c>
      <c r="D58" s="949">
        <v>43333.7</v>
      </c>
      <c r="E58" s="949">
        <v>142130.1</v>
      </c>
      <c r="F58" s="949">
        <v>370561.1</v>
      </c>
      <c r="G58" s="949">
        <v>93500</v>
      </c>
      <c r="H58" s="949">
        <v>249454.2</v>
      </c>
      <c r="I58" s="949">
        <v>299116.59999999998</v>
      </c>
      <c r="J58" s="949">
        <v>86314.7</v>
      </c>
      <c r="K58" s="949">
        <v>648511.1</v>
      </c>
      <c r="L58" s="949">
        <v>28279.3</v>
      </c>
      <c r="M58" s="949">
        <v>516523</v>
      </c>
      <c r="N58" s="949">
        <v>16891.5</v>
      </c>
      <c r="O58" s="949">
        <v>2618892.9</v>
      </c>
    </row>
    <row r="59" spans="2:15" ht="15" hidden="1" customHeight="1">
      <c r="B59" s="948" t="s">
        <v>338</v>
      </c>
      <c r="C59" s="949">
        <v>84589.8</v>
      </c>
      <c r="D59" s="949">
        <v>51354</v>
      </c>
      <c r="E59" s="949">
        <v>132428.70000000001</v>
      </c>
      <c r="F59" s="949">
        <v>351179.8</v>
      </c>
      <c r="G59" s="949">
        <v>98785.600000000006</v>
      </c>
      <c r="H59" s="949">
        <v>375613.6</v>
      </c>
      <c r="I59" s="949">
        <v>214696.7</v>
      </c>
      <c r="J59" s="949">
        <v>76370.100000000006</v>
      </c>
      <c r="K59" s="949">
        <v>727955.7</v>
      </c>
      <c r="L59" s="949">
        <v>36208.400000000001</v>
      </c>
      <c r="M59" s="949">
        <v>456454.40000000002</v>
      </c>
      <c r="N59" s="949">
        <v>18727.599999999999</v>
      </c>
      <c r="O59" s="949">
        <v>2624364.4</v>
      </c>
    </row>
    <row r="60" spans="2:15" ht="15" hidden="1" customHeight="1">
      <c r="B60" s="948" t="s">
        <v>339</v>
      </c>
      <c r="C60" s="949">
        <v>106470.8</v>
      </c>
      <c r="D60" s="949">
        <v>47401</v>
      </c>
      <c r="E60" s="949">
        <v>131489</v>
      </c>
      <c r="F60" s="949">
        <v>345036.3</v>
      </c>
      <c r="G60" s="949" t="s">
        <v>1220</v>
      </c>
      <c r="H60" s="949">
        <v>397969.7</v>
      </c>
      <c r="I60" s="949">
        <v>213370.5</v>
      </c>
      <c r="J60" s="949">
        <v>89915.4</v>
      </c>
      <c r="K60" s="949">
        <v>726447.6</v>
      </c>
      <c r="L60" s="949">
        <v>46000.4</v>
      </c>
      <c r="M60" s="949">
        <v>505054.1</v>
      </c>
      <c r="N60" s="949">
        <v>29735.3</v>
      </c>
      <c r="O60" s="949">
        <v>2709378</v>
      </c>
    </row>
    <row r="61" spans="2:15" ht="15" hidden="1" customHeight="1">
      <c r="B61" s="948" t="s">
        <v>340</v>
      </c>
      <c r="C61" s="949">
        <v>99151.6</v>
      </c>
      <c r="D61" s="949">
        <v>49226.400000000001</v>
      </c>
      <c r="E61" s="949">
        <v>116820.6</v>
      </c>
      <c r="F61" s="949">
        <v>363080.1</v>
      </c>
      <c r="G61" s="949">
        <v>382619.4</v>
      </c>
      <c r="H61" s="949">
        <v>71775.899999999994</v>
      </c>
      <c r="I61" s="949">
        <v>216433</v>
      </c>
      <c r="J61" s="949">
        <v>73978.5</v>
      </c>
      <c r="K61" s="949">
        <v>737065.6</v>
      </c>
      <c r="L61" s="949">
        <v>48183.8</v>
      </c>
      <c r="M61" s="949">
        <v>488183.8</v>
      </c>
      <c r="N61" s="949">
        <v>28785.3</v>
      </c>
      <c r="O61" s="949">
        <v>2663379.7999999998</v>
      </c>
    </row>
    <row r="62" spans="2:15" ht="15" hidden="1" customHeight="1">
      <c r="B62" s="948" t="s">
        <v>348</v>
      </c>
      <c r="C62" s="949">
        <v>113907.6</v>
      </c>
      <c r="D62" s="949">
        <v>43671</v>
      </c>
      <c r="E62" s="949">
        <v>125801.3</v>
      </c>
      <c r="F62" s="949">
        <v>276363</v>
      </c>
      <c r="G62" s="949">
        <v>177790.6</v>
      </c>
      <c r="H62" s="949">
        <v>429596.7</v>
      </c>
      <c r="I62" s="949">
        <v>228342.2</v>
      </c>
      <c r="J62" s="949">
        <v>82777.7</v>
      </c>
      <c r="K62" s="949">
        <v>651389.19999999995</v>
      </c>
      <c r="L62" s="949">
        <v>48764.9</v>
      </c>
      <c r="M62" s="949">
        <v>517788.8</v>
      </c>
      <c r="N62" s="949">
        <v>29019.9</v>
      </c>
      <c r="O62" s="949">
        <v>2725213</v>
      </c>
    </row>
    <row r="63" spans="2:15" ht="15" hidden="1" customHeight="1">
      <c r="B63" s="948" t="s">
        <v>342</v>
      </c>
      <c r="C63" s="949">
        <v>101122.4</v>
      </c>
      <c r="D63" s="949">
        <v>48716.9</v>
      </c>
      <c r="E63" s="949">
        <v>155798.29999999999</v>
      </c>
      <c r="F63" s="949">
        <v>313982.40000000002</v>
      </c>
      <c r="G63" s="949">
        <v>257300.6</v>
      </c>
      <c r="H63" s="949">
        <v>409730</v>
      </c>
      <c r="I63" s="949">
        <v>245131.8</v>
      </c>
      <c r="J63" s="949">
        <v>83995.5</v>
      </c>
      <c r="K63" s="949">
        <v>661217.19999999995</v>
      </c>
      <c r="L63" s="949">
        <v>48396.800000000003</v>
      </c>
      <c r="M63" s="949">
        <v>534643.6</v>
      </c>
      <c r="N63" s="949">
        <v>26158</v>
      </c>
      <c r="O63" s="949">
        <v>2886193.5</v>
      </c>
    </row>
    <row r="64" spans="2:15" ht="15" hidden="1" customHeight="1">
      <c r="B64" s="948" t="s">
        <v>343</v>
      </c>
      <c r="C64" s="949">
        <v>104695.1</v>
      </c>
      <c r="D64" s="949">
        <v>53233.8</v>
      </c>
      <c r="E64" s="949">
        <v>151359.5</v>
      </c>
      <c r="F64" s="949">
        <v>348390.40000000002</v>
      </c>
      <c r="G64" s="949">
        <v>185802.5</v>
      </c>
      <c r="H64" s="949">
        <v>464782.4</v>
      </c>
      <c r="I64" s="949">
        <v>269513.8</v>
      </c>
      <c r="J64" s="949">
        <v>85906.9</v>
      </c>
      <c r="K64" s="949">
        <v>962840.9</v>
      </c>
      <c r="L64" s="949">
        <v>47647.199999999997</v>
      </c>
      <c r="M64" s="949">
        <v>548847.69999999995</v>
      </c>
      <c r="N64" s="949">
        <v>23130.6</v>
      </c>
      <c r="O64" s="949">
        <v>3246150.7</v>
      </c>
    </row>
    <row r="65" spans="2:15" ht="15" hidden="1" customHeight="1">
      <c r="B65" s="948" t="s">
        <v>344</v>
      </c>
      <c r="C65" s="949">
        <v>96098.37</v>
      </c>
      <c r="D65" s="949">
        <v>50492.68</v>
      </c>
      <c r="E65" s="949">
        <v>126343.53</v>
      </c>
      <c r="F65" s="949">
        <v>379068.02</v>
      </c>
      <c r="G65" s="949">
        <v>198323.3</v>
      </c>
      <c r="H65" s="949">
        <v>509241.59</v>
      </c>
      <c r="I65" s="949">
        <v>280975.34999999998</v>
      </c>
      <c r="J65" s="949">
        <v>95457.07</v>
      </c>
      <c r="K65" s="949">
        <v>582286.18999999994</v>
      </c>
      <c r="L65" s="949">
        <v>41852.17</v>
      </c>
      <c r="M65" s="949">
        <v>538135.21</v>
      </c>
      <c r="N65" s="949">
        <v>26491.34</v>
      </c>
      <c r="O65" s="949">
        <f>SUM(C65:N65)</f>
        <v>2924764.8199999994</v>
      </c>
    </row>
    <row r="66" spans="2:15" ht="15" hidden="1" customHeight="1">
      <c r="B66" s="928"/>
      <c r="C66" s="928"/>
      <c r="D66" s="928"/>
      <c r="E66" s="928"/>
      <c r="F66" s="928"/>
      <c r="G66" s="928"/>
      <c r="H66" s="928"/>
      <c r="I66" s="928"/>
      <c r="J66" s="928"/>
      <c r="K66" s="928"/>
      <c r="L66" s="928"/>
      <c r="M66" s="928"/>
      <c r="N66" s="928"/>
      <c r="O66" s="928"/>
    </row>
    <row r="67" spans="2:15" ht="15" hidden="1" customHeight="1">
      <c r="B67" s="950">
        <v>2013</v>
      </c>
      <c r="C67" s="928"/>
      <c r="D67" s="928"/>
      <c r="E67" s="928"/>
      <c r="F67" s="928"/>
      <c r="G67" s="928"/>
      <c r="H67" s="928"/>
      <c r="I67" s="928"/>
      <c r="J67" s="928"/>
      <c r="K67" s="928"/>
      <c r="L67" s="928"/>
      <c r="M67" s="928"/>
      <c r="N67" s="928"/>
      <c r="O67" s="928"/>
    </row>
    <row r="68" spans="2:15" ht="15" hidden="1" customHeight="1">
      <c r="B68" s="948" t="s">
        <v>345</v>
      </c>
      <c r="C68" s="949">
        <v>91648.8</v>
      </c>
      <c r="D68" s="949">
        <v>48329.1</v>
      </c>
      <c r="E68" s="949">
        <v>128425.95</v>
      </c>
      <c r="F68" s="949">
        <v>351566.7</v>
      </c>
      <c r="G68" s="949">
        <v>212401.7</v>
      </c>
      <c r="H68" s="949">
        <v>494823.55</v>
      </c>
      <c r="I68" s="949">
        <v>252389.69899999999</v>
      </c>
      <c r="J68" s="949">
        <v>93469.95</v>
      </c>
      <c r="K68" s="949">
        <v>658260.06999999995</v>
      </c>
      <c r="L68" s="949">
        <v>44091.4</v>
      </c>
      <c r="M68" s="949">
        <v>512289.8</v>
      </c>
      <c r="N68" s="949">
        <v>32145.9</v>
      </c>
      <c r="O68" s="949">
        <f>SUM(C68:N68)</f>
        <v>2919842.6189999995</v>
      </c>
    </row>
    <row r="69" spans="2:15" ht="15" hidden="1" customHeight="1">
      <c r="B69" s="948" t="s">
        <v>334</v>
      </c>
      <c r="C69" s="949">
        <v>96796.5</v>
      </c>
      <c r="D69" s="949">
        <v>48491.5</v>
      </c>
      <c r="E69" s="949">
        <v>147571.5</v>
      </c>
      <c r="F69" s="949">
        <v>360757.9</v>
      </c>
      <c r="G69" s="949">
        <v>147995.9</v>
      </c>
      <c r="H69" s="949">
        <v>578306.4</v>
      </c>
      <c r="I69" s="949">
        <v>284603.8</v>
      </c>
      <c r="J69" s="949">
        <v>64530.5</v>
      </c>
      <c r="K69" s="949">
        <v>679554.8</v>
      </c>
      <c r="L69" s="949">
        <v>41983.6</v>
      </c>
      <c r="M69" s="949">
        <v>516431.2</v>
      </c>
      <c r="N69" s="949">
        <v>25275.3</v>
      </c>
      <c r="O69" s="949" t="s">
        <v>1277</v>
      </c>
    </row>
    <row r="70" spans="2:15" ht="15" hidden="1" customHeight="1">
      <c r="B70" s="948" t="s">
        <v>335</v>
      </c>
      <c r="C70" s="949">
        <v>96752.83</v>
      </c>
      <c r="D70" s="949">
        <v>44883.31</v>
      </c>
      <c r="E70" s="949">
        <v>139327.79999999999</v>
      </c>
      <c r="F70" s="949">
        <v>354627.8</v>
      </c>
      <c r="G70" s="949">
        <v>155915.20000000001</v>
      </c>
      <c r="H70" s="949">
        <v>610758.39</v>
      </c>
      <c r="I70" s="949">
        <v>290072.83</v>
      </c>
      <c r="J70" s="949">
        <v>87142.96</v>
      </c>
      <c r="K70" s="949">
        <v>594397.69999999995</v>
      </c>
      <c r="L70" s="949">
        <v>38345.49</v>
      </c>
      <c r="M70" s="949">
        <v>523913.76</v>
      </c>
      <c r="N70" s="949">
        <v>141404.6</v>
      </c>
      <c r="O70" s="949">
        <f>SUM(C70:N70)</f>
        <v>3077542.6700000004</v>
      </c>
    </row>
    <row r="71" spans="2:15" ht="15" hidden="1" customHeight="1">
      <c r="B71" s="948" t="s">
        <v>336</v>
      </c>
      <c r="C71" s="949">
        <v>98671.01</v>
      </c>
      <c r="D71" s="949">
        <v>49093.8</v>
      </c>
      <c r="E71" s="949">
        <v>152390.82</v>
      </c>
      <c r="F71" s="949">
        <v>350269.24</v>
      </c>
      <c r="G71" s="949">
        <v>166578.49</v>
      </c>
      <c r="H71" s="949">
        <v>545118.18000000005</v>
      </c>
      <c r="I71" s="949">
        <v>311310.83</v>
      </c>
      <c r="J71" s="949">
        <v>105766.85</v>
      </c>
      <c r="K71" s="949">
        <v>638341.84</v>
      </c>
      <c r="L71" s="949">
        <v>39837.14</v>
      </c>
      <c r="M71" s="949">
        <v>533691.29</v>
      </c>
      <c r="N71" s="949">
        <v>99053.92</v>
      </c>
      <c r="O71" s="949">
        <v>3090123.41</v>
      </c>
    </row>
    <row r="72" spans="2:15" ht="15" hidden="1" customHeight="1">
      <c r="B72" s="948" t="s">
        <v>337</v>
      </c>
      <c r="C72" s="949">
        <v>114053.33</v>
      </c>
      <c r="D72" s="949">
        <v>55427.447999999997</v>
      </c>
      <c r="E72" s="949">
        <v>142023.28599999999</v>
      </c>
      <c r="F72" s="949">
        <v>389384.68699999998</v>
      </c>
      <c r="G72" s="949">
        <v>255352.1</v>
      </c>
      <c r="H72" s="949">
        <v>484429.73</v>
      </c>
      <c r="I72" s="949">
        <v>318129.39600000001</v>
      </c>
      <c r="J72" s="949">
        <v>92777.153999999995</v>
      </c>
      <c r="K72" s="949">
        <v>700668.69</v>
      </c>
      <c r="L72" s="949">
        <v>46593.756999999998</v>
      </c>
      <c r="M72" s="949">
        <v>578509.23300000001</v>
      </c>
      <c r="N72" s="949">
        <v>32297.735000000001</v>
      </c>
      <c r="O72" s="949">
        <f>SUM(C72:N72)</f>
        <v>3209646.5459999996</v>
      </c>
    </row>
    <row r="73" spans="2:15" ht="15" hidden="1" customHeight="1">
      <c r="B73" s="948" t="s">
        <v>338</v>
      </c>
      <c r="C73" s="949">
        <v>116635.2</v>
      </c>
      <c r="D73" s="949">
        <v>58578.8</v>
      </c>
      <c r="E73" s="949">
        <v>147313.79</v>
      </c>
      <c r="F73" s="949">
        <v>447394.5</v>
      </c>
      <c r="G73" s="949">
        <v>183146.3</v>
      </c>
      <c r="H73" s="949">
        <v>352600.3</v>
      </c>
      <c r="I73" s="949">
        <v>366824.2</v>
      </c>
      <c r="J73" s="949">
        <v>96685.8</v>
      </c>
      <c r="K73" s="949">
        <v>701195.66899999999</v>
      </c>
      <c r="L73" s="949">
        <v>46578.5</v>
      </c>
      <c r="M73" s="949">
        <v>597373.1</v>
      </c>
      <c r="N73" s="949">
        <v>104843.6</v>
      </c>
      <c r="O73" s="949">
        <f>SUM(C73:N73)</f>
        <v>3219169.7590000005</v>
      </c>
    </row>
    <row r="74" spans="2:15" ht="15" hidden="1" customHeight="1">
      <c r="B74" s="948" t="s">
        <v>339</v>
      </c>
      <c r="C74" s="949">
        <v>108086.64306</v>
      </c>
      <c r="D74" s="949">
        <v>46449.517339999999</v>
      </c>
      <c r="E74" s="949">
        <v>120982.31729000001</v>
      </c>
      <c r="F74" s="949">
        <v>380448.80583999999</v>
      </c>
      <c r="G74" s="949">
        <v>178341.43641999995</v>
      </c>
      <c r="H74" s="949">
        <v>677700.67196999991</v>
      </c>
      <c r="I74" s="949">
        <v>301575.93612999999</v>
      </c>
      <c r="J74" s="949">
        <v>97583.759120000032</v>
      </c>
      <c r="K74" s="949">
        <v>710856.11607000011</v>
      </c>
      <c r="L74" s="949">
        <v>39395.918549999995</v>
      </c>
      <c r="M74" s="949">
        <v>487954.37919000007</v>
      </c>
      <c r="N74" s="949">
        <v>102531.41172</v>
      </c>
      <c r="O74" s="949">
        <f>SUM(C74:N74)</f>
        <v>3251906.9127000007</v>
      </c>
    </row>
    <row r="75" spans="2:15" ht="15" hidden="1" customHeight="1">
      <c r="B75" s="948" t="s">
        <v>340</v>
      </c>
      <c r="C75" s="949">
        <v>137107.1</v>
      </c>
      <c r="D75" s="949">
        <v>48726.1</v>
      </c>
      <c r="E75" s="949">
        <v>135788.5</v>
      </c>
      <c r="F75" s="949">
        <v>319106</v>
      </c>
      <c r="G75" s="949">
        <v>174593.9</v>
      </c>
      <c r="H75" s="949">
        <v>637190.69999999995</v>
      </c>
      <c r="I75" s="949">
        <v>333255.3</v>
      </c>
      <c r="J75" s="949">
        <v>99194.1</v>
      </c>
      <c r="K75" s="949">
        <v>639401.6</v>
      </c>
      <c r="L75" s="949">
        <v>41996.5</v>
      </c>
      <c r="M75" s="949">
        <v>417762.6</v>
      </c>
      <c r="N75" s="949">
        <v>93772.1</v>
      </c>
      <c r="O75" s="949">
        <v>3077894.4</v>
      </c>
    </row>
    <row r="76" spans="2:15" ht="15" hidden="1" customHeight="1">
      <c r="B76" s="948" t="s">
        <v>348</v>
      </c>
      <c r="C76" s="949">
        <v>100028.3</v>
      </c>
      <c r="D76" s="949">
        <v>57039.8</v>
      </c>
      <c r="E76" s="949">
        <v>145652.5</v>
      </c>
      <c r="F76" s="949">
        <v>380781.4</v>
      </c>
      <c r="G76" s="949">
        <v>207379.20000000001</v>
      </c>
      <c r="H76" s="949">
        <v>612131.5</v>
      </c>
      <c r="I76" s="949">
        <v>408359.1</v>
      </c>
      <c r="J76" s="949">
        <v>103872.8</v>
      </c>
      <c r="K76" s="949">
        <v>795047.6</v>
      </c>
      <c r="L76" s="949">
        <v>46982.9</v>
      </c>
      <c r="M76" s="949">
        <v>435912.4</v>
      </c>
      <c r="N76" s="949">
        <v>90265.8</v>
      </c>
      <c r="O76" s="949">
        <v>3383453.4</v>
      </c>
    </row>
    <row r="77" spans="2:15" ht="15" hidden="1" customHeight="1">
      <c r="B77" s="948" t="s">
        <v>342</v>
      </c>
      <c r="C77" s="949">
        <v>94346.3</v>
      </c>
      <c r="D77" s="949">
        <v>52722.400000000001</v>
      </c>
      <c r="E77" s="949">
        <v>141401.4</v>
      </c>
      <c r="F77" s="949">
        <v>338625.9</v>
      </c>
      <c r="G77" s="949">
        <v>223223.8</v>
      </c>
      <c r="H77" s="949">
        <v>754145.4</v>
      </c>
      <c r="I77" s="949">
        <v>339305.6</v>
      </c>
      <c r="J77" s="949">
        <v>99583.3</v>
      </c>
      <c r="K77" s="949">
        <v>754116.1</v>
      </c>
      <c r="L77" s="949">
        <v>41527.199999999997</v>
      </c>
      <c r="M77" s="949">
        <v>440197.9</v>
      </c>
      <c r="N77" s="949">
        <v>97771.1</v>
      </c>
      <c r="O77" s="949">
        <v>3376966.4</v>
      </c>
    </row>
    <row r="78" spans="2:15" ht="15" hidden="1" customHeight="1">
      <c r="B78" s="948" t="s">
        <v>343</v>
      </c>
      <c r="C78" s="949">
        <v>114178.7</v>
      </c>
      <c r="D78" s="949">
        <v>47740.9</v>
      </c>
      <c r="E78" s="949">
        <v>128399.3</v>
      </c>
      <c r="F78" s="949">
        <v>312639.2</v>
      </c>
      <c r="G78" s="949">
        <v>241628.79999999999</v>
      </c>
      <c r="H78" s="949">
        <v>741885.4</v>
      </c>
      <c r="I78" s="949">
        <v>283426</v>
      </c>
      <c r="J78" s="949">
        <v>80507.600000000006</v>
      </c>
      <c r="K78" s="949">
        <v>727492.5</v>
      </c>
      <c r="L78" s="949">
        <v>42901</v>
      </c>
      <c r="M78" s="949">
        <v>458479.9</v>
      </c>
      <c r="N78" s="949">
        <v>89292.5</v>
      </c>
      <c r="O78" s="949">
        <v>3268571.8</v>
      </c>
    </row>
    <row r="79" spans="2:15" ht="15" hidden="1" customHeight="1">
      <c r="B79" s="948" t="s">
        <v>344</v>
      </c>
      <c r="C79" s="949">
        <v>113914.2</v>
      </c>
      <c r="D79" s="949">
        <v>51981.7</v>
      </c>
      <c r="E79" s="949">
        <v>142938.1</v>
      </c>
      <c r="F79" s="949">
        <v>342785.1</v>
      </c>
      <c r="G79" s="949">
        <v>213125.2</v>
      </c>
      <c r="H79" s="949">
        <v>755299.4</v>
      </c>
      <c r="I79" s="949">
        <v>327658.09999999998</v>
      </c>
      <c r="J79" s="949">
        <v>83103.100000000006</v>
      </c>
      <c r="K79" s="949">
        <v>762884.4</v>
      </c>
      <c r="L79" s="949">
        <v>41827.9</v>
      </c>
      <c r="M79" s="949">
        <v>432436.3</v>
      </c>
      <c r="N79" s="949">
        <v>61038.7</v>
      </c>
      <c r="O79" s="949">
        <v>3328992.1</v>
      </c>
    </row>
    <row r="80" spans="2:15" ht="15" hidden="1" customHeight="1">
      <c r="B80" s="928"/>
      <c r="C80" s="928"/>
      <c r="D80" s="928"/>
      <c r="E80" s="928"/>
      <c r="F80" s="928"/>
      <c r="G80" s="928"/>
      <c r="H80" s="928"/>
      <c r="I80" s="928"/>
      <c r="J80" s="928"/>
      <c r="K80" s="928"/>
      <c r="L80" s="928"/>
      <c r="M80" s="928"/>
      <c r="N80" s="928"/>
      <c r="O80" s="928"/>
    </row>
    <row r="81" spans="2:15" ht="15" hidden="1" customHeight="1">
      <c r="B81" s="950">
        <v>2014</v>
      </c>
      <c r="C81" s="928"/>
      <c r="D81" s="928"/>
      <c r="E81" s="928"/>
      <c r="F81" s="928"/>
      <c r="G81" s="928"/>
      <c r="H81" s="928"/>
      <c r="I81" s="928"/>
      <c r="J81" s="928"/>
      <c r="K81" s="928"/>
      <c r="L81" s="928"/>
      <c r="M81" s="928"/>
      <c r="N81" s="928"/>
      <c r="O81" s="928"/>
    </row>
    <row r="82" spans="2:15" ht="15" hidden="1" customHeight="1">
      <c r="B82" s="948" t="s">
        <v>345</v>
      </c>
      <c r="C82" s="949">
        <v>130154.6</v>
      </c>
      <c r="D82" s="949">
        <v>53292.9</v>
      </c>
      <c r="E82" s="949">
        <v>146876.1</v>
      </c>
      <c r="F82" s="949">
        <v>353793.8</v>
      </c>
      <c r="G82" s="949">
        <v>259569.6</v>
      </c>
      <c r="H82" s="949">
        <v>731703.3</v>
      </c>
      <c r="I82" s="949">
        <v>304033.2</v>
      </c>
      <c r="J82" s="949">
        <v>93776.7</v>
      </c>
      <c r="K82" s="949">
        <v>770435.4</v>
      </c>
      <c r="L82" s="949">
        <v>40085.9</v>
      </c>
      <c r="M82" s="949">
        <v>485573.1</v>
      </c>
      <c r="N82" s="949">
        <v>60897.7</v>
      </c>
      <c r="O82" s="949">
        <v>3430192.5</v>
      </c>
    </row>
    <row r="83" spans="2:15" ht="15" hidden="1" customHeight="1">
      <c r="B83" s="948" t="s">
        <v>334</v>
      </c>
      <c r="C83" s="949">
        <v>138812.29999999999</v>
      </c>
      <c r="D83" s="949">
        <v>55092.2</v>
      </c>
      <c r="E83" s="949">
        <v>134813.9</v>
      </c>
      <c r="F83" s="949">
        <v>420181</v>
      </c>
      <c r="G83" s="949">
        <v>262183.8</v>
      </c>
      <c r="H83" s="949">
        <v>786295.6</v>
      </c>
      <c r="I83" s="949">
        <v>270062.5</v>
      </c>
      <c r="J83" s="949">
        <v>131134.79999999999</v>
      </c>
      <c r="K83" s="949">
        <v>779640.3</v>
      </c>
      <c r="L83" s="949">
        <v>39169.199999999997</v>
      </c>
      <c r="M83" s="949">
        <v>508813.7</v>
      </c>
      <c r="N83" s="949">
        <v>61822.3</v>
      </c>
      <c r="O83" s="949">
        <v>3588021.6</v>
      </c>
    </row>
    <row r="84" spans="2:15" ht="15" hidden="1" customHeight="1">
      <c r="B84" s="948" t="s">
        <v>335</v>
      </c>
      <c r="C84" s="949">
        <v>118239.1</v>
      </c>
      <c r="D84" s="949">
        <v>55167.5</v>
      </c>
      <c r="E84" s="949">
        <v>135807.9</v>
      </c>
      <c r="F84" s="949">
        <v>382675.5</v>
      </c>
      <c r="G84" s="949">
        <v>216025.3</v>
      </c>
      <c r="H84" s="949">
        <v>791776</v>
      </c>
      <c r="I84" s="949">
        <v>275549.09999999998</v>
      </c>
      <c r="J84" s="949">
        <v>103298.7</v>
      </c>
      <c r="K84" s="949">
        <v>806185.9</v>
      </c>
      <c r="L84" s="949">
        <v>42432.800000000003</v>
      </c>
      <c r="M84" s="949">
        <v>521381.5</v>
      </c>
      <c r="N84" s="949">
        <v>72990.899999999994</v>
      </c>
      <c r="O84" s="949">
        <v>3521530.3</v>
      </c>
    </row>
    <row r="85" spans="2:15" ht="15" hidden="1" customHeight="1">
      <c r="B85" s="948" t="s">
        <v>336</v>
      </c>
      <c r="C85" s="949">
        <v>164347.5</v>
      </c>
      <c r="D85" s="949">
        <v>59289.3</v>
      </c>
      <c r="E85" s="949">
        <v>102323.7</v>
      </c>
      <c r="F85" s="949">
        <v>408823.5</v>
      </c>
      <c r="G85" s="949">
        <v>325559.7</v>
      </c>
      <c r="H85" s="949">
        <v>780207</v>
      </c>
      <c r="I85" s="949">
        <v>325659.8</v>
      </c>
      <c r="J85" s="949">
        <v>135187.4</v>
      </c>
      <c r="K85" s="949">
        <v>888876.2</v>
      </c>
      <c r="L85" s="949">
        <v>43746.5</v>
      </c>
      <c r="M85" s="949">
        <v>582848.80000000005</v>
      </c>
      <c r="N85" s="949">
        <v>82009.8</v>
      </c>
      <c r="O85" s="949">
        <v>3898879.1</v>
      </c>
    </row>
    <row r="86" spans="2:15" ht="15" hidden="1" customHeight="1">
      <c r="B86" s="948" t="s">
        <v>337</v>
      </c>
      <c r="C86" s="949">
        <v>149474.1</v>
      </c>
      <c r="D86" s="949">
        <v>60669.4</v>
      </c>
      <c r="E86" s="949">
        <v>108977.60000000001</v>
      </c>
      <c r="F86" s="949">
        <v>355802.3</v>
      </c>
      <c r="G86" s="949">
        <v>332850.8</v>
      </c>
      <c r="H86" s="949">
        <v>800256.8</v>
      </c>
      <c r="I86" s="949">
        <v>303599.40000000002</v>
      </c>
      <c r="J86" s="949">
        <v>132132.79999999999</v>
      </c>
      <c r="K86" s="949">
        <v>1027552.7</v>
      </c>
      <c r="L86" s="949">
        <v>38921</v>
      </c>
      <c r="M86" s="949">
        <v>581930.19999999995</v>
      </c>
      <c r="N86" s="949">
        <v>93334.9</v>
      </c>
      <c r="O86" s="949">
        <v>3985501.8</v>
      </c>
    </row>
    <row r="87" spans="2:15" ht="15" hidden="1" customHeight="1">
      <c r="B87" s="948" t="s">
        <v>338</v>
      </c>
      <c r="C87" s="949">
        <v>194685.1</v>
      </c>
      <c r="D87" s="949">
        <v>64188.9</v>
      </c>
      <c r="E87" s="949">
        <v>95595.6</v>
      </c>
      <c r="F87" s="949">
        <v>470267.7</v>
      </c>
      <c r="G87" s="949">
        <v>291594.59999999998</v>
      </c>
      <c r="H87" s="949">
        <v>812999.7</v>
      </c>
      <c r="I87" s="949">
        <v>348303.5</v>
      </c>
      <c r="J87" s="949">
        <v>130453.4</v>
      </c>
      <c r="K87" s="949">
        <v>895698</v>
      </c>
      <c r="L87" s="949">
        <v>44735.5</v>
      </c>
      <c r="M87" s="949">
        <v>575149.1</v>
      </c>
      <c r="N87" s="949">
        <v>91392.4</v>
      </c>
      <c r="O87" s="949">
        <v>4015063.5</v>
      </c>
    </row>
    <row r="88" spans="2:15" ht="15" hidden="1" customHeight="1">
      <c r="B88" s="948" t="s">
        <v>339</v>
      </c>
      <c r="C88" s="949">
        <v>163335.6</v>
      </c>
      <c r="D88" s="949">
        <v>56812</v>
      </c>
      <c r="E88" s="949">
        <v>87587.5</v>
      </c>
      <c r="F88" s="949">
        <v>370121.7</v>
      </c>
      <c r="G88" s="949">
        <v>303367.3</v>
      </c>
      <c r="H88" s="949">
        <v>830988.6</v>
      </c>
      <c r="I88" s="949">
        <v>334436.8</v>
      </c>
      <c r="J88" s="949">
        <v>112985</v>
      </c>
      <c r="K88" s="949">
        <v>880761.1</v>
      </c>
      <c r="L88" s="949">
        <v>44675.4</v>
      </c>
      <c r="M88" s="949">
        <v>587756.69999999995</v>
      </c>
      <c r="N88" s="949">
        <v>94841.5</v>
      </c>
      <c r="O88" s="949">
        <v>3867669.2</v>
      </c>
    </row>
    <row r="89" spans="2:15" ht="15" hidden="1" customHeight="1">
      <c r="B89" s="948" t="s">
        <v>340</v>
      </c>
      <c r="C89" s="949">
        <v>128794.1</v>
      </c>
      <c r="D89" s="949">
        <v>38934.1</v>
      </c>
      <c r="E89" s="949">
        <v>90012.5</v>
      </c>
      <c r="F89" s="949">
        <v>271204.3</v>
      </c>
      <c r="G89" s="949">
        <v>270009.90000000002</v>
      </c>
      <c r="H89" s="949">
        <v>755141.6</v>
      </c>
      <c r="I89" s="949">
        <v>236267.5</v>
      </c>
      <c r="J89" s="949">
        <v>130548.6</v>
      </c>
      <c r="K89" s="949">
        <v>865566.6</v>
      </c>
      <c r="L89" s="949">
        <v>31180.400000000001</v>
      </c>
      <c r="M89" s="949">
        <v>467724.2</v>
      </c>
      <c r="N89" s="949">
        <v>89582.399999999994</v>
      </c>
      <c r="O89" s="949">
        <v>3374966.2</v>
      </c>
    </row>
    <row r="90" spans="2:15" ht="15" hidden="1" customHeight="1">
      <c r="B90" s="948" t="s">
        <v>341</v>
      </c>
      <c r="C90" s="949">
        <v>177932.48</v>
      </c>
      <c r="D90" s="949">
        <v>56444.49</v>
      </c>
      <c r="E90" s="949">
        <v>82756.72</v>
      </c>
      <c r="F90" s="949">
        <v>315956.81</v>
      </c>
      <c r="G90" s="949">
        <v>309508.33</v>
      </c>
      <c r="H90" s="949">
        <v>951593.43</v>
      </c>
      <c r="I90" s="949">
        <v>278461.52</v>
      </c>
      <c r="J90" s="949">
        <v>174497.89</v>
      </c>
      <c r="K90" s="949">
        <v>978044</v>
      </c>
      <c r="L90" s="949">
        <v>47792.72</v>
      </c>
      <c r="M90" s="949">
        <v>571629.87</v>
      </c>
      <c r="N90" s="949">
        <v>103464.81</v>
      </c>
      <c r="O90" s="949">
        <v>4048083.0700000008</v>
      </c>
    </row>
    <row r="91" spans="2:15" ht="15" hidden="1" customHeight="1">
      <c r="B91" s="948" t="s">
        <v>342</v>
      </c>
      <c r="C91" s="949">
        <v>158421.66321</v>
      </c>
      <c r="D91" s="949">
        <v>57091.372989999989</v>
      </c>
      <c r="E91" s="949">
        <v>83973.873800000016</v>
      </c>
      <c r="F91" s="949">
        <v>407933.96679000003</v>
      </c>
      <c r="G91" s="949">
        <v>308028.81451999996</v>
      </c>
      <c r="H91" s="949">
        <v>917450.29074999993</v>
      </c>
      <c r="I91" s="949">
        <v>266690.88082999998</v>
      </c>
      <c r="J91" s="949">
        <v>178770.95612000002</v>
      </c>
      <c r="K91" s="949">
        <v>936336.19850000006</v>
      </c>
      <c r="L91" s="949">
        <v>44950.245089999989</v>
      </c>
      <c r="M91" s="949">
        <v>613425.08277999994</v>
      </c>
      <c r="N91" s="949">
        <v>91764.142229999998</v>
      </c>
      <c r="O91" s="949">
        <v>4064837.4876099997</v>
      </c>
    </row>
    <row r="92" spans="2:15" ht="15" hidden="1" customHeight="1">
      <c r="B92" s="948" t="s">
        <v>343</v>
      </c>
      <c r="C92" s="949">
        <v>140908.6</v>
      </c>
      <c r="D92" s="949">
        <v>61494.3</v>
      </c>
      <c r="E92" s="949">
        <v>93113.96</v>
      </c>
      <c r="F92" s="949">
        <v>350153.78</v>
      </c>
      <c r="G92" s="949">
        <v>313668.7</v>
      </c>
      <c r="H92" s="949">
        <v>881007.4</v>
      </c>
      <c r="I92" s="949">
        <v>271049.88</v>
      </c>
      <c r="J92" s="949">
        <v>137867.79500000001</v>
      </c>
      <c r="K92" s="949">
        <v>955760.6</v>
      </c>
      <c r="L92" s="949">
        <v>48177.7</v>
      </c>
      <c r="M92" s="949">
        <v>641405.30000000005</v>
      </c>
      <c r="N92" s="949">
        <v>90462.2</v>
      </c>
      <c r="O92" s="949">
        <v>3985070.2150000008</v>
      </c>
    </row>
    <row r="93" spans="2:15" ht="15" hidden="1" customHeight="1">
      <c r="B93" s="948" t="s">
        <v>344</v>
      </c>
      <c r="C93" s="949">
        <v>147242.4</v>
      </c>
      <c r="D93" s="949">
        <v>60358.1</v>
      </c>
      <c r="E93" s="949">
        <v>118725.7</v>
      </c>
      <c r="F93" s="949">
        <v>328729.5</v>
      </c>
      <c r="G93" s="949">
        <v>325746.59999999998</v>
      </c>
      <c r="H93" s="949">
        <v>950304.9</v>
      </c>
      <c r="I93" s="949">
        <v>290329.3</v>
      </c>
      <c r="J93" s="949">
        <v>118977.8</v>
      </c>
      <c r="K93" s="949">
        <v>964815</v>
      </c>
      <c r="L93" s="949">
        <v>47574.3</v>
      </c>
      <c r="M93" s="949">
        <v>638061.1</v>
      </c>
      <c r="N93" s="949">
        <v>92040.8</v>
      </c>
      <c r="O93" s="949">
        <v>4082906.3</v>
      </c>
    </row>
    <row r="94" spans="2:15" ht="15" hidden="1" customHeight="1">
      <c r="B94" s="928"/>
      <c r="C94" s="928"/>
      <c r="D94" s="928"/>
      <c r="E94" s="928"/>
      <c r="F94" s="928"/>
      <c r="G94" s="928"/>
      <c r="H94" s="928"/>
      <c r="I94" s="928"/>
      <c r="J94" s="928"/>
      <c r="K94" s="928"/>
      <c r="L94" s="928"/>
      <c r="M94" s="928"/>
      <c r="N94" s="928"/>
      <c r="O94" s="928"/>
    </row>
    <row r="95" spans="2:15" ht="15" hidden="1" customHeight="1">
      <c r="B95" s="950">
        <v>2015</v>
      </c>
      <c r="C95" s="928"/>
      <c r="D95" s="928"/>
      <c r="E95" s="928"/>
      <c r="F95" s="928"/>
      <c r="G95" s="928"/>
      <c r="H95" s="928"/>
      <c r="I95" s="928"/>
      <c r="J95" s="928"/>
      <c r="K95" s="928"/>
      <c r="L95" s="928"/>
      <c r="M95" s="928"/>
      <c r="N95" s="928"/>
      <c r="O95" s="928"/>
    </row>
    <row r="96" spans="2:15" ht="15" hidden="1" customHeight="1">
      <c r="B96" s="948" t="s">
        <v>345</v>
      </c>
      <c r="C96" s="949">
        <v>155304.20000000001</v>
      </c>
      <c r="D96" s="949">
        <v>63950.400000000001</v>
      </c>
      <c r="E96" s="949">
        <v>136066.9</v>
      </c>
      <c r="F96" s="949">
        <v>349099.7</v>
      </c>
      <c r="G96" s="949">
        <v>294145.5</v>
      </c>
      <c r="H96" s="949">
        <v>809684</v>
      </c>
      <c r="I96" s="949">
        <v>314319.59999999998</v>
      </c>
      <c r="J96" s="949">
        <v>113452</v>
      </c>
      <c r="K96" s="949">
        <v>1034514.7</v>
      </c>
      <c r="L96" s="949">
        <v>48876.5</v>
      </c>
      <c r="M96" s="949">
        <v>606370.30000000005</v>
      </c>
      <c r="N96" s="949">
        <v>78746</v>
      </c>
      <c r="O96" s="949">
        <v>4004529.8</v>
      </c>
    </row>
    <row r="97" spans="2:16" ht="15" hidden="1" customHeight="1">
      <c r="B97" s="948" t="s">
        <v>334</v>
      </c>
      <c r="C97" s="949">
        <v>151740.05100000001</v>
      </c>
      <c r="D97" s="949">
        <v>63112.595999999998</v>
      </c>
      <c r="E97" s="949">
        <v>109807.606</v>
      </c>
      <c r="F97" s="949">
        <v>370581.79499999998</v>
      </c>
      <c r="G97" s="949">
        <v>314944.72200000001</v>
      </c>
      <c r="H97" s="949">
        <v>784737.62100000004</v>
      </c>
      <c r="I97" s="949">
        <v>309307.859</v>
      </c>
      <c r="J97" s="949">
        <v>120255.08900000001</v>
      </c>
      <c r="K97" s="949">
        <v>1028160.075</v>
      </c>
      <c r="L97" s="949">
        <v>43112.006999999998</v>
      </c>
      <c r="M97" s="949">
        <v>606650.64899999998</v>
      </c>
      <c r="N97" s="949">
        <v>78891.157999999996</v>
      </c>
      <c r="O97" s="949">
        <v>3981301.2280000001</v>
      </c>
    </row>
    <row r="98" spans="2:16" ht="15" hidden="1" customHeight="1">
      <c r="B98" s="948" t="s">
        <v>335</v>
      </c>
      <c r="C98" s="949">
        <v>199484.82827505423</v>
      </c>
      <c r="D98" s="949">
        <v>63709.246809547476</v>
      </c>
      <c r="E98" s="949">
        <v>116397.41590929881</v>
      </c>
      <c r="F98" s="949">
        <v>378459.95485776727</v>
      </c>
      <c r="G98" s="949">
        <v>351447.99129424727</v>
      </c>
      <c r="H98" s="949">
        <v>762380.72404108848</v>
      </c>
      <c r="I98" s="949">
        <v>373911.94637540053</v>
      </c>
      <c r="J98" s="949">
        <v>99744.64633438157</v>
      </c>
      <c r="K98" s="949">
        <v>912654.43750464998</v>
      </c>
      <c r="L98" s="949">
        <v>42478.882890723777</v>
      </c>
      <c r="M98" s="949">
        <v>644951.2767509293</v>
      </c>
      <c r="N98" s="949">
        <v>72605.211469999995</v>
      </c>
      <c r="O98" s="949">
        <v>4018226.5625130888</v>
      </c>
    </row>
    <row r="99" spans="2:16" ht="15" hidden="1" customHeight="1">
      <c r="B99" s="948" t="s">
        <v>336</v>
      </c>
      <c r="C99" s="949">
        <v>186896.28005999999</v>
      </c>
      <c r="D99" s="949">
        <v>65973.981029999995</v>
      </c>
      <c r="E99" s="949">
        <v>130284.88088</v>
      </c>
      <c r="F99" s="949">
        <v>380884.75654999999</v>
      </c>
      <c r="G99" s="949">
        <v>330001.85953999998</v>
      </c>
      <c r="H99" s="949">
        <v>799952.43480000005</v>
      </c>
      <c r="I99" s="949">
        <v>373648.27211999998</v>
      </c>
      <c r="J99" s="949">
        <v>109735.03260000001</v>
      </c>
      <c r="K99" s="949">
        <v>944772.89173000003</v>
      </c>
      <c r="L99" s="949">
        <v>44964.945269999997</v>
      </c>
      <c r="M99" s="949">
        <v>653801.03839</v>
      </c>
      <c r="N99" s="949">
        <v>75850.8701</v>
      </c>
      <c r="O99" s="949">
        <v>4096767.2430699994</v>
      </c>
    </row>
    <row r="100" spans="2:16" ht="15" hidden="1" customHeight="1">
      <c r="B100" s="948" t="s">
        <v>337</v>
      </c>
      <c r="C100" s="949">
        <v>185803.15848000001</v>
      </c>
      <c r="D100" s="949">
        <v>73167.519569999989</v>
      </c>
      <c r="E100" s="949">
        <v>111512.05591000001</v>
      </c>
      <c r="F100" s="949">
        <v>523774.74106999993</v>
      </c>
      <c r="G100" s="949">
        <v>299659.20944000001</v>
      </c>
      <c r="H100" s="949">
        <v>801335.48777999997</v>
      </c>
      <c r="I100" s="949">
        <v>419453.71177999995</v>
      </c>
      <c r="J100" s="949">
        <v>113355.01334999999</v>
      </c>
      <c r="K100" s="949">
        <v>1041392.7738399999</v>
      </c>
      <c r="L100" s="949">
        <v>50057.913629999995</v>
      </c>
      <c r="M100" s="949">
        <v>619767.85055999993</v>
      </c>
      <c r="N100" s="949">
        <v>71388.825420000023</v>
      </c>
      <c r="O100" s="949">
        <v>4310668.2608299991</v>
      </c>
    </row>
    <row r="101" spans="2:16" ht="15" hidden="1" customHeight="1">
      <c r="B101" s="948" t="s">
        <v>338</v>
      </c>
      <c r="C101" s="949">
        <v>187656.97928</v>
      </c>
      <c r="D101" s="949">
        <v>76777.783440000014</v>
      </c>
      <c r="E101" s="949">
        <v>109336.03199</v>
      </c>
      <c r="F101" s="949">
        <v>498031.31240999995</v>
      </c>
      <c r="G101" s="949">
        <v>304087.22360000003</v>
      </c>
      <c r="H101" s="949">
        <v>877042.78670000006</v>
      </c>
      <c r="I101" s="949">
        <v>338069.75759000005</v>
      </c>
      <c r="J101" s="949">
        <v>67556.610560000001</v>
      </c>
      <c r="K101" s="949">
        <v>1131497.0791099996</v>
      </c>
      <c r="L101" s="949">
        <v>43949.036970000001</v>
      </c>
      <c r="M101" s="949">
        <v>651072.76368199987</v>
      </c>
      <c r="N101" s="949">
        <v>72166.857640000002</v>
      </c>
      <c r="O101" s="949">
        <v>4357244.222972</v>
      </c>
    </row>
    <row r="102" spans="2:16" ht="15" hidden="1" customHeight="1">
      <c r="B102" s="948" t="s">
        <v>339</v>
      </c>
      <c r="C102" s="949">
        <v>180261.27481</v>
      </c>
      <c r="D102" s="949">
        <v>80536.432460000011</v>
      </c>
      <c r="E102" s="949">
        <v>106645.29396</v>
      </c>
      <c r="F102" s="949">
        <v>452744.14088999992</v>
      </c>
      <c r="G102" s="949">
        <v>295611.10327999998</v>
      </c>
      <c r="H102" s="949">
        <v>911363.80164999992</v>
      </c>
      <c r="I102" s="949">
        <v>360746.53894</v>
      </c>
      <c r="J102" s="949">
        <v>88518.407049999994</v>
      </c>
      <c r="K102" s="949">
        <v>971759.88682999997</v>
      </c>
      <c r="L102" s="949">
        <v>53101.603390000004</v>
      </c>
      <c r="M102" s="949">
        <v>647215.13584999996</v>
      </c>
      <c r="N102" s="949">
        <v>70618.819189999995</v>
      </c>
      <c r="O102" s="949">
        <v>4219122.4382999996</v>
      </c>
    </row>
    <row r="103" spans="2:16" ht="15" hidden="1" customHeight="1">
      <c r="B103" s="948" t="s">
        <v>340</v>
      </c>
      <c r="C103" s="949">
        <v>168075.18722999998</v>
      </c>
      <c r="D103" s="949">
        <v>86038.941660000011</v>
      </c>
      <c r="E103" s="949">
        <v>108477.71587999999</v>
      </c>
      <c r="F103" s="949">
        <v>472875.11405999999</v>
      </c>
      <c r="G103" s="949">
        <v>335158.34739999997</v>
      </c>
      <c r="H103" s="949">
        <v>784616.58536000003</v>
      </c>
      <c r="I103" s="949">
        <v>401830.10218000005</v>
      </c>
      <c r="J103" s="949">
        <v>76647.041219999999</v>
      </c>
      <c r="K103" s="949">
        <v>1042260.4188799999</v>
      </c>
      <c r="L103" s="949">
        <v>55455.882909999993</v>
      </c>
      <c r="M103" s="949">
        <v>657177.13946999982</v>
      </c>
      <c r="N103" s="949">
        <v>51922.489460000004</v>
      </c>
      <c r="O103" s="949">
        <v>4240534.9657099992</v>
      </c>
    </row>
    <row r="104" spans="2:16" ht="15" hidden="1" customHeight="1">
      <c r="B104" s="948" t="s">
        <v>341</v>
      </c>
      <c r="C104" s="949">
        <v>197641.46907999998</v>
      </c>
      <c r="D104" s="949">
        <v>85842.596890000015</v>
      </c>
      <c r="E104" s="949">
        <v>112415.30295</v>
      </c>
      <c r="F104" s="949">
        <v>462925.61900999991</v>
      </c>
      <c r="G104" s="949">
        <v>349564.18627000001</v>
      </c>
      <c r="H104" s="949">
        <v>831812.95479000011</v>
      </c>
      <c r="I104" s="949">
        <v>379121.35295000003</v>
      </c>
      <c r="J104" s="949">
        <v>71089.97484000001</v>
      </c>
      <c r="K104" s="949">
        <v>1033106.6662299999</v>
      </c>
      <c r="L104" s="949">
        <v>53348.111210000003</v>
      </c>
      <c r="M104" s="949">
        <v>676307.97019000002</v>
      </c>
      <c r="N104" s="949">
        <v>55759.246260000007</v>
      </c>
      <c r="O104" s="949">
        <v>4308935.4506699992</v>
      </c>
    </row>
    <row r="105" spans="2:16" ht="15" hidden="1" customHeight="1">
      <c r="B105" s="948" t="s">
        <v>342</v>
      </c>
      <c r="C105" s="949">
        <v>219922.32809000002</v>
      </c>
      <c r="D105" s="949">
        <v>85382.046979999985</v>
      </c>
      <c r="E105" s="949">
        <v>116874.4249</v>
      </c>
      <c r="F105" s="949">
        <v>447200.72948999988</v>
      </c>
      <c r="G105" s="949">
        <v>331543.58991999994</v>
      </c>
      <c r="H105" s="949">
        <v>821640.75846000004</v>
      </c>
      <c r="I105" s="949">
        <v>378568.54502000002</v>
      </c>
      <c r="J105" s="949">
        <v>68298.72683</v>
      </c>
      <c r="K105" s="949">
        <v>1100719.7385499999</v>
      </c>
      <c r="L105" s="949">
        <v>55846.70343999999</v>
      </c>
      <c r="M105" s="949">
        <v>648757.53330999985</v>
      </c>
      <c r="N105" s="949">
        <v>67353.222440000012</v>
      </c>
      <c r="O105" s="949">
        <v>4342108.3474299992</v>
      </c>
    </row>
    <row r="106" spans="2:16" ht="15" hidden="1" customHeight="1">
      <c r="B106" s="948" t="s">
        <v>343</v>
      </c>
      <c r="C106" s="949">
        <v>212806.12154011588</v>
      </c>
      <c r="D106" s="949">
        <v>85815.697690343499</v>
      </c>
      <c r="E106" s="949">
        <v>98468.43526078033</v>
      </c>
      <c r="F106" s="949">
        <v>465089.66000378167</v>
      </c>
      <c r="G106" s="949">
        <v>334835.58334306604</v>
      </c>
      <c r="H106" s="949">
        <v>846959.04834705917</v>
      </c>
      <c r="I106" s="949">
        <v>363754.41105246049</v>
      </c>
      <c r="J106" s="949">
        <v>71866.228776215343</v>
      </c>
      <c r="K106" s="949">
        <v>1074141.7851593455</v>
      </c>
      <c r="L106" s="949">
        <v>56110.293506458234</v>
      </c>
      <c r="M106" s="949">
        <v>665421.0762572235</v>
      </c>
      <c r="N106" s="949">
        <v>64630.347620000008</v>
      </c>
      <c r="O106" s="949">
        <v>4339898.68855685</v>
      </c>
    </row>
    <row r="107" spans="2:16" ht="15" hidden="1" customHeight="1">
      <c r="B107" s="948" t="s">
        <v>344</v>
      </c>
      <c r="C107" s="949">
        <v>196092.90801744099</v>
      </c>
      <c r="D107" s="949">
        <v>88272.950809166607</v>
      </c>
      <c r="E107" s="949">
        <v>102636.88145321301</v>
      </c>
      <c r="F107" s="949">
        <v>518411.36004119401</v>
      </c>
      <c r="G107" s="949">
        <v>336909.18267407501</v>
      </c>
      <c r="H107" s="949">
        <v>864491.71212578902</v>
      </c>
      <c r="I107" s="949">
        <v>307844.996053676</v>
      </c>
      <c r="J107" s="949">
        <v>63337.536688761596</v>
      </c>
      <c r="K107" s="949">
        <v>1163771.1370441699</v>
      </c>
      <c r="L107" s="949">
        <v>57410.510778147502</v>
      </c>
      <c r="M107" s="949">
        <v>639985.58100151399</v>
      </c>
      <c r="N107" s="949">
        <v>66435.742289999995</v>
      </c>
      <c r="O107" s="949">
        <v>4405600.4989771489</v>
      </c>
    </row>
    <row r="108" spans="2:16" ht="15" hidden="1" customHeight="1">
      <c r="B108" s="928"/>
      <c r="C108" s="928"/>
      <c r="D108" s="928"/>
      <c r="E108" s="928"/>
      <c r="F108" s="928"/>
      <c r="G108" s="928"/>
      <c r="H108" s="928"/>
      <c r="I108" s="928"/>
      <c r="J108" s="928"/>
      <c r="K108" s="928"/>
      <c r="L108" s="928"/>
      <c r="M108" s="928"/>
      <c r="N108" s="928"/>
      <c r="O108" s="928"/>
    </row>
    <row r="109" spans="2:16" hidden="1">
      <c r="B109" s="950">
        <v>2016</v>
      </c>
      <c r="C109" s="949"/>
      <c r="D109" s="949"/>
      <c r="E109" s="949"/>
      <c r="F109" s="949"/>
      <c r="G109" s="949"/>
      <c r="H109" s="949"/>
      <c r="I109" s="949"/>
      <c r="J109" s="949"/>
      <c r="K109" s="949"/>
      <c r="L109" s="949"/>
      <c r="M109" s="949"/>
      <c r="N109" s="949"/>
      <c r="O109" s="949"/>
    </row>
    <row r="110" spans="2:16" hidden="1">
      <c r="B110" s="948" t="s">
        <v>345</v>
      </c>
      <c r="C110" s="949">
        <v>231827.31642792257</v>
      </c>
      <c r="D110" s="949">
        <v>101724.07337180614</v>
      </c>
      <c r="E110" s="949">
        <v>93544.185478613013</v>
      </c>
      <c r="F110" s="949">
        <v>465089.66000378202</v>
      </c>
      <c r="G110" s="949">
        <v>325203.12242890475</v>
      </c>
      <c r="H110" s="949">
        <v>977272.13357960992</v>
      </c>
      <c r="I110" s="949">
        <v>345812.20301823132</v>
      </c>
      <c r="J110" s="949">
        <v>62026.289992595513</v>
      </c>
      <c r="K110" s="949">
        <v>1083702.6925010267</v>
      </c>
      <c r="L110" s="949">
        <v>61755.583892902163</v>
      </c>
      <c r="M110" s="949">
        <v>618080.09331996681</v>
      </c>
      <c r="N110" s="949">
        <v>58808.722710000009</v>
      </c>
      <c r="O110" s="949">
        <f>+SUM(C110:N110)</f>
        <v>4424846.0767253609</v>
      </c>
    </row>
    <row r="111" spans="2:16" hidden="1">
      <c r="B111" s="948" t="s">
        <v>334</v>
      </c>
      <c r="C111" s="949">
        <v>226568.30309999999</v>
      </c>
      <c r="D111" s="949">
        <v>105747.89104999999</v>
      </c>
      <c r="E111" s="949">
        <v>97684.405889999995</v>
      </c>
      <c r="F111" s="949">
        <v>518411.36004119401</v>
      </c>
      <c r="G111" s="949">
        <v>339838.95879999996</v>
      </c>
      <c r="H111" s="949">
        <v>896869.20996999997</v>
      </c>
      <c r="I111" s="949">
        <v>326025.96418000001</v>
      </c>
      <c r="J111" s="949">
        <v>59381.31136</v>
      </c>
      <c r="K111" s="949">
        <v>1047904.6054999999</v>
      </c>
      <c r="L111" s="949">
        <v>63248.329229999996</v>
      </c>
      <c r="M111" s="949">
        <v>634478.28330000001</v>
      </c>
      <c r="N111" s="949">
        <v>63017.794900000008</v>
      </c>
      <c r="O111" s="949">
        <f t="shared" ref="O111:O131" si="2">+SUM(C111:N111)</f>
        <v>4379176.417321194</v>
      </c>
      <c r="P111" s="917"/>
    </row>
    <row r="112" spans="2:16" hidden="1">
      <c r="B112" s="948" t="s">
        <v>335</v>
      </c>
      <c r="C112" s="949">
        <v>243546.89690000002</v>
      </c>
      <c r="D112" s="949">
        <v>102238.3973</v>
      </c>
      <c r="E112" s="949">
        <v>116471.09582999999</v>
      </c>
      <c r="F112" s="949">
        <v>517089.17823521578</v>
      </c>
      <c r="G112" s="949">
        <v>362058.80764000001</v>
      </c>
      <c r="H112" s="949">
        <v>879340.8094599999</v>
      </c>
      <c r="I112" s="949">
        <v>368689.62302999996</v>
      </c>
      <c r="J112" s="949">
        <v>60514.038489999999</v>
      </c>
      <c r="K112" s="949">
        <v>1073567.5686300001</v>
      </c>
      <c r="L112" s="949">
        <v>62839.353179999991</v>
      </c>
      <c r="M112" s="949">
        <v>642779.36618999997</v>
      </c>
      <c r="N112" s="949">
        <v>61037.622300000003</v>
      </c>
      <c r="O112" s="949">
        <f>+SUM(C112:N112)</f>
        <v>4490172.7571852161</v>
      </c>
      <c r="P112" s="917"/>
    </row>
    <row r="113" spans="2:17" hidden="1">
      <c r="B113" s="948" t="s">
        <v>336</v>
      </c>
      <c r="C113" s="949">
        <v>243151.62623000002</v>
      </c>
      <c r="D113" s="949">
        <v>102234.04201</v>
      </c>
      <c r="E113" s="949">
        <v>112219.45353</v>
      </c>
      <c r="F113" s="949">
        <v>525070.87332999997</v>
      </c>
      <c r="G113" s="949">
        <v>360299.46269000001</v>
      </c>
      <c r="H113" s="949">
        <v>907855.62757999985</v>
      </c>
      <c r="I113" s="949">
        <v>335068.61599999998</v>
      </c>
      <c r="J113" s="949">
        <v>71721.049210000012</v>
      </c>
      <c r="K113" s="949">
        <v>1156122.6384699999</v>
      </c>
      <c r="L113" s="949">
        <v>63858.040799999995</v>
      </c>
      <c r="M113" s="949">
        <v>628901.05034000019</v>
      </c>
      <c r="N113" s="949">
        <v>61087.046539999996</v>
      </c>
      <c r="O113" s="949">
        <f t="shared" si="2"/>
        <v>4567589.5267299991</v>
      </c>
      <c r="P113" s="917"/>
    </row>
    <row r="114" spans="2:17" hidden="1">
      <c r="B114" s="948" t="s">
        <v>337</v>
      </c>
      <c r="C114" s="949">
        <v>236180.51061000003</v>
      </c>
      <c r="D114" s="949">
        <v>97008.56839</v>
      </c>
      <c r="E114" s="949">
        <v>120726.25141</v>
      </c>
      <c r="F114" s="949">
        <v>582943.54106000008</v>
      </c>
      <c r="G114" s="949">
        <v>371034.50592999998</v>
      </c>
      <c r="H114" s="949">
        <v>923580.85191999993</v>
      </c>
      <c r="I114" s="949">
        <v>356500.92599999998</v>
      </c>
      <c r="J114" s="949">
        <v>99176.373030000002</v>
      </c>
      <c r="K114" s="949">
        <v>1107956.76605</v>
      </c>
      <c r="L114" s="949">
        <v>61396.459900000002</v>
      </c>
      <c r="M114" s="949">
        <v>607501.43358000007</v>
      </c>
      <c r="N114" s="949">
        <v>64066.303329999995</v>
      </c>
      <c r="O114" s="949">
        <f t="shared" si="2"/>
        <v>4628072.4912099997</v>
      </c>
      <c r="P114" s="917"/>
      <c r="Q114" s="917"/>
    </row>
    <row r="115" spans="2:17" hidden="1">
      <c r="B115" s="948" t="s">
        <v>338</v>
      </c>
      <c r="C115" s="949">
        <v>218386.78128000002</v>
      </c>
      <c r="D115" s="949">
        <v>103914.22739000001</v>
      </c>
      <c r="E115" s="949">
        <v>134181.79474000001</v>
      </c>
      <c r="F115" s="949">
        <v>569660.72973999986</v>
      </c>
      <c r="G115" s="949">
        <v>362400.17293999996</v>
      </c>
      <c r="H115" s="949">
        <v>973333.32759999973</v>
      </c>
      <c r="I115" s="949">
        <v>316490.83579000004</v>
      </c>
      <c r="J115" s="949">
        <v>58856.904459999991</v>
      </c>
      <c r="K115" s="949">
        <v>1128688.7254199998</v>
      </c>
      <c r="L115" s="949">
        <v>72063.32779000001</v>
      </c>
      <c r="M115" s="949">
        <v>601813.82504999987</v>
      </c>
      <c r="N115" s="949">
        <v>61833.175649999997</v>
      </c>
      <c r="O115" s="949">
        <f t="shared" si="2"/>
        <v>4601623.8278499991</v>
      </c>
      <c r="P115" s="917"/>
    </row>
    <row r="116" spans="2:17" hidden="1">
      <c r="B116" s="948" t="s">
        <v>339</v>
      </c>
      <c r="C116" s="949">
        <v>207280.19443</v>
      </c>
      <c r="D116" s="949">
        <v>99727.926919999998</v>
      </c>
      <c r="E116" s="949">
        <v>138781.20933000001</v>
      </c>
      <c r="F116" s="949">
        <v>593284.94871999999</v>
      </c>
      <c r="G116" s="949">
        <v>348779.73379999993</v>
      </c>
      <c r="H116" s="949">
        <v>1035696.98012</v>
      </c>
      <c r="I116" s="949">
        <v>370456.93400000007</v>
      </c>
      <c r="J116" s="949">
        <v>63986.106140000004</v>
      </c>
      <c r="K116" s="949">
        <v>1114413.7070799998</v>
      </c>
      <c r="L116" s="949">
        <v>65391.890350000001</v>
      </c>
      <c r="M116" s="949">
        <v>622329.23840000003</v>
      </c>
      <c r="N116" s="949">
        <v>69058.912230000016</v>
      </c>
      <c r="O116" s="949">
        <f t="shared" si="2"/>
        <v>4729187.7815199997</v>
      </c>
      <c r="P116" s="917"/>
    </row>
    <row r="117" spans="2:17" hidden="1">
      <c r="B117" s="948" t="s">
        <v>340</v>
      </c>
      <c r="C117" s="949">
        <v>233004.46398000003</v>
      </c>
      <c r="D117" s="949">
        <v>97248.752649999995</v>
      </c>
      <c r="E117" s="949">
        <v>153590.83585000003</v>
      </c>
      <c r="F117" s="949">
        <v>596904.75058999995</v>
      </c>
      <c r="G117" s="949">
        <v>365366.83756000001</v>
      </c>
      <c r="H117" s="949">
        <v>997123.0038699999</v>
      </c>
      <c r="I117" s="949">
        <v>356522.02371000004</v>
      </c>
      <c r="J117" s="949">
        <v>64413.698309999992</v>
      </c>
      <c r="K117" s="949">
        <v>1227979.0153600001</v>
      </c>
      <c r="L117" s="949">
        <v>67005.781239999997</v>
      </c>
      <c r="M117" s="949">
        <v>621307.82375999994</v>
      </c>
      <c r="N117" s="949">
        <v>73076.243799999997</v>
      </c>
      <c r="O117" s="949">
        <f t="shared" si="2"/>
        <v>4853543.2306799991</v>
      </c>
      <c r="P117" s="969"/>
    </row>
    <row r="118" spans="2:17" hidden="1">
      <c r="B118" s="948" t="s">
        <v>341</v>
      </c>
      <c r="C118" s="949">
        <v>236724.3</v>
      </c>
      <c r="D118" s="949">
        <v>101117.1</v>
      </c>
      <c r="E118" s="949">
        <v>155483.5</v>
      </c>
      <c r="F118" s="949">
        <v>616359.75995999982</v>
      </c>
      <c r="G118" s="949">
        <v>346375.9</v>
      </c>
      <c r="H118" s="949">
        <v>1046195.2</v>
      </c>
      <c r="I118" s="949">
        <v>366312.8</v>
      </c>
      <c r="J118" s="949">
        <v>57884.977179999994</v>
      </c>
      <c r="K118" s="949">
        <v>1365673.5</v>
      </c>
      <c r="L118" s="949">
        <v>73805.899999999994</v>
      </c>
      <c r="M118" s="949">
        <v>595219.77732000011</v>
      </c>
      <c r="N118" s="949">
        <v>70669.7</v>
      </c>
      <c r="O118" s="949">
        <f t="shared" si="2"/>
        <v>5031822.4144599997</v>
      </c>
      <c r="P118" s="917"/>
    </row>
    <row r="119" spans="2:17" hidden="1">
      <c r="B119" s="948" t="s">
        <v>342</v>
      </c>
      <c r="C119" s="949">
        <v>239373.91155799999</v>
      </c>
      <c r="D119" s="949">
        <v>107235.65878</v>
      </c>
      <c r="E119" s="949">
        <v>160641.20992999995</v>
      </c>
      <c r="F119" s="949">
        <v>578487.31046999991</v>
      </c>
      <c r="G119" s="949">
        <v>344681.91527999996</v>
      </c>
      <c r="H119" s="949">
        <v>988274.65883000009</v>
      </c>
      <c r="I119" s="949">
        <v>363815.80418000004</v>
      </c>
      <c r="J119" s="949">
        <v>63997.976609999998</v>
      </c>
      <c r="K119" s="949">
        <v>1384083.1925399995</v>
      </c>
      <c r="L119" s="949">
        <v>76834.025689999995</v>
      </c>
      <c r="M119" s="949">
        <v>593827.73623000004</v>
      </c>
      <c r="N119" s="949">
        <v>73608.831569999995</v>
      </c>
      <c r="O119" s="949">
        <f t="shared" si="2"/>
        <v>4974862.2316679992</v>
      </c>
      <c r="P119" s="917"/>
    </row>
    <row r="120" spans="2:17" hidden="1">
      <c r="B120" s="948" t="s">
        <v>343</v>
      </c>
      <c r="C120" s="949">
        <v>318652.7</v>
      </c>
      <c r="D120" s="949">
        <v>107089.5</v>
      </c>
      <c r="E120" s="949">
        <v>189581.3</v>
      </c>
      <c r="F120" s="949">
        <v>597290.03</v>
      </c>
      <c r="G120" s="949">
        <v>329147.3</v>
      </c>
      <c r="H120" s="949">
        <v>992135.7</v>
      </c>
      <c r="I120" s="949">
        <v>411467.8</v>
      </c>
      <c r="J120" s="949">
        <v>150691.6</v>
      </c>
      <c r="K120" s="949">
        <v>1337295.6000000001</v>
      </c>
      <c r="L120" s="949">
        <v>79405.2</v>
      </c>
      <c r="M120" s="949">
        <v>591639</v>
      </c>
      <c r="N120" s="949">
        <v>71016.3</v>
      </c>
      <c r="O120" s="949">
        <f t="shared" si="2"/>
        <v>5175412.03</v>
      </c>
      <c r="P120" s="917"/>
    </row>
    <row r="121" spans="2:17" hidden="1">
      <c r="B121" s="1017" t="s">
        <v>344</v>
      </c>
      <c r="C121" s="949">
        <v>258814.9</v>
      </c>
      <c r="D121" s="949">
        <v>110009.2</v>
      </c>
      <c r="E121" s="949">
        <v>202260.4</v>
      </c>
      <c r="F121" s="949">
        <v>593362.24334000004</v>
      </c>
      <c r="G121" s="949">
        <v>348457</v>
      </c>
      <c r="H121" s="949">
        <v>1020795</v>
      </c>
      <c r="I121" s="949">
        <v>382615.8</v>
      </c>
      <c r="J121" s="949">
        <v>81542.7</v>
      </c>
      <c r="K121" s="949">
        <v>1466867.2199462163</v>
      </c>
      <c r="L121" s="949">
        <v>82186.5</v>
      </c>
      <c r="M121" s="949">
        <v>592932.5</v>
      </c>
      <c r="N121" s="949">
        <v>76874.942490000001</v>
      </c>
      <c r="O121" s="949">
        <f t="shared" si="2"/>
        <v>5216718.4057762166</v>
      </c>
      <c r="P121" s="917"/>
    </row>
    <row r="122" spans="2:17" hidden="1">
      <c r="B122" s="948"/>
      <c r="C122" s="949"/>
      <c r="D122" s="949"/>
      <c r="E122" s="949"/>
      <c r="F122" s="592" t="s">
        <v>1625</v>
      </c>
      <c r="G122" s="949"/>
      <c r="H122" s="949"/>
      <c r="I122" s="949"/>
      <c r="J122" s="949"/>
      <c r="K122" s="949"/>
      <c r="L122" s="949"/>
      <c r="M122" s="949"/>
      <c r="N122" s="949"/>
      <c r="O122" s="949"/>
      <c r="P122" s="917"/>
    </row>
    <row r="123" spans="2:17">
      <c r="B123" s="950">
        <v>2017</v>
      </c>
      <c r="C123" s="949"/>
      <c r="D123" s="949"/>
      <c r="E123" s="949"/>
      <c r="F123" s="949"/>
      <c r="G123" s="949"/>
      <c r="H123" s="949"/>
      <c r="I123" s="949"/>
      <c r="J123" s="949"/>
      <c r="K123" s="949"/>
      <c r="L123" s="949"/>
      <c r="M123" s="949"/>
      <c r="N123" s="949"/>
      <c r="O123" s="949"/>
      <c r="P123" s="917"/>
    </row>
    <row r="124" spans="2:17" hidden="1">
      <c r="B124" s="948" t="s">
        <v>345</v>
      </c>
      <c r="C124" s="949">
        <v>236437.25367475915</v>
      </c>
      <c r="D124" s="949">
        <v>108552.51954178423</v>
      </c>
      <c r="E124" s="949">
        <v>230965.43931665801</v>
      </c>
      <c r="F124" s="949">
        <v>618213.54776596895</v>
      </c>
      <c r="G124" s="949">
        <v>339580.33039886318</v>
      </c>
      <c r="H124" s="949">
        <v>1002775.4019393576</v>
      </c>
      <c r="I124" s="949">
        <v>382746.34790716361</v>
      </c>
      <c r="J124" s="949">
        <v>86115.006055768914</v>
      </c>
      <c r="K124" s="949">
        <v>1393941.2282511259</v>
      </c>
      <c r="L124" s="949">
        <v>82670.753979081637</v>
      </c>
      <c r="M124" s="949">
        <v>589549.86044624005</v>
      </c>
      <c r="N124" s="949">
        <v>85602.290519999995</v>
      </c>
      <c r="O124" s="949">
        <f t="shared" si="2"/>
        <v>5157149.979796771</v>
      </c>
      <c r="P124" s="917"/>
    </row>
    <row r="125" spans="2:17" hidden="1">
      <c r="B125" s="948" t="s">
        <v>334</v>
      </c>
      <c r="C125" s="949">
        <v>254463.92732000002</v>
      </c>
      <c r="D125" s="949">
        <v>112294.40529999998</v>
      </c>
      <c r="E125" s="949">
        <v>226877.90341000003</v>
      </c>
      <c r="F125" s="949">
        <v>613080.10578999994</v>
      </c>
      <c r="G125" s="949">
        <v>312948.54148000001</v>
      </c>
      <c r="H125" s="949">
        <v>997181.24651000008</v>
      </c>
      <c r="I125" s="949">
        <v>393542.83301999996</v>
      </c>
      <c r="J125" s="949">
        <v>121798.69799000002</v>
      </c>
      <c r="K125" s="949">
        <v>1402647.6150499997</v>
      </c>
      <c r="L125" s="949">
        <v>91521.740550000002</v>
      </c>
      <c r="M125" s="949">
        <v>604324.96557</v>
      </c>
      <c r="N125" s="949">
        <v>84653.299429999999</v>
      </c>
      <c r="O125" s="949">
        <f t="shared" si="2"/>
        <v>5215335.281419999</v>
      </c>
      <c r="P125" s="917"/>
    </row>
    <row r="126" spans="2:17" hidden="1">
      <c r="B126" s="948" t="s">
        <v>335</v>
      </c>
      <c r="C126" s="949">
        <v>299519.04931999993</v>
      </c>
      <c r="D126" s="949">
        <v>118530.14873999999</v>
      </c>
      <c r="E126" s="949">
        <v>232990.62168000004</v>
      </c>
      <c r="F126" s="949">
        <v>626986.60930999997</v>
      </c>
      <c r="G126" s="949">
        <v>308297.88710999995</v>
      </c>
      <c r="H126" s="949">
        <v>1049255.6998699999</v>
      </c>
      <c r="I126" s="949">
        <v>402864.17080999998</v>
      </c>
      <c r="J126" s="949">
        <v>170835.1446</v>
      </c>
      <c r="K126" s="949">
        <v>1400323.5413000002</v>
      </c>
      <c r="L126" s="949">
        <v>102287.67841999998</v>
      </c>
      <c r="M126" s="949">
        <v>610024.35341999994</v>
      </c>
      <c r="N126" s="949">
        <v>91045.989889999997</v>
      </c>
      <c r="O126" s="949">
        <f t="shared" si="2"/>
        <v>5412960.8944699997</v>
      </c>
      <c r="P126" s="917"/>
    </row>
    <row r="127" spans="2:17" hidden="1">
      <c r="B127" s="948" t="s">
        <v>336</v>
      </c>
      <c r="C127" s="949">
        <v>281219.8</v>
      </c>
      <c r="D127" s="949">
        <v>117174.3</v>
      </c>
      <c r="E127" s="949">
        <v>235093.5</v>
      </c>
      <c r="F127" s="949">
        <v>687962.2</v>
      </c>
      <c r="G127" s="949">
        <v>307711.40000000002</v>
      </c>
      <c r="H127" s="949">
        <v>1013362.6</v>
      </c>
      <c r="I127" s="949">
        <v>400018.9</v>
      </c>
      <c r="J127" s="949">
        <v>190005.8</v>
      </c>
      <c r="K127" s="949">
        <v>1432953.1</v>
      </c>
      <c r="L127" s="949">
        <v>110258.7</v>
      </c>
      <c r="M127" s="949">
        <v>650595.9</v>
      </c>
      <c r="N127" s="949">
        <v>102681</v>
      </c>
      <c r="O127" s="949">
        <f t="shared" si="2"/>
        <v>5529037.2000000002</v>
      </c>
      <c r="P127" s="917"/>
    </row>
    <row r="128" spans="2:17" hidden="1">
      <c r="B128" s="948" t="s">
        <v>337</v>
      </c>
      <c r="C128" s="949">
        <v>301531.20146000001</v>
      </c>
      <c r="D128" s="949">
        <v>113685.51492999999</v>
      </c>
      <c r="E128" s="949">
        <v>220541.82584</v>
      </c>
      <c r="F128" s="949">
        <v>679781.37256999989</v>
      </c>
      <c r="G128" s="949">
        <v>320878.23368999996</v>
      </c>
      <c r="H128" s="949">
        <v>1019941.1054900001</v>
      </c>
      <c r="I128" s="949">
        <v>417418.45023000002</v>
      </c>
      <c r="J128" s="949">
        <v>175383.42845000001</v>
      </c>
      <c r="K128" s="949">
        <v>1454718.2799299997</v>
      </c>
      <c r="L128" s="949">
        <v>108366.53335</v>
      </c>
      <c r="M128" s="949">
        <v>667019.71316000004</v>
      </c>
      <c r="N128" s="949">
        <v>71770.175029999999</v>
      </c>
      <c r="O128" s="949">
        <f t="shared" si="2"/>
        <v>5551035.8341299994</v>
      </c>
      <c r="P128" s="917"/>
    </row>
    <row r="129" spans="2:17">
      <c r="B129" s="948" t="s">
        <v>338</v>
      </c>
      <c r="C129" s="949">
        <v>295920.41865647002</v>
      </c>
      <c r="D129" s="949">
        <v>109937.97252999998</v>
      </c>
      <c r="E129" s="949">
        <v>248436.29179094659</v>
      </c>
      <c r="F129" s="949">
        <v>712648.03859000001</v>
      </c>
      <c r="G129" s="949">
        <v>334368.69313016767</v>
      </c>
      <c r="H129" s="949">
        <v>1121023.54372</v>
      </c>
      <c r="I129" s="949">
        <v>408604.02927000006</v>
      </c>
      <c r="J129" s="949">
        <v>185262.29231230236</v>
      </c>
      <c r="K129" s="949">
        <v>1521876.3451601544</v>
      </c>
      <c r="L129" s="949">
        <v>107327.12074</v>
      </c>
      <c r="M129" s="949">
        <v>697997.68995920266</v>
      </c>
      <c r="N129" s="949">
        <v>74195.383039999986</v>
      </c>
      <c r="O129" s="949">
        <f t="shared" si="2"/>
        <v>5817597.8188992431</v>
      </c>
      <c r="P129" s="917"/>
    </row>
    <row r="130" spans="2:17">
      <c r="B130" s="948" t="s">
        <v>339</v>
      </c>
      <c r="C130" s="949">
        <v>309864.66093009192</v>
      </c>
      <c r="D130" s="949">
        <v>126628.52919160911</v>
      </c>
      <c r="E130" s="949">
        <v>262827.7366471407</v>
      </c>
      <c r="F130" s="949">
        <v>587617.14291754377</v>
      </c>
      <c r="G130" s="949">
        <v>341371.50129792199</v>
      </c>
      <c r="H130" s="949">
        <v>1143423.7663802265</v>
      </c>
      <c r="I130" s="949">
        <v>423846.60389403516</v>
      </c>
      <c r="J130" s="949">
        <v>191273.55650686388</v>
      </c>
      <c r="K130" s="949">
        <v>1599344.4028920035</v>
      </c>
      <c r="L130" s="949">
        <v>99509.776031144473</v>
      </c>
      <c r="M130" s="949">
        <v>680622.576089215</v>
      </c>
      <c r="N130" s="949">
        <v>76164.359599999996</v>
      </c>
      <c r="O130" s="949">
        <f t="shared" si="2"/>
        <v>5842494.6123777963</v>
      </c>
      <c r="P130" s="917"/>
    </row>
    <row r="131" spans="2:17">
      <c r="B131" s="948" t="s">
        <v>340</v>
      </c>
      <c r="C131" s="949">
        <v>302611.33013000002</v>
      </c>
      <c r="D131" s="949">
        <v>149014.85892</v>
      </c>
      <c r="E131" s="949">
        <v>296550.59057</v>
      </c>
      <c r="F131" s="949">
        <v>914686.75482999999</v>
      </c>
      <c r="G131" s="949">
        <v>346236.82908999996</v>
      </c>
      <c r="H131" s="949">
        <v>1131207.4649200002</v>
      </c>
      <c r="I131" s="949">
        <v>453583.97487999999</v>
      </c>
      <c r="J131" s="949">
        <v>169521.18061000001</v>
      </c>
      <c r="K131" s="949">
        <v>1562637.1895899998</v>
      </c>
      <c r="L131" s="949">
        <v>111394.61289</v>
      </c>
      <c r="M131" s="949">
        <v>746644.54058000003</v>
      </c>
      <c r="N131" s="949">
        <v>90999.429889999999</v>
      </c>
      <c r="O131" s="949">
        <f t="shared" si="2"/>
        <v>6275088.7569000013</v>
      </c>
      <c r="P131" s="917"/>
    </row>
    <row r="132" spans="2:17">
      <c r="B132" s="948" t="s">
        <v>341</v>
      </c>
      <c r="C132" s="949">
        <v>348786.30070646992</v>
      </c>
      <c r="D132" s="949">
        <v>146383.02579000001</v>
      </c>
      <c r="E132" s="949">
        <v>286092.4199809467</v>
      </c>
      <c r="F132" s="949">
        <v>796517.06822999998</v>
      </c>
      <c r="G132" s="949">
        <v>340224.66416016762</v>
      </c>
      <c r="H132" s="949">
        <v>1072979.93414</v>
      </c>
      <c r="I132" s="949">
        <v>571373.68535000004</v>
      </c>
      <c r="J132" s="949">
        <v>211076.9586023023</v>
      </c>
      <c r="K132" s="949">
        <v>1705640.5941701543</v>
      </c>
      <c r="L132" s="949">
        <v>122645.58934000002</v>
      </c>
      <c r="M132" s="949">
        <v>747874.42132020276</v>
      </c>
      <c r="N132" s="949">
        <v>72254.967310000007</v>
      </c>
      <c r="O132" s="949">
        <f>(SUM(C132:N132))</f>
        <v>6421849.6291002445</v>
      </c>
      <c r="P132" s="917"/>
    </row>
    <row r="133" spans="2:17">
      <c r="B133" s="948" t="s">
        <v>342</v>
      </c>
      <c r="C133" s="949">
        <v>345521.039324107</v>
      </c>
      <c r="D133" s="949">
        <v>138274.86671445999</v>
      </c>
      <c r="E133" s="949">
        <v>238975.93692110101</v>
      </c>
      <c r="F133" s="949">
        <v>778597.08122588496</v>
      </c>
      <c r="G133" s="949">
        <v>355135.927693373</v>
      </c>
      <c r="H133" s="949">
        <v>1138203.7051707101</v>
      </c>
      <c r="I133" s="949">
        <v>565046.35897855798</v>
      </c>
      <c r="J133" s="949">
        <v>259285.23477810601</v>
      </c>
      <c r="K133" s="949">
        <v>1694691.3690607999</v>
      </c>
      <c r="L133" s="949">
        <v>123908.77225903</v>
      </c>
      <c r="M133" s="949">
        <v>741652.01780940499</v>
      </c>
      <c r="N133" s="949">
        <v>72254.967310000007</v>
      </c>
      <c r="O133" s="949">
        <f>(SUM(C133:N133))</f>
        <v>6451547.2772455346</v>
      </c>
      <c r="P133" s="917"/>
    </row>
    <row r="134" spans="2:17">
      <c r="B134" s="948" t="s">
        <v>343</v>
      </c>
      <c r="C134" s="949">
        <v>336339.26314675075</v>
      </c>
      <c r="D134" s="949">
        <v>144708.5454862242</v>
      </c>
      <c r="E134" s="949">
        <v>239524.31861379428</v>
      </c>
      <c r="F134" s="949">
        <v>927820.82941046148</v>
      </c>
      <c r="G134" s="949">
        <v>362515.38449690014</v>
      </c>
      <c r="H134" s="949">
        <v>986824.58566607966</v>
      </c>
      <c r="I134" s="949">
        <v>629010.42381692585</v>
      </c>
      <c r="J134" s="949">
        <v>250132.7130707904</v>
      </c>
      <c r="K134" s="949">
        <v>1694043.4713931042</v>
      </c>
      <c r="L134" s="949">
        <v>131768.32627699096</v>
      </c>
      <c r="M134" s="949">
        <v>761400.4615692501</v>
      </c>
      <c r="N134" s="949">
        <v>72254.967310000007</v>
      </c>
      <c r="O134" s="949">
        <f>(SUM(C134:N134))</f>
        <v>6536343.2902572714</v>
      </c>
      <c r="P134" s="917"/>
      <c r="Q134" s="592">
        <v>1000</v>
      </c>
    </row>
    <row r="135" spans="2:17">
      <c r="B135" s="948" t="s">
        <v>344</v>
      </c>
      <c r="C135" s="949">
        <v>317794.77372000006</v>
      </c>
      <c r="D135" s="949">
        <v>160261.73041999998</v>
      </c>
      <c r="E135" s="949">
        <v>284829.73352999997</v>
      </c>
      <c r="F135" s="949">
        <v>890549.36547000008</v>
      </c>
      <c r="G135" s="949">
        <v>375616.37222000002</v>
      </c>
      <c r="H135" s="949">
        <v>1073707.02235</v>
      </c>
      <c r="I135" s="949">
        <v>686933.35130999994</v>
      </c>
      <c r="J135" s="949">
        <v>257197.19586000001</v>
      </c>
      <c r="K135" s="949">
        <v>1712823.8560299999</v>
      </c>
      <c r="L135" s="949">
        <v>143466.10483000003</v>
      </c>
      <c r="M135" s="949">
        <v>711031.55888999999</v>
      </c>
      <c r="N135" s="949">
        <v>62444.789200000007</v>
      </c>
      <c r="O135" s="949">
        <f>(SUM(C135:N135))</f>
        <v>6676655.8538299995</v>
      </c>
      <c r="P135" s="917"/>
    </row>
    <row r="136" spans="2:17">
      <c r="B136" s="948"/>
      <c r="C136" s="949"/>
      <c r="D136" s="949"/>
      <c r="E136" s="949"/>
      <c r="F136" s="949"/>
      <c r="G136" s="949"/>
      <c r="H136" s="949"/>
      <c r="I136" s="949"/>
      <c r="J136" s="949"/>
      <c r="K136" s="949"/>
      <c r="L136" s="949"/>
      <c r="M136" s="949"/>
      <c r="N136" s="949"/>
      <c r="O136" s="949"/>
      <c r="P136" s="917"/>
    </row>
    <row r="137" spans="2:17">
      <c r="B137" s="950">
        <v>2018</v>
      </c>
      <c r="C137" s="949"/>
      <c r="D137" s="949"/>
      <c r="E137" s="949"/>
      <c r="F137" s="949"/>
      <c r="G137" s="949"/>
      <c r="H137" s="949"/>
      <c r="I137" s="949"/>
      <c r="J137" s="949"/>
      <c r="K137" s="949"/>
      <c r="L137" s="949"/>
      <c r="M137" s="949"/>
      <c r="N137" s="949"/>
      <c r="O137" s="949"/>
      <c r="P137" s="917"/>
    </row>
    <row r="138" spans="2:17">
      <c r="B138" s="948" t="s">
        <v>345</v>
      </c>
      <c r="C138" s="949">
        <v>380283.82335183839</v>
      </c>
      <c r="D138" s="949">
        <v>151435.95481814837</v>
      </c>
      <c r="E138" s="949">
        <v>257298.19016478676</v>
      </c>
      <c r="F138" s="949">
        <v>918787.61971894966</v>
      </c>
      <c r="G138" s="949">
        <v>365354.64530370373</v>
      </c>
      <c r="H138" s="949">
        <v>1050097.6908579853</v>
      </c>
      <c r="I138" s="949">
        <v>652999.02918578743</v>
      </c>
      <c r="J138" s="949">
        <v>248932.98661887468</v>
      </c>
      <c r="K138" s="949">
        <v>1757391.8224178168</v>
      </c>
      <c r="L138" s="949">
        <v>141913.19479159341</v>
      </c>
      <c r="M138" s="949">
        <v>669049.80623748538</v>
      </c>
      <c r="N138" s="949">
        <v>67904.665049999996</v>
      </c>
      <c r="O138" s="949">
        <f>SUM(C138:N138)</f>
        <v>6661449.42851697</v>
      </c>
      <c r="P138" s="917"/>
    </row>
    <row r="139" spans="2:17">
      <c r="B139" s="948" t="s">
        <v>334</v>
      </c>
      <c r="C139" s="949">
        <v>455217</v>
      </c>
      <c r="D139" s="949">
        <v>224070.1</v>
      </c>
      <c r="E139" s="949">
        <v>263961.90000000002</v>
      </c>
      <c r="F139" s="949">
        <v>897453.2</v>
      </c>
      <c r="G139" s="949">
        <v>399016.2</v>
      </c>
      <c r="H139" s="949">
        <v>949795.6</v>
      </c>
      <c r="I139" s="949">
        <v>674828.4</v>
      </c>
      <c r="J139" s="949">
        <v>354052.8</v>
      </c>
      <c r="K139" s="949">
        <v>1701611.4</v>
      </c>
      <c r="L139" s="949">
        <v>107779.5</v>
      </c>
      <c r="M139" s="949">
        <v>680060.2</v>
      </c>
      <c r="N139" s="949">
        <v>67686.399999999994</v>
      </c>
      <c r="O139" s="949">
        <f t="shared" ref="O139:O145" si="3">SUM(C139:N139)</f>
        <v>6775532.7000000002</v>
      </c>
      <c r="P139" s="917"/>
    </row>
    <row r="140" spans="2:17">
      <c r="B140" s="948" t="s">
        <v>335</v>
      </c>
      <c r="C140" s="949">
        <v>451992.50841603102</v>
      </c>
      <c r="D140" s="949">
        <v>142332.94482175278</v>
      </c>
      <c r="E140" s="949">
        <v>296309.99919129937</v>
      </c>
      <c r="F140" s="949">
        <v>825805.46252499567</v>
      </c>
      <c r="G140" s="949">
        <v>376592.96832711628</v>
      </c>
      <c r="H140" s="949">
        <v>1001674.2983842834</v>
      </c>
      <c r="I140" s="949">
        <v>597436.8085823562</v>
      </c>
      <c r="J140" s="949">
        <v>253127.36529919732</v>
      </c>
      <c r="K140" s="949">
        <v>1827464.3159510854</v>
      </c>
      <c r="L140" s="949">
        <v>163971.72951253186</v>
      </c>
      <c r="M140" s="949">
        <v>597436.8085823562</v>
      </c>
      <c r="N140" s="949">
        <v>63604.304259999997</v>
      </c>
      <c r="O140" s="949">
        <f t="shared" si="3"/>
        <v>6597749.5138530051</v>
      </c>
      <c r="P140" s="917"/>
    </row>
    <row r="141" spans="2:17">
      <c r="B141" s="948" t="s">
        <v>336</v>
      </c>
      <c r="C141" s="949">
        <v>476448.12267401122</v>
      </c>
      <c r="D141" s="949">
        <v>144564.55029014306</v>
      </c>
      <c r="E141" s="949">
        <v>310795.64052132121</v>
      </c>
      <c r="F141" s="949">
        <v>806144.7381069978</v>
      </c>
      <c r="G141" s="949">
        <v>364824.60514146159</v>
      </c>
      <c r="H141" s="949">
        <v>988527.15950270917</v>
      </c>
      <c r="I141" s="949">
        <v>649893.0118729152</v>
      </c>
      <c r="J141" s="949">
        <v>255761.78946592056</v>
      </c>
      <c r="K141" s="949">
        <v>1892415.2429968591</v>
      </c>
      <c r="L141" s="949">
        <v>179252.34885791398</v>
      </c>
      <c r="M141" s="949">
        <v>712565.90617355006</v>
      </c>
      <c r="N141" s="949">
        <v>65398.24022</v>
      </c>
      <c r="O141" s="949">
        <f t="shared" si="3"/>
        <v>6846591.3558238028</v>
      </c>
      <c r="P141" s="917"/>
    </row>
    <row r="142" spans="2:17">
      <c r="B142" s="948" t="s">
        <v>337</v>
      </c>
      <c r="C142" s="949">
        <v>494612.84136160865</v>
      </c>
      <c r="D142" s="949">
        <v>152567.38001265025</v>
      </c>
      <c r="E142" s="949">
        <v>350409.16622720193</v>
      </c>
      <c r="F142" s="949">
        <v>874140.46182636695</v>
      </c>
      <c r="G142" s="949">
        <v>374089.94094592467</v>
      </c>
      <c r="H142" s="949">
        <v>1097970.6963580512</v>
      </c>
      <c r="I142" s="949">
        <v>700891.89744956186</v>
      </c>
      <c r="J142" s="949">
        <v>271891.95298278303</v>
      </c>
      <c r="K142" s="949">
        <v>1913394.8623219961</v>
      </c>
      <c r="L142" s="949">
        <v>186192.54035638593</v>
      </c>
      <c r="M142" s="949">
        <v>745592.73922055191</v>
      </c>
      <c r="N142" s="949">
        <v>64970.699810000006</v>
      </c>
      <c r="O142" s="949">
        <f t="shared" si="3"/>
        <v>7226725.1788730826</v>
      </c>
      <c r="P142" s="917"/>
    </row>
    <row r="143" spans="2:17">
      <c r="B143" s="948" t="s">
        <v>338</v>
      </c>
      <c r="C143" s="949">
        <v>465983.99231584644</v>
      </c>
      <c r="D143" s="949">
        <v>164242.32783921223</v>
      </c>
      <c r="E143" s="949">
        <v>391142.28198955103</v>
      </c>
      <c r="F143" s="949">
        <v>948703.00809206546</v>
      </c>
      <c r="G143" s="949">
        <v>368260.10921359248</v>
      </c>
      <c r="H143" s="949">
        <v>1140652.8797398999</v>
      </c>
      <c r="I143" s="949">
        <v>754981.07130549487</v>
      </c>
      <c r="J143" s="949">
        <v>324355.75477481424</v>
      </c>
      <c r="K143" s="949">
        <v>2160400.4416805068</v>
      </c>
      <c r="L143" s="949">
        <v>200774.27576266421</v>
      </c>
      <c r="M143" s="949">
        <v>779012.77375382965</v>
      </c>
      <c r="N143" s="949">
        <v>64786.271789999999</v>
      </c>
      <c r="O143" s="949">
        <f t="shared" si="3"/>
        <v>7763295.1882574763</v>
      </c>
      <c r="P143" s="917"/>
    </row>
    <row r="144" spans="2:17">
      <c r="B144" s="948" t="s">
        <v>339</v>
      </c>
      <c r="C144" s="949">
        <v>445779.96346656623</v>
      </c>
      <c r="D144" s="949">
        <v>226432.96105930471</v>
      </c>
      <c r="E144" s="949">
        <v>413409.05631297443</v>
      </c>
      <c r="F144" s="949">
        <v>955925.58209992026</v>
      </c>
      <c r="G144" s="949">
        <v>420416.63451791555</v>
      </c>
      <c r="H144" s="949">
        <v>1120834.7481077022</v>
      </c>
      <c r="I144" s="949">
        <v>760588.20532990084</v>
      </c>
      <c r="J144" s="949">
        <v>321078.39333181595</v>
      </c>
      <c r="K144" s="949">
        <v>2192743.2465689578</v>
      </c>
      <c r="L144" s="949">
        <v>200523.55276201703</v>
      </c>
      <c r="M144" s="949">
        <v>822857.62130695628</v>
      </c>
      <c r="N144" s="949">
        <v>64786.271789999999</v>
      </c>
      <c r="O144" s="949">
        <f t="shared" si="3"/>
        <v>7945376.2366540302</v>
      </c>
      <c r="P144" s="917"/>
    </row>
    <row r="145" spans="2:17">
      <c r="B145" s="948" t="s">
        <v>340</v>
      </c>
      <c r="C145" s="949">
        <v>429439.90496945241</v>
      </c>
      <c r="D145" s="949">
        <v>189497.96761052706</v>
      </c>
      <c r="E145" s="949">
        <v>386595.63702974847</v>
      </c>
      <c r="F145" s="949">
        <v>980354.11146993528</v>
      </c>
      <c r="G145" s="949">
        <v>429659.6942489068</v>
      </c>
      <c r="H145" s="949">
        <v>1091202.8533323712</v>
      </c>
      <c r="I145" s="949">
        <v>782008.67986113287</v>
      </c>
      <c r="J145" s="949">
        <v>297412.27270407422</v>
      </c>
      <c r="K145" s="949">
        <v>1968724.007859675</v>
      </c>
      <c r="L145" s="949">
        <v>196068.82914676398</v>
      </c>
      <c r="M145" s="949">
        <v>836719.05691825657</v>
      </c>
      <c r="N145" s="949">
        <v>64786.271789999999</v>
      </c>
      <c r="O145" s="949">
        <f t="shared" si="3"/>
        <v>7652469.2869408447</v>
      </c>
      <c r="P145" s="917"/>
    </row>
    <row r="146" spans="2:17">
      <c r="B146" s="948" t="s">
        <v>341</v>
      </c>
      <c r="C146" s="949">
        <v>447556.40464945242</v>
      </c>
      <c r="D146" s="949">
        <v>206194.06774052704</v>
      </c>
      <c r="E146" s="949">
        <v>382491.51783974835</v>
      </c>
      <c r="F146" s="949">
        <v>1186453.6694699354</v>
      </c>
      <c r="G146" s="949">
        <v>444599.06224890682</v>
      </c>
      <c r="H146" s="949">
        <v>1070365.0536323711</v>
      </c>
      <c r="I146" s="949">
        <v>811296.205731133</v>
      </c>
      <c r="J146" s="949">
        <v>302579.33994407416</v>
      </c>
      <c r="K146" s="949">
        <v>2059093.1367996749</v>
      </c>
      <c r="L146" s="949">
        <v>247105.72780676399</v>
      </c>
      <c r="M146" s="949">
        <v>906767.57888825634</v>
      </c>
      <c r="N146" s="949">
        <v>84514.518509999994</v>
      </c>
      <c r="O146" s="949">
        <f>SUM(C146:N146)</f>
        <v>8149016.2832608437</v>
      </c>
      <c r="P146" s="917"/>
    </row>
    <row r="147" spans="2:17">
      <c r="B147" s="948" t="s">
        <v>342</v>
      </c>
      <c r="C147" s="949">
        <v>445484.370346868</v>
      </c>
      <c r="D147" s="949">
        <v>199531.05955023301</v>
      </c>
      <c r="E147" s="949">
        <v>391968.41269183101</v>
      </c>
      <c r="F147" s="949">
        <v>984701.54115075199</v>
      </c>
      <c r="G147" s="949">
        <v>469891.88954020297</v>
      </c>
      <c r="H147" s="949">
        <v>1153855.9467488599</v>
      </c>
      <c r="I147" s="949">
        <v>846453.28149260103</v>
      </c>
      <c r="J147" s="949">
        <v>315808.53962450498</v>
      </c>
      <c r="K147" s="949">
        <v>2110864.2109936401</v>
      </c>
      <c r="L147" s="949">
        <v>260816.90224520201</v>
      </c>
      <c r="M147" s="949">
        <v>817328.26073762204</v>
      </c>
      <c r="N147" s="949">
        <v>67915.248149999999</v>
      </c>
      <c r="O147" s="949">
        <f>SUM(C147:N147)</f>
        <v>8064619.6632723175</v>
      </c>
      <c r="P147" s="917"/>
    </row>
    <row r="148" spans="2:17">
      <c r="B148" s="948" t="s">
        <v>343</v>
      </c>
      <c r="C148" s="949">
        <v>489192.85849999997</v>
      </c>
      <c r="D148" s="949">
        <v>194869.3504</v>
      </c>
      <c r="E148" s="949">
        <v>391442.37805</v>
      </c>
      <c r="F148" s="949">
        <v>925081.30972000002</v>
      </c>
      <c r="G148" s="949">
        <v>441534.28207999998</v>
      </c>
      <c r="H148" s="949">
        <v>1248555.7954800001</v>
      </c>
      <c r="I148" s="949">
        <v>827349.42541999999</v>
      </c>
      <c r="J148" s="949">
        <v>316945.54446</v>
      </c>
      <c r="K148" s="949">
        <v>2059370.1448900001</v>
      </c>
      <c r="L148" s="949">
        <v>261756.52466</v>
      </c>
      <c r="M148" s="949">
        <v>825642.20449000003</v>
      </c>
      <c r="N148" s="949">
        <v>66458.681049999999</v>
      </c>
      <c r="O148" s="949">
        <f>SUM(C148:N148)</f>
        <v>8048198.4992000004</v>
      </c>
      <c r="P148" s="917"/>
    </row>
    <row r="149" spans="2:17">
      <c r="B149" s="948" t="s">
        <v>344</v>
      </c>
      <c r="C149" s="949">
        <v>494011.34067000001</v>
      </c>
      <c r="D149" s="949">
        <v>201871.00719</v>
      </c>
      <c r="E149" s="949">
        <v>531888.26705999998</v>
      </c>
      <c r="F149" s="949">
        <v>1034592.519</v>
      </c>
      <c r="G149" s="949">
        <v>428738.69485000003</v>
      </c>
      <c r="H149" s="949">
        <v>1196503.1876600001</v>
      </c>
      <c r="I149" s="949">
        <v>823081.9317999999</v>
      </c>
      <c r="J149" s="949">
        <v>331251.28138</v>
      </c>
      <c r="K149" s="949">
        <v>2063550.83256</v>
      </c>
      <c r="L149" s="949">
        <v>278658.99338</v>
      </c>
      <c r="M149" s="949">
        <v>802507.57126</v>
      </c>
      <c r="N149" s="949">
        <v>63361.267540000001</v>
      </c>
      <c r="O149" s="949">
        <f>SUM(C149:N149)</f>
        <v>8250016.8943499997</v>
      </c>
      <c r="P149" s="917"/>
      <c r="Q149" s="592">
        <v>1000</v>
      </c>
    </row>
    <row r="150" spans="2:17">
      <c r="B150" s="948"/>
      <c r="C150" s="949"/>
      <c r="D150" s="949"/>
      <c r="E150" s="949"/>
      <c r="F150" s="949"/>
      <c r="G150" s="949"/>
      <c r="H150" s="949"/>
      <c r="I150" s="949"/>
      <c r="J150" s="949"/>
      <c r="K150" s="949"/>
      <c r="L150" s="949"/>
      <c r="M150" s="949"/>
      <c r="N150" s="949"/>
      <c r="O150" s="949"/>
      <c r="P150" s="917"/>
      <c r="Q150" s="592"/>
    </row>
    <row r="151" spans="2:17">
      <c r="B151" s="1484">
        <v>2019</v>
      </c>
      <c r="C151" s="949"/>
      <c r="D151" s="949"/>
      <c r="E151" s="949"/>
      <c r="F151" s="949"/>
      <c r="G151" s="949"/>
      <c r="H151" s="949"/>
      <c r="I151" s="949"/>
      <c r="J151" s="949"/>
      <c r="K151" s="949"/>
      <c r="L151" s="949"/>
      <c r="M151" s="949"/>
      <c r="N151" s="949"/>
      <c r="O151" s="949"/>
      <c r="P151" s="917"/>
      <c r="Q151" s="592"/>
    </row>
    <row r="152" spans="2:17">
      <c r="B152" s="948" t="s">
        <v>345</v>
      </c>
      <c r="C152" s="949">
        <v>505422.90923990955</v>
      </c>
      <c r="D152" s="949">
        <v>391022.02670277772</v>
      </c>
      <c r="E152" s="949">
        <v>497976.18513949931</v>
      </c>
      <c r="F152" s="949">
        <v>1034948.2259525689</v>
      </c>
      <c r="G152" s="949">
        <v>411945.8733558536</v>
      </c>
      <c r="H152" s="949">
        <v>1187606.6609947111</v>
      </c>
      <c r="I152" s="949">
        <v>882289.73684072727</v>
      </c>
      <c r="J152" s="949">
        <v>322030.26906716177</v>
      </c>
      <c r="K152" s="949">
        <v>2154902.3201561775</v>
      </c>
      <c r="L152" s="949">
        <v>135871.62664782227</v>
      </c>
      <c r="M152" s="949">
        <v>763189.54222245852</v>
      </c>
      <c r="N152" s="949">
        <v>63064.286639999998</v>
      </c>
      <c r="O152" s="949">
        <f>SUM(C152:N152)</f>
        <v>8350269.6629596679</v>
      </c>
      <c r="P152" s="917"/>
      <c r="Q152" s="592"/>
    </row>
    <row r="153" spans="2:17">
      <c r="B153" s="948" t="s">
        <v>334</v>
      </c>
      <c r="C153" s="949">
        <v>512602.33456236997</v>
      </c>
      <c r="D153" s="949">
        <v>374750.60836560401</v>
      </c>
      <c r="E153" s="949">
        <v>394709.14681072801</v>
      </c>
      <c r="F153" s="949">
        <v>936123.623552465</v>
      </c>
      <c r="G153" s="949">
        <v>449800.94329962501</v>
      </c>
      <c r="H153" s="949">
        <v>904919.41874556604</v>
      </c>
      <c r="I153" s="949">
        <v>855348.405493828</v>
      </c>
      <c r="J153" s="949">
        <v>347405.51477827597</v>
      </c>
      <c r="K153" s="949">
        <v>2355866.0515474202</v>
      </c>
      <c r="L153" s="949">
        <v>138685.82495792699</v>
      </c>
      <c r="M153" s="949">
        <v>776949.69882636203</v>
      </c>
      <c r="N153" s="949">
        <v>63097.098859999998</v>
      </c>
      <c r="O153" s="949">
        <f>SUM(C153:N153)</f>
        <v>8110258.6698001716</v>
      </c>
      <c r="P153" s="917"/>
      <c r="Q153" s="592"/>
    </row>
    <row r="154" spans="2:17">
      <c r="B154" s="948" t="s">
        <v>335</v>
      </c>
      <c r="C154" s="949">
        <v>526564.16088139801</v>
      </c>
      <c r="D154" s="949">
        <v>343684.278796667</v>
      </c>
      <c r="E154" s="949">
        <v>376205.61573832401</v>
      </c>
      <c r="F154" s="949">
        <v>937743.42754838197</v>
      </c>
      <c r="G154" s="949">
        <v>393489.34978650598</v>
      </c>
      <c r="H154" s="949">
        <v>1317757.6575502099</v>
      </c>
      <c r="I154" s="949">
        <v>861574.87881346303</v>
      </c>
      <c r="J154" s="949">
        <v>380295.397775836</v>
      </c>
      <c r="K154" s="949">
        <v>2099331.10784422</v>
      </c>
      <c r="L154" s="949">
        <v>141677.23886755001</v>
      </c>
      <c r="M154" s="949">
        <v>773726.38409091905</v>
      </c>
      <c r="N154" s="949">
        <v>63094.903919999997</v>
      </c>
      <c r="O154" s="949">
        <f>SUM(C154:N154)</f>
        <v>8215144.4016134767</v>
      </c>
      <c r="P154" s="917"/>
      <c r="Q154" s="592"/>
    </row>
    <row r="155" spans="2:17">
      <c r="B155" s="948" t="s">
        <v>336</v>
      </c>
      <c r="C155" s="949">
        <v>632972.51994584128</v>
      </c>
      <c r="D155" s="949">
        <v>255945.64398369586</v>
      </c>
      <c r="E155" s="949">
        <v>1010978.6501511044</v>
      </c>
      <c r="F155" s="949">
        <v>90282.621680000011</v>
      </c>
      <c r="G155" s="949">
        <v>462133.05266900064</v>
      </c>
      <c r="H155" s="949">
        <v>1535772.6090492038</v>
      </c>
      <c r="I155" s="949">
        <v>890606.53256473993</v>
      </c>
      <c r="J155" s="949">
        <v>325814.57135004736</v>
      </c>
      <c r="K155" s="949">
        <v>2413535.6270078663</v>
      </c>
      <c r="L155" s="949">
        <v>320213.46249293996</v>
      </c>
      <c r="M155" s="949">
        <v>876646.4985625312</v>
      </c>
      <c r="N155" s="949">
        <v>90282.621680000011</v>
      </c>
      <c r="O155" s="949">
        <v>9963832.2250802461</v>
      </c>
      <c r="P155" s="917"/>
      <c r="Q155" s="592"/>
    </row>
    <row r="156" spans="2:17">
      <c r="B156" s="948" t="s">
        <v>337</v>
      </c>
      <c r="C156" s="949">
        <v>832073.60877309134</v>
      </c>
      <c r="D156" s="949">
        <v>305410.91592864878</v>
      </c>
      <c r="E156" s="949">
        <v>1321039.6761684627</v>
      </c>
      <c r="F156" s="949">
        <v>1177925.135099472</v>
      </c>
      <c r="G156" s="949">
        <v>522764.90657444426</v>
      </c>
      <c r="H156" s="949">
        <v>1646358.6362290441</v>
      </c>
      <c r="I156" s="949">
        <v>1142369.5931518057</v>
      </c>
      <c r="J156" s="949">
        <v>372594.90498754993</v>
      </c>
      <c r="K156" s="949">
        <v>2765341.1661707927</v>
      </c>
      <c r="L156" s="949">
        <v>371372.04354996234</v>
      </c>
      <c r="M156" s="949">
        <v>965202.73227674246</v>
      </c>
      <c r="N156" s="949">
        <v>93188.879927443326</v>
      </c>
      <c r="O156" s="949">
        <v>11515642.198837457</v>
      </c>
      <c r="P156" s="917"/>
      <c r="Q156" s="592"/>
    </row>
    <row r="157" spans="2:17">
      <c r="B157" s="948" t="s">
        <v>338</v>
      </c>
      <c r="C157" s="949">
        <v>1001633.5576565664</v>
      </c>
      <c r="D157" s="949">
        <v>309108.91702265805</v>
      </c>
      <c r="E157" s="949">
        <v>1124005.2854452245</v>
      </c>
      <c r="F157" s="949">
        <v>1337171.0427807511</v>
      </c>
      <c r="G157" s="949">
        <v>546572.52508985437</v>
      </c>
      <c r="H157" s="949">
        <v>2210293.9461219604</v>
      </c>
      <c r="I157" s="949">
        <v>1319789.7642238906</v>
      </c>
      <c r="J157" s="949">
        <v>562858.01531005639</v>
      </c>
      <c r="K157" s="949">
        <v>3493214.3090977278</v>
      </c>
      <c r="L157" s="949">
        <v>434828.17418559233</v>
      </c>
      <c r="M157" s="949">
        <v>1070319.7182346731</v>
      </c>
      <c r="N157" s="949">
        <v>52118.631324952963</v>
      </c>
      <c r="O157" s="949">
        <v>13461913.886493906</v>
      </c>
      <c r="P157" s="917"/>
      <c r="Q157" s="592"/>
    </row>
    <row r="158" spans="2:17">
      <c r="B158" s="948" t="s">
        <v>339</v>
      </c>
      <c r="C158" s="949">
        <v>1171245.36978712</v>
      </c>
      <c r="D158" s="949">
        <v>353388.4527721373</v>
      </c>
      <c r="E158" s="949">
        <v>1504911.4531250007</v>
      </c>
      <c r="F158" s="949">
        <v>1241910.1074451073</v>
      </c>
      <c r="G158" s="949">
        <v>654904.72244925855</v>
      </c>
      <c r="H158" s="949">
        <v>2553878.6554368027</v>
      </c>
      <c r="I158" s="949">
        <v>1383215.1999997022</v>
      </c>
      <c r="J158" s="949">
        <v>585108.24520332261</v>
      </c>
      <c r="K158" s="949">
        <v>4131588.8349722796</v>
      </c>
      <c r="L158" s="949">
        <v>463161.90402709268</v>
      </c>
      <c r="M158" s="949">
        <v>1304402.7162029119</v>
      </c>
      <c r="N158" s="949">
        <v>71943.579169999983</v>
      </c>
      <c r="O158" s="949">
        <v>15419659.240590701</v>
      </c>
      <c r="P158" s="917"/>
      <c r="Q158" s="592"/>
    </row>
    <row r="159" spans="2:17">
      <c r="B159" s="948" t="s">
        <v>340</v>
      </c>
      <c r="C159" s="949">
        <v>1313462.5013899999</v>
      </c>
      <c r="D159" s="949">
        <v>477215.83548399998</v>
      </c>
      <c r="E159" s="949">
        <v>1795905.4425640001</v>
      </c>
      <c r="F159" s="949">
        <v>1687246.3574100002</v>
      </c>
      <c r="G159" s="949">
        <v>804316.21054999996</v>
      </c>
      <c r="H159" s="949">
        <v>2591386.5080599999</v>
      </c>
      <c r="I159" s="949">
        <v>1647680.2142</v>
      </c>
      <c r="J159" s="949">
        <v>1114306.03033</v>
      </c>
      <c r="K159" s="949">
        <v>3872186.9510299996</v>
      </c>
      <c r="L159" s="949">
        <v>503541.55812000006</v>
      </c>
      <c r="M159" s="949">
        <v>1532441.9048199998</v>
      </c>
      <c r="N159" s="949">
        <v>75829.264330000005</v>
      </c>
      <c r="O159" s="949">
        <v>11337372.430889998</v>
      </c>
      <c r="P159" s="917"/>
      <c r="Q159" s="1503"/>
    </row>
    <row r="160" spans="2:17" ht="15.75" thickBot="1">
      <c r="B160" s="948" t="s">
        <v>341</v>
      </c>
      <c r="C160" s="949">
        <v>1581141.6892899999</v>
      </c>
      <c r="D160" s="949">
        <v>321121.36132000003</v>
      </c>
      <c r="E160" s="949">
        <v>1934554.37463</v>
      </c>
      <c r="F160" s="949">
        <v>1728390.0537799997</v>
      </c>
      <c r="G160" s="949">
        <v>952548.31255000003</v>
      </c>
      <c r="H160" s="949">
        <v>3086893.1411299999</v>
      </c>
      <c r="I160" s="949">
        <v>1638855.0941199998</v>
      </c>
      <c r="J160" s="949">
        <v>1375546.5601300001</v>
      </c>
      <c r="K160" s="949">
        <v>5961405.3377700001</v>
      </c>
      <c r="L160" s="949">
        <v>589939.57180999988</v>
      </c>
      <c r="M160" s="949">
        <v>1848708.3608400002</v>
      </c>
      <c r="N160" s="949">
        <v>76775.899659999995</v>
      </c>
      <c r="O160" s="949">
        <v>21095879.757029995</v>
      </c>
      <c r="P160" s="917"/>
    </row>
    <row r="161" spans="2:32" ht="15.75" thickTop="1">
      <c r="B161" s="905"/>
      <c r="C161" s="906"/>
      <c r="D161" s="906"/>
      <c r="E161" s="906"/>
      <c r="F161" s="906"/>
      <c r="G161" s="906"/>
      <c r="H161" s="906"/>
      <c r="I161" s="906"/>
      <c r="J161" s="906"/>
      <c r="K161" s="906"/>
      <c r="L161" s="906"/>
      <c r="M161" s="906"/>
      <c r="N161" s="906"/>
      <c r="O161" s="906"/>
    </row>
    <row r="162" spans="2:32" ht="15.75">
      <c r="B162" s="1434" t="s">
        <v>1782</v>
      </c>
      <c r="C162" s="926"/>
      <c r="D162" s="926"/>
      <c r="E162" s="924"/>
      <c r="F162" s="924"/>
      <c r="L162" s="592">
        <v>1000</v>
      </c>
      <c r="N162" s="1465"/>
      <c r="P162" s="592"/>
    </row>
    <row r="163" spans="2:32">
      <c r="B163" s="592"/>
      <c r="P163" s="592"/>
    </row>
    <row r="164" spans="2:32" ht="15.75">
      <c r="B164" s="592"/>
      <c r="P164" s="592"/>
      <c r="Q164" s="931"/>
      <c r="R164" s="932"/>
      <c r="S164" s="931"/>
      <c r="T164" s="932"/>
      <c r="U164" s="931"/>
      <c r="V164" s="932"/>
      <c r="W164" s="931"/>
      <c r="X164" s="932"/>
      <c r="Y164" s="932"/>
      <c r="Z164" s="931"/>
      <c r="AA164" s="932"/>
      <c r="AB164" s="932"/>
      <c r="AC164" s="931"/>
      <c r="AD164" s="932"/>
      <c r="AE164" s="931"/>
      <c r="AF164" s="932"/>
    </row>
    <row r="165" spans="2:32">
      <c r="B165" s="592"/>
      <c r="P165" s="592"/>
    </row>
    <row r="166" spans="2:32">
      <c r="B166" s="592"/>
      <c r="C166" s="592">
        <v>1000</v>
      </c>
      <c r="P166" s="592"/>
    </row>
    <row r="167" spans="2:32">
      <c r="B167" s="592"/>
      <c r="P167" s="592"/>
    </row>
    <row r="168" spans="2:32">
      <c r="B168" s="592"/>
      <c r="P168" s="592"/>
    </row>
    <row r="185" spans="3:3">
      <c r="C185" s="592">
        <v>69469708.640000001</v>
      </c>
    </row>
    <row r="186" spans="3:3">
      <c r="C186" s="592" t="s">
        <v>1346</v>
      </c>
    </row>
    <row r="188" spans="3:3">
      <c r="C188" s="592">
        <v>13428107.050000001</v>
      </c>
    </row>
    <row r="189" spans="3:3">
      <c r="C189" s="592" t="s">
        <v>1346</v>
      </c>
    </row>
    <row r="190" spans="3:3">
      <c r="C190" s="592">
        <v>9410027</v>
      </c>
    </row>
    <row r="191" spans="3:3">
      <c r="C191" s="592" t="s">
        <v>1346</v>
      </c>
    </row>
    <row r="192" spans="3:3">
      <c r="C192" s="592">
        <v>2777433996.6899996</v>
      </c>
    </row>
    <row r="193" spans="3:3">
      <c r="C193" s="592" t="s">
        <v>1346</v>
      </c>
    </row>
  </sheetData>
  <customSheetViews>
    <customSheetView guid="{705E0D18-9A83-42CA-8732-90923BE2EC7D}" hiddenRows="1">
      <selection activeCell="B2" sqref="B2:O145"/>
      <pageMargins left="0.7" right="0.7" top="0.75" bottom="0.75" header="0.3" footer="0.3"/>
    </customSheetView>
    <customSheetView guid="{D45E5F9E-4EA6-40A2-8A1D-3AC67FB8CE54}" hiddenRows="1" topLeftCell="J1">
      <selection activeCell="M146" sqref="M146"/>
      <pageMargins left="0.7" right="0.7" top="0.75" bottom="0.75" header="0.3" footer="0.3"/>
      <pageSetup orientation="portrait" r:id="rId1"/>
    </customSheetView>
  </customSheetViews>
  <mergeCells count="2">
    <mergeCell ref="B2:O2"/>
    <mergeCell ref="B4:O4"/>
  </mergeCells>
  <pageMargins left="0.7" right="0.7" top="0.75" bottom="0.75" header="0.3" footer="0.3"/>
  <pageSetup paperSize="9" orientation="portrait" r:id="rId2"/>
  <ignoredErrors>
    <ignoredError sqref="O132:O139 O140:O149 O124:O131 O152:O154"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2:R487"/>
  <sheetViews>
    <sheetView showOutlineSymbols="0" topLeftCell="A3" zoomScale="70" zoomScaleNormal="75" workbookViewId="0">
      <pane ySplit="11" topLeftCell="A380" activePane="bottomLeft" state="frozen"/>
      <selection activeCell="A3" sqref="A3"/>
      <selection pane="bottomLeft" activeCell="E387" sqref="E387"/>
    </sheetView>
  </sheetViews>
  <sheetFormatPr defaultColWidth="9.6640625" defaultRowHeight="15"/>
  <cols>
    <col min="1" max="2" width="1.6640625" style="48" customWidth="1"/>
    <col min="3" max="3" width="15.44140625" style="48" customWidth="1"/>
    <col min="4" max="4" width="17.21875" style="48" bestFit="1" customWidth="1"/>
    <col min="5" max="5" width="22.21875" style="48" bestFit="1" customWidth="1"/>
    <col min="6" max="6" width="21.109375" style="48" customWidth="1"/>
    <col min="7" max="7" width="22.6640625" style="48" bestFit="1" customWidth="1"/>
    <col min="8" max="8" width="18.5546875" style="48" customWidth="1"/>
    <col min="9" max="9" width="22.6640625" style="48" bestFit="1" customWidth="1"/>
    <col min="10" max="10" width="16.21875" style="48" customWidth="1"/>
    <col min="11" max="11" width="27" style="48" customWidth="1"/>
    <col min="12" max="12" width="22.6640625" style="48" bestFit="1" customWidth="1"/>
    <col min="13" max="13" width="1.77734375" style="48" customWidth="1"/>
    <col min="14" max="14" width="25" style="48" customWidth="1"/>
    <col min="15" max="15" width="20.5546875" style="48" bestFit="1" customWidth="1"/>
    <col min="16" max="16" width="13.21875" style="48" customWidth="1"/>
    <col min="17" max="16384" width="9.6640625" style="48"/>
  </cols>
  <sheetData>
    <row r="2" spans="1:12" ht="23.25">
      <c r="C2" s="50"/>
      <c r="D2" s="50"/>
      <c r="E2" s="50"/>
      <c r="F2" s="69" t="s">
        <v>251</v>
      </c>
      <c r="G2" s="69"/>
      <c r="H2" s="69"/>
      <c r="I2" s="70"/>
      <c r="J2" s="50"/>
      <c r="K2" s="51"/>
      <c r="L2" s="50"/>
    </row>
    <row r="3" spans="1:12" ht="12.75" customHeight="1">
      <c r="C3" s="50"/>
      <c r="F3" s="69"/>
      <c r="G3" s="69"/>
      <c r="H3" s="69"/>
      <c r="I3" s="70"/>
      <c r="K3" s="51"/>
    </row>
    <row r="4" spans="1:12" ht="19.5" customHeight="1">
      <c r="C4" s="50"/>
      <c r="F4" s="69" t="s">
        <v>899</v>
      </c>
      <c r="G4" s="69"/>
      <c r="H4" s="69"/>
      <c r="I4" s="71"/>
      <c r="K4" s="51"/>
    </row>
    <row r="5" spans="1:12" ht="12.75" customHeight="1" thickBot="1">
      <c r="C5" s="52"/>
      <c r="D5" s="52"/>
      <c r="E5" s="52"/>
      <c r="F5" s="52"/>
      <c r="H5" s="52"/>
      <c r="I5" s="52"/>
      <c r="J5" s="52"/>
      <c r="K5" s="52"/>
      <c r="L5" s="52"/>
    </row>
    <row r="6" spans="1:12" ht="12.75" customHeight="1" thickTop="1">
      <c r="C6" s="53"/>
      <c r="D6" s="53"/>
      <c r="E6" s="53"/>
      <c r="F6" s="54"/>
      <c r="G6" s="54"/>
      <c r="H6" s="54"/>
      <c r="I6" s="54"/>
      <c r="J6" s="54"/>
      <c r="K6" s="54"/>
      <c r="L6" s="72"/>
    </row>
    <row r="7" spans="1:12" ht="21" customHeight="1">
      <c r="C7" s="57"/>
      <c r="D7" s="73" t="s">
        <v>258</v>
      </c>
      <c r="E7" s="1881" t="s">
        <v>259</v>
      </c>
      <c r="F7" s="1882"/>
      <c r="G7" s="1882"/>
      <c r="H7" s="1882"/>
      <c r="I7" s="1882"/>
      <c r="J7" s="1882"/>
      <c r="K7" s="1883"/>
      <c r="L7" s="74"/>
    </row>
    <row r="8" spans="1:12" ht="21" customHeight="1" thickBot="1">
      <c r="C8" s="57"/>
      <c r="D8" s="73" t="s">
        <v>262</v>
      </c>
      <c r="E8" s="57"/>
      <c r="F8" s="52"/>
      <c r="G8" s="52"/>
      <c r="H8" s="52"/>
      <c r="I8" s="52"/>
      <c r="J8" s="52"/>
      <c r="K8" s="52"/>
      <c r="L8" s="74"/>
    </row>
    <row r="9" spans="1:12" ht="21" customHeight="1" thickTop="1">
      <c r="C9" s="73" t="s">
        <v>263</v>
      </c>
      <c r="D9" s="73" t="s">
        <v>264</v>
      </c>
      <c r="E9" s="53"/>
      <c r="F9" s="53"/>
      <c r="G9" s="53"/>
      <c r="H9" s="54"/>
      <c r="I9" s="53"/>
      <c r="J9" s="54"/>
      <c r="K9" s="53"/>
      <c r="L9" s="74"/>
    </row>
    <row r="10" spans="1:12" ht="21" customHeight="1">
      <c r="C10" s="57"/>
      <c r="D10" s="73" t="s">
        <v>265</v>
      </c>
      <c r="E10" s="73" t="s">
        <v>266</v>
      </c>
      <c r="F10" s="73" t="s">
        <v>267</v>
      </c>
      <c r="G10" s="1881" t="s">
        <v>268</v>
      </c>
      <c r="H10" s="1883"/>
      <c r="I10" s="57" t="s">
        <v>269</v>
      </c>
      <c r="J10" s="52"/>
      <c r="K10" s="57"/>
      <c r="L10" s="75" t="s">
        <v>330</v>
      </c>
    </row>
    <row r="11" spans="1:12" ht="21" customHeight="1" thickBot="1">
      <c r="C11" s="57"/>
      <c r="D11" s="73" t="s">
        <v>280</v>
      </c>
      <c r="E11" s="73" t="s">
        <v>281</v>
      </c>
      <c r="F11" s="73" t="s">
        <v>282</v>
      </c>
      <c r="G11" s="57"/>
      <c r="H11" s="52"/>
      <c r="I11" s="57"/>
      <c r="J11" s="52"/>
      <c r="K11" s="57"/>
      <c r="L11" s="74"/>
    </row>
    <row r="12" spans="1:12" ht="21" customHeight="1" thickTop="1">
      <c r="C12" s="57"/>
      <c r="D12" s="73" t="s">
        <v>286</v>
      </c>
      <c r="E12" s="57"/>
      <c r="F12" s="57"/>
      <c r="G12" s="53"/>
      <c r="H12" s="53"/>
      <c r="I12" s="53"/>
      <c r="J12" s="53"/>
      <c r="K12" s="73" t="s">
        <v>287</v>
      </c>
      <c r="L12" s="74"/>
    </row>
    <row r="13" spans="1:12" ht="21" customHeight="1">
      <c r="C13" s="57"/>
      <c r="D13" s="57"/>
      <c r="E13" s="57"/>
      <c r="F13" s="57"/>
      <c r="G13" s="73" t="s">
        <v>291</v>
      </c>
      <c r="H13" s="73" t="s">
        <v>292</v>
      </c>
      <c r="I13" s="73" t="s">
        <v>291</v>
      </c>
      <c r="J13" s="73" t="s">
        <v>293</v>
      </c>
      <c r="K13" s="57"/>
      <c r="L13" s="74"/>
    </row>
    <row r="14" spans="1:12" ht="12.75" customHeight="1">
      <c r="C14" s="57"/>
      <c r="D14" s="57"/>
      <c r="E14" s="57"/>
      <c r="F14" s="57"/>
      <c r="G14" s="57"/>
      <c r="H14" s="57"/>
      <c r="I14" s="57"/>
      <c r="J14" s="57"/>
      <c r="K14" s="57"/>
      <c r="L14" s="74"/>
    </row>
    <row r="15" spans="1:12" ht="12.75" hidden="1" customHeight="1" thickTop="1">
      <c r="A15" s="76"/>
      <c r="B15" s="76"/>
      <c r="C15" s="59"/>
      <c r="D15" s="59"/>
      <c r="E15" s="59"/>
      <c r="F15" s="59"/>
      <c r="G15" s="59"/>
      <c r="H15" s="59"/>
      <c r="I15" s="59"/>
      <c r="J15" s="59"/>
      <c r="K15" s="59"/>
      <c r="L15" s="77"/>
    </row>
    <row r="16" spans="1:12" ht="12.75" hidden="1" customHeight="1">
      <c r="C16" s="73" t="s">
        <v>297</v>
      </c>
      <c r="D16" s="78"/>
      <c r="E16" s="78"/>
      <c r="F16" s="78"/>
      <c r="G16" s="78" t="s">
        <v>296</v>
      </c>
      <c r="H16" s="78"/>
      <c r="I16" s="78"/>
      <c r="J16" s="78"/>
      <c r="K16" s="78"/>
      <c r="L16" s="79"/>
    </row>
    <row r="17" spans="1:12" ht="12.75" hidden="1" customHeight="1">
      <c r="C17" s="61"/>
      <c r="D17" s="78"/>
      <c r="E17" s="78"/>
      <c r="F17" s="78"/>
      <c r="G17" s="78"/>
      <c r="H17" s="78"/>
      <c r="I17" s="78"/>
      <c r="J17" s="78"/>
      <c r="K17" s="78"/>
      <c r="L17" s="79"/>
    </row>
    <row r="18" spans="1:12" ht="12.75" hidden="1" customHeight="1">
      <c r="A18" s="80"/>
      <c r="B18" s="80"/>
      <c r="C18" s="61" t="s">
        <v>298</v>
      </c>
      <c r="D18" s="78">
        <v>1087.5</v>
      </c>
      <c r="E18" s="78">
        <v>514.1</v>
      </c>
      <c r="F18" s="78">
        <f>695.2-415.2</f>
        <v>280.00000000000006</v>
      </c>
      <c r="G18" s="78">
        <v>3099.6</v>
      </c>
      <c r="H18" s="78">
        <v>232.9</v>
      </c>
      <c r="I18" s="78">
        <v>244.4</v>
      </c>
      <c r="J18" s="78">
        <v>28.5</v>
      </c>
      <c r="K18" s="78">
        <f>J18+I18+H18+G18+F18+E18</f>
        <v>4399.5</v>
      </c>
      <c r="L18" s="79">
        <v>5486.9</v>
      </c>
    </row>
    <row r="19" spans="1:12" ht="12.75" hidden="1" customHeight="1">
      <c r="A19" s="80"/>
      <c r="B19" s="80"/>
      <c r="C19" s="61"/>
      <c r="D19" s="78"/>
      <c r="E19" s="78"/>
      <c r="F19" s="78"/>
      <c r="G19" s="78"/>
      <c r="H19" s="78"/>
      <c r="I19" s="78"/>
      <c r="J19" s="78"/>
      <c r="K19" s="78"/>
      <c r="L19" s="79"/>
    </row>
    <row r="20" spans="1:12" ht="12.75" hidden="1" customHeight="1">
      <c r="A20" s="80"/>
      <c r="B20" s="80"/>
      <c r="C20" s="61" t="s">
        <v>299</v>
      </c>
      <c r="D20" s="78">
        <v>1112.3</v>
      </c>
      <c r="E20" s="78">
        <v>478.2</v>
      </c>
      <c r="F20" s="78">
        <f>646.2-409.8</f>
        <v>236.40000000000003</v>
      </c>
      <c r="G20" s="78">
        <v>2828.7</v>
      </c>
      <c r="H20" s="78">
        <v>387.9</v>
      </c>
      <c r="I20" s="78">
        <v>274.2</v>
      </c>
      <c r="J20" s="78">
        <v>46.9</v>
      </c>
      <c r="K20" s="78">
        <f>J20+I20+H20+G20+F20+E20</f>
        <v>4252.3</v>
      </c>
      <c r="L20" s="79">
        <v>5364.5</v>
      </c>
    </row>
    <row r="21" spans="1:12" ht="12.75" hidden="1" customHeight="1">
      <c r="A21" s="80"/>
      <c r="B21" s="80"/>
      <c r="C21" s="61"/>
      <c r="D21" s="78"/>
      <c r="E21" s="78"/>
      <c r="F21" s="78"/>
      <c r="G21" s="78"/>
      <c r="H21" s="78"/>
      <c r="I21" s="78"/>
      <c r="J21" s="78"/>
      <c r="K21" s="78"/>
      <c r="L21" s="79"/>
    </row>
    <row r="22" spans="1:12" ht="12.75" hidden="1" customHeight="1">
      <c r="A22" s="80"/>
      <c r="B22" s="80"/>
      <c r="C22" s="61" t="s">
        <v>300</v>
      </c>
      <c r="D22" s="78">
        <v>1171</v>
      </c>
      <c r="E22" s="78">
        <v>454.5</v>
      </c>
      <c r="F22" s="78">
        <f>659.3-344.3</f>
        <v>314.99999999999994</v>
      </c>
      <c r="G22" s="78">
        <v>2956.8</v>
      </c>
      <c r="H22" s="78">
        <v>384.2</v>
      </c>
      <c r="I22" s="78">
        <v>273.5</v>
      </c>
      <c r="J22" s="78">
        <v>80.3</v>
      </c>
      <c r="K22" s="78">
        <f>J22+I22+H22+G22+F22+E22</f>
        <v>4464.3</v>
      </c>
      <c r="L22" s="79">
        <v>5635.4</v>
      </c>
    </row>
    <row r="23" spans="1:12" ht="12.75" hidden="1" customHeight="1">
      <c r="A23" s="80"/>
      <c r="B23" s="80"/>
      <c r="C23" s="61"/>
      <c r="D23" s="78"/>
      <c r="E23" s="78"/>
      <c r="F23" s="78"/>
      <c r="G23" s="78"/>
      <c r="H23" s="78"/>
      <c r="I23" s="78"/>
      <c r="J23" s="78"/>
      <c r="K23" s="78"/>
      <c r="L23" s="79"/>
    </row>
    <row r="24" spans="1:12" ht="12.75" hidden="1" customHeight="1">
      <c r="A24" s="80"/>
      <c r="B24" s="80"/>
      <c r="C24" s="61" t="s">
        <v>301</v>
      </c>
      <c r="D24" s="78">
        <v>1203.0999999999999</v>
      </c>
      <c r="E24" s="78">
        <v>468.4</v>
      </c>
      <c r="F24" s="78">
        <f>534.1-373.7</f>
        <v>160.40000000000003</v>
      </c>
      <c r="G24" s="78">
        <v>2757.1</v>
      </c>
      <c r="H24" s="78">
        <v>435</v>
      </c>
      <c r="I24" s="78">
        <v>369.1</v>
      </c>
      <c r="J24" s="78">
        <v>55.5</v>
      </c>
      <c r="K24" s="78">
        <f>J24+I24+H24+G24+F24+E24</f>
        <v>4245.5</v>
      </c>
      <c r="L24" s="79">
        <v>5448.7</v>
      </c>
    </row>
    <row r="25" spans="1:12" ht="12.75" hidden="1" customHeight="1">
      <c r="A25" s="80"/>
      <c r="B25" s="80"/>
      <c r="C25" s="61"/>
      <c r="D25" s="78"/>
      <c r="E25" s="78"/>
      <c r="F25" s="78"/>
      <c r="G25" s="78"/>
      <c r="H25" s="78"/>
      <c r="I25" s="78"/>
      <c r="J25" s="78"/>
      <c r="K25" s="78"/>
      <c r="L25" s="79"/>
    </row>
    <row r="26" spans="1:12" ht="12.75" hidden="1" customHeight="1">
      <c r="A26" s="80"/>
      <c r="B26" s="80"/>
      <c r="C26" s="61" t="s">
        <v>302</v>
      </c>
      <c r="D26" s="78">
        <v>1156.0999999999999</v>
      </c>
      <c r="E26" s="78">
        <v>271.60000000000002</v>
      </c>
      <c r="F26" s="78">
        <f>1251.7-703.9</f>
        <v>547.80000000000007</v>
      </c>
      <c r="G26" s="78">
        <v>3329.9</v>
      </c>
      <c r="H26" s="78">
        <v>481.1</v>
      </c>
      <c r="I26" s="78">
        <v>306.89999999999998</v>
      </c>
      <c r="J26" s="78">
        <v>32.700000000000003</v>
      </c>
      <c r="K26" s="78">
        <f>J26+I26+H26+G26+F26+E26</f>
        <v>4970.0000000000009</v>
      </c>
      <c r="L26" s="79">
        <v>6126.1</v>
      </c>
    </row>
    <row r="27" spans="1:12" ht="12.75" hidden="1" customHeight="1">
      <c r="A27" s="80"/>
      <c r="B27" s="80"/>
      <c r="C27" s="61"/>
      <c r="D27" s="78"/>
      <c r="E27" s="78"/>
      <c r="F27" s="78"/>
      <c r="G27" s="78"/>
      <c r="H27" s="78"/>
      <c r="I27" s="78"/>
      <c r="J27" s="78"/>
      <c r="K27" s="78"/>
      <c r="L27" s="79"/>
    </row>
    <row r="28" spans="1:12" ht="12.75" hidden="1" customHeight="1">
      <c r="A28" s="80"/>
      <c r="B28" s="80"/>
      <c r="C28" s="61" t="s">
        <v>303</v>
      </c>
      <c r="D28" s="78">
        <v>1201.2</v>
      </c>
      <c r="E28" s="78">
        <v>307.2</v>
      </c>
      <c r="F28" s="78">
        <f>1050.9-645.4</f>
        <v>405.50000000000011</v>
      </c>
      <c r="G28" s="78">
        <v>3018.4</v>
      </c>
      <c r="H28" s="78">
        <v>434.4</v>
      </c>
      <c r="I28" s="78">
        <v>303.89999999999998</v>
      </c>
      <c r="J28" s="78">
        <v>31.1</v>
      </c>
      <c r="K28" s="78">
        <f>J28+I28+H28+G28+F28+E28</f>
        <v>4500.5</v>
      </c>
      <c r="L28" s="79">
        <v>5701.7</v>
      </c>
    </row>
    <row r="29" spans="1:12" ht="12.75" hidden="1" customHeight="1">
      <c r="A29" s="80"/>
      <c r="B29" s="80"/>
      <c r="C29" s="61"/>
      <c r="D29" s="78"/>
      <c r="E29" s="78"/>
      <c r="F29" s="78"/>
      <c r="G29" s="78"/>
      <c r="H29" s="78"/>
      <c r="I29" s="78"/>
      <c r="J29" s="78"/>
      <c r="K29" s="78"/>
      <c r="L29" s="79"/>
    </row>
    <row r="30" spans="1:12" ht="12.75" hidden="1" customHeight="1">
      <c r="A30" s="80"/>
      <c r="B30" s="80"/>
      <c r="C30" s="61" t="s">
        <v>304</v>
      </c>
      <c r="D30" s="78">
        <v>1311.4</v>
      </c>
      <c r="E30" s="78">
        <v>255.7</v>
      </c>
      <c r="F30" s="78">
        <f>817.6-398.9</f>
        <v>418.70000000000005</v>
      </c>
      <c r="G30" s="78">
        <v>3386.7</v>
      </c>
      <c r="H30" s="78">
        <v>570.29999999999995</v>
      </c>
      <c r="I30" s="78">
        <v>315.89999999999998</v>
      </c>
      <c r="J30" s="78">
        <v>38.4</v>
      </c>
      <c r="K30" s="78">
        <f>J30+I30+H30+G30+F30+E30</f>
        <v>4985.6999999999989</v>
      </c>
      <c r="L30" s="79">
        <v>6297.1</v>
      </c>
    </row>
    <row r="31" spans="1:12" ht="12.75" hidden="1" customHeight="1">
      <c r="A31" s="80"/>
      <c r="B31" s="80"/>
      <c r="C31" s="61"/>
      <c r="D31" s="78"/>
      <c r="E31" s="78"/>
      <c r="F31" s="78"/>
      <c r="G31" s="78"/>
      <c r="H31" s="78"/>
      <c r="I31" s="78"/>
      <c r="J31" s="78"/>
      <c r="K31" s="78"/>
      <c r="L31" s="79"/>
    </row>
    <row r="32" spans="1:12" ht="12.75" hidden="1" customHeight="1">
      <c r="A32" s="80"/>
      <c r="B32" s="80"/>
      <c r="C32" s="61" t="s">
        <v>305</v>
      </c>
      <c r="D32" s="78">
        <v>1388.9</v>
      </c>
      <c r="E32" s="78">
        <v>54.6</v>
      </c>
      <c r="F32" s="78">
        <f>1032.3-469</f>
        <v>563.29999999999995</v>
      </c>
      <c r="G32" s="78">
        <v>3401.3</v>
      </c>
      <c r="H32" s="78">
        <v>550.1</v>
      </c>
      <c r="I32" s="78">
        <v>317</v>
      </c>
      <c r="J32" s="78">
        <v>41.2</v>
      </c>
      <c r="K32" s="78">
        <f>J32+I32+H32+G32+F32+E32</f>
        <v>4927.5000000000009</v>
      </c>
      <c r="L32" s="79">
        <v>6316.5</v>
      </c>
    </row>
    <row r="33" spans="1:12" ht="12.75" hidden="1" customHeight="1">
      <c r="A33" s="80"/>
      <c r="B33" s="80"/>
      <c r="C33" s="61"/>
      <c r="D33" s="78"/>
      <c r="E33" s="78"/>
      <c r="F33" s="78"/>
      <c r="G33" s="78"/>
      <c r="H33" s="78"/>
      <c r="I33" s="78"/>
      <c r="J33" s="78"/>
      <c r="K33" s="78"/>
      <c r="L33" s="79"/>
    </row>
    <row r="34" spans="1:12" ht="12.75" hidden="1" customHeight="1">
      <c r="A34" s="80"/>
      <c r="B34" s="80"/>
      <c r="C34" s="61" t="s">
        <v>306</v>
      </c>
      <c r="D34" s="78">
        <v>1466.2</v>
      </c>
      <c r="E34" s="78">
        <v>100.2</v>
      </c>
      <c r="F34" s="78">
        <f>975.5-384.8</f>
        <v>590.70000000000005</v>
      </c>
      <c r="G34" s="78">
        <v>3616.4</v>
      </c>
      <c r="H34" s="78">
        <v>603.70000000000005</v>
      </c>
      <c r="I34" s="78">
        <v>270.2</v>
      </c>
      <c r="J34" s="78">
        <v>44</v>
      </c>
      <c r="K34" s="78">
        <f>J34+I34+H34+G34+F34+E34</f>
        <v>5225.2</v>
      </c>
      <c r="L34" s="79">
        <v>6691.4</v>
      </c>
    </row>
    <row r="35" spans="1:12" ht="12.75" hidden="1" customHeight="1">
      <c r="A35" s="80"/>
      <c r="B35" s="80"/>
      <c r="C35" s="61"/>
      <c r="D35" s="78"/>
      <c r="E35" s="78"/>
      <c r="F35" s="78"/>
      <c r="G35" s="78"/>
      <c r="H35" s="78"/>
      <c r="I35" s="78"/>
      <c r="J35" s="78"/>
      <c r="K35" s="78"/>
      <c r="L35" s="79"/>
    </row>
    <row r="36" spans="1:12" ht="12.75" hidden="1" customHeight="1">
      <c r="A36" s="80"/>
      <c r="B36" s="80"/>
      <c r="C36" s="61" t="s">
        <v>307</v>
      </c>
      <c r="D36" s="78">
        <v>1392</v>
      </c>
      <c r="E36" s="78">
        <v>27.5</v>
      </c>
      <c r="F36" s="78">
        <f>929-268.3</f>
        <v>660.7</v>
      </c>
      <c r="G36" s="78">
        <v>3491.4</v>
      </c>
      <c r="H36" s="78">
        <v>750.6</v>
      </c>
      <c r="I36" s="78">
        <v>305.60000000000002</v>
      </c>
      <c r="J36" s="78">
        <v>87.6</v>
      </c>
      <c r="K36" s="78">
        <f>J36+I36+H36+G36+F36+E36</f>
        <v>5323.4000000000005</v>
      </c>
      <c r="L36" s="79">
        <v>6715.4</v>
      </c>
    </row>
    <row r="37" spans="1:12" ht="12.75" hidden="1" customHeight="1">
      <c r="A37" s="80"/>
      <c r="B37" s="80"/>
      <c r="C37" s="61"/>
      <c r="D37" s="78"/>
      <c r="E37" s="78"/>
      <c r="F37" s="78"/>
      <c r="G37" s="78"/>
      <c r="H37" s="78"/>
      <c r="I37" s="78"/>
      <c r="J37" s="78"/>
      <c r="K37" s="78"/>
      <c r="L37" s="79"/>
    </row>
    <row r="38" spans="1:12" ht="12.75" hidden="1" customHeight="1">
      <c r="A38" s="80"/>
      <c r="B38" s="80"/>
      <c r="C38" s="61" t="s">
        <v>308</v>
      </c>
      <c r="D38" s="78">
        <v>1487</v>
      </c>
      <c r="E38" s="78">
        <v>630.6</v>
      </c>
      <c r="F38" s="78">
        <f>1260.1-426.6</f>
        <v>833.49999999999989</v>
      </c>
      <c r="G38" s="78">
        <v>3659.5</v>
      </c>
      <c r="H38" s="78">
        <v>767.1</v>
      </c>
      <c r="I38" s="78">
        <v>313.60000000000002</v>
      </c>
      <c r="J38" s="78">
        <v>192.1</v>
      </c>
      <c r="K38" s="78">
        <f>J38+I38+H38+G38+F38+E38</f>
        <v>6396.4000000000005</v>
      </c>
      <c r="L38" s="79">
        <v>7883.4</v>
      </c>
    </row>
    <row r="39" spans="1:12" ht="12.75" hidden="1" customHeight="1">
      <c r="A39" s="80"/>
      <c r="B39" s="80"/>
      <c r="C39" s="61"/>
      <c r="D39" s="78"/>
      <c r="E39" s="78"/>
      <c r="F39" s="78"/>
      <c r="G39" s="78"/>
      <c r="H39" s="78"/>
      <c r="I39" s="78"/>
      <c r="J39" s="78"/>
      <c r="K39" s="78"/>
      <c r="L39" s="79"/>
    </row>
    <row r="40" spans="1:12" ht="12.75" hidden="1" customHeight="1">
      <c r="A40" s="80"/>
      <c r="B40" s="80"/>
      <c r="C40" s="61" t="s">
        <v>311</v>
      </c>
      <c r="D40" s="78">
        <v>1432.4</v>
      </c>
      <c r="E40" s="78">
        <v>83.4</v>
      </c>
      <c r="F40" s="78">
        <f>868.9-398.7</f>
        <v>470.2</v>
      </c>
      <c r="G40" s="78">
        <v>3754.3</v>
      </c>
      <c r="H40" s="78">
        <v>654.70000000000005</v>
      </c>
      <c r="I40" s="78">
        <v>289.7</v>
      </c>
      <c r="J40" s="78">
        <v>181.5</v>
      </c>
      <c r="K40" s="78">
        <f>J40+I40+H40+G40+F40+E40</f>
        <v>5433.8</v>
      </c>
      <c r="L40" s="79">
        <v>6866.2</v>
      </c>
    </row>
    <row r="41" spans="1:12" ht="12.75" hidden="1" customHeight="1">
      <c r="A41" s="80"/>
      <c r="B41" s="80"/>
      <c r="C41" s="57"/>
      <c r="D41" s="78"/>
      <c r="E41" s="78"/>
      <c r="F41" s="78"/>
      <c r="G41" s="78"/>
      <c r="H41" s="78"/>
      <c r="I41" s="78"/>
      <c r="J41" s="78"/>
      <c r="K41" s="78"/>
      <c r="L41" s="79"/>
    </row>
    <row r="42" spans="1:12" ht="12.75" hidden="1" customHeight="1">
      <c r="A42" s="80"/>
      <c r="B42" s="80"/>
      <c r="C42" s="73" t="s">
        <v>312</v>
      </c>
      <c r="D42" s="78"/>
      <c r="E42" s="78"/>
      <c r="F42" s="78"/>
      <c r="G42" s="78"/>
      <c r="H42" s="78"/>
      <c r="I42" s="78"/>
      <c r="J42" s="78"/>
      <c r="K42" s="78"/>
      <c r="L42" s="79"/>
    </row>
    <row r="43" spans="1:12" ht="12.75" hidden="1" customHeight="1">
      <c r="A43" s="80"/>
      <c r="B43" s="80"/>
      <c r="C43" s="57"/>
      <c r="D43" s="78"/>
      <c r="E43" s="78"/>
      <c r="F43" s="78"/>
      <c r="G43" s="78"/>
      <c r="H43" s="78"/>
      <c r="I43" s="78"/>
      <c r="J43" s="78"/>
      <c r="K43" s="78"/>
      <c r="L43" s="79"/>
    </row>
    <row r="44" spans="1:12" ht="12.75" hidden="1" customHeight="1">
      <c r="A44" s="80"/>
      <c r="B44" s="80"/>
      <c r="C44" s="61" t="s">
        <v>298</v>
      </c>
      <c r="D44" s="78">
        <v>1319.8</v>
      </c>
      <c r="E44" s="78">
        <v>15.9</v>
      </c>
      <c r="F44" s="78">
        <f>1208.7-371.1</f>
        <v>837.6</v>
      </c>
      <c r="G44" s="78">
        <v>3587</v>
      </c>
      <c r="H44" s="78">
        <v>785.7</v>
      </c>
      <c r="I44" s="78">
        <v>317.2</v>
      </c>
      <c r="J44" s="78">
        <v>144.6</v>
      </c>
      <c r="K44" s="78">
        <f>J44+I44+H44+G44+F44+E44</f>
        <v>5688</v>
      </c>
      <c r="L44" s="79">
        <v>7007.8</v>
      </c>
    </row>
    <row r="45" spans="1:12" ht="12.75" hidden="1" customHeight="1">
      <c r="A45" s="80"/>
      <c r="B45" s="80"/>
      <c r="C45" s="61"/>
      <c r="D45" s="78"/>
      <c r="E45" s="78"/>
      <c r="F45" s="78"/>
      <c r="G45" s="78"/>
      <c r="H45" s="78"/>
      <c r="I45" s="78"/>
      <c r="J45" s="78"/>
      <c r="K45" s="78"/>
      <c r="L45" s="79"/>
    </row>
    <row r="46" spans="1:12" ht="12.75" hidden="1" customHeight="1">
      <c r="A46" s="80"/>
      <c r="B46" s="80"/>
      <c r="C46" s="61" t="s">
        <v>299</v>
      </c>
      <c r="D46" s="78">
        <v>1374.1</v>
      </c>
      <c r="E46" s="78">
        <v>9.9</v>
      </c>
      <c r="F46" s="78">
        <f>1120.1-373.3</f>
        <v>746.8</v>
      </c>
      <c r="G46" s="78">
        <v>3490.1</v>
      </c>
      <c r="H46" s="78">
        <v>848</v>
      </c>
      <c r="I46" s="78">
        <v>277.5</v>
      </c>
      <c r="J46" s="78">
        <v>126</v>
      </c>
      <c r="K46" s="78">
        <f>J46+I46+H46+G46+F46+E46</f>
        <v>5498.3</v>
      </c>
      <c r="L46" s="79">
        <v>6872.5</v>
      </c>
    </row>
    <row r="47" spans="1:12" ht="12.75" hidden="1" customHeight="1">
      <c r="A47" s="80"/>
      <c r="B47" s="80"/>
      <c r="C47" s="61"/>
      <c r="D47" s="78"/>
      <c r="E47" s="78"/>
      <c r="F47" s="78"/>
      <c r="G47" s="78"/>
      <c r="H47" s="78"/>
      <c r="I47" s="78"/>
      <c r="J47" s="78"/>
      <c r="K47" s="78"/>
      <c r="L47" s="79"/>
    </row>
    <row r="48" spans="1:12" ht="12.75" hidden="1" customHeight="1">
      <c r="A48" s="80"/>
      <c r="B48" s="80"/>
      <c r="C48" s="61" t="s">
        <v>300</v>
      </c>
      <c r="D48" s="78">
        <v>1390.5</v>
      </c>
      <c r="E48" s="78">
        <v>9.9</v>
      </c>
      <c r="F48" s="78">
        <f>932-245.3</f>
        <v>686.7</v>
      </c>
      <c r="G48" s="78">
        <v>3968.5</v>
      </c>
      <c r="H48" s="78">
        <v>867.8</v>
      </c>
      <c r="I48" s="78">
        <v>259.89999999999998</v>
      </c>
      <c r="J48" s="78">
        <v>123.8</v>
      </c>
      <c r="K48" s="78">
        <f>J48+I48+H48+G48+F48+E48</f>
        <v>5916.5999999999995</v>
      </c>
      <c r="L48" s="79">
        <v>7307.1</v>
      </c>
    </row>
    <row r="49" spans="1:12" ht="12.75" hidden="1" customHeight="1">
      <c r="A49" s="80"/>
      <c r="B49" s="80"/>
      <c r="C49" s="61"/>
      <c r="D49" s="78"/>
      <c r="E49" s="78"/>
      <c r="F49" s="78"/>
      <c r="G49" s="78"/>
      <c r="H49" s="78"/>
      <c r="I49" s="78"/>
      <c r="J49" s="78"/>
      <c r="K49" s="78"/>
      <c r="L49" s="79"/>
    </row>
    <row r="50" spans="1:12" ht="12.75" hidden="1" customHeight="1">
      <c r="A50" s="80"/>
      <c r="B50" s="80"/>
      <c r="C50" s="61" t="s">
        <v>301</v>
      </c>
      <c r="D50" s="78">
        <v>1512.6</v>
      </c>
      <c r="E50" s="78">
        <v>2.6</v>
      </c>
      <c r="F50" s="78">
        <f>895.1-261.8</f>
        <v>633.29999999999995</v>
      </c>
      <c r="G50" s="78">
        <v>3649.5</v>
      </c>
      <c r="H50" s="78">
        <v>849.2</v>
      </c>
      <c r="I50" s="78">
        <v>246.4</v>
      </c>
      <c r="J50" s="78">
        <v>100.3</v>
      </c>
      <c r="K50" s="78">
        <f>J50+I50+H50+G50+F50+E50</f>
        <v>5481.3</v>
      </c>
      <c r="L50" s="79">
        <v>6993.9</v>
      </c>
    </row>
    <row r="51" spans="1:12" ht="12.75" hidden="1" customHeight="1">
      <c r="A51" s="80"/>
      <c r="B51" s="80"/>
      <c r="C51" s="61"/>
      <c r="D51" s="78"/>
      <c r="E51" s="78"/>
      <c r="F51" s="78"/>
      <c r="G51" s="78"/>
      <c r="H51" s="78"/>
      <c r="I51" s="78"/>
      <c r="J51" s="78"/>
      <c r="K51" s="78"/>
      <c r="L51" s="79"/>
    </row>
    <row r="52" spans="1:12" ht="12.75" hidden="1" customHeight="1">
      <c r="A52" s="80"/>
      <c r="B52" s="80"/>
      <c r="C52" s="61" t="s">
        <v>302</v>
      </c>
      <c r="D52" s="78">
        <v>1427.2</v>
      </c>
      <c r="E52" s="78">
        <v>159.80000000000001</v>
      </c>
      <c r="F52" s="78">
        <f>783.5-207</f>
        <v>576.5</v>
      </c>
      <c r="G52" s="78">
        <v>4128.3999999999996</v>
      </c>
      <c r="H52" s="78">
        <v>829.8</v>
      </c>
      <c r="I52" s="78">
        <v>680.2</v>
      </c>
      <c r="J52" s="78">
        <v>117.4</v>
      </c>
      <c r="K52" s="78">
        <f>J52+I52+H52+G52+F52+E52</f>
        <v>6492.0999999999995</v>
      </c>
      <c r="L52" s="79">
        <v>7919.4</v>
      </c>
    </row>
    <row r="53" spans="1:12" ht="12.75" hidden="1" customHeight="1">
      <c r="A53" s="80"/>
      <c r="B53" s="80"/>
      <c r="C53" s="61"/>
      <c r="D53" s="78"/>
      <c r="E53" s="78"/>
      <c r="F53" s="78"/>
      <c r="G53" s="78"/>
      <c r="H53" s="78"/>
      <c r="I53" s="78"/>
      <c r="J53" s="78"/>
      <c r="K53" s="78"/>
      <c r="L53" s="79"/>
    </row>
    <row r="54" spans="1:12" ht="12.75" hidden="1" customHeight="1">
      <c r="A54" s="80"/>
      <c r="B54" s="80"/>
      <c r="C54" s="61" t="s">
        <v>303</v>
      </c>
      <c r="D54" s="78">
        <v>1518.1</v>
      </c>
      <c r="E54" s="78">
        <v>14</v>
      </c>
      <c r="F54" s="78">
        <f>820.5-168.2</f>
        <v>652.29999999999995</v>
      </c>
      <c r="G54" s="78">
        <v>4297</v>
      </c>
      <c r="H54" s="78">
        <v>877</v>
      </c>
      <c r="I54" s="78">
        <v>479.3</v>
      </c>
      <c r="J54" s="78">
        <v>221.5</v>
      </c>
      <c r="K54" s="78">
        <f>J54+I54+H54+G54+F54+E54</f>
        <v>6541.1</v>
      </c>
      <c r="L54" s="79">
        <v>8059.3</v>
      </c>
    </row>
    <row r="55" spans="1:12" ht="12.75" hidden="1" customHeight="1">
      <c r="A55" s="80"/>
      <c r="B55" s="80"/>
      <c r="C55" s="61"/>
      <c r="D55" s="78"/>
      <c r="E55" s="78"/>
      <c r="F55" s="78"/>
      <c r="G55" s="78"/>
      <c r="H55" s="78"/>
      <c r="I55" s="78"/>
      <c r="J55" s="78"/>
      <c r="K55" s="78"/>
      <c r="L55" s="79"/>
    </row>
    <row r="56" spans="1:12" ht="12.75" hidden="1" customHeight="1">
      <c r="A56" s="80"/>
      <c r="B56" s="80"/>
      <c r="C56" s="61" t="s">
        <v>304</v>
      </c>
      <c r="D56" s="78">
        <v>1586.9</v>
      </c>
      <c r="E56" s="78">
        <v>7.8</v>
      </c>
      <c r="F56" s="78">
        <f>886.7-178.9</f>
        <v>707.80000000000007</v>
      </c>
      <c r="G56" s="78">
        <v>4434.5</v>
      </c>
      <c r="H56" s="78">
        <v>1235.2</v>
      </c>
      <c r="I56" s="78">
        <v>410.2</v>
      </c>
      <c r="J56" s="78">
        <v>260.7</v>
      </c>
      <c r="K56" s="78">
        <f>J56+I56+H56+G56+F56+E56</f>
        <v>7056.2000000000007</v>
      </c>
      <c r="L56" s="79">
        <v>8643.1</v>
      </c>
    </row>
    <row r="57" spans="1:12" ht="12.75" hidden="1" customHeight="1">
      <c r="A57" s="80"/>
      <c r="B57" s="80"/>
      <c r="C57" s="61"/>
      <c r="D57" s="78"/>
      <c r="E57" s="78"/>
      <c r="F57" s="78"/>
      <c r="G57" s="78"/>
      <c r="H57" s="78"/>
      <c r="I57" s="78"/>
      <c r="J57" s="78"/>
      <c r="K57" s="78"/>
      <c r="L57" s="79"/>
    </row>
    <row r="58" spans="1:12" ht="12.75" hidden="1" customHeight="1">
      <c r="A58" s="80"/>
      <c r="B58" s="80"/>
      <c r="C58" s="61" t="s">
        <v>305</v>
      </c>
      <c r="D58" s="78">
        <v>1612.7</v>
      </c>
      <c r="E58" s="78">
        <v>6.6</v>
      </c>
      <c r="F58" s="78">
        <f>848.8-236.1</f>
        <v>612.69999999999993</v>
      </c>
      <c r="G58" s="78">
        <v>4683.1000000000004</v>
      </c>
      <c r="H58" s="78">
        <v>1377.6</v>
      </c>
      <c r="I58" s="78">
        <v>1338.5</v>
      </c>
      <c r="J58" s="78">
        <v>254.2</v>
      </c>
      <c r="K58" s="78">
        <f>J58+I58+H58+G58+F58+E58</f>
        <v>8272.7000000000007</v>
      </c>
      <c r="L58" s="79">
        <v>9885.5</v>
      </c>
    </row>
    <row r="59" spans="1:12" ht="12.75" hidden="1" customHeight="1">
      <c r="A59" s="80"/>
      <c r="B59" s="80"/>
      <c r="C59" s="61"/>
      <c r="D59" s="78"/>
      <c r="E59" s="78"/>
      <c r="F59" s="78"/>
      <c r="G59" s="78"/>
      <c r="H59" s="78"/>
      <c r="I59" s="78"/>
      <c r="J59" s="78"/>
      <c r="K59" s="78"/>
      <c r="L59" s="79"/>
    </row>
    <row r="60" spans="1:12" ht="12.75" hidden="1" customHeight="1">
      <c r="A60" s="80"/>
      <c r="B60" s="80"/>
      <c r="C60" s="61" t="s">
        <v>306</v>
      </c>
      <c r="D60" s="78">
        <v>1662.5</v>
      </c>
      <c r="E60" s="78">
        <v>0.7</v>
      </c>
      <c r="F60" s="78">
        <f>1102.1-494.6</f>
        <v>607.49999999999989</v>
      </c>
      <c r="G60" s="78">
        <v>4470.2</v>
      </c>
      <c r="H60" s="78">
        <v>1269.5999999999999</v>
      </c>
      <c r="I60" s="78">
        <v>1026.7</v>
      </c>
      <c r="J60" s="78">
        <v>307.7</v>
      </c>
      <c r="K60" s="78">
        <f>J60+I60+H60+G60+F60+E60</f>
        <v>7682.4</v>
      </c>
      <c r="L60" s="79">
        <v>9344.9</v>
      </c>
    </row>
    <row r="61" spans="1:12" ht="12.75" hidden="1" customHeight="1">
      <c r="A61" s="80"/>
      <c r="B61" s="80"/>
      <c r="C61" s="61"/>
      <c r="D61" s="78"/>
      <c r="E61" s="78"/>
      <c r="F61" s="78"/>
      <c r="G61" s="78"/>
      <c r="H61" s="78"/>
      <c r="I61" s="78"/>
      <c r="J61" s="78"/>
      <c r="K61" s="78"/>
      <c r="L61" s="79"/>
    </row>
    <row r="62" spans="1:12" ht="12.75" hidden="1" customHeight="1">
      <c r="A62" s="80"/>
      <c r="B62" s="80"/>
      <c r="C62" s="61" t="s">
        <v>307</v>
      </c>
      <c r="D62" s="78">
        <v>1676.1</v>
      </c>
      <c r="E62" s="78">
        <v>4.8</v>
      </c>
      <c r="F62" s="78">
        <f>1513.3-590.6</f>
        <v>922.69999999999993</v>
      </c>
      <c r="G62" s="78">
        <v>4496.5</v>
      </c>
      <c r="H62" s="78">
        <v>1253.8</v>
      </c>
      <c r="I62" s="78">
        <v>1713.9</v>
      </c>
      <c r="J62" s="78">
        <v>475.9</v>
      </c>
      <c r="K62" s="78">
        <f>J62+I62+H62+G62+F62+E62</f>
        <v>8867.6</v>
      </c>
      <c r="L62" s="79">
        <v>10543.7</v>
      </c>
    </row>
    <row r="63" spans="1:12" ht="12.75" hidden="1" customHeight="1">
      <c r="A63" s="80"/>
      <c r="B63" s="80"/>
      <c r="C63" s="61"/>
      <c r="D63" s="78"/>
      <c r="E63" s="78"/>
      <c r="F63" s="78"/>
      <c r="G63" s="78"/>
      <c r="H63" s="78"/>
      <c r="I63" s="78"/>
      <c r="J63" s="78"/>
      <c r="K63" s="78"/>
      <c r="L63" s="79"/>
    </row>
    <row r="64" spans="1:12" ht="12.75" hidden="1" customHeight="1">
      <c r="A64" s="80"/>
      <c r="B64" s="80"/>
      <c r="C64" s="61" t="s">
        <v>308</v>
      </c>
      <c r="D64" s="78">
        <v>1795.9</v>
      </c>
      <c r="E64" s="78">
        <v>2.8</v>
      </c>
      <c r="F64" s="78">
        <f>1584.6-477.2</f>
        <v>1107.3999999999999</v>
      </c>
      <c r="G64" s="78">
        <v>4780</v>
      </c>
      <c r="H64" s="78">
        <v>1248.7</v>
      </c>
      <c r="I64" s="78">
        <v>1810.9</v>
      </c>
      <c r="J64" s="78">
        <v>334</v>
      </c>
      <c r="K64" s="78">
        <f>J64+I64+H64+G64+F64+E64</f>
        <v>9283.7999999999993</v>
      </c>
      <c r="L64" s="79">
        <v>11079.8</v>
      </c>
    </row>
    <row r="65" spans="1:12" ht="12.75" hidden="1" customHeight="1">
      <c r="A65" s="80"/>
      <c r="B65" s="80"/>
      <c r="C65" s="61"/>
      <c r="D65" s="78"/>
      <c r="E65" s="78"/>
      <c r="F65" s="78"/>
      <c r="G65" s="78"/>
      <c r="H65" s="78"/>
      <c r="I65" s="78"/>
      <c r="J65" s="78"/>
      <c r="K65" s="78"/>
      <c r="L65" s="79"/>
    </row>
    <row r="66" spans="1:12" ht="12.75" hidden="1" customHeight="1">
      <c r="A66" s="80"/>
      <c r="B66" s="80"/>
      <c r="C66" s="61" t="s">
        <v>311</v>
      </c>
      <c r="D66" s="78">
        <v>1750.6</v>
      </c>
      <c r="E66" s="78">
        <v>9.5</v>
      </c>
      <c r="F66" s="78">
        <f>1720.6-968.5</f>
        <v>752.09999999999991</v>
      </c>
      <c r="G66" s="78">
        <v>4645.8</v>
      </c>
      <c r="H66" s="78">
        <v>1261.5999999999999</v>
      </c>
      <c r="I66" s="78">
        <v>1341.4</v>
      </c>
      <c r="J66" s="78">
        <v>320.2</v>
      </c>
      <c r="K66" s="78">
        <f>J66+I66+H66+G66+F66+E66</f>
        <v>8330.6</v>
      </c>
      <c r="L66" s="79">
        <v>10081.200000000001</v>
      </c>
    </row>
    <row r="67" spans="1:12" ht="12.75" hidden="1" customHeight="1">
      <c r="A67" s="80"/>
      <c r="B67" s="80"/>
      <c r="C67" s="57"/>
      <c r="D67" s="78"/>
      <c r="E67" s="78"/>
      <c r="F67" s="78"/>
      <c r="G67" s="78"/>
      <c r="H67" s="78"/>
      <c r="I67" s="78"/>
      <c r="J67" s="78"/>
      <c r="K67" s="78"/>
      <c r="L67" s="79"/>
    </row>
    <row r="68" spans="1:12" ht="12.75" hidden="1" customHeight="1">
      <c r="A68" s="80"/>
      <c r="B68" s="80"/>
      <c r="C68" s="73" t="s">
        <v>313</v>
      </c>
      <c r="D68" s="78"/>
      <c r="E68" s="78"/>
      <c r="F68" s="78"/>
      <c r="G68" s="78"/>
      <c r="H68" s="78"/>
      <c r="I68" s="78"/>
      <c r="J68" s="78"/>
      <c r="K68" s="78"/>
      <c r="L68" s="79"/>
    </row>
    <row r="69" spans="1:12" ht="12.75" hidden="1" customHeight="1">
      <c r="A69" s="80"/>
      <c r="B69" s="80"/>
      <c r="C69" s="57"/>
      <c r="D69" s="78"/>
      <c r="E69" s="78"/>
      <c r="F69" s="78"/>
      <c r="G69" s="78"/>
      <c r="H69" s="78"/>
      <c r="I69" s="78"/>
      <c r="J69" s="78"/>
      <c r="K69" s="78"/>
      <c r="L69" s="79"/>
    </row>
    <row r="70" spans="1:12" ht="12.75" hidden="1" customHeight="1">
      <c r="A70" s="80"/>
      <c r="B70" s="80"/>
      <c r="C70" s="61" t="s">
        <v>298</v>
      </c>
      <c r="D70" s="81">
        <v>1625</v>
      </c>
      <c r="E70" s="81">
        <v>4.9000000000000004</v>
      </c>
      <c r="F70" s="81">
        <f>1676.5-725.2</f>
        <v>951.3</v>
      </c>
      <c r="G70" s="81">
        <v>5109</v>
      </c>
      <c r="H70" s="81">
        <v>1314.5</v>
      </c>
      <c r="I70" s="81">
        <v>1355.3</v>
      </c>
      <c r="J70" s="81">
        <v>374</v>
      </c>
      <c r="K70" s="81">
        <f>J70+I70+H70+G70+F70+E70</f>
        <v>9109</v>
      </c>
      <c r="L70" s="82">
        <v>10734</v>
      </c>
    </row>
    <row r="71" spans="1:12" ht="12.75" hidden="1" customHeight="1">
      <c r="A71" s="80"/>
      <c r="B71" s="80"/>
      <c r="C71" s="61"/>
      <c r="D71" s="81"/>
      <c r="E71" s="81"/>
      <c r="F71" s="81"/>
      <c r="G71" s="81"/>
      <c r="H71" s="81"/>
      <c r="I71" s="81"/>
      <c r="J71" s="81"/>
      <c r="K71" s="81"/>
      <c r="L71" s="82"/>
    </row>
    <row r="72" spans="1:12" ht="12.75" hidden="1" customHeight="1">
      <c r="A72" s="80"/>
      <c r="B72" s="80"/>
      <c r="C72" s="61" t="s">
        <v>299</v>
      </c>
      <c r="D72" s="81">
        <v>1668</v>
      </c>
      <c r="E72" s="81">
        <v>5.0999999999999996</v>
      </c>
      <c r="F72" s="81">
        <f>1220.9-573.2</f>
        <v>647.70000000000005</v>
      </c>
      <c r="G72" s="81">
        <v>4565.8999999999996</v>
      </c>
      <c r="H72" s="81">
        <v>1466.5</v>
      </c>
      <c r="I72" s="81">
        <v>827.7</v>
      </c>
      <c r="J72" s="81">
        <v>412.8</v>
      </c>
      <c r="K72" s="81">
        <f>J72+I72+H72+G72+F72+E72</f>
        <v>7925.7</v>
      </c>
      <c r="L72" s="82">
        <v>9593.7000000000007</v>
      </c>
    </row>
    <row r="73" spans="1:12" ht="12.75" hidden="1" customHeight="1">
      <c r="A73" s="80"/>
      <c r="B73" s="80"/>
      <c r="C73" s="61"/>
      <c r="D73" s="81"/>
      <c r="E73" s="81"/>
      <c r="F73" s="81"/>
      <c r="G73" s="81"/>
      <c r="H73" s="81"/>
      <c r="I73" s="81"/>
      <c r="J73" s="81"/>
      <c r="K73" s="81"/>
      <c r="L73" s="82"/>
    </row>
    <row r="74" spans="1:12" ht="12.75" hidden="1" customHeight="1">
      <c r="A74" s="80"/>
      <c r="B74" s="80"/>
      <c r="C74" s="61" t="s">
        <v>300</v>
      </c>
      <c r="D74" s="81">
        <v>1718.1</v>
      </c>
      <c r="E74" s="81">
        <v>0.5</v>
      </c>
      <c r="F74" s="81">
        <f>1630.5-673</f>
        <v>957.5</v>
      </c>
      <c r="G74" s="81">
        <v>4220.6000000000004</v>
      </c>
      <c r="H74" s="81">
        <v>1446.5</v>
      </c>
      <c r="I74" s="81">
        <v>746.1</v>
      </c>
      <c r="J74" s="81">
        <v>332.4</v>
      </c>
      <c r="K74" s="81">
        <f>J74+I74+H74+G74+F74+E74</f>
        <v>7703.6</v>
      </c>
      <c r="L74" s="82">
        <v>9421.6</v>
      </c>
    </row>
    <row r="75" spans="1:12" ht="12.75" hidden="1" customHeight="1">
      <c r="A75" s="80"/>
      <c r="B75" s="80"/>
      <c r="C75" s="61"/>
      <c r="D75" s="81"/>
      <c r="E75" s="81"/>
      <c r="F75" s="81"/>
      <c r="G75" s="81"/>
      <c r="H75" s="81"/>
      <c r="I75" s="81"/>
      <c r="J75" s="81"/>
      <c r="K75" s="81"/>
      <c r="L75" s="82"/>
    </row>
    <row r="76" spans="1:12" ht="12.75" hidden="1" customHeight="1">
      <c r="A76" s="80"/>
      <c r="B76" s="80"/>
      <c r="C76" s="61" t="s">
        <v>301</v>
      </c>
      <c r="D76" s="81">
        <v>1766.9</v>
      </c>
      <c r="E76" s="81">
        <v>0.7</v>
      </c>
      <c r="F76" s="81">
        <f>1580.5-528.3</f>
        <v>1052.2</v>
      </c>
      <c r="G76" s="81">
        <v>5073.3999999999996</v>
      </c>
      <c r="H76" s="81">
        <v>1486.4</v>
      </c>
      <c r="I76" s="81">
        <v>1061</v>
      </c>
      <c r="J76" s="81">
        <v>323.39999999999998</v>
      </c>
      <c r="K76" s="81">
        <f>J76+I76+H76+G76+F76+E76</f>
        <v>8997.1</v>
      </c>
      <c r="L76" s="82">
        <v>10764</v>
      </c>
    </row>
    <row r="77" spans="1:12" ht="12.75" hidden="1" customHeight="1">
      <c r="A77" s="80"/>
      <c r="B77" s="80"/>
      <c r="C77" s="61"/>
      <c r="D77" s="81"/>
      <c r="E77" s="81"/>
      <c r="F77" s="81"/>
      <c r="G77" s="81"/>
      <c r="H77" s="81"/>
      <c r="I77" s="81"/>
      <c r="J77" s="81"/>
      <c r="K77" s="81"/>
      <c r="L77" s="82"/>
    </row>
    <row r="78" spans="1:12" ht="12.75" hidden="1" customHeight="1">
      <c r="A78" s="80"/>
      <c r="B78" s="80"/>
      <c r="C78" s="61" t="s">
        <v>302</v>
      </c>
      <c r="D78" s="81">
        <v>1813.9</v>
      </c>
      <c r="E78" s="81">
        <v>10.3</v>
      </c>
      <c r="F78" s="81">
        <f>1469.9-485.7</f>
        <v>984.2</v>
      </c>
      <c r="G78" s="81">
        <v>5501</v>
      </c>
      <c r="H78" s="81">
        <v>1298.3</v>
      </c>
      <c r="I78" s="81">
        <v>1023.1</v>
      </c>
      <c r="J78" s="81">
        <v>393.4</v>
      </c>
      <c r="K78" s="81">
        <f>J78+I78+H78+G78+F78+E78</f>
        <v>9210.2999999999993</v>
      </c>
      <c r="L78" s="82">
        <v>11024.2</v>
      </c>
    </row>
    <row r="79" spans="1:12" ht="12.75" hidden="1" customHeight="1">
      <c r="A79" s="80"/>
      <c r="B79" s="80"/>
      <c r="C79" s="61"/>
      <c r="D79" s="81"/>
      <c r="E79" s="81"/>
      <c r="F79" s="81"/>
      <c r="G79" s="81"/>
      <c r="H79" s="81"/>
      <c r="I79" s="81"/>
      <c r="J79" s="81"/>
      <c r="K79" s="81"/>
      <c r="L79" s="82"/>
    </row>
    <row r="80" spans="1:12" ht="12.75" hidden="1" customHeight="1">
      <c r="A80" s="80"/>
      <c r="B80" s="80"/>
      <c r="C80" s="61" t="s">
        <v>303</v>
      </c>
      <c r="D80" s="81">
        <v>2010.6</v>
      </c>
      <c r="E80" s="81">
        <v>3.2</v>
      </c>
      <c r="F80" s="81">
        <f>1507.6-388</f>
        <v>1119.5999999999999</v>
      </c>
      <c r="G80" s="81">
        <v>4930</v>
      </c>
      <c r="H80" s="81">
        <v>1306.0999999999999</v>
      </c>
      <c r="I80" s="81">
        <v>1762.9</v>
      </c>
      <c r="J80" s="81">
        <v>465.2</v>
      </c>
      <c r="K80" s="81">
        <f>J80+I80+H80+G80+F80+E80</f>
        <v>9587.0000000000018</v>
      </c>
      <c r="L80" s="82">
        <v>11597.6</v>
      </c>
    </row>
    <row r="81" spans="1:12" ht="12.75" hidden="1" customHeight="1">
      <c r="A81" s="80"/>
      <c r="B81" s="80"/>
      <c r="C81" s="61"/>
      <c r="D81" s="81"/>
      <c r="E81" s="81"/>
      <c r="F81" s="81"/>
      <c r="G81" s="81"/>
      <c r="H81" s="81"/>
      <c r="I81" s="81"/>
      <c r="J81" s="81"/>
      <c r="K81" s="81"/>
      <c r="L81" s="82"/>
    </row>
    <row r="82" spans="1:12" ht="12.75" hidden="1" customHeight="1">
      <c r="A82" s="80"/>
      <c r="B82" s="80"/>
      <c r="C82" s="61" t="s">
        <v>304</v>
      </c>
      <c r="D82" s="81">
        <v>2046.3</v>
      </c>
      <c r="E82" s="81">
        <v>10.6</v>
      </c>
      <c r="F82" s="81">
        <f>2304.3-530.3</f>
        <v>1774.0000000000002</v>
      </c>
      <c r="G82" s="81">
        <v>5841.4</v>
      </c>
      <c r="H82" s="81">
        <v>1269.5</v>
      </c>
      <c r="I82" s="81">
        <v>1613.7</v>
      </c>
      <c r="J82" s="81">
        <v>510.6</v>
      </c>
      <c r="K82" s="81">
        <f>J82+I82+H82+G82+F82+E82</f>
        <v>11019.800000000001</v>
      </c>
      <c r="L82" s="82">
        <v>13066.1</v>
      </c>
    </row>
    <row r="83" spans="1:12" ht="12.75" hidden="1" customHeight="1">
      <c r="A83" s="80"/>
      <c r="B83" s="80"/>
      <c r="C83" s="61"/>
      <c r="D83" s="81"/>
      <c r="E83" s="81"/>
      <c r="F83" s="81"/>
      <c r="G83" s="81"/>
      <c r="H83" s="81"/>
      <c r="I83" s="81"/>
      <c r="J83" s="81"/>
      <c r="K83" s="81"/>
      <c r="L83" s="82"/>
    </row>
    <row r="84" spans="1:12" ht="12.75" hidden="1" customHeight="1">
      <c r="A84" s="80"/>
      <c r="B84" s="80"/>
      <c r="C84" s="61" t="s">
        <v>305</v>
      </c>
      <c r="D84" s="81">
        <v>2182</v>
      </c>
      <c r="E84" s="81">
        <v>5.2</v>
      </c>
      <c r="F84" s="81">
        <f>2184.1-828.4</f>
        <v>1355.6999999999998</v>
      </c>
      <c r="G84" s="81">
        <v>5506.5</v>
      </c>
      <c r="H84" s="81">
        <v>1443.7</v>
      </c>
      <c r="I84" s="81">
        <v>1715.2</v>
      </c>
      <c r="J84" s="81">
        <f>522.6+6.7</f>
        <v>529.30000000000007</v>
      </c>
      <c r="K84" s="81">
        <f>J84+I84+H84+G84+F84+E84</f>
        <v>10555.600000000002</v>
      </c>
      <c r="L84" s="82">
        <v>12737.6</v>
      </c>
    </row>
    <row r="85" spans="1:12" ht="12.75" hidden="1" customHeight="1">
      <c r="A85" s="80"/>
      <c r="B85" s="80"/>
      <c r="C85" s="61"/>
      <c r="D85" s="81"/>
      <c r="E85" s="81"/>
      <c r="F85" s="81"/>
      <c r="G85" s="81"/>
      <c r="H85" s="81"/>
      <c r="I85" s="81"/>
      <c r="J85" s="81"/>
      <c r="K85" s="81"/>
      <c r="L85" s="82"/>
    </row>
    <row r="86" spans="1:12" ht="12.75" hidden="1" customHeight="1">
      <c r="A86" s="80"/>
      <c r="B86" s="80"/>
      <c r="C86" s="61" t="s">
        <v>306</v>
      </c>
      <c r="D86" s="81">
        <v>2182.6999999999998</v>
      </c>
      <c r="E86" s="81">
        <v>16.100000000000001</v>
      </c>
      <c r="F86" s="81">
        <f>1573.8-590.4</f>
        <v>983.4</v>
      </c>
      <c r="G86" s="81">
        <v>6330.6</v>
      </c>
      <c r="H86" s="81">
        <v>1551.1</v>
      </c>
      <c r="I86" s="81">
        <v>1851.1</v>
      </c>
      <c r="J86" s="81">
        <f>500.3+3.8</f>
        <v>504.1</v>
      </c>
      <c r="K86" s="81">
        <f>J86+I86+H86+G86+F86+E86</f>
        <v>11236.4</v>
      </c>
      <c r="L86" s="82">
        <v>13419</v>
      </c>
    </row>
    <row r="87" spans="1:12" ht="12.75" hidden="1" customHeight="1">
      <c r="A87" s="80"/>
      <c r="B87" s="80"/>
      <c r="C87" s="61"/>
      <c r="D87" s="81"/>
      <c r="E87" s="81"/>
      <c r="F87" s="81"/>
      <c r="G87" s="81"/>
      <c r="H87" s="81"/>
      <c r="I87" s="81"/>
      <c r="J87" s="81"/>
      <c r="K87" s="81"/>
      <c r="L87" s="82"/>
    </row>
    <row r="88" spans="1:12" ht="12.75" hidden="1" customHeight="1">
      <c r="A88" s="80"/>
      <c r="B88" s="80"/>
      <c r="C88" s="61" t="s">
        <v>307</v>
      </c>
      <c r="D88" s="81">
        <v>2198.6</v>
      </c>
      <c r="E88" s="81">
        <v>3.9</v>
      </c>
      <c r="F88" s="81">
        <v>167.4</v>
      </c>
      <c r="G88" s="81">
        <v>5884.4</v>
      </c>
      <c r="H88" s="81">
        <v>1578.8</v>
      </c>
      <c r="I88" s="81">
        <v>1467.5</v>
      </c>
      <c r="J88" s="81">
        <f>459.8+20</f>
        <v>479.8</v>
      </c>
      <c r="K88" s="81">
        <f>J88+I88+H88+G88+F88+E88</f>
        <v>9581.7999999999993</v>
      </c>
      <c r="L88" s="82">
        <v>11780.4</v>
      </c>
    </row>
    <row r="89" spans="1:12" ht="12.75" hidden="1" customHeight="1">
      <c r="A89" s="80"/>
      <c r="B89" s="80"/>
      <c r="C89" s="61"/>
      <c r="D89" s="81"/>
      <c r="E89" s="81"/>
      <c r="F89" s="81"/>
      <c r="G89" s="81"/>
      <c r="H89" s="81"/>
      <c r="I89" s="81"/>
      <c r="J89" s="81"/>
      <c r="K89" s="81"/>
      <c r="L89" s="82"/>
    </row>
    <row r="90" spans="1:12" ht="12.75" hidden="1" customHeight="1">
      <c r="A90" s="80"/>
      <c r="B90" s="80"/>
      <c r="C90" s="61" t="s">
        <v>308</v>
      </c>
      <c r="D90" s="81">
        <v>2467</v>
      </c>
      <c r="E90" s="81">
        <v>23.1</v>
      </c>
      <c r="F90" s="81">
        <v>0</v>
      </c>
      <c r="G90" s="81">
        <v>6119.6</v>
      </c>
      <c r="H90" s="81">
        <v>1333</v>
      </c>
      <c r="I90" s="81">
        <v>1339.6</v>
      </c>
      <c r="J90" s="81">
        <f>450.8+8.4</f>
        <v>459.2</v>
      </c>
      <c r="K90" s="81">
        <f>J90+I90+H90+G90+F90+E90</f>
        <v>9274.5000000000018</v>
      </c>
      <c r="L90" s="82">
        <v>11741.6</v>
      </c>
    </row>
    <row r="91" spans="1:12" ht="12.75" hidden="1" customHeight="1">
      <c r="A91" s="80"/>
      <c r="B91" s="80"/>
      <c r="C91" s="61"/>
      <c r="D91" s="81"/>
      <c r="E91" s="81"/>
      <c r="F91" s="81"/>
      <c r="G91" s="81"/>
      <c r="H91" s="81"/>
      <c r="I91" s="81"/>
      <c r="J91" s="81"/>
      <c r="K91" s="81"/>
      <c r="L91" s="82"/>
    </row>
    <row r="92" spans="1:12" ht="12.75" hidden="1" customHeight="1">
      <c r="A92" s="80"/>
      <c r="B92" s="80"/>
      <c r="C92" s="61" t="s">
        <v>311</v>
      </c>
      <c r="D92" s="81">
        <v>2342.4</v>
      </c>
      <c r="E92" s="81">
        <v>20.8</v>
      </c>
      <c r="F92" s="81">
        <v>0</v>
      </c>
      <c r="G92" s="81">
        <v>7242.6</v>
      </c>
      <c r="H92" s="81">
        <v>1305</v>
      </c>
      <c r="I92" s="81">
        <v>1842.6</v>
      </c>
      <c r="J92" s="81">
        <f>24.9+494.8</f>
        <v>519.70000000000005</v>
      </c>
      <c r="K92" s="81">
        <f>J92+I92+H92+G92+F92+E92</f>
        <v>10930.7</v>
      </c>
      <c r="L92" s="82">
        <v>13273.1</v>
      </c>
    </row>
    <row r="93" spans="1:12" ht="12.75" hidden="1" customHeight="1">
      <c r="A93" s="80"/>
      <c r="B93" s="80"/>
      <c r="C93" s="61"/>
      <c r="D93" s="81"/>
      <c r="E93" s="81"/>
      <c r="F93" s="81"/>
      <c r="G93" s="81"/>
      <c r="H93" s="81"/>
      <c r="I93" s="81"/>
      <c r="J93" s="81"/>
      <c r="K93" s="81"/>
      <c r="L93" s="82"/>
    </row>
    <row r="94" spans="1:12" ht="12.75" hidden="1" customHeight="1">
      <c r="A94" s="80"/>
      <c r="B94" s="80"/>
      <c r="C94" s="73" t="s">
        <v>314</v>
      </c>
      <c r="D94" s="81"/>
      <c r="E94" s="81"/>
      <c r="F94" s="81"/>
      <c r="G94" s="81"/>
      <c r="H94" s="81"/>
      <c r="I94" s="81"/>
      <c r="J94" s="81"/>
      <c r="K94" s="81"/>
      <c r="L94" s="82"/>
    </row>
    <row r="95" spans="1:12" ht="12.75" hidden="1" customHeight="1">
      <c r="A95" s="80"/>
      <c r="B95" s="80"/>
      <c r="C95" s="57"/>
      <c r="D95" s="81"/>
      <c r="E95" s="81"/>
      <c r="F95" s="81"/>
      <c r="G95" s="81"/>
      <c r="H95" s="81"/>
      <c r="I95" s="81"/>
      <c r="J95" s="81"/>
      <c r="K95" s="81"/>
      <c r="L95" s="82"/>
    </row>
    <row r="96" spans="1:12" ht="12.75" hidden="1" customHeight="1">
      <c r="A96" s="80"/>
      <c r="B96" s="80"/>
      <c r="C96" s="61" t="s">
        <v>298</v>
      </c>
      <c r="D96" s="81">
        <v>2233.1</v>
      </c>
      <c r="E96" s="81">
        <v>14.2</v>
      </c>
      <c r="F96" s="81">
        <v>0</v>
      </c>
      <c r="G96" s="81">
        <v>6654.8</v>
      </c>
      <c r="H96" s="81">
        <v>1426.2</v>
      </c>
      <c r="I96" s="81">
        <v>1498.2</v>
      </c>
      <c r="J96" s="81">
        <v>560.4</v>
      </c>
      <c r="K96" s="81">
        <f>J96+I96+H96+G96+F96+E96</f>
        <v>10153.800000000001</v>
      </c>
      <c r="L96" s="82">
        <v>12386.9</v>
      </c>
    </row>
    <row r="97" spans="1:12" ht="12.75" hidden="1" customHeight="1">
      <c r="A97" s="80"/>
      <c r="B97" s="80"/>
      <c r="C97" s="61"/>
      <c r="D97" s="81"/>
      <c r="E97" s="81"/>
      <c r="F97" s="81"/>
      <c r="G97" s="81"/>
      <c r="H97" s="81"/>
      <c r="I97" s="81"/>
      <c r="J97" s="81"/>
      <c r="K97" s="81"/>
      <c r="L97" s="82"/>
    </row>
    <row r="98" spans="1:12" ht="12.75" hidden="1" customHeight="1">
      <c r="A98" s="80"/>
      <c r="B98" s="80"/>
      <c r="C98" s="61" t="s">
        <v>299</v>
      </c>
      <c r="D98" s="81">
        <v>2345.1</v>
      </c>
      <c r="E98" s="81">
        <v>16.100000000000001</v>
      </c>
      <c r="F98" s="81">
        <f>922.7-44</f>
        <v>878.7</v>
      </c>
      <c r="G98" s="81">
        <v>7144.5</v>
      </c>
      <c r="H98" s="81">
        <v>1069.9000000000001</v>
      </c>
      <c r="I98" s="81">
        <v>1317.2</v>
      </c>
      <c r="J98" s="81">
        <f>401+112.4</f>
        <v>513.4</v>
      </c>
      <c r="K98" s="81">
        <f>J98+I98+H98+G98+F98+E98</f>
        <v>10939.800000000001</v>
      </c>
      <c r="L98" s="82">
        <v>13284.9</v>
      </c>
    </row>
    <row r="99" spans="1:12" ht="12.75" hidden="1" customHeight="1">
      <c r="A99" s="80"/>
      <c r="B99" s="80"/>
      <c r="C99" s="61"/>
      <c r="D99" s="81"/>
      <c r="E99" s="81"/>
      <c r="F99" s="81"/>
      <c r="G99" s="81"/>
      <c r="H99" s="81"/>
      <c r="I99" s="81"/>
      <c r="J99" s="81"/>
      <c r="K99" s="81"/>
      <c r="L99" s="82"/>
    </row>
    <row r="100" spans="1:12" ht="12.75" hidden="1" customHeight="1">
      <c r="A100" s="80"/>
      <c r="B100" s="80"/>
      <c r="C100" s="61" t="s">
        <v>300</v>
      </c>
      <c r="D100" s="81">
        <v>2474</v>
      </c>
      <c r="E100" s="81">
        <v>14.8</v>
      </c>
      <c r="F100" s="81">
        <f>1012.3-128.9</f>
        <v>883.4</v>
      </c>
      <c r="G100" s="81">
        <v>7382.5</v>
      </c>
      <c r="H100" s="81">
        <v>1404.2</v>
      </c>
      <c r="I100" s="81">
        <v>1301.8</v>
      </c>
      <c r="J100" s="81">
        <f>421+116.4</f>
        <v>537.4</v>
      </c>
      <c r="K100" s="81">
        <f>J100+I100+H100+G100+F100+E100</f>
        <v>11524.099999999999</v>
      </c>
      <c r="L100" s="82">
        <v>13998.2</v>
      </c>
    </row>
    <row r="101" spans="1:12" ht="12.75" hidden="1" customHeight="1">
      <c r="A101" s="80"/>
      <c r="B101" s="80"/>
      <c r="C101" s="61"/>
      <c r="D101" s="81"/>
      <c r="E101" s="81"/>
      <c r="F101" s="81"/>
      <c r="G101" s="81"/>
      <c r="H101" s="81"/>
      <c r="I101" s="81"/>
      <c r="J101" s="81"/>
      <c r="K101" s="81"/>
      <c r="L101" s="82"/>
    </row>
    <row r="102" spans="1:12" ht="12.75" hidden="1" customHeight="1">
      <c r="A102" s="80"/>
      <c r="B102" s="80"/>
      <c r="C102" s="61" t="s">
        <v>301</v>
      </c>
      <c r="D102" s="81">
        <v>2407.1</v>
      </c>
      <c r="E102" s="81">
        <v>5.6</v>
      </c>
      <c r="F102" s="81">
        <f>1595.2-213.4</f>
        <v>1381.8</v>
      </c>
      <c r="G102" s="81">
        <v>7370.9</v>
      </c>
      <c r="H102" s="81">
        <v>1660</v>
      </c>
      <c r="I102" s="81">
        <v>1582.3</v>
      </c>
      <c r="J102" s="81">
        <f>434.3+15.1</f>
        <v>449.40000000000003</v>
      </c>
      <c r="K102" s="81">
        <f>J102+I102+H102+G102+F102+E102</f>
        <v>12449.999999999998</v>
      </c>
      <c r="L102" s="82">
        <v>14857.1</v>
      </c>
    </row>
    <row r="103" spans="1:12" ht="12.75" hidden="1" customHeight="1">
      <c r="A103" s="80"/>
      <c r="B103" s="80"/>
      <c r="C103" s="61"/>
      <c r="D103" s="81"/>
      <c r="E103" s="81"/>
      <c r="F103" s="81"/>
      <c r="G103" s="81"/>
      <c r="H103" s="81"/>
      <c r="I103" s="81"/>
      <c r="J103" s="81"/>
      <c r="K103" s="81"/>
      <c r="L103" s="82"/>
    </row>
    <row r="104" spans="1:12" ht="12.75" hidden="1" customHeight="1">
      <c r="A104" s="80"/>
      <c r="B104" s="80"/>
      <c r="C104" s="61" t="s">
        <v>302</v>
      </c>
      <c r="D104" s="81">
        <v>2521.1999999999998</v>
      </c>
      <c r="E104" s="81">
        <v>7.3</v>
      </c>
      <c r="F104" s="81">
        <f>1515.8-238.2</f>
        <v>1277.5999999999999</v>
      </c>
      <c r="G104" s="81">
        <v>7733</v>
      </c>
      <c r="H104" s="81">
        <v>2076.9</v>
      </c>
      <c r="I104" s="81">
        <v>1519.1</v>
      </c>
      <c r="J104" s="81">
        <f>400.6+15.1</f>
        <v>415.70000000000005</v>
      </c>
      <c r="K104" s="81">
        <f>J104+I104+H104+G104+F104+E104</f>
        <v>13029.6</v>
      </c>
      <c r="L104" s="82">
        <v>15550.8</v>
      </c>
    </row>
    <row r="105" spans="1:12" ht="12.75" hidden="1" customHeight="1">
      <c r="A105" s="80"/>
      <c r="B105" s="80"/>
      <c r="C105" s="61"/>
      <c r="D105" s="81"/>
      <c r="E105" s="81"/>
      <c r="F105" s="81"/>
      <c r="G105" s="81"/>
      <c r="H105" s="81"/>
      <c r="I105" s="81"/>
      <c r="J105" s="81"/>
      <c r="K105" s="81"/>
      <c r="L105" s="82"/>
    </row>
    <row r="106" spans="1:12" ht="12.75" hidden="1" customHeight="1">
      <c r="A106" s="80"/>
      <c r="B106" s="80"/>
      <c r="C106" s="61" t="s">
        <v>303</v>
      </c>
      <c r="D106" s="81">
        <v>2565.1999999999998</v>
      </c>
      <c r="E106" s="81">
        <v>5.5</v>
      </c>
      <c r="F106" s="81">
        <f>1072.5-356.5</f>
        <v>716</v>
      </c>
      <c r="G106" s="81">
        <v>8166.9</v>
      </c>
      <c r="H106" s="81">
        <v>1640.2</v>
      </c>
      <c r="I106" s="81">
        <v>1201.3</v>
      </c>
      <c r="J106" s="81">
        <f>433.2+7.3</f>
        <v>440.5</v>
      </c>
      <c r="K106" s="81">
        <f>J106+I106+H106+G106+F106+E106</f>
        <v>12170.4</v>
      </c>
      <c r="L106" s="82">
        <v>14735.6</v>
      </c>
    </row>
    <row r="107" spans="1:12" ht="12.75" hidden="1" customHeight="1">
      <c r="A107" s="80"/>
      <c r="B107" s="80"/>
      <c r="C107" s="61"/>
      <c r="D107" s="81"/>
      <c r="E107" s="81"/>
      <c r="F107" s="81"/>
      <c r="G107" s="81"/>
      <c r="H107" s="81"/>
      <c r="I107" s="81"/>
      <c r="J107" s="81"/>
      <c r="K107" s="81"/>
      <c r="L107" s="82"/>
    </row>
    <row r="108" spans="1:12" ht="12.75" hidden="1" customHeight="1">
      <c r="C108" s="61" t="s">
        <v>304</v>
      </c>
      <c r="D108" s="81">
        <v>2738.1</v>
      </c>
      <c r="E108" s="81">
        <v>8.6</v>
      </c>
      <c r="F108" s="81">
        <v>839.8</v>
      </c>
      <c r="G108" s="81">
        <f>9299.5-1675.1</f>
        <v>7624.4</v>
      </c>
      <c r="H108" s="81">
        <v>1675.1</v>
      </c>
      <c r="I108" s="81">
        <f>1672.1-441.5</f>
        <v>1230.5999999999999</v>
      </c>
      <c r="J108" s="81">
        <f>434.5+7</f>
        <v>441.5</v>
      </c>
      <c r="K108" s="81">
        <f>J108+I108+H108+G108+F108+E108</f>
        <v>11819.999999999998</v>
      </c>
      <c r="L108" s="82">
        <v>14558.1</v>
      </c>
    </row>
    <row r="109" spans="1:12" ht="12.75" hidden="1" customHeight="1">
      <c r="C109" s="61"/>
      <c r="D109" s="81"/>
      <c r="E109" s="81"/>
      <c r="F109" s="81"/>
      <c r="G109" s="81"/>
      <c r="H109" s="81"/>
      <c r="I109" s="81"/>
      <c r="J109" s="81"/>
      <c r="K109" s="81"/>
      <c r="L109" s="82"/>
    </row>
    <row r="110" spans="1:12" ht="12.75" hidden="1" customHeight="1">
      <c r="C110" s="61" t="s">
        <v>305</v>
      </c>
      <c r="D110" s="81">
        <v>2922.7</v>
      </c>
      <c r="E110" s="81">
        <v>7.8</v>
      </c>
      <c r="F110" s="81">
        <v>1197.5</v>
      </c>
      <c r="G110" s="81">
        <f>9776.9-1822.4</f>
        <v>7954.5</v>
      </c>
      <c r="H110" s="81">
        <v>1822.4</v>
      </c>
      <c r="I110" s="81">
        <f>1901.8-577.3</f>
        <v>1324.5</v>
      </c>
      <c r="J110" s="81">
        <f>550.1+27.2</f>
        <v>577.30000000000007</v>
      </c>
      <c r="K110" s="81">
        <f>J110+I110+H110+G110+F110+E110</f>
        <v>12884</v>
      </c>
      <c r="L110" s="82">
        <v>15806.7</v>
      </c>
    </row>
    <row r="111" spans="1:12" ht="12.75" hidden="1" customHeight="1">
      <c r="C111" s="61"/>
      <c r="D111" s="81"/>
      <c r="E111" s="81"/>
      <c r="F111" s="81"/>
      <c r="G111" s="81"/>
      <c r="H111" s="81"/>
      <c r="I111" s="81"/>
      <c r="J111" s="81"/>
      <c r="K111" s="81"/>
      <c r="L111" s="82"/>
    </row>
    <row r="112" spans="1:12" ht="12.75" hidden="1" customHeight="1">
      <c r="C112" s="61" t="s">
        <v>306</v>
      </c>
      <c r="D112" s="81">
        <v>2819</v>
      </c>
      <c r="E112" s="81">
        <v>10.8</v>
      </c>
      <c r="F112" s="81">
        <v>1434.1</v>
      </c>
      <c r="G112" s="81">
        <f>10049.1-2039.1</f>
        <v>8010</v>
      </c>
      <c r="H112" s="81">
        <v>2039.1</v>
      </c>
      <c r="I112" s="81">
        <f>1977.7-693</f>
        <v>1284.7</v>
      </c>
      <c r="J112" s="81">
        <f>661.2+31.8</f>
        <v>693</v>
      </c>
      <c r="K112" s="81">
        <f>J112+I112+H112+G112+F112+E112</f>
        <v>13471.699999999999</v>
      </c>
      <c r="L112" s="82">
        <v>16290.7</v>
      </c>
    </row>
    <row r="113" spans="3:12" ht="12.75" hidden="1" customHeight="1">
      <c r="C113" s="61"/>
      <c r="D113" s="81"/>
      <c r="E113" s="81"/>
      <c r="F113" s="81"/>
      <c r="G113" s="81"/>
      <c r="H113" s="81"/>
      <c r="I113" s="81"/>
      <c r="J113" s="81"/>
      <c r="K113" s="81"/>
      <c r="L113" s="82"/>
    </row>
    <row r="114" spans="3:12" ht="12.75" hidden="1" customHeight="1">
      <c r="C114" s="61" t="s">
        <v>307</v>
      </c>
      <c r="D114" s="81">
        <v>2871.1</v>
      </c>
      <c r="E114" s="81">
        <v>22.1</v>
      </c>
      <c r="F114" s="81">
        <v>1459.5</v>
      </c>
      <c r="G114" s="81">
        <f>10821-1885.4</f>
        <v>8935.6</v>
      </c>
      <c r="H114" s="81">
        <v>1885.4</v>
      </c>
      <c r="I114" s="81">
        <f>2132.9-587</f>
        <v>1545.9</v>
      </c>
      <c r="J114" s="81">
        <f>577.6+9.4</f>
        <v>587</v>
      </c>
      <c r="K114" s="81">
        <f>J114+I114+H114+G114+F114+E114</f>
        <v>14435.500000000002</v>
      </c>
      <c r="L114" s="82">
        <v>17306.7</v>
      </c>
    </row>
    <row r="115" spans="3:12" ht="12.75" hidden="1" customHeight="1">
      <c r="C115" s="61"/>
      <c r="D115" s="81"/>
      <c r="E115" s="81"/>
      <c r="F115" s="81"/>
      <c r="G115" s="81"/>
      <c r="H115" s="81"/>
      <c r="I115" s="81"/>
      <c r="J115" s="81"/>
      <c r="K115" s="81"/>
      <c r="L115" s="82"/>
    </row>
    <row r="116" spans="3:12" ht="12.75" hidden="1" customHeight="1">
      <c r="C116" s="61" t="s">
        <v>308</v>
      </c>
      <c r="D116" s="81">
        <v>3167.2</v>
      </c>
      <c r="E116" s="81">
        <v>32.299999999999997</v>
      </c>
      <c r="F116" s="81">
        <v>1747.1</v>
      </c>
      <c r="G116" s="81">
        <f>9732.6-1219.7</f>
        <v>8512.9</v>
      </c>
      <c r="H116" s="81">
        <v>1219.7</v>
      </c>
      <c r="I116" s="81">
        <f>2541.6-317.4</f>
        <v>2224.1999999999998</v>
      </c>
      <c r="J116" s="81">
        <f>3.3+314.1</f>
        <v>317.40000000000003</v>
      </c>
      <c r="K116" s="81">
        <f>J116+I116+H116+G116+F116+E116</f>
        <v>14053.6</v>
      </c>
      <c r="L116" s="82">
        <v>17220.8</v>
      </c>
    </row>
    <row r="117" spans="3:12" ht="12.75" hidden="1" customHeight="1">
      <c r="C117" s="61"/>
      <c r="D117" s="81"/>
      <c r="E117" s="81"/>
      <c r="F117" s="81"/>
      <c r="G117" s="81"/>
      <c r="H117" s="81"/>
      <c r="I117" s="81"/>
      <c r="J117" s="81"/>
      <c r="K117" s="81"/>
      <c r="L117" s="82"/>
    </row>
    <row r="118" spans="3:12" ht="12.75" hidden="1" customHeight="1">
      <c r="C118" s="61" t="s">
        <v>311</v>
      </c>
      <c r="D118" s="81">
        <v>3395.9</v>
      </c>
      <c r="E118" s="81">
        <v>37</v>
      </c>
      <c r="F118" s="81">
        <v>1534.4</v>
      </c>
      <c r="G118" s="81">
        <f>12164.8-1888.6</f>
        <v>10276.199999999999</v>
      </c>
      <c r="H118" s="81">
        <v>1888.6</v>
      </c>
      <c r="I118" s="81">
        <f>2468.5-259.5</f>
        <v>2209</v>
      </c>
      <c r="J118" s="81">
        <v>259.5</v>
      </c>
      <c r="K118" s="81">
        <f>J118+I118+H118+G118+F118+E118</f>
        <v>16204.699999999999</v>
      </c>
      <c r="L118" s="82">
        <v>19600.599999999999</v>
      </c>
    </row>
    <row r="119" spans="3:12" ht="12.75" hidden="1" customHeight="1">
      <c r="C119" s="61"/>
      <c r="D119" s="81"/>
      <c r="E119" s="81"/>
      <c r="F119" s="81"/>
      <c r="G119" s="81"/>
      <c r="H119" s="81"/>
      <c r="I119" s="81"/>
      <c r="J119" s="81"/>
      <c r="K119" s="81"/>
      <c r="L119" s="82"/>
    </row>
    <row r="120" spans="3:12" ht="12.75" hidden="1" customHeight="1">
      <c r="C120" s="73" t="s">
        <v>315</v>
      </c>
      <c r="D120" s="81"/>
      <c r="E120" s="81"/>
      <c r="F120" s="81"/>
      <c r="G120" s="81"/>
      <c r="H120" s="81"/>
      <c r="I120" s="81"/>
      <c r="J120" s="81"/>
      <c r="K120" s="81"/>
      <c r="L120" s="82"/>
    </row>
    <row r="121" spans="3:12" ht="12.75" hidden="1" customHeight="1">
      <c r="C121" s="57"/>
      <c r="D121" s="81"/>
      <c r="E121" s="81"/>
      <c r="F121" s="81"/>
      <c r="G121" s="81"/>
      <c r="H121" s="81"/>
      <c r="I121" s="81"/>
      <c r="J121" s="81"/>
      <c r="K121" s="81"/>
      <c r="L121" s="82"/>
    </row>
    <row r="122" spans="3:12" ht="12.75" hidden="1" customHeight="1">
      <c r="C122" s="61" t="s">
        <v>298</v>
      </c>
      <c r="D122" s="81">
        <v>3207.5</v>
      </c>
      <c r="E122" s="81">
        <v>34.799999999999997</v>
      </c>
      <c r="F122" s="81">
        <v>1761.5</v>
      </c>
      <c r="G122" s="81">
        <f>11106.9-1133.6</f>
        <v>9973.2999999999993</v>
      </c>
      <c r="H122" s="81">
        <v>1133.5999999999999</v>
      </c>
      <c r="I122" s="81">
        <f>1751.9-67.1</f>
        <v>1684.8000000000002</v>
      </c>
      <c r="J122" s="81">
        <v>67.099999999999994</v>
      </c>
      <c r="K122" s="81">
        <f>J122+I122+H122+G122+F122+E122</f>
        <v>14655.099999999999</v>
      </c>
      <c r="L122" s="82">
        <v>17862.599999999999</v>
      </c>
    </row>
    <row r="123" spans="3:12" ht="12.75" hidden="1" customHeight="1">
      <c r="C123" s="61"/>
      <c r="D123" s="81"/>
      <c r="E123" s="81"/>
      <c r="F123" s="81"/>
      <c r="G123" s="81"/>
      <c r="H123" s="81"/>
      <c r="I123" s="81"/>
      <c r="J123" s="81"/>
      <c r="K123" s="81"/>
      <c r="L123" s="82"/>
    </row>
    <row r="124" spans="3:12" ht="12.75" hidden="1" customHeight="1">
      <c r="C124" s="61" t="s">
        <v>299</v>
      </c>
      <c r="D124" s="81">
        <v>3237.2</v>
      </c>
      <c r="E124" s="81">
        <v>52.2</v>
      </c>
      <c r="F124" s="81">
        <v>1210.3</v>
      </c>
      <c r="G124" s="81">
        <f>10256.5-922.7</f>
        <v>9333.7999999999993</v>
      </c>
      <c r="H124" s="81">
        <v>922.7</v>
      </c>
      <c r="I124" s="81">
        <f>1713.4-79.3</f>
        <v>1634.1000000000001</v>
      </c>
      <c r="J124" s="81">
        <v>79.3</v>
      </c>
      <c r="K124" s="81">
        <f>J124+I124+H124+G124+F124+E124</f>
        <v>13232.4</v>
      </c>
      <c r="L124" s="82">
        <v>16469.599999999999</v>
      </c>
    </row>
    <row r="125" spans="3:12" ht="12.75" hidden="1" customHeight="1">
      <c r="C125" s="61"/>
      <c r="D125" s="81"/>
      <c r="E125" s="81"/>
      <c r="F125" s="81"/>
      <c r="G125" s="81"/>
      <c r="H125" s="81"/>
      <c r="I125" s="81"/>
      <c r="J125" s="81"/>
      <c r="K125" s="81"/>
      <c r="L125" s="82"/>
    </row>
    <row r="126" spans="3:12" ht="12.75" hidden="1" customHeight="1">
      <c r="C126" s="61" t="s">
        <v>300</v>
      </c>
      <c r="D126" s="81">
        <v>3043.6</v>
      </c>
      <c r="E126" s="81">
        <v>39.6</v>
      </c>
      <c r="F126" s="81">
        <v>1190.9000000000001</v>
      </c>
      <c r="G126" s="81">
        <f>11219.7-882.4</f>
        <v>10337.300000000001</v>
      </c>
      <c r="H126" s="81">
        <v>882.4</v>
      </c>
      <c r="I126" s="81">
        <f>1865.8-67.9</f>
        <v>1797.8999999999999</v>
      </c>
      <c r="J126" s="81">
        <v>67.900000000000006</v>
      </c>
      <c r="K126" s="81">
        <f>J126+I126+H126+G126+F126+E126</f>
        <v>14316</v>
      </c>
      <c r="L126" s="82">
        <v>17359.599999999999</v>
      </c>
    </row>
    <row r="127" spans="3:12" ht="12.75" hidden="1" customHeight="1">
      <c r="C127" s="61"/>
      <c r="D127" s="81"/>
      <c r="E127" s="81"/>
      <c r="F127" s="81"/>
      <c r="G127" s="81"/>
      <c r="H127" s="81"/>
      <c r="I127" s="81"/>
      <c r="J127" s="81"/>
      <c r="K127" s="81"/>
      <c r="L127" s="82"/>
    </row>
    <row r="128" spans="3:12" ht="12.75" hidden="1" customHeight="1">
      <c r="C128" s="61" t="s">
        <v>301</v>
      </c>
      <c r="D128" s="81">
        <v>3370</v>
      </c>
      <c r="E128" s="81">
        <v>40.9</v>
      </c>
      <c r="F128" s="81">
        <v>1053.7</v>
      </c>
      <c r="G128" s="81">
        <f>11632.2-915.5</f>
        <v>10716.7</v>
      </c>
      <c r="H128" s="81">
        <v>915.5</v>
      </c>
      <c r="I128" s="81">
        <f>2038.8-107.6</f>
        <v>1931.2</v>
      </c>
      <c r="J128" s="81">
        <v>107.6</v>
      </c>
      <c r="K128" s="81">
        <f>J128+I128+H128+G128+F128+E128</f>
        <v>14765.6</v>
      </c>
      <c r="L128" s="82">
        <v>18135.599999999999</v>
      </c>
    </row>
    <row r="129" spans="3:12" ht="12.75" hidden="1" customHeight="1">
      <c r="C129" s="61"/>
      <c r="D129" s="81"/>
      <c r="E129" s="81"/>
      <c r="F129" s="81"/>
      <c r="G129" s="81"/>
      <c r="H129" s="81"/>
      <c r="I129" s="81"/>
      <c r="J129" s="81"/>
      <c r="K129" s="81"/>
      <c r="L129" s="82"/>
    </row>
    <row r="130" spans="3:12" ht="12.75" hidden="1" customHeight="1">
      <c r="C130" s="61" t="s">
        <v>302</v>
      </c>
      <c r="D130" s="81">
        <v>3497.5</v>
      </c>
      <c r="E130" s="81">
        <v>39.6</v>
      </c>
      <c r="F130" s="81">
        <v>876.9</v>
      </c>
      <c r="G130" s="81">
        <f>10223.9-1022.8</f>
        <v>9201.1</v>
      </c>
      <c r="H130" s="81">
        <v>1022.8</v>
      </c>
      <c r="I130" s="81">
        <f>2400.3-83.1</f>
        <v>2317.2000000000003</v>
      </c>
      <c r="J130" s="81">
        <v>83.1</v>
      </c>
      <c r="K130" s="81">
        <f>J130+I130+H130+G130+F130+E130</f>
        <v>13540.7</v>
      </c>
      <c r="L130" s="82">
        <v>17038.099999999999</v>
      </c>
    </row>
    <row r="131" spans="3:12" ht="12.75" hidden="1" customHeight="1">
      <c r="C131" s="61"/>
      <c r="D131" s="81"/>
      <c r="E131" s="81"/>
      <c r="F131" s="81"/>
      <c r="G131" s="81"/>
      <c r="H131" s="81"/>
      <c r="I131" s="81"/>
      <c r="J131" s="81"/>
      <c r="K131" s="81"/>
      <c r="L131" s="82"/>
    </row>
    <row r="132" spans="3:12" ht="12.75" hidden="1" customHeight="1">
      <c r="C132" s="61" t="s">
        <v>303</v>
      </c>
      <c r="D132" s="81">
        <v>3457.6</v>
      </c>
      <c r="E132" s="81">
        <v>49.5</v>
      </c>
      <c r="F132" s="81">
        <v>772.7</v>
      </c>
      <c r="G132" s="81">
        <f>11197.9-992.5</f>
        <v>10205.4</v>
      </c>
      <c r="H132" s="81">
        <v>992.5</v>
      </c>
      <c r="I132" s="81">
        <f>2350.7-97.5</f>
        <v>2253.1999999999998</v>
      </c>
      <c r="J132" s="81">
        <v>97.5</v>
      </c>
      <c r="K132" s="81">
        <f>J132+I132+H132+G132+F132+E132</f>
        <v>14370.8</v>
      </c>
      <c r="L132" s="82">
        <v>17828.5</v>
      </c>
    </row>
    <row r="133" spans="3:12" ht="12.75" hidden="1" customHeight="1">
      <c r="C133" s="61"/>
      <c r="D133" s="81"/>
      <c r="E133" s="81"/>
      <c r="F133" s="81"/>
      <c r="G133" s="81"/>
      <c r="H133" s="81"/>
      <c r="I133" s="81"/>
      <c r="J133" s="81"/>
      <c r="K133" s="81"/>
      <c r="L133" s="82"/>
    </row>
    <row r="134" spans="3:12" ht="12.75" hidden="1" customHeight="1">
      <c r="C134" s="61" t="s">
        <v>304</v>
      </c>
      <c r="D134" s="81">
        <v>3616</v>
      </c>
      <c r="E134" s="81">
        <v>52.6</v>
      </c>
      <c r="F134" s="81">
        <v>963.7</v>
      </c>
      <c r="G134" s="81">
        <f>11321.9-1073.3</f>
        <v>10248.6</v>
      </c>
      <c r="H134" s="81">
        <v>1073.3</v>
      </c>
      <c r="I134" s="81">
        <f>2186.2-281.4</f>
        <v>1904.7999999999997</v>
      </c>
      <c r="J134" s="81">
        <v>281.39999999999998</v>
      </c>
      <c r="K134" s="81">
        <f>J134+I134+H134+G134+F134+E134</f>
        <v>14524.400000000001</v>
      </c>
      <c r="L134" s="82">
        <v>18140.400000000001</v>
      </c>
    </row>
    <row r="135" spans="3:12" ht="12.75" hidden="1" customHeight="1">
      <c r="C135" s="61"/>
      <c r="D135" s="81"/>
      <c r="E135" s="81"/>
      <c r="F135" s="81"/>
      <c r="G135" s="81"/>
      <c r="H135" s="81"/>
      <c r="I135" s="81"/>
      <c r="J135" s="81"/>
      <c r="K135" s="81"/>
      <c r="L135" s="82"/>
    </row>
    <row r="136" spans="3:12" ht="12.75" hidden="1" customHeight="1">
      <c r="C136" s="61" t="s">
        <v>305</v>
      </c>
      <c r="D136" s="81">
        <v>3650.5</v>
      </c>
      <c r="E136" s="81">
        <v>62.4</v>
      </c>
      <c r="F136" s="81">
        <v>756.9</v>
      </c>
      <c r="G136" s="81">
        <f>11645.1-1450</f>
        <v>10195.1</v>
      </c>
      <c r="H136" s="81">
        <v>1450</v>
      </c>
      <c r="I136" s="81">
        <f>2241.3-187.4</f>
        <v>2053.9</v>
      </c>
      <c r="J136" s="81">
        <v>187.4</v>
      </c>
      <c r="K136" s="81">
        <f>J136+I136+H136+G136+F136+E136</f>
        <v>14705.7</v>
      </c>
      <c r="L136" s="82">
        <v>18356.2</v>
      </c>
    </row>
    <row r="137" spans="3:12" ht="12.75" hidden="1" customHeight="1">
      <c r="C137" s="61"/>
      <c r="D137" s="81"/>
      <c r="E137" s="81"/>
      <c r="F137" s="81"/>
      <c r="G137" s="81"/>
      <c r="H137" s="81"/>
      <c r="I137" s="81"/>
      <c r="J137" s="81"/>
      <c r="K137" s="81"/>
      <c r="L137" s="82"/>
    </row>
    <row r="138" spans="3:12" ht="12.75" hidden="1" customHeight="1">
      <c r="C138" s="61" t="s">
        <v>306</v>
      </c>
      <c r="D138" s="81">
        <v>3599.4</v>
      </c>
      <c r="E138" s="81">
        <v>83.3</v>
      </c>
      <c r="F138" s="81">
        <v>737</v>
      </c>
      <c r="G138" s="81">
        <v>9830.5</v>
      </c>
      <c r="H138" s="81">
        <v>2183</v>
      </c>
      <c r="I138" s="81">
        <v>2619</v>
      </c>
      <c r="J138" s="81">
        <v>258.7</v>
      </c>
      <c r="K138" s="81">
        <f>J138+I138+H138+G138+F138+E138</f>
        <v>15711.5</v>
      </c>
      <c r="L138" s="82">
        <v>19310.900000000001</v>
      </c>
    </row>
    <row r="139" spans="3:12" ht="12.75" hidden="1" customHeight="1">
      <c r="C139" s="61"/>
      <c r="D139" s="81"/>
      <c r="E139" s="81"/>
      <c r="F139" s="81"/>
      <c r="G139" s="81"/>
      <c r="H139" s="81"/>
      <c r="I139" s="81"/>
      <c r="J139" s="81"/>
      <c r="K139" s="81"/>
      <c r="L139" s="82"/>
    </row>
    <row r="140" spans="3:12" ht="12.75" hidden="1" customHeight="1">
      <c r="C140" s="61" t="s">
        <v>307</v>
      </c>
      <c r="D140" s="81">
        <v>3781.3</v>
      </c>
      <c r="E140" s="81">
        <v>139.30000000000001</v>
      </c>
      <c r="F140" s="81">
        <v>757</v>
      </c>
      <c r="G140" s="81">
        <f>13799.2-2605</f>
        <v>11194.2</v>
      </c>
      <c r="H140" s="81">
        <v>2605</v>
      </c>
      <c r="I140" s="81">
        <f>1738.8-309.8</f>
        <v>1429</v>
      </c>
      <c r="J140" s="81">
        <v>309.8</v>
      </c>
      <c r="K140" s="81">
        <f>J140+I140+H140+G140+F140+E140</f>
        <v>16434.3</v>
      </c>
      <c r="L140" s="82">
        <v>20215.599999999999</v>
      </c>
    </row>
    <row r="141" spans="3:12" ht="12.75" hidden="1" customHeight="1">
      <c r="C141" s="61"/>
      <c r="D141" s="81"/>
      <c r="E141" s="81"/>
      <c r="F141" s="81"/>
      <c r="G141" s="81"/>
      <c r="H141" s="81"/>
      <c r="I141" s="81"/>
      <c r="J141" s="81"/>
      <c r="K141" s="81"/>
      <c r="L141" s="82"/>
    </row>
    <row r="142" spans="3:12" ht="12.75" hidden="1" customHeight="1">
      <c r="C142" s="61" t="s">
        <v>308</v>
      </c>
      <c r="D142" s="81">
        <v>4117.3</v>
      </c>
      <c r="E142" s="81">
        <v>94.9</v>
      </c>
      <c r="F142" s="81">
        <v>944.5</v>
      </c>
      <c r="G142" s="81">
        <f>15350.4-2663.4</f>
        <v>12687</v>
      </c>
      <c r="H142" s="81">
        <v>2663.4</v>
      </c>
      <c r="I142" s="81">
        <f>2160.3-192.6</f>
        <v>1967.7000000000003</v>
      </c>
      <c r="J142" s="81">
        <v>192.6</v>
      </c>
      <c r="K142" s="81">
        <f>J142+I142+H142+G142+F142+E142</f>
        <v>18550.100000000002</v>
      </c>
      <c r="L142" s="82">
        <v>22667.5</v>
      </c>
    </row>
    <row r="143" spans="3:12" ht="12.75" hidden="1" customHeight="1">
      <c r="C143" s="61"/>
      <c r="D143" s="81"/>
      <c r="E143" s="81"/>
      <c r="F143" s="81"/>
      <c r="G143" s="81"/>
      <c r="H143" s="81"/>
      <c r="I143" s="81"/>
      <c r="J143" s="81"/>
      <c r="K143" s="81"/>
      <c r="L143" s="82"/>
    </row>
    <row r="144" spans="3:12" ht="12.75" hidden="1" customHeight="1">
      <c r="C144" s="61" t="s">
        <v>311</v>
      </c>
      <c r="D144" s="81">
        <v>4265.2</v>
      </c>
      <c r="E144" s="81">
        <v>178.1</v>
      </c>
      <c r="F144" s="81">
        <v>984.6</v>
      </c>
      <c r="G144" s="73">
        <f>17311.2-2776.8</f>
        <v>14534.400000000001</v>
      </c>
      <c r="H144" s="81">
        <v>2776.8</v>
      </c>
      <c r="I144" s="73">
        <f>1930.3-137.7</f>
        <v>1792.6</v>
      </c>
      <c r="J144" s="81">
        <v>137.69999999999999</v>
      </c>
      <c r="K144" s="81">
        <f>J144+I144+H144+G144+F144+E144</f>
        <v>20404.199999999997</v>
      </c>
      <c r="L144" s="82">
        <f>4265.2+20404.2</f>
        <v>24669.4</v>
      </c>
    </row>
    <row r="145" spans="3:12" ht="12.75" hidden="1" customHeight="1">
      <c r="C145" s="61"/>
      <c r="D145" s="81"/>
      <c r="E145" s="81"/>
      <c r="F145" s="81"/>
      <c r="G145" s="73"/>
      <c r="H145" s="81"/>
      <c r="I145" s="73"/>
      <c r="J145" s="81"/>
      <c r="K145" s="81"/>
      <c r="L145" s="82"/>
    </row>
    <row r="146" spans="3:12" ht="12.75" hidden="1" customHeight="1">
      <c r="C146" s="73">
        <v>1999</v>
      </c>
      <c r="D146" s="81"/>
      <c r="E146" s="81"/>
      <c r="F146" s="81"/>
      <c r="G146" s="73"/>
      <c r="H146" s="81"/>
      <c r="I146" s="73"/>
      <c r="J146" s="81"/>
      <c r="K146" s="81"/>
      <c r="L146" s="82"/>
    </row>
    <row r="147" spans="3:12" ht="12.75" hidden="1" customHeight="1">
      <c r="C147" s="61"/>
      <c r="D147" s="81"/>
      <c r="E147" s="81"/>
      <c r="F147" s="81"/>
      <c r="G147" s="73"/>
      <c r="H147" s="81"/>
      <c r="I147" s="73"/>
      <c r="J147" s="81"/>
      <c r="K147" s="81"/>
      <c r="L147" s="82"/>
    </row>
    <row r="148" spans="3:12" ht="12.75" hidden="1" customHeight="1">
      <c r="C148" s="61" t="s">
        <v>298</v>
      </c>
      <c r="D148" s="81">
        <v>4246.1000000000004</v>
      </c>
      <c r="E148" s="81">
        <v>132.9</v>
      </c>
      <c r="F148" s="81">
        <v>1409.1</v>
      </c>
      <c r="G148" s="73">
        <f>16010.5-3029.4</f>
        <v>12981.1</v>
      </c>
      <c r="H148" s="81">
        <v>3029.4</v>
      </c>
      <c r="I148" s="73">
        <f>1967-193.4</f>
        <v>1773.6</v>
      </c>
      <c r="J148" s="81">
        <v>193.4</v>
      </c>
      <c r="K148" s="81">
        <f>J148+I148+H148+G148+F148+E148</f>
        <v>19519.5</v>
      </c>
      <c r="L148" s="82">
        <v>23765.599999999999</v>
      </c>
    </row>
    <row r="149" spans="3:12" ht="12.75" hidden="1" customHeight="1">
      <c r="C149" s="61"/>
      <c r="D149" s="81"/>
      <c r="E149" s="81"/>
      <c r="F149" s="81"/>
      <c r="G149" s="73"/>
      <c r="H149" s="81"/>
      <c r="I149" s="73"/>
      <c r="J149" s="81"/>
      <c r="K149" s="81"/>
      <c r="L149" s="82"/>
    </row>
    <row r="150" spans="3:12" ht="12.75" hidden="1" customHeight="1">
      <c r="C150" s="61" t="s">
        <v>299</v>
      </c>
      <c r="D150" s="81">
        <v>4481.3</v>
      </c>
      <c r="E150" s="81">
        <v>122.6</v>
      </c>
      <c r="F150" s="81">
        <v>985.5</v>
      </c>
      <c r="G150" s="73">
        <f>16301.4-H150</f>
        <v>13491.8</v>
      </c>
      <c r="H150" s="81">
        <v>2809.6</v>
      </c>
      <c r="I150" s="73">
        <f>2165.7-J150</f>
        <v>2016.1</v>
      </c>
      <c r="J150" s="81">
        <v>149.6</v>
      </c>
      <c r="K150" s="81">
        <f>J150+I150+H150+G150+F150+E150</f>
        <v>19575.199999999997</v>
      </c>
      <c r="L150" s="82">
        <v>24056.5</v>
      </c>
    </row>
    <row r="151" spans="3:12" ht="12.75" hidden="1" customHeight="1">
      <c r="C151" s="61"/>
      <c r="D151" s="81"/>
      <c r="E151" s="81"/>
      <c r="F151" s="81"/>
      <c r="G151" s="73"/>
      <c r="H151" s="81"/>
      <c r="I151" s="73"/>
      <c r="J151" s="81"/>
      <c r="K151" s="81"/>
      <c r="L151" s="82"/>
    </row>
    <row r="152" spans="3:12" ht="12.75" hidden="1" customHeight="1">
      <c r="C152" s="61" t="s">
        <v>300</v>
      </c>
      <c r="D152" s="81">
        <v>4482.1000000000004</v>
      </c>
      <c r="E152" s="81">
        <v>62.9</v>
      </c>
      <c r="F152" s="81">
        <v>1105.9000000000001</v>
      </c>
      <c r="G152" s="73">
        <f>17689.4-3000.6</f>
        <v>14688.800000000001</v>
      </c>
      <c r="H152" s="81">
        <v>3000.6</v>
      </c>
      <c r="I152" s="73">
        <f>2135.6-164.2</f>
        <v>1971.3999999999999</v>
      </c>
      <c r="J152" s="81">
        <v>164.2</v>
      </c>
      <c r="K152" s="81">
        <f>J152+I152+H152+G152+F152+E152</f>
        <v>20993.800000000003</v>
      </c>
      <c r="L152" s="82">
        <v>25475.8</v>
      </c>
    </row>
    <row r="153" spans="3:12" ht="12.75" hidden="1" customHeight="1">
      <c r="C153" s="61"/>
      <c r="D153" s="81"/>
      <c r="E153" s="81"/>
      <c r="F153" s="81"/>
      <c r="G153" s="73"/>
      <c r="H153" s="81"/>
      <c r="I153" s="73"/>
      <c r="J153" s="81"/>
      <c r="K153" s="81"/>
      <c r="L153" s="82"/>
    </row>
    <row r="154" spans="3:12" ht="12.75" hidden="1" customHeight="1">
      <c r="C154" s="61" t="s">
        <v>301</v>
      </c>
      <c r="D154" s="81">
        <v>4949.2</v>
      </c>
      <c r="E154" s="81">
        <v>46.6</v>
      </c>
      <c r="F154" s="81">
        <v>1252.2</v>
      </c>
      <c r="G154" s="81">
        <f>19242.7-3281.7</f>
        <v>15961</v>
      </c>
      <c r="H154" s="81">
        <v>3281.7</v>
      </c>
      <c r="I154" s="81">
        <f>2657.5-233.5</f>
        <v>2424</v>
      </c>
      <c r="J154" s="81">
        <v>233.5</v>
      </c>
      <c r="K154" s="81">
        <f>J154+I154+H154+G154+F154+E154</f>
        <v>23199</v>
      </c>
      <c r="L154" s="82">
        <v>28148.2</v>
      </c>
    </row>
    <row r="155" spans="3:12" ht="12.75" hidden="1" customHeight="1">
      <c r="C155" s="61"/>
      <c r="D155" s="81"/>
      <c r="E155" s="81"/>
      <c r="F155" s="81"/>
      <c r="G155" s="81"/>
      <c r="H155" s="81"/>
      <c r="I155" s="81"/>
      <c r="J155" s="81"/>
      <c r="K155" s="81"/>
      <c r="L155" s="82"/>
    </row>
    <row r="156" spans="3:12" ht="12.75" hidden="1" customHeight="1">
      <c r="C156" s="61" t="s">
        <v>302</v>
      </c>
      <c r="D156" s="81">
        <v>5147.3</v>
      </c>
      <c r="E156" s="81">
        <v>147.1</v>
      </c>
      <c r="F156" s="81">
        <v>1141</v>
      </c>
      <c r="G156" s="81">
        <f>20884-3005.5</f>
        <v>17878.5</v>
      </c>
      <c r="H156" s="81">
        <v>3005.5</v>
      </c>
      <c r="I156" s="81">
        <f>2571-341.8</f>
        <v>2229.1999999999998</v>
      </c>
      <c r="J156" s="81">
        <v>341.8</v>
      </c>
      <c r="K156" s="81">
        <f>J156+I156+H156+G156+F156+E156</f>
        <v>24743.1</v>
      </c>
      <c r="L156" s="82">
        <v>29890.400000000001</v>
      </c>
    </row>
    <row r="157" spans="3:12" ht="12.75" hidden="1" customHeight="1">
      <c r="C157" s="61"/>
      <c r="D157" s="81"/>
      <c r="E157" s="81"/>
      <c r="F157" s="81"/>
      <c r="G157" s="81"/>
      <c r="H157" s="81"/>
      <c r="I157" s="81"/>
      <c r="J157" s="81"/>
      <c r="K157" s="81"/>
      <c r="L157" s="82"/>
    </row>
    <row r="158" spans="3:12" ht="12.75" hidden="1" customHeight="1">
      <c r="C158" s="61" t="s">
        <v>303</v>
      </c>
      <c r="D158" s="81">
        <v>5621.1</v>
      </c>
      <c r="E158" s="81">
        <v>145.1</v>
      </c>
      <c r="F158" s="81">
        <f>1055.9+104</f>
        <v>1159.9000000000001</v>
      </c>
      <c r="G158" s="81">
        <f>21282.6-2416.5</f>
        <v>18866.099999999999</v>
      </c>
      <c r="H158" s="81">
        <v>2416.5</v>
      </c>
      <c r="I158" s="81">
        <f>2749.2-502.1</f>
        <v>2247.1</v>
      </c>
      <c r="J158" s="81">
        <v>502.1</v>
      </c>
      <c r="K158" s="81">
        <f>J158+I158+H158+G158+F158+E158</f>
        <v>25336.799999999999</v>
      </c>
      <c r="L158" s="82">
        <v>30957.9</v>
      </c>
    </row>
    <row r="159" spans="3:12" ht="12.75" hidden="1" customHeight="1">
      <c r="C159" s="61"/>
      <c r="D159" s="81"/>
      <c r="E159" s="81"/>
      <c r="F159" s="81"/>
      <c r="G159" s="81"/>
      <c r="H159" s="81"/>
      <c r="I159" s="81"/>
      <c r="J159" s="81"/>
      <c r="K159" s="81"/>
      <c r="L159" s="82"/>
    </row>
    <row r="160" spans="3:12" ht="12.75" hidden="1" customHeight="1">
      <c r="C160" s="61" t="s">
        <v>304</v>
      </c>
      <c r="D160" s="81">
        <v>6314.3</v>
      </c>
      <c r="E160" s="81">
        <v>171.9</v>
      </c>
      <c r="F160" s="81">
        <v>1413.5</v>
      </c>
      <c r="G160" s="81">
        <f>22084.3-3191.5</f>
        <v>18892.8</v>
      </c>
      <c r="H160" s="81">
        <v>3191.5</v>
      </c>
      <c r="I160" s="81">
        <f>2815.6-453.7</f>
        <v>2361.9</v>
      </c>
      <c r="J160" s="81">
        <v>453.7</v>
      </c>
      <c r="K160" s="81">
        <f>J160+I160+H160+G160+F160+E160</f>
        <v>26485.300000000003</v>
      </c>
      <c r="L160" s="82">
        <v>32799.599999999999</v>
      </c>
    </row>
    <row r="161" spans="3:12" ht="12.75" hidden="1" customHeight="1">
      <c r="C161" s="61"/>
      <c r="D161" s="81"/>
      <c r="E161" s="81"/>
      <c r="F161" s="81"/>
      <c r="G161" s="81"/>
      <c r="H161" s="81"/>
      <c r="I161" s="81"/>
      <c r="J161" s="81"/>
      <c r="K161" s="81"/>
      <c r="L161" s="82"/>
    </row>
    <row r="162" spans="3:12" ht="12.75" hidden="1" customHeight="1">
      <c r="C162" s="61" t="s">
        <v>305</v>
      </c>
      <c r="D162" s="81">
        <v>6151.3</v>
      </c>
      <c r="E162" s="81">
        <v>201.3</v>
      </c>
      <c r="F162" s="81">
        <v>1313.1</v>
      </c>
      <c r="G162" s="81">
        <f>23762.3-3311.8</f>
        <v>20450.5</v>
      </c>
      <c r="H162" s="81">
        <v>3311.8</v>
      </c>
      <c r="I162" s="81">
        <f>2780.1-440.6</f>
        <v>2339.5</v>
      </c>
      <c r="J162" s="81">
        <v>440.6</v>
      </c>
      <c r="K162" s="81">
        <f>J162+I162+H162+G162+F162+E162</f>
        <v>28056.799999999999</v>
      </c>
      <c r="L162" s="82">
        <v>34208.1</v>
      </c>
    </row>
    <row r="163" spans="3:12" ht="12.75" hidden="1" customHeight="1">
      <c r="C163" s="61"/>
      <c r="D163" s="81"/>
      <c r="E163" s="81"/>
      <c r="F163" s="81"/>
      <c r="G163" s="81"/>
      <c r="H163" s="81"/>
      <c r="I163" s="81"/>
      <c r="J163" s="81"/>
      <c r="K163" s="81"/>
      <c r="L163" s="82"/>
    </row>
    <row r="164" spans="3:12" ht="12.75" hidden="1" customHeight="1">
      <c r="C164" s="61" t="s">
        <v>306</v>
      </c>
      <c r="D164" s="81">
        <v>5959.8</v>
      </c>
      <c r="E164" s="81">
        <v>105.3</v>
      </c>
      <c r="F164" s="81">
        <v>1140</v>
      </c>
      <c r="G164" s="81">
        <f>23836.4-3766.7</f>
        <v>20069.7</v>
      </c>
      <c r="H164" s="81">
        <v>3766.7</v>
      </c>
      <c r="I164" s="81">
        <f>2848.2-612.6</f>
        <v>2235.6</v>
      </c>
      <c r="J164" s="81">
        <v>612.6</v>
      </c>
      <c r="K164" s="81">
        <f>J164+I164+H164+G164+F164+E164</f>
        <v>27929.899999999998</v>
      </c>
      <c r="L164" s="82">
        <v>33889.699999999997</v>
      </c>
    </row>
    <row r="165" spans="3:12" ht="12.75" hidden="1" customHeight="1">
      <c r="C165" s="61"/>
      <c r="D165" s="81"/>
      <c r="E165" s="81"/>
      <c r="F165" s="81"/>
      <c r="G165" s="81"/>
      <c r="H165" s="81"/>
      <c r="I165" s="81"/>
      <c r="J165" s="81"/>
      <c r="K165" s="81"/>
      <c r="L165" s="82"/>
    </row>
    <row r="166" spans="3:12" ht="12.75" hidden="1" customHeight="1">
      <c r="C166" s="61" t="s">
        <v>307</v>
      </c>
      <c r="D166" s="81">
        <v>5955.2</v>
      </c>
      <c r="E166" s="81">
        <v>96.5</v>
      </c>
      <c r="F166" s="81">
        <v>1404.3</v>
      </c>
      <c r="G166" s="81">
        <f>23241.3-4578.3</f>
        <v>18663</v>
      </c>
      <c r="H166" s="81">
        <v>4578.3</v>
      </c>
      <c r="I166" s="81">
        <f>2416.3-647</f>
        <v>1769.3000000000002</v>
      </c>
      <c r="J166" s="81">
        <v>647</v>
      </c>
      <c r="K166" s="81">
        <f>J166+I166+H166+G166+F166+E166</f>
        <v>27158.399999999998</v>
      </c>
      <c r="L166" s="82">
        <v>33113.5</v>
      </c>
    </row>
    <row r="167" spans="3:12" ht="12.75" hidden="1" customHeight="1">
      <c r="C167" s="61"/>
      <c r="D167" s="81"/>
      <c r="E167" s="81"/>
      <c r="F167" s="81"/>
      <c r="G167" s="81"/>
      <c r="H167" s="81"/>
      <c r="I167" s="81"/>
      <c r="J167" s="81"/>
      <c r="K167" s="81"/>
      <c r="L167" s="82"/>
    </row>
    <row r="168" spans="3:12" ht="12.75" hidden="1" customHeight="1">
      <c r="C168" s="61" t="s">
        <v>308</v>
      </c>
      <c r="D168" s="81">
        <v>6163</v>
      </c>
      <c r="E168" s="81">
        <v>156</v>
      </c>
      <c r="F168" s="81">
        <v>1475.1</v>
      </c>
      <c r="G168" s="81">
        <f>25326.2-4264.7</f>
        <v>21061.5</v>
      </c>
      <c r="H168" s="81">
        <v>4264.7</v>
      </c>
      <c r="I168" s="81">
        <f>2606.2-783.2</f>
        <v>1822.9999999999998</v>
      </c>
      <c r="J168" s="81">
        <v>783.2</v>
      </c>
      <c r="K168" s="81">
        <f>J168+I168+H168+G168+F168+E168</f>
        <v>29563.5</v>
      </c>
      <c r="L168" s="82">
        <v>35726.5</v>
      </c>
    </row>
    <row r="169" spans="3:12" ht="12.75" hidden="1" customHeight="1">
      <c r="C169" s="61"/>
      <c r="D169" s="81"/>
      <c r="E169" s="81"/>
      <c r="F169" s="81"/>
      <c r="G169" s="81"/>
      <c r="H169" s="81"/>
      <c r="I169" s="81"/>
      <c r="J169" s="81"/>
      <c r="K169" s="81"/>
      <c r="L169" s="82"/>
    </row>
    <row r="170" spans="3:12" ht="12.75" hidden="1" customHeight="1">
      <c r="C170" s="61" t="s">
        <v>311</v>
      </c>
      <c r="D170" s="81">
        <v>6884.1</v>
      </c>
      <c r="E170" s="81">
        <v>202.4</v>
      </c>
      <c r="F170" s="81">
        <v>1250.7</v>
      </c>
      <c r="G170" s="81">
        <f>24250.6-4548.9</f>
        <v>19701.699999999997</v>
      </c>
      <c r="H170" s="81">
        <v>4548.8999999999996</v>
      </c>
      <c r="I170" s="81">
        <f>1728.5-617</f>
        <v>1111.5</v>
      </c>
      <c r="J170" s="81">
        <v>617</v>
      </c>
      <c r="K170" s="81">
        <f>J170+I170+H170+G170+F170+E170</f>
        <v>27432.2</v>
      </c>
      <c r="L170" s="82">
        <v>34316.400000000001</v>
      </c>
    </row>
    <row r="171" spans="3:12" ht="12.75" hidden="1" customHeight="1">
      <c r="C171" s="61"/>
      <c r="D171" s="81"/>
      <c r="E171" s="81"/>
      <c r="F171" s="81"/>
      <c r="G171" s="81"/>
      <c r="H171" s="81"/>
      <c r="I171" s="81"/>
      <c r="J171" s="81"/>
      <c r="K171" s="81"/>
      <c r="L171" s="82"/>
    </row>
    <row r="172" spans="3:12" ht="15.75" hidden="1">
      <c r="C172" s="73">
        <v>2000</v>
      </c>
      <c r="D172" s="81"/>
      <c r="E172" s="81"/>
      <c r="F172" s="81"/>
      <c r="G172" s="81"/>
      <c r="H172" s="81"/>
      <c r="I172" s="81"/>
      <c r="J172" s="81"/>
      <c r="K172" s="81"/>
      <c r="L172" s="82"/>
    </row>
    <row r="173" spans="3:12" ht="15.75" hidden="1">
      <c r="C173" s="73"/>
      <c r="D173" s="81"/>
      <c r="E173" s="81"/>
      <c r="F173" s="81"/>
      <c r="G173" s="81"/>
      <c r="H173" s="81"/>
      <c r="I173" s="81"/>
      <c r="J173" s="81"/>
      <c r="K173" s="81"/>
      <c r="L173" s="82"/>
    </row>
    <row r="174" spans="3:12" ht="15.75" hidden="1">
      <c r="C174" s="57" t="s">
        <v>298</v>
      </c>
      <c r="D174" s="81">
        <v>5949.4</v>
      </c>
      <c r="E174" s="81">
        <v>73.400000000000006</v>
      </c>
      <c r="F174" s="81">
        <v>1708.6</v>
      </c>
      <c r="G174" s="81">
        <f>27102.9-4787.3</f>
        <v>22315.600000000002</v>
      </c>
      <c r="H174" s="81">
        <v>4787.3</v>
      </c>
      <c r="I174" s="81">
        <f>2632-858</f>
        <v>1774</v>
      </c>
      <c r="J174" s="81">
        <v>858</v>
      </c>
      <c r="K174" s="81">
        <f>J174+I174+H174+G174+F174+E174</f>
        <v>31516.9</v>
      </c>
      <c r="L174" s="82">
        <v>37466.400000000001</v>
      </c>
    </row>
    <row r="175" spans="3:12" ht="15.75" hidden="1">
      <c r="C175" s="57"/>
      <c r="D175" s="81"/>
      <c r="E175" s="81"/>
      <c r="F175" s="81"/>
      <c r="G175" s="81"/>
      <c r="H175" s="81"/>
      <c r="I175" s="81"/>
      <c r="J175" s="81"/>
      <c r="K175" s="81"/>
      <c r="L175" s="82"/>
    </row>
    <row r="176" spans="3:12" ht="15.75" hidden="1">
      <c r="C176" s="57" t="s">
        <v>299</v>
      </c>
      <c r="D176" s="81">
        <v>6371.2</v>
      </c>
      <c r="E176" s="81">
        <v>11.4</v>
      </c>
      <c r="F176" s="81">
        <v>1742.6</v>
      </c>
      <c r="G176" s="81">
        <f>25526.4-4560.3</f>
        <v>20966.100000000002</v>
      </c>
      <c r="H176" s="81">
        <v>4560.3</v>
      </c>
      <c r="I176" s="81">
        <f>3225-1133.1</f>
        <v>2091.9</v>
      </c>
      <c r="J176" s="81">
        <v>1133.0999999999999</v>
      </c>
      <c r="K176" s="81">
        <f>J176+I176+H176+G176+F176+E176</f>
        <v>30505.4</v>
      </c>
      <c r="L176" s="82">
        <v>36876.6</v>
      </c>
    </row>
    <row r="177" spans="3:12" ht="15.75" hidden="1">
      <c r="C177" s="57"/>
      <c r="D177" s="81"/>
      <c r="E177" s="81"/>
      <c r="F177" s="81"/>
      <c r="G177" s="81"/>
      <c r="H177" s="81"/>
      <c r="I177" s="81"/>
      <c r="J177" s="81"/>
      <c r="K177" s="81"/>
      <c r="L177" s="82"/>
    </row>
    <row r="178" spans="3:12" ht="15.75" hidden="1">
      <c r="C178" s="57" t="s">
        <v>300</v>
      </c>
      <c r="D178" s="81">
        <v>6701.8</v>
      </c>
      <c r="E178" s="81">
        <v>74.2</v>
      </c>
      <c r="F178" s="81">
        <v>1769.1</v>
      </c>
      <c r="G178" s="81">
        <f>26385.3-4382.5</f>
        <v>22002.799999999999</v>
      </c>
      <c r="H178" s="81">
        <v>4382.5</v>
      </c>
      <c r="I178" s="81">
        <f>2089.1-934.8</f>
        <v>1154.3</v>
      </c>
      <c r="J178" s="81">
        <v>934.8</v>
      </c>
      <c r="K178" s="81">
        <f>J178+I178+H178+G178+F178+E178</f>
        <v>30317.7</v>
      </c>
      <c r="L178" s="82">
        <v>37019.5</v>
      </c>
    </row>
    <row r="179" spans="3:12" ht="15.75" hidden="1">
      <c r="C179" s="57"/>
      <c r="D179" s="81"/>
      <c r="E179" s="81"/>
      <c r="F179" s="81"/>
      <c r="G179" s="81"/>
      <c r="H179" s="81"/>
      <c r="I179" s="81"/>
      <c r="J179" s="81"/>
      <c r="K179" s="81"/>
      <c r="L179" s="82"/>
    </row>
    <row r="180" spans="3:12" ht="15.75" hidden="1">
      <c r="C180" s="57" t="s">
        <v>301</v>
      </c>
      <c r="D180" s="81">
        <v>7101.3</v>
      </c>
      <c r="E180" s="81">
        <v>111</v>
      </c>
      <c r="F180" s="81">
        <v>1980.1</v>
      </c>
      <c r="G180" s="81">
        <f>27393.9-4486.9</f>
        <v>22907</v>
      </c>
      <c r="H180" s="81">
        <v>4486.8999999999996</v>
      </c>
      <c r="I180" s="81">
        <f>3044.5-809.4</f>
        <v>2235.1</v>
      </c>
      <c r="J180" s="81">
        <v>809.4</v>
      </c>
      <c r="K180" s="81">
        <f>J180+I180+H180+G180+F180+E180</f>
        <v>32529.5</v>
      </c>
      <c r="L180" s="82">
        <v>39630.800000000003</v>
      </c>
    </row>
    <row r="181" spans="3:12" ht="15.75" hidden="1">
      <c r="C181" s="57"/>
      <c r="D181" s="81"/>
      <c r="E181" s="81"/>
      <c r="F181" s="81"/>
      <c r="G181" s="81"/>
      <c r="H181" s="81"/>
      <c r="I181" s="81"/>
      <c r="J181" s="81"/>
      <c r="K181" s="81"/>
      <c r="L181" s="82"/>
    </row>
    <row r="182" spans="3:12" ht="15.75" hidden="1">
      <c r="C182" s="57" t="s">
        <v>302</v>
      </c>
      <c r="D182" s="81">
        <v>7178.9</v>
      </c>
      <c r="E182" s="81">
        <v>65.099999999999994</v>
      </c>
      <c r="F182" s="81">
        <v>1638.4</v>
      </c>
      <c r="G182" s="81">
        <f>28527.9-4886.2</f>
        <v>23641.7</v>
      </c>
      <c r="H182" s="81">
        <v>4886.2</v>
      </c>
      <c r="I182" s="81">
        <f>3096.5-702.2</f>
        <v>2394.3000000000002</v>
      </c>
      <c r="J182" s="81">
        <v>702.2</v>
      </c>
      <c r="K182" s="81">
        <f>J182+I182+H182+G182+F182+E182</f>
        <v>33327.9</v>
      </c>
      <c r="L182" s="82">
        <v>40506.800000000003</v>
      </c>
    </row>
    <row r="183" spans="3:12" ht="15.75" hidden="1">
      <c r="C183" s="57"/>
      <c r="D183" s="81"/>
      <c r="E183" s="81"/>
      <c r="F183" s="81"/>
      <c r="G183" s="81"/>
      <c r="H183" s="81"/>
      <c r="I183" s="81"/>
      <c r="J183" s="81"/>
      <c r="K183" s="81"/>
      <c r="L183" s="82"/>
    </row>
    <row r="184" spans="3:12" ht="15.75" hidden="1">
      <c r="C184" s="57" t="s">
        <v>303</v>
      </c>
      <c r="D184" s="81">
        <v>8142.5</v>
      </c>
      <c r="E184" s="81">
        <v>58.8</v>
      </c>
      <c r="F184" s="81">
        <v>2110.6999999999998</v>
      </c>
      <c r="G184" s="81">
        <f>29135.7-4615.5</f>
        <v>24520.2</v>
      </c>
      <c r="H184" s="81">
        <v>4615.5</v>
      </c>
      <c r="I184" s="81">
        <f>2709.5-653.6</f>
        <v>2055.9</v>
      </c>
      <c r="J184" s="81">
        <v>653.6</v>
      </c>
      <c r="K184" s="81">
        <f>J184+I184+H184+G184+F184+E184</f>
        <v>34014.700000000004</v>
      </c>
      <c r="L184" s="82">
        <v>42157.3</v>
      </c>
    </row>
    <row r="185" spans="3:12" ht="15.75" hidden="1">
      <c r="C185" s="57"/>
      <c r="D185" s="81"/>
      <c r="E185" s="81"/>
      <c r="F185" s="81"/>
      <c r="G185" s="81"/>
      <c r="H185" s="81"/>
      <c r="I185" s="81"/>
      <c r="J185" s="81"/>
      <c r="K185" s="81"/>
      <c r="L185" s="82"/>
    </row>
    <row r="186" spans="3:12" ht="15.75" hidden="1">
      <c r="C186" s="57" t="s">
        <v>304</v>
      </c>
      <c r="D186" s="81">
        <v>8209</v>
      </c>
      <c r="E186" s="81">
        <v>32.1</v>
      </c>
      <c r="F186" s="81">
        <v>2384.9</v>
      </c>
      <c r="G186" s="81">
        <f>29066.1-4818.1</f>
        <v>24248</v>
      </c>
      <c r="H186" s="81">
        <v>4818.1000000000004</v>
      </c>
      <c r="I186" s="81">
        <f>2919.5-629</f>
        <v>2290.5</v>
      </c>
      <c r="J186" s="81">
        <v>629</v>
      </c>
      <c r="K186" s="81">
        <f>J186+I186+H186+G186+F186+E186</f>
        <v>34402.6</v>
      </c>
      <c r="L186" s="82">
        <v>42611.7</v>
      </c>
    </row>
    <row r="187" spans="3:12" ht="15.75" hidden="1">
      <c r="C187" s="57"/>
      <c r="D187" s="81"/>
      <c r="E187" s="81"/>
      <c r="F187" s="81"/>
      <c r="G187" s="81"/>
      <c r="H187" s="81"/>
      <c r="I187" s="81"/>
      <c r="J187" s="81"/>
      <c r="K187" s="81"/>
      <c r="L187" s="82"/>
    </row>
    <row r="188" spans="3:12" ht="15.75" hidden="1">
      <c r="C188" s="57" t="s">
        <v>305</v>
      </c>
      <c r="D188" s="81">
        <v>8374.2999999999993</v>
      </c>
      <c r="E188" s="81">
        <v>78</v>
      </c>
      <c r="F188" s="81">
        <v>1943.9</v>
      </c>
      <c r="G188" s="81">
        <f>32436.1-6603.2</f>
        <v>25832.899999999998</v>
      </c>
      <c r="H188" s="81">
        <v>6603.2</v>
      </c>
      <c r="I188" s="81">
        <f>2851-1036.6</f>
        <v>1814.4</v>
      </c>
      <c r="J188" s="81">
        <v>1036.5999999999999</v>
      </c>
      <c r="K188" s="81">
        <f>J188+I188+H188+G188+F188+E188</f>
        <v>37309</v>
      </c>
      <c r="L188" s="82">
        <v>45683.199999999997</v>
      </c>
    </row>
    <row r="189" spans="3:12" ht="15.75" hidden="1">
      <c r="C189" s="57"/>
      <c r="D189" s="81"/>
      <c r="E189" s="81"/>
      <c r="F189" s="81"/>
      <c r="G189" s="81"/>
      <c r="H189" s="81"/>
      <c r="I189" s="81"/>
      <c r="J189" s="81"/>
      <c r="K189" s="81"/>
      <c r="L189" s="82"/>
    </row>
    <row r="190" spans="3:12" ht="15.75" hidden="1">
      <c r="C190" s="57" t="s">
        <v>306</v>
      </c>
      <c r="D190" s="81">
        <v>8313.2000000000007</v>
      </c>
      <c r="E190" s="81">
        <v>206.6</v>
      </c>
      <c r="F190" s="81">
        <v>1903.6</v>
      </c>
      <c r="G190" s="81">
        <f>32298.6-6435.5</f>
        <v>25863.1</v>
      </c>
      <c r="H190" s="81">
        <v>6435.5</v>
      </c>
      <c r="I190" s="81">
        <f>3005.7-994.3</f>
        <v>2011.3999999999999</v>
      </c>
      <c r="J190" s="81">
        <v>994.3</v>
      </c>
      <c r="K190" s="81">
        <f>J190+I190+H190+G190+F190+E190</f>
        <v>37414.5</v>
      </c>
      <c r="L190" s="82">
        <v>45727.7</v>
      </c>
    </row>
    <row r="191" spans="3:12" ht="15.75" hidden="1">
      <c r="C191" s="57"/>
      <c r="D191" s="81"/>
      <c r="E191" s="81"/>
      <c r="F191" s="81"/>
      <c r="G191" s="81"/>
      <c r="H191" s="81"/>
      <c r="I191" s="81"/>
      <c r="J191" s="81"/>
      <c r="K191" s="81"/>
      <c r="L191" s="82"/>
    </row>
    <row r="192" spans="3:12" ht="15.75" hidden="1">
      <c r="C192" s="57" t="s">
        <v>307</v>
      </c>
      <c r="D192" s="81">
        <v>8107.3</v>
      </c>
      <c r="E192" s="81">
        <v>125.2</v>
      </c>
      <c r="F192" s="81">
        <v>3092.2</v>
      </c>
      <c r="G192" s="81">
        <f>38399.7-7385.2</f>
        <v>31014.499999999996</v>
      </c>
      <c r="H192" s="81">
        <v>7385.2</v>
      </c>
      <c r="I192" s="81">
        <f>3494.7-1089.2</f>
        <v>2405.5</v>
      </c>
      <c r="J192" s="81">
        <v>1089.2</v>
      </c>
      <c r="K192" s="81">
        <f>J192+I192+H192+G192+F192+E192</f>
        <v>45111.799999999988</v>
      </c>
      <c r="L192" s="82">
        <v>53219.1</v>
      </c>
    </row>
    <row r="193" spans="3:12" ht="15.75" hidden="1">
      <c r="C193" s="57"/>
      <c r="D193" s="81"/>
      <c r="E193" s="81"/>
      <c r="F193" s="81"/>
      <c r="G193" s="81"/>
      <c r="H193" s="81"/>
      <c r="I193" s="81"/>
      <c r="J193" s="81"/>
      <c r="K193" s="81"/>
      <c r="L193" s="82"/>
    </row>
    <row r="194" spans="3:12" ht="15.75" hidden="1">
      <c r="C194" s="57" t="s">
        <v>308</v>
      </c>
      <c r="D194" s="81">
        <v>9047.1</v>
      </c>
      <c r="E194" s="81">
        <v>78.2</v>
      </c>
      <c r="F194" s="81">
        <v>2724</v>
      </c>
      <c r="G194" s="81">
        <f>38324.9-6803.2</f>
        <v>31521.7</v>
      </c>
      <c r="H194" s="81">
        <v>6803.2</v>
      </c>
      <c r="I194" s="81">
        <f>3558.3-1361.9</f>
        <v>2196.4</v>
      </c>
      <c r="J194" s="81">
        <v>1361.9</v>
      </c>
      <c r="K194" s="81">
        <f>J194+I194+H194+G194+F194+E194</f>
        <v>44685.399999999994</v>
      </c>
      <c r="L194" s="82">
        <v>53732.5</v>
      </c>
    </row>
    <row r="195" spans="3:12" ht="15.75" hidden="1">
      <c r="C195" s="57"/>
      <c r="D195" s="81"/>
      <c r="E195" s="81"/>
      <c r="F195" s="81"/>
      <c r="G195" s="81"/>
      <c r="H195" s="81"/>
      <c r="I195" s="81"/>
      <c r="J195" s="81"/>
      <c r="K195" s="81"/>
      <c r="L195" s="82"/>
    </row>
    <row r="196" spans="3:12" ht="15.75" hidden="1">
      <c r="C196" s="57" t="s">
        <v>311</v>
      </c>
      <c r="D196" s="81">
        <v>9451.4</v>
      </c>
      <c r="E196" s="81">
        <v>110</v>
      </c>
      <c r="F196" s="81">
        <v>3031</v>
      </c>
      <c r="G196" s="81">
        <f>37474-7044.5</f>
        <v>30429.5</v>
      </c>
      <c r="H196" s="81">
        <v>7044.5</v>
      </c>
      <c r="I196" s="81">
        <f>2533.5-1169.8</f>
        <v>1363.7</v>
      </c>
      <c r="J196" s="81">
        <v>1169.8</v>
      </c>
      <c r="K196" s="81">
        <f>J196+I196+H196+G196+F196+E196</f>
        <v>43148.5</v>
      </c>
      <c r="L196" s="82">
        <v>52599.8</v>
      </c>
    </row>
    <row r="197" spans="3:12" ht="15.75" hidden="1">
      <c r="C197" s="57"/>
      <c r="D197" s="78"/>
      <c r="E197" s="78"/>
      <c r="F197" s="78"/>
      <c r="G197" s="83"/>
      <c r="H197" s="78"/>
      <c r="I197" s="83"/>
      <c r="J197" s="78"/>
      <c r="K197" s="81"/>
      <c r="L197" s="79"/>
    </row>
    <row r="198" spans="3:12" ht="19.5" hidden="1" customHeight="1">
      <c r="C198" s="73">
        <v>2001</v>
      </c>
      <c r="D198" s="78"/>
      <c r="E198" s="78"/>
      <c r="F198" s="78"/>
      <c r="G198" s="83"/>
      <c r="H198" s="78"/>
      <c r="I198" s="83"/>
      <c r="J198" s="78"/>
      <c r="K198" s="81"/>
      <c r="L198" s="79"/>
    </row>
    <row r="199" spans="3:12" ht="19.5" hidden="1" customHeight="1">
      <c r="C199" s="57"/>
      <c r="D199" s="78"/>
      <c r="E199" s="78"/>
      <c r="F199" s="78"/>
      <c r="G199" s="83"/>
      <c r="H199" s="78"/>
      <c r="I199" s="83"/>
      <c r="J199" s="78"/>
      <c r="K199" s="81"/>
      <c r="L199" s="79"/>
    </row>
    <row r="200" spans="3:12" ht="19.5" hidden="1" customHeight="1">
      <c r="C200" s="57" t="s">
        <v>298</v>
      </c>
      <c r="D200" s="81">
        <v>8622.7999999999993</v>
      </c>
      <c r="E200" s="81">
        <v>146.9</v>
      </c>
      <c r="F200" s="81">
        <v>5387.8</v>
      </c>
      <c r="G200" s="73">
        <f>43607.8-6605.2</f>
        <v>37002.600000000006</v>
      </c>
      <c r="H200" s="81">
        <v>6605.2</v>
      </c>
      <c r="I200" s="73">
        <f>4062.4-1302.1</f>
        <v>2760.3</v>
      </c>
      <c r="J200" s="81">
        <v>1302.0999999999999</v>
      </c>
      <c r="K200" s="81">
        <f>J200+I200+H200+G200+F200+E200</f>
        <v>53204.900000000009</v>
      </c>
      <c r="L200" s="82">
        <v>61827.7</v>
      </c>
    </row>
    <row r="201" spans="3:12" ht="19.5" hidden="1" customHeight="1">
      <c r="C201" s="57"/>
      <c r="D201" s="81"/>
      <c r="E201" s="81"/>
      <c r="F201" s="81"/>
      <c r="G201" s="73"/>
      <c r="H201" s="81"/>
      <c r="I201" s="73"/>
      <c r="J201" s="81"/>
      <c r="K201" s="81"/>
      <c r="L201" s="82"/>
    </row>
    <row r="202" spans="3:12" ht="19.5" hidden="1" customHeight="1">
      <c r="C202" s="57" t="s">
        <v>299</v>
      </c>
      <c r="D202" s="81">
        <v>9094.5</v>
      </c>
      <c r="E202" s="81">
        <v>144.5</v>
      </c>
      <c r="F202" s="81">
        <v>4663</v>
      </c>
      <c r="G202" s="73">
        <f>45820.9-6431.6</f>
        <v>39389.300000000003</v>
      </c>
      <c r="H202" s="81">
        <v>6431.6</v>
      </c>
      <c r="I202" s="73">
        <f>4431.4-1546.5</f>
        <v>2884.8999999999996</v>
      </c>
      <c r="J202" s="81">
        <v>1546.5</v>
      </c>
      <c r="K202" s="81">
        <f>J202+I202+H202+G202+F202+E202</f>
        <v>55059.8</v>
      </c>
      <c r="L202" s="82">
        <v>64154.2</v>
      </c>
    </row>
    <row r="203" spans="3:12" ht="19.5" hidden="1" customHeight="1">
      <c r="C203" s="57"/>
      <c r="D203" s="81"/>
      <c r="E203" s="81"/>
      <c r="F203" s="81"/>
      <c r="G203" s="73"/>
      <c r="H203" s="81"/>
      <c r="I203" s="73"/>
      <c r="J203" s="81"/>
      <c r="K203" s="81"/>
      <c r="L203" s="82"/>
    </row>
    <row r="204" spans="3:12" ht="19.5" hidden="1" customHeight="1">
      <c r="C204" s="57" t="s">
        <v>300</v>
      </c>
      <c r="D204" s="81">
        <v>10015.9</v>
      </c>
      <c r="E204" s="81">
        <v>37.4</v>
      </c>
      <c r="F204" s="81">
        <v>4929.1000000000004</v>
      </c>
      <c r="G204" s="73">
        <f>47847.2-6292.4</f>
        <v>41554.799999999996</v>
      </c>
      <c r="H204" s="81">
        <v>6292.4</v>
      </c>
      <c r="I204" s="73">
        <f>2963.7-1428.3</f>
        <v>1535.3999999999999</v>
      </c>
      <c r="J204" s="81">
        <v>1428.3</v>
      </c>
      <c r="K204" s="81">
        <f>J204+I204+H204+G204+F204+E204</f>
        <v>55777.399999999994</v>
      </c>
      <c r="L204" s="82">
        <v>65793.399999999994</v>
      </c>
    </row>
    <row r="205" spans="3:12" ht="19.5" hidden="1" customHeight="1">
      <c r="C205" s="57"/>
      <c r="D205" s="81"/>
      <c r="E205" s="81"/>
      <c r="F205" s="81"/>
      <c r="G205" s="73"/>
      <c r="H205" s="81"/>
      <c r="I205" s="73"/>
      <c r="J205" s="81"/>
      <c r="K205" s="81"/>
      <c r="L205" s="82"/>
    </row>
    <row r="206" spans="3:12" ht="19.5" hidden="1" customHeight="1">
      <c r="C206" s="57" t="s">
        <v>301</v>
      </c>
      <c r="D206" s="81">
        <v>10557</v>
      </c>
      <c r="E206" s="81">
        <v>201.7</v>
      </c>
      <c r="F206" s="81">
        <v>5076.2</v>
      </c>
      <c r="G206" s="73">
        <f>53591.2-H206</f>
        <v>47378.399999999994</v>
      </c>
      <c r="H206" s="81">
        <v>6212.8</v>
      </c>
      <c r="I206" s="73">
        <f>3951.6-J206</f>
        <v>2334.3000000000002</v>
      </c>
      <c r="J206" s="81">
        <v>1617.3</v>
      </c>
      <c r="K206" s="81">
        <f>J206+I206+H206+G206+F206+E206</f>
        <v>62820.69999999999</v>
      </c>
      <c r="L206" s="82">
        <v>73377.600000000006</v>
      </c>
    </row>
    <row r="207" spans="3:12" ht="19.5" hidden="1" customHeight="1">
      <c r="C207" s="57"/>
      <c r="D207" s="81"/>
      <c r="E207" s="81"/>
      <c r="F207" s="81"/>
      <c r="G207" s="73"/>
      <c r="H207" s="81"/>
      <c r="I207" s="73"/>
      <c r="J207" s="81"/>
      <c r="K207" s="81"/>
      <c r="L207" s="82"/>
    </row>
    <row r="208" spans="3:12" ht="19.5" hidden="1" customHeight="1">
      <c r="C208" s="57" t="s">
        <v>302</v>
      </c>
      <c r="D208" s="81">
        <v>11872.5</v>
      </c>
      <c r="E208" s="81">
        <v>235.9</v>
      </c>
      <c r="F208" s="81">
        <v>3828.9</v>
      </c>
      <c r="G208" s="73">
        <f>59528.6-6110.8</f>
        <v>53417.799999999996</v>
      </c>
      <c r="H208" s="81">
        <v>6110.8</v>
      </c>
      <c r="I208" s="81">
        <f>4477-1540.4</f>
        <v>2936.6</v>
      </c>
      <c r="J208" s="81">
        <v>1540.4</v>
      </c>
      <c r="K208" s="81">
        <f>J208+I208+H208+G208+F208+E208</f>
        <v>68070.39999999998</v>
      </c>
      <c r="L208" s="82">
        <v>79942.899999999994</v>
      </c>
    </row>
    <row r="209" spans="3:12" ht="19.5" hidden="1" customHeight="1">
      <c r="C209" s="57"/>
      <c r="D209" s="81"/>
      <c r="E209" s="81"/>
      <c r="F209" s="81"/>
      <c r="G209" s="73"/>
      <c r="H209" s="81"/>
      <c r="I209" s="81"/>
      <c r="J209" s="81"/>
      <c r="K209" s="81"/>
      <c r="L209" s="82"/>
    </row>
    <row r="210" spans="3:12" ht="19.5" hidden="1" customHeight="1">
      <c r="C210" s="57" t="s">
        <v>303</v>
      </c>
      <c r="D210" s="81">
        <v>13584.7</v>
      </c>
      <c r="E210" s="81">
        <v>428.2</v>
      </c>
      <c r="F210" s="81">
        <v>3897.2</v>
      </c>
      <c r="G210" s="73">
        <f>58342.4-6211.4</f>
        <v>52131</v>
      </c>
      <c r="H210" s="81">
        <v>6211.4</v>
      </c>
      <c r="I210" s="81">
        <f>3497.3-1247.8</f>
        <v>2249.5</v>
      </c>
      <c r="J210" s="81">
        <v>1247.8</v>
      </c>
      <c r="K210" s="81">
        <f>J210+I210+H210+G210+F210+E210</f>
        <v>66165.099999999991</v>
      </c>
      <c r="L210" s="82">
        <v>79749.7</v>
      </c>
    </row>
    <row r="211" spans="3:12" ht="19.5" hidden="1" customHeight="1">
      <c r="C211" s="57"/>
      <c r="D211" s="81"/>
      <c r="E211" s="81"/>
      <c r="F211" s="81"/>
      <c r="G211" s="73"/>
      <c r="H211" s="81"/>
      <c r="I211" s="81"/>
      <c r="J211" s="81"/>
      <c r="K211" s="81"/>
      <c r="L211" s="82"/>
    </row>
    <row r="212" spans="3:12" ht="19.5" hidden="1" customHeight="1">
      <c r="C212" s="57" t="s">
        <v>304</v>
      </c>
      <c r="D212" s="81">
        <v>15254.9</v>
      </c>
      <c r="E212" s="81">
        <v>261.10000000000002</v>
      </c>
      <c r="F212" s="81">
        <v>6432.9</v>
      </c>
      <c r="G212" s="73">
        <f>64680.6-5799.3</f>
        <v>58881.299999999996</v>
      </c>
      <c r="H212" s="81">
        <v>5799.3</v>
      </c>
      <c r="I212" s="81">
        <f>3154.4-744.2</f>
        <v>2410.1999999999998</v>
      </c>
      <c r="J212" s="81">
        <v>744.2</v>
      </c>
      <c r="K212" s="81">
        <f>J212+I212+H212+G212+F212+E212</f>
        <v>74529</v>
      </c>
      <c r="L212" s="82">
        <v>89783.9</v>
      </c>
    </row>
    <row r="213" spans="3:12" ht="19.5" hidden="1" customHeight="1">
      <c r="C213" s="57"/>
      <c r="D213" s="81"/>
      <c r="E213" s="81"/>
      <c r="F213" s="81"/>
      <c r="G213" s="73"/>
      <c r="H213" s="81"/>
      <c r="I213" s="81"/>
      <c r="J213" s="81"/>
      <c r="K213" s="81"/>
      <c r="L213" s="82"/>
    </row>
    <row r="214" spans="3:12" ht="19.5" hidden="1" customHeight="1">
      <c r="C214" s="57" t="s">
        <v>305</v>
      </c>
      <c r="D214" s="81">
        <v>18349.7</v>
      </c>
      <c r="E214" s="81">
        <v>196.5</v>
      </c>
      <c r="F214" s="81">
        <v>4488</v>
      </c>
      <c r="G214" s="73">
        <f>75236.9-5862.2</f>
        <v>69374.7</v>
      </c>
      <c r="H214" s="81">
        <v>5862.2</v>
      </c>
      <c r="I214" s="81">
        <f>1284.3-556.8</f>
        <v>727.5</v>
      </c>
      <c r="J214" s="81">
        <v>556.79999999999995</v>
      </c>
      <c r="K214" s="81">
        <f>J214+I214+H214+G214+F214+E214</f>
        <v>81205.7</v>
      </c>
      <c r="L214" s="82">
        <v>99555.4</v>
      </c>
    </row>
    <row r="215" spans="3:12" ht="19.5" hidden="1" customHeight="1">
      <c r="C215" s="57"/>
      <c r="D215" s="81"/>
      <c r="E215" s="81"/>
      <c r="F215" s="81"/>
      <c r="G215" s="73"/>
      <c r="H215" s="81"/>
      <c r="I215" s="81"/>
      <c r="J215" s="81"/>
      <c r="K215" s="81"/>
      <c r="L215" s="82"/>
    </row>
    <row r="216" spans="3:12" ht="19.5" hidden="1" customHeight="1">
      <c r="C216" s="57" t="s">
        <v>306</v>
      </c>
      <c r="D216" s="81">
        <v>20484.099999999999</v>
      </c>
      <c r="E216" s="81">
        <v>183.1</v>
      </c>
      <c r="F216" s="81">
        <v>5162</v>
      </c>
      <c r="G216" s="73">
        <f>74962.9-5754.4</f>
        <v>69208.5</v>
      </c>
      <c r="H216" s="81">
        <v>5754.4</v>
      </c>
      <c r="I216" s="81">
        <f>2549.6-745.1</f>
        <v>1804.5</v>
      </c>
      <c r="J216" s="81">
        <v>745.1</v>
      </c>
      <c r="K216" s="81">
        <f>J216+I216+H216+G216+F216+E216</f>
        <v>82857.600000000006</v>
      </c>
      <c r="L216" s="82">
        <v>103341.8</v>
      </c>
    </row>
    <row r="217" spans="3:12" ht="19.5" hidden="1" customHeight="1">
      <c r="C217" s="57"/>
      <c r="D217" s="81"/>
      <c r="E217" s="81"/>
      <c r="F217" s="81"/>
      <c r="G217" s="73"/>
      <c r="H217" s="81"/>
      <c r="I217" s="81"/>
      <c r="J217" s="81"/>
      <c r="K217" s="81"/>
      <c r="L217" s="82"/>
    </row>
    <row r="218" spans="3:12" ht="19.5" hidden="1" customHeight="1">
      <c r="C218" s="57" t="s">
        <v>307</v>
      </c>
      <c r="D218" s="81">
        <v>20533.099999999999</v>
      </c>
      <c r="E218" s="81">
        <v>436.4</v>
      </c>
      <c r="F218" s="81">
        <v>4911.5</v>
      </c>
      <c r="G218" s="73">
        <f>86770.4-4818.8</f>
        <v>81951.599999999991</v>
      </c>
      <c r="H218" s="81">
        <v>4818.8</v>
      </c>
      <c r="I218" s="81">
        <f>2808.1-490.7</f>
        <v>2317.4</v>
      </c>
      <c r="J218" s="81">
        <v>490.7</v>
      </c>
      <c r="K218" s="81">
        <f>J218+I218+H218+G218+F218+E218</f>
        <v>94926.39999999998</v>
      </c>
      <c r="L218" s="82">
        <v>115459.5</v>
      </c>
    </row>
    <row r="219" spans="3:12" ht="19.5" hidden="1" customHeight="1">
      <c r="C219" s="57"/>
      <c r="D219" s="81"/>
      <c r="E219" s="81"/>
      <c r="F219" s="81"/>
      <c r="G219" s="73"/>
      <c r="H219" s="81"/>
      <c r="I219" s="81"/>
      <c r="J219" s="81"/>
      <c r="K219" s="81"/>
      <c r="L219" s="82"/>
    </row>
    <row r="220" spans="3:12" ht="19.5" hidden="1" customHeight="1">
      <c r="C220" s="57" t="s">
        <v>308</v>
      </c>
      <c r="D220" s="81">
        <v>24281</v>
      </c>
      <c r="E220" s="81">
        <v>159.80000000000001</v>
      </c>
      <c r="F220" s="81">
        <v>5416.7</v>
      </c>
      <c r="G220" s="73">
        <f>92080.5-5828</f>
        <v>86252.5</v>
      </c>
      <c r="H220" s="81">
        <v>5828</v>
      </c>
      <c r="I220" s="73">
        <f>4948.6-1651.8</f>
        <v>3296.8</v>
      </c>
      <c r="J220" s="81">
        <v>1651.8</v>
      </c>
      <c r="K220" s="81">
        <f>J220+I220+H220+G220+F220+E220</f>
        <v>102605.6</v>
      </c>
      <c r="L220" s="82">
        <v>126886.6</v>
      </c>
    </row>
    <row r="221" spans="3:12" ht="19.5" hidden="1" customHeight="1">
      <c r="C221" s="57"/>
      <c r="D221" s="81"/>
      <c r="E221" s="81"/>
      <c r="F221" s="81"/>
      <c r="G221" s="73"/>
      <c r="H221" s="81"/>
      <c r="I221" s="73"/>
      <c r="J221" s="81"/>
      <c r="K221" s="81"/>
      <c r="L221" s="82"/>
    </row>
    <row r="222" spans="3:12" ht="19.5" hidden="1" customHeight="1">
      <c r="C222" s="57" t="s">
        <v>311</v>
      </c>
      <c r="D222" s="81">
        <v>24673.3</v>
      </c>
      <c r="E222" s="81">
        <v>160.80000000000001</v>
      </c>
      <c r="F222" s="81">
        <v>5447.6</v>
      </c>
      <c r="G222" s="73">
        <f>93843.6-5397.5</f>
        <v>88446.1</v>
      </c>
      <c r="H222" s="81">
        <v>5397.5</v>
      </c>
      <c r="I222" s="73">
        <f>4366.9-678.2</f>
        <v>3688.7</v>
      </c>
      <c r="J222" s="81">
        <v>678.2</v>
      </c>
      <c r="K222" s="81">
        <f>J222+I222+H222+G222+F222+E222</f>
        <v>103818.90000000001</v>
      </c>
      <c r="L222" s="82">
        <v>128492.2</v>
      </c>
    </row>
    <row r="223" spans="3:12" ht="19.5" hidden="1" customHeight="1">
      <c r="C223" s="57"/>
      <c r="D223" s="81"/>
      <c r="E223" s="81"/>
      <c r="F223" s="81"/>
      <c r="G223" s="73"/>
      <c r="H223" s="81"/>
      <c r="I223" s="73"/>
      <c r="J223" s="81"/>
      <c r="K223" s="81"/>
      <c r="L223" s="82"/>
    </row>
    <row r="224" spans="3:12" ht="19.5" hidden="1" customHeight="1">
      <c r="C224" s="73">
        <v>2002</v>
      </c>
      <c r="D224" s="81"/>
      <c r="E224" s="81"/>
      <c r="F224" s="81"/>
      <c r="G224" s="73"/>
      <c r="H224" s="81"/>
      <c r="I224" s="73"/>
      <c r="J224" s="81"/>
      <c r="K224" s="81"/>
      <c r="L224" s="82"/>
    </row>
    <row r="225" spans="3:12" ht="19.5" hidden="1" customHeight="1">
      <c r="C225" s="73"/>
      <c r="D225" s="81"/>
      <c r="E225" s="81"/>
      <c r="F225" s="81"/>
      <c r="G225" s="73"/>
      <c r="H225" s="81"/>
      <c r="I225" s="73"/>
      <c r="J225" s="81"/>
      <c r="K225" s="81"/>
      <c r="L225" s="82"/>
    </row>
    <row r="226" spans="3:12" ht="19.5" hidden="1" customHeight="1">
      <c r="C226" s="57" t="s">
        <v>298</v>
      </c>
      <c r="D226" s="81">
        <v>24552.6</v>
      </c>
      <c r="E226" s="81">
        <v>126.1</v>
      </c>
      <c r="F226" s="81">
        <v>8663.2999999999993</v>
      </c>
      <c r="G226" s="81">
        <f>99069.9-6877.9</f>
        <v>92192</v>
      </c>
      <c r="H226" s="81">
        <v>6877.9</v>
      </c>
      <c r="I226" s="73">
        <f>5247.8-810.4</f>
        <v>4437.4000000000005</v>
      </c>
      <c r="J226" s="81">
        <v>810.4</v>
      </c>
      <c r="K226" s="81">
        <f>J226+I226+H226+G226+F226+E226</f>
        <v>113107.1</v>
      </c>
      <c r="L226" s="82">
        <v>137659.6</v>
      </c>
    </row>
    <row r="227" spans="3:12" ht="19.5" hidden="1" customHeight="1">
      <c r="C227" s="57"/>
      <c r="D227" s="81"/>
      <c r="E227" s="81"/>
      <c r="F227" s="81"/>
      <c r="G227" s="73"/>
      <c r="H227" s="81"/>
      <c r="I227" s="73"/>
      <c r="J227" s="81"/>
      <c r="K227" s="81"/>
      <c r="L227" s="82"/>
    </row>
    <row r="228" spans="3:12" ht="19.5" hidden="1" customHeight="1">
      <c r="C228" s="57" t="s">
        <v>299</v>
      </c>
      <c r="D228" s="81">
        <v>26138.6</v>
      </c>
      <c r="E228" s="81">
        <v>135.19999999999999</v>
      </c>
      <c r="F228" s="81">
        <v>9806.2000000000007</v>
      </c>
      <c r="G228" s="73">
        <f>109795.4-6637.2</f>
        <v>103158.2</v>
      </c>
      <c r="H228" s="81">
        <v>6637.2</v>
      </c>
      <c r="I228" s="73">
        <f>7631.6-897.5</f>
        <v>6734.1</v>
      </c>
      <c r="J228" s="81">
        <v>897.5</v>
      </c>
      <c r="K228" s="81">
        <f>J228+I228+H228+G228+F228+E228</f>
        <v>127368.4</v>
      </c>
      <c r="L228" s="82">
        <v>153507</v>
      </c>
    </row>
    <row r="229" spans="3:12" ht="19.5" hidden="1" customHeight="1">
      <c r="C229" s="57"/>
      <c r="D229" s="81"/>
      <c r="E229" s="81"/>
      <c r="F229" s="81"/>
      <c r="G229" s="73"/>
      <c r="H229" s="81"/>
      <c r="I229" s="73"/>
      <c r="J229" s="81"/>
      <c r="K229" s="81"/>
      <c r="L229" s="82"/>
    </row>
    <row r="230" spans="3:12" ht="19.5" hidden="1" customHeight="1">
      <c r="C230" s="57" t="s">
        <v>300</v>
      </c>
      <c r="D230" s="81">
        <v>29921.4</v>
      </c>
      <c r="E230" s="81">
        <v>413.4</v>
      </c>
      <c r="F230" s="81">
        <v>11712.7</v>
      </c>
      <c r="G230" s="73">
        <f>108760.4-5953.1</f>
        <v>102807.29999999999</v>
      </c>
      <c r="H230" s="81">
        <v>5953.1</v>
      </c>
      <c r="I230" s="73">
        <f>4183.1-778.8</f>
        <v>3404.3</v>
      </c>
      <c r="J230" s="81">
        <v>778.8</v>
      </c>
      <c r="K230" s="81">
        <f>J230+I230+H230+G230+F230+E230</f>
        <v>125069.59999999998</v>
      </c>
      <c r="L230" s="82">
        <v>154991.1</v>
      </c>
    </row>
    <row r="231" spans="3:12" ht="19.5" hidden="1" customHeight="1">
      <c r="C231" s="57"/>
      <c r="D231" s="81"/>
      <c r="E231" s="81"/>
      <c r="F231" s="81"/>
      <c r="G231" s="73"/>
      <c r="H231" s="81"/>
      <c r="I231" s="73"/>
      <c r="J231" s="81"/>
      <c r="K231" s="81"/>
      <c r="L231" s="82"/>
    </row>
    <row r="232" spans="3:12" ht="19.5" hidden="1" customHeight="1">
      <c r="C232" s="57" t="s">
        <v>301</v>
      </c>
      <c r="D232" s="81">
        <v>30191.5</v>
      </c>
      <c r="E232" s="81">
        <v>310.10000000000002</v>
      </c>
      <c r="F232" s="81">
        <v>13051.4</v>
      </c>
      <c r="G232" s="73">
        <v>117795.1</v>
      </c>
      <c r="H232" s="81">
        <v>6065.4</v>
      </c>
      <c r="I232" s="73">
        <v>3962.6</v>
      </c>
      <c r="J232" s="81">
        <v>792.5</v>
      </c>
      <c r="K232" s="81">
        <f>J232+I232+H232+G232+F232+E232</f>
        <v>141977.1</v>
      </c>
      <c r="L232" s="82">
        <v>172168.7</v>
      </c>
    </row>
    <row r="233" spans="3:12" ht="19.5" hidden="1" customHeight="1">
      <c r="C233" s="57"/>
      <c r="D233" s="81"/>
      <c r="E233" s="81"/>
      <c r="F233" s="81"/>
      <c r="G233" s="73"/>
      <c r="H233" s="81"/>
      <c r="I233" s="73"/>
      <c r="J233" s="81"/>
      <c r="K233" s="81"/>
      <c r="L233" s="82"/>
    </row>
    <row r="234" spans="3:12" ht="19.5" hidden="1" customHeight="1">
      <c r="C234" s="57" t="s">
        <v>302</v>
      </c>
      <c r="D234" s="81">
        <v>33332.800000000003</v>
      </c>
      <c r="E234" s="81">
        <v>161.6</v>
      </c>
      <c r="F234" s="81">
        <v>14111.8</v>
      </c>
      <c r="G234" s="81">
        <f>127301.3-5709.3</f>
        <v>121592</v>
      </c>
      <c r="H234" s="81">
        <v>5709.3</v>
      </c>
      <c r="I234" s="73">
        <f>4622.8-2583.4</f>
        <v>2039.4</v>
      </c>
      <c r="J234" s="81">
        <v>2583.4</v>
      </c>
      <c r="K234" s="81">
        <f>J234+I234+H234+G234+F234+E234</f>
        <v>146197.5</v>
      </c>
      <c r="L234" s="82">
        <v>179530.3</v>
      </c>
    </row>
    <row r="235" spans="3:12" ht="19.5" hidden="1" customHeight="1">
      <c r="C235" s="57"/>
      <c r="D235" s="81"/>
      <c r="E235" s="81"/>
      <c r="F235" s="81"/>
      <c r="G235" s="81"/>
      <c r="H235" s="81"/>
      <c r="I235" s="73"/>
      <c r="J235" s="81"/>
      <c r="K235" s="81"/>
      <c r="L235" s="82"/>
    </row>
    <row r="236" spans="3:12" ht="19.5" hidden="1" customHeight="1">
      <c r="C236" s="57" t="s">
        <v>303</v>
      </c>
      <c r="D236" s="81">
        <v>39178.5</v>
      </c>
      <c r="E236" s="81">
        <v>476</v>
      </c>
      <c r="F236" s="81">
        <v>18401.2</v>
      </c>
      <c r="G236" s="73">
        <f>117211.9-7035.8</f>
        <v>110176.09999999999</v>
      </c>
      <c r="H236" s="81">
        <v>7035.8</v>
      </c>
      <c r="I236" s="73">
        <f>2988.8-557.3</f>
        <v>2431.5</v>
      </c>
      <c r="J236" s="81">
        <v>557.29999999999995</v>
      </c>
      <c r="K236" s="81">
        <f>J236+I236+H236+G236+F236+E236</f>
        <v>139077.9</v>
      </c>
      <c r="L236" s="82">
        <v>178256.5</v>
      </c>
    </row>
    <row r="237" spans="3:12" ht="19.5" hidden="1" customHeight="1">
      <c r="C237" s="57"/>
      <c r="D237" s="81"/>
      <c r="E237" s="81"/>
      <c r="F237" s="81"/>
      <c r="G237" s="73"/>
      <c r="H237" s="81"/>
      <c r="I237" s="73"/>
      <c r="J237" s="81"/>
      <c r="K237" s="81"/>
      <c r="L237" s="82"/>
    </row>
    <row r="238" spans="3:12" ht="19.5" hidden="1" customHeight="1">
      <c r="C238" s="57" t="s">
        <v>304</v>
      </c>
      <c r="D238" s="81">
        <v>42946.7</v>
      </c>
      <c r="E238" s="81">
        <v>120.7</v>
      </c>
      <c r="F238" s="81">
        <v>17642.900000000001</v>
      </c>
      <c r="G238" s="73">
        <f>134698.8-7134.1</f>
        <v>127564.69999999998</v>
      </c>
      <c r="H238" s="81">
        <v>7134.1</v>
      </c>
      <c r="I238" s="73">
        <f>6821.1-742.8</f>
        <v>6078.3</v>
      </c>
      <c r="J238" s="81">
        <v>742.8</v>
      </c>
      <c r="K238" s="81">
        <f>J238+I238+H238+G238+F238+E238</f>
        <v>159283.5</v>
      </c>
      <c r="L238" s="82">
        <v>202230.2</v>
      </c>
    </row>
    <row r="239" spans="3:12" ht="19.5" hidden="1" customHeight="1">
      <c r="C239" s="61"/>
      <c r="D239" s="81"/>
      <c r="E239" s="81"/>
      <c r="F239" s="81"/>
      <c r="G239" s="73"/>
      <c r="H239" s="81"/>
      <c r="I239" s="73"/>
      <c r="J239" s="81"/>
      <c r="K239" s="81"/>
      <c r="L239" s="82"/>
    </row>
    <row r="240" spans="3:12" ht="19.5" hidden="1" customHeight="1">
      <c r="C240" s="57" t="s">
        <v>305</v>
      </c>
      <c r="D240" s="81">
        <v>45368.5</v>
      </c>
      <c r="E240" s="81">
        <v>2202.6</v>
      </c>
      <c r="F240" s="81">
        <v>15780.7</v>
      </c>
      <c r="G240" s="73">
        <f>150546.7-6927.1</f>
        <v>143619.6</v>
      </c>
      <c r="H240" s="81">
        <v>6927.1</v>
      </c>
      <c r="I240" s="81">
        <f>6575-658.2</f>
        <v>5916.8</v>
      </c>
      <c r="J240" s="81">
        <v>658.2</v>
      </c>
      <c r="K240" s="81">
        <f>J240+I240+H240+G240+F240+E240</f>
        <v>175105.00000000003</v>
      </c>
      <c r="L240" s="82">
        <v>220473.5</v>
      </c>
    </row>
    <row r="241" spans="3:12" ht="19.5" hidden="1" customHeight="1">
      <c r="C241" s="57"/>
      <c r="D241" s="81"/>
      <c r="E241" s="81"/>
      <c r="F241" s="81"/>
      <c r="G241" s="73"/>
      <c r="H241" s="81"/>
      <c r="I241" s="81"/>
      <c r="J241" s="81"/>
      <c r="K241" s="81"/>
      <c r="L241" s="82"/>
    </row>
    <row r="242" spans="3:12" ht="19.5" hidden="1" customHeight="1">
      <c r="C242" s="57" t="s">
        <v>306</v>
      </c>
      <c r="D242" s="81">
        <v>49789.3</v>
      </c>
      <c r="E242" s="81">
        <v>7236.9</v>
      </c>
      <c r="F242" s="81">
        <v>17872.5</v>
      </c>
      <c r="G242" s="73">
        <f>164297.3-3912.2</f>
        <v>160385.09999999998</v>
      </c>
      <c r="H242" s="81">
        <v>3912.2</v>
      </c>
      <c r="I242" s="73">
        <f>6483.7-696.8</f>
        <v>5786.9</v>
      </c>
      <c r="J242" s="81">
        <v>696.8</v>
      </c>
      <c r="K242" s="81">
        <f>J242+I242+H242+G242+F242+E242</f>
        <v>195890.39999999997</v>
      </c>
      <c r="L242" s="82">
        <v>245679.7</v>
      </c>
    </row>
    <row r="243" spans="3:12" ht="19.5" hidden="1" customHeight="1">
      <c r="C243" s="57"/>
      <c r="D243" s="81"/>
      <c r="E243" s="81"/>
      <c r="F243" s="81"/>
      <c r="G243" s="73"/>
      <c r="H243" s="81"/>
      <c r="I243" s="73"/>
      <c r="J243" s="81"/>
      <c r="K243" s="81"/>
      <c r="L243" s="82"/>
    </row>
    <row r="244" spans="3:12" ht="19.5" hidden="1" customHeight="1">
      <c r="C244" s="57" t="s">
        <v>307</v>
      </c>
      <c r="D244" s="81">
        <v>64114.2</v>
      </c>
      <c r="E244" s="81">
        <v>2205.3000000000002</v>
      </c>
      <c r="F244" s="81">
        <v>26389.4</v>
      </c>
      <c r="G244" s="73">
        <f>186305-7945.4</f>
        <v>178359.6</v>
      </c>
      <c r="H244" s="81">
        <v>7945.4</v>
      </c>
      <c r="I244" s="73">
        <f>5296.4-555.8</f>
        <v>4740.5999999999995</v>
      </c>
      <c r="J244" s="81">
        <v>555.79999999999995</v>
      </c>
      <c r="K244" s="81">
        <f>J244+I244+H244+G244+F244+E244</f>
        <v>220196.09999999998</v>
      </c>
      <c r="L244" s="82">
        <v>284310.3</v>
      </c>
    </row>
    <row r="245" spans="3:12" ht="19.5" hidden="1" customHeight="1">
      <c r="C245" s="57"/>
      <c r="D245" s="81"/>
      <c r="E245" s="81"/>
      <c r="F245" s="81"/>
      <c r="G245" s="73"/>
      <c r="H245" s="81"/>
      <c r="I245" s="73"/>
      <c r="J245" s="81"/>
      <c r="K245" s="81"/>
      <c r="L245" s="82"/>
    </row>
    <row r="246" spans="3:12" ht="19.5" hidden="1" customHeight="1">
      <c r="C246" s="57" t="s">
        <v>308</v>
      </c>
      <c r="D246" s="81">
        <v>79076.399999999994</v>
      </c>
      <c r="E246" s="81">
        <v>2371.8000000000002</v>
      </c>
      <c r="F246" s="81">
        <v>33991.300000000003</v>
      </c>
      <c r="G246" s="73">
        <f>199058.2-10831.9</f>
        <v>188226.30000000002</v>
      </c>
      <c r="H246" s="81">
        <v>10831.9</v>
      </c>
      <c r="I246" s="73">
        <f>9635.6-513.4</f>
        <v>9122.2000000000007</v>
      </c>
      <c r="J246" s="81">
        <v>513.4</v>
      </c>
      <c r="K246" s="81">
        <f>J246+I246+H246+G246+F246+E246</f>
        <v>245056.90000000002</v>
      </c>
      <c r="L246" s="82">
        <v>324133.3</v>
      </c>
    </row>
    <row r="247" spans="3:12" ht="19.5" hidden="1" customHeight="1">
      <c r="C247" s="57"/>
      <c r="D247" s="81"/>
      <c r="E247" s="81"/>
      <c r="F247" s="81"/>
      <c r="G247" s="73"/>
      <c r="H247" s="81"/>
      <c r="I247" s="73"/>
      <c r="J247" s="81"/>
      <c r="K247" s="81"/>
      <c r="L247" s="82"/>
    </row>
    <row r="248" spans="3:12" ht="19.5" hidden="1" customHeight="1">
      <c r="C248" s="57" t="s">
        <v>311</v>
      </c>
      <c r="D248" s="81">
        <v>77908.7</v>
      </c>
      <c r="E248" s="81">
        <v>672.8</v>
      </c>
      <c r="F248" s="81">
        <v>27949.1</v>
      </c>
      <c r="G248" s="73">
        <f>226805.3-11942.2</f>
        <v>214863.09999999998</v>
      </c>
      <c r="H248" s="81">
        <v>11942.2</v>
      </c>
      <c r="I248" s="73">
        <f>15146.6-442.3</f>
        <v>14704.300000000001</v>
      </c>
      <c r="J248" s="81">
        <v>442.3</v>
      </c>
      <c r="K248" s="81">
        <f>J248+I248+H248+G248+F248+E248</f>
        <v>270573.79999999993</v>
      </c>
      <c r="L248" s="82">
        <v>348482.5</v>
      </c>
    </row>
    <row r="249" spans="3:12" ht="19.5" hidden="1" customHeight="1">
      <c r="C249" s="57"/>
      <c r="D249" s="81"/>
      <c r="E249" s="81"/>
      <c r="F249" s="81"/>
      <c r="G249" s="73"/>
      <c r="H249" s="81"/>
      <c r="I249" s="73"/>
      <c r="J249" s="81"/>
      <c r="K249" s="81"/>
      <c r="L249" s="82"/>
    </row>
    <row r="250" spans="3:12" ht="19.5" hidden="1" customHeight="1">
      <c r="C250" s="73">
        <v>2003</v>
      </c>
      <c r="D250" s="81"/>
      <c r="E250" s="81"/>
      <c r="F250" s="81"/>
      <c r="G250" s="73"/>
      <c r="H250" s="81"/>
      <c r="I250" s="73"/>
      <c r="J250" s="81"/>
      <c r="K250" s="81"/>
      <c r="L250" s="82"/>
    </row>
    <row r="251" spans="3:12" ht="19.5" hidden="1" customHeight="1">
      <c r="C251" s="73"/>
      <c r="D251" s="81"/>
      <c r="E251" s="81"/>
      <c r="F251" s="81"/>
      <c r="G251" s="73"/>
      <c r="H251" s="81"/>
      <c r="I251" s="73"/>
      <c r="J251" s="81"/>
      <c r="K251" s="81"/>
      <c r="L251" s="82"/>
    </row>
    <row r="252" spans="3:12" ht="19.5" hidden="1" customHeight="1">
      <c r="C252" s="57" t="s">
        <v>298</v>
      </c>
      <c r="D252" s="81">
        <v>82874.399999999994</v>
      </c>
      <c r="E252" s="81">
        <v>3160.3</v>
      </c>
      <c r="F252" s="81">
        <v>36466.699999999997</v>
      </c>
      <c r="G252" s="73">
        <f>244854.8-H252</f>
        <v>233668.3</v>
      </c>
      <c r="H252" s="81">
        <v>11186.5</v>
      </c>
      <c r="I252" s="73">
        <f>10044-J252</f>
        <v>9666.4</v>
      </c>
      <c r="J252" s="81">
        <v>377.6</v>
      </c>
      <c r="K252" s="81">
        <f>J252+I252+H252+G252+F252+E252</f>
        <v>294525.8</v>
      </c>
      <c r="L252" s="82">
        <v>377400.2</v>
      </c>
    </row>
    <row r="253" spans="3:12" ht="19.5" hidden="1" customHeight="1">
      <c r="C253" s="57"/>
      <c r="D253" s="81"/>
      <c r="E253" s="81"/>
      <c r="F253" s="81"/>
      <c r="G253" s="73"/>
      <c r="H253" s="81"/>
      <c r="I253" s="73"/>
      <c r="J253" s="81"/>
      <c r="K253" s="81"/>
      <c r="L253" s="82"/>
    </row>
    <row r="254" spans="3:12" ht="19.5" hidden="1" customHeight="1">
      <c r="C254" s="57" t="s">
        <v>299</v>
      </c>
      <c r="D254" s="81">
        <v>89749.9</v>
      </c>
      <c r="E254" s="81">
        <v>3551</v>
      </c>
      <c r="F254" s="81">
        <v>41657.800000000003</v>
      </c>
      <c r="G254" s="73">
        <f>267086.3-H254</f>
        <v>259918.09999999998</v>
      </c>
      <c r="H254" s="81">
        <v>7168.2</v>
      </c>
      <c r="I254" s="73">
        <f>9267.2-J254</f>
        <v>8922.7000000000007</v>
      </c>
      <c r="J254" s="81">
        <v>344.5</v>
      </c>
      <c r="K254" s="81">
        <f>J254+I254+H254+G254+F254+E254</f>
        <v>321562.3</v>
      </c>
      <c r="L254" s="82">
        <v>411312.2</v>
      </c>
    </row>
    <row r="255" spans="3:12" ht="19.5" hidden="1" customHeight="1">
      <c r="C255" s="57"/>
      <c r="D255" s="81"/>
      <c r="E255" s="81"/>
      <c r="F255" s="81"/>
      <c r="G255" s="73"/>
      <c r="H255" s="81"/>
      <c r="I255" s="73"/>
      <c r="J255" s="81"/>
      <c r="K255" s="81"/>
      <c r="L255" s="82"/>
    </row>
    <row r="256" spans="3:12" ht="19.5" hidden="1" customHeight="1">
      <c r="C256" s="57" t="s">
        <v>300</v>
      </c>
      <c r="D256" s="81">
        <v>94506.5</v>
      </c>
      <c r="E256" s="81">
        <v>3478.5</v>
      </c>
      <c r="F256" s="81">
        <v>40475.599999999999</v>
      </c>
      <c r="G256" s="73">
        <f>367618.5-64228.8</f>
        <v>303389.7</v>
      </c>
      <c r="H256" s="81">
        <v>64228.800000000003</v>
      </c>
      <c r="I256" s="81">
        <f>25892.2-15194.2</f>
        <v>10698</v>
      </c>
      <c r="J256" s="81">
        <v>15194.2</v>
      </c>
      <c r="K256" s="81">
        <f>J256+I256+H256+G256+F256+E256</f>
        <v>437464.8</v>
      </c>
      <c r="L256" s="82">
        <v>531971.30000000005</v>
      </c>
    </row>
    <row r="257" spans="3:12" ht="19.5" hidden="1" customHeight="1">
      <c r="C257" s="57"/>
      <c r="D257" s="81"/>
      <c r="E257" s="81"/>
      <c r="F257" s="81"/>
      <c r="G257" s="73"/>
      <c r="H257" s="81"/>
      <c r="I257" s="73"/>
      <c r="J257" s="81"/>
      <c r="K257" s="81"/>
      <c r="L257" s="82"/>
    </row>
    <row r="258" spans="3:12" ht="19.5" hidden="1" customHeight="1">
      <c r="C258" s="74" t="s">
        <v>301</v>
      </c>
      <c r="D258" s="81">
        <v>110321.2</v>
      </c>
      <c r="E258" s="81">
        <v>4472.2</v>
      </c>
      <c r="F258" s="81">
        <v>56171.1</v>
      </c>
      <c r="G258" s="73">
        <f>400812.2-74852.6</f>
        <v>325959.59999999998</v>
      </c>
      <c r="H258" s="81">
        <v>74852.600000000006</v>
      </c>
      <c r="I258" s="73">
        <f>27611.9-J258</f>
        <v>18625.2</v>
      </c>
      <c r="J258" s="81">
        <v>8986.7000000000007</v>
      </c>
      <c r="K258" s="81">
        <f>J258+I258+H258+G258+F258+E258</f>
        <v>489067.39999999997</v>
      </c>
      <c r="L258" s="82">
        <v>599388.69999999995</v>
      </c>
    </row>
    <row r="259" spans="3:12" ht="19.5" hidden="1" customHeight="1">
      <c r="C259" s="84"/>
      <c r="D259" s="81"/>
      <c r="E259" s="81"/>
      <c r="F259" s="81"/>
      <c r="G259" s="73"/>
      <c r="H259" s="81"/>
      <c r="I259" s="73"/>
      <c r="J259" s="81"/>
      <c r="K259" s="81"/>
      <c r="L259" s="82"/>
    </row>
    <row r="260" spans="3:12" ht="19.5" hidden="1" customHeight="1">
      <c r="C260" s="74" t="s">
        <v>302</v>
      </c>
      <c r="D260" s="81">
        <v>130997.6</v>
      </c>
      <c r="E260" s="81">
        <v>4741.8</v>
      </c>
      <c r="F260" s="81">
        <v>59269.8</v>
      </c>
      <c r="G260" s="81">
        <f>415835.1-H260</f>
        <v>349329.3</v>
      </c>
      <c r="H260" s="81">
        <v>66505.8</v>
      </c>
      <c r="I260" s="81">
        <f>35189-J260</f>
        <v>25295</v>
      </c>
      <c r="J260" s="81">
        <v>9894</v>
      </c>
      <c r="K260" s="81">
        <f>J260+I260+H260+G260+F260+E260</f>
        <v>515035.69999999995</v>
      </c>
      <c r="L260" s="82">
        <v>646033.19999999995</v>
      </c>
    </row>
    <row r="261" spans="3:12" ht="19.5" hidden="1" customHeight="1">
      <c r="C261" s="84"/>
      <c r="D261" s="81"/>
      <c r="E261" s="81"/>
      <c r="F261" s="81"/>
      <c r="G261" s="73"/>
      <c r="H261" s="81"/>
      <c r="I261" s="73"/>
      <c r="J261" s="81"/>
      <c r="K261" s="81"/>
      <c r="L261" s="82"/>
    </row>
    <row r="262" spans="3:12" ht="19.5" hidden="1" customHeight="1">
      <c r="C262" s="74" t="s">
        <v>303</v>
      </c>
      <c r="D262" s="81">
        <v>143202.79999999999</v>
      </c>
      <c r="E262" s="81">
        <v>3439.4</v>
      </c>
      <c r="F262" s="81">
        <v>69197.8</v>
      </c>
      <c r="G262" s="81">
        <f>524181.5-H262</f>
        <v>457701</v>
      </c>
      <c r="H262" s="81">
        <v>66480.5</v>
      </c>
      <c r="I262" s="81">
        <f>40321.8-J262</f>
        <v>28680.000000000004</v>
      </c>
      <c r="J262" s="81">
        <v>11641.8</v>
      </c>
      <c r="K262" s="81">
        <f>J262+I262+H262+G262+F262+E262</f>
        <v>637140.50000000012</v>
      </c>
      <c r="L262" s="82">
        <v>780343.4</v>
      </c>
    </row>
    <row r="263" spans="3:12" ht="19.5" hidden="1" customHeight="1">
      <c r="C263" s="74"/>
      <c r="D263" s="81"/>
      <c r="E263" s="81"/>
      <c r="F263" s="81"/>
      <c r="G263" s="73"/>
      <c r="H263" s="81"/>
      <c r="I263" s="73"/>
      <c r="J263" s="81"/>
      <c r="K263" s="81"/>
      <c r="L263" s="82"/>
    </row>
    <row r="264" spans="3:12" ht="19.5" hidden="1" customHeight="1">
      <c r="C264" s="74" t="s">
        <v>304</v>
      </c>
      <c r="D264" s="81">
        <v>159399.6</v>
      </c>
      <c r="E264" s="81">
        <v>3829.6</v>
      </c>
      <c r="F264" s="81">
        <v>55975.1</v>
      </c>
      <c r="G264" s="81">
        <f>667864.8-H264</f>
        <v>-4252235.4989999998</v>
      </c>
      <c r="H264" s="81">
        <f>4920100299/1000</f>
        <v>4920100.2989999996</v>
      </c>
      <c r="I264" s="81">
        <v>725</v>
      </c>
      <c r="J264" s="81">
        <v>15125.4</v>
      </c>
      <c r="K264" s="81">
        <f>J264+I264+H264+G264+F264+E264</f>
        <v>743519.90000000014</v>
      </c>
      <c r="L264" s="82">
        <v>950430.9</v>
      </c>
    </row>
    <row r="265" spans="3:12" ht="19.5" hidden="1" customHeight="1">
      <c r="C265" s="57"/>
      <c r="D265" s="81"/>
      <c r="E265" s="81"/>
      <c r="F265" s="81"/>
      <c r="G265" s="81"/>
      <c r="H265" s="81">
        <f>4698281252/1000</f>
        <v>4698281.2520000003</v>
      </c>
      <c r="I265" s="81">
        <v>20</v>
      </c>
      <c r="J265" s="81"/>
      <c r="K265" s="81"/>
      <c r="L265" s="82"/>
    </row>
    <row r="266" spans="3:12" ht="19.5" hidden="1" customHeight="1">
      <c r="C266" s="57" t="s">
        <v>305</v>
      </c>
      <c r="D266" s="81">
        <v>183029.7</v>
      </c>
      <c r="E266" s="81">
        <v>4712</v>
      </c>
      <c r="F266" s="81">
        <v>72281.3</v>
      </c>
      <c r="G266" s="81">
        <v>693469.8</v>
      </c>
      <c r="H266" s="81">
        <f>6895867959/1000</f>
        <v>6895867.9589999998</v>
      </c>
      <c r="I266" s="81">
        <v>51577</v>
      </c>
      <c r="J266" s="81">
        <v>6812.1</v>
      </c>
      <c r="K266" s="81">
        <f>J266+I266+H266+G266+F266+E266</f>
        <v>7724720.1589999991</v>
      </c>
      <c r="L266" s="82">
        <v>1088516</v>
      </c>
    </row>
    <row r="267" spans="3:12" ht="19.5" hidden="1" customHeight="1">
      <c r="C267" s="57"/>
      <c r="D267" s="81"/>
      <c r="E267" s="81"/>
      <c r="F267" s="81"/>
      <c r="G267" s="81"/>
      <c r="H267" s="81"/>
      <c r="I267" s="81"/>
      <c r="J267" s="81"/>
      <c r="K267" s="81"/>
      <c r="L267" s="82"/>
    </row>
    <row r="268" spans="3:12" ht="19.5" hidden="1" customHeight="1">
      <c r="C268" s="57" t="s">
        <v>306</v>
      </c>
      <c r="D268" s="81">
        <v>236520.7</v>
      </c>
      <c r="E268" s="81">
        <v>3149</v>
      </c>
      <c r="F268" s="81">
        <v>78645.3</v>
      </c>
      <c r="G268" s="81">
        <f>1125507.3-120127.7</f>
        <v>1005379.6000000001</v>
      </c>
      <c r="H268" s="81">
        <v>120127.7</v>
      </c>
      <c r="I268" s="81">
        <f>82492.4-6800.2</f>
        <v>75692.2</v>
      </c>
      <c r="J268" s="81">
        <v>6800.2</v>
      </c>
      <c r="K268" s="81">
        <f>J268+I268+H268+G268+F268+E268</f>
        <v>1289794.0000000002</v>
      </c>
      <c r="L268" s="82">
        <v>1526314.7</v>
      </c>
    </row>
    <row r="269" spans="3:12" ht="19.5" hidden="1" customHeight="1">
      <c r="C269" s="57"/>
      <c r="D269" s="81"/>
      <c r="E269" s="81"/>
      <c r="F269" s="81"/>
      <c r="G269" s="81"/>
      <c r="H269" s="81"/>
      <c r="I269" s="81"/>
      <c r="J269" s="81"/>
      <c r="K269" s="81"/>
      <c r="L269" s="82"/>
    </row>
    <row r="270" spans="3:12" ht="19.5" hidden="1" customHeight="1">
      <c r="C270" s="57" t="s">
        <v>307</v>
      </c>
      <c r="D270" s="81">
        <v>339960.5</v>
      </c>
      <c r="E270" s="81">
        <v>3651.7</v>
      </c>
      <c r="F270" s="81">
        <v>103454.6</v>
      </c>
      <c r="G270" s="81">
        <f>1235982.8-130609.6</f>
        <v>1105373.2</v>
      </c>
      <c r="H270" s="81">
        <v>130609.60000000001</v>
      </c>
      <c r="I270" s="81">
        <f>84275.3-8127.8</f>
        <v>76147.5</v>
      </c>
      <c r="J270" s="81">
        <v>8127.8</v>
      </c>
      <c r="K270" s="81">
        <f>J270+I270+H270+G270+F270+E270</f>
        <v>1427364.4000000001</v>
      </c>
      <c r="L270" s="82">
        <v>1767324.8</v>
      </c>
    </row>
    <row r="271" spans="3:12" ht="19.5" hidden="1" customHeight="1">
      <c r="C271" s="57"/>
      <c r="D271" s="81"/>
      <c r="E271" s="81"/>
      <c r="F271" s="81"/>
      <c r="G271" s="81"/>
      <c r="H271" s="81"/>
      <c r="I271" s="81"/>
      <c r="J271" s="81"/>
      <c r="K271" s="81"/>
      <c r="L271" s="82"/>
    </row>
    <row r="272" spans="3:12" ht="19.5" hidden="1" customHeight="1">
      <c r="C272" s="57" t="s">
        <v>308</v>
      </c>
      <c r="D272" s="85">
        <v>491393.8</v>
      </c>
      <c r="E272" s="85">
        <v>5596.8</v>
      </c>
      <c r="F272" s="85">
        <v>127287.5</v>
      </c>
      <c r="G272" s="85">
        <f>1405299.2-H272</f>
        <v>1263202.2</v>
      </c>
      <c r="H272" s="85">
        <v>142097</v>
      </c>
      <c r="I272" s="85">
        <f>138676.3-J272</f>
        <v>131669.9</v>
      </c>
      <c r="J272" s="85">
        <v>7006.4</v>
      </c>
      <c r="K272" s="81">
        <f>J272+I272+H272+G272+F272+E272</f>
        <v>1676859.8</v>
      </c>
      <c r="L272" s="86">
        <v>2168253.5</v>
      </c>
    </row>
    <row r="273" spans="3:14" ht="19.5" hidden="1" customHeight="1">
      <c r="C273" s="57"/>
      <c r="D273" s="85"/>
      <c r="E273" s="85"/>
      <c r="F273" s="85"/>
      <c r="G273" s="85"/>
      <c r="H273" s="85"/>
      <c r="I273" s="85"/>
      <c r="J273" s="85"/>
      <c r="K273" s="81"/>
      <c r="L273" s="86"/>
    </row>
    <row r="274" spans="3:14" ht="19.5" hidden="1" customHeight="1">
      <c r="C274" s="57" t="s">
        <v>311</v>
      </c>
      <c r="D274" s="85">
        <v>433167.4</v>
      </c>
      <c r="E274" s="85">
        <v>7218.4</v>
      </c>
      <c r="F274" s="85">
        <v>78370.100000000006</v>
      </c>
      <c r="G274" s="85">
        <v>1414360.2</v>
      </c>
      <c r="H274" s="85">
        <f>129057.6-I274</f>
        <v>11656.700000000012</v>
      </c>
      <c r="I274" s="85">
        <f>126143.4-J274</f>
        <v>117400.9</v>
      </c>
      <c r="J274" s="85">
        <v>8742.5</v>
      </c>
      <c r="K274" s="81">
        <f>J274+I274+H274+G274+F274+E274</f>
        <v>1637748.8</v>
      </c>
      <c r="L274" s="86">
        <v>2059259.6</v>
      </c>
    </row>
    <row r="275" spans="3:14" ht="19.5" hidden="1" customHeight="1">
      <c r="C275" s="57"/>
      <c r="D275" s="85"/>
      <c r="E275" s="85"/>
      <c r="F275" s="85"/>
      <c r="G275" s="85"/>
      <c r="H275" s="85"/>
      <c r="I275" s="85"/>
      <c r="J275" s="85"/>
      <c r="K275" s="81"/>
      <c r="L275" s="86"/>
    </row>
    <row r="276" spans="3:14" ht="19.5" hidden="1" customHeight="1">
      <c r="C276" s="55">
        <v>2004</v>
      </c>
      <c r="D276" s="85"/>
      <c r="E276" s="85"/>
      <c r="F276" s="85"/>
      <c r="G276" s="85"/>
      <c r="H276" s="85"/>
      <c r="I276" s="85"/>
      <c r="J276" s="85"/>
      <c r="K276" s="81"/>
      <c r="L276" s="86"/>
    </row>
    <row r="277" spans="3:14" ht="19.5" hidden="1" customHeight="1">
      <c r="C277" s="57"/>
      <c r="D277" s="85"/>
      <c r="E277" s="85"/>
      <c r="F277" s="85"/>
      <c r="G277" s="85"/>
      <c r="H277" s="85"/>
      <c r="I277" s="85"/>
      <c r="J277" s="85"/>
      <c r="K277" s="81"/>
      <c r="L277" s="86"/>
    </row>
    <row r="278" spans="3:14" ht="19.5" hidden="1" customHeight="1">
      <c r="C278" s="57" t="s">
        <v>298</v>
      </c>
      <c r="D278" s="85">
        <v>484932.3</v>
      </c>
      <c r="E278" s="85">
        <v>5191.6000000000004</v>
      </c>
      <c r="F278" s="85">
        <v>88566.1</v>
      </c>
      <c r="G278" s="85">
        <f>2030226.2-H278</f>
        <v>1697408.9</v>
      </c>
      <c r="H278" s="85">
        <v>332817.3</v>
      </c>
      <c r="I278" s="85">
        <f>152844.2-J278</f>
        <v>115101.70000000001</v>
      </c>
      <c r="J278" s="85">
        <v>37742.5</v>
      </c>
      <c r="K278" s="81">
        <f>J278+I278+H278+G278+F278+E278</f>
        <v>2276828.1</v>
      </c>
      <c r="L278" s="86">
        <v>2761760.4</v>
      </c>
    </row>
    <row r="279" spans="3:14" ht="19.5" hidden="1" customHeight="1">
      <c r="C279" s="57"/>
      <c r="D279" s="85"/>
      <c r="E279" s="85"/>
      <c r="F279" s="85"/>
      <c r="G279" s="85"/>
      <c r="H279" s="85"/>
      <c r="I279" s="85"/>
      <c r="J279" s="85"/>
      <c r="K279" s="81"/>
      <c r="L279" s="86"/>
    </row>
    <row r="280" spans="3:14" ht="19.5" hidden="1" customHeight="1">
      <c r="C280" s="57" t="s">
        <v>299</v>
      </c>
      <c r="D280" s="85">
        <v>531936.9</v>
      </c>
      <c r="E280" s="85">
        <v>3427.7</v>
      </c>
      <c r="F280" s="85">
        <v>109228.8</v>
      </c>
      <c r="G280" s="85">
        <f>2013852.3-H280</f>
        <v>1678973.4</v>
      </c>
      <c r="H280" s="85">
        <v>334878.90000000002</v>
      </c>
      <c r="I280" s="85">
        <f>191661.7-J280</f>
        <v>119306.1</v>
      </c>
      <c r="J280" s="85">
        <v>72355.600000000006</v>
      </c>
      <c r="K280" s="81">
        <f>J280+I280+H280+G280+F280+E280</f>
        <v>2318170.5</v>
      </c>
      <c r="L280" s="86">
        <v>2850107.4</v>
      </c>
    </row>
    <row r="281" spans="3:14" ht="19.5" hidden="1" customHeight="1">
      <c r="C281" s="57"/>
      <c r="D281" s="85"/>
      <c r="E281" s="85"/>
      <c r="F281" s="85"/>
      <c r="G281" s="85"/>
      <c r="H281" s="85"/>
      <c r="I281" s="85"/>
      <c r="J281" s="85"/>
      <c r="K281" s="81"/>
      <c r="L281" s="86"/>
    </row>
    <row r="282" spans="3:14" ht="19.5" hidden="1" customHeight="1">
      <c r="C282" s="57" t="s">
        <v>300</v>
      </c>
      <c r="D282" s="85">
        <v>561269.1</v>
      </c>
      <c r="E282" s="85">
        <v>22316.6</v>
      </c>
      <c r="F282" s="85">
        <v>111285.1</v>
      </c>
      <c r="G282" s="85">
        <f>2416151.4-H282</f>
        <v>2053954.2999999998</v>
      </c>
      <c r="H282" s="85">
        <v>362197.1</v>
      </c>
      <c r="I282" s="85">
        <f>198768.2-J282</f>
        <v>156367.5</v>
      </c>
      <c r="J282" s="85">
        <v>42400.7</v>
      </c>
      <c r="K282" s="81">
        <f>J282+I282+H282+G282+F282+E282</f>
        <v>2748521.3</v>
      </c>
      <c r="L282" s="86">
        <v>3309790.4</v>
      </c>
    </row>
    <row r="283" spans="3:14" ht="19.5" hidden="1" customHeight="1">
      <c r="C283" s="57"/>
      <c r="D283" s="85"/>
      <c r="E283" s="85"/>
      <c r="F283" s="85"/>
      <c r="G283" s="85"/>
      <c r="H283" s="85"/>
      <c r="I283" s="85"/>
      <c r="J283" s="85"/>
      <c r="K283" s="81"/>
      <c r="L283" s="86"/>
    </row>
    <row r="284" spans="3:14" ht="19.5" hidden="1" customHeight="1">
      <c r="C284" s="57" t="s">
        <v>301</v>
      </c>
      <c r="D284" s="85">
        <v>685260.1</v>
      </c>
      <c r="E284" s="85">
        <v>28541.8</v>
      </c>
      <c r="F284" s="85">
        <v>116723.2</v>
      </c>
      <c r="G284" s="85">
        <v>2212354.2000000002</v>
      </c>
      <c r="H284" s="85">
        <v>430338.3</v>
      </c>
      <c r="I284" s="85">
        <v>84785.2</v>
      </c>
      <c r="J284" s="85">
        <v>61754.8</v>
      </c>
      <c r="K284" s="81">
        <f>J284+I284+H284+G284+F284+E284</f>
        <v>2934497.5</v>
      </c>
      <c r="L284" s="86">
        <v>3619757.5</v>
      </c>
    </row>
    <row r="285" spans="3:14" ht="19.5" hidden="1" customHeight="1">
      <c r="C285" s="57"/>
      <c r="D285" s="85"/>
      <c r="E285" s="85"/>
      <c r="F285" s="85"/>
      <c r="G285" s="85"/>
      <c r="H285" s="85"/>
      <c r="I285" s="85"/>
      <c r="J285" s="85"/>
      <c r="K285" s="81"/>
      <c r="L285" s="86"/>
    </row>
    <row r="286" spans="3:14" ht="19.5" hidden="1" customHeight="1">
      <c r="C286" s="57" t="s">
        <v>302</v>
      </c>
      <c r="D286" s="85">
        <v>802067</v>
      </c>
      <c r="E286" s="85">
        <v>12003.9</v>
      </c>
      <c r="F286" s="85">
        <v>97965</v>
      </c>
      <c r="G286" s="85">
        <v>2550969.4</v>
      </c>
      <c r="H286" s="85">
        <v>531697.80000000005</v>
      </c>
      <c r="I286" s="85">
        <v>80029</v>
      </c>
      <c r="J286" s="85">
        <v>111847.7</v>
      </c>
      <c r="K286" s="81">
        <f>J286+I286+H286+G286+F286+E286</f>
        <v>3384512.8</v>
      </c>
      <c r="L286" s="86">
        <v>4186579.8</v>
      </c>
    </row>
    <row r="287" spans="3:14" ht="19.5" hidden="1" customHeight="1">
      <c r="C287" s="57"/>
      <c r="D287" s="85"/>
      <c r="E287" s="85"/>
      <c r="F287" s="85"/>
      <c r="G287" s="85"/>
      <c r="H287" s="85"/>
      <c r="I287" s="85"/>
      <c r="J287" s="85"/>
      <c r="K287" s="81"/>
      <c r="L287" s="86"/>
    </row>
    <row r="288" spans="3:14" ht="19.5" hidden="1" customHeight="1">
      <c r="C288" s="57" t="s">
        <v>303</v>
      </c>
      <c r="D288" s="85">
        <v>990155.5</v>
      </c>
      <c r="E288" s="85">
        <v>14884.8</v>
      </c>
      <c r="F288" s="85">
        <v>113628.7</v>
      </c>
      <c r="G288" s="85">
        <f>3351474.8-H288</f>
        <v>2835195.0999999996</v>
      </c>
      <c r="H288" s="85">
        <v>516279.7</v>
      </c>
      <c r="I288" s="85">
        <f>195825.2-J288</f>
        <v>111795.30000000002</v>
      </c>
      <c r="J288" s="85">
        <v>84029.9</v>
      </c>
      <c r="K288" s="81">
        <f>J288+I288+H288+G288+F288+E288</f>
        <v>3675813.4999999995</v>
      </c>
      <c r="L288" s="86">
        <v>4665969.0999999996</v>
      </c>
      <c r="N288" s="66">
        <f>+L288-SUM(D288:J288)</f>
        <v>9.999999962747097E-2</v>
      </c>
    </row>
    <row r="289" spans="3:14" ht="19.5" hidden="1" customHeight="1">
      <c r="C289" s="57"/>
      <c r="D289" s="85"/>
      <c r="E289" s="85"/>
      <c r="F289" s="85"/>
      <c r="G289" s="85"/>
      <c r="H289" s="85"/>
      <c r="I289" s="85"/>
      <c r="J289" s="85"/>
      <c r="K289" s="81"/>
      <c r="L289" s="86"/>
      <c r="N289" s="66"/>
    </row>
    <row r="290" spans="3:14" ht="19.5" hidden="1" customHeight="1">
      <c r="C290" s="57" t="s">
        <v>304</v>
      </c>
      <c r="D290" s="85">
        <v>1115295.2</v>
      </c>
      <c r="E290" s="85">
        <v>7501.3</v>
      </c>
      <c r="F290" s="85">
        <v>206409.7</v>
      </c>
      <c r="G290" s="85">
        <f>3190362.6-H290</f>
        <v>2715518.2</v>
      </c>
      <c r="H290" s="85">
        <v>474844.4</v>
      </c>
      <c r="I290" s="85">
        <f>147139-J290</f>
        <v>89774</v>
      </c>
      <c r="J290" s="85">
        <v>57365</v>
      </c>
      <c r="K290" s="81">
        <f>J290+I290+H290+G290+F290+E290</f>
        <v>3551412.6</v>
      </c>
      <c r="L290" s="86">
        <v>4666707.7</v>
      </c>
      <c r="N290" s="66">
        <f>+L290-SUM(D290:J290)</f>
        <v>-0.10000000055879354</v>
      </c>
    </row>
    <row r="291" spans="3:14" ht="19.5" hidden="1" customHeight="1">
      <c r="C291" s="57"/>
      <c r="D291" s="85"/>
      <c r="E291" s="85"/>
      <c r="F291" s="85"/>
      <c r="G291" s="85"/>
      <c r="H291" s="85"/>
      <c r="I291" s="85"/>
      <c r="J291" s="85"/>
      <c r="K291" s="81"/>
      <c r="L291" s="86"/>
      <c r="N291" s="66"/>
    </row>
    <row r="292" spans="3:14" ht="19.5" hidden="1" customHeight="1">
      <c r="C292" s="57" t="s">
        <v>305</v>
      </c>
      <c r="D292" s="85">
        <v>1133732.2</v>
      </c>
      <c r="E292" s="85">
        <v>313.60000000000002</v>
      </c>
      <c r="F292" s="85">
        <v>136360.79999999999</v>
      </c>
      <c r="G292" s="85">
        <f>3793062.4-H292</f>
        <v>3249109.8</v>
      </c>
      <c r="H292" s="85">
        <v>543952.6</v>
      </c>
      <c r="I292" s="85">
        <f>154800.2-J292</f>
        <v>104042.50000000001</v>
      </c>
      <c r="J292" s="85">
        <v>50757.7</v>
      </c>
      <c r="K292" s="81">
        <f>J292+I292+H292+G292+F292+E292</f>
        <v>4084536.9999999995</v>
      </c>
      <c r="L292" s="86">
        <v>5218269.3</v>
      </c>
      <c r="N292" s="66">
        <f>+L292-SUM(D292:J292)</f>
        <v>9.999999962747097E-2</v>
      </c>
    </row>
    <row r="293" spans="3:14" ht="19.5" hidden="1" customHeight="1">
      <c r="C293" s="57"/>
      <c r="D293" s="85"/>
      <c r="E293" s="85"/>
      <c r="F293" s="85"/>
      <c r="G293" s="85"/>
      <c r="H293" s="85"/>
      <c r="I293" s="85"/>
      <c r="J293" s="85"/>
      <c r="K293" s="81"/>
      <c r="L293" s="86"/>
      <c r="N293" s="66"/>
    </row>
    <row r="294" spans="3:14" ht="19.5" hidden="1" customHeight="1">
      <c r="C294" s="57" t="s">
        <v>306</v>
      </c>
      <c r="D294" s="85">
        <v>1226535.7</v>
      </c>
      <c r="E294" s="85">
        <v>56555.3</v>
      </c>
      <c r="F294" s="85">
        <v>135829.79999999999</v>
      </c>
      <c r="G294" s="85">
        <f>4019741-H294</f>
        <v>3561972.5</v>
      </c>
      <c r="H294" s="85">
        <v>457768.5</v>
      </c>
      <c r="I294" s="85">
        <f>170807.2-J294</f>
        <v>52566.000000000015</v>
      </c>
      <c r="J294" s="85">
        <v>118241.2</v>
      </c>
      <c r="K294" s="81">
        <f>J294+I294+H294+G294+F294+E294</f>
        <v>4382933.3</v>
      </c>
      <c r="L294" s="86">
        <v>5609469</v>
      </c>
      <c r="N294" s="66">
        <f>+L294-SUM(D294:J294)</f>
        <v>0</v>
      </c>
    </row>
    <row r="295" spans="3:14" ht="19.5" hidden="1" customHeight="1">
      <c r="C295" s="57"/>
      <c r="D295" s="85"/>
      <c r="E295" s="85"/>
      <c r="F295" s="85"/>
      <c r="G295" s="85"/>
      <c r="H295" s="85"/>
      <c r="I295" s="85"/>
      <c r="J295" s="85"/>
      <c r="K295" s="81"/>
      <c r="L295" s="86"/>
      <c r="N295" s="66"/>
    </row>
    <row r="296" spans="3:14" ht="19.5" hidden="1" customHeight="1">
      <c r="C296" s="57" t="s">
        <v>307</v>
      </c>
      <c r="D296" s="85">
        <v>1292982.3</v>
      </c>
      <c r="E296" s="85">
        <v>67779.8</v>
      </c>
      <c r="F296" s="85">
        <v>153559</v>
      </c>
      <c r="G296" s="85">
        <f>3994591.9-H296</f>
        <v>3514693.5</v>
      </c>
      <c r="H296" s="85">
        <v>479898.4</v>
      </c>
      <c r="I296" s="85">
        <f>149782-J296</f>
        <v>47861</v>
      </c>
      <c r="J296" s="85">
        <v>101921</v>
      </c>
      <c r="K296" s="81">
        <f>J296+I296+H296+G296+F296+E296</f>
        <v>4365712.7</v>
      </c>
      <c r="L296" s="86">
        <v>5658694.9000000004</v>
      </c>
      <c r="N296" s="66">
        <f>+L296-SUM(D296:J296)</f>
        <v>-9.999999962747097E-2</v>
      </c>
    </row>
    <row r="297" spans="3:14" ht="19.5" hidden="1" customHeight="1">
      <c r="C297" s="57"/>
      <c r="D297" s="85"/>
      <c r="E297" s="85"/>
      <c r="F297" s="85"/>
      <c r="G297" s="85"/>
      <c r="H297" s="85"/>
      <c r="I297" s="85"/>
      <c r="J297" s="85"/>
      <c r="K297" s="81"/>
      <c r="L297" s="86"/>
      <c r="N297" s="66"/>
    </row>
    <row r="298" spans="3:14" ht="19.5" hidden="1" customHeight="1">
      <c r="C298" s="57" t="s">
        <v>308</v>
      </c>
      <c r="D298" s="85">
        <v>1388960</v>
      </c>
      <c r="E298" s="85">
        <v>62014.5</v>
      </c>
      <c r="F298" s="85">
        <v>187091</v>
      </c>
      <c r="G298" s="85">
        <f>4669726.2-H298</f>
        <v>4108813.7</v>
      </c>
      <c r="H298" s="85">
        <v>560912.5</v>
      </c>
      <c r="I298" s="85">
        <f>222886.5-J298</f>
        <v>125542.5</v>
      </c>
      <c r="J298" s="85">
        <v>97344</v>
      </c>
      <c r="K298" s="81">
        <f>J298+I298+H298+G298+F298+E298</f>
        <v>5141718.2</v>
      </c>
      <c r="L298" s="86">
        <v>6530678.0999999996</v>
      </c>
      <c r="N298" s="66">
        <f>+L298-SUM(D298:J298)</f>
        <v>-0.10000000055879354</v>
      </c>
    </row>
    <row r="299" spans="3:14" ht="19.5" hidden="1" customHeight="1">
      <c r="C299" s="57"/>
      <c r="D299" s="85"/>
      <c r="E299" s="85"/>
      <c r="F299" s="85"/>
      <c r="G299" s="85"/>
      <c r="H299" s="85"/>
      <c r="I299" s="85"/>
      <c r="J299" s="85"/>
      <c r="K299" s="81"/>
      <c r="L299" s="86"/>
      <c r="N299" s="66"/>
    </row>
    <row r="300" spans="3:14" ht="19.5" hidden="1" customHeight="1">
      <c r="C300" s="57" t="s">
        <v>311</v>
      </c>
      <c r="D300" s="85">
        <v>1591166.6</v>
      </c>
      <c r="E300" s="85">
        <v>52548.800000000003</v>
      </c>
      <c r="F300" s="85">
        <v>180681.8</v>
      </c>
      <c r="G300" s="85">
        <f>4830594.8-H300</f>
        <v>4281568</v>
      </c>
      <c r="H300" s="85">
        <v>549026.80000000005</v>
      </c>
      <c r="I300" s="85">
        <f>211985.6-J300</f>
        <v>132863.79999999999</v>
      </c>
      <c r="J300" s="85">
        <v>79121.8</v>
      </c>
      <c r="K300" s="81">
        <f>J300+I300+H300+G300+F300+E300</f>
        <v>5275811</v>
      </c>
      <c r="L300" s="86">
        <v>6866977.7000000002</v>
      </c>
      <c r="N300" s="66">
        <f t="shared" ref="N300:N306" si="0">+L300-SUM(D300:J300)</f>
        <v>0.10000000055879354</v>
      </c>
    </row>
    <row r="301" spans="3:14" ht="19.5" hidden="1" customHeight="1">
      <c r="C301" s="57"/>
      <c r="D301" s="85"/>
      <c r="E301" s="85"/>
      <c r="F301" s="85"/>
      <c r="G301" s="85"/>
      <c r="H301" s="85"/>
      <c r="I301" s="85"/>
      <c r="J301" s="85"/>
      <c r="K301" s="81"/>
      <c r="L301" s="86"/>
      <c r="N301" s="66"/>
    </row>
    <row r="302" spans="3:14" ht="19.5" hidden="1" customHeight="1">
      <c r="C302" s="55">
        <v>2005</v>
      </c>
      <c r="D302" s="85"/>
      <c r="E302" s="85"/>
      <c r="F302" s="85"/>
      <c r="G302" s="85"/>
      <c r="H302" s="85"/>
      <c r="I302" s="85"/>
      <c r="J302" s="85"/>
      <c r="K302" s="81"/>
      <c r="L302" s="86"/>
      <c r="N302" s="68"/>
    </row>
    <row r="303" spans="3:14" ht="19.5" hidden="1" customHeight="1">
      <c r="C303" s="55"/>
      <c r="D303" s="85"/>
      <c r="E303" s="85"/>
      <c r="F303" s="85"/>
      <c r="G303" s="85"/>
      <c r="H303" s="85"/>
      <c r="I303" s="85"/>
      <c r="J303" s="85"/>
      <c r="K303" s="81"/>
      <c r="L303" s="86"/>
      <c r="N303" s="68"/>
    </row>
    <row r="304" spans="3:14" ht="19.5" hidden="1" customHeight="1">
      <c r="C304" s="57" t="s">
        <v>298</v>
      </c>
      <c r="D304" s="85">
        <v>1729420.6</v>
      </c>
      <c r="E304" s="85">
        <v>50214.8</v>
      </c>
      <c r="F304" s="85">
        <v>269629.2</v>
      </c>
      <c r="G304" s="85">
        <f>5135909.7-H304</f>
        <v>4511136.1000000006</v>
      </c>
      <c r="H304" s="85">
        <f>530810.4+93963.2</f>
        <v>624773.6</v>
      </c>
      <c r="I304" s="85">
        <f>66209.5-J304</f>
        <v>36277.5</v>
      </c>
      <c r="J304" s="85">
        <v>29932</v>
      </c>
      <c r="K304" s="81">
        <f>J304+I304+H304+G304+F304+E304</f>
        <v>5521963.2000000002</v>
      </c>
      <c r="L304" s="86">
        <v>7251383.9000000004</v>
      </c>
      <c r="N304" s="68">
        <f t="shared" si="0"/>
        <v>9.999999962747097E-2</v>
      </c>
    </row>
    <row r="305" spans="3:14" ht="19.5" hidden="1" customHeight="1">
      <c r="C305" s="57"/>
      <c r="D305" s="85"/>
      <c r="E305" s="85"/>
      <c r="F305" s="85"/>
      <c r="G305" s="85"/>
      <c r="H305" s="85"/>
      <c r="I305" s="85"/>
      <c r="J305" s="85"/>
      <c r="K305" s="81"/>
      <c r="L305" s="86"/>
      <c r="N305" s="68"/>
    </row>
    <row r="306" spans="3:14" ht="19.5" hidden="1" customHeight="1">
      <c r="C306" s="57" t="s">
        <v>299</v>
      </c>
      <c r="D306" s="85">
        <v>2059418.1</v>
      </c>
      <c r="E306" s="85">
        <v>59575.1</v>
      </c>
      <c r="F306" s="85">
        <v>337065.9</v>
      </c>
      <c r="G306" s="85">
        <f>5930502.8-H306</f>
        <v>5326285.0999999996</v>
      </c>
      <c r="H306" s="85">
        <f>520222.6+83995.1</f>
        <v>604217.69999999995</v>
      </c>
      <c r="I306" s="85">
        <f>73600.9-J306</f>
        <v>42435.899999999994</v>
      </c>
      <c r="J306" s="85">
        <v>31165</v>
      </c>
      <c r="K306" s="81">
        <f>J306+I306+H306+G306+F306+E306</f>
        <v>6400744.6999999993</v>
      </c>
      <c r="L306" s="86">
        <v>8460162.8000000007</v>
      </c>
      <c r="N306" s="68">
        <f t="shared" si="0"/>
        <v>0</v>
      </c>
    </row>
    <row r="307" spans="3:14" ht="19.5" hidden="1" customHeight="1">
      <c r="C307" s="57"/>
      <c r="D307" s="85"/>
      <c r="E307" s="85"/>
      <c r="F307" s="85"/>
      <c r="G307" s="85"/>
      <c r="H307" s="85"/>
      <c r="I307" s="85"/>
      <c r="J307" s="85"/>
      <c r="K307" s="81"/>
      <c r="L307" s="86"/>
      <c r="N307" s="68"/>
    </row>
    <row r="308" spans="3:14" ht="19.5" hidden="1" customHeight="1">
      <c r="C308" s="57" t="s">
        <v>300</v>
      </c>
      <c r="D308" s="85">
        <v>2632202.1</v>
      </c>
      <c r="E308" s="85">
        <v>90577.1</v>
      </c>
      <c r="F308" s="85">
        <v>319603</v>
      </c>
      <c r="G308" s="85">
        <f>6282047.1-H308</f>
        <v>5607108.2999999998</v>
      </c>
      <c r="H308" s="85">
        <f>568615.8+106323</f>
        <v>674938.8</v>
      </c>
      <c r="I308" s="85">
        <f>136330.8-J308</f>
        <v>50251.799999999988</v>
      </c>
      <c r="J308" s="85">
        <v>86079</v>
      </c>
      <c r="K308" s="81">
        <f>J308+I308+H308+G308+F308+E308</f>
        <v>6828558</v>
      </c>
      <c r="L308" s="86">
        <v>9460760</v>
      </c>
      <c r="N308" s="68">
        <f>+L308-SUM(D308:J308)</f>
        <v>-0.10000000149011612</v>
      </c>
    </row>
    <row r="309" spans="3:14" ht="19.5" hidden="1" customHeight="1">
      <c r="C309" s="57"/>
      <c r="D309" s="85"/>
      <c r="E309" s="85"/>
      <c r="F309" s="85"/>
      <c r="G309" s="85"/>
      <c r="H309" s="85"/>
      <c r="I309" s="85"/>
      <c r="J309" s="85"/>
      <c r="K309" s="81"/>
      <c r="L309" s="86"/>
      <c r="N309" s="68"/>
    </row>
    <row r="310" spans="3:14" ht="19.5" hidden="1" customHeight="1">
      <c r="C310" s="57" t="s">
        <v>301</v>
      </c>
      <c r="D310" s="85">
        <v>2830714.4</v>
      </c>
      <c r="E310" s="85">
        <v>83606.100000000006</v>
      </c>
      <c r="F310" s="85">
        <v>310006.40000000002</v>
      </c>
      <c r="G310" s="85">
        <f>7090871.7-H310</f>
        <v>6389322.2999999998</v>
      </c>
      <c r="H310" s="85">
        <f>575429.4+126120</f>
        <v>701549.4</v>
      </c>
      <c r="I310" s="85">
        <f>103979.9-J310</f>
        <v>45027.999999999993</v>
      </c>
      <c r="J310" s="85">
        <v>58951.9</v>
      </c>
      <c r="K310" s="81">
        <f>J310+I310+H310+G310+F310+E310</f>
        <v>7588464.0999999996</v>
      </c>
      <c r="L310" s="86">
        <v>10419178.6</v>
      </c>
      <c r="N310" s="68">
        <f>+L310-SUM(D310:J310)</f>
        <v>9.999999962747097E-2</v>
      </c>
    </row>
    <row r="311" spans="3:14" ht="19.5" hidden="1" customHeight="1">
      <c r="C311" s="57"/>
      <c r="D311" s="85"/>
      <c r="E311" s="85"/>
      <c r="F311" s="85"/>
      <c r="G311" s="85"/>
      <c r="H311" s="85"/>
      <c r="I311" s="85"/>
      <c r="J311" s="85"/>
      <c r="K311" s="81"/>
      <c r="L311" s="86"/>
      <c r="N311" s="68"/>
    </row>
    <row r="312" spans="3:14" ht="19.5" hidden="1" customHeight="1">
      <c r="C312" s="57" t="s">
        <v>302</v>
      </c>
      <c r="D312" s="85">
        <v>3321265.7</v>
      </c>
      <c r="E312" s="85">
        <v>57708.1</v>
      </c>
      <c r="F312" s="85">
        <v>383892.7</v>
      </c>
      <c r="G312" s="85">
        <f>8402578-H312</f>
        <v>7394306.7000000002</v>
      </c>
      <c r="H312" s="85">
        <f>873375.9+134895.4</f>
        <v>1008271.3</v>
      </c>
      <c r="I312" s="85">
        <f>92558.4-J312</f>
        <v>55769.799999999996</v>
      </c>
      <c r="J312" s="85">
        <v>36788.6</v>
      </c>
      <c r="K312" s="81">
        <f>J312+I312+H312+G312+F312+E312</f>
        <v>8936737.1999999993</v>
      </c>
      <c r="L312" s="86">
        <v>12258002.9</v>
      </c>
      <c r="N312" s="68">
        <f>+L312-SUM(D312:J312)</f>
        <v>0</v>
      </c>
    </row>
    <row r="313" spans="3:14" ht="19.5" hidden="1" customHeight="1">
      <c r="C313" s="57"/>
      <c r="D313" s="85"/>
      <c r="E313" s="85"/>
      <c r="F313" s="85"/>
      <c r="G313" s="85"/>
      <c r="H313" s="85"/>
      <c r="I313" s="85"/>
      <c r="J313" s="85"/>
      <c r="K313" s="81"/>
      <c r="L313" s="86"/>
      <c r="N313" s="68"/>
    </row>
    <row r="314" spans="3:14" ht="19.5" hidden="1" customHeight="1">
      <c r="C314" s="57" t="s">
        <v>303</v>
      </c>
      <c r="D314" s="85">
        <f>3914859.8/1000</f>
        <v>3914.8597999999997</v>
      </c>
      <c r="E314" s="85">
        <f>48525.8/1000</f>
        <v>48.525800000000004</v>
      </c>
      <c r="F314" s="85">
        <f>180672.8/1000</f>
        <v>180.6728</v>
      </c>
      <c r="G314" s="85">
        <f>8840.0683-H314</f>
        <v>7813.3533000000007</v>
      </c>
      <c r="H314" s="85">
        <f>896.6008+130.1142</f>
        <v>1026.7150000000001</v>
      </c>
      <c r="I314" s="85">
        <f>124.222-J314</f>
        <v>69.560900000000004</v>
      </c>
      <c r="J314" s="85">
        <v>54.661099999999998</v>
      </c>
      <c r="K314" s="81">
        <f>J314+I314+H314+G314+F314+E314</f>
        <v>9193.4889000000003</v>
      </c>
      <c r="L314" s="86">
        <f>13108348.7/1000</f>
        <v>13108.348699999999</v>
      </c>
      <c r="N314" s="68">
        <f>+L314-SUM(D314:J314)</f>
        <v>0</v>
      </c>
    </row>
    <row r="315" spans="3:14" ht="19.5" hidden="1" customHeight="1">
      <c r="C315" s="57"/>
      <c r="D315" s="85"/>
      <c r="E315" s="85"/>
      <c r="F315" s="85"/>
      <c r="G315" s="85"/>
      <c r="H315" s="85"/>
      <c r="I315" s="85"/>
      <c r="J315" s="85"/>
      <c r="K315" s="81"/>
      <c r="L315" s="86"/>
      <c r="N315" s="68"/>
    </row>
    <row r="316" spans="3:14" ht="19.5" hidden="1" customHeight="1">
      <c r="C316" s="57" t="s">
        <v>304</v>
      </c>
      <c r="D316" s="85">
        <v>4363.0102000000006</v>
      </c>
      <c r="E316" s="85">
        <v>113.5425</v>
      </c>
      <c r="F316" s="85">
        <v>208.11</v>
      </c>
      <c r="G316" s="85">
        <v>8980.8106000000007</v>
      </c>
      <c r="H316" s="85">
        <v>1921.2956999999999</v>
      </c>
      <c r="I316" s="85">
        <v>75.732500000000002</v>
      </c>
      <c r="J316" s="85">
        <v>76.792299999999997</v>
      </c>
      <c r="K316" s="81">
        <v>11376.283600000001</v>
      </c>
      <c r="L316" s="86">
        <v>15739.293800000001</v>
      </c>
      <c r="N316" s="68">
        <f>+L316-SUM(D316:J316)</f>
        <v>0</v>
      </c>
    </row>
    <row r="317" spans="3:14" ht="19.5" hidden="1" customHeight="1">
      <c r="C317" s="57"/>
      <c r="D317" s="85"/>
      <c r="E317" s="85"/>
      <c r="F317" s="85"/>
      <c r="G317" s="85"/>
      <c r="H317" s="85"/>
      <c r="I317" s="85"/>
      <c r="J317" s="85"/>
      <c r="K317" s="85"/>
      <c r="L317" s="86"/>
      <c r="N317" s="68"/>
    </row>
    <row r="318" spans="3:14" ht="19.5" hidden="1" customHeight="1">
      <c r="C318" s="57" t="s">
        <v>305</v>
      </c>
      <c r="D318" s="85">
        <v>4914.7979000000005</v>
      </c>
      <c r="E318" s="85">
        <v>496.49279999999999</v>
      </c>
      <c r="F318" s="85">
        <v>191.49370000000002</v>
      </c>
      <c r="G318" s="85">
        <v>9502.5306</v>
      </c>
      <c r="H318" s="85">
        <v>2345.2934</v>
      </c>
      <c r="I318" s="85">
        <v>59.660700000000013</v>
      </c>
      <c r="J318" s="85">
        <v>97.767499999999998</v>
      </c>
      <c r="K318" s="81">
        <v>12693.2387</v>
      </c>
      <c r="L318" s="86">
        <v>17608.036600000003</v>
      </c>
      <c r="N318" s="68">
        <f>+L318-SUM(D318:J318)</f>
        <v>0</v>
      </c>
    </row>
    <row r="319" spans="3:14" ht="19.5" hidden="1" customHeight="1">
      <c r="C319" s="57"/>
      <c r="D319" s="85"/>
      <c r="E319" s="85"/>
      <c r="F319" s="85"/>
      <c r="G319" s="85"/>
      <c r="H319" s="85"/>
      <c r="I319" s="85"/>
      <c r="J319" s="85"/>
      <c r="K319" s="85"/>
      <c r="L319" s="86"/>
      <c r="N319" s="68"/>
    </row>
    <row r="320" spans="3:14" ht="19.5" hidden="1" customHeight="1">
      <c r="C320" s="57" t="s">
        <v>306</v>
      </c>
      <c r="D320" s="85">
        <v>5933.1408000000001</v>
      </c>
      <c r="E320" s="85">
        <v>555.38199999999995</v>
      </c>
      <c r="F320" s="85">
        <v>139.64079999999998</v>
      </c>
      <c r="G320" s="85">
        <v>11015.563286000001</v>
      </c>
      <c r="H320" s="85">
        <v>2651.0162139999998</v>
      </c>
      <c r="I320" s="85">
        <v>98.339285000000004</v>
      </c>
      <c r="J320" s="85">
        <v>65.978714999999994</v>
      </c>
      <c r="K320" s="81">
        <v>14525.920300000002</v>
      </c>
      <c r="L320" s="86">
        <v>20459.061100000003</v>
      </c>
      <c r="N320" s="68">
        <f>+L320-SUM(D320:J320)</f>
        <v>0</v>
      </c>
    </row>
    <row r="321" spans="1:18" ht="19.5" hidden="1" customHeight="1">
      <c r="C321" s="57"/>
      <c r="D321" s="85"/>
      <c r="E321" s="85"/>
      <c r="F321" s="85"/>
      <c r="G321" s="85"/>
      <c r="H321" s="85"/>
      <c r="I321" s="85"/>
      <c r="J321" s="85"/>
      <c r="K321" s="85"/>
      <c r="L321" s="86"/>
      <c r="N321" s="68"/>
    </row>
    <row r="322" spans="1:18" ht="19.5" hidden="1" customHeight="1">
      <c r="C322" s="57" t="s">
        <v>307</v>
      </c>
      <c r="D322" s="85">
        <v>6728.1747999999998</v>
      </c>
      <c r="E322" s="85">
        <v>512.91650000000004</v>
      </c>
      <c r="F322" s="85">
        <v>464.82380000000001</v>
      </c>
      <c r="G322" s="85">
        <v>15101.404604000003</v>
      </c>
      <c r="H322" s="85">
        <v>6590.0304960000003</v>
      </c>
      <c r="I322" s="85">
        <v>197.39912699999996</v>
      </c>
      <c r="J322" s="85">
        <v>124.328973</v>
      </c>
      <c r="K322" s="81">
        <v>22990.903500000004</v>
      </c>
      <c r="L322" s="86">
        <v>29719.078399999999</v>
      </c>
      <c r="N322" s="68">
        <f>+L322-SUM(D322:J322)</f>
        <v>9.9999997473787516E-5</v>
      </c>
    </row>
    <row r="323" spans="1:18" ht="19.5" hidden="1" customHeight="1">
      <c r="C323" s="57"/>
      <c r="D323" s="85"/>
      <c r="E323" s="85"/>
      <c r="F323" s="85"/>
      <c r="G323" s="85"/>
      <c r="H323" s="85"/>
      <c r="I323" s="85"/>
      <c r="J323" s="85"/>
      <c r="K323" s="85"/>
      <c r="L323" s="86"/>
      <c r="N323" s="68"/>
    </row>
    <row r="324" spans="1:18" ht="19.5" hidden="1" customHeight="1">
      <c r="C324" s="57" t="s">
        <v>308</v>
      </c>
      <c r="D324" s="85">
        <v>8264.5974999999999</v>
      </c>
      <c r="E324" s="85">
        <v>482.55359999999996</v>
      </c>
      <c r="F324" s="85">
        <v>317.83840000000004</v>
      </c>
      <c r="G324" s="85">
        <v>18384.015006999998</v>
      </c>
      <c r="H324" s="85">
        <v>5126.4424929999996</v>
      </c>
      <c r="I324" s="85">
        <v>388.13603599999999</v>
      </c>
      <c r="J324" s="85">
        <v>209.48466399999998</v>
      </c>
      <c r="K324" s="81">
        <v>24908.4702</v>
      </c>
      <c r="L324" s="86">
        <v>33173.067600000002</v>
      </c>
      <c r="N324" s="68">
        <f>+L324-SUM(D324:J324)</f>
        <v>-9.9999997473787516E-5</v>
      </c>
      <c r="O324" s="87"/>
      <c r="P324" s="87"/>
      <c r="Q324" s="87"/>
    </row>
    <row r="325" spans="1:18" ht="19.5" hidden="1" customHeight="1">
      <c r="C325" s="57"/>
      <c r="D325" s="85"/>
      <c r="E325" s="85"/>
      <c r="F325" s="85"/>
      <c r="G325" s="85"/>
      <c r="H325" s="85"/>
      <c r="I325" s="85"/>
      <c r="J325" s="85"/>
      <c r="K325" s="85"/>
      <c r="L325" s="86"/>
      <c r="N325" s="68"/>
      <c r="O325" s="87"/>
      <c r="P325" s="87"/>
      <c r="Q325" s="87"/>
    </row>
    <row r="326" spans="1:18" ht="19.5" hidden="1" customHeight="1">
      <c r="C326" s="57" t="s">
        <v>311</v>
      </c>
      <c r="D326" s="85">
        <v>9615.8835999999992</v>
      </c>
      <c r="E326" s="85">
        <v>822.44209999999998</v>
      </c>
      <c r="F326" s="85">
        <v>569.00959999999998</v>
      </c>
      <c r="G326" s="85">
        <v>23186.975049000004</v>
      </c>
      <c r="H326" s="85">
        <v>9655.0290510000013</v>
      </c>
      <c r="I326" s="85">
        <v>286.30089299999997</v>
      </c>
      <c r="J326" s="85">
        <v>322.44530699999996</v>
      </c>
      <c r="K326" s="81">
        <v>34842.202000000005</v>
      </c>
      <c r="L326" s="86">
        <v>44458.085599999999</v>
      </c>
      <c r="N326" s="68">
        <f>+L326-SUM(D326:J326)</f>
        <v>0</v>
      </c>
      <c r="R326" s="48">
        <v>263358913</v>
      </c>
    </row>
    <row r="327" spans="1:18" ht="19.5" hidden="1" customHeight="1">
      <c r="C327" s="57"/>
      <c r="D327" s="85"/>
      <c r="E327" s="85"/>
      <c r="F327" s="85"/>
      <c r="G327" s="85"/>
      <c r="H327" s="85"/>
      <c r="I327" s="85"/>
      <c r="J327" s="85"/>
      <c r="K327" s="85"/>
      <c r="L327" s="86"/>
      <c r="N327" s="68">
        <f t="shared" ref="N327:N336" si="1">+L327-SUM(D327:J327)</f>
        <v>0</v>
      </c>
      <c r="R327" s="48">
        <v>229923532</v>
      </c>
    </row>
    <row r="328" spans="1:18" ht="19.5" hidden="1" customHeight="1">
      <c r="C328" s="55">
        <v>2006</v>
      </c>
      <c r="D328" s="85"/>
      <c r="E328" s="85"/>
      <c r="F328" s="85"/>
      <c r="G328" s="85"/>
      <c r="H328" s="85"/>
      <c r="I328" s="85"/>
      <c r="J328" s="85"/>
      <c r="K328" s="81"/>
      <c r="L328" s="86"/>
      <c r="N328" s="68">
        <f t="shared" si="1"/>
        <v>0</v>
      </c>
      <c r="R328" s="48">
        <v>351543335</v>
      </c>
    </row>
    <row r="329" spans="1:18" ht="19.5" hidden="1" customHeight="1">
      <c r="C329" s="57"/>
      <c r="D329" s="85"/>
      <c r="E329" s="85"/>
      <c r="F329" s="85"/>
      <c r="G329" s="85"/>
      <c r="H329" s="85"/>
      <c r="I329" s="85"/>
      <c r="J329" s="85"/>
      <c r="K329" s="81"/>
      <c r="L329" s="86"/>
      <c r="N329" s="68">
        <f t="shared" si="1"/>
        <v>0</v>
      </c>
    </row>
    <row r="330" spans="1:18" ht="19.5" hidden="1" customHeight="1">
      <c r="B330" s="88"/>
      <c r="C330" s="52" t="s">
        <v>298</v>
      </c>
      <c r="D330" s="85">
        <v>11046.276486999997</v>
      </c>
      <c r="E330" s="86">
        <v>707.62909999999999</v>
      </c>
      <c r="F330" s="89">
        <v>340.70459999999997</v>
      </c>
      <c r="G330" s="85">
        <v>26915.583573999997</v>
      </c>
      <c r="H330" s="85">
        <v>10979.690939</v>
      </c>
      <c r="I330" s="85">
        <v>667.14342599999998</v>
      </c>
      <c r="J330" s="85">
        <v>263.35891299999997</v>
      </c>
      <c r="K330" s="81">
        <v>39874.110551999998</v>
      </c>
      <c r="L330" s="86">
        <v>50920.387000000002</v>
      </c>
      <c r="N330" s="68">
        <f t="shared" si="1"/>
        <v>-3.8999991375021636E-5</v>
      </c>
      <c r="O330" s="87"/>
    </row>
    <row r="331" spans="1:18" ht="19.5" hidden="1" customHeight="1">
      <c r="B331" s="88"/>
      <c r="D331" s="85"/>
      <c r="E331" s="85"/>
      <c r="F331" s="85"/>
      <c r="G331" s="85"/>
      <c r="H331" s="85"/>
      <c r="I331" s="85"/>
      <c r="J331" s="85"/>
      <c r="K331" s="85"/>
      <c r="L331" s="86"/>
      <c r="M331" s="90"/>
      <c r="N331" s="68">
        <f t="shared" si="1"/>
        <v>0</v>
      </c>
    </row>
    <row r="332" spans="1:18" ht="19.5" hidden="1" customHeight="1">
      <c r="A332" s="52"/>
      <c r="B332" s="91"/>
      <c r="C332" s="92" t="s">
        <v>299</v>
      </c>
      <c r="D332" s="93">
        <v>13804.926744</v>
      </c>
      <c r="E332" s="86">
        <v>460.5616</v>
      </c>
      <c r="F332" s="89">
        <v>484.26892599999996</v>
      </c>
      <c r="G332" s="85">
        <v>27852.235307999999</v>
      </c>
      <c r="H332" s="85">
        <v>11428.154794</v>
      </c>
      <c r="I332" s="85">
        <v>615.53129000000001</v>
      </c>
      <c r="J332" s="85">
        <v>229.92353199999999</v>
      </c>
      <c r="K332" s="81">
        <v>41070.675449999995</v>
      </c>
      <c r="L332" s="86">
        <v>54875.602200000001</v>
      </c>
      <c r="M332" s="90"/>
      <c r="N332" s="68">
        <f t="shared" si="1"/>
        <v>5.9999947552569211E-6</v>
      </c>
    </row>
    <row r="333" spans="1:18" ht="19.5" hidden="1" customHeight="1">
      <c r="A333" s="52"/>
      <c r="B333" s="91"/>
      <c r="C333" s="92"/>
      <c r="D333" s="94"/>
      <c r="E333" s="94"/>
      <c r="F333" s="94"/>
      <c r="G333" s="94"/>
      <c r="H333" s="94"/>
      <c r="I333" s="94"/>
      <c r="J333" s="94"/>
      <c r="K333" s="94"/>
      <c r="L333" s="79"/>
      <c r="M333" s="90"/>
      <c r="N333" s="68">
        <f t="shared" si="1"/>
        <v>0</v>
      </c>
    </row>
    <row r="334" spans="1:18" ht="19.5" hidden="1" customHeight="1">
      <c r="A334" s="52"/>
      <c r="B334" s="91"/>
      <c r="C334" s="92" t="s">
        <v>300</v>
      </c>
      <c r="D334" s="93">
        <v>16288.180215</v>
      </c>
      <c r="E334" s="86">
        <v>493.61240000000004</v>
      </c>
      <c r="F334" s="89">
        <v>1139.6790169999999</v>
      </c>
      <c r="G334" s="85">
        <v>30550.686834000004</v>
      </c>
      <c r="H334" s="85">
        <v>10878.044616000001</v>
      </c>
      <c r="I334" s="85">
        <v>266.46851199999992</v>
      </c>
      <c r="J334" s="85">
        <v>351.54333500000001</v>
      </c>
      <c r="K334" s="81">
        <v>43680.034714000001</v>
      </c>
      <c r="L334" s="86">
        <v>59968.214899999999</v>
      </c>
      <c r="M334" s="90"/>
      <c r="N334" s="68">
        <f t="shared" si="1"/>
        <v>-2.900000981753692E-5</v>
      </c>
      <c r="O334" s="87"/>
    </row>
    <row r="335" spans="1:18" ht="19.5" hidden="1" customHeight="1">
      <c r="A335" s="52"/>
      <c r="B335" s="91"/>
      <c r="C335" s="92"/>
      <c r="D335" s="93"/>
      <c r="E335" s="93"/>
      <c r="F335" s="93"/>
      <c r="G335" s="93"/>
      <c r="H335" s="93"/>
      <c r="I335" s="93"/>
      <c r="J335" s="93"/>
      <c r="K335" s="93"/>
      <c r="L335" s="86"/>
      <c r="M335" s="90"/>
      <c r="N335" s="68"/>
      <c r="O335" s="87"/>
    </row>
    <row r="336" spans="1:18" ht="19.5" hidden="1" customHeight="1">
      <c r="A336" s="52"/>
      <c r="B336" s="91"/>
      <c r="C336" s="57" t="s">
        <v>301</v>
      </c>
      <c r="D336" s="93">
        <v>20121.589399999997</v>
      </c>
      <c r="E336" s="86">
        <v>1006.3281999999999</v>
      </c>
      <c r="F336" s="89">
        <v>1340.1142</v>
      </c>
      <c r="G336" s="85">
        <v>36562.046526999999</v>
      </c>
      <c r="H336" s="85">
        <v>11503.901872999999</v>
      </c>
      <c r="I336" s="85">
        <v>480.23271999999997</v>
      </c>
      <c r="J336" s="85">
        <v>361.49187999999998</v>
      </c>
      <c r="K336" s="81">
        <v>51254.115399999995</v>
      </c>
      <c r="L336" s="86">
        <v>71375.704799999992</v>
      </c>
      <c r="M336" s="90"/>
      <c r="N336" s="68">
        <f t="shared" si="1"/>
        <v>0</v>
      </c>
      <c r="O336" s="87"/>
    </row>
    <row r="337" spans="1:15" ht="19.5" hidden="1" customHeight="1">
      <c r="A337" s="52"/>
      <c r="B337" s="91"/>
      <c r="C337" s="52"/>
      <c r="D337" s="93"/>
      <c r="E337" s="93"/>
      <c r="F337" s="93"/>
      <c r="G337" s="93"/>
      <c r="H337" s="93"/>
      <c r="I337" s="93"/>
      <c r="J337" s="93"/>
      <c r="K337" s="93"/>
      <c r="L337" s="86"/>
      <c r="M337" s="90"/>
      <c r="N337" s="68"/>
      <c r="O337" s="87"/>
    </row>
    <row r="338" spans="1:15" s="49" customFormat="1" ht="19.5" hidden="1" customHeight="1">
      <c r="A338" s="52"/>
      <c r="B338" s="91"/>
      <c r="C338" s="57" t="s">
        <v>302</v>
      </c>
      <c r="D338" s="93">
        <v>28223.045600000001</v>
      </c>
      <c r="E338" s="86">
        <v>1086.4586000000002</v>
      </c>
      <c r="F338" s="89">
        <v>932.15180000000009</v>
      </c>
      <c r="G338" s="85">
        <v>52659.564864999993</v>
      </c>
      <c r="H338" s="85">
        <v>12661.094935000001</v>
      </c>
      <c r="I338" s="85">
        <v>893.37448200000006</v>
      </c>
      <c r="J338" s="85">
        <v>413.17611800000003</v>
      </c>
      <c r="K338" s="85">
        <v>68645.820799999987</v>
      </c>
      <c r="L338" s="86">
        <v>96868.866399999999</v>
      </c>
      <c r="M338" s="68"/>
      <c r="N338" s="68">
        <f>+L338-SUM(D338:J338)</f>
        <v>0</v>
      </c>
      <c r="O338" s="95"/>
    </row>
    <row r="339" spans="1:15" s="49" customFormat="1" ht="19.5" hidden="1" customHeight="1">
      <c r="A339" s="52"/>
      <c r="B339" s="91"/>
      <c r="C339" s="52"/>
      <c r="D339" s="93"/>
      <c r="E339" s="93"/>
      <c r="F339" s="93"/>
      <c r="G339" s="93"/>
      <c r="H339" s="93"/>
      <c r="I339" s="93"/>
      <c r="J339" s="93"/>
      <c r="K339" s="93"/>
      <c r="L339" s="86"/>
      <c r="M339" s="68"/>
      <c r="N339" s="68"/>
      <c r="O339" s="95"/>
    </row>
    <row r="340" spans="1:15" s="49" customFormat="1" ht="19.5" hidden="1" customHeight="1">
      <c r="A340" s="52"/>
      <c r="B340" s="91"/>
      <c r="C340" s="57" t="s">
        <v>303</v>
      </c>
      <c r="D340" s="93">
        <v>38834.888100000004</v>
      </c>
      <c r="E340" s="86">
        <v>655.88019999999995</v>
      </c>
      <c r="F340" s="89">
        <v>1169.1181000000001</v>
      </c>
      <c r="G340" s="85">
        <v>59200.745759000005</v>
      </c>
      <c r="H340" s="85">
        <v>12514.280741</v>
      </c>
      <c r="I340" s="85">
        <v>481.98018200000001</v>
      </c>
      <c r="J340" s="85">
        <v>395.481718</v>
      </c>
      <c r="K340" s="85">
        <v>74417.486700000009</v>
      </c>
      <c r="L340" s="86">
        <v>113252.37479999999</v>
      </c>
      <c r="M340" s="68"/>
      <c r="N340" s="68">
        <f>+L340-SUM(D340:J340)</f>
        <v>0</v>
      </c>
      <c r="O340" s="95"/>
    </row>
    <row r="341" spans="1:15" s="49" customFormat="1" ht="19.5" hidden="1" customHeight="1">
      <c r="A341" s="52"/>
      <c r="B341" s="91"/>
      <c r="C341" s="52"/>
      <c r="D341" s="93"/>
      <c r="E341" s="93"/>
      <c r="F341" s="93"/>
      <c r="G341" s="93"/>
      <c r="H341" s="93"/>
      <c r="I341" s="93"/>
      <c r="J341" s="93"/>
      <c r="K341" s="93"/>
      <c r="L341" s="86"/>
      <c r="M341" s="68"/>
      <c r="N341" s="68"/>
      <c r="O341" s="95"/>
    </row>
    <row r="342" spans="1:15" s="49" customFormat="1" ht="19.5" hidden="1" customHeight="1">
      <c r="A342" s="52"/>
      <c r="B342" s="91"/>
      <c r="C342" s="57" t="s">
        <v>304</v>
      </c>
      <c r="D342" s="93">
        <v>46882.004000000001</v>
      </c>
      <c r="E342" s="86">
        <v>1275.001</v>
      </c>
      <c r="F342" s="89">
        <v>416.07759999999996</v>
      </c>
      <c r="G342" s="85">
        <v>84271.796585000004</v>
      </c>
      <c r="H342" s="85">
        <v>17737.208114999998</v>
      </c>
      <c r="I342" s="85">
        <v>1547.743923</v>
      </c>
      <c r="J342" s="85">
        <v>366.82837699999999</v>
      </c>
      <c r="K342" s="85">
        <v>105614.6556</v>
      </c>
      <c r="L342" s="86">
        <v>152496.65969999999</v>
      </c>
      <c r="M342" s="68"/>
      <c r="N342" s="68">
        <f>+L342-SUM(D342:J342)</f>
        <v>1.0000000474974513E-4</v>
      </c>
      <c r="O342" s="95"/>
    </row>
    <row r="343" spans="1:15" s="49" customFormat="1" ht="19.5" hidden="1" customHeight="1">
      <c r="A343" s="52"/>
      <c r="B343" s="91"/>
      <c r="C343" s="52"/>
      <c r="D343" s="93"/>
      <c r="E343" s="93"/>
      <c r="F343" s="93"/>
      <c r="G343" s="93"/>
      <c r="H343" s="93"/>
      <c r="I343" s="93"/>
      <c r="J343" s="93"/>
      <c r="K343" s="93"/>
      <c r="L343" s="86"/>
      <c r="M343" s="68"/>
      <c r="N343" s="68"/>
      <c r="O343" s="95"/>
    </row>
    <row r="344" spans="1:15" s="49" customFormat="1" ht="19.5" hidden="1" customHeight="1">
      <c r="A344" s="52"/>
      <c r="B344" s="91"/>
      <c r="C344" s="57" t="s">
        <v>305</v>
      </c>
      <c r="D344" s="93">
        <v>53493.5</v>
      </c>
      <c r="E344" s="86">
        <v>348.1</v>
      </c>
      <c r="F344" s="89">
        <v>1412.1</v>
      </c>
      <c r="G344" s="85">
        <f>188303.7-H344</f>
        <v>145310.6</v>
      </c>
      <c r="H344" s="85">
        <f>38084.5+4908.6</f>
        <v>42993.1</v>
      </c>
      <c r="I344" s="85">
        <f>4429.7-J344</f>
        <v>2764.6</v>
      </c>
      <c r="J344" s="85">
        <v>1665.1</v>
      </c>
      <c r="K344" s="85">
        <f>J344+I344+H344+G344+F344+E344</f>
        <v>194493.6</v>
      </c>
      <c r="L344" s="86">
        <v>247987.20000000001</v>
      </c>
      <c r="M344" s="68"/>
      <c r="N344" s="68">
        <f>+L344-SUM(D344:J344)</f>
        <v>0.10000000000582077</v>
      </c>
      <c r="O344" s="95"/>
    </row>
    <row r="345" spans="1:15" s="49" customFormat="1" ht="19.5" hidden="1" customHeight="1">
      <c r="A345" s="52"/>
      <c r="B345" s="91"/>
      <c r="C345" s="52"/>
      <c r="D345" s="93"/>
      <c r="E345" s="86"/>
      <c r="F345" s="89"/>
      <c r="G345" s="85"/>
      <c r="H345" s="85"/>
      <c r="I345" s="85"/>
      <c r="J345" s="85"/>
      <c r="K345" s="85"/>
      <c r="L345" s="86"/>
      <c r="M345" s="68"/>
      <c r="N345" s="68"/>
      <c r="O345" s="95"/>
    </row>
    <row r="346" spans="1:15" s="49" customFormat="1" ht="19.5" hidden="1" customHeight="1">
      <c r="A346" s="52"/>
      <c r="B346" s="91"/>
      <c r="C346" s="52" t="s">
        <v>306</v>
      </c>
      <c r="D346" s="93">
        <v>77729.600000000006</v>
      </c>
      <c r="E346" s="86">
        <v>3760.6</v>
      </c>
      <c r="F346" s="89">
        <v>2553.1</v>
      </c>
      <c r="G346" s="85">
        <f>240487.9-H346</f>
        <v>194857</v>
      </c>
      <c r="H346" s="85">
        <f>40137.7+5493.2</f>
        <v>45630.899999999994</v>
      </c>
      <c r="I346" s="85">
        <f>4873.7-J346</f>
        <v>4265.0999999999995</v>
      </c>
      <c r="J346" s="85">
        <f>564.2+44.4</f>
        <v>608.6</v>
      </c>
      <c r="K346" s="85">
        <f>J346+I346+H346+G346+F346+E346</f>
        <v>251675.3</v>
      </c>
      <c r="L346" s="86">
        <v>329404.79999999999</v>
      </c>
      <c r="M346" s="68"/>
      <c r="N346" s="68">
        <f>+L346-SUM(D346:J346)</f>
        <v>-0.1000000000349246</v>
      </c>
      <c r="O346" s="95"/>
    </row>
    <row r="347" spans="1:15" s="49" customFormat="1" ht="19.5" hidden="1" customHeight="1">
      <c r="A347" s="52"/>
      <c r="B347" s="91"/>
      <c r="C347" s="52"/>
      <c r="D347" s="93"/>
      <c r="E347" s="86"/>
      <c r="F347" s="89"/>
      <c r="G347" s="85"/>
      <c r="H347" s="85"/>
      <c r="I347" s="85"/>
      <c r="J347" s="85"/>
      <c r="K347" s="85"/>
      <c r="L347" s="86"/>
      <c r="M347" s="68"/>
      <c r="N347" s="68"/>
      <c r="O347" s="95"/>
    </row>
    <row r="348" spans="1:15" s="49" customFormat="1" ht="19.5" hidden="1" customHeight="1">
      <c r="A348" s="52"/>
      <c r="B348" s="91"/>
      <c r="C348" s="57" t="s">
        <v>307</v>
      </c>
      <c r="D348" s="93">
        <v>103171.5</v>
      </c>
      <c r="E348" s="86">
        <v>13252.9</v>
      </c>
      <c r="F348" s="89">
        <v>3697.3</v>
      </c>
      <c r="G348" s="85">
        <f>294323.2-H348</f>
        <v>245595.80000000002</v>
      </c>
      <c r="H348" s="85">
        <v>48727.4</v>
      </c>
      <c r="I348" s="85">
        <f>2949.2-J348</f>
        <v>2481.2999999999997</v>
      </c>
      <c r="J348" s="85">
        <v>467.9</v>
      </c>
      <c r="K348" s="85">
        <f>J348+I348+H348+G348+F348+E348</f>
        <v>314222.60000000003</v>
      </c>
      <c r="L348" s="86">
        <v>417394.1</v>
      </c>
      <c r="M348" s="68"/>
      <c r="N348" s="68">
        <f>+L348-SUM(D348:J348)</f>
        <v>0</v>
      </c>
      <c r="O348" s="95"/>
    </row>
    <row r="349" spans="1:15" s="49" customFormat="1" ht="19.5" hidden="1" customHeight="1">
      <c r="A349" s="52"/>
      <c r="B349" s="91"/>
      <c r="C349" s="57"/>
      <c r="D349" s="93"/>
      <c r="E349" s="86"/>
      <c r="F349" s="89"/>
      <c r="G349" s="85"/>
      <c r="H349" s="85"/>
      <c r="I349" s="85"/>
      <c r="J349" s="85"/>
      <c r="K349" s="85"/>
      <c r="L349" s="86"/>
      <c r="M349" s="68"/>
      <c r="N349" s="68"/>
      <c r="O349" s="95"/>
    </row>
    <row r="350" spans="1:15" s="49" customFormat="1" ht="19.5" hidden="1" customHeight="1">
      <c r="A350" s="52"/>
      <c r="B350" s="91"/>
      <c r="C350" s="96" t="s">
        <v>308</v>
      </c>
      <c r="D350" s="93">
        <v>147403.70000000001</v>
      </c>
      <c r="E350" s="86">
        <v>9062.4</v>
      </c>
      <c r="F350" s="89">
        <v>3233.8</v>
      </c>
      <c r="G350" s="86">
        <f>351595.8-H350</f>
        <v>300223.3</v>
      </c>
      <c r="H350" s="85">
        <v>51372.5</v>
      </c>
      <c r="I350" s="85">
        <f>3780.1-J350</f>
        <v>3319.5</v>
      </c>
      <c r="J350" s="85">
        <v>460.6</v>
      </c>
      <c r="K350" s="85">
        <f>J350+I350+H350+G350+F350+E350</f>
        <v>367672.1</v>
      </c>
      <c r="L350" s="86">
        <v>515075.8</v>
      </c>
      <c r="M350" s="68"/>
      <c r="N350" s="68">
        <f>+L350-SUM(D350:J350)</f>
        <v>0</v>
      </c>
      <c r="O350" s="95"/>
    </row>
    <row r="351" spans="1:15" s="49" customFormat="1" ht="19.5" hidden="1" customHeight="1">
      <c r="A351" s="52"/>
      <c r="B351" s="91"/>
      <c r="C351" s="96"/>
      <c r="D351" s="93"/>
      <c r="E351" s="86"/>
      <c r="F351" s="89"/>
      <c r="G351" s="86"/>
      <c r="H351" s="85"/>
      <c r="I351" s="85"/>
      <c r="J351" s="85"/>
      <c r="K351" s="85"/>
      <c r="L351" s="86"/>
      <c r="M351" s="68"/>
      <c r="N351" s="68"/>
      <c r="O351" s="95"/>
    </row>
    <row r="352" spans="1:15" s="49" customFormat="1" ht="19.5" hidden="1" customHeight="1">
      <c r="A352" s="52"/>
      <c r="B352" s="91"/>
      <c r="C352" s="57" t="s">
        <v>311</v>
      </c>
      <c r="D352" s="93">
        <v>220244.6</v>
      </c>
      <c r="E352" s="86">
        <v>3830</v>
      </c>
      <c r="F352" s="89">
        <v>4964.2</v>
      </c>
      <c r="G352" s="86">
        <f>396713.8-H352</f>
        <v>342667.2</v>
      </c>
      <c r="H352" s="85">
        <v>54046.6</v>
      </c>
      <c r="I352" s="85">
        <f>3227.8-J352</f>
        <v>2819.2000000000003</v>
      </c>
      <c r="J352" s="85">
        <v>408.6</v>
      </c>
      <c r="K352" s="85">
        <f>J352+I352+H352+G352+F352+E352</f>
        <v>408735.80000000005</v>
      </c>
      <c r="L352" s="86">
        <v>628980.5</v>
      </c>
      <c r="M352" s="68"/>
      <c r="N352" s="68">
        <f>+L352-SUM(D352:J352)</f>
        <v>0.10000000009313226</v>
      </c>
      <c r="O352" s="95"/>
    </row>
    <row r="353" spans="1:15" s="49" customFormat="1" ht="19.5" hidden="1" customHeight="1">
      <c r="A353" s="52"/>
      <c r="B353" s="91"/>
      <c r="C353" s="52"/>
      <c r="D353" s="93"/>
      <c r="E353" s="86"/>
      <c r="F353" s="89"/>
      <c r="G353" s="86"/>
      <c r="H353" s="85"/>
      <c r="I353" s="85"/>
      <c r="J353" s="85"/>
      <c r="K353" s="85"/>
      <c r="L353" s="86"/>
      <c r="M353" s="68"/>
      <c r="N353" s="68"/>
      <c r="O353" s="95"/>
    </row>
    <row r="354" spans="1:15" s="49" customFormat="1" ht="19.5" hidden="1" customHeight="1">
      <c r="A354" s="52"/>
      <c r="B354" s="91"/>
      <c r="C354" s="56">
        <v>2007</v>
      </c>
      <c r="D354" s="93"/>
      <c r="E354" s="86"/>
      <c r="F354" s="89"/>
      <c r="G354" s="86"/>
      <c r="H354" s="85"/>
      <c r="I354" s="85"/>
      <c r="J354" s="85"/>
      <c r="K354" s="85"/>
      <c r="L354" s="86"/>
      <c r="M354" s="68"/>
      <c r="N354" s="68"/>
      <c r="O354" s="95"/>
    </row>
    <row r="355" spans="1:15" s="49" customFormat="1" ht="19.5" hidden="1" customHeight="1">
      <c r="A355" s="52"/>
      <c r="B355" s="91"/>
      <c r="C355" s="52"/>
      <c r="D355" s="93"/>
      <c r="E355" s="86"/>
      <c r="F355" s="89"/>
      <c r="G355" s="86"/>
      <c r="H355" s="85"/>
      <c r="I355" s="85"/>
      <c r="J355" s="85"/>
      <c r="K355" s="85"/>
      <c r="L355" s="86"/>
      <c r="M355" s="68"/>
      <c r="N355" s="68"/>
      <c r="O355" s="95"/>
    </row>
    <row r="356" spans="1:15" s="49" customFormat="1" ht="19.5" hidden="1" customHeight="1">
      <c r="A356" s="52"/>
      <c r="B356" s="91"/>
      <c r="C356" s="52" t="s">
        <v>298</v>
      </c>
      <c r="D356" s="93">
        <v>270102.92007919995</v>
      </c>
      <c r="E356" s="86">
        <v>3078.1</v>
      </c>
      <c r="F356" s="89">
        <v>9908.6800047899997</v>
      </c>
      <c r="G356" s="86">
        <f>574328.87702929-H356</f>
        <v>518285.49729128997</v>
      </c>
      <c r="H356" s="85">
        <v>56043.379738000003</v>
      </c>
      <c r="I356" s="85">
        <f>2384.160594-J356</f>
        <v>1725.6605939999999</v>
      </c>
      <c r="J356" s="85">
        <v>658.5</v>
      </c>
      <c r="K356" s="85">
        <f>J356+I356+H356+G356+F356+E356</f>
        <v>589699.81762807991</v>
      </c>
      <c r="L356" s="86">
        <v>859802.73770727986</v>
      </c>
      <c r="M356" s="68"/>
      <c r="N356" s="68">
        <f>+L356-SUM(D356:J356)</f>
        <v>0</v>
      </c>
      <c r="O356" s="95"/>
    </row>
    <row r="357" spans="1:15" s="49" customFormat="1" ht="19.5" hidden="1" customHeight="1">
      <c r="A357" s="52"/>
      <c r="B357" s="91"/>
      <c r="C357" s="52"/>
      <c r="D357" s="93"/>
      <c r="E357" s="86"/>
      <c r="F357" s="89"/>
      <c r="G357" s="86"/>
      <c r="H357" s="85"/>
      <c r="I357" s="85"/>
      <c r="J357" s="85"/>
      <c r="K357" s="85"/>
      <c r="L357" s="86"/>
      <c r="M357" s="68"/>
      <c r="N357" s="68"/>
      <c r="O357" s="95"/>
    </row>
    <row r="358" spans="1:15" s="49" customFormat="1" ht="19.5" hidden="1" customHeight="1">
      <c r="A358" s="52"/>
      <c r="B358" s="91"/>
      <c r="C358" s="52" t="s">
        <v>299</v>
      </c>
      <c r="D358" s="93">
        <v>407706.6</v>
      </c>
      <c r="E358" s="86">
        <v>4079.6</v>
      </c>
      <c r="F358" s="89">
        <v>14603</v>
      </c>
      <c r="G358" s="86">
        <f>776415.6-H358</f>
        <v>717521.74</v>
      </c>
      <c r="H358" s="85">
        <v>58893.86</v>
      </c>
      <c r="I358" s="85">
        <f>4968.8-J358</f>
        <v>3265.4</v>
      </c>
      <c r="J358" s="85">
        <v>1703.4</v>
      </c>
      <c r="K358" s="85">
        <f>J358+I358+H358+G358+F358+E358</f>
        <v>800067</v>
      </c>
      <c r="L358" s="86">
        <v>1207773.5</v>
      </c>
      <c r="M358" s="68"/>
      <c r="N358" s="68">
        <f>+L358-SUM(D358:J358)</f>
        <v>-9.9999999860301614E-2</v>
      </c>
      <c r="O358" s="95"/>
    </row>
    <row r="359" spans="1:15" s="49" customFormat="1" ht="19.5" hidden="1" customHeight="1">
      <c r="A359" s="52"/>
      <c r="B359" s="91"/>
      <c r="C359" s="52"/>
      <c r="D359" s="93"/>
      <c r="E359" s="86"/>
      <c r="F359" s="89"/>
      <c r="G359" s="86"/>
      <c r="H359" s="85"/>
      <c r="I359" s="85"/>
      <c r="J359" s="85"/>
      <c r="K359" s="85"/>
      <c r="L359" s="86"/>
      <c r="M359" s="68"/>
      <c r="N359" s="68"/>
      <c r="O359" s="95"/>
    </row>
    <row r="360" spans="1:15" s="49" customFormat="1" ht="19.5" hidden="1" customHeight="1">
      <c r="A360" s="52"/>
      <c r="B360" s="91"/>
      <c r="C360" s="52" t="s">
        <v>300</v>
      </c>
      <c r="D360" s="93">
        <v>779716.1</v>
      </c>
      <c r="E360" s="86">
        <v>4556.8999999999996</v>
      </c>
      <c r="F360" s="89">
        <v>25022.7</v>
      </c>
      <c r="G360" s="86">
        <f>1370313.1-H360</f>
        <v>1314719.0580000002</v>
      </c>
      <c r="H360" s="85">
        <f>48588.678+7005.364</f>
        <v>55594.042000000001</v>
      </c>
      <c r="I360" s="85">
        <f>7319.7-J360</f>
        <v>5754.2199999999993</v>
      </c>
      <c r="J360" s="85">
        <v>1565.48</v>
      </c>
      <c r="K360" s="85">
        <f>J360+I360+H360+G360+F360+E360</f>
        <v>1407212.4000000001</v>
      </c>
      <c r="L360" s="86">
        <v>2186928.5</v>
      </c>
      <c r="M360" s="68"/>
      <c r="N360" s="68">
        <f>+L360-SUM(D360:J360)</f>
        <v>0</v>
      </c>
      <c r="O360" s="95"/>
    </row>
    <row r="361" spans="1:15" s="49" customFormat="1" ht="19.5" hidden="1" customHeight="1">
      <c r="A361" s="52"/>
      <c r="B361" s="91"/>
      <c r="C361" s="52"/>
      <c r="D361" s="93"/>
      <c r="E361" s="86"/>
      <c r="F361" s="89"/>
      <c r="G361" s="86"/>
      <c r="H361" s="85"/>
      <c r="I361" s="85"/>
      <c r="J361" s="85"/>
      <c r="K361" s="85"/>
      <c r="L361" s="86"/>
      <c r="M361" s="68"/>
      <c r="N361" s="68"/>
      <c r="O361" s="95"/>
    </row>
    <row r="362" spans="1:15" s="49" customFormat="1" ht="19.5" hidden="1" customHeight="1">
      <c r="A362" s="52"/>
      <c r="B362" s="91"/>
      <c r="C362" s="52" t="s">
        <v>301</v>
      </c>
      <c r="D362" s="93">
        <v>1437844.7</v>
      </c>
      <c r="E362" s="86">
        <v>9761.9</v>
      </c>
      <c r="F362" s="89">
        <v>9806.7999999999993</v>
      </c>
      <c r="G362" s="86">
        <f>2045452-H362</f>
        <v>1977758.3</v>
      </c>
      <c r="H362" s="85">
        <v>67693.7</v>
      </c>
      <c r="I362" s="85">
        <f>8263.3-J362</f>
        <v>6706.262999999999</v>
      </c>
      <c r="J362" s="85">
        <v>1557.037</v>
      </c>
      <c r="K362" s="85">
        <f>J362+I362+H362+G362+F362+E362</f>
        <v>2073284</v>
      </c>
      <c r="L362" s="86">
        <v>3511128.7</v>
      </c>
      <c r="M362" s="68"/>
      <c r="N362" s="68">
        <f>+L362-SUM(D362:J362)</f>
        <v>0</v>
      </c>
      <c r="O362" s="95"/>
    </row>
    <row r="363" spans="1:15" s="49" customFormat="1" ht="19.5" hidden="1" customHeight="1">
      <c r="A363" s="52"/>
      <c r="B363" s="91"/>
      <c r="C363" s="52"/>
      <c r="D363" s="93"/>
      <c r="E363" s="86"/>
      <c r="F363" s="89"/>
      <c r="G363" s="86"/>
      <c r="H363" s="85"/>
      <c r="I363" s="85"/>
      <c r="J363" s="85"/>
      <c r="K363" s="85"/>
      <c r="L363" s="86"/>
      <c r="M363" s="68"/>
      <c r="N363" s="68"/>
      <c r="O363" s="95"/>
    </row>
    <row r="364" spans="1:15" s="49" customFormat="1" ht="19.5" hidden="1" customHeight="1">
      <c r="A364" s="52"/>
      <c r="B364" s="91"/>
      <c r="C364" s="57" t="s">
        <v>302</v>
      </c>
      <c r="D364" s="93">
        <v>2908316.1</v>
      </c>
      <c r="E364" s="86">
        <v>88164.800000000003</v>
      </c>
      <c r="F364" s="89">
        <v>65211.199999999997</v>
      </c>
      <c r="G364" s="86">
        <f>5176318.4-H364</f>
        <v>5114536.341</v>
      </c>
      <c r="H364" s="85">
        <f>51265.9+10516.159</f>
        <v>61782.059000000001</v>
      </c>
      <c r="I364" s="85">
        <f>38317.9-J364</f>
        <v>36048.1</v>
      </c>
      <c r="J364" s="85">
        <v>2269.8000000000002</v>
      </c>
      <c r="K364" s="85">
        <f>J364+I364+H364+G364+F364+E364</f>
        <v>5368012.3</v>
      </c>
      <c r="L364" s="86">
        <v>8276328.5</v>
      </c>
      <c r="M364" s="68"/>
      <c r="N364" s="68">
        <f>+L364-SUM(D364:J364)</f>
        <v>0.10000000055879354</v>
      </c>
      <c r="O364" s="95"/>
    </row>
    <row r="365" spans="1:15" s="49" customFormat="1" ht="19.5" hidden="1" customHeight="1">
      <c r="A365" s="52"/>
      <c r="B365" s="91"/>
      <c r="C365" s="52"/>
      <c r="D365" s="93"/>
      <c r="E365" s="86"/>
      <c r="F365" s="89"/>
      <c r="G365" s="86"/>
      <c r="H365" s="85"/>
      <c r="I365" s="85"/>
      <c r="J365" s="85"/>
      <c r="K365" s="85"/>
      <c r="L365" s="86"/>
      <c r="M365" s="68"/>
      <c r="N365" s="68"/>
      <c r="O365" s="95"/>
    </row>
    <row r="366" spans="1:15" s="49" customFormat="1" ht="19.5" hidden="1" customHeight="1">
      <c r="A366" s="52"/>
      <c r="B366" s="91"/>
      <c r="C366" s="57" t="s">
        <v>303</v>
      </c>
      <c r="D366" s="93">
        <v>7597582.5999999996</v>
      </c>
      <c r="E366" s="86">
        <v>81170.100000000006</v>
      </c>
      <c r="F366" s="89">
        <v>224730.2</v>
      </c>
      <c r="G366" s="86">
        <f>10646641.2-H366</f>
        <v>10555980.449999999</v>
      </c>
      <c r="H366" s="85">
        <v>90660.75</v>
      </c>
      <c r="I366" s="85">
        <f>48610.4-J366</f>
        <v>46741.47</v>
      </c>
      <c r="J366" s="85">
        <v>1868.93</v>
      </c>
      <c r="K366" s="85">
        <f>J366+I366+H366+G366+F366+E366</f>
        <v>11001151.899999999</v>
      </c>
      <c r="L366" s="86">
        <v>18598734.5</v>
      </c>
      <c r="M366" s="68"/>
      <c r="N366" s="68">
        <f>+L366-SUM(D366:J366)</f>
        <v>0</v>
      </c>
      <c r="O366" s="95"/>
    </row>
    <row r="367" spans="1:15" s="49" customFormat="1" ht="19.5" hidden="1" customHeight="1">
      <c r="A367" s="52"/>
      <c r="B367" s="91"/>
      <c r="C367" s="52"/>
      <c r="D367" s="93"/>
      <c r="E367" s="86"/>
      <c r="F367" s="89"/>
      <c r="G367" s="86"/>
      <c r="H367" s="85"/>
      <c r="I367" s="85"/>
      <c r="J367" s="85"/>
      <c r="K367" s="85"/>
      <c r="L367" s="86"/>
      <c r="M367" s="68"/>
      <c r="N367" s="68"/>
      <c r="O367" s="95"/>
    </row>
    <row r="368" spans="1:15" s="49" customFormat="1" ht="19.5" hidden="1" customHeight="1">
      <c r="A368" s="52"/>
      <c r="B368" s="91"/>
      <c r="C368" s="57" t="s">
        <v>304</v>
      </c>
      <c r="D368" s="93">
        <v>12282894.699999999</v>
      </c>
      <c r="E368" s="86">
        <v>158718</v>
      </c>
      <c r="F368" s="89">
        <v>447358.8</v>
      </c>
      <c r="G368" s="86">
        <f>14730838.3-H368</f>
        <v>14636325.438000001</v>
      </c>
      <c r="H368" s="85">
        <f>84457.762+10055.1</f>
        <v>94512.862000000008</v>
      </c>
      <c r="I368" s="85">
        <f>514775.1-J368</f>
        <v>512931.26199999999</v>
      </c>
      <c r="J368" s="85">
        <v>1843.838</v>
      </c>
      <c r="K368" s="85">
        <f>J368+I368+H368+G368+F368+E368</f>
        <v>15851690.200000001</v>
      </c>
      <c r="L368" s="86">
        <v>28134584.899999999</v>
      </c>
      <c r="M368" s="68"/>
      <c r="N368" s="68">
        <f>+L368-SUM(D368:J368)</f>
        <v>0</v>
      </c>
      <c r="O368" s="95"/>
    </row>
    <row r="369" spans="1:15" s="49" customFormat="1" ht="19.5" hidden="1" customHeight="1">
      <c r="A369" s="52"/>
      <c r="B369" s="91"/>
      <c r="C369" s="52"/>
      <c r="D369" s="93"/>
      <c r="E369" s="86"/>
      <c r="F369" s="89"/>
      <c r="G369" s="86"/>
      <c r="H369" s="85"/>
      <c r="I369" s="85"/>
      <c r="J369" s="85"/>
      <c r="K369" s="85"/>
      <c r="L369" s="86"/>
      <c r="M369" s="68"/>
      <c r="N369" s="68"/>
      <c r="O369" s="95"/>
    </row>
    <row r="370" spans="1:15" s="49" customFormat="1" ht="19.5" hidden="1" customHeight="1">
      <c r="A370" s="52"/>
      <c r="B370" s="91"/>
      <c r="C370" s="57" t="s">
        <v>305</v>
      </c>
      <c r="D370" s="93">
        <v>16348805.4</v>
      </c>
      <c r="E370" s="86">
        <v>347376</v>
      </c>
      <c r="F370" s="89">
        <v>535915.1</v>
      </c>
      <c r="G370" s="86">
        <f>24082631.9-H370</f>
        <v>23969367.949999999</v>
      </c>
      <c r="H370" s="85">
        <f>103619.9+9644.05</f>
        <v>113263.95</v>
      </c>
      <c r="I370" s="85">
        <f>440237.8-J370</f>
        <v>438216.14999999997</v>
      </c>
      <c r="J370" s="85">
        <v>2021.65</v>
      </c>
      <c r="K370" s="85">
        <f>J370+I370+H370+G370+F370+E370</f>
        <v>25406160.800000001</v>
      </c>
      <c r="L370" s="86">
        <v>41754966.100000001</v>
      </c>
      <c r="M370" s="68"/>
      <c r="N370" s="68">
        <f>+L370-SUM(D370:J370)</f>
        <v>-0.10000000149011612</v>
      </c>
      <c r="O370" s="95"/>
    </row>
    <row r="371" spans="1:15" s="49" customFormat="1" ht="19.5" hidden="1" customHeight="1">
      <c r="A371" s="52"/>
      <c r="B371" s="91"/>
      <c r="C371" s="52"/>
      <c r="D371" s="93"/>
      <c r="E371" s="86"/>
      <c r="F371" s="89"/>
      <c r="G371" s="86"/>
      <c r="H371" s="85"/>
      <c r="I371" s="85"/>
      <c r="J371" s="85"/>
      <c r="K371" s="85"/>
      <c r="L371" s="86"/>
      <c r="M371" s="68"/>
      <c r="N371" s="68"/>
      <c r="O371" s="95"/>
    </row>
    <row r="372" spans="1:15" s="49" customFormat="1" ht="19.5" hidden="1" customHeight="1">
      <c r="A372" s="52"/>
      <c r="B372" s="91"/>
      <c r="C372" s="52" t="s">
        <v>306</v>
      </c>
      <c r="D372" s="93">
        <v>23283542.800000001</v>
      </c>
      <c r="E372" s="86">
        <v>524926.80000000005</v>
      </c>
      <c r="F372" s="89">
        <v>943653</v>
      </c>
      <c r="G372" s="86">
        <f>45215962.7-H372</f>
        <v>36631156.934</v>
      </c>
      <c r="H372" s="85">
        <f>7656485.366+928320.4</f>
        <v>8584805.7660000008</v>
      </c>
      <c r="I372" s="85">
        <f>610422.7-J372</f>
        <v>263165.64999999997</v>
      </c>
      <c r="J372" s="85">
        <v>347257.05</v>
      </c>
      <c r="K372" s="85">
        <f>J372+I372+H372+G372+F372+E372</f>
        <v>47294965.199999996</v>
      </c>
      <c r="L372" s="86">
        <v>70578508.099999994</v>
      </c>
      <c r="M372" s="68"/>
      <c r="N372" s="68">
        <f>+L372-SUM(D372:J372)</f>
        <v>9.9999994039535522E-2</v>
      </c>
      <c r="O372" s="95"/>
    </row>
    <row r="373" spans="1:15" s="49" customFormat="1" ht="19.5" hidden="1" customHeight="1">
      <c r="A373" s="52"/>
      <c r="B373" s="91"/>
      <c r="C373" s="52"/>
      <c r="D373" s="93"/>
      <c r="E373" s="86"/>
      <c r="F373" s="89"/>
      <c r="G373" s="86"/>
      <c r="H373" s="85"/>
      <c r="I373" s="85"/>
      <c r="J373" s="85"/>
      <c r="K373" s="85"/>
      <c r="L373" s="86"/>
      <c r="M373" s="68"/>
      <c r="N373" s="68"/>
      <c r="O373" s="95"/>
    </row>
    <row r="374" spans="1:15" s="49" customFormat="1" ht="19.5" hidden="1" customHeight="1">
      <c r="A374" s="52"/>
      <c r="B374" s="91"/>
      <c r="C374" s="57" t="s">
        <v>307</v>
      </c>
      <c r="D374" s="93">
        <v>41659229.799999997</v>
      </c>
      <c r="E374" s="86">
        <v>724598.2</v>
      </c>
      <c r="F374" s="89">
        <v>1471987.5</v>
      </c>
      <c r="G374" s="86">
        <f>66656541.1-H374</f>
        <v>59623460.859999999</v>
      </c>
      <c r="H374" s="85">
        <f>7025855.99+7224.25</f>
        <v>7033080.2400000002</v>
      </c>
      <c r="I374" s="85">
        <f>1406164.7-J374</f>
        <v>1130762.6000000001</v>
      </c>
      <c r="J374" s="85">
        <v>275402.09999999998</v>
      </c>
      <c r="K374" s="85">
        <f>J374+I374+H374+G374+F374+E374</f>
        <v>70259291.5</v>
      </c>
      <c r="L374" s="86">
        <v>111918521.40000001</v>
      </c>
      <c r="M374" s="68"/>
      <c r="N374" s="68">
        <f>+L374-SUM(D374:J374)</f>
        <v>0.10000002384185791</v>
      </c>
      <c r="O374" s="95"/>
    </row>
    <row r="375" spans="1:15" s="49" customFormat="1" ht="19.5" hidden="1" customHeight="1">
      <c r="A375" s="52"/>
      <c r="B375" s="91"/>
      <c r="C375" s="52"/>
      <c r="D375" s="93"/>
      <c r="E375" s="86"/>
      <c r="F375" s="89"/>
      <c r="G375" s="86"/>
      <c r="H375" s="85"/>
      <c r="I375" s="85"/>
      <c r="J375" s="85"/>
      <c r="K375" s="85"/>
      <c r="L375" s="86"/>
      <c r="M375" s="68"/>
      <c r="N375" s="68"/>
      <c r="O375" s="95"/>
    </row>
    <row r="376" spans="1:15" s="49" customFormat="1" ht="19.5" hidden="1" customHeight="1">
      <c r="A376" s="52"/>
      <c r="B376" s="91"/>
      <c r="C376" s="96" t="s">
        <v>308</v>
      </c>
      <c r="D376" s="93">
        <v>60679765.5</v>
      </c>
      <c r="E376" s="86">
        <v>4620930.5999999996</v>
      </c>
      <c r="F376" s="89">
        <v>2472796.6</v>
      </c>
      <c r="G376" s="86">
        <f>227667384-H376</f>
        <v>217988481.05000001</v>
      </c>
      <c r="H376" s="85">
        <f>8269220.15+1409682.8</f>
        <v>9678902.9500000011</v>
      </c>
      <c r="I376" s="85">
        <f>3153574.1-J376</f>
        <v>2793613.74</v>
      </c>
      <c r="J376" s="85">
        <v>359960.36</v>
      </c>
      <c r="K376" s="85">
        <f>J376+I376+H376+G376+F376+E376</f>
        <v>237914685.30000001</v>
      </c>
      <c r="L376" s="86">
        <v>298594450.80000001</v>
      </c>
      <c r="M376" s="68"/>
      <c r="N376" s="68">
        <f>+L376-SUM(D376:J376)</f>
        <v>0</v>
      </c>
      <c r="O376" s="95"/>
    </row>
    <row r="377" spans="1:15" s="49" customFormat="1" ht="19.5" hidden="1" customHeight="1">
      <c r="A377" s="52"/>
      <c r="B377" s="91"/>
      <c r="C377" s="96"/>
      <c r="D377" s="93"/>
      <c r="E377" s="86"/>
      <c r="F377" s="89"/>
      <c r="G377" s="86"/>
      <c r="H377" s="85"/>
      <c r="I377" s="85"/>
      <c r="J377" s="85"/>
      <c r="K377" s="85"/>
      <c r="L377" s="86"/>
      <c r="M377" s="68"/>
      <c r="N377" s="68"/>
      <c r="O377" s="95"/>
    </row>
    <row r="378" spans="1:15" s="49" customFormat="1" ht="19.5" hidden="1" customHeight="1">
      <c r="A378" s="52"/>
      <c r="B378" s="91"/>
      <c r="C378" s="57" t="s">
        <v>311</v>
      </c>
      <c r="D378" s="93">
        <v>70435972.099999994</v>
      </c>
      <c r="E378" s="86">
        <v>1371737.9</v>
      </c>
      <c r="F378" s="89">
        <v>3988642.5</v>
      </c>
      <c r="G378" s="86">
        <f>337622406.6-H378</f>
        <v>326039847.5</v>
      </c>
      <c r="H378" s="85">
        <f>10047954.6+1534604.5</f>
        <v>11582559.1</v>
      </c>
      <c r="I378" s="85">
        <f>6534855.2-J378</f>
        <v>6103401.2000000002</v>
      </c>
      <c r="J378" s="85">
        <v>431454</v>
      </c>
      <c r="K378" s="85">
        <f>J378+I378+H378+G378+F378+E378</f>
        <v>349517642.19999999</v>
      </c>
      <c r="L378" s="86">
        <v>419953614.30000001</v>
      </c>
      <c r="M378" s="68"/>
      <c r="N378" s="68">
        <f>+L378-SUM(D378:J378)</f>
        <v>0</v>
      </c>
      <c r="O378" s="95"/>
    </row>
    <row r="379" spans="1:15" s="49" customFormat="1" ht="19.5" hidden="1" customHeight="1">
      <c r="A379" s="52"/>
      <c r="B379" s="91"/>
      <c r="C379" s="52"/>
      <c r="D379" s="93"/>
      <c r="E379" s="86"/>
      <c r="F379" s="89"/>
      <c r="G379" s="86"/>
      <c r="H379" s="85"/>
      <c r="I379" s="85"/>
      <c r="J379" s="85"/>
      <c r="K379" s="85"/>
      <c r="L379" s="86"/>
      <c r="M379" s="68"/>
      <c r="N379" s="68"/>
      <c r="O379" s="95"/>
    </row>
    <row r="380" spans="1:15" s="49" customFormat="1" ht="19.5" customHeight="1">
      <c r="A380" s="52"/>
      <c r="B380" s="91"/>
      <c r="C380" s="56">
        <v>2009</v>
      </c>
      <c r="D380" s="93"/>
      <c r="E380" s="86"/>
      <c r="F380" s="89"/>
      <c r="G380" s="97"/>
      <c r="H380" s="97"/>
      <c r="I380" s="97"/>
      <c r="J380" s="97"/>
      <c r="K380" s="97"/>
      <c r="L380" s="98"/>
      <c r="M380" s="68"/>
      <c r="N380" s="68"/>
      <c r="O380" s="95"/>
    </row>
    <row r="381" spans="1:15" s="49" customFormat="1" ht="19.5" customHeight="1">
      <c r="A381" s="52"/>
      <c r="B381" s="91"/>
      <c r="C381" s="52"/>
      <c r="D381" s="93"/>
      <c r="E381" s="86"/>
      <c r="F381" s="89"/>
      <c r="G381" s="97"/>
      <c r="H381" s="97"/>
      <c r="I381" s="97"/>
      <c r="J381" s="97"/>
      <c r="K381" s="97"/>
      <c r="L381" s="99"/>
      <c r="M381" s="68"/>
      <c r="N381" s="68"/>
      <c r="O381" s="95"/>
    </row>
    <row r="382" spans="1:15" s="49" customFormat="1" ht="19.5" customHeight="1">
      <c r="A382" s="52"/>
      <c r="B382" s="91"/>
      <c r="C382" s="52" t="s">
        <v>298</v>
      </c>
      <c r="D382" s="100">
        <v>1.1000000000000001</v>
      </c>
      <c r="E382" s="100">
        <v>1241.5999999999999</v>
      </c>
      <c r="F382" s="100">
        <v>7.9958425999999993E-4</v>
      </c>
      <c r="G382" s="101">
        <f>240827.2-H382</f>
        <v>89666.005000000005</v>
      </c>
      <c r="H382" s="102">
        <v>151161.19500000001</v>
      </c>
      <c r="I382" s="101">
        <f>13524.3-J382</f>
        <v>113.30699999999888</v>
      </c>
      <c r="J382" s="102">
        <v>13410.993</v>
      </c>
      <c r="K382" s="97">
        <f>J382+I382+H382+G382+F382+E382</f>
        <v>255593.10079958427</v>
      </c>
      <c r="L382" s="99">
        <v>255594.3</v>
      </c>
      <c r="M382" s="68"/>
      <c r="N382" s="68">
        <f>+L382-SUM(D382:J382)</f>
        <v>9.9200415716040879E-2</v>
      </c>
      <c r="O382" s="95"/>
    </row>
    <row r="383" spans="1:15" s="49" customFormat="1" ht="19.5" customHeight="1">
      <c r="A383" s="52"/>
      <c r="B383" s="91"/>
      <c r="C383" s="52"/>
      <c r="D383" s="100"/>
      <c r="E383" s="100"/>
      <c r="F383" s="100"/>
      <c r="G383" s="101"/>
      <c r="H383" s="102"/>
      <c r="I383" s="101"/>
      <c r="J383" s="102"/>
      <c r="K383" s="97"/>
      <c r="L383" s="99"/>
      <c r="M383" s="68"/>
      <c r="N383" s="68"/>
      <c r="O383" s="95"/>
    </row>
    <row r="384" spans="1:15" s="49" customFormat="1" ht="19.5" customHeight="1">
      <c r="A384" s="52"/>
      <c r="B384" s="91"/>
      <c r="C384" s="52" t="s">
        <v>299</v>
      </c>
      <c r="D384" s="100">
        <v>24.1</v>
      </c>
      <c r="E384" s="100">
        <v>2700.3</v>
      </c>
      <c r="F384" s="100">
        <v>1.05380091E-3</v>
      </c>
      <c r="G384" s="101">
        <f>199135.8-H384</f>
        <v>39258.521999999997</v>
      </c>
      <c r="H384" s="102">
        <v>159877.27799999999</v>
      </c>
      <c r="I384" s="101">
        <f>14472.7-J384</f>
        <v>549.29200000000128</v>
      </c>
      <c r="J384" s="102">
        <v>13923.407999999999</v>
      </c>
      <c r="K384" s="97">
        <f>J384+I384+H384+G384+F384+E384</f>
        <v>216308.80105380091</v>
      </c>
      <c r="L384" s="99">
        <v>216331.4</v>
      </c>
      <c r="M384" s="68"/>
      <c r="N384" s="68">
        <f>+L384-SUM(D384:J384)</f>
        <v>-1.5010538008937147</v>
      </c>
      <c r="O384" s="95"/>
    </row>
    <row r="385" spans="1:15" s="49" customFormat="1" ht="19.5" customHeight="1">
      <c r="A385" s="52"/>
      <c r="B385" s="91"/>
      <c r="C385" s="52"/>
      <c r="D385" s="100"/>
      <c r="E385" s="100"/>
      <c r="F385" s="100"/>
      <c r="G385" s="101"/>
      <c r="H385" s="102"/>
      <c r="I385" s="101"/>
      <c r="J385" s="102"/>
      <c r="K385" s="97"/>
      <c r="L385" s="99"/>
      <c r="M385" s="68"/>
      <c r="N385" s="68"/>
      <c r="O385" s="95"/>
    </row>
    <row r="386" spans="1:15" s="49" customFormat="1" ht="19.5" customHeight="1">
      <c r="A386" s="52"/>
      <c r="B386" s="91"/>
      <c r="C386" s="52" t="s">
        <v>300</v>
      </c>
      <c r="D386" s="100">
        <v>16.100000000000001</v>
      </c>
      <c r="E386" s="100">
        <v>2802.3</v>
      </c>
      <c r="F386" s="100">
        <v>1.9828866100000003E-3</v>
      </c>
      <c r="G386" s="101">
        <f>219032-H386</f>
        <v>48290.018000000011</v>
      </c>
      <c r="H386" s="102">
        <v>170741.98199999999</v>
      </c>
      <c r="I386" s="101">
        <f>19731.2-J386</f>
        <v>1299.9020000000019</v>
      </c>
      <c r="J386" s="102">
        <v>18431.297999999999</v>
      </c>
      <c r="K386" s="97">
        <v>241581.7</v>
      </c>
      <c r="L386" s="99">
        <v>241581.7</v>
      </c>
      <c r="M386" s="68"/>
      <c r="N386" s="68">
        <f>+L386-SUM(D386:J386)</f>
        <v>9.801711339969188E-2</v>
      </c>
      <c r="O386" s="95"/>
    </row>
    <row r="387" spans="1:15" s="49" customFormat="1" ht="19.5" customHeight="1">
      <c r="A387" s="52"/>
      <c r="B387" s="91"/>
      <c r="C387" s="52"/>
      <c r="D387" s="100"/>
      <c r="E387" s="100"/>
      <c r="F387" s="100"/>
      <c r="G387" s="101"/>
      <c r="H387" s="102"/>
      <c r="I387" s="101"/>
      <c r="J387" s="102"/>
      <c r="K387" s="97"/>
      <c r="L387" s="99"/>
      <c r="M387" s="68"/>
      <c r="N387" s="68"/>
      <c r="O387" s="95"/>
    </row>
    <row r="388" spans="1:15" s="49" customFormat="1" ht="19.5" customHeight="1">
      <c r="A388" s="52"/>
      <c r="B388" s="91"/>
      <c r="C388" s="52" t="s">
        <v>301</v>
      </c>
      <c r="D388" s="100">
        <v>0</v>
      </c>
      <c r="E388" s="100">
        <v>164.4</v>
      </c>
      <c r="F388" s="100">
        <v>1.2914393450000001E-2</v>
      </c>
      <c r="G388" s="101">
        <f>334856.2-H388</f>
        <v>9465.765000000014</v>
      </c>
      <c r="H388" s="102">
        <v>325390.435</v>
      </c>
      <c r="I388" s="101">
        <f>24509-J388</f>
        <v>1447.8329999999987</v>
      </c>
      <c r="J388" s="102">
        <v>23061.167000000001</v>
      </c>
      <c r="K388" s="97">
        <f>J388+I388+H388+G388+F388+E388</f>
        <v>359529.61291439348</v>
      </c>
      <c r="L388" s="99">
        <v>359529.6</v>
      </c>
      <c r="M388" s="68"/>
      <c r="N388" s="68">
        <f>+L388-SUM(D388:J388)</f>
        <v>-1.2914393504615873E-2</v>
      </c>
      <c r="O388" s="95"/>
    </row>
    <row r="389" spans="1:15" s="49" customFormat="1" ht="19.5" customHeight="1">
      <c r="A389" s="52"/>
      <c r="B389" s="91"/>
      <c r="C389" s="52"/>
      <c r="D389" s="100"/>
      <c r="E389" s="100"/>
      <c r="F389" s="100"/>
      <c r="G389" s="101"/>
      <c r="H389" s="102"/>
      <c r="I389" s="101"/>
      <c r="J389" s="102"/>
      <c r="K389" s="97"/>
      <c r="L389" s="99"/>
      <c r="M389" s="68"/>
      <c r="N389" s="68"/>
      <c r="O389" s="95"/>
    </row>
    <row r="390" spans="1:15" s="49" customFormat="1" ht="19.5" customHeight="1">
      <c r="A390" s="52"/>
      <c r="B390" s="91"/>
      <c r="C390" s="52" t="s">
        <v>302</v>
      </c>
      <c r="D390" s="100">
        <v>0</v>
      </c>
      <c r="E390" s="100">
        <v>164.4</v>
      </c>
      <c r="F390" s="100">
        <v>3.6254822249999999E-2</v>
      </c>
      <c r="G390" s="101">
        <f>378402.1-H390</f>
        <v>2937.5169999999925</v>
      </c>
      <c r="H390" s="102">
        <v>375464.58299999998</v>
      </c>
      <c r="I390" s="101">
        <f>29270.8-J390</f>
        <v>1114.780999999999</v>
      </c>
      <c r="J390" s="102">
        <v>28156.019</v>
      </c>
      <c r="K390" s="97">
        <f>J390+I390+H390+G390+F390+E390</f>
        <v>407837.33625482226</v>
      </c>
      <c r="L390" s="99">
        <v>407837.3</v>
      </c>
      <c r="M390" s="68"/>
      <c r="N390" s="68">
        <f>+L390-SUM(D390:J390)</f>
        <v>-3.6254822218324989E-2</v>
      </c>
      <c r="O390" s="95"/>
    </row>
    <row r="391" spans="1:15" s="49" customFormat="1" ht="19.5" customHeight="1">
      <c r="A391" s="52"/>
      <c r="B391" s="91"/>
      <c r="C391" s="52"/>
      <c r="D391" s="103"/>
      <c r="E391" s="103"/>
      <c r="F391" s="103"/>
      <c r="G391" s="103"/>
      <c r="H391" s="103"/>
      <c r="I391" s="103"/>
      <c r="J391" s="103"/>
      <c r="K391" s="103"/>
      <c r="L391" s="97"/>
      <c r="M391" s="68"/>
      <c r="N391" s="68"/>
      <c r="O391" s="95"/>
    </row>
    <row r="392" spans="1:15" s="49" customFormat="1" ht="19.5" customHeight="1">
      <c r="A392" s="52"/>
      <c r="B392" s="91"/>
      <c r="C392" s="52" t="s">
        <v>303</v>
      </c>
      <c r="D392" s="100">
        <v>0</v>
      </c>
      <c r="E392" s="100">
        <v>174.7</v>
      </c>
      <c r="F392" s="100">
        <v>0</v>
      </c>
      <c r="G392" s="100">
        <f>429261.5-H392</f>
        <v>1350.890000000014</v>
      </c>
      <c r="H392" s="100">
        <f>426575.6+1335.01</f>
        <v>427910.61</v>
      </c>
      <c r="I392" s="100">
        <f>30083.7-J392</f>
        <v>-205.5</v>
      </c>
      <c r="J392" s="100">
        <f>29953.9+19.8+315.5</f>
        <v>30289.200000000001</v>
      </c>
      <c r="K392" s="97">
        <f>J392+I392+H392+G392+F392+E392</f>
        <v>459519.9</v>
      </c>
      <c r="L392" s="97">
        <v>459520</v>
      </c>
      <c r="M392" s="68"/>
      <c r="N392" s="68">
        <f>+L392-SUM(D392:J392)</f>
        <v>9.9999999976716936E-2</v>
      </c>
      <c r="O392" s="95"/>
    </row>
    <row r="393" spans="1:15" s="49" customFormat="1" ht="19.5" hidden="1" customHeight="1">
      <c r="A393" s="52"/>
      <c r="B393" s="91"/>
      <c r="C393" s="52"/>
      <c r="D393" s="103"/>
      <c r="E393" s="103"/>
      <c r="F393" s="103"/>
      <c r="G393" s="103"/>
      <c r="H393" s="103"/>
      <c r="I393" s="103"/>
      <c r="J393" s="103"/>
      <c r="K393" s="103"/>
      <c r="L393" s="97"/>
      <c r="M393" s="68"/>
      <c r="N393" s="68"/>
      <c r="O393" s="95"/>
    </row>
    <row r="394" spans="1:15" s="49" customFormat="1" ht="19.5" hidden="1" customHeight="1">
      <c r="A394" s="52"/>
      <c r="B394" s="91"/>
      <c r="C394" s="52" t="s">
        <v>304</v>
      </c>
      <c r="D394" s="103"/>
      <c r="E394" s="103"/>
      <c r="F394" s="103"/>
      <c r="G394" s="103"/>
      <c r="H394" s="103"/>
      <c r="I394" s="103"/>
      <c r="J394" s="103"/>
      <c r="K394" s="103"/>
      <c r="L394" s="97"/>
      <c r="M394" s="68"/>
      <c r="N394" s="68">
        <f>+L394-SUM(D394:J394)</f>
        <v>0</v>
      </c>
      <c r="O394" s="95"/>
    </row>
    <row r="395" spans="1:15" s="49" customFormat="1" ht="19.5" hidden="1" customHeight="1">
      <c r="A395" s="52"/>
      <c r="B395" s="91"/>
      <c r="C395" s="52"/>
      <c r="D395" s="104"/>
      <c r="E395" s="105"/>
      <c r="F395" s="105"/>
      <c r="G395" s="105"/>
      <c r="H395" s="105"/>
      <c r="I395" s="105"/>
      <c r="J395" s="105"/>
      <c r="K395" s="97"/>
      <c r="L395" s="105"/>
      <c r="M395" s="68"/>
      <c r="N395" s="68"/>
      <c r="O395" s="95"/>
    </row>
    <row r="396" spans="1:15" s="49" customFormat="1" ht="19.5" hidden="1" customHeight="1">
      <c r="A396" s="52"/>
      <c r="B396" s="91"/>
      <c r="C396" s="52" t="s">
        <v>305</v>
      </c>
      <c r="D396" s="103"/>
      <c r="E396" s="97"/>
      <c r="F396" s="97"/>
      <c r="G396" s="97"/>
      <c r="H396" s="97"/>
      <c r="I396" s="97"/>
      <c r="J396" s="97"/>
      <c r="K396" s="97"/>
      <c r="L396" s="97"/>
      <c r="M396" s="68"/>
      <c r="N396" s="68">
        <f>+L396-SUM(D396:J396)</f>
        <v>0</v>
      </c>
      <c r="O396" s="95"/>
    </row>
    <row r="397" spans="1:15" s="49" customFormat="1" ht="19.5" hidden="1" customHeight="1">
      <c r="A397" s="52"/>
      <c r="B397" s="91"/>
      <c r="C397" s="52"/>
      <c r="D397" s="103"/>
      <c r="E397" s="97"/>
      <c r="F397" s="97"/>
      <c r="G397" s="97"/>
      <c r="H397" s="97"/>
      <c r="I397" s="97"/>
      <c r="J397" s="97"/>
      <c r="K397" s="97"/>
      <c r="L397" s="97"/>
      <c r="M397" s="68"/>
      <c r="N397" s="68"/>
      <c r="O397" s="95"/>
    </row>
    <row r="398" spans="1:15" s="49" customFormat="1" ht="19.5" hidden="1" customHeight="1">
      <c r="A398" s="52"/>
      <c r="B398" s="91"/>
      <c r="C398" s="52" t="s">
        <v>306</v>
      </c>
      <c r="D398" s="93"/>
      <c r="E398" s="86"/>
      <c r="F398" s="89"/>
      <c r="G398" s="86"/>
      <c r="H398" s="85"/>
      <c r="I398" s="85"/>
      <c r="J398" s="85"/>
      <c r="K398" s="85"/>
      <c r="L398" s="86"/>
      <c r="M398" s="68"/>
      <c r="N398" s="68">
        <f>+L398-SUM(D398:J398)</f>
        <v>0</v>
      </c>
      <c r="O398" s="95"/>
    </row>
    <row r="399" spans="1:15" s="49" customFormat="1" ht="19.5" hidden="1" customHeight="1">
      <c r="A399" s="52"/>
      <c r="B399" s="91"/>
      <c r="C399" s="52"/>
      <c r="D399" s="93"/>
      <c r="E399" s="86"/>
      <c r="F399" s="89"/>
      <c r="G399" s="86"/>
      <c r="H399" s="85"/>
      <c r="I399" s="85"/>
      <c r="J399" s="85"/>
      <c r="K399" s="85"/>
      <c r="L399" s="86"/>
      <c r="M399" s="68"/>
      <c r="N399" s="68"/>
      <c r="O399" s="95"/>
    </row>
    <row r="400" spans="1:15" s="49" customFormat="1" ht="19.5" hidden="1" customHeight="1">
      <c r="A400" s="52"/>
      <c r="B400" s="91"/>
      <c r="C400" s="52" t="s">
        <v>307</v>
      </c>
      <c r="D400" s="93"/>
      <c r="E400" s="86"/>
      <c r="F400" s="89"/>
      <c r="G400" s="86"/>
      <c r="H400" s="85"/>
      <c r="I400" s="85"/>
      <c r="J400" s="85"/>
      <c r="K400" s="85"/>
      <c r="L400" s="86"/>
      <c r="M400" s="68"/>
      <c r="N400" s="68">
        <f>+L400-SUM(D400:J400)</f>
        <v>0</v>
      </c>
      <c r="O400" s="95"/>
    </row>
    <row r="401" spans="1:15" s="49" customFormat="1" ht="19.5" hidden="1" customHeight="1">
      <c r="A401" s="52"/>
      <c r="B401" s="91"/>
      <c r="C401" s="52"/>
      <c r="D401" s="93"/>
      <c r="E401" s="86"/>
      <c r="F401" s="89"/>
      <c r="G401" s="86"/>
      <c r="H401" s="85"/>
      <c r="I401" s="85"/>
      <c r="J401" s="85"/>
      <c r="K401" s="85"/>
      <c r="L401" s="86"/>
      <c r="M401" s="68"/>
      <c r="N401" s="68"/>
      <c r="O401" s="95"/>
    </row>
    <row r="402" spans="1:15" s="49" customFormat="1" ht="19.5" hidden="1" customHeight="1">
      <c r="A402" s="52"/>
      <c r="B402" s="91"/>
      <c r="C402" s="52" t="s">
        <v>308</v>
      </c>
      <c r="D402" s="93"/>
      <c r="E402" s="86"/>
      <c r="F402" s="89"/>
      <c r="G402" s="86"/>
      <c r="H402" s="85"/>
      <c r="I402" s="85"/>
      <c r="J402" s="85"/>
      <c r="K402" s="85"/>
      <c r="L402" s="86"/>
      <c r="M402" s="68"/>
      <c r="N402" s="68">
        <f>+L402-SUM(D402:J402)</f>
        <v>0</v>
      </c>
      <c r="O402" s="95"/>
    </row>
    <row r="403" spans="1:15" s="49" customFormat="1" ht="19.5" hidden="1" customHeight="1">
      <c r="A403" s="52"/>
      <c r="B403" s="91"/>
      <c r="C403" s="52"/>
      <c r="D403" s="93"/>
      <c r="E403" s="86"/>
      <c r="F403" s="89"/>
      <c r="G403" s="86"/>
      <c r="H403" s="85"/>
      <c r="I403" s="85"/>
      <c r="J403" s="85"/>
      <c r="K403" s="85"/>
      <c r="L403" s="86"/>
      <c r="M403" s="68"/>
      <c r="N403" s="68"/>
      <c r="O403" s="95"/>
    </row>
    <row r="404" spans="1:15" s="49" customFormat="1" ht="19.5" hidden="1" customHeight="1">
      <c r="A404" s="52"/>
      <c r="B404" s="91"/>
      <c r="C404" s="52" t="s">
        <v>311</v>
      </c>
      <c r="D404" s="93">
        <v>14485525929.9</v>
      </c>
      <c r="E404" s="86">
        <v>1.2473092392009E+16</v>
      </c>
      <c r="F404" s="89">
        <v>3286848081480340</v>
      </c>
      <c r="G404" s="86">
        <f>156975112616156000-H404</f>
        <v>1.5697435173300954E+17</v>
      </c>
      <c r="H404" s="85">
        <f>757468436756.6+3414709697.1</f>
        <v>760883146453.69995</v>
      </c>
      <c r="I404" s="85">
        <f>43676697424505000-J404</f>
        <v>4.3676695386481384E+16</v>
      </c>
      <c r="J404" s="85">
        <v>2038023612.5</v>
      </c>
      <c r="K404" s="85">
        <f>J404+I404+H404+G404+F404+E404</f>
        <v>2.1641175051415034E+17</v>
      </c>
      <c r="L404" s="86">
        <v>2.16411764999676E+17</v>
      </c>
      <c r="M404" s="68"/>
      <c r="N404" s="68">
        <f>+L404-SUM(D404:J404)</f>
        <v>-256</v>
      </c>
      <c r="O404" s="95"/>
    </row>
    <row r="405" spans="1:15" ht="19.5" customHeight="1" thickBot="1">
      <c r="B405" s="88"/>
      <c r="C405" s="106"/>
      <c r="D405" s="107"/>
      <c r="E405" s="108"/>
      <c r="F405" s="109"/>
      <c r="G405" s="108"/>
      <c r="H405" s="110"/>
      <c r="I405" s="110"/>
      <c r="J405" s="110"/>
      <c r="K405" s="110"/>
      <c r="L405" s="108"/>
      <c r="N405" s="68"/>
      <c r="O405" s="87"/>
    </row>
    <row r="406" spans="1:15" ht="19.5" customHeight="1" thickTop="1">
      <c r="D406" s="90"/>
      <c r="E406" s="90"/>
      <c r="F406" s="90"/>
      <c r="G406" s="111"/>
      <c r="H406" s="90"/>
      <c r="I406" s="111"/>
      <c r="J406" s="90"/>
      <c r="K406" s="90"/>
    </row>
    <row r="407" spans="1:15" ht="19.5" customHeight="1">
      <c r="C407" s="50" t="s">
        <v>316</v>
      </c>
      <c r="D407" s="90"/>
      <c r="E407" s="90"/>
      <c r="F407" s="90"/>
      <c r="G407" s="111"/>
      <c r="H407" s="90"/>
      <c r="I407" s="111"/>
      <c r="J407" s="90"/>
      <c r="K407" s="90"/>
      <c r="O407" s="112">
        <f>10125556210633+20270811961</f>
        <v>10145827022594</v>
      </c>
    </row>
    <row r="408" spans="1:15" ht="19.5" customHeight="1">
      <c r="C408" s="50" t="s">
        <v>318</v>
      </c>
      <c r="D408" s="90"/>
      <c r="E408" s="90"/>
      <c r="F408" s="90"/>
      <c r="G408" s="111"/>
      <c r="H408" s="90"/>
      <c r="I408" s="111"/>
      <c r="J408" s="90"/>
      <c r="K408" s="113"/>
    </row>
    <row r="409" spans="1:15" ht="19.5" customHeight="1">
      <c r="C409" s="50" t="s">
        <v>319</v>
      </c>
      <c r="D409" s="90"/>
      <c r="E409" s="90"/>
      <c r="F409" s="90"/>
      <c r="G409" s="111"/>
      <c r="H409" s="90"/>
      <c r="I409" s="111"/>
      <c r="J409" s="90"/>
      <c r="K409" s="113"/>
      <c r="O409" s="112">
        <f>5931493158+1400538329585+54463409144</f>
        <v>1460933231887</v>
      </c>
    </row>
    <row r="410" spans="1:15" ht="19.5" customHeight="1">
      <c r="C410" s="50" t="s">
        <v>320</v>
      </c>
      <c r="D410" s="90"/>
      <c r="E410" s="90"/>
      <c r="F410" s="90"/>
      <c r="G410" s="111"/>
      <c r="H410" s="90"/>
      <c r="I410" s="111"/>
      <c r="J410" s="90"/>
      <c r="K410" s="113"/>
    </row>
    <row r="411" spans="1:15" ht="19.5" customHeight="1">
      <c r="C411" s="50" t="s">
        <v>321</v>
      </c>
      <c r="D411" s="90"/>
      <c r="E411" s="90"/>
      <c r="F411" s="90"/>
      <c r="G411" s="111"/>
      <c r="H411" s="90"/>
      <c r="I411" s="111"/>
      <c r="J411" s="90"/>
      <c r="K411" s="90"/>
      <c r="L411" s="90"/>
    </row>
    <row r="412" spans="1:15" ht="19.5" customHeight="1">
      <c r="C412" s="50" t="s">
        <v>322</v>
      </c>
      <c r="D412" s="90"/>
      <c r="E412" s="90"/>
      <c r="F412" s="90"/>
      <c r="G412" s="111"/>
      <c r="H412" s="90"/>
      <c r="I412" s="111"/>
      <c r="J412" s="90"/>
      <c r="K412" s="90"/>
      <c r="L412" s="90"/>
    </row>
    <row r="413" spans="1:15" ht="12.75" customHeight="1">
      <c r="C413" s="62"/>
      <c r="D413" s="90"/>
      <c r="E413" s="90"/>
      <c r="F413" s="90"/>
      <c r="G413" s="111"/>
      <c r="H413" s="90"/>
      <c r="I413" s="111"/>
      <c r="J413" s="90"/>
      <c r="K413" s="90"/>
      <c r="L413" s="90"/>
    </row>
    <row r="414" spans="1:15" ht="18.75">
      <c r="C414" s="70"/>
      <c r="D414" s="62"/>
      <c r="E414" s="62"/>
      <c r="F414" s="62"/>
      <c r="G414" s="62"/>
      <c r="H414" s="62"/>
      <c r="I414" s="114"/>
      <c r="J414" s="114"/>
      <c r="K414" s="114"/>
      <c r="L414" s="114"/>
    </row>
    <row r="415" spans="1:15" ht="15.75">
      <c r="D415" s="62"/>
      <c r="E415" s="62"/>
      <c r="F415" s="62"/>
      <c r="G415" s="62"/>
      <c r="H415" s="62"/>
      <c r="I415" s="114"/>
      <c r="J415" s="114"/>
      <c r="K415" s="114"/>
      <c r="L415" s="114"/>
    </row>
    <row r="416" spans="1:15" ht="15" customHeight="1">
      <c r="C416" s="115"/>
      <c r="D416" s="114">
        <v>3321265.665</v>
      </c>
      <c r="E416" s="114">
        <v>3914859.79</v>
      </c>
      <c r="F416" s="114"/>
      <c r="G416" s="114"/>
      <c r="H416" s="114"/>
      <c r="I416" s="114"/>
      <c r="J416" s="114"/>
      <c r="K416" s="114"/>
      <c r="L416" s="114"/>
    </row>
    <row r="417" spans="3:12" ht="15.75">
      <c r="D417" s="114"/>
      <c r="E417" s="114"/>
      <c r="F417" s="114"/>
      <c r="G417" s="114"/>
      <c r="H417" s="114"/>
      <c r="I417" s="114"/>
      <c r="J417" s="114"/>
      <c r="K417" s="114"/>
      <c r="L417" s="114"/>
    </row>
    <row r="418" spans="3:12" ht="15" customHeight="1">
      <c r="D418" s="114"/>
      <c r="E418" s="114"/>
      <c r="F418" s="114"/>
      <c r="G418" s="114"/>
      <c r="H418" s="114"/>
      <c r="I418" s="114"/>
      <c r="J418" s="114"/>
      <c r="K418" s="114"/>
      <c r="L418" s="114"/>
    </row>
    <row r="419" spans="3:12" ht="18" customHeight="1">
      <c r="C419" s="116"/>
      <c r="D419" s="114"/>
      <c r="E419" s="114"/>
      <c r="F419" s="114"/>
      <c r="G419" s="114"/>
      <c r="H419" s="114"/>
      <c r="I419" s="114"/>
      <c r="J419" s="114"/>
      <c r="K419" s="114"/>
      <c r="L419" s="114"/>
    </row>
    <row r="420" spans="3:12" ht="15" customHeight="1">
      <c r="D420" s="114"/>
      <c r="E420" s="114"/>
      <c r="F420" s="114"/>
      <c r="G420" s="114"/>
      <c r="H420" s="114"/>
      <c r="I420" s="114"/>
      <c r="J420" s="114"/>
      <c r="K420" s="114"/>
      <c r="L420" s="114"/>
    </row>
    <row r="421" spans="3:12" ht="15.75">
      <c r="D421" s="114"/>
      <c r="E421" s="114"/>
      <c r="F421" s="114"/>
      <c r="G421" s="114"/>
      <c r="H421" s="114"/>
      <c r="I421" s="114"/>
      <c r="J421" s="114"/>
      <c r="K421" s="114"/>
      <c r="L421" s="114"/>
    </row>
    <row r="422" spans="3:12" ht="15" customHeight="1">
      <c r="D422" s="117"/>
      <c r="E422" s="117"/>
      <c r="F422" s="117"/>
      <c r="G422" s="117"/>
      <c r="H422" s="117"/>
      <c r="I422" s="117"/>
      <c r="J422" s="117"/>
      <c r="K422" s="117"/>
      <c r="L422" s="117"/>
    </row>
    <row r="423" spans="3:12" ht="12.75" customHeight="1">
      <c r="D423" s="117"/>
      <c r="E423" s="117"/>
      <c r="F423" s="117"/>
      <c r="G423" s="117"/>
      <c r="H423" s="117"/>
      <c r="I423" s="117"/>
      <c r="J423" s="117"/>
      <c r="K423" s="117"/>
      <c r="L423" s="117"/>
    </row>
    <row r="424" spans="3:12" ht="12.75" customHeight="1">
      <c r="D424" s="117"/>
      <c r="E424" s="117"/>
      <c r="F424" s="117"/>
      <c r="G424" s="117"/>
      <c r="H424" s="117"/>
      <c r="I424" s="117"/>
      <c r="J424" s="117"/>
      <c r="K424" s="117"/>
      <c r="L424" s="117"/>
    </row>
    <row r="425" spans="3:12" ht="12.75" customHeight="1">
      <c r="D425" s="117"/>
      <c r="E425" s="117"/>
      <c r="F425" s="117"/>
      <c r="G425" s="117"/>
      <c r="H425" s="117"/>
      <c r="I425" s="117"/>
      <c r="J425" s="117"/>
      <c r="K425" s="117"/>
      <c r="L425" s="117"/>
    </row>
    <row r="426" spans="3:12" ht="12.75" customHeight="1">
      <c r="D426" s="117"/>
      <c r="E426" s="117"/>
      <c r="F426" s="117"/>
      <c r="G426" s="117"/>
      <c r="H426" s="117"/>
      <c r="I426" s="117"/>
      <c r="J426" s="117"/>
      <c r="K426" s="117"/>
      <c r="L426" s="117"/>
    </row>
    <row r="427" spans="3:12" ht="12.75" customHeight="1">
      <c r="D427" s="117"/>
      <c r="E427" s="117"/>
      <c r="F427" s="117"/>
      <c r="G427" s="117"/>
      <c r="H427" s="117"/>
      <c r="I427" s="117"/>
      <c r="J427" s="117"/>
      <c r="K427" s="117"/>
      <c r="L427" s="117"/>
    </row>
    <row r="428" spans="3:12" ht="12.75" customHeight="1">
      <c r="D428" s="117"/>
      <c r="E428" s="117"/>
      <c r="F428" s="117"/>
      <c r="G428" s="117"/>
      <c r="H428" s="117"/>
      <c r="I428" s="117"/>
      <c r="J428" s="117"/>
      <c r="K428" s="117"/>
      <c r="L428" s="117"/>
    </row>
    <row r="429" spans="3:12" ht="12.75" customHeight="1">
      <c r="D429" s="117"/>
      <c r="E429" s="117"/>
      <c r="F429" s="117"/>
      <c r="G429" s="117"/>
      <c r="H429" s="117"/>
      <c r="I429" s="117"/>
      <c r="J429" s="117"/>
      <c r="K429" s="117"/>
      <c r="L429" s="117"/>
    </row>
    <row r="430" spans="3:12" ht="12.75" customHeight="1">
      <c r="D430" s="117"/>
      <c r="E430" s="117"/>
      <c r="F430" s="117"/>
      <c r="G430" s="117"/>
      <c r="H430" s="117"/>
      <c r="I430" s="117"/>
      <c r="J430" s="117"/>
      <c r="K430" s="117"/>
      <c r="L430" s="117"/>
    </row>
    <row r="431" spans="3:12" ht="12.75" customHeight="1">
      <c r="D431" s="117"/>
      <c r="E431" s="117"/>
      <c r="F431" s="117"/>
      <c r="G431" s="117"/>
      <c r="H431" s="117"/>
      <c r="I431" s="117"/>
      <c r="J431" s="117"/>
      <c r="K431" s="117"/>
      <c r="L431" s="117"/>
    </row>
    <row r="432" spans="3:12" ht="12.75" customHeight="1">
      <c r="D432" s="117"/>
      <c r="E432" s="117"/>
      <c r="F432" s="117"/>
      <c r="G432" s="117"/>
      <c r="H432" s="117"/>
      <c r="I432" s="117"/>
      <c r="J432" s="117"/>
      <c r="K432" s="117"/>
      <c r="L432" s="117"/>
    </row>
    <row r="433" spans="4:12">
      <c r="D433" s="117"/>
      <c r="E433" s="117"/>
      <c r="F433" s="117"/>
      <c r="G433" s="117"/>
      <c r="H433" s="117"/>
      <c r="I433" s="117"/>
      <c r="J433" s="117"/>
      <c r="K433" s="117"/>
      <c r="L433" s="117"/>
    </row>
    <row r="434" spans="4:12">
      <c r="D434" s="117"/>
      <c r="E434" s="117"/>
      <c r="F434" s="117"/>
      <c r="G434" s="117"/>
      <c r="H434" s="117"/>
      <c r="I434" s="117"/>
      <c r="J434" s="117"/>
      <c r="K434" s="117"/>
      <c r="L434" s="117"/>
    </row>
    <row r="435" spans="4:12">
      <c r="D435" s="117"/>
      <c r="E435" s="117"/>
      <c r="F435" s="117"/>
      <c r="G435" s="117"/>
      <c r="H435" s="117"/>
      <c r="I435" s="117"/>
      <c r="J435" s="117"/>
      <c r="K435" s="117"/>
      <c r="L435" s="117"/>
    </row>
    <row r="436" spans="4:12">
      <c r="D436" s="118"/>
      <c r="E436" s="118"/>
      <c r="F436" s="118"/>
      <c r="G436" s="119"/>
      <c r="H436" s="119"/>
      <c r="I436" s="118"/>
      <c r="J436" s="119"/>
      <c r="K436" s="118"/>
      <c r="L436" s="118"/>
    </row>
    <row r="437" spans="4:12">
      <c r="D437" s="118"/>
      <c r="E437" s="118"/>
      <c r="F437" s="118"/>
      <c r="G437" s="119"/>
      <c r="H437" s="119"/>
      <c r="I437" s="118"/>
      <c r="J437" s="119"/>
      <c r="K437" s="118"/>
      <c r="L437" s="118"/>
    </row>
    <row r="438" spans="4:12">
      <c r="D438" s="119"/>
      <c r="E438" s="119"/>
      <c r="F438" s="119"/>
      <c r="G438" s="119"/>
      <c r="H438" s="119"/>
      <c r="I438" s="119"/>
      <c r="J438" s="119"/>
      <c r="K438" s="119"/>
      <c r="L438" s="119"/>
    </row>
    <row r="439" spans="4:12">
      <c r="D439" s="119"/>
      <c r="E439" s="119"/>
      <c r="F439" s="119"/>
      <c r="G439" s="119"/>
      <c r="H439" s="119"/>
      <c r="I439" s="119"/>
      <c r="J439" s="119"/>
      <c r="K439" s="119"/>
      <c r="L439" s="119"/>
    </row>
    <row r="440" spans="4:12">
      <c r="D440" s="119"/>
      <c r="E440" s="119"/>
      <c r="F440" s="119"/>
      <c r="G440" s="119"/>
      <c r="H440" s="119"/>
      <c r="I440" s="119"/>
      <c r="J440" s="119"/>
      <c r="K440" s="119"/>
      <c r="L440" s="119"/>
    </row>
    <row r="441" spans="4:12">
      <c r="D441" s="119"/>
      <c r="E441" s="119"/>
      <c r="F441" s="119"/>
      <c r="G441" s="119"/>
      <c r="H441" s="119"/>
      <c r="I441" s="119"/>
      <c r="J441" s="119"/>
      <c r="K441" s="119"/>
      <c r="L441" s="119"/>
    </row>
    <row r="442" spans="4:12">
      <c r="D442" s="119"/>
      <c r="E442" s="119"/>
      <c r="F442" s="119"/>
      <c r="G442" s="119"/>
      <c r="H442" s="119"/>
      <c r="I442" s="119"/>
      <c r="J442" s="119"/>
      <c r="K442" s="119"/>
      <c r="L442" s="119"/>
    </row>
    <row r="443" spans="4:12">
      <c r="D443" s="119"/>
      <c r="E443" s="119"/>
      <c r="F443" s="119"/>
      <c r="G443" s="119"/>
      <c r="H443" s="119"/>
      <c r="I443" s="119"/>
      <c r="J443" s="119"/>
      <c r="K443" s="119"/>
      <c r="L443" s="119"/>
    </row>
    <row r="444" spans="4:12">
      <c r="D444" s="119"/>
      <c r="E444" s="119"/>
      <c r="F444" s="119"/>
      <c r="G444" s="119"/>
      <c r="H444" s="119"/>
      <c r="I444" s="119"/>
      <c r="J444" s="119"/>
      <c r="K444" s="119"/>
      <c r="L444" s="119"/>
    </row>
    <row r="445" spans="4:12">
      <c r="D445" s="119"/>
      <c r="E445" s="119"/>
      <c r="F445" s="119"/>
      <c r="G445" s="119"/>
      <c r="H445" s="119"/>
      <c r="I445" s="119"/>
      <c r="J445" s="119"/>
      <c r="K445" s="119"/>
      <c r="L445" s="119"/>
    </row>
    <row r="446" spans="4:12">
      <c r="D446" s="119"/>
      <c r="E446" s="119"/>
      <c r="F446" s="119"/>
      <c r="G446" s="119"/>
      <c r="H446" s="119"/>
      <c r="I446" s="119"/>
      <c r="J446" s="119"/>
      <c r="K446" s="119"/>
      <c r="L446" s="119"/>
    </row>
    <row r="447" spans="4:12">
      <c r="D447" s="119"/>
      <c r="E447" s="119"/>
      <c r="F447" s="119"/>
      <c r="G447" s="119"/>
      <c r="H447" s="119"/>
      <c r="I447" s="119"/>
      <c r="J447" s="119"/>
      <c r="K447" s="119"/>
      <c r="L447" s="119"/>
    </row>
    <row r="448" spans="4:12">
      <c r="D448" s="119"/>
      <c r="E448" s="119"/>
      <c r="F448" s="119"/>
      <c r="G448" s="119"/>
      <c r="H448" s="119"/>
      <c r="I448" s="119"/>
      <c r="J448" s="119"/>
      <c r="K448" s="119"/>
      <c r="L448" s="119"/>
    </row>
    <row r="449" spans="4:12">
      <c r="D449" s="119"/>
      <c r="E449" s="119"/>
      <c r="F449" s="119"/>
      <c r="G449" s="119"/>
      <c r="H449" s="119"/>
      <c r="I449" s="119"/>
      <c r="J449" s="119"/>
      <c r="K449" s="119"/>
      <c r="L449" s="119"/>
    </row>
    <row r="450" spans="4:12">
      <c r="D450" s="119"/>
      <c r="E450" s="119"/>
      <c r="F450" s="119"/>
      <c r="G450" s="119"/>
      <c r="H450" s="119"/>
      <c r="I450" s="119"/>
      <c r="J450" s="119"/>
      <c r="K450" s="119"/>
      <c r="L450" s="119"/>
    </row>
    <row r="451" spans="4:12">
      <c r="D451" s="119"/>
      <c r="E451" s="119"/>
      <c r="F451" s="119"/>
      <c r="G451" s="119"/>
      <c r="H451" s="119"/>
      <c r="I451" s="119"/>
      <c r="J451" s="119"/>
      <c r="K451" s="119"/>
      <c r="L451" s="119"/>
    </row>
    <row r="452" spans="4:12">
      <c r="D452" s="119"/>
      <c r="E452" s="119"/>
      <c r="F452" s="119"/>
      <c r="G452" s="119"/>
      <c r="H452" s="119"/>
      <c r="I452" s="119"/>
      <c r="J452" s="119"/>
      <c r="K452" s="119"/>
      <c r="L452" s="119"/>
    </row>
    <row r="453" spans="4:12">
      <c r="D453" s="119"/>
      <c r="E453" s="119"/>
      <c r="F453" s="119"/>
      <c r="G453" s="119"/>
      <c r="H453" s="119"/>
      <c r="I453" s="119"/>
      <c r="J453" s="119"/>
      <c r="K453" s="119"/>
      <c r="L453" s="119"/>
    </row>
    <row r="454" spans="4:12">
      <c r="D454" s="119"/>
      <c r="E454" s="119"/>
      <c r="F454" s="119"/>
      <c r="G454" s="119"/>
      <c r="H454" s="119"/>
      <c r="I454" s="119"/>
      <c r="J454" s="119"/>
      <c r="K454" s="119"/>
      <c r="L454" s="119"/>
    </row>
    <row r="455" spans="4:12">
      <c r="D455" s="119"/>
      <c r="E455" s="119"/>
      <c r="F455" s="119"/>
      <c r="G455" s="119"/>
      <c r="H455" s="119"/>
      <c r="I455" s="119"/>
      <c r="J455" s="119"/>
      <c r="K455" s="119"/>
      <c r="L455" s="119"/>
    </row>
    <row r="456" spans="4:12">
      <c r="D456" s="119"/>
      <c r="E456" s="119"/>
      <c r="F456" s="119"/>
      <c r="G456" s="119"/>
      <c r="H456" s="119"/>
      <c r="I456" s="119"/>
      <c r="J456" s="119"/>
      <c r="K456" s="119"/>
      <c r="L456" s="119"/>
    </row>
    <row r="457" spans="4:12">
      <c r="D457" s="119"/>
      <c r="E457" s="119"/>
      <c r="F457" s="119"/>
      <c r="G457" s="119"/>
      <c r="H457" s="119"/>
      <c r="I457" s="119"/>
      <c r="J457" s="119"/>
      <c r="K457" s="119"/>
      <c r="L457" s="119"/>
    </row>
    <row r="458" spans="4:12">
      <c r="D458" s="119"/>
      <c r="E458" s="119"/>
      <c r="F458" s="119"/>
      <c r="G458" s="119"/>
      <c r="H458" s="119"/>
      <c r="I458" s="119"/>
      <c r="J458" s="119"/>
      <c r="K458" s="119"/>
      <c r="L458" s="119"/>
    </row>
    <row r="459" spans="4:12">
      <c r="D459" s="119"/>
      <c r="E459" s="119"/>
      <c r="F459" s="119"/>
      <c r="G459" s="119"/>
      <c r="H459" s="119"/>
      <c r="I459" s="119"/>
      <c r="J459" s="119"/>
      <c r="K459" s="119"/>
      <c r="L459" s="119"/>
    </row>
    <row r="460" spans="4:12">
      <c r="D460" s="119"/>
      <c r="E460" s="119"/>
      <c r="F460" s="119"/>
      <c r="G460" s="119"/>
      <c r="H460" s="119"/>
      <c r="I460" s="119"/>
      <c r="J460" s="119"/>
      <c r="K460" s="119"/>
      <c r="L460" s="119"/>
    </row>
    <row r="484" spans="4:12">
      <c r="D484" s="120"/>
      <c r="E484" s="120"/>
      <c r="F484" s="120"/>
      <c r="I484" s="120"/>
      <c r="K484" s="120"/>
      <c r="L484" s="120"/>
    </row>
    <row r="485" spans="4:12">
      <c r="D485" s="120"/>
      <c r="E485" s="120"/>
      <c r="F485" s="120"/>
      <c r="I485" s="120"/>
      <c r="K485" s="120"/>
      <c r="L485" s="120"/>
    </row>
    <row r="486" spans="4:12">
      <c r="D486" s="120"/>
      <c r="E486" s="120"/>
      <c r="F486" s="120"/>
      <c r="I486" s="120"/>
      <c r="K486" s="120"/>
      <c r="L486" s="120"/>
    </row>
    <row r="487" spans="4:12">
      <c r="D487" s="120"/>
      <c r="E487" s="120"/>
      <c r="F487" s="120"/>
      <c r="I487" s="120"/>
      <c r="K487" s="120"/>
      <c r="L487" s="120"/>
    </row>
  </sheetData>
  <customSheetViews>
    <customSheetView guid="{705E0D18-9A83-42CA-8732-90923BE2EC7D}" scale="70" outlineSymbols="0" printArea="1" hiddenRows="1" state="hidden" topLeftCell="A3">
      <pane ySplit="11"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1"/>
      <headerFooter alignWithMargins="0"/>
    </customSheetView>
    <customSheetView guid="{D45E5F9E-4EA6-40A2-8A1D-3AC67FB8CE54}" scale="70" outlineSymbols="0" printArea="1" hiddenRows="1" state="hidden" topLeftCell="A3">
      <pane ySplit="11"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2"/>
      <headerFooter alignWithMargins="0"/>
    </customSheetView>
    <customSheetView guid="{098C004C-808F-436E-8F18-182F927479D1}" scale="70" outlineSymbols="0" printArea="1" hiddenRows="1" state="hidden" topLeftCell="A3">
      <pane ySplit="376"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3"/>
      <headerFooter alignWithMargins="0"/>
    </customSheetView>
    <customSheetView guid="{89CA84C2-78F5-4B05-8F1D-B7C5F97BCB4E}" scale="70" outlineSymbols="0" printArea="1" hiddenRows="1" state="hidden" topLeftCell="A3">
      <pane ySplit="11"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4"/>
      <headerFooter alignWithMargins="0"/>
    </customSheetView>
  </customSheetViews>
  <mergeCells count="2">
    <mergeCell ref="E7:K7"/>
    <mergeCell ref="G10:H10"/>
  </mergeCells>
  <phoneticPr fontId="0" type="noConversion"/>
  <printOptions horizontalCentered="1"/>
  <pageMargins left="0.42" right="0.42" top="0.55000000000000004" bottom="0.21249999999999999" header="0.5" footer="0.49"/>
  <pageSetup paperSize="9" scale="50" orientation="landscape" horizontalDpi="300" verticalDpi="300" r:id="rId5"/>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4:P154"/>
  <sheetViews>
    <sheetView zoomScaleNormal="60" zoomScaleSheetLayoutView="100" workbookViewId="0">
      <selection activeCell="J129" sqref="J129"/>
    </sheetView>
  </sheetViews>
  <sheetFormatPr defaultColWidth="8.77734375" defaultRowHeight="15"/>
  <cols>
    <col min="1" max="2" width="8.77734375" style="761"/>
    <col min="3" max="3" width="9" style="761" customWidth="1"/>
    <col min="4" max="4" width="9.21875" style="761" customWidth="1"/>
    <col min="5" max="5" width="10.6640625" style="761" customWidth="1"/>
    <col min="6" max="6" width="12.77734375" style="761" customWidth="1"/>
    <col min="7" max="7" width="9.109375" style="761" customWidth="1"/>
    <col min="8" max="8" width="12.77734375" style="761" customWidth="1"/>
    <col min="9" max="9" width="11.5546875" style="761" customWidth="1"/>
    <col min="10" max="10" width="11.21875" style="761" customWidth="1"/>
    <col min="11" max="11" width="12.109375" style="761" customWidth="1"/>
    <col min="12" max="12" width="10.5546875" style="761" customWidth="1"/>
    <col min="13" max="13" width="10.44140625" style="761" customWidth="1"/>
    <col min="14" max="14" width="13.44140625" style="761" customWidth="1"/>
    <col min="15" max="15" width="11.21875" style="761" customWidth="1"/>
    <col min="16" max="16384" width="8.77734375" style="761"/>
  </cols>
  <sheetData>
    <row r="4" spans="3:15" hidden="1">
      <c r="C4" s="1896" t="s">
        <v>771</v>
      </c>
      <c r="D4" s="1896"/>
      <c r="E4" s="1896"/>
      <c r="F4" s="1896"/>
      <c r="G4" s="1896"/>
      <c r="H4" s="1896"/>
      <c r="I4" s="1896"/>
      <c r="J4" s="1896"/>
      <c r="K4" s="1896"/>
      <c r="L4" s="1896"/>
      <c r="M4" s="1896"/>
      <c r="N4" s="1896"/>
      <c r="O4" s="760"/>
    </row>
    <row r="5" spans="3:15" ht="15.75" hidden="1">
      <c r="C5" s="762"/>
      <c r="D5" s="762"/>
      <c r="E5" s="762"/>
      <c r="F5" s="762"/>
      <c r="G5" s="762"/>
      <c r="H5" s="762"/>
      <c r="I5" s="762"/>
      <c r="J5" s="762"/>
      <c r="K5" s="762"/>
      <c r="L5" s="763"/>
      <c r="M5" s="763"/>
      <c r="N5" s="763"/>
      <c r="O5" s="760"/>
    </row>
    <row r="6" spans="3:15" hidden="1">
      <c r="C6" s="1896" t="s">
        <v>1312</v>
      </c>
      <c r="D6" s="1896"/>
      <c r="E6" s="1896"/>
      <c r="F6" s="1896"/>
      <c r="G6" s="1896"/>
      <c r="H6" s="1896"/>
      <c r="I6" s="1896"/>
      <c r="J6" s="1896"/>
      <c r="K6" s="1896"/>
      <c r="L6" s="1896"/>
      <c r="M6" s="1896"/>
      <c r="N6" s="1896"/>
      <c r="O6" s="760"/>
    </row>
    <row r="7" spans="3:15" ht="16.5" hidden="1" thickBot="1">
      <c r="C7" s="763"/>
      <c r="D7" s="763"/>
      <c r="E7" s="763"/>
      <c r="F7" s="763"/>
      <c r="G7" s="763"/>
      <c r="H7" s="763"/>
      <c r="I7" s="763"/>
      <c r="J7" s="763"/>
      <c r="K7" s="763"/>
      <c r="L7" s="763"/>
      <c r="M7" s="763"/>
      <c r="N7" s="763"/>
      <c r="O7" s="760"/>
    </row>
    <row r="8" spans="3:15" ht="16.5" hidden="1" thickTop="1">
      <c r="C8" s="764"/>
      <c r="D8" s="764"/>
      <c r="E8" s="764"/>
      <c r="F8" s="764"/>
      <c r="G8" s="764"/>
      <c r="H8" s="764"/>
      <c r="I8" s="764"/>
      <c r="J8" s="764"/>
      <c r="K8" s="764"/>
      <c r="L8" s="764"/>
      <c r="M8" s="764"/>
      <c r="N8" s="764"/>
      <c r="O8" s="765"/>
    </row>
    <row r="9" spans="3:15" ht="15.75" hidden="1">
      <c r="C9" s="766"/>
      <c r="D9" s="767" t="s">
        <v>392</v>
      </c>
      <c r="E9" s="767" t="s">
        <v>396</v>
      </c>
      <c r="F9" s="767" t="s">
        <v>768</v>
      </c>
      <c r="G9" s="767" t="s">
        <v>402</v>
      </c>
      <c r="H9" s="767" t="s">
        <v>403</v>
      </c>
      <c r="I9" s="767" t="s">
        <v>404</v>
      </c>
      <c r="J9" s="767" t="s">
        <v>405</v>
      </c>
      <c r="K9" s="767" t="s">
        <v>406</v>
      </c>
      <c r="L9" s="767" t="s">
        <v>407</v>
      </c>
      <c r="M9" s="759" t="s">
        <v>1189</v>
      </c>
      <c r="N9" s="767" t="s">
        <v>287</v>
      </c>
      <c r="O9" s="765"/>
    </row>
    <row r="10" spans="3:15" ht="15.75" hidden="1">
      <c r="C10" s="767" t="s">
        <v>263</v>
      </c>
      <c r="D10" s="767" t="s">
        <v>296</v>
      </c>
      <c r="E10" s="767" t="s">
        <v>296</v>
      </c>
      <c r="F10" s="767" t="s">
        <v>769</v>
      </c>
      <c r="G10" s="767" t="s">
        <v>409</v>
      </c>
      <c r="H10" s="767" t="s">
        <v>296</v>
      </c>
      <c r="I10" s="767" t="s">
        <v>296</v>
      </c>
      <c r="J10" s="767" t="s">
        <v>296</v>
      </c>
      <c r="K10" s="767" t="s">
        <v>296</v>
      </c>
      <c r="L10" s="767" t="s">
        <v>296</v>
      </c>
      <c r="M10" s="766"/>
      <c r="N10" s="766"/>
      <c r="O10" s="765"/>
    </row>
    <row r="11" spans="3:15" ht="16.5" hidden="1" thickBot="1">
      <c r="C11" s="768"/>
      <c r="D11" s="768"/>
      <c r="E11" s="768"/>
      <c r="F11" s="768"/>
      <c r="G11" s="768"/>
      <c r="H11" s="768"/>
      <c r="I11" s="768"/>
      <c r="J11" s="768"/>
      <c r="K11" s="768"/>
      <c r="L11" s="768"/>
      <c r="M11" s="768"/>
      <c r="N11" s="768"/>
      <c r="O11" s="765"/>
    </row>
    <row r="12" spans="3:15" ht="16.5" hidden="1" thickTop="1">
      <c r="C12" s="764"/>
      <c r="D12" s="769"/>
      <c r="E12" s="769"/>
      <c r="F12" s="769"/>
      <c r="G12" s="769"/>
      <c r="H12" s="769"/>
      <c r="I12" s="769"/>
      <c r="J12" s="769"/>
      <c r="K12" s="769"/>
      <c r="L12" s="769"/>
      <c r="M12" s="769"/>
      <c r="N12" s="769"/>
      <c r="O12" s="765"/>
    </row>
    <row r="13" spans="3:15" ht="15.75" hidden="1">
      <c r="C13" s="767">
        <v>2009</v>
      </c>
      <c r="D13" s="770"/>
      <c r="E13" s="770"/>
      <c r="F13" s="770"/>
      <c r="G13" s="770"/>
      <c r="H13" s="770"/>
      <c r="I13" s="771"/>
      <c r="J13" s="771"/>
      <c r="K13" s="772"/>
      <c r="L13" s="770"/>
      <c r="M13" s="770"/>
      <c r="N13" s="771"/>
      <c r="O13" s="760"/>
    </row>
    <row r="14" spans="3:15" ht="15.75" hidden="1">
      <c r="C14" s="767"/>
      <c r="D14" s="770"/>
      <c r="E14" s="770"/>
      <c r="F14" s="770"/>
      <c r="G14" s="770"/>
      <c r="H14" s="770"/>
      <c r="I14" s="771"/>
      <c r="J14" s="771"/>
      <c r="K14" s="772"/>
      <c r="L14" s="770"/>
      <c r="M14" s="770"/>
      <c r="N14" s="771"/>
      <c r="O14" s="760"/>
    </row>
    <row r="15" spans="3:15" ht="15.75" hidden="1">
      <c r="C15" s="773" t="s">
        <v>298</v>
      </c>
      <c r="D15" s="774">
        <v>0</v>
      </c>
      <c r="E15" s="774">
        <v>0</v>
      </c>
      <c r="F15" s="774">
        <v>0</v>
      </c>
      <c r="G15" s="774">
        <v>0</v>
      </c>
      <c r="H15" s="774">
        <v>0</v>
      </c>
      <c r="I15" s="775">
        <v>0</v>
      </c>
      <c r="J15" s="775">
        <v>0</v>
      </c>
      <c r="K15" s="776">
        <v>0</v>
      </c>
      <c r="L15" s="774">
        <v>0</v>
      </c>
      <c r="M15" s="774">
        <v>0</v>
      </c>
      <c r="N15" s="775">
        <f>(SUM(D15:M15))</f>
        <v>0</v>
      </c>
    </row>
    <row r="16" spans="3:15" ht="15.75" hidden="1">
      <c r="C16" s="766"/>
      <c r="D16" s="774"/>
      <c r="E16" s="774"/>
      <c r="F16" s="774"/>
      <c r="G16" s="774"/>
      <c r="H16" s="774"/>
      <c r="I16" s="775"/>
      <c r="J16" s="775"/>
      <c r="K16" s="776"/>
      <c r="L16" s="774"/>
      <c r="M16" s="774"/>
      <c r="N16" s="775"/>
    </row>
    <row r="17" spans="3:14" ht="15.75" hidden="1">
      <c r="C17" s="766" t="s">
        <v>299</v>
      </c>
      <c r="D17" s="774">
        <v>0</v>
      </c>
      <c r="E17" s="774">
        <v>0</v>
      </c>
      <c r="F17" s="774">
        <v>0</v>
      </c>
      <c r="G17" s="774">
        <v>5.9999999999999995E-4</v>
      </c>
      <c r="H17" s="774">
        <v>0</v>
      </c>
      <c r="I17" s="775">
        <v>0</v>
      </c>
      <c r="J17" s="775">
        <v>0</v>
      </c>
      <c r="K17" s="776">
        <v>0</v>
      </c>
      <c r="L17" s="774">
        <v>0</v>
      </c>
      <c r="M17" s="774">
        <v>0</v>
      </c>
      <c r="N17" s="775">
        <f>(SUM(D17:M17))</f>
        <v>5.9999999999999995E-4</v>
      </c>
    </row>
    <row r="18" spans="3:14" ht="15.75" hidden="1">
      <c r="C18" s="766"/>
      <c r="D18" s="774"/>
      <c r="E18" s="774"/>
      <c r="F18" s="774"/>
      <c r="G18" s="774"/>
      <c r="H18" s="774"/>
      <c r="I18" s="775"/>
      <c r="J18" s="775"/>
      <c r="K18" s="776"/>
      <c r="L18" s="774"/>
      <c r="M18" s="774"/>
      <c r="N18" s="775"/>
    </row>
    <row r="19" spans="3:14" ht="15.75" hidden="1">
      <c r="C19" s="766" t="s">
        <v>300</v>
      </c>
      <c r="D19" s="774">
        <v>237820</v>
      </c>
      <c r="E19" s="774">
        <v>115914</v>
      </c>
      <c r="F19" s="774">
        <v>0</v>
      </c>
      <c r="G19" s="774">
        <v>0</v>
      </c>
      <c r="H19" s="774">
        <v>1934423</v>
      </c>
      <c r="I19" s="775">
        <v>807875</v>
      </c>
      <c r="J19" s="775">
        <v>0</v>
      </c>
      <c r="K19" s="776">
        <v>120749</v>
      </c>
      <c r="L19" s="774">
        <v>0</v>
      </c>
      <c r="M19" s="774">
        <v>972680</v>
      </c>
      <c r="N19" s="775">
        <f>(SUM(D19:M19))</f>
        <v>4189461</v>
      </c>
    </row>
    <row r="20" spans="3:14" ht="15.75" hidden="1">
      <c r="C20" s="766"/>
      <c r="D20" s="774"/>
      <c r="E20" s="774"/>
      <c r="F20" s="774"/>
      <c r="G20" s="774"/>
      <c r="H20" s="774"/>
      <c r="I20" s="775"/>
      <c r="J20" s="775"/>
      <c r="K20" s="776"/>
      <c r="L20" s="774"/>
      <c r="M20" s="774"/>
      <c r="N20" s="775"/>
    </row>
    <row r="21" spans="3:14" ht="15.75" hidden="1">
      <c r="C21" s="766" t="s">
        <v>301</v>
      </c>
      <c r="D21" s="774">
        <v>0</v>
      </c>
      <c r="E21" s="774">
        <v>0</v>
      </c>
      <c r="F21" s="774">
        <v>0</v>
      </c>
      <c r="G21" s="774">
        <v>0</v>
      </c>
      <c r="H21" s="774">
        <v>0</v>
      </c>
      <c r="I21" s="775">
        <v>0</v>
      </c>
      <c r="J21" s="775">
        <v>0</v>
      </c>
      <c r="K21" s="776">
        <v>0</v>
      </c>
      <c r="L21" s="774">
        <v>0</v>
      </c>
      <c r="M21" s="774">
        <v>0</v>
      </c>
      <c r="N21" s="775">
        <f>(SUM(D21:M21))</f>
        <v>0</v>
      </c>
    </row>
    <row r="22" spans="3:14" ht="15.75" hidden="1">
      <c r="C22" s="766"/>
      <c r="D22" s="774"/>
      <c r="E22" s="774"/>
      <c r="F22" s="774"/>
      <c r="G22" s="774"/>
      <c r="H22" s="774"/>
      <c r="I22" s="775"/>
      <c r="J22" s="775"/>
      <c r="K22" s="776"/>
      <c r="L22" s="774"/>
      <c r="M22" s="774"/>
      <c r="N22" s="775"/>
    </row>
    <row r="23" spans="3:14" ht="15.75" hidden="1">
      <c r="C23" s="766" t="s">
        <v>302</v>
      </c>
      <c r="D23" s="777">
        <v>0</v>
      </c>
      <c r="E23" s="777">
        <v>0</v>
      </c>
      <c r="F23" s="777">
        <v>0</v>
      </c>
      <c r="G23" s="777">
        <v>5.9999999999999995E-4</v>
      </c>
      <c r="H23" s="777">
        <v>200661.89</v>
      </c>
      <c r="I23" s="778">
        <v>300000</v>
      </c>
      <c r="J23" s="778">
        <v>0</v>
      </c>
      <c r="K23" s="779">
        <v>0</v>
      </c>
      <c r="L23" s="777">
        <v>0</v>
      </c>
      <c r="M23" s="777">
        <v>0</v>
      </c>
      <c r="N23" s="778">
        <f>(SUM(D23:M23))</f>
        <v>500661.89060000004</v>
      </c>
    </row>
    <row r="24" spans="3:14" ht="15.75" hidden="1">
      <c r="C24" s="766"/>
      <c r="D24" s="777"/>
      <c r="E24" s="777"/>
      <c r="F24" s="777"/>
      <c r="G24" s="777"/>
      <c r="H24" s="777"/>
      <c r="I24" s="778"/>
      <c r="J24" s="778"/>
      <c r="K24" s="779"/>
      <c r="L24" s="777"/>
      <c r="M24" s="777"/>
      <c r="N24" s="778"/>
    </row>
    <row r="25" spans="3:14" ht="15.75" hidden="1">
      <c r="C25" s="766" t="s">
        <v>303</v>
      </c>
      <c r="D25" s="777">
        <v>0</v>
      </c>
      <c r="E25" s="777">
        <v>0</v>
      </c>
      <c r="F25" s="777">
        <v>0</v>
      </c>
      <c r="G25" s="777">
        <v>0</v>
      </c>
      <c r="H25" s="777">
        <v>200661.89</v>
      </c>
      <c r="I25" s="778">
        <v>300000</v>
      </c>
      <c r="J25" s="778">
        <v>0</v>
      </c>
      <c r="K25" s="779">
        <v>0</v>
      </c>
      <c r="L25" s="777">
        <v>0</v>
      </c>
      <c r="M25" s="777">
        <f>(1.8+0.8)/10000</f>
        <v>2.6000000000000003E-4</v>
      </c>
      <c r="N25" s="778">
        <f>(SUM(D25:M25))</f>
        <v>500661.89026000001</v>
      </c>
    </row>
    <row r="26" spans="3:14" ht="15.75" hidden="1">
      <c r="C26" s="766"/>
      <c r="D26" s="777"/>
      <c r="E26" s="777"/>
      <c r="F26" s="777"/>
      <c r="G26" s="777"/>
      <c r="H26" s="777"/>
      <c r="I26" s="778"/>
      <c r="J26" s="778"/>
      <c r="K26" s="779"/>
      <c r="L26" s="777"/>
      <c r="M26" s="777"/>
      <c r="N26" s="778"/>
    </row>
    <row r="27" spans="3:14" ht="15.75" hidden="1">
      <c r="C27" s="766" t="s">
        <v>304</v>
      </c>
      <c r="D27" s="777">
        <v>1000785</v>
      </c>
      <c r="E27" s="777">
        <v>684901</v>
      </c>
      <c r="F27" s="777">
        <v>0</v>
      </c>
      <c r="G27" s="777">
        <v>499765</v>
      </c>
      <c r="H27" s="777">
        <v>5258277</v>
      </c>
      <c r="I27" s="778">
        <v>4828114.8</v>
      </c>
      <c r="J27" s="778">
        <v>0</v>
      </c>
      <c r="K27" s="779">
        <v>612296</v>
      </c>
      <c r="L27" s="777">
        <v>54326</v>
      </c>
      <c r="M27" s="777">
        <v>3827685</v>
      </c>
      <c r="N27" s="778">
        <f>(SUM(D27:M27))</f>
        <v>16766149.800000001</v>
      </c>
    </row>
    <row r="28" spans="3:14" ht="15.75" hidden="1">
      <c r="C28" s="766"/>
      <c r="D28" s="777"/>
      <c r="E28" s="777"/>
      <c r="F28" s="777"/>
      <c r="G28" s="777"/>
      <c r="H28" s="777"/>
      <c r="I28" s="778"/>
      <c r="J28" s="778"/>
      <c r="K28" s="779"/>
      <c r="L28" s="777"/>
      <c r="M28" s="777"/>
      <c r="N28" s="778"/>
    </row>
    <row r="29" spans="3:14" ht="15.75" hidden="1">
      <c r="C29" s="766" t="s">
        <v>305</v>
      </c>
      <c r="D29" s="777">
        <v>983081</v>
      </c>
      <c r="E29" s="777">
        <v>665901</v>
      </c>
      <c r="F29" s="777">
        <v>0</v>
      </c>
      <c r="G29" s="777">
        <v>744178</v>
      </c>
      <c r="H29" s="777">
        <v>5706302</v>
      </c>
      <c r="I29" s="778">
        <v>5105271</v>
      </c>
      <c r="J29" s="778">
        <v>0</v>
      </c>
      <c r="K29" s="779">
        <v>612296</v>
      </c>
      <c r="L29" s="777">
        <v>65246</v>
      </c>
      <c r="M29" s="777">
        <v>5929371</v>
      </c>
      <c r="N29" s="778">
        <f>SUM(D29:M29)</f>
        <v>19811646</v>
      </c>
    </row>
    <row r="30" spans="3:14" ht="15.75" hidden="1">
      <c r="C30" s="766"/>
      <c r="D30" s="777"/>
      <c r="E30" s="777"/>
      <c r="F30" s="777"/>
      <c r="G30" s="777"/>
      <c r="H30" s="777"/>
      <c r="I30" s="778"/>
      <c r="J30" s="778"/>
      <c r="K30" s="779"/>
      <c r="L30" s="777"/>
      <c r="M30" s="777"/>
      <c r="N30" s="778"/>
    </row>
    <row r="31" spans="3:14" ht="15.75" hidden="1">
      <c r="C31" s="766" t="s">
        <v>306</v>
      </c>
      <c r="D31" s="777">
        <v>1508624</v>
      </c>
      <c r="E31" s="777">
        <v>665901</v>
      </c>
      <c r="F31" s="777">
        <v>0</v>
      </c>
      <c r="G31" s="777">
        <v>612672</v>
      </c>
      <c r="H31" s="777">
        <v>4282705</v>
      </c>
      <c r="I31" s="778">
        <v>4839271</v>
      </c>
      <c r="J31" s="778">
        <v>0</v>
      </c>
      <c r="K31" s="779">
        <v>649881</v>
      </c>
      <c r="L31" s="777">
        <v>236209</v>
      </c>
      <c r="M31" s="777">
        <v>6733767</v>
      </c>
      <c r="N31" s="778">
        <f>SUM(D31:M31)</f>
        <v>19529030</v>
      </c>
    </row>
    <row r="32" spans="3:14" ht="15.75" hidden="1">
      <c r="C32" s="766"/>
      <c r="D32" s="777"/>
      <c r="E32" s="777"/>
      <c r="F32" s="777"/>
      <c r="G32" s="777"/>
      <c r="H32" s="777"/>
      <c r="I32" s="778"/>
      <c r="J32" s="778"/>
      <c r="K32" s="779"/>
      <c r="L32" s="777"/>
      <c r="M32" s="777"/>
      <c r="N32" s="778"/>
    </row>
    <row r="33" spans="3:14" ht="15.75" hidden="1">
      <c r="C33" s="766" t="s">
        <v>307</v>
      </c>
      <c r="D33" s="777">
        <v>775502</v>
      </c>
      <c r="E33" s="777">
        <v>945890</v>
      </c>
      <c r="F33" s="777">
        <v>0</v>
      </c>
      <c r="G33" s="777">
        <v>709794</v>
      </c>
      <c r="H33" s="777">
        <v>7814867</v>
      </c>
      <c r="I33" s="778">
        <v>6561894</v>
      </c>
      <c r="J33" s="778">
        <v>54000</v>
      </c>
      <c r="K33" s="779">
        <v>6436909</v>
      </c>
      <c r="L33" s="777">
        <v>394671</v>
      </c>
      <c r="M33" s="777">
        <v>5789310</v>
      </c>
      <c r="N33" s="778">
        <f>SUM(D33:M33)</f>
        <v>29482837</v>
      </c>
    </row>
    <row r="34" spans="3:14" ht="15.75" hidden="1">
      <c r="C34" s="766"/>
      <c r="D34" s="777"/>
      <c r="E34" s="777"/>
      <c r="F34" s="777"/>
      <c r="G34" s="777"/>
      <c r="H34" s="777"/>
      <c r="I34" s="778"/>
      <c r="J34" s="778"/>
      <c r="K34" s="779"/>
      <c r="L34" s="777"/>
      <c r="M34" s="777"/>
      <c r="N34" s="778"/>
    </row>
    <row r="35" spans="3:14" ht="15.75" hidden="1">
      <c r="C35" s="766" t="s">
        <v>308</v>
      </c>
      <c r="D35" s="777">
        <v>1013163</v>
      </c>
      <c r="E35" s="777">
        <v>1010890</v>
      </c>
      <c r="F35" s="777">
        <v>0</v>
      </c>
      <c r="G35" s="777">
        <v>709794</v>
      </c>
      <c r="H35" s="777">
        <v>12456534</v>
      </c>
      <c r="I35" s="778">
        <v>7638823</v>
      </c>
      <c r="J35" s="778">
        <v>149109</v>
      </c>
      <c r="K35" s="779">
        <v>6436909</v>
      </c>
      <c r="L35" s="777">
        <v>1024975</v>
      </c>
      <c r="M35" s="777">
        <v>5789310</v>
      </c>
      <c r="N35" s="778">
        <f>SUM(D35:M35)</f>
        <v>36229507</v>
      </c>
    </row>
    <row r="36" spans="3:14" ht="15.75" hidden="1">
      <c r="C36" s="766"/>
      <c r="D36" s="777"/>
      <c r="E36" s="777"/>
      <c r="F36" s="777"/>
      <c r="G36" s="777"/>
      <c r="H36" s="777"/>
      <c r="I36" s="778"/>
      <c r="J36" s="778"/>
      <c r="K36" s="779"/>
      <c r="L36" s="777"/>
      <c r="M36" s="777"/>
      <c r="N36" s="778"/>
    </row>
    <row r="37" spans="3:14" ht="15.75" hidden="1">
      <c r="C37" s="766" t="s">
        <v>311</v>
      </c>
      <c r="D37" s="777">
        <v>1193835.6000000001</v>
      </c>
      <c r="E37" s="777">
        <v>1231970.1000000001</v>
      </c>
      <c r="F37" s="777">
        <v>0</v>
      </c>
      <c r="G37" s="777">
        <v>391607.83</v>
      </c>
      <c r="H37" s="777">
        <v>14598620.800000001</v>
      </c>
      <c r="I37" s="778">
        <v>9154976.6999999993</v>
      </c>
      <c r="J37" s="778">
        <v>158958</v>
      </c>
      <c r="K37" s="779">
        <v>1670706.4</v>
      </c>
      <c r="L37" s="777">
        <v>1053437</v>
      </c>
      <c r="M37" s="777">
        <v>6039430.6500000004</v>
      </c>
      <c r="N37" s="778">
        <f>SUM(D37:M37)</f>
        <v>35493543.079999998</v>
      </c>
    </row>
    <row r="38" spans="3:14" ht="15.75" hidden="1">
      <c r="C38" s="766"/>
      <c r="D38" s="777"/>
      <c r="E38" s="777"/>
      <c r="F38" s="777"/>
      <c r="G38" s="777"/>
      <c r="H38" s="777"/>
      <c r="I38" s="778"/>
      <c r="J38" s="778"/>
      <c r="K38" s="779"/>
      <c r="L38" s="777"/>
      <c r="M38" s="777"/>
      <c r="N38" s="778"/>
    </row>
    <row r="39" spans="3:14" ht="15.75" hidden="1">
      <c r="C39" s="767">
        <v>2010</v>
      </c>
      <c r="D39" s="777"/>
      <c r="E39" s="777"/>
      <c r="F39" s="777"/>
      <c r="G39" s="777"/>
      <c r="H39" s="777"/>
      <c r="I39" s="778"/>
      <c r="J39" s="778"/>
      <c r="K39" s="779"/>
      <c r="L39" s="777"/>
      <c r="M39" s="777"/>
      <c r="N39" s="778"/>
    </row>
    <row r="40" spans="3:14" ht="15.75" hidden="1">
      <c r="C40" s="766"/>
      <c r="D40" s="777"/>
      <c r="E40" s="777"/>
      <c r="F40" s="777"/>
      <c r="G40" s="777"/>
      <c r="H40" s="777"/>
      <c r="I40" s="778"/>
      <c r="J40" s="778"/>
      <c r="K40" s="779"/>
      <c r="L40" s="777"/>
      <c r="M40" s="777"/>
      <c r="N40" s="778"/>
    </row>
    <row r="41" spans="3:14" ht="15.75" hidden="1">
      <c r="C41" s="766" t="s">
        <v>298</v>
      </c>
      <c r="D41" s="777">
        <v>2472979.1</v>
      </c>
      <c r="E41" s="777">
        <v>1076970.1000000001</v>
      </c>
      <c r="F41" s="777">
        <v>0</v>
      </c>
      <c r="G41" s="777">
        <v>319485.24</v>
      </c>
      <c r="H41" s="777">
        <v>25047608.600000001</v>
      </c>
      <c r="I41" s="778">
        <v>11283654.9</v>
      </c>
      <c r="J41" s="778">
        <v>320190</v>
      </c>
      <c r="K41" s="779">
        <v>0</v>
      </c>
      <c r="L41" s="777">
        <v>2121945</v>
      </c>
      <c r="M41" s="777">
        <f>1778289.47+10289999.9+5103014.58</f>
        <v>17171303.950000003</v>
      </c>
      <c r="N41" s="778">
        <f>SUM(D41:M41)</f>
        <v>59814136.890000008</v>
      </c>
    </row>
    <row r="42" spans="3:14" ht="15.75" hidden="1">
      <c r="C42" s="766"/>
      <c r="D42" s="777"/>
      <c r="E42" s="777"/>
      <c r="F42" s="777"/>
      <c r="G42" s="777"/>
      <c r="H42" s="777"/>
      <c r="I42" s="778"/>
      <c r="J42" s="778"/>
      <c r="K42" s="779"/>
      <c r="L42" s="777"/>
      <c r="M42" s="777"/>
      <c r="N42" s="778"/>
    </row>
    <row r="43" spans="3:14" ht="15.75" hidden="1">
      <c r="C43" s="766" t="s">
        <v>299</v>
      </c>
      <c r="D43" s="777">
        <v>3378510</v>
      </c>
      <c r="E43" s="777">
        <v>3169845</v>
      </c>
      <c r="F43" s="777">
        <v>500000</v>
      </c>
      <c r="G43" s="777">
        <v>131355</v>
      </c>
      <c r="H43" s="777">
        <v>23671033.800000001</v>
      </c>
      <c r="I43" s="778">
        <v>9599361</v>
      </c>
      <c r="J43" s="778">
        <v>286858</v>
      </c>
      <c r="K43" s="779">
        <v>200000</v>
      </c>
      <c r="L43" s="777">
        <v>1901051</v>
      </c>
      <c r="M43" s="777">
        <f>3170253+10310000</f>
        <v>13480253</v>
      </c>
      <c r="N43" s="778">
        <f>SUM(D43:M43)</f>
        <v>56318266.799999997</v>
      </c>
    </row>
    <row r="44" spans="3:14" ht="15.75" hidden="1">
      <c r="C44" s="766"/>
      <c r="D44" s="777"/>
      <c r="E44" s="777"/>
      <c r="F44" s="777"/>
      <c r="G44" s="777"/>
      <c r="H44" s="777"/>
      <c r="I44" s="778"/>
      <c r="J44" s="778"/>
      <c r="K44" s="779"/>
      <c r="L44" s="777"/>
      <c r="M44" s="777"/>
      <c r="N44" s="778"/>
    </row>
    <row r="45" spans="3:14" ht="15.75" hidden="1">
      <c r="C45" s="766" t="s">
        <v>300</v>
      </c>
      <c r="D45" s="777">
        <v>3648583</v>
      </c>
      <c r="E45" s="777">
        <v>3169845</v>
      </c>
      <c r="F45" s="777">
        <v>500000</v>
      </c>
      <c r="G45" s="777">
        <v>131355</v>
      </c>
      <c r="H45" s="777">
        <v>32580119.899999999</v>
      </c>
      <c r="I45" s="778">
        <v>11503984</v>
      </c>
      <c r="J45" s="778">
        <v>386935</v>
      </c>
      <c r="K45" s="779">
        <v>200000</v>
      </c>
      <c r="L45" s="777">
        <v>2564272</v>
      </c>
      <c r="M45" s="777">
        <f>3701753+10310000+0</f>
        <v>14011753</v>
      </c>
      <c r="N45" s="778">
        <f>SUM(D45:M45)</f>
        <v>68696846.900000006</v>
      </c>
    </row>
    <row r="46" spans="3:14" ht="15.75" hidden="1">
      <c r="C46" s="766"/>
      <c r="D46" s="777"/>
      <c r="E46" s="777"/>
      <c r="F46" s="777"/>
      <c r="G46" s="777"/>
      <c r="H46" s="777"/>
      <c r="I46" s="778"/>
      <c r="J46" s="778"/>
      <c r="K46" s="779"/>
      <c r="L46" s="777"/>
      <c r="M46" s="777"/>
      <c r="N46" s="778"/>
    </row>
    <row r="47" spans="3:14" ht="15.75" hidden="1">
      <c r="C47" s="766" t="s">
        <v>301</v>
      </c>
      <c r="D47" s="777">
        <v>4013544</v>
      </c>
      <c r="E47" s="777">
        <v>2851873</v>
      </c>
      <c r="F47" s="777">
        <v>0</v>
      </c>
      <c r="G47" s="777">
        <v>821250</v>
      </c>
      <c r="H47" s="777">
        <v>34634572.899999999</v>
      </c>
      <c r="I47" s="778">
        <v>15279765.1</v>
      </c>
      <c r="J47" s="778">
        <v>946155</v>
      </c>
      <c r="K47" s="779">
        <v>249000</v>
      </c>
      <c r="L47" s="777">
        <v>2824192</v>
      </c>
      <c r="M47" s="777">
        <f>2680122+10000000</f>
        <v>12680122</v>
      </c>
      <c r="N47" s="778">
        <f>SUM(D47:M47)</f>
        <v>74300474</v>
      </c>
    </row>
    <row r="48" spans="3:14" ht="15.75" hidden="1">
      <c r="C48" s="766"/>
      <c r="D48" s="777"/>
      <c r="E48" s="777"/>
      <c r="F48" s="777"/>
      <c r="G48" s="777"/>
      <c r="H48" s="777"/>
      <c r="I48" s="778"/>
      <c r="J48" s="778"/>
      <c r="K48" s="779"/>
      <c r="L48" s="777"/>
      <c r="M48" s="777"/>
      <c r="N48" s="778"/>
    </row>
    <row r="49" spans="3:14" ht="15.75" hidden="1">
      <c r="C49" s="766" t="s">
        <v>302</v>
      </c>
      <c r="D49" s="777">
        <v>5891095.9000000004</v>
      </c>
      <c r="E49" s="777">
        <v>3312752.5</v>
      </c>
      <c r="F49" s="777">
        <v>10322644</v>
      </c>
      <c r="G49" s="777">
        <v>0</v>
      </c>
      <c r="H49" s="777">
        <v>22018964.600000001</v>
      </c>
      <c r="I49" s="778">
        <v>13633545.699999999</v>
      </c>
      <c r="J49" s="778">
        <v>6623701</v>
      </c>
      <c r="K49" s="779">
        <v>274482</v>
      </c>
      <c r="L49" s="777">
        <v>264832</v>
      </c>
      <c r="M49" s="777">
        <f>3026838.75+10000000</f>
        <v>13026838.75</v>
      </c>
      <c r="N49" s="778">
        <f>SUM(D49:M49)</f>
        <v>75368856.450000003</v>
      </c>
    </row>
    <row r="50" spans="3:14" ht="15.75" hidden="1">
      <c r="C50" s="766"/>
      <c r="D50" s="777"/>
      <c r="E50" s="777"/>
      <c r="F50" s="777"/>
      <c r="G50" s="777"/>
      <c r="H50" s="777"/>
      <c r="I50" s="778"/>
      <c r="J50" s="778"/>
      <c r="K50" s="779"/>
      <c r="L50" s="777"/>
      <c r="M50" s="777"/>
      <c r="N50" s="778"/>
    </row>
    <row r="51" spans="3:14" ht="15.75" hidden="1">
      <c r="C51" s="766" t="s">
        <v>303</v>
      </c>
      <c r="D51" s="777">
        <v>19105377</v>
      </c>
      <c r="E51" s="777">
        <v>4831871.3</v>
      </c>
      <c r="F51" s="777">
        <v>12431488</v>
      </c>
      <c r="G51" s="777">
        <v>0</v>
      </c>
      <c r="H51" s="777">
        <v>28745717.699999999</v>
      </c>
      <c r="I51" s="778">
        <v>19539060</v>
      </c>
      <c r="J51" s="778">
        <v>9131270.6600000001</v>
      </c>
      <c r="K51" s="779">
        <v>2649560.4</v>
      </c>
      <c r="L51" s="777">
        <v>318936</v>
      </c>
      <c r="M51" s="777">
        <f>707871+10000000</f>
        <v>10707871</v>
      </c>
      <c r="N51" s="778">
        <f>SUM(D51:M51)</f>
        <v>107461152.06</v>
      </c>
    </row>
    <row r="52" spans="3:14" ht="15.75" hidden="1">
      <c r="C52" s="766"/>
      <c r="D52" s="777"/>
      <c r="E52" s="777"/>
      <c r="F52" s="777"/>
      <c r="G52" s="777"/>
      <c r="H52" s="777"/>
      <c r="I52" s="778"/>
      <c r="J52" s="778"/>
      <c r="K52" s="779"/>
      <c r="L52" s="777"/>
      <c r="M52" s="777"/>
      <c r="N52" s="778"/>
    </row>
    <row r="53" spans="3:14" ht="15.75" hidden="1">
      <c r="C53" s="766" t="s">
        <v>304</v>
      </c>
      <c r="D53" s="777">
        <v>14350758</v>
      </c>
      <c r="E53" s="777">
        <v>6232853.0999999996</v>
      </c>
      <c r="F53" s="777">
        <v>8992763</v>
      </c>
      <c r="G53" s="777">
        <v>0</v>
      </c>
      <c r="H53" s="777">
        <v>23145230.600000001</v>
      </c>
      <c r="I53" s="778">
        <v>19362598.300000001</v>
      </c>
      <c r="J53" s="778">
        <v>8678240.5399999991</v>
      </c>
      <c r="K53" s="779">
        <v>1114771</v>
      </c>
      <c r="L53" s="777">
        <v>1803263</v>
      </c>
      <c r="M53" s="777">
        <f>1217387+1000000</f>
        <v>2217387</v>
      </c>
      <c r="N53" s="778">
        <f>SUM(D53:M53)</f>
        <v>85897864.539999992</v>
      </c>
    </row>
    <row r="54" spans="3:14" ht="15.75" hidden="1">
      <c r="C54" s="766"/>
      <c r="D54" s="777"/>
      <c r="E54" s="777"/>
      <c r="F54" s="777"/>
      <c r="G54" s="777"/>
      <c r="H54" s="777"/>
      <c r="I54" s="778"/>
      <c r="J54" s="778"/>
      <c r="K54" s="779"/>
      <c r="L54" s="777"/>
      <c r="M54" s="777"/>
      <c r="N54" s="778"/>
    </row>
    <row r="55" spans="3:14" ht="15.75" hidden="1">
      <c r="C55" s="766" t="s">
        <v>305</v>
      </c>
      <c r="D55" s="777">
        <v>24637677.399999999</v>
      </c>
      <c r="E55" s="777">
        <v>6710148.7999999998</v>
      </c>
      <c r="F55" s="777">
        <v>10391494</v>
      </c>
      <c r="G55" s="777">
        <v>42372.22</v>
      </c>
      <c r="H55" s="777">
        <v>24416161.699999999</v>
      </c>
      <c r="I55" s="778">
        <v>16570748.9</v>
      </c>
      <c r="J55" s="778">
        <v>9933195.0199999996</v>
      </c>
      <c r="K55" s="779">
        <v>469327</v>
      </c>
      <c r="L55" s="777">
        <v>266599</v>
      </c>
      <c r="M55" s="777">
        <f>1074530+8000000+1572550.42</f>
        <v>10647080.42</v>
      </c>
      <c r="N55" s="778">
        <f>SUM(D55:M55)</f>
        <v>104084804.46000001</v>
      </c>
    </row>
    <row r="56" spans="3:14" ht="15.75" hidden="1">
      <c r="C56" s="766"/>
      <c r="D56" s="777"/>
      <c r="E56" s="777"/>
      <c r="F56" s="777"/>
      <c r="G56" s="777"/>
      <c r="H56" s="777"/>
      <c r="I56" s="778"/>
      <c r="J56" s="778"/>
      <c r="K56" s="779"/>
      <c r="L56" s="777"/>
      <c r="M56" s="777"/>
      <c r="N56" s="778"/>
    </row>
    <row r="57" spans="3:14" ht="15.75" hidden="1">
      <c r="C57" s="766" t="s">
        <v>306</v>
      </c>
      <c r="D57" s="777">
        <v>29622709.100000001</v>
      </c>
      <c r="E57" s="777">
        <v>5693356.0999999996</v>
      </c>
      <c r="F57" s="777">
        <v>16433560</v>
      </c>
      <c r="G57" s="777">
        <v>42372.22</v>
      </c>
      <c r="H57" s="777">
        <v>20093036.300000001</v>
      </c>
      <c r="I57" s="778">
        <v>17018719.5</v>
      </c>
      <c r="J57" s="778">
        <v>9188246.9600000009</v>
      </c>
      <c r="K57" s="779">
        <v>1341232.1000000001</v>
      </c>
      <c r="L57" s="777">
        <v>1625551</v>
      </c>
      <c r="M57" s="777">
        <f>1905335+7000000+3011106</f>
        <v>11916441</v>
      </c>
      <c r="N57" s="778">
        <f>SUM(D57:M57)</f>
        <v>112975224.28</v>
      </c>
    </row>
    <row r="58" spans="3:14" ht="15.75" hidden="1">
      <c r="C58" s="766"/>
      <c r="D58" s="777"/>
      <c r="E58" s="777"/>
      <c r="F58" s="777"/>
      <c r="G58" s="777"/>
      <c r="H58" s="777"/>
      <c r="I58" s="778"/>
      <c r="J58" s="778"/>
      <c r="K58" s="779"/>
      <c r="L58" s="780"/>
      <c r="M58" s="777"/>
      <c r="N58" s="778"/>
    </row>
    <row r="59" spans="3:14" ht="15.75" hidden="1">
      <c r="C59" s="766" t="s">
        <v>307</v>
      </c>
      <c r="D59" s="777">
        <v>30196630.600000001</v>
      </c>
      <c r="E59" s="777">
        <v>7300969</v>
      </c>
      <c r="F59" s="777">
        <v>16799294</v>
      </c>
      <c r="G59" s="777">
        <v>0</v>
      </c>
      <c r="H59" s="777">
        <v>18670568</v>
      </c>
      <c r="I59" s="778">
        <v>16458805.6</v>
      </c>
      <c r="J59" s="778">
        <v>10828050.5</v>
      </c>
      <c r="K59" s="779">
        <v>1289126.3</v>
      </c>
      <c r="L59" s="777">
        <v>1661729</v>
      </c>
      <c r="M59" s="777">
        <f>4464167.92+3011106+8005000</f>
        <v>15480273.92</v>
      </c>
      <c r="N59" s="778">
        <f>SUM(D59:M59)</f>
        <v>118685446.91999999</v>
      </c>
    </row>
    <row r="60" spans="3:14" ht="15.75" hidden="1">
      <c r="C60" s="766"/>
      <c r="D60" s="777"/>
      <c r="E60" s="777"/>
      <c r="F60" s="777"/>
      <c r="G60" s="777"/>
      <c r="H60" s="777"/>
      <c r="I60" s="778"/>
      <c r="J60" s="778"/>
      <c r="K60" s="779"/>
      <c r="L60" s="777"/>
      <c r="M60" s="777"/>
      <c r="N60" s="778"/>
    </row>
    <row r="61" spans="3:14" ht="15.75" hidden="1">
      <c r="C61" s="766" t="s">
        <v>308</v>
      </c>
      <c r="D61" s="777">
        <v>30379851.100000001</v>
      </c>
      <c r="E61" s="777">
        <v>9348199.1999999993</v>
      </c>
      <c r="F61" s="777">
        <v>19101922</v>
      </c>
      <c r="G61" s="777">
        <v>0</v>
      </c>
      <c r="H61" s="777">
        <v>15618589.6</v>
      </c>
      <c r="I61" s="778">
        <v>15916065.699999999</v>
      </c>
      <c r="J61" s="778">
        <v>11251994.619999999</v>
      </c>
      <c r="K61" s="779">
        <v>1159424.3</v>
      </c>
      <c r="L61" s="777">
        <v>1889497</v>
      </c>
      <c r="M61" s="777">
        <f>1960944+8033125+3011106</f>
        <v>13005175</v>
      </c>
      <c r="N61" s="778">
        <f>SUM(D61:M61)</f>
        <v>117670718.52</v>
      </c>
    </row>
    <row r="62" spans="3:14" ht="15.75" hidden="1">
      <c r="C62" s="766"/>
      <c r="D62" s="781"/>
      <c r="E62" s="781"/>
      <c r="F62" s="774"/>
      <c r="G62" s="782"/>
      <c r="H62" s="781"/>
      <c r="I62" s="780"/>
      <c r="J62" s="783"/>
      <c r="K62" s="784"/>
      <c r="L62" s="782"/>
      <c r="M62" s="782"/>
      <c r="N62" s="775"/>
    </row>
    <row r="63" spans="3:14" ht="15.75" hidden="1">
      <c r="C63" s="766" t="s">
        <v>311</v>
      </c>
      <c r="D63" s="777">
        <v>27161157.5</v>
      </c>
      <c r="E63" s="777">
        <v>7334502.5999999996</v>
      </c>
      <c r="F63" s="777">
        <v>1684420</v>
      </c>
      <c r="G63" s="777">
        <v>3798557.68</v>
      </c>
      <c r="H63" s="777">
        <v>29595316.699999999</v>
      </c>
      <c r="I63" s="778">
        <v>18008011.199999999</v>
      </c>
      <c r="J63" s="778">
        <v>3671234.86</v>
      </c>
      <c r="K63" s="778">
        <v>861188.6</v>
      </c>
      <c r="L63" s="778">
        <v>13847126.02</v>
      </c>
      <c r="M63" s="778">
        <f>334972.85+29875926+4059502.5</f>
        <v>34270401.350000001</v>
      </c>
      <c r="N63" s="778">
        <f>SUM(D63:M63)</f>
        <v>140231916.50999999</v>
      </c>
    </row>
    <row r="64" spans="3:14" ht="15.75" hidden="1">
      <c r="C64" s="766"/>
      <c r="D64" s="781"/>
      <c r="E64" s="781"/>
      <c r="F64" s="774"/>
      <c r="G64" s="782"/>
      <c r="H64" s="781"/>
      <c r="I64" s="780"/>
      <c r="J64" s="783"/>
      <c r="K64" s="784"/>
      <c r="L64" s="782"/>
      <c r="M64" s="782"/>
      <c r="N64" s="775"/>
    </row>
    <row r="65" spans="3:14" hidden="1">
      <c r="C65" s="785">
        <v>2011</v>
      </c>
      <c r="D65" s="785"/>
      <c r="E65" s="785"/>
      <c r="F65" s="785"/>
      <c r="G65" s="785"/>
      <c r="H65" s="785"/>
      <c r="I65" s="785"/>
      <c r="J65" s="785"/>
      <c r="K65" s="785"/>
      <c r="L65" s="785"/>
      <c r="M65" s="785"/>
      <c r="N65" s="785"/>
    </row>
    <row r="66" spans="3:14" hidden="1">
      <c r="C66" s="786"/>
      <c r="D66" s="785"/>
      <c r="E66" s="785"/>
      <c r="F66" s="785"/>
      <c r="G66" s="785"/>
      <c r="H66" s="785"/>
      <c r="I66" s="785"/>
      <c r="J66" s="785"/>
      <c r="K66" s="785"/>
      <c r="L66" s="785"/>
      <c r="M66" s="785"/>
      <c r="N66" s="785"/>
    </row>
    <row r="67" spans="3:14" hidden="1">
      <c r="C67" s="786" t="s">
        <v>1210</v>
      </c>
      <c r="D67" s="787">
        <v>25134</v>
      </c>
      <c r="E67" s="787">
        <v>6396.6</v>
      </c>
      <c r="F67" s="787">
        <v>1684.4</v>
      </c>
      <c r="G67" s="785">
        <v>130</v>
      </c>
      <c r="H67" s="787">
        <v>33856.300000000003</v>
      </c>
      <c r="I67" s="787">
        <v>15894.3</v>
      </c>
      <c r="J67" s="787">
        <v>4372.5</v>
      </c>
      <c r="K67" s="785">
        <v>500.6</v>
      </c>
      <c r="L67" s="787">
        <v>12675.4</v>
      </c>
      <c r="M67" s="787">
        <v>36023.4</v>
      </c>
      <c r="N67" s="787">
        <v>136667.6</v>
      </c>
    </row>
    <row r="68" spans="3:14" hidden="1">
      <c r="C68" s="786" t="s">
        <v>1211</v>
      </c>
      <c r="D68" s="787">
        <v>27373.5</v>
      </c>
      <c r="E68" s="787">
        <v>3603.9</v>
      </c>
      <c r="F68" s="787">
        <v>7214.7</v>
      </c>
      <c r="G68" s="785">
        <v>130</v>
      </c>
      <c r="H68" s="787">
        <v>36434.199999999997</v>
      </c>
      <c r="I68" s="787">
        <v>13157.5</v>
      </c>
      <c r="J68" s="787">
        <v>19392.5</v>
      </c>
      <c r="K68" s="785">
        <v>0</v>
      </c>
      <c r="L68" s="787">
        <v>2345</v>
      </c>
      <c r="M68" s="787">
        <v>16395.900000000001</v>
      </c>
      <c r="N68" s="787">
        <v>126047.3</v>
      </c>
    </row>
    <row r="69" spans="3:14" hidden="1">
      <c r="C69" s="786" t="s">
        <v>300</v>
      </c>
      <c r="D69" s="787">
        <v>27028.3</v>
      </c>
      <c r="E69" s="787">
        <v>4455.7</v>
      </c>
      <c r="F69" s="787">
        <v>10405.799999999999</v>
      </c>
      <c r="G69" s="787">
        <v>21752.799999999999</v>
      </c>
      <c r="H69" s="787">
        <v>19162</v>
      </c>
      <c r="I69" s="787">
        <v>27427.8</v>
      </c>
      <c r="J69" s="787">
        <v>26732.7</v>
      </c>
      <c r="K69" s="787">
        <v>2047.9</v>
      </c>
      <c r="L69" s="787">
        <v>9387.5</v>
      </c>
      <c r="M69" s="787">
        <v>3996.1</v>
      </c>
      <c r="N69" s="787">
        <v>152396.79999999999</v>
      </c>
    </row>
    <row r="70" spans="3:14" hidden="1">
      <c r="C70" s="786" t="s">
        <v>301</v>
      </c>
      <c r="D70" s="787">
        <v>27726.9</v>
      </c>
      <c r="E70" s="787">
        <v>7669.6</v>
      </c>
      <c r="F70" s="787">
        <v>6851.5</v>
      </c>
      <c r="G70" s="787">
        <v>6781.2</v>
      </c>
      <c r="H70" s="787">
        <v>48029.5</v>
      </c>
      <c r="I70" s="787">
        <v>23164.7</v>
      </c>
      <c r="J70" s="787">
        <v>18622.400000000001</v>
      </c>
      <c r="K70" s="785">
        <v>0</v>
      </c>
      <c r="L70" s="787">
        <v>9295.4</v>
      </c>
      <c r="M70" s="787">
        <v>14363.4</v>
      </c>
      <c r="N70" s="787">
        <v>162504.5</v>
      </c>
    </row>
    <row r="71" spans="3:14" hidden="1">
      <c r="C71" s="786" t="s">
        <v>302</v>
      </c>
      <c r="D71" s="787">
        <v>29623.1</v>
      </c>
      <c r="E71" s="787">
        <v>3686.2</v>
      </c>
      <c r="F71" s="787">
        <v>4832.7</v>
      </c>
      <c r="G71" s="787">
        <v>19683.2</v>
      </c>
      <c r="H71" s="787">
        <v>26774.799999999999</v>
      </c>
      <c r="I71" s="787">
        <v>20746.3</v>
      </c>
      <c r="J71" s="787">
        <v>23732.7</v>
      </c>
      <c r="K71" s="787">
        <v>2047.9</v>
      </c>
      <c r="L71" s="787">
        <v>2646.6</v>
      </c>
      <c r="M71" s="787">
        <v>11162.9</v>
      </c>
      <c r="N71" s="787">
        <v>144936.6</v>
      </c>
    </row>
    <row r="72" spans="3:14" hidden="1">
      <c r="C72" s="786" t="s">
        <v>303</v>
      </c>
      <c r="D72" s="787">
        <v>31451.9</v>
      </c>
      <c r="E72" s="787">
        <v>2584.1999999999998</v>
      </c>
      <c r="F72" s="787">
        <v>3759.8</v>
      </c>
      <c r="G72" s="785">
        <v>0</v>
      </c>
      <c r="H72" s="787">
        <v>20032.7</v>
      </c>
      <c r="I72" s="787">
        <v>17449.400000000001</v>
      </c>
      <c r="J72" s="787">
        <v>10959.7</v>
      </c>
      <c r="K72" s="787">
        <v>2047.9</v>
      </c>
      <c r="L72" s="787">
        <v>1390.4</v>
      </c>
      <c r="M72" s="787">
        <v>9225</v>
      </c>
      <c r="N72" s="787">
        <v>98901</v>
      </c>
    </row>
    <row r="73" spans="3:14" hidden="1">
      <c r="C73" s="786" t="s">
        <v>304</v>
      </c>
      <c r="D73" s="787">
        <v>18573</v>
      </c>
      <c r="E73" s="787">
        <v>2884.2</v>
      </c>
      <c r="F73" s="787">
        <v>2820</v>
      </c>
      <c r="G73" s="785">
        <v>0</v>
      </c>
      <c r="H73" s="787">
        <v>46701.5</v>
      </c>
      <c r="I73" s="787">
        <v>17388.099999999999</v>
      </c>
      <c r="J73" s="787">
        <v>19054.3</v>
      </c>
      <c r="K73" s="785">
        <v>50</v>
      </c>
      <c r="L73" s="787">
        <v>5226.8999999999996</v>
      </c>
      <c r="M73" s="787">
        <v>3685.1</v>
      </c>
      <c r="N73" s="787">
        <v>116383.1</v>
      </c>
    </row>
    <row r="74" spans="3:14" hidden="1">
      <c r="C74" s="786" t="s">
        <v>305</v>
      </c>
      <c r="D74" s="787">
        <v>14774</v>
      </c>
      <c r="E74" s="787">
        <v>3711</v>
      </c>
      <c r="F74" s="787">
        <v>22820</v>
      </c>
      <c r="G74" s="785">
        <v>0</v>
      </c>
      <c r="H74" s="787">
        <v>43118.2</v>
      </c>
      <c r="I74" s="787">
        <v>14808.9</v>
      </c>
      <c r="J74" s="787">
        <v>9946.5</v>
      </c>
      <c r="K74" s="785">
        <v>300</v>
      </c>
      <c r="L74" s="787">
        <v>4666.8999999999996</v>
      </c>
      <c r="M74" s="785">
        <v>0</v>
      </c>
      <c r="N74" s="787">
        <v>97830.5</v>
      </c>
    </row>
    <row r="75" spans="3:14" hidden="1">
      <c r="C75" s="786" t="s">
        <v>306</v>
      </c>
      <c r="D75" s="787">
        <v>14947.1</v>
      </c>
      <c r="E75" s="787">
        <v>3711</v>
      </c>
      <c r="F75" s="785">
        <v>0</v>
      </c>
      <c r="G75" s="787">
        <v>3321.2</v>
      </c>
      <c r="H75" s="787">
        <v>46598.8</v>
      </c>
      <c r="I75" s="787">
        <v>17437.599999999999</v>
      </c>
      <c r="J75" s="787">
        <v>12676.5</v>
      </c>
      <c r="K75" s="785">
        <v>123.4</v>
      </c>
      <c r="L75" s="787">
        <v>5306</v>
      </c>
      <c r="M75" s="787">
        <v>4270.8</v>
      </c>
      <c r="N75" s="787">
        <v>108392.3</v>
      </c>
    </row>
    <row r="76" spans="3:14" hidden="1">
      <c r="C76" s="786" t="s">
        <v>307</v>
      </c>
      <c r="D76" s="787">
        <v>15821.2</v>
      </c>
      <c r="E76" s="787">
        <v>2784.2</v>
      </c>
      <c r="F76" s="785">
        <v>0</v>
      </c>
      <c r="G76" s="787">
        <v>2427.6999999999998</v>
      </c>
      <c r="H76" s="787">
        <v>33518.400000000001</v>
      </c>
      <c r="I76" s="787">
        <v>16529.8</v>
      </c>
      <c r="J76" s="787">
        <v>20013.3</v>
      </c>
      <c r="K76" s="785">
        <v>123.4</v>
      </c>
      <c r="L76" s="787">
        <v>3070.5</v>
      </c>
      <c r="M76" s="787">
        <v>4271.5</v>
      </c>
      <c r="N76" s="787">
        <v>98560.1</v>
      </c>
    </row>
    <row r="77" spans="3:14" hidden="1">
      <c r="C77" s="786" t="s">
        <v>308</v>
      </c>
      <c r="D77" s="787">
        <v>15821.2</v>
      </c>
      <c r="E77" s="787">
        <v>2784.2</v>
      </c>
      <c r="F77" s="785">
        <v>0</v>
      </c>
      <c r="G77" s="787">
        <v>2427.6999999999998</v>
      </c>
      <c r="H77" s="787">
        <v>31503.5</v>
      </c>
      <c r="I77" s="787">
        <v>16533.3</v>
      </c>
      <c r="J77" s="787">
        <v>20019.900000000001</v>
      </c>
      <c r="K77" s="785" t="s">
        <v>1212</v>
      </c>
      <c r="L77" s="787">
        <v>3070.5</v>
      </c>
      <c r="M77" s="787">
        <v>4271.3999999999996</v>
      </c>
      <c r="N77" s="785" t="s">
        <v>1213</v>
      </c>
    </row>
    <row r="78" spans="3:14" ht="15.75" hidden="1" thickBot="1">
      <c r="C78" s="788" t="s">
        <v>311</v>
      </c>
      <c r="D78" s="789">
        <v>16264.8</v>
      </c>
      <c r="E78" s="789">
        <v>2747.5</v>
      </c>
      <c r="F78" s="790">
        <v>0</v>
      </c>
      <c r="G78" s="790">
        <v>422.8</v>
      </c>
      <c r="H78" s="789">
        <v>32377.7</v>
      </c>
      <c r="I78" s="789">
        <v>34304.699999999997</v>
      </c>
      <c r="J78" s="789">
        <v>20232.099999999999</v>
      </c>
      <c r="K78" s="790">
        <v>0</v>
      </c>
      <c r="L78" s="789">
        <v>1516.1</v>
      </c>
      <c r="M78" s="789">
        <v>3623.5</v>
      </c>
      <c r="N78" s="789">
        <v>111489.2</v>
      </c>
    </row>
    <row r="79" spans="3:14" hidden="1">
      <c r="C79" s="785">
        <v>2012</v>
      </c>
      <c r="D79" s="785"/>
      <c r="E79" s="785"/>
      <c r="F79" s="785"/>
      <c r="G79" s="785"/>
      <c r="H79" s="785"/>
      <c r="I79" s="785"/>
      <c r="J79" s="785"/>
      <c r="K79" s="785"/>
      <c r="L79" s="785"/>
      <c r="M79" s="785"/>
      <c r="N79" s="785"/>
    </row>
    <row r="80" spans="3:14" hidden="1">
      <c r="C80" s="785"/>
      <c r="D80" s="785"/>
      <c r="E80" s="785"/>
      <c r="F80" s="785"/>
      <c r="G80" s="785"/>
      <c r="H80" s="785"/>
      <c r="I80" s="785"/>
      <c r="J80" s="785"/>
      <c r="K80" s="785"/>
      <c r="L80" s="785"/>
      <c r="M80" s="785"/>
      <c r="N80" s="785"/>
    </row>
    <row r="81" spans="1:15" hidden="1">
      <c r="C81" s="786" t="s">
        <v>298</v>
      </c>
      <c r="D81" s="787">
        <v>15494.8</v>
      </c>
      <c r="E81" s="787">
        <v>1897.5</v>
      </c>
      <c r="F81" s="785">
        <v>0</v>
      </c>
      <c r="G81" s="785" t="s">
        <v>1214</v>
      </c>
      <c r="H81" s="787">
        <v>31053.3</v>
      </c>
      <c r="I81" s="787">
        <v>31756.6</v>
      </c>
      <c r="J81" s="787">
        <v>20082.400000000001</v>
      </c>
      <c r="K81" s="785">
        <v>0</v>
      </c>
      <c r="L81" s="787">
        <v>1516.1</v>
      </c>
      <c r="M81" s="787">
        <v>3623.5</v>
      </c>
      <c r="N81" s="787">
        <v>105903.9</v>
      </c>
    </row>
    <row r="82" spans="1:15" hidden="1">
      <c r="C82" s="786" t="s">
        <v>1211</v>
      </c>
      <c r="D82" s="785" t="s">
        <v>1215</v>
      </c>
      <c r="E82" s="785">
        <v>483.9</v>
      </c>
      <c r="F82" s="785">
        <v>0</v>
      </c>
      <c r="G82" s="785">
        <v>734.6</v>
      </c>
      <c r="H82" s="787">
        <v>32663.4</v>
      </c>
      <c r="I82" s="787">
        <v>15907.7</v>
      </c>
      <c r="J82" s="787">
        <v>5112.6000000000004</v>
      </c>
      <c r="K82" s="785">
        <v>0</v>
      </c>
      <c r="L82" s="785">
        <v>301.8</v>
      </c>
      <c r="M82" s="785">
        <v>0</v>
      </c>
      <c r="N82" s="787">
        <v>71563.600000000006</v>
      </c>
    </row>
    <row r="83" spans="1:15" hidden="1">
      <c r="C83" s="786" t="s">
        <v>300</v>
      </c>
      <c r="D83" s="787">
        <v>15328.4</v>
      </c>
      <c r="E83" s="787">
        <v>4816.6000000000004</v>
      </c>
      <c r="F83" s="785">
        <v>0</v>
      </c>
      <c r="G83" s="785">
        <v>734.6</v>
      </c>
      <c r="H83" s="787">
        <v>33053.5</v>
      </c>
      <c r="I83" s="787">
        <v>22330.2</v>
      </c>
      <c r="J83" s="787">
        <v>3206.4</v>
      </c>
      <c r="K83" s="785">
        <v>0</v>
      </c>
      <c r="L83" s="785">
        <v>301.8</v>
      </c>
      <c r="M83" s="785">
        <v>0</v>
      </c>
      <c r="N83" s="787">
        <v>75436.7</v>
      </c>
    </row>
    <row r="84" spans="1:15" hidden="1">
      <c r="C84" s="786" t="s">
        <v>301</v>
      </c>
      <c r="D84" s="787">
        <v>7793.4</v>
      </c>
      <c r="E84" s="785">
        <v>831.6</v>
      </c>
      <c r="F84" s="785">
        <v>0</v>
      </c>
      <c r="G84" s="785">
        <v>180.6</v>
      </c>
      <c r="H84" s="787">
        <v>19825.5</v>
      </c>
      <c r="I84" s="787">
        <v>23032</v>
      </c>
      <c r="J84" s="787">
        <v>12462.5</v>
      </c>
      <c r="K84" s="785">
        <v>102</v>
      </c>
      <c r="L84" s="785">
        <v>189.3</v>
      </c>
      <c r="M84" s="785">
        <v>0</v>
      </c>
      <c r="N84" s="787">
        <v>69482.2</v>
      </c>
    </row>
    <row r="85" spans="1:15" hidden="1">
      <c r="C85" s="786" t="s">
        <v>302</v>
      </c>
      <c r="D85" s="785">
        <v>0</v>
      </c>
      <c r="E85" s="785">
        <v>0</v>
      </c>
      <c r="F85" s="785">
        <v>0</v>
      </c>
      <c r="G85" s="787">
        <v>2055.8000000000002</v>
      </c>
      <c r="H85" s="787">
        <v>14431.9</v>
      </c>
      <c r="I85" s="787">
        <v>15786.1</v>
      </c>
      <c r="J85" s="787">
        <v>17666.599999999999</v>
      </c>
      <c r="K85" s="785">
        <v>589.70000000000005</v>
      </c>
      <c r="L85" s="787">
        <v>2850.8</v>
      </c>
      <c r="M85" s="785">
        <v>836.1</v>
      </c>
      <c r="N85" s="785" t="s">
        <v>1216</v>
      </c>
    </row>
    <row r="86" spans="1:15" hidden="1">
      <c r="C86" s="786" t="s">
        <v>303</v>
      </c>
      <c r="D86" s="787">
        <v>1031.0999999999999</v>
      </c>
      <c r="E86" s="787">
        <v>1011.3</v>
      </c>
      <c r="F86" s="785">
        <v>0</v>
      </c>
      <c r="G86" s="787">
        <v>1875.2</v>
      </c>
      <c r="H86" s="787">
        <v>13904</v>
      </c>
      <c r="I86" s="787">
        <v>21823.7</v>
      </c>
      <c r="J86" s="787">
        <v>16562.2</v>
      </c>
      <c r="K86" s="785">
        <v>0</v>
      </c>
      <c r="L86" s="785">
        <v>189.3</v>
      </c>
      <c r="M86" s="785">
        <v>836.1</v>
      </c>
      <c r="N86" s="787">
        <v>57233</v>
      </c>
    </row>
    <row r="87" spans="1:15" hidden="1">
      <c r="C87" s="786" t="s">
        <v>304</v>
      </c>
      <c r="D87" s="785">
        <v>125.6</v>
      </c>
      <c r="E87" s="785">
        <v>0</v>
      </c>
      <c r="F87" s="785">
        <v>0</v>
      </c>
      <c r="G87" s="785">
        <v>0</v>
      </c>
      <c r="H87" s="787">
        <v>7054</v>
      </c>
      <c r="I87" s="787">
        <v>19331.900000000001</v>
      </c>
      <c r="J87" s="787">
        <v>14121.2</v>
      </c>
      <c r="K87" s="787">
        <v>1533.9</v>
      </c>
      <c r="L87" s="785">
        <v>0</v>
      </c>
      <c r="M87" s="785">
        <v>0</v>
      </c>
      <c r="N87" s="787">
        <v>42166.6</v>
      </c>
    </row>
    <row r="88" spans="1:15" hidden="1">
      <c r="C88" s="786" t="s">
        <v>305</v>
      </c>
      <c r="D88" s="785">
        <v>0</v>
      </c>
      <c r="E88" s="785">
        <v>913.3</v>
      </c>
      <c r="F88" s="785">
        <v>0</v>
      </c>
      <c r="G88" s="785">
        <v>0</v>
      </c>
      <c r="H88" s="787">
        <v>13898</v>
      </c>
      <c r="I88" s="787">
        <v>13694.7</v>
      </c>
      <c r="J88" s="787">
        <v>18347.2</v>
      </c>
      <c r="K88" s="785">
        <v>0</v>
      </c>
      <c r="L88" s="785">
        <v>0</v>
      </c>
      <c r="M88" s="785">
        <v>0</v>
      </c>
      <c r="N88" s="787">
        <v>46853.3</v>
      </c>
    </row>
    <row r="89" spans="1:15" hidden="1">
      <c r="C89" s="786" t="s">
        <v>306</v>
      </c>
      <c r="D89" s="785">
        <v>0</v>
      </c>
      <c r="E89" s="787">
        <v>11242.5</v>
      </c>
      <c r="F89" s="785">
        <v>0</v>
      </c>
      <c r="G89" s="785">
        <v>0</v>
      </c>
      <c r="H89" s="787">
        <v>12193</v>
      </c>
      <c r="I89" s="787">
        <v>15228.3</v>
      </c>
      <c r="J89" s="787">
        <v>3969.9</v>
      </c>
      <c r="K89" s="785">
        <v>0</v>
      </c>
      <c r="L89" s="785">
        <v>0</v>
      </c>
      <c r="M89" s="785">
        <v>0</v>
      </c>
      <c r="N89" s="787">
        <v>42633.7</v>
      </c>
    </row>
    <row r="90" spans="1:15" hidden="1">
      <c r="C90" s="786" t="s">
        <v>307</v>
      </c>
      <c r="D90" s="785">
        <v>0</v>
      </c>
      <c r="E90" s="787">
        <v>1135</v>
      </c>
      <c r="F90" s="785">
        <v>0</v>
      </c>
      <c r="G90" s="785">
        <v>0</v>
      </c>
      <c r="H90" s="787">
        <v>2134.9</v>
      </c>
      <c r="I90" s="787">
        <v>28261.599999999999</v>
      </c>
      <c r="J90" s="785">
        <v>204</v>
      </c>
      <c r="K90" s="785">
        <v>0</v>
      </c>
      <c r="L90" s="785">
        <v>0</v>
      </c>
      <c r="M90" s="785">
        <v>0</v>
      </c>
      <c r="N90" s="787">
        <v>31735.5</v>
      </c>
    </row>
    <row r="91" spans="1:15" hidden="1">
      <c r="A91" s="791"/>
      <c r="B91" s="792"/>
      <c r="C91" s="793" t="s">
        <v>308</v>
      </c>
      <c r="D91" s="787">
        <v>8373.2000000000007</v>
      </c>
      <c r="E91" s="787">
        <v>3045</v>
      </c>
      <c r="F91" s="787">
        <v>11889</v>
      </c>
      <c r="G91" s="787">
        <v>0</v>
      </c>
      <c r="H91" s="787">
        <v>0</v>
      </c>
      <c r="I91" s="787">
        <v>0</v>
      </c>
      <c r="J91" s="787">
        <v>0</v>
      </c>
      <c r="K91" s="787">
        <v>0</v>
      </c>
      <c r="L91" s="787">
        <v>11190.4</v>
      </c>
      <c r="M91" s="787">
        <v>0</v>
      </c>
      <c r="N91" s="787">
        <v>34497.699999999997</v>
      </c>
      <c r="O91" s="794"/>
    </row>
    <row r="92" spans="1:15" hidden="1">
      <c r="A92" s="791"/>
      <c r="C92" s="786" t="s">
        <v>311</v>
      </c>
      <c r="D92" s="787">
        <v>6559.2559000000001</v>
      </c>
      <c r="E92" s="787">
        <v>1430</v>
      </c>
      <c r="F92" s="787">
        <v>14889</v>
      </c>
      <c r="G92" s="787">
        <v>0</v>
      </c>
      <c r="H92" s="787">
        <v>0</v>
      </c>
      <c r="I92" s="787">
        <v>0</v>
      </c>
      <c r="J92" s="787">
        <v>0</v>
      </c>
      <c r="K92" s="787">
        <v>0</v>
      </c>
      <c r="L92" s="787">
        <v>11190.4395</v>
      </c>
      <c r="M92" s="787">
        <v>70</v>
      </c>
      <c r="N92" s="787">
        <f>SUM(D92:M92)</f>
        <v>34138.695399999997</v>
      </c>
    </row>
    <row r="93" spans="1:15" hidden="1">
      <c r="A93" s="791"/>
      <c r="C93" s="785">
        <v>2012</v>
      </c>
      <c r="D93" s="787"/>
      <c r="E93" s="787"/>
      <c r="F93" s="787"/>
      <c r="G93" s="787"/>
      <c r="H93" s="787"/>
      <c r="I93" s="787"/>
      <c r="J93" s="787"/>
      <c r="K93" s="787"/>
      <c r="L93" s="787"/>
      <c r="M93" s="787"/>
      <c r="N93" s="787"/>
    </row>
    <row r="94" spans="1:15" hidden="1">
      <c r="A94" s="791"/>
      <c r="C94" s="785"/>
      <c r="D94" s="787"/>
      <c r="E94" s="787"/>
      <c r="F94" s="787"/>
      <c r="G94" s="787"/>
      <c r="H94" s="787"/>
      <c r="I94" s="787"/>
      <c r="J94" s="787"/>
      <c r="K94" s="787"/>
      <c r="L94" s="787"/>
      <c r="M94" s="787"/>
      <c r="N94" s="787"/>
    </row>
    <row r="95" spans="1:15" hidden="1">
      <c r="A95" s="791"/>
      <c r="C95" s="786" t="s">
        <v>298</v>
      </c>
      <c r="D95" s="795">
        <v>70</v>
      </c>
      <c r="E95" s="795">
        <v>0</v>
      </c>
      <c r="F95" s="795">
        <v>0</v>
      </c>
      <c r="G95" s="795">
        <v>0</v>
      </c>
      <c r="H95" s="795">
        <v>3641</v>
      </c>
      <c r="I95" s="795">
        <v>18088.255000000001</v>
      </c>
      <c r="J95" s="795">
        <v>1189</v>
      </c>
      <c r="K95" s="795">
        <v>11190.4</v>
      </c>
      <c r="L95" s="795">
        <v>0</v>
      </c>
      <c r="M95" s="795">
        <v>0</v>
      </c>
      <c r="N95" s="795">
        <f>SUM(D95:M95)</f>
        <v>34178.654999999999</v>
      </c>
    </row>
    <row r="96" spans="1:15" hidden="1">
      <c r="A96" s="791"/>
      <c r="C96" s="786" t="s">
        <v>1211</v>
      </c>
      <c r="D96" s="787"/>
      <c r="E96" s="787"/>
      <c r="F96" s="787"/>
      <c r="G96" s="787"/>
      <c r="H96" s="787"/>
      <c r="I96" s="787"/>
      <c r="J96" s="787"/>
      <c r="K96" s="787"/>
      <c r="L96" s="787"/>
      <c r="M96" s="787"/>
      <c r="N96" s="787"/>
    </row>
    <row r="97" spans="1:16" hidden="1">
      <c r="A97" s="791"/>
      <c r="C97" s="786" t="s">
        <v>300</v>
      </c>
      <c r="D97" s="787">
        <v>70</v>
      </c>
      <c r="E97" s="787">
        <v>0</v>
      </c>
      <c r="F97" s="795">
        <v>0</v>
      </c>
      <c r="G97" s="795">
        <v>0</v>
      </c>
      <c r="H97" s="787">
        <v>7860</v>
      </c>
      <c r="I97" s="795">
        <v>0</v>
      </c>
      <c r="J97" s="787">
        <v>154</v>
      </c>
      <c r="K97" s="795">
        <v>0</v>
      </c>
      <c r="L97" s="787">
        <v>15400</v>
      </c>
      <c r="M97" s="795">
        <v>0</v>
      </c>
      <c r="N97" s="795">
        <f>SUM(D97:M97)</f>
        <v>23484</v>
      </c>
    </row>
    <row r="98" spans="1:16" hidden="1">
      <c r="A98" s="791"/>
      <c r="C98" s="796" t="s">
        <v>301</v>
      </c>
      <c r="D98" s="795">
        <v>5100</v>
      </c>
      <c r="E98" s="795">
        <v>0</v>
      </c>
      <c r="F98" s="795">
        <v>0</v>
      </c>
      <c r="G98" s="795">
        <v>0</v>
      </c>
      <c r="H98" s="795">
        <v>7620</v>
      </c>
      <c r="I98" s="795">
        <v>14889</v>
      </c>
      <c r="J98" s="795">
        <v>278</v>
      </c>
      <c r="K98" s="795">
        <v>0</v>
      </c>
      <c r="L98" s="795">
        <v>15200</v>
      </c>
      <c r="M98" s="795">
        <v>0</v>
      </c>
      <c r="N98" s="795">
        <v>43087</v>
      </c>
    </row>
    <row r="99" spans="1:16" hidden="1">
      <c r="A99" s="791"/>
      <c r="C99" s="786" t="s">
        <v>302</v>
      </c>
      <c r="D99" s="787">
        <v>5100</v>
      </c>
      <c r="E99" s="787">
        <v>0</v>
      </c>
      <c r="F99" s="787"/>
      <c r="G99" s="787"/>
      <c r="H99" s="787">
        <v>7500</v>
      </c>
      <c r="I99" s="787">
        <v>6330.8050000000003</v>
      </c>
      <c r="J99" s="787">
        <v>2109.4299999999998</v>
      </c>
      <c r="K99" s="787"/>
      <c r="L99" s="787">
        <v>1000</v>
      </c>
      <c r="M99" s="787"/>
      <c r="N99" s="795">
        <f>SUM(D99:M99)</f>
        <v>22040.235000000001</v>
      </c>
    </row>
    <row r="100" spans="1:16" hidden="1">
      <c r="A100" s="791"/>
      <c r="C100" s="796" t="s">
        <v>303</v>
      </c>
      <c r="D100" s="787">
        <v>5100</v>
      </c>
      <c r="E100" s="787">
        <v>0</v>
      </c>
      <c r="F100" s="787">
        <v>0</v>
      </c>
      <c r="G100" s="787">
        <v>0</v>
      </c>
      <c r="H100" s="787">
        <v>5760</v>
      </c>
      <c r="I100" s="787">
        <v>0</v>
      </c>
      <c r="J100" s="787">
        <v>212</v>
      </c>
      <c r="K100" s="787">
        <v>0</v>
      </c>
      <c r="L100" s="787">
        <v>15210</v>
      </c>
      <c r="M100" s="787">
        <v>0</v>
      </c>
      <c r="N100" s="795">
        <f>SUM(D100:M100)</f>
        <v>26282</v>
      </c>
    </row>
    <row r="101" spans="1:16" hidden="1">
      <c r="A101" s="791"/>
      <c r="C101" s="796" t="s">
        <v>304</v>
      </c>
      <c r="D101" s="787">
        <v>5100</v>
      </c>
      <c r="E101" s="787">
        <v>0</v>
      </c>
      <c r="F101" s="787">
        <v>0</v>
      </c>
      <c r="G101" s="787">
        <v>0</v>
      </c>
      <c r="H101" s="787">
        <v>7000</v>
      </c>
      <c r="I101" s="787">
        <v>0</v>
      </c>
      <c r="J101" s="787">
        <v>212</v>
      </c>
      <c r="K101" s="787">
        <v>0</v>
      </c>
      <c r="L101" s="787">
        <v>15110</v>
      </c>
      <c r="M101" s="787">
        <v>0</v>
      </c>
      <c r="N101" s="795">
        <f>SUM(D101:M101)</f>
        <v>27422</v>
      </c>
    </row>
    <row r="102" spans="1:16" hidden="1">
      <c r="A102" s="791"/>
      <c r="C102" s="786" t="s">
        <v>305</v>
      </c>
      <c r="D102" s="787"/>
      <c r="E102" s="787"/>
      <c r="F102" s="787"/>
      <c r="G102" s="787"/>
      <c r="H102" s="787"/>
      <c r="I102" s="787"/>
      <c r="J102" s="787"/>
      <c r="K102" s="787"/>
      <c r="L102" s="787"/>
      <c r="M102" s="787"/>
      <c r="N102" s="795"/>
    </row>
    <row r="103" spans="1:16" hidden="1">
      <c r="A103" s="791"/>
      <c r="C103" s="796" t="s">
        <v>306</v>
      </c>
      <c r="D103" s="795">
        <v>5000</v>
      </c>
      <c r="E103" s="795">
        <v>0</v>
      </c>
      <c r="F103" s="795">
        <v>0</v>
      </c>
      <c r="G103" s="795">
        <v>0</v>
      </c>
      <c r="H103" s="795">
        <v>5800</v>
      </c>
      <c r="I103" s="795">
        <v>0</v>
      </c>
      <c r="J103" s="795">
        <v>165</v>
      </c>
      <c r="K103" s="795">
        <v>0</v>
      </c>
      <c r="L103" s="795">
        <v>900</v>
      </c>
      <c r="M103" s="795">
        <v>0</v>
      </c>
      <c r="N103" s="795">
        <f>SUM(D103:M103)</f>
        <v>11865</v>
      </c>
    </row>
    <row r="104" spans="1:16" ht="15.75" hidden="1" thickBot="1">
      <c r="C104" s="797"/>
      <c r="D104" s="797"/>
      <c r="E104" s="797"/>
      <c r="F104" s="797"/>
      <c r="G104" s="797"/>
      <c r="H104" s="797"/>
      <c r="I104" s="797"/>
      <c r="J104" s="797"/>
      <c r="K104" s="797"/>
      <c r="L104" s="797"/>
      <c r="M104" s="797"/>
      <c r="N104" s="797"/>
    </row>
    <row r="105" spans="1:16" ht="15.75" hidden="1" thickTop="1"/>
    <row r="107" spans="1:16">
      <c r="N107" s="761">
        <v>1000</v>
      </c>
    </row>
    <row r="108" spans="1:16">
      <c r="C108" s="1896" t="s">
        <v>1314</v>
      </c>
      <c r="D108" s="1896"/>
      <c r="E108" s="1896"/>
      <c r="F108" s="1896"/>
      <c r="G108" s="1896"/>
      <c r="H108" s="1896"/>
      <c r="I108" s="1896"/>
      <c r="J108" s="1896"/>
      <c r="K108" s="1896"/>
      <c r="L108" s="1896"/>
      <c r="M108" s="1896"/>
      <c r="N108" s="1896"/>
      <c r="O108" s="1896"/>
      <c r="P108" s="1896"/>
    </row>
    <row r="109" spans="1:16">
      <c r="C109" s="798"/>
      <c r="D109" s="798"/>
      <c r="E109" s="798"/>
      <c r="F109" s="798"/>
      <c r="G109" s="798"/>
      <c r="H109" s="798"/>
      <c r="I109" s="798"/>
      <c r="J109" s="798"/>
      <c r="K109" s="798"/>
      <c r="L109" s="798"/>
      <c r="M109" s="798"/>
      <c r="N109" s="798"/>
      <c r="O109" s="798"/>
      <c r="P109" s="798"/>
    </row>
    <row r="110" spans="1:16">
      <c r="C110" s="1896" t="s">
        <v>1312</v>
      </c>
      <c r="D110" s="1896"/>
      <c r="E110" s="1896"/>
      <c r="F110" s="1896"/>
      <c r="G110" s="1896"/>
      <c r="H110" s="1896"/>
      <c r="I110" s="1896"/>
      <c r="J110" s="1896"/>
      <c r="K110" s="1896"/>
      <c r="L110" s="1896"/>
      <c r="M110" s="1896"/>
      <c r="N110" s="1896"/>
      <c r="O110" s="798"/>
      <c r="P110" s="798"/>
    </row>
    <row r="111" spans="1:16" ht="15.75" thickBot="1">
      <c r="C111" s="799"/>
      <c r="D111" s="799"/>
      <c r="E111" s="799"/>
      <c r="F111" s="799"/>
      <c r="G111" s="799"/>
      <c r="H111" s="799"/>
      <c r="I111" s="799"/>
      <c r="J111" s="799"/>
      <c r="K111" s="799"/>
      <c r="L111" s="799"/>
      <c r="M111" s="799"/>
      <c r="N111" s="799"/>
      <c r="O111" s="799"/>
      <c r="P111" s="799"/>
    </row>
    <row r="112" spans="1:16" ht="15.75" thickTop="1">
      <c r="C112" s="800"/>
      <c r="D112" s="800"/>
      <c r="E112" s="800"/>
      <c r="F112" s="800"/>
      <c r="G112" s="800"/>
      <c r="H112" s="800"/>
      <c r="I112" s="800"/>
      <c r="J112" s="800"/>
      <c r="K112" s="800"/>
      <c r="L112" s="800"/>
      <c r="M112" s="800"/>
      <c r="N112" s="800"/>
      <c r="O112" s="800"/>
      <c r="P112" s="800"/>
    </row>
    <row r="113" spans="3:16">
      <c r="C113" s="801" t="s">
        <v>263</v>
      </c>
      <c r="D113" s="801" t="s">
        <v>392</v>
      </c>
      <c r="E113" s="801" t="s">
        <v>393</v>
      </c>
      <c r="F113" s="801" t="s">
        <v>772</v>
      </c>
      <c r="G113" s="801" t="s">
        <v>396</v>
      </c>
      <c r="H113" s="801" t="s">
        <v>401</v>
      </c>
      <c r="I113" s="801" t="s">
        <v>402</v>
      </c>
      <c r="J113" s="801" t="s">
        <v>403</v>
      </c>
      <c r="K113" s="801" t="s">
        <v>404</v>
      </c>
      <c r="L113" s="801" t="s">
        <v>405</v>
      </c>
      <c r="M113" s="801" t="s">
        <v>406</v>
      </c>
      <c r="N113" s="801" t="s">
        <v>407</v>
      </c>
      <c r="O113" s="801" t="s">
        <v>1313</v>
      </c>
      <c r="P113" s="801" t="s">
        <v>287</v>
      </c>
    </row>
    <row r="114" spans="3:16">
      <c r="C114" s="802"/>
      <c r="D114" s="802"/>
      <c r="E114" s="802"/>
      <c r="F114" s="802"/>
      <c r="G114" s="802"/>
      <c r="H114" s="801" t="s">
        <v>408</v>
      </c>
      <c r="I114" s="801" t="s">
        <v>409</v>
      </c>
      <c r="J114" s="802"/>
      <c r="K114" s="802"/>
      <c r="L114" s="802"/>
      <c r="M114" s="802"/>
      <c r="N114" s="802"/>
      <c r="O114" s="802"/>
      <c r="P114" s="802"/>
    </row>
    <row r="115" spans="3:16" ht="15.75" thickBot="1">
      <c r="C115" s="803"/>
      <c r="D115" s="803"/>
      <c r="E115" s="803"/>
      <c r="F115" s="803"/>
      <c r="G115" s="803"/>
      <c r="H115" s="803"/>
      <c r="I115" s="803"/>
      <c r="J115" s="803"/>
      <c r="K115" s="803"/>
      <c r="L115" s="803"/>
      <c r="M115" s="803"/>
      <c r="N115" s="803"/>
      <c r="O115" s="803"/>
      <c r="P115" s="803"/>
    </row>
    <row r="116" spans="3:16" ht="15.75" thickTop="1">
      <c r="C116" s="804"/>
      <c r="D116" s="805"/>
      <c r="E116" s="805"/>
      <c r="F116" s="805"/>
      <c r="G116" s="805"/>
      <c r="H116" s="805"/>
      <c r="I116" s="805"/>
      <c r="J116" s="805"/>
      <c r="K116" s="805"/>
      <c r="L116" s="805"/>
      <c r="M116" s="805"/>
      <c r="N116" s="805"/>
      <c r="O116" s="805"/>
      <c r="P116" s="805"/>
    </row>
    <row r="117" spans="3:16" hidden="1">
      <c r="C117" s="806">
        <v>2012</v>
      </c>
      <c r="D117" s="807"/>
      <c r="E117" s="807"/>
      <c r="F117" s="807"/>
      <c r="G117" s="807"/>
      <c r="H117" s="807"/>
      <c r="I117" s="807"/>
      <c r="J117" s="807"/>
      <c r="K117" s="807"/>
      <c r="L117" s="807"/>
      <c r="M117" s="807"/>
      <c r="N117" s="807"/>
      <c r="O117" s="807"/>
      <c r="P117" s="807"/>
    </row>
    <row r="118" spans="3:16" hidden="1">
      <c r="C118" s="802"/>
      <c r="D118" s="807"/>
      <c r="E118" s="807"/>
      <c r="F118" s="807"/>
      <c r="G118" s="807"/>
      <c r="H118" s="807"/>
      <c r="I118" s="807"/>
      <c r="J118" s="807"/>
      <c r="K118" s="807"/>
      <c r="L118" s="807"/>
      <c r="M118" s="807"/>
      <c r="N118" s="807"/>
      <c r="O118" s="807"/>
      <c r="P118" s="807"/>
    </row>
    <row r="119" spans="3:16" hidden="1">
      <c r="C119" s="802" t="s">
        <v>303</v>
      </c>
      <c r="D119" s="808">
        <v>84589.8</v>
      </c>
      <c r="E119" s="808">
        <v>51354</v>
      </c>
      <c r="F119" s="808">
        <v>132428.70000000001</v>
      </c>
      <c r="G119" s="808">
        <v>351179.8</v>
      </c>
      <c r="H119" s="808">
        <v>98785.600000000006</v>
      </c>
      <c r="I119" s="808">
        <v>375613.6</v>
      </c>
      <c r="J119" s="808">
        <v>214696.7</v>
      </c>
      <c r="K119" s="808">
        <v>76370.100000000006</v>
      </c>
      <c r="L119" s="808">
        <v>727955.7</v>
      </c>
      <c r="M119" s="808">
        <v>36208.400000000001</v>
      </c>
      <c r="N119" s="808">
        <v>456454.40000000002</v>
      </c>
      <c r="O119" s="808">
        <v>18727.599999999999</v>
      </c>
      <c r="P119" s="808">
        <v>2624364.4</v>
      </c>
    </row>
    <row r="120" spans="3:16" hidden="1">
      <c r="C120" s="802" t="s">
        <v>304</v>
      </c>
      <c r="D120" s="808">
        <v>106470.8</v>
      </c>
      <c r="E120" s="808">
        <v>47401</v>
      </c>
      <c r="F120" s="808">
        <v>131489</v>
      </c>
      <c r="G120" s="808">
        <v>345036.3</v>
      </c>
      <c r="H120" s="808" t="s">
        <v>1220</v>
      </c>
      <c r="I120" s="808">
        <v>397969.7</v>
      </c>
      <c r="J120" s="808">
        <v>213370.5</v>
      </c>
      <c r="K120" s="808">
        <v>89915.4</v>
      </c>
      <c r="L120" s="808">
        <v>726447.6</v>
      </c>
      <c r="M120" s="808">
        <v>46000.4</v>
      </c>
      <c r="N120" s="808">
        <v>505054.1</v>
      </c>
      <c r="O120" s="808">
        <v>29735.3</v>
      </c>
      <c r="P120" s="808">
        <v>2709378</v>
      </c>
    </row>
    <row r="121" spans="3:16" hidden="1">
      <c r="C121" s="802" t="s">
        <v>305</v>
      </c>
      <c r="D121" s="808">
        <v>99151.6</v>
      </c>
      <c r="E121" s="808">
        <v>49226.400000000001</v>
      </c>
      <c r="F121" s="808">
        <v>116820.6</v>
      </c>
      <c r="G121" s="808">
        <v>363080.1</v>
      </c>
      <c r="H121" s="808">
        <v>382619.4</v>
      </c>
      <c r="I121" s="808">
        <v>71775.899999999994</v>
      </c>
      <c r="J121" s="808">
        <v>216433</v>
      </c>
      <c r="K121" s="808">
        <v>73978.5</v>
      </c>
      <c r="L121" s="808">
        <v>737065.6</v>
      </c>
      <c r="M121" s="808">
        <v>48183.8</v>
      </c>
      <c r="N121" s="808">
        <v>488183.8</v>
      </c>
      <c r="O121" s="808">
        <v>28785.3</v>
      </c>
      <c r="P121" s="808">
        <v>2663379.7999999998</v>
      </c>
    </row>
    <row r="122" spans="3:16" hidden="1">
      <c r="C122" s="802" t="s">
        <v>306</v>
      </c>
      <c r="D122" s="808">
        <v>113907.6</v>
      </c>
      <c r="E122" s="808">
        <v>43671</v>
      </c>
      <c r="F122" s="808">
        <v>125801.3</v>
      </c>
      <c r="G122" s="808">
        <v>276363</v>
      </c>
      <c r="H122" s="808">
        <v>177790.6</v>
      </c>
      <c r="I122" s="808">
        <v>429596.7</v>
      </c>
      <c r="J122" s="808">
        <v>228342.2</v>
      </c>
      <c r="K122" s="808">
        <v>82777.7</v>
      </c>
      <c r="L122" s="808">
        <v>651389.19999999995</v>
      </c>
      <c r="M122" s="808">
        <v>48764.9</v>
      </c>
      <c r="N122" s="808">
        <v>517788.8</v>
      </c>
      <c r="O122" s="808">
        <v>29019.9</v>
      </c>
      <c r="P122" s="808">
        <v>2725213</v>
      </c>
    </row>
    <row r="123" spans="3:16" hidden="1">
      <c r="C123" s="802" t="s">
        <v>307</v>
      </c>
      <c r="D123" s="808">
        <v>101122.4</v>
      </c>
      <c r="E123" s="808">
        <v>48716.9</v>
      </c>
      <c r="F123" s="808">
        <v>155798.29999999999</v>
      </c>
      <c r="G123" s="808">
        <v>313982.40000000002</v>
      </c>
      <c r="H123" s="808">
        <v>257300.6</v>
      </c>
      <c r="I123" s="808">
        <v>409730</v>
      </c>
      <c r="J123" s="808">
        <v>245131.8</v>
      </c>
      <c r="K123" s="808">
        <v>83995.5</v>
      </c>
      <c r="L123" s="808">
        <v>661217.19999999995</v>
      </c>
      <c r="M123" s="808">
        <v>48396.800000000003</v>
      </c>
      <c r="N123" s="808">
        <v>534643.6</v>
      </c>
      <c r="O123" s="808">
        <v>26158</v>
      </c>
      <c r="P123" s="808">
        <v>2886193.5</v>
      </c>
    </row>
    <row r="124" spans="3:16" hidden="1">
      <c r="C124" s="802" t="s">
        <v>308</v>
      </c>
      <c r="D124" s="808">
        <v>104695.1</v>
      </c>
      <c r="E124" s="808">
        <v>53233.8</v>
      </c>
      <c r="F124" s="808">
        <v>151359.5</v>
      </c>
      <c r="G124" s="808">
        <v>348390.40000000002</v>
      </c>
      <c r="H124" s="808">
        <v>185802.5</v>
      </c>
      <c r="I124" s="808">
        <v>464782.4</v>
      </c>
      <c r="J124" s="808">
        <v>269513.8</v>
      </c>
      <c r="K124" s="808">
        <v>85906.9</v>
      </c>
      <c r="L124" s="808">
        <v>962840.9</v>
      </c>
      <c r="M124" s="808">
        <v>47647.199999999997</v>
      </c>
      <c r="N124" s="808">
        <v>548847.69999999995</v>
      </c>
      <c r="O124" s="808">
        <v>23130.6</v>
      </c>
      <c r="P124" s="808">
        <v>3246150.7</v>
      </c>
    </row>
    <row r="125" spans="3:16" hidden="1">
      <c r="C125" s="802" t="s">
        <v>311</v>
      </c>
      <c r="D125" s="808">
        <v>96098.4</v>
      </c>
      <c r="E125" s="808">
        <v>50492.7</v>
      </c>
      <c r="F125" s="808">
        <v>126343.5</v>
      </c>
      <c r="G125" s="808">
        <v>379068</v>
      </c>
      <c r="H125" s="808">
        <v>198323.3</v>
      </c>
      <c r="I125" s="808">
        <v>509241.59999999998</v>
      </c>
      <c r="J125" s="808">
        <v>280975.40000000002</v>
      </c>
      <c r="K125" s="808">
        <v>95457.1</v>
      </c>
      <c r="L125" s="808">
        <v>582286.19999999995</v>
      </c>
      <c r="M125" s="808">
        <v>41852.199999999997</v>
      </c>
      <c r="N125" s="808">
        <v>538135.19999999995</v>
      </c>
      <c r="O125" s="808">
        <v>26491.3</v>
      </c>
      <c r="P125" s="808">
        <v>2924764.8</v>
      </c>
    </row>
    <row r="126" spans="3:16" hidden="1">
      <c r="C126" s="802"/>
      <c r="D126" s="808"/>
      <c r="E126" s="808"/>
      <c r="F126" s="808"/>
      <c r="G126" s="808"/>
      <c r="H126" s="808"/>
      <c r="I126" s="808"/>
      <c r="J126" s="808"/>
      <c r="K126" s="808"/>
      <c r="L126" s="808"/>
      <c r="M126" s="808"/>
      <c r="N126" s="808"/>
      <c r="O126" s="808"/>
      <c r="P126" s="808"/>
    </row>
    <row r="127" spans="3:16">
      <c r="C127" s="806">
        <v>2013</v>
      </c>
      <c r="D127" s="808"/>
      <c r="E127" s="808"/>
      <c r="F127" s="808"/>
      <c r="G127" s="808"/>
      <c r="H127" s="808"/>
      <c r="I127" s="808"/>
      <c r="J127" s="808"/>
      <c r="K127" s="808"/>
      <c r="L127" s="808"/>
      <c r="M127" s="808"/>
      <c r="N127" s="808"/>
      <c r="O127" s="808"/>
      <c r="P127" s="808"/>
    </row>
    <row r="128" spans="3:16">
      <c r="C128" s="802"/>
      <c r="D128" s="808"/>
      <c r="E128" s="808"/>
      <c r="F128" s="808"/>
      <c r="G128" s="808"/>
      <c r="H128" s="808"/>
      <c r="I128" s="808"/>
      <c r="J128" s="808"/>
      <c r="K128" s="808"/>
      <c r="L128" s="808"/>
      <c r="M128" s="808"/>
      <c r="N128" s="808"/>
      <c r="O128" s="808"/>
      <c r="P128" s="808"/>
    </row>
    <row r="129" spans="3:16">
      <c r="C129" s="802" t="s">
        <v>298</v>
      </c>
      <c r="D129" s="809">
        <v>91648.8</v>
      </c>
      <c r="E129" s="809">
        <v>48329.1</v>
      </c>
      <c r="F129" s="809">
        <v>128426</v>
      </c>
      <c r="G129" s="809">
        <v>351566.7</v>
      </c>
      <c r="H129" s="809">
        <v>212401.7</v>
      </c>
      <c r="I129" s="809">
        <v>494823.6</v>
      </c>
      <c r="J129" s="809">
        <v>252389.7</v>
      </c>
      <c r="K129" s="809">
        <v>93470</v>
      </c>
      <c r="L129" s="809">
        <v>658260.1</v>
      </c>
      <c r="M129" s="809">
        <v>44091.4</v>
      </c>
      <c r="N129" s="809">
        <v>512289.8</v>
      </c>
      <c r="O129" s="809">
        <v>32145.9</v>
      </c>
      <c r="P129" s="809">
        <v>2919842.6</v>
      </c>
    </row>
    <row r="130" spans="3:16">
      <c r="C130" s="810" t="s">
        <v>1311</v>
      </c>
      <c r="D130" s="809">
        <v>96796.5</v>
      </c>
      <c r="E130" s="809">
        <v>48491.5</v>
      </c>
      <c r="F130" s="809">
        <v>147571.5</v>
      </c>
      <c r="G130" s="809">
        <v>360757.9</v>
      </c>
      <c r="H130" s="809">
        <v>147995.9</v>
      </c>
      <c r="I130" s="809">
        <v>578306.4</v>
      </c>
      <c r="J130" s="809">
        <v>284603.8</v>
      </c>
      <c r="K130" s="809">
        <v>64530.5</v>
      </c>
      <c r="L130" s="809">
        <v>679554.8</v>
      </c>
      <c r="M130" s="809">
        <v>41983.6</v>
      </c>
      <c r="N130" s="809">
        <v>516431.2</v>
      </c>
      <c r="O130" s="809">
        <v>25275.3</v>
      </c>
      <c r="P130" s="809" t="s">
        <v>1277</v>
      </c>
    </row>
    <row r="131" spans="3:16">
      <c r="C131" s="802" t="s">
        <v>300</v>
      </c>
      <c r="D131" s="809">
        <v>96752.8</v>
      </c>
      <c r="E131" s="809">
        <v>44883.3</v>
      </c>
      <c r="F131" s="809">
        <v>139327.79999999999</v>
      </c>
      <c r="G131" s="809">
        <v>354627.8</v>
      </c>
      <c r="H131" s="809">
        <v>155915.20000000001</v>
      </c>
      <c r="I131" s="809">
        <v>610758.40000000002</v>
      </c>
      <c r="J131" s="809">
        <v>290072.8</v>
      </c>
      <c r="K131" s="809">
        <v>87143</v>
      </c>
      <c r="L131" s="809">
        <v>594397.69999999995</v>
      </c>
      <c r="M131" s="809">
        <v>38345.5</v>
      </c>
      <c r="N131" s="809">
        <v>523913.8</v>
      </c>
      <c r="O131" s="809">
        <v>141404.6</v>
      </c>
      <c r="P131" s="809">
        <v>3077542.7</v>
      </c>
    </row>
    <row r="132" spans="3:16">
      <c r="C132" s="802" t="s">
        <v>301</v>
      </c>
      <c r="D132" s="809">
        <v>98671</v>
      </c>
      <c r="E132" s="809">
        <v>49093.8</v>
      </c>
      <c r="F132" s="809">
        <v>152390.79999999999</v>
      </c>
      <c r="G132" s="809">
        <v>350269.2</v>
      </c>
      <c r="H132" s="809">
        <v>166578.5</v>
      </c>
      <c r="I132" s="809">
        <v>545118.19999999995</v>
      </c>
      <c r="J132" s="809">
        <v>311310.8</v>
      </c>
      <c r="K132" s="809">
        <v>105766.9</v>
      </c>
      <c r="L132" s="809">
        <v>638341.80000000005</v>
      </c>
      <c r="M132" s="809">
        <v>39837.1</v>
      </c>
      <c r="N132" s="809">
        <v>533691.30000000005</v>
      </c>
      <c r="O132" s="809">
        <v>99053.9</v>
      </c>
      <c r="P132" s="809">
        <v>3090123.4</v>
      </c>
    </row>
    <row r="133" spans="3:16">
      <c r="C133" s="802" t="s">
        <v>302</v>
      </c>
      <c r="D133" s="809">
        <v>114053.3</v>
      </c>
      <c r="E133" s="809">
        <v>55427.4</v>
      </c>
      <c r="F133" s="809">
        <v>142023.29999999999</v>
      </c>
      <c r="G133" s="809">
        <v>389384.7</v>
      </c>
      <c r="H133" s="809">
        <v>255352.1</v>
      </c>
      <c r="I133" s="809">
        <v>484429.7</v>
      </c>
      <c r="J133" s="809">
        <v>318129.40000000002</v>
      </c>
      <c r="K133" s="809">
        <v>92777.2</v>
      </c>
      <c r="L133" s="809">
        <v>700668.7</v>
      </c>
      <c r="M133" s="809">
        <v>46593.8</v>
      </c>
      <c r="N133" s="809">
        <v>578509.19999999995</v>
      </c>
      <c r="O133" s="809">
        <v>32297.7</v>
      </c>
      <c r="P133" s="809">
        <v>3209646.5</v>
      </c>
    </row>
    <row r="134" spans="3:16">
      <c r="C134" s="802" t="s">
        <v>303</v>
      </c>
      <c r="D134" s="809">
        <v>116635.2</v>
      </c>
      <c r="E134" s="809">
        <v>58578.8</v>
      </c>
      <c r="F134" s="809">
        <v>147313.79999999999</v>
      </c>
      <c r="G134" s="809">
        <v>447394.5</v>
      </c>
      <c r="H134" s="809">
        <v>183146.3</v>
      </c>
      <c r="I134" s="809">
        <v>352600.3</v>
      </c>
      <c r="J134" s="809">
        <v>366824.2</v>
      </c>
      <c r="K134" s="809">
        <v>96685.8</v>
      </c>
      <c r="L134" s="809">
        <v>701195.7</v>
      </c>
      <c r="M134" s="809">
        <v>46578.5</v>
      </c>
      <c r="N134" s="809">
        <v>597373.1</v>
      </c>
      <c r="O134" s="809">
        <v>104843.6</v>
      </c>
      <c r="P134" s="809">
        <v>3219169.8</v>
      </c>
    </row>
    <row r="135" spans="3:16">
      <c r="C135" s="802" t="s">
        <v>304</v>
      </c>
      <c r="D135" s="809">
        <v>108086.6</v>
      </c>
      <c r="E135" s="809">
        <v>46449.5</v>
      </c>
      <c r="F135" s="809">
        <v>120982.3</v>
      </c>
      <c r="G135" s="809">
        <v>380448.8</v>
      </c>
      <c r="H135" s="809">
        <v>178341.4</v>
      </c>
      <c r="I135" s="809">
        <v>677700.7</v>
      </c>
      <c r="J135" s="809">
        <v>301575.90000000002</v>
      </c>
      <c r="K135" s="809">
        <v>97583.8</v>
      </c>
      <c r="L135" s="809">
        <v>710856.1</v>
      </c>
      <c r="M135" s="809">
        <v>39395.9</v>
      </c>
      <c r="N135" s="809">
        <v>487954.4</v>
      </c>
      <c r="O135" s="809">
        <v>102531.4</v>
      </c>
      <c r="P135" s="809">
        <v>3251906.9</v>
      </c>
    </row>
    <row r="136" spans="3:16">
      <c r="C136" s="802" t="s">
        <v>305</v>
      </c>
      <c r="D136" s="809">
        <v>137107.1</v>
      </c>
      <c r="E136" s="809">
        <v>48726.1</v>
      </c>
      <c r="F136" s="809">
        <v>135788.5</v>
      </c>
      <c r="G136" s="809">
        <v>319106</v>
      </c>
      <c r="H136" s="809">
        <v>174593.9</v>
      </c>
      <c r="I136" s="809">
        <v>637190.69999999995</v>
      </c>
      <c r="J136" s="809">
        <v>333255.3</v>
      </c>
      <c r="K136" s="809">
        <v>99194.1</v>
      </c>
      <c r="L136" s="809">
        <v>639401.6</v>
      </c>
      <c r="M136" s="809">
        <v>41996.5</v>
      </c>
      <c r="N136" s="809">
        <v>417762.6</v>
      </c>
      <c r="O136" s="809">
        <v>93772.1</v>
      </c>
      <c r="P136" s="809">
        <v>3077894.4</v>
      </c>
    </row>
    <row r="137" spans="3:16">
      <c r="C137" s="802" t="s">
        <v>306</v>
      </c>
      <c r="D137" s="809">
        <v>100028.3</v>
      </c>
      <c r="E137" s="809">
        <v>57039.8</v>
      </c>
      <c r="F137" s="809">
        <v>145652.5</v>
      </c>
      <c r="G137" s="809">
        <v>380781.4</v>
      </c>
      <c r="H137" s="809">
        <v>207379.20000000001</v>
      </c>
      <c r="I137" s="809">
        <v>612131.5</v>
      </c>
      <c r="J137" s="809">
        <v>408359.1</v>
      </c>
      <c r="K137" s="809">
        <v>103872.8</v>
      </c>
      <c r="L137" s="809">
        <v>795047.6</v>
      </c>
      <c r="M137" s="809">
        <v>46982.9</v>
      </c>
      <c r="N137" s="809">
        <v>435912.4</v>
      </c>
      <c r="O137" s="809">
        <v>90265.8</v>
      </c>
      <c r="P137" s="809">
        <v>3383453.4</v>
      </c>
    </row>
    <row r="138" spans="3:16">
      <c r="C138" s="802" t="s">
        <v>307</v>
      </c>
      <c r="D138" s="809">
        <v>94346.3</v>
      </c>
      <c r="E138" s="809">
        <v>52722.400000000001</v>
      </c>
      <c r="F138" s="809">
        <v>141401.4</v>
      </c>
      <c r="G138" s="809">
        <v>338625.9</v>
      </c>
      <c r="H138" s="809">
        <v>223223.8</v>
      </c>
      <c r="I138" s="809">
        <v>754145.4</v>
      </c>
      <c r="J138" s="809">
        <v>339305.6</v>
      </c>
      <c r="K138" s="809">
        <v>99583.3</v>
      </c>
      <c r="L138" s="809">
        <v>754116.1</v>
      </c>
      <c r="M138" s="809">
        <v>41527.199999999997</v>
      </c>
      <c r="N138" s="809">
        <v>440197.9</v>
      </c>
      <c r="O138" s="809">
        <v>97771.1</v>
      </c>
      <c r="P138" s="809">
        <v>3376966.4</v>
      </c>
    </row>
    <row r="139" spans="3:16">
      <c r="C139" s="802" t="s">
        <v>308</v>
      </c>
      <c r="D139" s="809">
        <v>114178.7</v>
      </c>
      <c r="E139" s="809">
        <v>47740.9</v>
      </c>
      <c r="F139" s="809">
        <v>128399.3</v>
      </c>
      <c r="G139" s="809">
        <v>312639.2</v>
      </c>
      <c r="H139" s="809">
        <v>241628.79999999999</v>
      </c>
      <c r="I139" s="809">
        <v>741885.4</v>
      </c>
      <c r="J139" s="809">
        <v>283426</v>
      </c>
      <c r="K139" s="809">
        <v>80507.600000000006</v>
      </c>
      <c r="L139" s="809">
        <v>727492.5</v>
      </c>
      <c r="M139" s="809">
        <v>42901</v>
      </c>
      <c r="N139" s="809">
        <v>458479.9</v>
      </c>
      <c r="O139" s="809">
        <v>89292.5</v>
      </c>
      <c r="P139" s="809">
        <v>3268571.8</v>
      </c>
    </row>
    <row r="140" spans="3:16">
      <c r="C140" s="802" t="s">
        <v>311</v>
      </c>
      <c r="D140" s="809">
        <v>113914.2</v>
      </c>
      <c r="E140" s="809">
        <v>51981.7</v>
      </c>
      <c r="F140" s="809">
        <v>142938.1</v>
      </c>
      <c r="G140" s="809">
        <v>342785.1</v>
      </c>
      <c r="H140" s="809">
        <v>213125.2</v>
      </c>
      <c r="I140" s="809">
        <v>755299.4</v>
      </c>
      <c r="J140" s="809">
        <v>327658.09999999998</v>
      </c>
      <c r="K140" s="809">
        <v>83103.100000000006</v>
      </c>
      <c r="L140" s="809">
        <v>762884.4</v>
      </c>
      <c r="M140" s="809">
        <v>41827.9</v>
      </c>
      <c r="N140" s="809">
        <v>432436.3</v>
      </c>
      <c r="O140" s="809">
        <v>61038.7</v>
      </c>
      <c r="P140" s="809">
        <v>3328992.1</v>
      </c>
    </row>
    <row r="141" spans="3:16">
      <c r="C141" s="802"/>
      <c r="D141" s="809"/>
      <c r="E141" s="809"/>
      <c r="F141" s="809"/>
      <c r="G141" s="809"/>
      <c r="H141" s="809"/>
      <c r="I141" s="809"/>
      <c r="J141" s="809"/>
      <c r="K141" s="809"/>
      <c r="L141" s="809"/>
      <c r="M141" s="809"/>
      <c r="N141" s="809"/>
      <c r="O141" s="809"/>
      <c r="P141" s="809"/>
    </row>
    <row r="142" spans="3:16">
      <c r="C142" s="806">
        <v>2014</v>
      </c>
      <c r="D142" s="809"/>
      <c r="E142" s="809"/>
      <c r="F142" s="809"/>
      <c r="G142" s="809"/>
      <c r="H142" s="809"/>
      <c r="I142" s="809"/>
      <c r="J142" s="809"/>
      <c r="K142" s="809"/>
      <c r="L142" s="809"/>
      <c r="M142" s="809"/>
      <c r="N142" s="809"/>
      <c r="O142" s="809"/>
      <c r="P142" s="809"/>
    </row>
    <row r="143" spans="3:16">
      <c r="C143" s="802"/>
      <c r="D143" s="809"/>
      <c r="E143" s="809"/>
      <c r="F143" s="809"/>
      <c r="G143" s="809"/>
      <c r="H143" s="809"/>
      <c r="I143" s="809"/>
      <c r="J143" s="809"/>
      <c r="K143" s="809"/>
      <c r="L143" s="809"/>
      <c r="M143" s="809"/>
      <c r="N143" s="809"/>
      <c r="O143" s="809"/>
      <c r="P143" s="809"/>
    </row>
    <row r="144" spans="3:16">
      <c r="C144" s="802" t="s">
        <v>298</v>
      </c>
      <c r="D144" s="809">
        <v>130154.6</v>
      </c>
      <c r="E144" s="809">
        <v>53292.9</v>
      </c>
      <c r="F144" s="809">
        <v>146876.1</v>
      </c>
      <c r="G144" s="809">
        <v>353793.8</v>
      </c>
      <c r="H144" s="809">
        <v>259569.6</v>
      </c>
      <c r="I144" s="809">
        <v>731703.3</v>
      </c>
      <c r="J144" s="809">
        <v>304033.2</v>
      </c>
      <c r="K144" s="809">
        <v>93776.7</v>
      </c>
      <c r="L144" s="809">
        <v>770435.4</v>
      </c>
      <c r="M144" s="809">
        <v>40085.9</v>
      </c>
      <c r="N144" s="809">
        <v>485573.1</v>
      </c>
      <c r="O144" s="809">
        <v>60897.7</v>
      </c>
      <c r="P144" s="809">
        <v>3430192.5</v>
      </c>
    </row>
    <row r="145" spans="3:16">
      <c r="C145" s="810" t="s">
        <v>1311</v>
      </c>
      <c r="D145" s="809">
        <v>138812.29999999999</v>
      </c>
      <c r="E145" s="809">
        <v>55092.2</v>
      </c>
      <c r="F145" s="809">
        <v>134813.9</v>
      </c>
      <c r="G145" s="809">
        <v>420181</v>
      </c>
      <c r="H145" s="809">
        <v>262183.8</v>
      </c>
      <c r="I145" s="809">
        <v>786295.6</v>
      </c>
      <c r="J145" s="809">
        <v>270062.5</v>
      </c>
      <c r="K145" s="809">
        <v>131134.79999999999</v>
      </c>
      <c r="L145" s="809">
        <v>779640.3</v>
      </c>
      <c r="M145" s="809">
        <v>39169.199999999997</v>
      </c>
      <c r="N145" s="809">
        <v>508813.7</v>
      </c>
      <c r="O145" s="809">
        <v>61822.3</v>
      </c>
      <c r="P145" s="809">
        <v>3588021.6</v>
      </c>
    </row>
    <row r="146" spans="3:16">
      <c r="C146" s="802" t="s">
        <v>300</v>
      </c>
      <c r="D146" s="809">
        <v>118239.1</v>
      </c>
      <c r="E146" s="809">
        <v>55167.5</v>
      </c>
      <c r="F146" s="809">
        <v>135807.9</v>
      </c>
      <c r="G146" s="809">
        <v>382675.5</v>
      </c>
      <c r="H146" s="809">
        <v>216025.3</v>
      </c>
      <c r="I146" s="809">
        <v>791776</v>
      </c>
      <c r="J146" s="809">
        <v>275549.09999999998</v>
      </c>
      <c r="K146" s="809">
        <v>103298.7</v>
      </c>
      <c r="L146" s="809">
        <v>806185.9</v>
      </c>
      <c r="M146" s="809">
        <v>42432.800000000003</v>
      </c>
      <c r="N146" s="809">
        <v>521381.5</v>
      </c>
      <c r="O146" s="809">
        <v>72990.899999999994</v>
      </c>
      <c r="P146" s="809">
        <v>3521530.3</v>
      </c>
    </row>
    <row r="147" spans="3:16">
      <c r="C147" s="802" t="s">
        <v>301</v>
      </c>
      <c r="D147" s="809">
        <v>164347.5</v>
      </c>
      <c r="E147" s="809">
        <v>59289.3</v>
      </c>
      <c r="F147" s="809">
        <v>102323.7</v>
      </c>
      <c r="G147" s="809">
        <v>408823.5</v>
      </c>
      <c r="H147" s="809">
        <v>325559.7</v>
      </c>
      <c r="I147" s="809">
        <v>780207</v>
      </c>
      <c r="J147" s="809">
        <v>325659.8</v>
      </c>
      <c r="K147" s="809">
        <v>135187.4</v>
      </c>
      <c r="L147" s="809">
        <v>888876.2</v>
      </c>
      <c r="M147" s="809">
        <v>43746.5</v>
      </c>
      <c r="N147" s="809">
        <v>582848.80000000005</v>
      </c>
      <c r="O147" s="809">
        <v>82009.8</v>
      </c>
      <c r="P147" s="809">
        <v>3898879.1</v>
      </c>
    </row>
    <row r="148" spans="3:16">
      <c r="C148" s="802" t="s">
        <v>302</v>
      </c>
      <c r="D148" s="809">
        <v>149474.1</v>
      </c>
      <c r="E148" s="809">
        <v>60669.4</v>
      </c>
      <c r="F148" s="809">
        <v>108977.60000000001</v>
      </c>
      <c r="G148" s="809">
        <v>355802.3</v>
      </c>
      <c r="H148" s="809">
        <v>332850.8</v>
      </c>
      <c r="I148" s="809">
        <v>800256.8</v>
      </c>
      <c r="J148" s="809">
        <v>303599.40000000002</v>
      </c>
      <c r="K148" s="809">
        <v>132132.79999999999</v>
      </c>
      <c r="L148" s="809">
        <v>1027552.7</v>
      </c>
      <c r="M148" s="809">
        <v>38921</v>
      </c>
      <c r="N148" s="809">
        <v>581930.19999999995</v>
      </c>
      <c r="O148" s="809">
        <v>93334.9</v>
      </c>
      <c r="P148" s="809">
        <v>3985501.8</v>
      </c>
    </row>
    <row r="149" spans="3:16">
      <c r="C149" s="802" t="s">
        <v>303</v>
      </c>
      <c r="D149" s="809">
        <v>194685.1</v>
      </c>
      <c r="E149" s="809">
        <v>64188.9</v>
      </c>
      <c r="F149" s="809">
        <v>95595.6</v>
      </c>
      <c r="G149" s="809">
        <v>470267.7</v>
      </c>
      <c r="H149" s="809">
        <v>291594.59999999998</v>
      </c>
      <c r="I149" s="809">
        <v>812999.7</v>
      </c>
      <c r="J149" s="809">
        <v>348303.5</v>
      </c>
      <c r="K149" s="809">
        <v>130453.4</v>
      </c>
      <c r="L149" s="809">
        <v>895698</v>
      </c>
      <c r="M149" s="809">
        <v>44735.5</v>
      </c>
      <c r="N149" s="809">
        <v>575149.1</v>
      </c>
      <c r="O149" s="809">
        <v>91392.4</v>
      </c>
      <c r="P149" s="809">
        <v>4015063.5</v>
      </c>
    </row>
    <row r="150" spans="3:16">
      <c r="C150" s="802" t="s">
        <v>304</v>
      </c>
      <c r="D150" s="809">
        <v>163335.6</v>
      </c>
      <c r="E150" s="809">
        <v>56812</v>
      </c>
      <c r="F150" s="809">
        <v>87587.5</v>
      </c>
      <c r="G150" s="809">
        <v>370121.7</v>
      </c>
      <c r="H150" s="809">
        <v>303367.3</v>
      </c>
      <c r="I150" s="809">
        <v>830988.6</v>
      </c>
      <c r="J150" s="809">
        <v>334436.8</v>
      </c>
      <c r="K150" s="809">
        <v>112985</v>
      </c>
      <c r="L150" s="809">
        <v>880761.1</v>
      </c>
      <c r="M150" s="809">
        <v>44675.4</v>
      </c>
      <c r="N150" s="809">
        <v>587756.69999999995</v>
      </c>
      <c r="O150" s="809">
        <v>94841.5</v>
      </c>
      <c r="P150" s="809">
        <v>3867669.2</v>
      </c>
    </row>
    <row r="151" spans="3:16">
      <c r="C151" s="802" t="s">
        <v>305</v>
      </c>
      <c r="D151" s="809">
        <v>128794.1</v>
      </c>
      <c r="E151" s="809">
        <v>38934.1</v>
      </c>
      <c r="F151" s="809">
        <v>90012.5</v>
      </c>
      <c r="G151" s="809">
        <v>271204.3</v>
      </c>
      <c r="H151" s="809">
        <v>270009.90000000002</v>
      </c>
      <c r="I151" s="809">
        <v>755141.6</v>
      </c>
      <c r="J151" s="809">
        <v>236267.5</v>
      </c>
      <c r="K151" s="809">
        <v>130548.6</v>
      </c>
      <c r="L151" s="809">
        <v>865566.6</v>
      </c>
      <c r="M151" s="809">
        <v>31180.400000000001</v>
      </c>
      <c r="N151" s="809">
        <v>467724.2</v>
      </c>
      <c r="O151" s="809">
        <v>89582.399999999994</v>
      </c>
      <c r="P151" s="809">
        <v>3374966.2</v>
      </c>
    </row>
    <row r="152" spans="3:16">
      <c r="C152" s="802" t="s">
        <v>306</v>
      </c>
      <c r="D152" s="801"/>
      <c r="E152" s="801"/>
      <c r="F152" s="801"/>
      <c r="G152" s="801"/>
      <c r="H152" s="801"/>
      <c r="I152" s="801"/>
      <c r="J152" s="801"/>
      <c r="K152" s="801"/>
      <c r="L152" s="801"/>
      <c r="M152" s="801"/>
      <c r="N152" s="801"/>
      <c r="O152" s="801"/>
      <c r="P152" s="801"/>
    </row>
    <row r="153" spans="3:16" ht="15.75" thickBot="1">
      <c r="C153" s="811"/>
      <c r="D153" s="812"/>
      <c r="E153" s="812"/>
      <c r="F153" s="812"/>
      <c r="G153" s="812"/>
      <c r="H153" s="812"/>
      <c r="I153" s="812"/>
      <c r="J153" s="812"/>
      <c r="K153" s="812"/>
      <c r="L153" s="812"/>
      <c r="M153" s="812"/>
      <c r="N153" s="812"/>
      <c r="O153" s="812"/>
      <c r="P153" s="812"/>
    </row>
    <row r="154" spans="3:16" ht="15.75" thickTop="1"/>
  </sheetData>
  <customSheetViews>
    <customSheetView guid="{705E0D18-9A83-42CA-8732-90923BE2EC7D}" showPageBreaks="1" printArea="1" hiddenRows="1" state="hidden">
      <selection activeCell="J129" sqref="J129"/>
      <pageMargins left="0.41" right="0.14000000000000001" top="0.43" bottom="0.45" header="0.5" footer="0.5"/>
      <pageSetup scale="42" orientation="landscape" horizontalDpi="300" verticalDpi="300" r:id="rId1"/>
      <headerFooter alignWithMargins="0"/>
    </customSheetView>
    <customSheetView guid="{D45E5F9E-4EA6-40A2-8A1D-3AC67FB8CE54}" showPageBreaks="1" printArea="1" hiddenRows="1" state="hidden">
      <selection activeCell="J129" sqref="J129"/>
      <pageMargins left="0.41" right="0.14000000000000001" top="0.43" bottom="0.45" header="0.5" footer="0.5"/>
      <pageSetup scale="42" orientation="landscape" horizontalDpi="300" verticalDpi="300" r:id="rId2"/>
      <headerFooter alignWithMargins="0"/>
    </customSheetView>
    <customSheetView guid="{098C004C-808F-436E-8F18-182F927479D1}" showPageBreaks="1" printArea="1" hiddenRows="1" state="hidden">
      <selection activeCell="J129" sqref="J129"/>
      <pageMargins left="0.41" right="0.14000000000000001" top="0.43" bottom="0.45" header="0.5" footer="0.5"/>
      <pageSetup scale="42" orientation="landscape" horizontalDpi="300" verticalDpi="300" r:id="rId3"/>
      <headerFooter alignWithMargins="0"/>
    </customSheetView>
    <customSheetView guid="{89CA84C2-78F5-4B05-8F1D-B7C5F97BCB4E}" showPageBreaks="1" printArea="1" hiddenRows="1" state="hidden">
      <selection activeCell="J129" sqref="J129"/>
      <pageMargins left="0.41" right="0.14000000000000001" top="0.43" bottom="0.45" header="0.5" footer="0.5"/>
      <pageSetup scale="42" orientation="landscape" horizontalDpi="300" verticalDpi="300" r:id="rId4"/>
      <headerFooter alignWithMargins="0"/>
    </customSheetView>
  </customSheetViews>
  <mergeCells count="4">
    <mergeCell ref="C4:N4"/>
    <mergeCell ref="C6:N6"/>
    <mergeCell ref="C108:P108"/>
    <mergeCell ref="C110:N110"/>
  </mergeCells>
  <phoneticPr fontId="52" type="noConversion"/>
  <pageMargins left="0.41" right="0.14000000000000001" top="0.43" bottom="0.45" header="0.5" footer="0.5"/>
  <pageSetup scale="42" orientation="landscape" horizontalDpi="300" verticalDpi="300" r:id="rId5"/>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B3:P115"/>
  <sheetViews>
    <sheetView topLeftCell="A3" workbookViewId="0">
      <pane xSplit="2" ySplit="8" topLeftCell="C11" activePane="bottomRight" state="frozen"/>
      <selection activeCell="A3" sqref="A3"/>
      <selection pane="topRight" activeCell="C3" sqref="C3"/>
      <selection pane="bottomLeft" activeCell="A11" sqref="A11"/>
      <selection pane="bottomRight" activeCell="B4" sqref="B1:C1048576"/>
    </sheetView>
  </sheetViews>
  <sheetFormatPr defaultColWidth="17.21875" defaultRowHeight="15"/>
  <cols>
    <col min="1" max="2" width="17.21875" style="813"/>
    <col min="3" max="5" width="17.21875" style="813" customWidth="1"/>
    <col min="6" max="6" width="17.21875" style="813"/>
    <col min="7" max="7" width="17.21875" style="813" customWidth="1"/>
    <col min="8" max="8" width="17.21875" style="813"/>
    <col min="9" max="10" width="17.21875" style="813" customWidth="1"/>
    <col min="11" max="11" width="17.21875" style="813"/>
    <col min="12" max="12" width="17.21875" style="813" customWidth="1"/>
    <col min="13" max="13" width="17.21875" style="813"/>
    <col min="14" max="15" width="17.21875" style="813" customWidth="1"/>
    <col min="16" max="16384" width="17.21875" style="813"/>
  </cols>
  <sheetData>
    <row r="3" spans="2:15">
      <c r="B3" s="1897" t="s">
        <v>1105</v>
      </c>
      <c r="C3" s="1897"/>
      <c r="D3" s="1897"/>
      <c r="E3" s="1897"/>
      <c r="F3" s="1897"/>
      <c r="G3" s="1897"/>
      <c r="H3" s="1897"/>
      <c r="I3" s="1897"/>
      <c r="J3" s="1897"/>
      <c r="K3" s="1897"/>
      <c r="L3" s="1897"/>
      <c r="M3" s="1897"/>
      <c r="N3" s="1897"/>
      <c r="O3" s="1897"/>
    </row>
    <row r="4" spans="2:15">
      <c r="B4" s="814"/>
      <c r="C4" s="815"/>
      <c r="D4" s="815"/>
      <c r="E4" s="815"/>
      <c r="F4" s="816"/>
      <c r="G4" s="816"/>
      <c r="H4" s="816"/>
      <c r="I4" s="816"/>
      <c r="J4" s="816"/>
      <c r="K4" s="816"/>
      <c r="L4" s="816"/>
      <c r="M4" s="816"/>
      <c r="N4" s="815"/>
      <c r="O4" s="815"/>
    </row>
    <row r="5" spans="2:15">
      <c r="B5" s="1898" t="s">
        <v>2</v>
      </c>
      <c r="C5" s="1898"/>
      <c r="D5" s="1898"/>
      <c r="E5" s="1898"/>
      <c r="F5" s="1898"/>
      <c r="G5" s="1898"/>
      <c r="H5" s="1898"/>
      <c r="I5" s="1898"/>
      <c r="J5" s="1898"/>
      <c r="K5" s="1898"/>
      <c r="L5" s="1898"/>
      <c r="M5" s="1898"/>
      <c r="N5" s="815"/>
      <c r="O5" s="815"/>
    </row>
    <row r="6" spans="2:15" ht="15.75" thickBot="1">
      <c r="B6" s="817"/>
      <c r="C6" s="816"/>
      <c r="D6" s="816"/>
      <c r="E6" s="816"/>
      <c r="F6" s="816"/>
      <c r="G6" s="816"/>
      <c r="H6" s="816"/>
      <c r="I6" s="816"/>
      <c r="J6" s="816"/>
      <c r="K6" s="816"/>
      <c r="L6" s="816"/>
      <c r="M6" s="816"/>
      <c r="N6" s="816"/>
      <c r="O6" s="816"/>
    </row>
    <row r="7" spans="2:15" ht="15.75" thickTop="1">
      <c r="B7" s="818"/>
      <c r="C7" s="819"/>
      <c r="D7" s="819"/>
      <c r="E7" s="819"/>
      <c r="F7" s="819"/>
      <c r="G7" s="819"/>
      <c r="H7" s="819"/>
      <c r="I7" s="819"/>
      <c r="J7" s="819"/>
      <c r="K7" s="819"/>
      <c r="L7" s="819"/>
      <c r="M7" s="819"/>
      <c r="N7" s="819"/>
      <c r="O7" s="820"/>
    </row>
    <row r="8" spans="2:15">
      <c r="B8" s="821" t="s">
        <v>263</v>
      </c>
      <c r="C8" s="822" t="s">
        <v>392</v>
      </c>
      <c r="D8" s="822" t="s">
        <v>393</v>
      </c>
      <c r="E8" s="822" t="s">
        <v>772</v>
      </c>
      <c r="F8" s="822" t="s">
        <v>396</v>
      </c>
      <c r="G8" s="822" t="s">
        <v>401</v>
      </c>
      <c r="H8" s="822" t="s">
        <v>402</v>
      </c>
      <c r="I8" s="822" t="s">
        <v>403</v>
      </c>
      <c r="J8" s="822" t="s">
        <v>404</v>
      </c>
      <c r="K8" s="822" t="s">
        <v>405</v>
      </c>
      <c r="L8" s="822" t="s">
        <v>406</v>
      </c>
      <c r="M8" s="822" t="s">
        <v>407</v>
      </c>
      <c r="N8" s="822" t="s">
        <v>295</v>
      </c>
      <c r="O8" s="823" t="s">
        <v>287</v>
      </c>
    </row>
    <row r="9" spans="2:15">
      <c r="B9" s="824"/>
      <c r="C9" s="825"/>
      <c r="D9" s="825"/>
      <c r="E9" s="825"/>
      <c r="F9" s="825"/>
      <c r="G9" s="822" t="s">
        <v>408</v>
      </c>
      <c r="H9" s="822" t="s">
        <v>409</v>
      </c>
      <c r="I9" s="825"/>
      <c r="J9" s="825"/>
      <c r="K9" s="825"/>
      <c r="L9" s="825"/>
      <c r="M9" s="825"/>
      <c r="N9" s="825"/>
      <c r="O9" s="826"/>
    </row>
    <row r="10" spans="2:15" ht="15.75" thickBot="1">
      <c r="B10" s="827"/>
      <c r="C10" s="828"/>
      <c r="D10" s="828"/>
      <c r="E10" s="828"/>
      <c r="F10" s="828"/>
      <c r="G10" s="828"/>
      <c r="H10" s="828"/>
      <c r="I10" s="828"/>
      <c r="J10" s="828"/>
      <c r="K10" s="828"/>
      <c r="L10" s="828"/>
      <c r="M10" s="828"/>
      <c r="N10" s="828"/>
      <c r="O10" s="829"/>
    </row>
    <row r="11" spans="2:15" ht="15.75" thickTop="1">
      <c r="B11" s="830"/>
      <c r="C11" s="831"/>
      <c r="D11" s="831"/>
      <c r="E11" s="831"/>
      <c r="F11" s="831"/>
      <c r="G11" s="831"/>
      <c r="H11" s="831"/>
      <c r="I11" s="831"/>
      <c r="J11" s="831"/>
      <c r="K11" s="831"/>
      <c r="L11" s="831"/>
      <c r="M11" s="831"/>
      <c r="N11" s="831"/>
      <c r="O11" s="832"/>
    </row>
    <row r="12" spans="2:15" ht="15.75">
      <c r="B12" s="833">
        <v>2009</v>
      </c>
      <c r="C12" s="767"/>
      <c r="D12" s="767"/>
      <c r="E12" s="770"/>
      <c r="F12" s="770"/>
      <c r="G12" s="770"/>
      <c r="H12" s="770"/>
      <c r="I12" s="770"/>
      <c r="J12" s="770"/>
      <c r="K12" s="770"/>
      <c r="L12" s="770"/>
      <c r="M12" s="770"/>
      <c r="N12" s="770"/>
      <c r="O12" s="771"/>
    </row>
    <row r="13" spans="2:15" ht="15.75">
      <c r="B13" s="834"/>
      <c r="C13" s="767"/>
      <c r="D13" s="767"/>
      <c r="E13" s="770"/>
      <c r="F13" s="770"/>
      <c r="G13" s="770"/>
      <c r="H13" s="770"/>
      <c r="I13" s="770"/>
      <c r="J13" s="770"/>
      <c r="K13" s="770"/>
      <c r="L13" s="770"/>
      <c r="M13" s="770"/>
      <c r="N13" s="770"/>
      <c r="O13" s="771"/>
    </row>
    <row r="14" spans="2:15" ht="15.75">
      <c r="B14" s="834" t="s">
        <v>298</v>
      </c>
      <c r="C14" s="767">
        <v>2518.0518480000001</v>
      </c>
      <c r="D14" s="767">
        <v>1070.447678</v>
      </c>
      <c r="E14" s="770">
        <v>686.65448800000001</v>
      </c>
      <c r="F14" s="770">
        <v>6623.5338519999996</v>
      </c>
      <c r="G14" s="770">
        <v>1792.2836239999999</v>
      </c>
      <c r="H14" s="770">
        <v>6125.2962150000003</v>
      </c>
      <c r="I14" s="770">
        <v>4852.6006420000003</v>
      </c>
      <c r="J14" s="770">
        <v>1062.4414039999999</v>
      </c>
      <c r="K14" s="770">
        <v>14192.634575</v>
      </c>
      <c r="L14" s="770">
        <v>1273.3944080000001</v>
      </c>
      <c r="M14" s="770">
        <v>8875.9697639999995</v>
      </c>
      <c r="N14" s="770">
        <v>100.676946</v>
      </c>
      <c r="O14" s="771">
        <v>49173.985443999998</v>
      </c>
    </row>
    <row r="15" spans="2:15" ht="15.75">
      <c r="B15" s="834"/>
      <c r="C15" s="767"/>
      <c r="D15" s="767"/>
      <c r="E15" s="770"/>
      <c r="F15" s="770"/>
      <c r="G15" s="770"/>
      <c r="H15" s="770"/>
      <c r="I15" s="770"/>
      <c r="J15" s="770"/>
      <c r="K15" s="770"/>
      <c r="L15" s="770"/>
      <c r="M15" s="770"/>
      <c r="N15" s="770"/>
      <c r="O15" s="771"/>
    </row>
    <row r="16" spans="2:15" ht="15.75">
      <c r="B16" s="834" t="s">
        <v>299</v>
      </c>
      <c r="C16" s="835">
        <v>4759841</v>
      </c>
      <c r="D16" s="835">
        <v>2985910</v>
      </c>
      <c r="E16" s="835">
        <v>7806849</v>
      </c>
      <c r="F16" s="835">
        <v>27751104</v>
      </c>
      <c r="G16" s="835">
        <v>21157828</v>
      </c>
      <c r="H16" s="835">
        <v>10647265</v>
      </c>
      <c r="I16" s="835">
        <v>33681185</v>
      </c>
      <c r="J16" s="835">
        <v>10152437</v>
      </c>
      <c r="K16" s="835">
        <v>116088574</v>
      </c>
      <c r="L16" s="835">
        <v>18885697</v>
      </c>
      <c r="M16" s="835">
        <v>174276176</v>
      </c>
      <c r="N16" s="835">
        <v>1888</v>
      </c>
      <c r="O16" s="836">
        <f>SUM(C16:N16)</f>
        <v>428194754</v>
      </c>
    </row>
    <row r="17" spans="2:15" ht="15.75">
      <c r="B17" s="834"/>
      <c r="C17" s="835"/>
      <c r="D17" s="835"/>
      <c r="E17" s="835"/>
      <c r="F17" s="835"/>
      <c r="G17" s="835"/>
      <c r="H17" s="835"/>
      <c r="I17" s="835"/>
      <c r="J17" s="835"/>
      <c r="K17" s="835"/>
      <c r="L17" s="835"/>
      <c r="M17" s="835"/>
      <c r="N17" s="835"/>
      <c r="O17" s="836"/>
    </row>
    <row r="18" spans="2:15" ht="15.75">
      <c r="B18" s="837" t="s">
        <v>300</v>
      </c>
      <c r="C18" s="835">
        <v>11499459</v>
      </c>
      <c r="D18" s="835">
        <v>5324203</v>
      </c>
      <c r="E18" s="835">
        <v>7382936</v>
      </c>
      <c r="F18" s="835">
        <v>33303160</v>
      </c>
      <c r="G18" s="835">
        <v>9533999</v>
      </c>
      <c r="H18" s="835">
        <v>15086501</v>
      </c>
      <c r="I18" s="835">
        <v>32203522</v>
      </c>
      <c r="J18" s="835">
        <v>12925508</v>
      </c>
      <c r="K18" s="835">
        <v>118989643</v>
      </c>
      <c r="L18" s="835">
        <v>21908747</v>
      </c>
      <c r="M18" s="835">
        <v>47098362</v>
      </c>
      <c r="N18" s="835">
        <v>4370</v>
      </c>
      <c r="O18" s="836">
        <f>SUM(C18:N18)</f>
        <v>315260410</v>
      </c>
    </row>
    <row r="19" spans="2:15" ht="15.75">
      <c r="B19" s="834"/>
      <c r="C19" s="835"/>
      <c r="D19" s="835"/>
      <c r="E19" s="835"/>
      <c r="F19" s="835"/>
      <c r="G19" s="835"/>
      <c r="H19" s="835"/>
      <c r="I19" s="835"/>
      <c r="J19" s="835"/>
      <c r="K19" s="835"/>
      <c r="L19" s="835"/>
      <c r="M19" s="835"/>
      <c r="N19" s="835"/>
      <c r="O19" s="836"/>
    </row>
    <row r="20" spans="2:15" ht="15.75">
      <c r="B20" s="834" t="s">
        <v>301</v>
      </c>
      <c r="C20" s="835">
        <v>12854030</v>
      </c>
      <c r="D20" s="835">
        <v>5787465</v>
      </c>
      <c r="E20" s="835">
        <v>11579173</v>
      </c>
      <c r="F20" s="835">
        <v>47022191</v>
      </c>
      <c r="G20" s="835">
        <v>9926801</v>
      </c>
      <c r="H20" s="835">
        <v>19358374</v>
      </c>
      <c r="I20" s="835">
        <v>36253825</v>
      </c>
      <c r="J20" s="835">
        <v>12829936</v>
      </c>
      <c r="K20" s="835">
        <v>171211340</v>
      </c>
      <c r="L20" s="835">
        <v>16479605</v>
      </c>
      <c r="M20" s="835">
        <v>50151323</v>
      </c>
      <c r="N20" s="835">
        <v>1471231</v>
      </c>
      <c r="O20" s="836">
        <f>SUM(C20:N20)</f>
        <v>394925294</v>
      </c>
    </row>
    <row r="21" spans="2:15" ht="15.75">
      <c r="B21" s="834"/>
      <c r="C21" s="835"/>
      <c r="D21" s="835"/>
      <c r="E21" s="835"/>
      <c r="F21" s="835"/>
      <c r="G21" s="835"/>
      <c r="H21" s="835"/>
      <c r="I21" s="835"/>
      <c r="J21" s="835"/>
      <c r="K21" s="835"/>
      <c r="L21" s="835"/>
      <c r="M21" s="835"/>
      <c r="N21" s="835"/>
      <c r="O21" s="836"/>
    </row>
    <row r="22" spans="2:15" ht="15.75">
      <c r="B22" s="834" t="s">
        <v>302</v>
      </c>
      <c r="C22" s="835">
        <v>18771875</v>
      </c>
      <c r="D22" s="835">
        <v>8487119</v>
      </c>
      <c r="E22" s="835">
        <v>16330826</v>
      </c>
      <c r="F22" s="835">
        <v>40792442</v>
      </c>
      <c r="G22" s="835">
        <v>20654900</v>
      </c>
      <c r="H22" s="835">
        <v>20510692</v>
      </c>
      <c r="I22" s="835">
        <v>40219671</v>
      </c>
      <c r="J22" s="835">
        <v>14666473</v>
      </c>
      <c r="K22" s="835">
        <v>238556121</v>
      </c>
      <c r="L22" s="835">
        <v>14046194</v>
      </c>
      <c r="M22" s="835">
        <v>54419467</v>
      </c>
      <c r="N22" s="835">
        <v>1088468</v>
      </c>
      <c r="O22" s="836">
        <f>SUM(C22:N22)</f>
        <v>488544248</v>
      </c>
    </row>
    <row r="23" spans="2:15" ht="15.75">
      <c r="B23" s="834"/>
      <c r="C23" s="835"/>
      <c r="D23" s="835"/>
      <c r="E23" s="835"/>
      <c r="F23" s="835"/>
      <c r="G23" s="835"/>
      <c r="H23" s="835"/>
      <c r="I23" s="835"/>
      <c r="J23" s="835"/>
      <c r="K23" s="835"/>
      <c r="L23" s="835"/>
      <c r="M23" s="835"/>
      <c r="N23" s="835"/>
      <c r="O23" s="836"/>
    </row>
    <row r="24" spans="2:15" ht="15.75">
      <c r="B24" s="834" t="s">
        <v>303</v>
      </c>
      <c r="C24" s="835">
        <v>32983464</v>
      </c>
      <c r="D24" s="835">
        <v>5059256</v>
      </c>
      <c r="E24" s="835">
        <v>9706358</v>
      </c>
      <c r="F24" s="835">
        <v>30946801</v>
      </c>
      <c r="G24" s="835">
        <v>59804106</v>
      </c>
      <c r="H24" s="835">
        <v>56197694</v>
      </c>
      <c r="I24" s="835">
        <v>35169208</v>
      </c>
      <c r="J24" s="835">
        <v>17126146</v>
      </c>
      <c r="K24" s="835">
        <v>253785766</v>
      </c>
      <c r="L24" s="835">
        <v>13254615</v>
      </c>
      <c r="M24" s="835">
        <v>62507686</v>
      </c>
      <c r="N24" s="835">
        <v>1830356</v>
      </c>
      <c r="O24" s="836">
        <f>SUM(C24:N24)</f>
        <v>578371456</v>
      </c>
    </row>
    <row r="25" spans="2:15" ht="15.75">
      <c r="B25" s="834"/>
      <c r="C25" s="835"/>
      <c r="D25" s="835"/>
      <c r="E25" s="835"/>
      <c r="F25" s="835"/>
      <c r="G25" s="835"/>
      <c r="H25" s="835"/>
      <c r="I25" s="835"/>
      <c r="J25" s="835"/>
      <c r="K25" s="835"/>
      <c r="L25" s="835"/>
      <c r="M25" s="835"/>
      <c r="N25" s="835"/>
      <c r="O25" s="836"/>
    </row>
    <row r="26" spans="2:15" ht="15.75">
      <c r="B26" s="834" t="s">
        <v>304</v>
      </c>
      <c r="C26" s="835">
        <v>68550531</v>
      </c>
      <c r="D26" s="835">
        <v>2078765</v>
      </c>
      <c r="E26" s="835">
        <v>22835355</v>
      </c>
      <c r="F26" s="835">
        <v>41452416</v>
      </c>
      <c r="G26" s="835">
        <v>47158323</v>
      </c>
      <c r="H26" s="835">
        <v>61284262</v>
      </c>
      <c r="I26" s="835">
        <v>35061639</v>
      </c>
      <c r="J26" s="835">
        <v>19262315</v>
      </c>
      <c r="K26" s="835">
        <v>233687753</v>
      </c>
      <c r="L26" s="835">
        <v>12377493</v>
      </c>
      <c r="M26" s="835">
        <v>87138389</v>
      </c>
      <c r="N26" s="835">
        <v>2333197</v>
      </c>
      <c r="O26" s="836">
        <f>SUM(C26:N26)</f>
        <v>633220438</v>
      </c>
    </row>
    <row r="27" spans="2:15" ht="15.75">
      <c r="B27" s="834"/>
      <c r="C27" s="835"/>
      <c r="D27" s="835"/>
      <c r="E27" s="835"/>
      <c r="F27" s="835"/>
      <c r="G27" s="835"/>
      <c r="H27" s="835"/>
      <c r="I27" s="835"/>
      <c r="J27" s="835"/>
      <c r="K27" s="835"/>
      <c r="L27" s="835"/>
      <c r="M27" s="835"/>
      <c r="N27" s="835"/>
      <c r="O27" s="836"/>
    </row>
    <row r="28" spans="2:15" ht="15.75">
      <c r="B28" s="837" t="s">
        <v>305</v>
      </c>
      <c r="C28" s="835">
        <v>43051449.399999999</v>
      </c>
      <c r="D28" s="835">
        <v>1921019.8</v>
      </c>
      <c r="E28" s="835">
        <v>21690678.100000001</v>
      </c>
      <c r="F28" s="835">
        <v>69595988.799999997</v>
      </c>
      <c r="G28" s="835">
        <v>46626278.200000003</v>
      </c>
      <c r="H28" s="835">
        <v>59062373.700000003</v>
      </c>
      <c r="I28" s="835">
        <v>37961289.200000003</v>
      </c>
      <c r="J28" s="835">
        <v>21738851.600000001</v>
      </c>
      <c r="K28" s="835">
        <v>277626205.80000001</v>
      </c>
      <c r="L28" s="835">
        <v>9628104.6999999993</v>
      </c>
      <c r="M28" s="835">
        <v>103850203.7</v>
      </c>
      <c r="N28" s="835">
        <v>1725844.5</v>
      </c>
      <c r="O28" s="836">
        <f>SUM(C28:N28)</f>
        <v>694478287.50000012</v>
      </c>
    </row>
    <row r="29" spans="2:15" ht="15.75">
      <c r="B29" s="834"/>
      <c r="C29" s="835"/>
      <c r="D29" s="835"/>
      <c r="E29" s="835"/>
      <c r="F29" s="835"/>
      <c r="G29" s="835"/>
      <c r="H29" s="835"/>
      <c r="I29" s="835"/>
      <c r="J29" s="835"/>
      <c r="K29" s="835"/>
      <c r="L29" s="835"/>
      <c r="M29" s="835"/>
      <c r="N29" s="835"/>
      <c r="O29" s="836"/>
    </row>
    <row r="30" spans="2:15" ht="15.75">
      <c r="B30" s="834" t="s">
        <v>306</v>
      </c>
      <c r="C30" s="835">
        <v>50169629</v>
      </c>
      <c r="D30" s="835">
        <v>2897866</v>
      </c>
      <c r="E30" s="835">
        <v>25935263</v>
      </c>
      <c r="F30" s="835">
        <v>74566403</v>
      </c>
      <c r="G30" s="835">
        <v>38003053</v>
      </c>
      <c r="H30" s="835">
        <v>69346883</v>
      </c>
      <c r="I30" s="835">
        <v>61884938</v>
      </c>
      <c r="J30" s="835">
        <v>26521980</v>
      </c>
      <c r="K30" s="835">
        <v>280574722</v>
      </c>
      <c r="L30" s="835">
        <v>13466199</v>
      </c>
      <c r="M30" s="835">
        <v>117598801</v>
      </c>
      <c r="N30" s="835">
        <v>3258187</v>
      </c>
      <c r="O30" s="836">
        <f>SUM(C30:N30)</f>
        <v>764223924</v>
      </c>
    </row>
    <row r="31" spans="2:15" ht="15.75">
      <c r="B31" s="834"/>
      <c r="C31" s="835"/>
      <c r="D31" s="835"/>
      <c r="E31" s="835"/>
      <c r="F31" s="835"/>
      <c r="G31" s="835"/>
      <c r="H31" s="835"/>
      <c r="I31" s="835"/>
      <c r="J31" s="835"/>
      <c r="K31" s="835"/>
      <c r="L31" s="835"/>
      <c r="M31" s="835"/>
      <c r="N31" s="835"/>
      <c r="O31" s="836"/>
    </row>
    <row r="32" spans="2:15" ht="15.75">
      <c r="B32" s="837" t="s">
        <v>307</v>
      </c>
      <c r="C32" s="835">
        <v>55618152</v>
      </c>
      <c r="D32" s="835">
        <v>2423973</v>
      </c>
      <c r="E32" s="835">
        <v>22148142</v>
      </c>
      <c r="F32" s="835">
        <v>84659482</v>
      </c>
      <c r="G32" s="835">
        <v>32413784</v>
      </c>
      <c r="H32" s="835">
        <v>67330309</v>
      </c>
      <c r="I32" s="835">
        <v>71392906</v>
      </c>
      <c r="J32" s="835">
        <v>23246168</v>
      </c>
      <c r="K32" s="835">
        <v>270980091</v>
      </c>
      <c r="L32" s="835">
        <v>9568634</v>
      </c>
      <c r="M32" s="835">
        <v>109889487</v>
      </c>
      <c r="N32" s="835">
        <v>3844791</v>
      </c>
      <c r="O32" s="836">
        <f>SUM(C32:N32)</f>
        <v>753515919</v>
      </c>
    </row>
    <row r="33" spans="2:15" ht="15.75">
      <c r="B33" s="834"/>
      <c r="C33" s="835"/>
      <c r="D33" s="835"/>
      <c r="E33" s="835"/>
      <c r="F33" s="835"/>
      <c r="G33" s="835"/>
      <c r="H33" s="835"/>
      <c r="I33" s="835"/>
      <c r="J33" s="835"/>
      <c r="K33" s="835"/>
      <c r="L33" s="835"/>
      <c r="M33" s="835"/>
      <c r="N33" s="835"/>
      <c r="O33" s="836"/>
    </row>
    <row r="34" spans="2:15" ht="15.75">
      <c r="B34" s="837" t="s">
        <v>308</v>
      </c>
      <c r="C34" s="835">
        <v>55654297</v>
      </c>
      <c r="D34" s="835">
        <v>2431735</v>
      </c>
      <c r="E34" s="835">
        <v>22132513</v>
      </c>
      <c r="F34" s="835">
        <v>83019884</v>
      </c>
      <c r="G34" s="835">
        <v>32441187</v>
      </c>
      <c r="H34" s="835">
        <v>68033282</v>
      </c>
      <c r="I34" s="835">
        <v>71269166</v>
      </c>
      <c r="J34" s="835">
        <v>23157961</v>
      </c>
      <c r="K34" s="835">
        <v>270173059</v>
      </c>
      <c r="L34" s="835">
        <v>9622828</v>
      </c>
      <c r="M34" s="835">
        <v>110478966</v>
      </c>
      <c r="N34" s="835">
        <v>5615695</v>
      </c>
      <c r="O34" s="836">
        <f>SUM(C34:N34)</f>
        <v>754030573</v>
      </c>
    </row>
    <row r="35" spans="2:15" ht="15.75">
      <c r="B35" s="834"/>
      <c r="C35" s="835"/>
      <c r="D35" s="835"/>
      <c r="E35" s="835"/>
      <c r="F35" s="835"/>
      <c r="G35" s="835"/>
      <c r="H35" s="835"/>
      <c r="I35" s="835"/>
      <c r="J35" s="835"/>
      <c r="K35" s="835"/>
      <c r="L35" s="835"/>
      <c r="M35" s="835"/>
      <c r="N35" s="835"/>
      <c r="O35" s="836"/>
    </row>
    <row r="36" spans="2:15" ht="15.75">
      <c r="B36" s="837" t="s">
        <v>311</v>
      </c>
      <c r="C36" s="835">
        <v>61792717</v>
      </c>
      <c r="D36" s="835">
        <v>6467231</v>
      </c>
      <c r="E36" s="835">
        <v>35365843</v>
      </c>
      <c r="F36" s="835">
        <v>81470729</v>
      </c>
      <c r="G36" s="835">
        <v>45127545</v>
      </c>
      <c r="H36" s="835">
        <v>68001800</v>
      </c>
      <c r="I36" s="835">
        <v>111397926</v>
      </c>
      <c r="J36" s="835">
        <v>30218267</v>
      </c>
      <c r="K36" s="835">
        <v>480954648</v>
      </c>
      <c r="L36" s="835">
        <v>14728806</v>
      </c>
      <c r="M36" s="835">
        <v>180117529</v>
      </c>
      <c r="N36" s="835">
        <v>3415491</v>
      </c>
      <c r="O36" s="836">
        <f>SUM(C36:N36)</f>
        <v>1119058532</v>
      </c>
    </row>
    <row r="37" spans="2:15" ht="15.75">
      <c r="B37" s="834"/>
      <c r="C37" s="835"/>
      <c r="D37" s="835"/>
      <c r="E37" s="835"/>
      <c r="F37" s="835"/>
      <c r="G37" s="835"/>
      <c r="H37" s="835"/>
      <c r="I37" s="835"/>
      <c r="J37" s="835"/>
      <c r="K37" s="835"/>
      <c r="L37" s="835"/>
      <c r="M37" s="835"/>
      <c r="N37" s="835"/>
      <c r="O37" s="836"/>
    </row>
    <row r="38" spans="2:15" ht="15.75">
      <c r="B38" s="833">
        <v>2010</v>
      </c>
      <c r="C38" s="835"/>
      <c r="D38" s="835"/>
      <c r="E38" s="835"/>
      <c r="F38" s="835"/>
      <c r="G38" s="835"/>
      <c r="H38" s="835"/>
      <c r="I38" s="835"/>
      <c r="J38" s="835"/>
      <c r="K38" s="835"/>
      <c r="L38" s="835"/>
      <c r="M38" s="835"/>
      <c r="N38" s="835"/>
      <c r="O38" s="836"/>
    </row>
    <row r="39" spans="2:15" ht="15.75">
      <c r="B39" s="834"/>
      <c r="C39" s="835"/>
      <c r="D39" s="835"/>
      <c r="E39" s="835"/>
      <c r="F39" s="835"/>
      <c r="G39" s="835"/>
      <c r="H39" s="835"/>
      <c r="I39" s="835"/>
      <c r="J39" s="835"/>
      <c r="K39" s="835"/>
      <c r="L39" s="835"/>
      <c r="M39" s="835"/>
      <c r="N39" s="835"/>
      <c r="O39" s="836"/>
    </row>
    <row r="40" spans="2:15" ht="15.75">
      <c r="B40" s="834" t="s">
        <v>298</v>
      </c>
      <c r="C40" s="835">
        <v>52746055</v>
      </c>
      <c r="D40" s="835">
        <v>6898103</v>
      </c>
      <c r="E40" s="835">
        <v>37133870</v>
      </c>
      <c r="F40" s="835">
        <v>128348699</v>
      </c>
      <c r="G40" s="835">
        <v>41987904</v>
      </c>
      <c r="H40" s="835">
        <v>66416027</v>
      </c>
      <c r="I40" s="835">
        <v>112703090</v>
      </c>
      <c r="J40" s="835">
        <v>30726065</v>
      </c>
      <c r="K40" s="835">
        <v>437760534</v>
      </c>
      <c r="L40" s="835">
        <v>15811700</v>
      </c>
      <c r="M40" s="835">
        <v>199828026</v>
      </c>
      <c r="N40" s="835">
        <v>2852870</v>
      </c>
      <c r="O40" s="836">
        <f>SUM(C40:N40)</f>
        <v>1133212943</v>
      </c>
    </row>
    <row r="41" spans="2:15" ht="15.75">
      <c r="B41" s="834"/>
      <c r="C41" s="835"/>
      <c r="D41" s="835"/>
      <c r="E41" s="835"/>
      <c r="F41" s="835"/>
      <c r="G41" s="835"/>
      <c r="H41" s="835"/>
      <c r="I41" s="835"/>
      <c r="J41" s="835"/>
      <c r="K41" s="835"/>
      <c r="L41" s="835"/>
      <c r="M41" s="835"/>
      <c r="N41" s="835"/>
      <c r="O41" s="836"/>
    </row>
    <row r="42" spans="2:15" ht="15.75">
      <c r="B42" s="834" t="s">
        <v>299</v>
      </c>
      <c r="C42" s="835">
        <v>49366341</v>
      </c>
      <c r="D42" s="835">
        <v>7072013</v>
      </c>
      <c r="E42" s="835">
        <v>32626468</v>
      </c>
      <c r="F42" s="835">
        <v>163425492</v>
      </c>
      <c r="G42" s="835">
        <v>42355670</v>
      </c>
      <c r="H42" s="835">
        <v>77153155</v>
      </c>
      <c r="I42" s="835">
        <v>118987642</v>
      </c>
      <c r="J42" s="835">
        <v>31397966</v>
      </c>
      <c r="K42" s="835">
        <v>470582117</v>
      </c>
      <c r="L42" s="835">
        <v>16074306</v>
      </c>
      <c r="M42" s="835">
        <v>226141076</v>
      </c>
      <c r="N42" s="835">
        <v>3286705</v>
      </c>
      <c r="O42" s="836">
        <f>SUM(C42:N42)</f>
        <v>1238468951</v>
      </c>
    </row>
    <row r="43" spans="2:15" ht="15.75">
      <c r="B43" s="834"/>
      <c r="C43" s="835"/>
      <c r="D43" s="835"/>
      <c r="E43" s="835"/>
      <c r="F43" s="835"/>
      <c r="G43" s="835"/>
      <c r="H43" s="835"/>
      <c r="I43" s="835"/>
      <c r="J43" s="835"/>
      <c r="K43" s="835"/>
      <c r="L43" s="835"/>
      <c r="M43" s="835"/>
      <c r="N43" s="835"/>
      <c r="O43" s="836"/>
    </row>
    <row r="44" spans="2:15" ht="15.75">
      <c r="B44" s="837" t="s">
        <v>300</v>
      </c>
      <c r="C44" s="835">
        <v>53286966</v>
      </c>
      <c r="D44" s="835">
        <v>6934758</v>
      </c>
      <c r="E44" s="835">
        <v>39298087</v>
      </c>
      <c r="F44" s="835">
        <v>170832349</v>
      </c>
      <c r="G44" s="835">
        <v>50862305</v>
      </c>
      <c r="H44" s="835">
        <v>85479552</v>
      </c>
      <c r="I44" s="835">
        <v>134415419</v>
      </c>
      <c r="J44" s="835">
        <v>32604941</v>
      </c>
      <c r="K44" s="835">
        <v>486576788</v>
      </c>
      <c r="L44" s="835">
        <v>28015066</v>
      </c>
      <c r="M44" s="835">
        <v>239881899</v>
      </c>
      <c r="N44" s="835">
        <v>2959852</v>
      </c>
      <c r="O44" s="836">
        <f>SUM(C44:N44)</f>
        <v>1331147982</v>
      </c>
    </row>
    <row r="45" spans="2:15" ht="15.75">
      <c r="B45" s="834"/>
      <c r="C45" s="835"/>
      <c r="D45" s="835"/>
      <c r="E45" s="835"/>
      <c r="F45" s="835"/>
      <c r="G45" s="835"/>
      <c r="H45" s="835"/>
      <c r="I45" s="835"/>
      <c r="J45" s="835"/>
      <c r="K45" s="835"/>
      <c r="L45" s="835"/>
      <c r="M45" s="835"/>
      <c r="N45" s="835"/>
      <c r="O45" s="836"/>
    </row>
    <row r="46" spans="2:15" ht="15.75">
      <c r="B46" s="834" t="s">
        <v>301</v>
      </c>
      <c r="C46" s="835">
        <v>54643830</v>
      </c>
      <c r="D46" s="835">
        <v>8141874</v>
      </c>
      <c r="E46" s="835">
        <v>45988401</v>
      </c>
      <c r="F46" s="835">
        <v>156411221</v>
      </c>
      <c r="G46" s="835">
        <v>77252920</v>
      </c>
      <c r="H46" s="835">
        <v>93994397</v>
      </c>
      <c r="I46" s="835">
        <v>137844861</v>
      </c>
      <c r="J46" s="835">
        <v>35557479</v>
      </c>
      <c r="K46" s="835">
        <v>474141191</v>
      </c>
      <c r="L46" s="835">
        <v>17876327</v>
      </c>
      <c r="M46" s="835">
        <v>231378777</v>
      </c>
      <c r="N46" s="835">
        <v>3035014</v>
      </c>
      <c r="O46" s="836">
        <f>SUM(C46:N46)</f>
        <v>1336266292</v>
      </c>
    </row>
    <row r="47" spans="2:15" ht="15.75">
      <c r="B47" s="834"/>
      <c r="C47" s="835"/>
      <c r="D47" s="835"/>
      <c r="E47" s="835"/>
      <c r="F47" s="835"/>
      <c r="G47" s="835"/>
      <c r="H47" s="835"/>
      <c r="I47" s="835"/>
      <c r="J47" s="835"/>
      <c r="K47" s="835"/>
      <c r="L47" s="835"/>
      <c r="M47" s="835"/>
      <c r="N47" s="835"/>
      <c r="O47" s="836"/>
    </row>
    <row r="48" spans="2:15" ht="15.75">
      <c r="B48" s="834" t="s">
        <v>302</v>
      </c>
      <c r="C48" s="835">
        <v>51843636</v>
      </c>
      <c r="D48" s="835">
        <v>23925073</v>
      </c>
      <c r="E48" s="835">
        <v>51521671</v>
      </c>
      <c r="F48" s="835">
        <v>150250877</v>
      </c>
      <c r="G48" s="835">
        <v>58005320</v>
      </c>
      <c r="H48" s="835">
        <v>147062794</v>
      </c>
      <c r="I48" s="835">
        <v>97643142</v>
      </c>
      <c r="J48" s="835">
        <v>47341724</v>
      </c>
      <c r="K48" s="835">
        <v>497755511</v>
      </c>
      <c r="L48" s="835">
        <v>17685012</v>
      </c>
      <c r="M48" s="835">
        <v>240809995</v>
      </c>
      <c r="N48" s="835">
        <v>4517580</v>
      </c>
      <c r="O48" s="836">
        <f>SUM(C48:N48)</f>
        <v>1388362335</v>
      </c>
    </row>
    <row r="49" spans="2:15" ht="15.75">
      <c r="B49" s="838"/>
      <c r="C49" s="839"/>
      <c r="D49" s="839"/>
      <c r="E49" s="839"/>
      <c r="F49" s="839"/>
      <c r="G49" s="839"/>
      <c r="H49" s="839"/>
      <c r="I49" s="839"/>
      <c r="J49" s="839"/>
      <c r="K49" s="839"/>
      <c r="L49" s="839"/>
      <c r="M49" s="839"/>
      <c r="N49" s="839"/>
      <c r="O49" s="840"/>
    </row>
    <row r="50" spans="2:15" ht="15.75">
      <c r="B50" s="838" t="s">
        <v>303</v>
      </c>
      <c r="C50" s="841">
        <v>52974871</v>
      </c>
      <c r="D50" s="841">
        <v>8653343</v>
      </c>
      <c r="E50" s="841">
        <v>45943238</v>
      </c>
      <c r="F50" s="841">
        <v>175974695</v>
      </c>
      <c r="G50" s="841">
        <v>98823367</v>
      </c>
      <c r="H50" s="841">
        <v>139559016</v>
      </c>
      <c r="I50" s="841">
        <v>95727465</v>
      </c>
      <c r="J50" s="841">
        <v>46389830</v>
      </c>
      <c r="K50" s="841">
        <v>498416248</v>
      </c>
      <c r="L50" s="841">
        <v>16385597</v>
      </c>
      <c r="M50" s="841">
        <v>216230397</v>
      </c>
      <c r="N50" s="841">
        <v>5720126</v>
      </c>
      <c r="O50" s="836">
        <f>SUM(C50:N50)</f>
        <v>1400798193</v>
      </c>
    </row>
    <row r="51" spans="2:15" ht="15.75">
      <c r="B51" s="838"/>
      <c r="C51" s="841"/>
      <c r="D51" s="841"/>
      <c r="E51" s="841"/>
      <c r="F51" s="841"/>
      <c r="G51" s="841"/>
      <c r="H51" s="841"/>
      <c r="I51" s="841"/>
      <c r="J51" s="841"/>
      <c r="K51" s="841"/>
      <c r="L51" s="841"/>
      <c r="M51" s="841"/>
      <c r="N51" s="841"/>
      <c r="O51" s="842"/>
    </row>
    <row r="52" spans="2:15" ht="15.75">
      <c r="B52" s="838" t="s">
        <v>304</v>
      </c>
      <c r="C52" s="841">
        <v>68526601</v>
      </c>
      <c r="D52" s="841">
        <v>16038855</v>
      </c>
      <c r="E52" s="841">
        <v>51261373</v>
      </c>
      <c r="F52" s="841">
        <v>147912258</v>
      </c>
      <c r="G52" s="841">
        <v>82745726</v>
      </c>
      <c r="H52" s="841">
        <v>123693078</v>
      </c>
      <c r="I52" s="841">
        <v>87915247</v>
      </c>
      <c r="J52" s="841">
        <v>49761264</v>
      </c>
      <c r="K52" s="841">
        <v>512154974</v>
      </c>
      <c r="L52" s="841">
        <v>26288109</v>
      </c>
      <c r="M52" s="841">
        <v>245449897</v>
      </c>
      <c r="N52" s="841">
        <v>5539375</v>
      </c>
      <c r="O52" s="836">
        <f>SUM(C52:N52)</f>
        <v>1417286757</v>
      </c>
    </row>
    <row r="53" spans="2:15" ht="15.75">
      <c r="B53" s="838"/>
      <c r="C53" s="841"/>
      <c r="D53" s="841"/>
      <c r="E53" s="841"/>
      <c r="F53" s="841"/>
      <c r="G53" s="841"/>
      <c r="H53" s="841"/>
      <c r="I53" s="841"/>
      <c r="J53" s="841"/>
      <c r="K53" s="841"/>
      <c r="L53" s="841"/>
      <c r="M53" s="841"/>
      <c r="N53" s="841"/>
      <c r="O53" s="842"/>
    </row>
    <row r="54" spans="2:15" ht="15.75">
      <c r="B54" s="838" t="s">
        <v>305</v>
      </c>
      <c r="C54" s="841">
        <v>58993128</v>
      </c>
      <c r="D54" s="841">
        <v>24267089</v>
      </c>
      <c r="E54" s="841">
        <v>74570769</v>
      </c>
      <c r="F54" s="841">
        <v>154173538</v>
      </c>
      <c r="G54" s="841">
        <v>113656901</v>
      </c>
      <c r="H54" s="841">
        <v>104524746</v>
      </c>
      <c r="I54" s="841">
        <v>81972282</v>
      </c>
      <c r="J54" s="841">
        <v>46456514</v>
      </c>
      <c r="K54" s="841">
        <v>546072133</v>
      </c>
      <c r="L54" s="841">
        <v>16054562</v>
      </c>
      <c r="M54" s="841">
        <v>254180316</v>
      </c>
      <c r="N54" s="841">
        <v>4994419</v>
      </c>
      <c r="O54" s="836">
        <f>SUM(C54:N54)</f>
        <v>1479916397</v>
      </c>
    </row>
    <row r="55" spans="2:15" ht="15.75">
      <c r="B55" s="838"/>
      <c r="C55" s="841"/>
      <c r="D55" s="841"/>
      <c r="E55" s="841"/>
      <c r="F55" s="841"/>
      <c r="G55" s="841"/>
      <c r="H55" s="841"/>
      <c r="I55" s="841"/>
      <c r="J55" s="841"/>
      <c r="K55" s="841"/>
      <c r="L55" s="841"/>
      <c r="M55" s="841"/>
      <c r="N55" s="841"/>
      <c r="O55" s="842"/>
    </row>
    <row r="56" spans="2:15" ht="15.75">
      <c r="B56" s="838" t="s">
        <v>306</v>
      </c>
      <c r="C56" s="841">
        <v>121751301</v>
      </c>
      <c r="D56" s="841">
        <v>15759635</v>
      </c>
      <c r="E56" s="841">
        <v>61928831</v>
      </c>
      <c r="F56" s="841">
        <v>161856598</v>
      </c>
      <c r="G56" s="841">
        <v>90518259</v>
      </c>
      <c r="H56" s="841">
        <v>129713218</v>
      </c>
      <c r="I56" s="841">
        <v>115455695</v>
      </c>
      <c r="J56" s="841">
        <v>44185892</v>
      </c>
      <c r="K56" s="841">
        <v>569254456</v>
      </c>
      <c r="L56" s="841">
        <v>33596534</v>
      </c>
      <c r="M56" s="841">
        <v>255518995</v>
      </c>
      <c r="N56" s="841">
        <v>6803883</v>
      </c>
      <c r="O56" s="836">
        <f>SUM(C56:N56)</f>
        <v>1606343297</v>
      </c>
    </row>
    <row r="57" spans="2:15" ht="15.75">
      <c r="B57" s="838"/>
      <c r="C57" s="841"/>
      <c r="D57" s="841"/>
      <c r="E57" s="841"/>
      <c r="F57" s="841"/>
      <c r="G57" s="841"/>
      <c r="H57" s="841"/>
      <c r="I57" s="841"/>
      <c r="J57" s="841"/>
      <c r="K57" s="841"/>
      <c r="L57" s="841"/>
      <c r="M57" s="841"/>
      <c r="N57" s="841"/>
      <c r="O57" s="842"/>
    </row>
    <row r="58" spans="2:15" ht="15.75">
      <c r="B58" s="838" t="s">
        <v>307</v>
      </c>
      <c r="C58" s="841">
        <v>115474967</v>
      </c>
      <c r="D58" s="841">
        <v>16591704</v>
      </c>
      <c r="E58" s="841">
        <v>61511257</v>
      </c>
      <c r="F58" s="841">
        <v>176540887</v>
      </c>
      <c r="G58" s="841">
        <v>110321918</v>
      </c>
      <c r="H58" s="841">
        <v>127747608</v>
      </c>
      <c r="I58" s="841">
        <v>184475305</v>
      </c>
      <c r="J58" s="841">
        <v>40827595</v>
      </c>
      <c r="K58" s="841">
        <v>430959062</v>
      </c>
      <c r="L58" s="841">
        <v>33291691</v>
      </c>
      <c r="M58" s="841">
        <v>265061015</v>
      </c>
      <c r="N58" s="841">
        <v>6389910</v>
      </c>
      <c r="O58" s="836">
        <f>SUM(C58:N58)</f>
        <v>1569192919</v>
      </c>
    </row>
    <row r="59" spans="2:15" ht="15.75">
      <c r="B59" s="838"/>
      <c r="C59" s="841"/>
      <c r="D59" s="841"/>
      <c r="E59" s="841"/>
      <c r="F59" s="841"/>
      <c r="G59" s="841"/>
      <c r="H59" s="841"/>
      <c r="I59" s="841"/>
      <c r="J59" s="841"/>
      <c r="K59" s="841"/>
      <c r="L59" s="841"/>
      <c r="M59" s="841"/>
      <c r="N59" s="841"/>
      <c r="O59" s="841"/>
    </row>
    <row r="60" spans="2:15" ht="15.75">
      <c r="B60" s="838" t="s">
        <v>308</v>
      </c>
      <c r="C60" s="841">
        <v>73395298</v>
      </c>
      <c r="D60" s="841">
        <v>12086456</v>
      </c>
      <c r="E60" s="841">
        <v>52443446</v>
      </c>
      <c r="F60" s="841">
        <v>166741113</v>
      </c>
      <c r="G60" s="841">
        <v>113277502</v>
      </c>
      <c r="H60" s="841">
        <v>148533959</v>
      </c>
      <c r="I60" s="841">
        <v>237347156</v>
      </c>
      <c r="J60" s="841">
        <v>44612216</v>
      </c>
      <c r="K60" s="841">
        <v>510889340</v>
      </c>
      <c r="L60" s="841">
        <v>17332305</v>
      </c>
      <c r="M60" s="841">
        <v>287717965</v>
      </c>
      <c r="N60" s="841">
        <v>5962382</v>
      </c>
      <c r="O60" s="836">
        <f>SUM(C60:N60)</f>
        <v>1670339138</v>
      </c>
    </row>
    <row r="61" spans="2:15" ht="15.75">
      <c r="B61" s="838"/>
      <c r="C61" s="841"/>
      <c r="D61" s="841"/>
      <c r="E61" s="841"/>
      <c r="F61" s="841"/>
      <c r="G61" s="841"/>
      <c r="H61" s="841"/>
      <c r="I61" s="841"/>
      <c r="J61" s="841"/>
      <c r="K61" s="841"/>
      <c r="L61" s="841"/>
      <c r="M61" s="841"/>
      <c r="N61" s="841"/>
      <c r="O61" s="841"/>
    </row>
    <row r="62" spans="2:15" ht="15.75">
      <c r="B62" s="838" t="s">
        <v>311</v>
      </c>
      <c r="C62" s="841">
        <v>113727052</v>
      </c>
      <c r="D62" s="841">
        <v>13189909</v>
      </c>
      <c r="E62" s="841">
        <v>52087130</v>
      </c>
      <c r="F62" s="841">
        <v>195080228</v>
      </c>
      <c r="G62" s="841">
        <v>84886789</v>
      </c>
      <c r="H62" s="841">
        <v>146548662</v>
      </c>
      <c r="I62" s="841">
        <v>144660921</v>
      </c>
      <c r="J62" s="841">
        <v>67916425</v>
      </c>
      <c r="K62" s="841">
        <v>504291241</v>
      </c>
      <c r="L62" s="841">
        <v>17349671</v>
      </c>
      <c r="M62" s="841">
        <v>300489056</v>
      </c>
      <c r="N62" s="841">
        <v>5962382</v>
      </c>
      <c r="O62" s="836">
        <f>SUM(C62:N62)</f>
        <v>1646189466</v>
      </c>
    </row>
    <row r="63" spans="2:15" ht="16.5" thickBot="1">
      <c r="B63" s="843"/>
      <c r="C63" s="843"/>
      <c r="D63" s="843"/>
      <c r="E63" s="843"/>
      <c r="F63" s="843"/>
      <c r="G63" s="843"/>
      <c r="H63" s="843"/>
      <c r="I63" s="843"/>
      <c r="J63" s="843"/>
      <c r="K63" s="843"/>
      <c r="L63" s="843"/>
      <c r="M63" s="843"/>
      <c r="N63" s="843"/>
      <c r="O63" s="843"/>
    </row>
    <row r="64" spans="2:15" ht="15.75" thickTop="1">
      <c r="B64" s="785">
        <v>2011</v>
      </c>
      <c r="C64" s="844"/>
      <c r="D64" s="844"/>
      <c r="E64" s="844"/>
      <c r="F64" s="844"/>
      <c r="G64" s="844"/>
      <c r="H64" s="844"/>
      <c r="I64" s="844"/>
      <c r="J64" s="844"/>
      <c r="K64" s="844"/>
      <c r="L64" s="844"/>
      <c r="M64" s="844"/>
      <c r="N64" s="844"/>
      <c r="O64" s="844"/>
    </row>
    <row r="65" spans="2:15">
      <c r="B65" s="786"/>
      <c r="C65" s="844"/>
      <c r="D65" s="844"/>
      <c r="E65" s="844"/>
      <c r="F65" s="844"/>
      <c r="G65" s="844"/>
      <c r="H65" s="844"/>
      <c r="I65" s="844"/>
      <c r="J65" s="844"/>
      <c r="K65" s="844"/>
      <c r="L65" s="844"/>
      <c r="M65" s="844"/>
      <c r="N65" s="844"/>
      <c r="O65" s="844"/>
    </row>
    <row r="66" spans="2:15">
      <c r="B66" s="786" t="s">
        <v>298</v>
      </c>
      <c r="C66" s="845">
        <v>94390.399999999994</v>
      </c>
      <c r="D66" s="845">
        <v>20628.599999999999</v>
      </c>
      <c r="E66" s="845">
        <v>54617.2</v>
      </c>
      <c r="F66" s="845">
        <v>194886.6</v>
      </c>
      <c r="G66" s="845">
        <v>95039.5</v>
      </c>
      <c r="H66" s="845">
        <v>172893.2</v>
      </c>
      <c r="I66" s="845">
        <v>186958.4</v>
      </c>
      <c r="J66" s="845">
        <v>89729.2</v>
      </c>
      <c r="K66" s="845">
        <v>520911.6</v>
      </c>
      <c r="L66" s="845">
        <v>24613.5</v>
      </c>
      <c r="M66" s="845">
        <v>295838.3</v>
      </c>
      <c r="N66" s="845">
        <v>6388.8</v>
      </c>
      <c r="O66" s="845">
        <v>1756895.4</v>
      </c>
    </row>
    <row r="67" spans="2:15">
      <c r="B67" s="786" t="s">
        <v>299</v>
      </c>
      <c r="C67" s="845">
        <v>133717.9</v>
      </c>
      <c r="D67" s="845">
        <v>25834.3</v>
      </c>
      <c r="E67" s="845">
        <v>61714.3</v>
      </c>
      <c r="F67" s="845">
        <v>200791.9</v>
      </c>
      <c r="G67" s="845">
        <v>119665.3</v>
      </c>
      <c r="H67" s="845">
        <v>202629.5</v>
      </c>
      <c r="I67" s="845">
        <v>170980.3</v>
      </c>
      <c r="J67" s="845">
        <v>34762.5</v>
      </c>
      <c r="K67" s="845">
        <v>470724.5</v>
      </c>
      <c r="L67" s="845">
        <v>23809.8</v>
      </c>
      <c r="M67" s="845">
        <v>321623.59999999998</v>
      </c>
      <c r="N67" s="845">
        <v>8841.7000000000007</v>
      </c>
      <c r="O67" s="845">
        <v>1775095.5</v>
      </c>
    </row>
    <row r="68" spans="2:15">
      <c r="B68" s="786" t="s">
        <v>300</v>
      </c>
      <c r="C68" s="845">
        <v>77101</v>
      </c>
      <c r="D68" s="845">
        <v>15938.2</v>
      </c>
      <c r="E68" s="845">
        <v>58193.9</v>
      </c>
      <c r="F68" s="845">
        <v>223181.8</v>
      </c>
      <c r="G68" s="845">
        <v>117197.8</v>
      </c>
      <c r="H68" s="845">
        <v>236622.2</v>
      </c>
      <c r="I68" s="845">
        <v>119977.4</v>
      </c>
      <c r="J68" s="845">
        <v>46400.6</v>
      </c>
      <c r="K68" s="845">
        <v>602307.1</v>
      </c>
      <c r="L68" s="845">
        <v>16940.8</v>
      </c>
      <c r="M68" s="845">
        <v>325373.2</v>
      </c>
      <c r="N68" s="845">
        <v>8669.7999999999993</v>
      </c>
      <c r="O68" s="845">
        <v>1847903.8</v>
      </c>
    </row>
    <row r="69" spans="2:15">
      <c r="B69" s="786" t="s">
        <v>301</v>
      </c>
      <c r="C69" s="845">
        <v>102543.3</v>
      </c>
      <c r="D69" s="845">
        <v>20429.5</v>
      </c>
      <c r="E69" s="845">
        <v>64824.7</v>
      </c>
      <c r="F69" s="845">
        <v>238548.9</v>
      </c>
      <c r="G69" s="845">
        <v>80726.5</v>
      </c>
      <c r="H69" s="845">
        <v>225800.8</v>
      </c>
      <c r="I69" s="845">
        <v>147702.6</v>
      </c>
      <c r="J69" s="845">
        <v>49469.9</v>
      </c>
      <c r="K69" s="845">
        <v>524595.4</v>
      </c>
      <c r="L69" s="845">
        <v>23835.5</v>
      </c>
      <c r="M69" s="845">
        <v>417515.3</v>
      </c>
      <c r="N69" s="845">
        <v>8071.9</v>
      </c>
      <c r="O69" s="845">
        <v>1904064.4</v>
      </c>
    </row>
    <row r="70" spans="2:15">
      <c r="B70" s="786" t="s">
        <v>302</v>
      </c>
      <c r="C70" s="845">
        <v>93812.6</v>
      </c>
      <c r="D70" s="845">
        <v>19640.3</v>
      </c>
      <c r="E70" s="845">
        <v>61878.6</v>
      </c>
      <c r="F70" s="845">
        <v>267258.2</v>
      </c>
      <c r="G70" s="845">
        <v>92889.1</v>
      </c>
      <c r="H70" s="845">
        <v>252592.2</v>
      </c>
      <c r="I70" s="845">
        <v>157059.9</v>
      </c>
      <c r="J70" s="845">
        <v>39483.5</v>
      </c>
      <c r="K70" s="845">
        <v>564888</v>
      </c>
      <c r="L70" s="845">
        <v>26103.4</v>
      </c>
      <c r="M70" s="845">
        <v>411671.1</v>
      </c>
      <c r="N70" s="845">
        <v>13011.7</v>
      </c>
      <c r="O70" s="845">
        <v>2000288.5</v>
      </c>
    </row>
    <row r="71" spans="2:15">
      <c r="B71" s="786" t="s">
        <v>303</v>
      </c>
      <c r="C71" s="845">
        <v>76484.3</v>
      </c>
      <c r="D71" s="845">
        <v>23968.6</v>
      </c>
      <c r="E71" s="845">
        <v>67950.3</v>
      </c>
      <c r="F71" s="845">
        <v>301067.09999999998</v>
      </c>
      <c r="G71" s="845">
        <v>113720.4</v>
      </c>
      <c r="H71" s="845">
        <v>255439</v>
      </c>
      <c r="I71" s="845">
        <v>155982.70000000001</v>
      </c>
      <c r="J71" s="845">
        <v>44627.5</v>
      </c>
      <c r="K71" s="845">
        <v>621716.9</v>
      </c>
      <c r="L71" s="845">
        <v>31259.5</v>
      </c>
      <c r="M71" s="845">
        <v>432494.7</v>
      </c>
      <c r="N71" s="845">
        <v>12539.2</v>
      </c>
      <c r="O71" s="845">
        <v>2137250.1</v>
      </c>
    </row>
    <row r="72" spans="2:15">
      <c r="B72" s="786" t="s">
        <v>304</v>
      </c>
      <c r="C72" s="845">
        <v>86383.9</v>
      </c>
      <c r="D72" s="845">
        <v>26999.5</v>
      </c>
      <c r="E72" s="845">
        <v>66179.899999999994</v>
      </c>
      <c r="F72" s="845">
        <v>299595.59999999998</v>
      </c>
      <c r="G72" s="845">
        <v>94962</v>
      </c>
      <c r="H72" s="845">
        <v>253042</v>
      </c>
      <c r="I72" s="845">
        <v>163296.79999999999</v>
      </c>
      <c r="J72" s="845">
        <v>41455.9</v>
      </c>
      <c r="K72" s="845">
        <v>622835</v>
      </c>
      <c r="L72" s="845">
        <v>46710.1</v>
      </c>
      <c r="M72" s="845">
        <v>469790.7</v>
      </c>
      <c r="N72" s="845">
        <v>16584.3</v>
      </c>
      <c r="O72" s="845">
        <v>2187835.7000000002</v>
      </c>
    </row>
    <row r="73" spans="2:15">
      <c r="B73" s="786" t="s">
        <v>305</v>
      </c>
      <c r="C73" s="845">
        <v>112415.1</v>
      </c>
      <c r="D73" s="845">
        <v>59705.5</v>
      </c>
      <c r="E73" s="845">
        <v>75979.5</v>
      </c>
      <c r="F73" s="845">
        <v>279782.3</v>
      </c>
      <c r="G73" s="845">
        <v>100445.2</v>
      </c>
      <c r="H73" s="845">
        <v>268505.5</v>
      </c>
      <c r="I73" s="845">
        <v>184963.8</v>
      </c>
      <c r="J73" s="845">
        <v>66622.600000000006</v>
      </c>
      <c r="K73" s="845">
        <v>577045.4</v>
      </c>
      <c r="L73" s="845">
        <v>62380.800000000003</v>
      </c>
      <c r="M73" s="845">
        <v>438287</v>
      </c>
      <c r="N73" s="845">
        <v>17369.400000000001</v>
      </c>
      <c r="O73" s="845">
        <v>2243502</v>
      </c>
    </row>
    <row r="74" spans="2:15">
      <c r="B74" s="786" t="s">
        <v>306</v>
      </c>
      <c r="C74" s="845">
        <v>147621.70000000001</v>
      </c>
      <c r="D74" s="845">
        <v>65120.3</v>
      </c>
      <c r="E74" s="845">
        <v>77069.2</v>
      </c>
      <c r="F74" s="845">
        <v>311834</v>
      </c>
      <c r="G74" s="845">
        <v>86441</v>
      </c>
      <c r="H74" s="845">
        <v>262574</v>
      </c>
      <c r="I74" s="845">
        <v>175246.1</v>
      </c>
      <c r="J74" s="845">
        <v>74781.600000000006</v>
      </c>
      <c r="K74" s="845">
        <v>513888</v>
      </c>
      <c r="L74" s="845">
        <v>66793.8</v>
      </c>
      <c r="M74" s="845">
        <v>475822</v>
      </c>
      <c r="N74" s="845">
        <v>13952.5</v>
      </c>
      <c r="O74" s="845">
        <v>2271144</v>
      </c>
    </row>
    <row r="75" spans="2:15">
      <c r="B75" s="786" t="s">
        <v>307</v>
      </c>
      <c r="C75" s="845">
        <v>122658.8</v>
      </c>
      <c r="D75" s="845">
        <v>50310.9</v>
      </c>
      <c r="E75" s="845">
        <v>112599.7</v>
      </c>
      <c r="F75" s="845">
        <v>318080.09999999998</v>
      </c>
      <c r="G75" s="845">
        <v>86261.8</v>
      </c>
      <c r="H75" s="845">
        <v>282990.2</v>
      </c>
      <c r="I75" s="845">
        <v>163299</v>
      </c>
      <c r="J75" s="845">
        <v>74107.8</v>
      </c>
      <c r="K75" s="845">
        <v>562077.80000000005</v>
      </c>
      <c r="L75" s="845">
        <v>32280.7</v>
      </c>
      <c r="M75" s="845">
        <v>460614.3</v>
      </c>
      <c r="N75" s="845">
        <v>19378.3</v>
      </c>
      <c r="O75" s="845">
        <v>2284659.4</v>
      </c>
    </row>
    <row r="76" spans="2:15">
      <c r="B76" s="786" t="s">
        <v>308</v>
      </c>
      <c r="C76" s="844" t="s">
        <v>1217</v>
      </c>
      <c r="D76" s="845">
        <v>30524.1</v>
      </c>
      <c r="E76" s="845">
        <v>79461.899999999994</v>
      </c>
      <c r="F76" s="845">
        <v>310533.5</v>
      </c>
      <c r="G76" s="845">
        <v>79201.3</v>
      </c>
      <c r="H76" s="845">
        <v>259924.7</v>
      </c>
      <c r="I76" s="845">
        <v>204651</v>
      </c>
      <c r="J76" s="845">
        <v>95981.1</v>
      </c>
      <c r="K76" s="845">
        <v>577348.5</v>
      </c>
      <c r="L76" s="845">
        <v>25970.400000000001</v>
      </c>
      <c r="M76" s="845">
        <v>456874</v>
      </c>
      <c r="N76" s="845">
        <v>13736.1</v>
      </c>
      <c r="O76" s="845">
        <v>2241937.2999999998</v>
      </c>
    </row>
    <row r="77" spans="2:15" ht="15.75" thickBot="1">
      <c r="B77" s="846" t="s">
        <v>311</v>
      </c>
      <c r="C77" s="847">
        <v>120665.7</v>
      </c>
      <c r="D77" s="847">
        <v>35860.199999999997</v>
      </c>
      <c r="E77" s="847">
        <v>107439.2</v>
      </c>
      <c r="F77" s="847">
        <v>295439.3</v>
      </c>
      <c r="G77" s="847">
        <v>94854.2</v>
      </c>
      <c r="H77" s="847">
        <v>277933.7</v>
      </c>
      <c r="I77" s="847">
        <v>267305.3</v>
      </c>
      <c r="J77" s="847">
        <v>69436</v>
      </c>
      <c r="K77" s="847">
        <v>518311.2</v>
      </c>
      <c r="L77" s="847">
        <v>24462.2</v>
      </c>
      <c r="M77" s="847">
        <v>444051.7</v>
      </c>
      <c r="N77" s="847">
        <v>15849.9</v>
      </c>
      <c r="O77" s="847">
        <v>2271608.5</v>
      </c>
    </row>
    <row r="78" spans="2:15" ht="15.75" thickTop="1">
      <c r="B78" s="785">
        <v>2012</v>
      </c>
      <c r="C78" s="844"/>
      <c r="D78" s="844"/>
      <c r="E78" s="844"/>
      <c r="F78" s="844"/>
      <c r="G78" s="844"/>
      <c r="H78" s="844"/>
      <c r="I78" s="844"/>
      <c r="J78" s="844"/>
      <c r="K78" s="844"/>
      <c r="L78" s="844"/>
      <c r="M78" s="844"/>
      <c r="N78" s="844"/>
      <c r="O78" s="844"/>
    </row>
    <row r="79" spans="2:15">
      <c r="B79" s="786"/>
      <c r="C79" s="844"/>
      <c r="D79" s="844"/>
      <c r="E79" s="844"/>
      <c r="F79" s="844"/>
      <c r="G79" s="844"/>
      <c r="H79" s="844"/>
      <c r="I79" s="844"/>
      <c r="J79" s="844"/>
      <c r="K79" s="844"/>
      <c r="L79" s="844"/>
      <c r="M79" s="844"/>
      <c r="N79" s="844"/>
      <c r="O79" s="844"/>
    </row>
    <row r="80" spans="2:15">
      <c r="B80" s="786" t="s">
        <v>298</v>
      </c>
      <c r="C80" s="845">
        <v>137919.4</v>
      </c>
      <c r="D80" s="845">
        <v>35324.800000000003</v>
      </c>
      <c r="E80" s="845">
        <v>106812.5</v>
      </c>
      <c r="F80" s="845">
        <v>296807.8</v>
      </c>
      <c r="G80" s="845">
        <v>116945.8</v>
      </c>
      <c r="H80" s="845">
        <v>277304.7</v>
      </c>
      <c r="I80" s="845">
        <v>268525.2</v>
      </c>
      <c r="J80" s="845">
        <v>119278.5</v>
      </c>
      <c r="K80" s="845">
        <v>515754.9</v>
      </c>
      <c r="L80" s="845">
        <v>21989.9</v>
      </c>
      <c r="M80" s="845">
        <v>431208.6</v>
      </c>
      <c r="N80" s="845">
        <v>14582.8</v>
      </c>
      <c r="O80" s="845">
        <v>2342454.9</v>
      </c>
    </row>
    <row r="81" spans="2:15">
      <c r="B81" s="848" t="s">
        <v>1218</v>
      </c>
      <c r="C81" s="845">
        <v>132404.53</v>
      </c>
      <c r="D81" s="845">
        <v>36283.33</v>
      </c>
      <c r="E81" s="845">
        <v>110794.26</v>
      </c>
      <c r="F81" s="845">
        <v>341462.75</v>
      </c>
      <c r="G81" s="845">
        <v>99165.46</v>
      </c>
      <c r="H81" s="845">
        <v>288834.34000000003</v>
      </c>
      <c r="I81" s="845">
        <v>264450.53000000003</v>
      </c>
      <c r="J81" s="845">
        <v>104923.38</v>
      </c>
      <c r="K81" s="845">
        <v>577378.61</v>
      </c>
      <c r="L81" s="845">
        <v>22873.9</v>
      </c>
      <c r="M81" s="845">
        <v>467084.94</v>
      </c>
      <c r="N81" s="845">
        <v>14234.06</v>
      </c>
      <c r="O81" s="845">
        <v>2459890.1</v>
      </c>
    </row>
    <row r="82" spans="2:15">
      <c r="B82" s="786" t="s">
        <v>300</v>
      </c>
      <c r="C82" s="845">
        <v>121233.1</v>
      </c>
      <c r="D82" s="845">
        <v>38555.4</v>
      </c>
      <c r="E82" s="845">
        <v>124038.5</v>
      </c>
      <c r="F82" s="845">
        <v>348687.2</v>
      </c>
      <c r="G82" s="845">
        <v>93320</v>
      </c>
      <c r="H82" s="844" t="s">
        <v>1219</v>
      </c>
      <c r="I82" s="845">
        <v>276941.5</v>
      </c>
      <c r="J82" s="845">
        <v>76084.399999999994</v>
      </c>
      <c r="K82" s="845">
        <v>629624.30000000005</v>
      </c>
      <c r="L82" s="845">
        <v>24984.1</v>
      </c>
      <c r="M82" s="845">
        <v>468608.5</v>
      </c>
      <c r="N82" s="845">
        <v>14756.2</v>
      </c>
      <c r="O82" s="845">
        <v>2480386.1</v>
      </c>
    </row>
    <row r="83" spans="2:15">
      <c r="B83" s="786" t="s">
        <v>301</v>
      </c>
      <c r="C83" s="845">
        <v>127168.8</v>
      </c>
      <c r="D83" s="845">
        <v>39606.6</v>
      </c>
      <c r="E83" s="845">
        <v>115033.7</v>
      </c>
      <c r="F83" s="845">
        <v>331306.5</v>
      </c>
      <c r="G83" s="845">
        <v>83707.8</v>
      </c>
      <c r="H83" s="845">
        <v>289829.09999999998</v>
      </c>
      <c r="I83" s="845">
        <v>276208.7</v>
      </c>
      <c r="J83" s="845">
        <v>75855.899999999994</v>
      </c>
      <c r="K83" s="845">
        <v>644979.80000000005</v>
      </c>
      <c r="L83" s="845">
        <v>24822.5</v>
      </c>
      <c r="M83" s="849">
        <v>465129</v>
      </c>
      <c r="N83" s="845">
        <v>14829.3</v>
      </c>
      <c r="O83" s="845">
        <v>2488477.6</v>
      </c>
    </row>
    <row r="84" spans="2:15">
      <c r="B84" s="786" t="s">
        <v>302</v>
      </c>
      <c r="C84" s="845">
        <v>124277.7</v>
      </c>
      <c r="D84" s="845">
        <v>43333.7</v>
      </c>
      <c r="E84" s="845">
        <v>142130.1</v>
      </c>
      <c r="F84" s="845">
        <v>370561.1</v>
      </c>
      <c r="G84" s="845">
        <v>93500</v>
      </c>
      <c r="H84" s="845">
        <v>249454.2</v>
      </c>
      <c r="I84" s="845">
        <v>299116.59999999998</v>
      </c>
      <c r="J84" s="845">
        <v>86314.7</v>
      </c>
      <c r="K84" s="845">
        <v>648511.1</v>
      </c>
      <c r="L84" s="845">
        <v>28279.3</v>
      </c>
      <c r="M84" s="845">
        <v>516523</v>
      </c>
      <c r="N84" s="845">
        <v>16891.5</v>
      </c>
      <c r="O84" s="845">
        <v>2618892.9</v>
      </c>
    </row>
    <row r="85" spans="2:15">
      <c r="B85" s="786" t="s">
        <v>303</v>
      </c>
      <c r="C85" s="845">
        <v>84589.8</v>
      </c>
      <c r="D85" s="845">
        <v>51354</v>
      </c>
      <c r="E85" s="845">
        <v>132428.70000000001</v>
      </c>
      <c r="F85" s="845">
        <v>351179.8</v>
      </c>
      <c r="G85" s="845">
        <v>98785.600000000006</v>
      </c>
      <c r="H85" s="845">
        <v>375613.6</v>
      </c>
      <c r="I85" s="845">
        <v>214696.7</v>
      </c>
      <c r="J85" s="845">
        <v>76370.100000000006</v>
      </c>
      <c r="K85" s="845">
        <v>727955.7</v>
      </c>
      <c r="L85" s="845">
        <v>36208.400000000001</v>
      </c>
      <c r="M85" s="845">
        <v>456454.40000000002</v>
      </c>
      <c r="N85" s="845">
        <v>18727.599999999999</v>
      </c>
      <c r="O85" s="845">
        <v>2624364.4</v>
      </c>
    </row>
    <row r="86" spans="2:15">
      <c r="B86" s="786" t="s">
        <v>304</v>
      </c>
      <c r="C86" s="845">
        <v>106470.8</v>
      </c>
      <c r="D86" s="845">
        <v>47401</v>
      </c>
      <c r="E86" s="845">
        <v>131489</v>
      </c>
      <c r="F86" s="845">
        <v>345036.3</v>
      </c>
      <c r="G86" s="844" t="s">
        <v>1220</v>
      </c>
      <c r="H86" s="845">
        <v>397969.7</v>
      </c>
      <c r="I86" s="845">
        <v>213370.5</v>
      </c>
      <c r="J86" s="845">
        <v>89915.4</v>
      </c>
      <c r="K86" s="845">
        <v>726447.6</v>
      </c>
      <c r="L86" s="845">
        <v>46000.4</v>
      </c>
      <c r="M86" s="845">
        <v>505054.1</v>
      </c>
      <c r="N86" s="845">
        <v>29735.3</v>
      </c>
      <c r="O86" s="845">
        <v>2709378</v>
      </c>
    </row>
    <row r="87" spans="2:15">
      <c r="B87" s="786" t="s">
        <v>305</v>
      </c>
      <c r="C87" s="845">
        <v>99151.6</v>
      </c>
      <c r="D87" s="845">
        <v>49226.400000000001</v>
      </c>
      <c r="E87" s="845">
        <v>116820.6</v>
      </c>
      <c r="F87" s="845">
        <v>363080.1</v>
      </c>
      <c r="G87" s="845">
        <v>382619.4</v>
      </c>
      <c r="H87" s="845">
        <v>71775.899999999994</v>
      </c>
      <c r="I87" s="845">
        <v>216433</v>
      </c>
      <c r="J87" s="845">
        <v>73978.5</v>
      </c>
      <c r="K87" s="845">
        <v>737065.6</v>
      </c>
      <c r="L87" s="845">
        <v>48183.8</v>
      </c>
      <c r="M87" s="845">
        <v>488183.8</v>
      </c>
      <c r="N87" s="845">
        <v>28785.3</v>
      </c>
      <c r="O87" s="845">
        <v>2663379.7999999998</v>
      </c>
    </row>
    <row r="88" spans="2:15">
      <c r="B88" s="786" t="s">
        <v>306</v>
      </c>
      <c r="C88" s="845">
        <v>113907.6</v>
      </c>
      <c r="D88" s="845">
        <v>43671</v>
      </c>
      <c r="E88" s="845">
        <v>125801.3</v>
      </c>
      <c r="F88" s="845">
        <v>276363</v>
      </c>
      <c r="G88" s="845">
        <v>177790.6</v>
      </c>
      <c r="H88" s="845">
        <v>429596.7</v>
      </c>
      <c r="I88" s="845">
        <v>228342.2</v>
      </c>
      <c r="J88" s="845">
        <v>82777.7</v>
      </c>
      <c r="K88" s="845">
        <v>651389.19999999995</v>
      </c>
      <c r="L88" s="845">
        <v>48764.9</v>
      </c>
      <c r="M88" s="845">
        <v>517788.8</v>
      </c>
      <c r="N88" s="845">
        <v>29019.9</v>
      </c>
      <c r="O88" s="845">
        <v>2725213</v>
      </c>
    </row>
    <row r="89" spans="2:15">
      <c r="B89" s="786" t="s">
        <v>307</v>
      </c>
      <c r="C89" s="845">
        <v>101122.4</v>
      </c>
      <c r="D89" s="845">
        <v>48716.9</v>
      </c>
      <c r="E89" s="845">
        <v>155798.29999999999</v>
      </c>
      <c r="F89" s="845">
        <v>313982.40000000002</v>
      </c>
      <c r="G89" s="845">
        <v>257300.6</v>
      </c>
      <c r="H89" s="845">
        <v>409730</v>
      </c>
      <c r="I89" s="845">
        <v>245131.8</v>
      </c>
      <c r="J89" s="845">
        <v>83995.5</v>
      </c>
      <c r="K89" s="845">
        <v>661217.19999999995</v>
      </c>
      <c r="L89" s="845">
        <v>48396.800000000003</v>
      </c>
      <c r="M89" s="845">
        <v>534643.6</v>
      </c>
      <c r="N89" s="845">
        <v>26158</v>
      </c>
      <c r="O89" s="845">
        <v>2886193.5</v>
      </c>
    </row>
    <row r="90" spans="2:15">
      <c r="B90" s="786" t="s">
        <v>308</v>
      </c>
      <c r="C90" s="845">
        <v>104695.1</v>
      </c>
      <c r="D90" s="845">
        <v>53233.8</v>
      </c>
      <c r="E90" s="845">
        <v>151359.5</v>
      </c>
      <c r="F90" s="845">
        <v>348390.40000000002</v>
      </c>
      <c r="G90" s="845">
        <v>185802.5</v>
      </c>
      <c r="H90" s="845">
        <v>464782.4</v>
      </c>
      <c r="I90" s="845">
        <v>269513.8</v>
      </c>
      <c r="J90" s="845">
        <v>85906.9</v>
      </c>
      <c r="K90" s="845">
        <v>962840.9</v>
      </c>
      <c r="L90" s="845">
        <v>47647.199999999997</v>
      </c>
      <c r="M90" s="845">
        <v>548847.69999999995</v>
      </c>
      <c r="N90" s="845">
        <v>23130.6</v>
      </c>
      <c r="O90" s="845">
        <v>3246150.7</v>
      </c>
    </row>
    <row r="91" spans="2:15">
      <c r="B91" s="786" t="s">
        <v>311</v>
      </c>
      <c r="C91" s="850">
        <v>96098.37</v>
      </c>
      <c r="D91" s="850">
        <v>50492.68</v>
      </c>
      <c r="E91" s="850">
        <v>126343.53</v>
      </c>
      <c r="F91" s="850">
        <v>379068.02</v>
      </c>
      <c r="G91" s="850">
        <v>198323.3</v>
      </c>
      <c r="H91" s="850">
        <v>509241.59</v>
      </c>
      <c r="I91" s="850">
        <v>280975.34999999998</v>
      </c>
      <c r="J91" s="850">
        <v>95457.07</v>
      </c>
      <c r="K91" s="850">
        <v>582286.18999999994</v>
      </c>
      <c r="L91" s="850">
        <v>41852.17</v>
      </c>
      <c r="M91" s="850">
        <v>538135.21</v>
      </c>
      <c r="N91" s="850">
        <v>26491.34</v>
      </c>
      <c r="O91" s="850">
        <f>SUM(C91:N91)</f>
        <v>2924764.8199999994</v>
      </c>
    </row>
    <row r="92" spans="2:15">
      <c r="B92" s="786"/>
      <c r="C92" s="850"/>
      <c r="D92" s="850"/>
      <c r="E92" s="850"/>
      <c r="F92" s="850"/>
      <c r="G92" s="850"/>
      <c r="H92" s="850"/>
      <c r="I92" s="850"/>
      <c r="J92" s="850"/>
      <c r="K92" s="850"/>
      <c r="L92" s="850"/>
      <c r="M92" s="850"/>
      <c r="N92" s="850"/>
      <c r="O92" s="850"/>
    </row>
    <row r="93" spans="2:15">
      <c r="B93" s="785">
        <v>2012</v>
      </c>
      <c r="C93" s="850"/>
      <c r="D93" s="850"/>
      <c r="E93" s="850"/>
      <c r="F93" s="850"/>
      <c r="G93" s="850"/>
      <c r="H93" s="850"/>
      <c r="I93" s="850"/>
      <c r="J93" s="850"/>
      <c r="K93" s="850"/>
      <c r="L93" s="850"/>
      <c r="M93" s="850"/>
      <c r="N93" s="850"/>
      <c r="O93" s="850"/>
    </row>
    <row r="94" spans="2:15">
      <c r="B94" s="786"/>
      <c r="C94" s="850"/>
      <c r="D94" s="850"/>
      <c r="E94" s="850"/>
      <c r="F94" s="850"/>
      <c r="G94" s="850"/>
      <c r="H94" s="850"/>
      <c r="I94" s="850"/>
      <c r="J94" s="850"/>
      <c r="K94" s="850"/>
      <c r="L94" s="850"/>
      <c r="M94" s="850"/>
      <c r="N94" s="850"/>
      <c r="O94" s="850"/>
    </row>
    <row r="95" spans="2:15">
      <c r="B95" s="786" t="s">
        <v>298</v>
      </c>
      <c r="C95" s="850">
        <v>91648.8</v>
      </c>
      <c r="D95" s="850">
        <v>48329.1</v>
      </c>
      <c r="E95" s="850">
        <v>128425.95</v>
      </c>
      <c r="F95" s="850">
        <v>351566.7</v>
      </c>
      <c r="G95" s="850">
        <v>212401.7</v>
      </c>
      <c r="H95" s="850">
        <v>494823.55</v>
      </c>
      <c r="I95" s="850">
        <v>252389.69899999999</v>
      </c>
      <c r="J95" s="850">
        <v>93469.95</v>
      </c>
      <c r="K95" s="850">
        <v>658260.06999999995</v>
      </c>
      <c r="L95" s="850">
        <v>44091.4</v>
      </c>
      <c r="M95" s="850">
        <v>512289.8</v>
      </c>
      <c r="N95" s="850">
        <v>32145.9</v>
      </c>
      <c r="O95" s="850">
        <f>SUM(C95:N95)</f>
        <v>2919842.6189999995</v>
      </c>
    </row>
    <row r="96" spans="2:15" ht="15.75" thickBot="1">
      <c r="B96" s="848" t="s">
        <v>1218</v>
      </c>
      <c r="C96" s="847">
        <v>96796.5</v>
      </c>
      <c r="D96" s="847">
        <v>48491.5</v>
      </c>
      <c r="E96" s="847">
        <v>147571.5</v>
      </c>
      <c r="F96" s="847">
        <v>360757.9</v>
      </c>
      <c r="G96" s="847">
        <v>147995.9</v>
      </c>
      <c r="H96" s="847">
        <v>578306.4</v>
      </c>
      <c r="I96" s="847">
        <v>284603.8</v>
      </c>
      <c r="J96" s="847">
        <v>64530.5</v>
      </c>
      <c r="K96" s="847">
        <v>679554.8</v>
      </c>
      <c r="L96" s="847">
        <v>41983.6</v>
      </c>
      <c r="M96" s="847">
        <v>516431.2</v>
      </c>
      <c r="N96" s="847">
        <v>25275.3</v>
      </c>
      <c r="O96" s="851" t="s">
        <v>1277</v>
      </c>
    </row>
    <row r="97" spans="2:15" ht="15.75" thickTop="1">
      <c r="B97" s="786" t="s">
        <v>300</v>
      </c>
      <c r="C97" s="850">
        <v>96752.83</v>
      </c>
      <c r="D97" s="850">
        <v>44883.31</v>
      </c>
      <c r="E97" s="850">
        <v>139327.79999999999</v>
      </c>
      <c r="F97" s="850">
        <v>354627.8</v>
      </c>
      <c r="G97" s="850">
        <v>155915.20000000001</v>
      </c>
      <c r="H97" s="850">
        <v>610758.39</v>
      </c>
      <c r="I97" s="850">
        <v>290072.83</v>
      </c>
      <c r="J97" s="850">
        <v>87142.96</v>
      </c>
      <c r="K97" s="850">
        <v>594397.69999999995</v>
      </c>
      <c r="L97" s="850">
        <v>38345.49</v>
      </c>
      <c r="M97" s="850">
        <v>523913.76</v>
      </c>
      <c r="N97" s="850">
        <v>141404.6</v>
      </c>
      <c r="O97" s="850">
        <f>SUM(C97:N97)</f>
        <v>3077542.6700000004</v>
      </c>
    </row>
    <row r="98" spans="2:15">
      <c r="B98" s="786" t="s">
        <v>301</v>
      </c>
      <c r="C98" s="850">
        <v>98671.01</v>
      </c>
      <c r="D98" s="850">
        <v>49093.8</v>
      </c>
      <c r="E98" s="850">
        <v>152390.82</v>
      </c>
      <c r="F98" s="850">
        <v>350269.24</v>
      </c>
      <c r="G98" s="850">
        <v>166578.49</v>
      </c>
      <c r="H98" s="850">
        <v>545118.18000000005</v>
      </c>
      <c r="I98" s="850">
        <v>311310.83</v>
      </c>
      <c r="J98" s="850">
        <v>105766.85</v>
      </c>
      <c r="K98" s="850">
        <v>638341.84</v>
      </c>
      <c r="L98" s="850">
        <v>39837.14</v>
      </c>
      <c r="M98" s="850">
        <v>533691.29</v>
      </c>
      <c r="N98" s="850">
        <v>99053.92</v>
      </c>
      <c r="O98" s="850">
        <v>3090123.41</v>
      </c>
    </row>
    <row r="99" spans="2:15">
      <c r="B99" s="786" t="s">
        <v>302</v>
      </c>
      <c r="C99" s="850">
        <v>114053.33</v>
      </c>
      <c r="D99" s="850">
        <v>55427.447999999997</v>
      </c>
      <c r="E99" s="850">
        <v>142023.28599999999</v>
      </c>
      <c r="F99" s="850">
        <v>389384.68699999998</v>
      </c>
      <c r="G99" s="850">
        <v>255352.1</v>
      </c>
      <c r="H99" s="850">
        <v>484429.73</v>
      </c>
      <c r="I99" s="850">
        <v>318129.39600000001</v>
      </c>
      <c r="J99" s="850">
        <v>92777.153999999995</v>
      </c>
      <c r="K99" s="850">
        <v>700668.69</v>
      </c>
      <c r="L99" s="850">
        <v>46593.756999999998</v>
      </c>
      <c r="M99" s="850">
        <v>578509.23300000001</v>
      </c>
      <c r="N99" s="850">
        <v>32297.735000000001</v>
      </c>
      <c r="O99" s="850">
        <f>SUM(C99:N99)</f>
        <v>3209646.5459999996</v>
      </c>
    </row>
    <row r="100" spans="2:15">
      <c r="B100" s="786" t="s">
        <v>303</v>
      </c>
      <c r="C100" s="850">
        <v>116635.2</v>
      </c>
      <c r="D100" s="850">
        <v>58578.8</v>
      </c>
      <c r="E100" s="850">
        <v>147313.79</v>
      </c>
      <c r="F100" s="850">
        <v>447394.5</v>
      </c>
      <c r="G100" s="850">
        <v>183146.3</v>
      </c>
      <c r="H100" s="850">
        <v>352600.3</v>
      </c>
      <c r="I100" s="850">
        <v>366824.2</v>
      </c>
      <c r="J100" s="850">
        <v>96685.8</v>
      </c>
      <c r="K100" s="850">
        <v>701195.66899999999</v>
      </c>
      <c r="L100" s="850">
        <v>46578.5</v>
      </c>
      <c r="M100" s="850">
        <v>597373.1</v>
      </c>
      <c r="N100" s="850">
        <v>104843.6</v>
      </c>
      <c r="O100" s="850">
        <f>SUM(C100:N100)</f>
        <v>3219169.7590000005</v>
      </c>
    </row>
    <row r="101" spans="2:15">
      <c r="B101" s="786" t="s">
        <v>304</v>
      </c>
      <c r="C101" s="850">
        <v>108086.64306</v>
      </c>
      <c r="D101" s="850">
        <v>46449.517339999999</v>
      </c>
      <c r="E101" s="850">
        <v>120982.31729000001</v>
      </c>
      <c r="F101" s="850">
        <v>380448.80583999999</v>
      </c>
      <c r="G101" s="850">
        <v>178341.43641999995</v>
      </c>
      <c r="H101" s="850">
        <v>677700.67196999991</v>
      </c>
      <c r="I101" s="850">
        <v>301575.93612999999</v>
      </c>
      <c r="J101" s="850">
        <v>97583.759120000032</v>
      </c>
      <c r="K101" s="850">
        <v>710856.11607000011</v>
      </c>
      <c r="L101" s="850">
        <v>39395.918549999995</v>
      </c>
      <c r="M101" s="850">
        <v>487954.37919000007</v>
      </c>
      <c r="N101" s="850">
        <v>102531.41172</v>
      </c>
      <c r="O101" s="850">
        <f>SUM(C101:N101)</f>
        <v>3251906.9127000007</v>
      </c>
    </row>
    <row r="102" spans="2:15">
      <c r="B102" s="786" t="s">
        <v>305</v>
      </c>
      <c r="C102" s="850"/>
      <c r="D102" s="850"/>
      <c r="E102" s="850"/>
      <c r="F102" s="850"/>
      <c r="G102" s="850"/>
      <c r="H102" s="850"/>
      <c r="I102" s="850"/>
      <c r="J102" s="850"/>
      <c r="K102" s="850"/>
      <c r="L102" s="850"/>
      <c r="M102" s="850"/>
      <c r="N102" s="850"/>
      <c r="O102" s="850"/>
    </row>
    <row r="103" spans="2:15">
      <c r="B103" s="786" t="s">
        <v>306</v>
      </c>
      <c r="C103" s="850">
        <v>100028.34603999999</v>
      </c>
      <c r="D103" s="850">
        <v>57039.767260000001</v>
      </c>
      <c r="E103" s="850">
        <v>145652.53678000002</v>
      </c>
      <c r="F103" s="850">
        <v>380781.36367999995</v>
      </c>
      <c r="G103" s="850">
        <v>207379.17168999999</v>
      </c>
      <c r="H103" s="850">
        <v>612131.54393999977</v>
      </c>
      <c r="I103" s="850">
        <v>408359.11811999994</v>
      </c>
      <c r="J103" s="850">
        <v>103872.83805000001</v>
      </c>
      <c r="K103" s="850">
        <v>795047.61849999998</v>
      </c>
      <c r="L103" s="850">
        <v>46982.922059999997</v>
      </c>
      <c r="M103" s="850">
        <v>435912.39500000008</v>
      </c>
      <c r="N103" s="850">
        <v>90265.757329999993</v>
      </c>
      <c r="O103" s="850">
        <f>SUM(C103:N103)</f>
        <v>3383453.3784499993</v>
      </c>
    </row>
    <row r="104" spans="2:15" ht="15.75" thickBot="1">
      <c r="B104" s="852"/>
      <c r="C104" s="852"/>
      <c r="D104" s="852"/>
      <c r="E104" s="852"/>
      <c r="F104" s="852"/>
      <c r="G104" s="852"/>
      <c r="H104" s="852"/>
      <c r="I104" s="852"/>
      <c r="J104" s="852"/>
      <c r="K104" s="852"/>
      <c r="L104" s="852"/>
      <c r="M104" s="852"/>
      <c r="N104" s="852"/>
      <c r="O104" s="852"/>
    </row>
    <row r="105" spans="2:15" ht="15.75" thickTop="1"/>
    <row r="107" spans="2:15">
      <c r="N107" s="813">
        <v>1000</v>
      </c>
    </row>
    <row r="111" spans="2:15">
      <c r="B111" s="821" t="s">
        <v>263</v>
      </c>
      <c r="C111" s="822" t="s">
        <v>392</v>
      </c>
      <c r="D111" s="822" t="s">
        <v>393</v>
      </c>
      <c r="E111" s="822" t="s">
        <v>772</v>
      </c>
      <c r="F111" s="822" t="s">
        <v>396</v>
      </c>
      <c r="G111" s="822" t="s">
        <v>401</v>
      </c>
      <c r="H111" s="822" t="s">
        <v>402</v>
      </c>
      <c r="I111" s="822" t="s">
        <v>403</v>
      </c>
      <c r="J111" s="822" t="s">
        <v>404</v>
      </c>
      <c r="K111" s="822" t="s">
        <v>405</v>
      </c>
      <c r="L111" s="822" t="s">
        <v>406</v>
      </c>
      <c r="M111" s="822" t="s">
        <v>407</v>
      </c>
      <c r="N111" s="822" t="s">
        <v>295</v>
      </c>
      <c r="O111" s="823" t="s">
        <v>287</v>
      </c>
    </row>
    <row r="112" spans="2:15">
      <c r="B112" s="786" t="s">
        <v>300</v>
      </c>
      <c r="C112" s="850">
        <v>96752.83</v>
      </c>
      <c r="D112" s="850">
        <v>44883.31</v>
      </c>
      <c r="E112" s="850">
        <v>139327.79999999999</v>
      </c>
      <c r="F112" s="850">
        <v>354627.8</v>
      </c>
      <c r="G112" s="850">
        <v>155915.20000000001</v>
      </c>
      <c r="H112" s="850">
        <v>610758.39</v>
      </c>
      <c r="I112" s="850">
        <v>290072.83</v>
      </c>
      <c r="J112" s="850">
        <v>87142.96</v>
      </c>
      <c r="K112" s="850">
        <v>594397.69999999995</v>
      </c>
      <c r="L112" s="850">
        <v>38345.49</v>
      </c>
      <c r="M112" s="850">
        <v>523913.76</v>
      </c>
      <c r="N112" s="850">
        <v>141404.6</v>
      </c>
      <c r="O112" s="850">
        <f>SUM(C112:N112)</f>
        <v>3077542.6700000004</v>
      </c>
    </row>
    <row r="113" spans="2:16">
      <c r="B113" s="786" t="s">
        <v>1221</v>
      </c>
      <c r="C113" s="795">
        <v>58914.7</v>
      </c>
      <c r="D113" s="795">
        <v>8588.1200000000008</v>
      </c>
      <c r="E113" s="795">
        <v>7605.76</v>
      </c>
      <c r="F113" s="795">
        <v>1590.67</v>
      </c>
      <c r="G113" s="795">
        <v>142308.68</v>
      </c>
      <c r="H113" s="795">
        <v>90728.25</v>
      </c>
      <c r="I113" s="795">
        <v>28015.03</v>
      </c>
      <c r="J113" s="795">
        <v>25273.9</v>
      </c>
      <c r="K113" s="795">
        <v>185705.5</v>
      </c>
      <c r="L113" s="795">
        <v>1965</v>
      </c>
      <c r="M113" s="795">
        <v>164230.76999999999</v>
      </c>
      <c r="N113" s="795">
        <v>29295.16</v>
      </c>
      <c r="O113" s="795">
        <f>SUM(C113:N113)</f>
        <v>744221.54</v>
      </c>
    </row>
    <row r="114" spans="2:16">
      <c r="C114" s="795">
        <f>+C113+C112</f>
        <v>155667.53</v>
      </c>
      <c r="D114" s="795">
        <f t="shared" ref="D114:O114" si="0">+D113+D112</f>
        <v>53471.43</v>
      </c>
      <c r="E114" s="795">
        <f t="shared" si="0"/>
        <v>146933.56</v>
      </c>
      <c r="F114" s="795">
        <f t="shared" si="0"/>
        <v>356218.47</v>
      </c>
      <c r="G114" s="795">
        <f t="shared" si="0"/>
        <v>298223.88</v>
      </c>
      <c r="H114" s="795">
        <f t="shared" si="0"/>
        <v>701486.64</v>
      </c>
      <c r="I114" s="795">
        <f t="shared" si="0"/>
        <v>318087.86</v>
      </c>
      <c r="J114" s="795">
        <f t="shared" si="0"/>
        <v>112416.86000000002</v>
      </c>
      <c r="K114" s="795">
        <f t="shared" si="0"/>
        <v>780103.2</v>
      </c>
      <c r="L114" s="795">
        <f t="shared" si="0"/>
        <v>40310.49</v>
      </c>
      <c r="M114" s="795">
        <f t="shared" si="0"/>
        <v>688144.53</v>
      </c>
      <c r="N114" s="795">
        <f t="shared" si="0"/>
        <v>170699.76</v>
      </c>
      <c r="O114" s="795">
        <f t="shared" si="0"/>
        <v>3821764.2100000004</v>
      </c>
    </row>
    <row r="115" spans="2:16">
      <c r="C115" s="853">
        <f>+C114/$O$114</f>
        <v>4.0731850906102859E-2</v>
      </c>
      <c r="D115" s="853">
        <f t="shared" ref="D115:O115" si="1">+D114/$O$114</f>
        <v>1.3991294873735812E-2</v>
      </c>
      <c r="E115" s="853">
        <f t="shared" si="1"/>
        <v>3.8446526767803912E-2</v>
      </c>
      <c r="F115" s="854">
        <f t="shared" si="1"/>
        <v>9.320786171682735E-2</v>
      </c>
      <c r="G115" s="853">
        <f t="shared" si="1"/>
        <v>7.8033040138810655E-2</v>
      </c>
      <c r="H115" s="854">
        <f t="shared" si="1"/>
        <v>0.18355047602478855</v>
      </c>
      <c r="I115" s="853">
        <f t="shared" si="1"/>
        <v>8.323063447182158E-2</v>
      </c>
      <c r="J115" s="853">
        <f t="shared" si="1"/>
        <v>2.9414912543754237E-2</v>
      </c>
      <c r="K115" s="854">
        <f t="shared" si="1"/>
        <v>0.20412122703927876</v>
      </c>
      <c r="L115" s="853">
        <f t="shared" si="1"/>
        <v>1.054761303549912E-2</v>
      </c>
      <c r="M115" s="854">
        <f t="shared" si="1"/>
        <v>0.18005938937818458</v>
      </c>
      <c r="N115" s="853">
        <f t="shared" si="1"/>
        <v>4.4665173103392478E-2</v>
      </c>
      <c r="O115" s="853">
        <f t="shared" si="1"/>
        <v>1</v>
      </c>
      <c r="P115" s="813" t="e">
        <v>#NAME?</v>
      </c>
    </row>
  </sheetData>
  <customSheetViews>
    <customSheetView guid="{705E0D18-9A83-42CA-8732-90923BE2EC7D}" state="hidden" topLeftCell="A3">
      <pane xSplit="2" ySplit="8" topLeftCell="C11" activePane="bottomRight" state="frozen"/>
      <selection pane="bottomRight" activeCell="B4" sqref="B1:C1048576"/>
      <pageMargins left="0.28999999999999998" right="0.04" top="0.75" bottom="0.75" header="0.26" footer="0.3"/>
      <pageSetup scale="50" orientation="landscape" r:id="rId1"/>
    </customSheetView>
    <customSheetView guid="{D45E5F9E-4EA6-40A2-8A1D-3AC67FB8CE54}" state="hidden" topLeftCell="A3">
      <pane xSplit="2" ySplit="8" topLeftCell="C11" activePane="bottomRight" state="frozen"/>
      <selection pane="bottomRight" activeCell="B4" sqref="B1:C1048576"/>
      <pageMargins left="0.28999999999999998" right="0.04" top="0.75" bottom="0.75" header="0.26" footer="0.3"/>
      <pageSetup scale="50" orientation="landscape" r:id="rId2"/>
    </customSheetView>
    <customSheetView guid="{098C004C-808F-436E-8F18-182F927479D1}" state="hidden" topLeftCell="A3">
      <pane xSplit="2" ySplit="8" topLeftCell="C11" activePane="bottomRight" state="frozen"/>
      <selection pane="bottomRight" activeCell="B4" sqref="B1:C1048576"/>
      <pageMargins left="0.28999999999999998" right="0.04" top="0.75" bottom="0.75" header="0.26" footer="0.3"/>
      <pageSetup scale="50" orientation="landscape" r:id="rId3"/>
    </customSheetView>
    <customSheetView guid="{89CA84C2-78F5-4B05-8F1D-B7C5F97BCB4E}" state="hidden" topLeftCell="A3">
      <pane xSplit="2" ySplit="8" topLeftCell="C11" activePane="bottomRight" state="frozen"/>
      <selection pane="bottomRight" activeCell="B4" sqref="B1:C1048576"/>
      <pageMargins left="0.28999999999999998" right="0.04" top="0.75" bottom="0.75" header="0.26" footer="0.3"/>
      <pageSetup scale="50" orientation="landscape" r:id="rId4"/>
    </customSheetView>
  </customSheetViews>
  <mergeCells count="2">
    <mergeCell ref="B3:O3"/>
    <mergeCell ref="B5:M5"/>
  </mergeCells>
  <pageMargins left="0.28999999999999998" right="0.04" top="0.75" bottom="0.75" header="0.26" footer="0.3"/>
  <pageSetup scale="50" orientation="landscape"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C4:Q106"/>
  <sheetViews>
    <sheetView topLeftCell="A4" zoomScaleSheetLayoutView="100" workbookViewId="0">
      <pane xSplit="3" ySplit="8" topLeftCell="D94" activePane="bottomRight" state="frozen"/>
      <selection activeCell="A4" sqref="A4"/>
      <selection pane="topRight" activeCell="D4" sqref="D4"/>
      <selection pane="bottomLeft" activeCell="A12" sqref="A12"/>
      <selection pane="bottomRight" activeCell="B95" sqref="B95"/>
    </sheetView>
  </sheetViews>
  <sheetFormatPr defaultColWidth="8.77734375" defaultRowHeight="15"/>
  <cols>
    <col min="1" max="2" width="8.77734375" style="872"/>
    <col min="3" max="3" width="14.77734375" style="872" bestFit="1" customWidth="1"/>
    <col min="4" max="4" width="13.77734375" style="872" customWidth="1"/>
    <col min="5" max="5" width="18.5546875" style="872" customWidth="1"/>
    <col min="6" max="6" width="16.6640625" style="872" customWidth="1"/>
    <col min="7" max="7" width="15.21875" style="872" customWidth="1"/>
    <col min="8" max="8" width="14" style="872" customWidth="1"/>
    <col min="9" max="9" width="16.5546875" style="872" customWidth="1"/>
    <col min="10" max="10" width="16.109375" style="872" customWidth="1"/>
    <col min="11" max="11" width="12.77734375" style="872" customWidth="1"/>
    <col min="12" max="12" width="12.5546875" style="872" customWidth="1"/>
    <col min="13" max="13" width="13.109375" style="872" customWidth="1"/>
    <col min="14" max="14" width="13.21875" style="872" customWidth="1"/>
    <col min="15" max="15" width="9.77734375" style="872" customWidth="1"/>
    <col min="16" max="16" width="14.21875" style="872" customWidth="1"/>
    <col min="17" max="16384" width="8.77734375" style="872"/>
  </cols>
  <sheetData>
    <row r="4" spans="3:17" ht="23.25" customHeight="1">
      <c r="C4" s="1899" t="s">
        <v>1123</v>
      </c>
      <c r="D4" s="1899"/>
      <c r="E4" s="1899"/>
      <c r="F4" s="1899"/>
      <c r="G4" s="1899"/>
      <c r="H4" s="1899"/>
      <c r="I4" s="1899"/>
      <c r="J4" s="1899"/>
      <c r="K4" s="1899"/>
      <c r="L4" s="1899"/>
      <c r="M4" s="1899"/>
      <c r="N4" s="1899"/>
      <c r="O4" s="1899"/>
      <c r="P4" s="1899"/>
      <c r="Q4" s="871"/>
    </row>
    <row r="5" spans="3:17" ht="15.75">
      <c r="C5" s="763"/>
      <c r="D5" s="873"/>
      <c r="E5" s="873"/>
      <c r="F5" s="873"/>
      <c r="G5" s="874"/>
      <c r="H5" s="874"/>
      <c r="I5" s="874"/>
      <c r="J5" s="874"/>
      <c r="K5" s="874"/>
      <c r="L5" s="873"/>
      <c r="M5" s="873"/>
      <c r="N5" s="875"/>
      <c r="O5" s="875"/>
      <c r="P5" s="875"/>
      <c r="Q5" s="871"/>
    </row>
    <row r="6" spans="3:17" ht="23.25" customHeight="1">
      <c r="C6" s="1900" t="s">
        <v>2</v>
      </c>
      <c r="D6" s="1900"/>
      <c r="E6" s="1900"/>
      <c r="F6" s="1900"/>
      <c r="G6" s="1900"/>
      <c r="H6" s="1900"/>
      <c r="I6" s="1900"/>
      <c r="J6" s="1900"/>
      <c r="K6" s="1900"/>
      <c r="L6" s="1900"/>
      <c r="M6" s="1900"/>
      <c r="N6" s="1900"/>
      <c r="O6" s="1900"/>
      <c r="P6" s="1900"/>
      <c r="Q6" s="871"/>
    </row>
    <row r="7" spans="3:17" ht="16.5" thickBot="1">
      <c r="C7" s="762"/>
      <c r="D7" s="874"/>
      <c r="E7" s="874"/>
      <c r="F7" s="874"/>
      <c r="G7" s="874"/>
      <c r="H7" s="874"/>
      <c r="I7" s="874"/>
      <c r="J7" s="874"/>
      <c r="K7" s="874"/>
      <c r="L7" s="874"/>
      <c r="M7" s="874"/>
      <c r="N7" s="874"/>
      <c r="O7" s="874"/>
      <c r="P7" s="874"/>
      <c r="Q7" s="871"/>
    </row>
    <row r="8" spans="3:17" ht="16.5" thickTop="1">
      <c r="C8" s="764"/>
      <c r="D8" s="876"/>
      <c r="E8" s="876"/>
      <c r="F8" s="876"/>
      <c r="G8" s="876"/>
      <c r="H8" s="876"/>
      <c r="I8" s="876"/>
      <c r="J8" s="876"/>
      <c r="K8" s="876"/>
      <c r="L8" s="876"/>
      <c r="M8" s="876"/>
      <c r="N8" s="876"/>
      <c r="O8" s="876"/>
      <c r="P8" s="876"/>
      <c r="Q8" s="877"/>
    </row>
    <row r="9" spans="3:17" ht="15.75">
      <c r="C9" s="766"/>
      <c r="D9" s="878" t="s">
        <v>392</v>
      </c>
      <c r="E9" s="878" t="s">
        <v>772</v>
      </c>
      <c r="F9" s="878" t="s">
        <v>393</v>
      </c>
      <c r="G9" s="878" t="s">
        <v>396</v>
      </c>
      <c r="H9" s="878" t="s">
        <v>401</v>
      </c>
      <c r="I9" s="878" t="s">
        <v>402</v>
      </c>
      <c r="J9" s="878" t="s">
        <v>403</v>
      </c>
      <c r="K9" s="878" t="s">
        <v>404</v>
      </c>
      <c r="L9" s="878" t="s">
        <v>405</v>
      </c>
      <c r="M9" s="878" t="s">
        <v>406</v>
      </c>
      <c r="N9" s="878" t="s">
        <v>407</v>
      </c>
      <c r="O9" s="878" t="s">
        <v>295</v>
      </c>
      <c r="P9" s="878" t="s">
        <v>287</v>
      </c>
      <c r="Q9" s="877"/>
    </row>
    <row r="10" spans="3:17" ht="15.75">
      <c r="C10" s="767" t="s">
        <v>263</v>
      </c>
      <c r="D10" s="878" t="s">
        <v>296</v>
      </c>
      <c r="E10" s="879"/>
      <c r="F10" s="879"/>
      <c r="G10" s="878" t="s">
        <v>296</v>
      </c>
      <c r="H10" s="878" t="s">
        <v>408</v>
      </c>
      <c r="I10" s="878" t="s">
        <v>409</v>
      </c>
      <c r="J10" s="878" t="s">
        <v>296</v>
      </c>
      <c r="K10" s="878" t="s">
        <v>296</v>
      </c>
      <c r="L10" s="878" t="s">
        <v>296</v>
      </c>
      <c r="M10" s="878" t="s">
        <v>296</v>
      </c>
      <c r="N10" s="878" t="s">
        <v>296</v>
      </c>
      <c r="O10" s="879"/>
      <c r="P10" s="879"/>
      <c r="Q10" s="877"/>
    </row>
    <row r="11" spans="3:17" ht="16.5" thickBot="1">
      <c r="C11" s="880"/>
      <c r="D11" s="881"/>
      <c r="E11" s="881"/>
      <c r="F11" s="881"/>
      <c r="G11" s="881"/>
      <c r="H11" s="881"/>
      <c r="I11" s="881"/>
      <c r="J11" s="881"/>
      <c r="K11" s="881"/>
      <c r="L11" s="881"/>
      <c r="M11" s="881"/>
      <c r="N11" s="881"/>
      <c r="O11" s="881"/>
      <c r="P11" s="882"/>
      <c r="Q11" s="877"/>
    </row>
    <row r="12" spans="3:17" ht="16.5" thickTop="1">
      <c r="C12" s="769"/>
      <c r="D12" s="883"/>
      <c r="E12" s="883"/>
      <c r="F12" s="883"/>
      <c r="G12" s="883"/>
      <c r="H12" s="883"/>
      <c r="I12" s="883"/>
      <c r="J12" s="883"/>
      <c r="K12" s="883"/>
      <c r="L12" s="883"/>
      <c r="M12" s="883"/>
      <c r="N12" s="883"/>
      <c r="O12" s="883"/>
      <c r="P12" s="883"/>
      <c r="Q12" s="877"/>
    </row>
    <row r="13" spans="3:17" ht="15.75">
      <c r="C13" s="884">
        <v>2009</v>
      </c>
      <c r="D13" s="767"/>
      <c r="E13" s="767"/>
      <c r="F13" s="770"/>
      <c r="G13" s="770"/>
      <c r="H13" s="770"/>
      <c r="I13" s="770"/>
      <c r="J13" s="770"/>
      <c r="K13" s="770"/>
      <c r="L13" s="770"/>
      <c r="M13" s="770"/>
      <c r="N13" s="770"/>
      <c r="O13" s="770"/>
      <c r="P13" s="771"/>
      <c r="Q13" s="877"/>
    </row>
    <row r="14" spans="3:17" ht="15.75">
      <c r="C14" s="837"/>
      <c r="D14" s="767"/>
      <c r="E14" s="767"/>
      <c r="F14" s="770"/>
      <c r="G14" s="770"/>
      <c r="H14" s="770"/>
      <c r="I14" s="770"/>
      <c r="J14" s="770"/>
      <c r="K14" s="770"/>
      <c r="L14" s="770"/>
      <c r="M14" s="770"/>
      <c r="N14" s="770"/>
      <c r="O14" s="770"/>
      <c r="P14" s="771"/>
    </row>
    <row r="15" spans="3:17" ht="15.75">
      <c r="C15" s="837" t="s">
        <v>298</v>
      </c>
      <c r="D15" s="885">
        <v>27419.3</v>
      </c>
      <c r="E15" s="885">
        <v>1011434.63</v>
      </c>
      <c r="F15" s="885">
        <v>0</v>
      </c>
      <c r="G15" s="885">
        <v>437965.96</v>
      </c>
      <c r="H15" s="885">
        <v>361061.91</v>
      </c>
      <c r="I15" s="885">
        <v>0</v>
      </c>
      <c r="J15" s="885">
        <v>1515788.91</v>
      </c>
      <c r="K15" s="885">
        <v>586735.15</v>
      </c>
      <c r="L15" s="885">
        <v>459075.8</v>
      </c>
      <c r="M15" s="885">
        <v>0</v>
      </c>
      <c r="N15" s="885">
        <v>270586.84999999998</v>
      </c>
      <c r="O15" s="885">
        <v>531896.55000000005</v>
      </c>
      <c r="P15" s="886">
        <f>(SUM(D15:O15))</f>
        <v>5201965.0599999996</v>
      </c>
    </row>
    <row r="16" spans="3:17" ht="15.75">
      <c r="C16" s="837"/>
      <c r="D16" s="885"/>
      <c r="E16" s="885"/>
      <c r="F16" s="885"/>
      <c r="G16" s="885"/>
      <c r="H16" s="885"/>
      <c r="I16" s="885"/>
      <c r="J16" s="885"/>
      <c r="K16" s="885"/>
      <c r="L16" s="885"/>
      <c r="M16" s="885"/>
      <c r="N16" s="885"/>
      <c r="O16" s="885"/>
      <c r="P16" s="887"/>
    </row>
    <row r="17" spans="3:16" ht="15.75">
      <c r="C17" s="837" t="s">
        <v>299</v>
      </c>
      <c r="D17" s="885">
        <v>48555.199999999997</v>
      </c>
      <c r="E17" s="885">
        <v>94113.65</v>
      </c>
      <c r="F17" s="885">
        <v>0</v>
      </c>
      <c r="G17" s="885">
        <v>247665.14</v>
      </c>
      <c r="H17" s="885">
        <v>171453.52</v>
      </c>
      <c r="I17" s="885">
        <v>0</v>
      </c>
      <c r="J17" s="885">
        <v>1331165.3500000001</v>
      </c>
      <c r="K17" s="885">
        <v>819044</v>
      </c>
      <c r="L17" s="885">
        <v>459654.01</v>
      </c>
      <c r="M17" s="885">
        <v>0</v>
      </c>
      <c r="N17" s="885">
        <v>227508.55</v>
      </c>
      <c r="O17" s="885">
        <v>746211.36</v>
      </c>
      <c r="P17" s="887">
        <f>(SUM(D17:O17))</f>
        <v>4145370.78</v>
      </c>
    </row>
    <row r="18" spans="3:16" ht="15.75">
      <c r="C18" s="837"/>
      <c r="D18" s="885"/>
      <c r="E18" s="885"/>
      <c r="F18" s="885"/>
      <c r="G18" s="885"/>
      <c r="H18" s="885"/>
      <c r="I18" s="885"/>
      <c r="J18" s="885"/>
      <c r="K18" s="885"/>
      <c r="L18" s="885"/>
      <c r="M18" s="885"/>
      <c r="N18" s="885"/>
      <c r="O18" s="885"/>
      <c r="P18" s="887"/>
    </row>
    <row r="19" spans="3:16" ht="15.75">
      <c r="C19" s="837" t="s">
        <v>300</v>
      </c>
      <c r="D19" s="885">
        <v>0</v>
      </c>
      <c r="E19" s="885">
        <v>106941.89</v>
      </c>
      <c r="F19" s="885">
        <v>0</v>
      </c>
      <c r="G19" s="885">
        <v>450123.63</v>
      </c>
      <c r="H19" s="885">
        <v>1013680.9</v>
      </c>
      <c r="I19" s="885">
        <v>413066.07</v>
      </c>
      <c r="J19" s="885">
        <v>1702617.31</v>
      </c>
      <c r="K19" s="885">
        <v>1444504.56</v>
      </c>
      <c r="L19" s="885">
        <v>455779.63</v>
      </c>
      <c r="M19" s="885">
        <v>0</v>
      </c>
      <c r="N19" s="885">
        <v>473323</v>
      </c>
      <c r="O19" s="885">
        <v>1444504.56</v>
      </c>
      <c r="P19" s="887">
        <f>(SUM(D19:O19))</f>
        <v>7504541.5499999989</v>
      </c>
    </row>
    <row r="20" spans="3:16" ht="15.75">
      <c r="C20" s="837"/>
      <c r="D20" s="885"/>
      <c r="E20" s="885"/>
      <c r="F20" s="885"/>
      <c r="G20" s="885"/>
      <c r="H20" s="885"/>
      <c r="I20" s="885"/>
      <c r="J20" s="885"/>
      <c r="K20" s="885"/>
      <c r="L20" s="885"/>
      <c r="M20" s="885"/>
      <c r="N20" s="885"/>
      <c r="O20" s="885"/>
      <c r="P20" s="887"/>
    </row>
    <row r="21" spans="3:16" ht="15.75">
      <c r="C21" s="837" t="s">
        <v>301</v>
      </c>
      <c r="D21" s="885">
        <v>1402344</v>
      </c>
      <c r="E21" s="885">
        <v>5083</v>
      </c>
      <c r="F21" s="885">
        <v>87474</v>
      </c>
      <c r="G21" s="885">
        <v>653946</v>
      </c>
      <c r="H21" s="885">
        <v>931381</v>
      </c>
      <c r="I21" s="885">
        <v>2326814</v>
      </c>
      <c r="J21" s="885">
        <v>847347</v>
      </c>
      <c r="K21" s="885">
        <v>814855</v>
      </c>
      <c r="L21" s="885">
        <v>650920</v>
      </c>
      <c r="M21" s="885">
        <v>452922</v>
      </c>
      <c r="N21" s="885">
        <v>705892</v>
      </c>
      <c r="O21" s="885">
        <v>1239119</v>
      </c>
      <c r="P21" s="887">
        <f>(SUM(D21:O21))</f>
        <v>10118097</v>
      </c>
    </row>
    <row r="22" spans="3:16" ht="15.75">
      <c r="C22" s="837"/>
      <c r="D22" s="885"/>
      <c r="E22" s="885"/>
      <c r="F22" s="885"/>
      <c r="G22" s="885"/>
      <c r="H22" s="885"/>
      <c r="I22" s="885"/>
      <c r="J22" s="885"/>
      <c r="K22" s="885"/>
      <c r="L22" s="885"/>
      <c r="M22" s="885"/>
      <c r="N22" s="885"/>
      <c r="O22" s="885"/>
      <c r="P22" s="887"/>
    </row>
    <row r="23" spans="3:16" ht="15.75">
      <c r="C23" s="837" t="s">
        <v>302</v>
      </c>
      <c r="D23" s="885">
        <v>3622640</v>
      </c>
      <c r="E23" s="885">
        <v>2343</v>
      </c>
      <c r="F23" s="885">
        <v>202268</v>
      </c>
      <c r="G23" s="885">
        <v>576946</v>
      </c>
      <c r="H23" s="885">
        <v>2241449</v>
      </c>
      <c r="I23" s="885">
        <v>1238185</v>
      </c>
      <c r="J23" s="885">
        <v>916574</v>
      </c>
      <c r="K23" s="885">
        <v>1300523</v>
      </c>
      <c r="L23" s="885">
        <v>1201957</v>
      </c>
      <c r="M23" s="885">
        <v>442646</v>
      </c>
      <c r="N23" s="885">
        <v>707914</v>
      </c>
      <c r="O23" s="885">
        <v>798680</v>
      </c>
      <c r="P23" s="887">
        <f>(SUM(D23:O23))</f>
        <v>13252125</v>
      </c>
    </row>
    <row r="24" spans="3:16" ht="15.75">
      <c r="C24" s="837"/>
      <c r="D24" s="885"/>
      <c r="E24" s="885"/>
      <c r="F24" s="885"/>
      <c r="G24" s="885"/>
      <c r="H24" s="885"/>
      <c r="I24" s="885"/>
      <c r="J24" s="885"/>
      <c r="K24" s="885"/>
      <c r="L24" s="885"/>
      <c r="M24" s="885"/>
      <c r="N24" s="885"/>
      <c r="O24" s="885"/>
      <c r="P24" s="887"/>
    </row>
    <row r="25" spans="3:16" ht="15.75">
      <c r="C25" s="834" t="s">
        <v>303</v>
      </c>
      <c r="D25" s="885">
        <v>1420868.1</v>
      </c>
      <c r="E25" s="885">
        <v>7662499</v>
      </c>
      <c r="F25" s="885">
        <v>0</v>
      </c>
      <c r="G25" s="885">
        <v>3961486</v>
      </c>
      <c r="H25" s="885">
        <v>32542</v>
      </c>
      <c r="I25" s="885">
        <v>65796</v>
      </c>
      <c r="J25" s="885">
        <v>3979025</v>
      </c>
      <c r="K25" s="885">
        <v>2632937</v>
      </c>
      <c r="L25" s="885">
        <v>892554</v>
      </c>
      <c r="M25" s="885">
        <v>1034246</v>
      </c>
      <c r="N25" s="885">
        <v>383281</v>
      </c>
      <c r="O25" s="885">
        <v>221045</v>
      </c>
      <c r="P25" s="887">
        <f>(SUM(D25:O25))</f>
        <v>22286279.100000001</v>
      </c>
    </row>
    <row r="26" spans="3:16" ht="15.75">
      <c r="C26" s="834"/>
      <c r="D26" s="885"/>
      <c r="E26" s="885"/>
      <c r="F26" s="885"/>
      <c r="G26" s="885"/>
      <c r="H26" s="885"/>
      <c r="I26" s="885"/>
      <c r="J26" s="885"/>
      <c r="K26" s="885"/>
      <c r="L26" s="885"/>
      <c r="M26" s="885"/>
      <c r="N26" s="885"/>
      <c r="O26" s="885"/>
      <c r="P26" s="887"/>
    </row>
    <row r="27" spans="3:16" ht="15.75">
      <c r="C27" s="837" t="s">
        <v>304</v>
      </c>
      <c r="D27" s="888">
        <v>4272611.84</v>
      </c>
      <c r="E27" s="888">
        <v>765361.62</v>
      </c>
      <c r="F27" s="888">
        <v>48592.69</v>
      </c>
      <c r="G27" s="888">
        <v>1720261.1</v>
      </c>
      <c r="H27" s="888">
        <v>3579986.63</v>
      </c>
      <c r="I27" s="888">
        <v>9701512.7899999991</v>
      </c>
      <c r="J27" s="888">
        <v>5377678.5300000003</v>
      </c>
      <c r="K27" s="888">
        <v>3272654.15</v>
      </c>
      <c r="L27" s="888">
        <v>14410981.98</v>
      </c>
      <c r="M27" s="888">
        <v>1990771.59</v>
      </c>
      <c r="N27" s="888">
        <v>9862658.1099999994</v>
      </c>
      <c r="O27" s="888">
        <v>2827510.26</v>
      </c>
      <c r="P27" s="887">
        <f>(SUM(D27:O27))</f>
        <v>57830581.289999999</v>
      </c>
    </row>
    <row r="28" spans="3:16" ht="15.75">
      <c r="C28" s="837"/>
      <c r="D28" s="885"/>
      <c r="E28" s="885"/>
      <c r="F28" s="885"/>
      <c r="G28" s="885"/>
      <c r="H28" s="885"/>
      <c r="I28" s="885"/>
      <c r="J28" s="885"/>
      <c r="K28" s="885"/>
      <c r="L28" s="885"/>
      <c r="M28" s="885"/>
      <c r="N28" s="885"/>
      <c r="O28" s="885"/>
      <c r="P28" s="887"/>
    </row>
    <row r="29" spans="3:16" ht="15.75">
      <c r="C29" s="837" t="s">
        <v>305</v>
      </c>
      <c r="D29" s="888">
        <v>1739870.73</v>
      </c>
      <c r="E29" s="888">
        <v>3043060.16</v>
      </c>
      <c r="F29" s="888">
        <v>643627.22</v>
      </c>
      <c r="G29" s="888">
        <v>1424987.53</v>
      </c>
      <c r="H29" s="888">
        <v>9533282.6300000008</v>
      </c>
      <c r="I29" s="888">
        <v>14785211.48</v>
      </c>
      <c r="J29" s="888">
        <v>4781934.05</v>
      </c>
      <c r="K29" s="888">
        <v>660765.63</v>
      </c>
      <c r="L29" s="888">
        <v>15900006.430000002</v>
      </c>
      <c r="M29" s="888">
        <v>3165985.58</v>
      </c>
      <c r="N29" s="888">
        <v>7506101.5699999994</v>
      </c>
      <c r="O29" s="888">
        <v>1383832.56</v>
      </c>
      <c r="P29" s="887">
        <f>SUM(D29:O29)</f>
        <v>64568665.57</v>
      </c>
    </row>
    <row r="30" spans="3:16" ht="15.75">
      <c r="C30" s="837"/>
      <c r="D30" s="885"/>
      <c r="E30" s="885"/>
      <c r="F30" s="885"/>
      <c r="G30" s="885"/>
      <c r="H30" s="885"/>
      <c r="I30" s="885"/>
      <c r="J30" s="885"/>
      <c r="K30" s="885"/>
      <c r="L30" s="885"/>
      <c r="M30" s="885"/>
      <c r="N30" s="885"/>
      <c r="O30" s="885"/>
      <c r="P30" s="887"/>
    </row>
    <row r="31" spans="3:16" ht="15.75">
      <c r="C31" s="837" t="s">
        <v>306</v>
      </c>
      <c r="D31" s="888">
        <v>1705819.86</v>
      </c>
      <c r="E31" s="888">
        <v>3641074</v>
      </c>
      <c r="F31" s="888">
        <v>843201</v>
      </c>
      <c r="G31" s="888">
        <v>102150</v>
      </c>
      <c r="H31" s="888">
        <v>5202031.62</v>
      </c>
      <c r="I31" s="888">
        <v>19728869.620000001</v>
      </c>
      <c r="J31" s="888">
        <v>6366566</v>
      </c>
      <c r="K31" s="888">
        <v>742335.66</v>
      </c>
      <c r="L31" s="888">
        <v>20563197.699999999</v>
      </c>
      <c r="M31" s="888">
        <v>2002287.66</v>
      </c>
      <c r="N31" s="888">
        <v>8136519.9699999997</v>
      </c>
      <c r="O31" s="888">
        <v>455332</v>
      </c>
      <c r="P31" s="887">
        <f>SUM(D31:O31)</f>
        <v>69489385.089999989</v>
      </c>
    </row>
    <row r="32" spans="3:16" ht="15.75">
      <c r="C32" s="837"/>
      <c r="D32" s="885"/>
      <c r="E32" s="885"/>
      <c r="F32" s="885"/>
      <c r="G32" s="885"/>
      <c r="H32" s="885"/>
      <c r="I32" s="885"/>
      <c r="J32" s="885"/>
      <c r="K32" s="885"/>
      <c r="L32" s="885"/>
      <c r="M32" s="885"/>
      <c r="N32" s="885"/>
      <c r="O32" s="885"/>
      <c r="P32" s="887"/>
    </row>
    <row r="33" spans="3:16" ht="15.75">
      <c r="C33" s="837" t="s">
        <v>307</v>
      </c>
      <c r="D33" s="888">
        <v>2439026</v>
      </c>
      <c r="E33" s="888">
        <v>4806571.18</v>
      </c>
      <c r="F33" s="888">
        <v>52245</v>
      </c>
      <c r="G33" s="888">
        <v>1089172</v>
      </c>
      <c r="H33" s="888">
        <v>5043797</v>
      </c>
      <c r="I33" s="888">
        <v>19890530.889225516</v>
      </c>
      <c r="J33" s="888">
        <v>9939412.2829045355</v>
      </c>
      <c r="K33" s="888">
        <v>11051245.390000001</v>
      </c>
      <c r="L33" s="888">
        <v>26399608.299441051</v>
      </c>
      <c r="M33" s="888">
        <v>1927020.6199894028</v>
      </c>
      <c r="N33" s="888">
        <v>6999257.5339087788</v>
      </c>
      <c r="O33" s="888">
        <v>15159629.344245037</v>
      </c>
      <c r="P33" s="887">
        <f>SUM(D33:O33)</f>
        <v>104797515.53971434</v>
      </c>
    </row>
    <row r="34" spans="3:16" ht="15.75">
      <c r="C34" s="837"/>
      <c r="D34" s="767"/>
      <c r="E34" s="767"/>
      <c r="F34" s="770"/>
      <c r="G34" s="770"/>
      <c r="H34" s="770"/>
      <c r="I34" s="770"/>
      <c r="J34" s="770"/>
      <c r="K34" s="770"/>
      <c r="L34" s="770"/>
      <c r="M34" s="770"/>
      <c r="N34" s="770"/>
      <c r="O34" s="770"/>
      <c r="P34" s="887"/>
    </row>
    <row r="35" spans="3:16" ht="15.75">
      <c r="C35" s="837" t="s">
        <v>308</v>
      </c>
      <c r="D35" s="888">
        <v>7592405.9368179999</v>
      </c>
      <c r="E35" s="888">
        <v>3784318.42</v>
      </c>
      <c r="F35" s="888">
        <v>155404</v>
      </c>
      <c r="G35" s="888">
        <v>1110503</v>
      </c>
      <c r="H35" s="888">
        <v>15379597.685752476</v>
      </c>
      <c r="I35" s="888">
        <v>20586197</v>
      </c>
      <c r="J35" s="888">
        <v>10324288.967331357</v>
      </c>
      <c r="K35" s="888">
        <v>3195314.91</v>
      </c>
      <c r="L35" s="888">
        <v>28015888.065294638</v>
      </c>
      <c r="M35" s="888">
        <v>2132692.39</v>
      </c>
      <c r="N35" s="888">
        <v>5521862.7704306366</v>
      </c>
      <c r="O35" s="888">
        <v>8623077</v>
      </c>
      <c r="P35" s="887">
        <f>SUM(D35:O35)</f>
        <v>106421550.14562711</v>
      </c>
    </row>
    <row r="36" spans="3:16" ht="15.75">
      <c r="C36" s="837"/>
      <c r="D36" s="888"/>
      <c r="E36" s="888"/>
      <c r="F36" s="888"/>
      <c r="G36" s="888"/>
      <c r="H36" s="888"/>
      <c r="I36" s="888"/>
      <c r="J36" s="888"/>
      <c r="K36" s="888"/>
      <c r="L36" s="888"/>
      <c r="M36" s="888"/>
      <c r="N36" s="888"/>
      <c r="O36" s="770"/>
      <c r="P36" s="887"/>
    </row>
    <row r="37" spans="3:16" ht="15.75">
      <c r="C37" s="837" t="s">
        <v>311</v>
      </c>
      <c r="D37" s="888">
        <v>3994744</v>
      </c>
      <c r="E37" s="888">
        <v>13143782</v>
      </c>
      <c r="F37" s="888">
        <v>53039</v>
      </c>
      <c r="G37" s="888">
        <v>2508514</v>
      </c>
      <c r="H37" s="888">
        <v>2786792</v>
      </c>
      <c r="I37" s="888">
        <v>23196476</v>
      </c>
      <c r="J37" s="888">
        <v>9561668</v>
      </c>
      <c r="K37" s="888">
        <v>3202870</v>
      </c>
      <c r="L37" s="888">
        <v>46655137</v>
      </c>
      <c r="M37" s="888">
        <v>2022005</v>
      </c>
      <c r="N37" s="888">
        <v>13321243</v>
      </c>
      <c r="O37" s="888">
        <v>3178918</v>
      </c>
      <c r="P37" s="887">
        <f>SUM(D37:O37)</f>
        <v>123625188</v>
      </c>
    </row>
    <row r="38" spans="3:16" ht="15.75">
      <c r="C38" s="837"/>
      <c r="D38" s="888"/>
      <c r="E38" s="888"/>
      <c r="F38" s="888"/>
      <c r="G38" s="888"/>
      <c r="H38" s="888"/>
      <c r="I38" s="888"/>
      <c r="J38" s="888"/>
      <c r="K38" s="888"/>
      <c r="L38" s="888"/>
      <c r="M38" s="888"/>
      <c r="N38" s="888"/>
      <c r="O38" s="770"/>
      <c r="P38" s="887"/>
    </row>
    <row r="39" spans="3:16" ht="15.75">
      <c r="C39" s="884">
        <v>2010</v>
      </c>
      <c r="D39" s="888"/>
      <c r="E39" s="888"/>
      <c r="F39" s="888"/>
      <c r="G39" s="888"/>
      <c r="H39" s="888"/>
      <c r="I39" s="888"/>
      <c r="J39" s="888"/>
      <c r="K39" s="888"/>
      <c r="L39" s="888"/>
      <c r="M39" s="888"/>
      <c r="N39" s="888"/>
      <c r="O39" s="770"/>
      <c r="P39" s="887"/>
    </row>
    <row r="40" spans="3:16" ht="15.75">
      <c r="C40" s="884"/>
      <c r="D40" s="888"/>
      <c r="E40" s="888"/>
      <c r="F40" s="888"/>
      <c r="G40" s="888"/>
      <c r="H40" s="888"/>
      <c r="I40" s="888"/>
      <c r="J40" s="888"/>
      <c r="K40" s="888"/>
      <c r="L40" s="888"/>
      <c r="M40" s="888"/>
      <c r="N40" s="888"/>
      <c r="O40" s="770"/>
      <c r="P40" s="887"/>
    </row>
    <row r="41" spans="3:16" ht="15.75">
      <c r="C41" s="889" t="s">
        <v>298</v>
      </c>
      <c r="D41" s="888">
        <v>2442249</v>
      </c>
      <c r="E41" s="888">
        <v>12724009</v>
      </c>
      <c r="F41" s="888">
        <v>34568</v>
      </c>
      <c r="G41" s="888">
        <v>1649449</v>
      </c>
      <c r="H41" s="888">
        <v>3747712</v>
      </c>
      <c r="I41" s="888">
        <v>5533100</v>
      </c>
      <c r="J41" s="888">
        <v>10688815</v>
      </c>
      <c r="K41" s="888">
        <v>13800658</v>
      </c>
      <c r="L41" s="888">
        <v>51038871</v>
      </c>
      <c r="M41" s="888">
        <v>1191372</v>
      </c>
      <c r="N41" s="888">
        <v>10403473</v>
      </c>
      <c r="O41" s="888">
        <v>13482570</v>
      </c>
      <c r="P41" s="887">
        <f>SUM(D41:O41)</f>
        <v>126736846</v>
      </c>
    </row>
    <row r="42" spans="3:16" ht="15.75">
      <c r="C42" s="889"/>
      <c r="D42" s="888"/>
      <c r="E42" s="888"/>
      <c r="F42" s="888"/>
      <c r="G42" s="888"/>
      <c r="H42" s="888"/>
      <c r="I42" s="888"/>
      <c r="J42" s="888"/>
      <c r="K42" s="888"/>
      <c r="L42" s="888"/>
      <c r="M42" s="888"/>
      <c r="N42" s="888"/>
      <c r="O42" s="770"/>
      <c r="P42" s="887"/>
    </row>
    <row r="43" spans="3:16" ht="15.75">
      <c r="C43" s="889" t="s">
        <v>299</v>
      </c>
      <c r="D43" s="888">
        <v>3442212</v>
      </c>
      <c r="E43" s="888">
        <v>13170468</v>
      </c>
      <c r="F43" s="888">
        <v>27032</v>
      </c>
      <c r="G43" s="888">
        <v>981657</v>
      </c>
      <c r="H43" s="888">
        <v>3727616</v>
      </c>
      <c r="I43" s="888">
        <v>15785947</v>
      </c>
      <c r="J43" s="888">
        <v>10195901</v>
      </c>
      <c r="K43" s="888">
        <v>7215509</v>
      </c>
      <c r="L43" s="888">
        <v>53251271</v>
      </c>
      <c r="M43" s="888">
        <v>1123759</v>
      </c>
      <c r="N43" s="888">
        <v>10340312</v>
      </c>
      <c r="O43" s="770">
        <v>6897420</v>
      </c>
      <c r="P43" s="887">
        <f>SUM(D43:O43)</f>
        <v>126159104</v>
      </c>
    </row>
    <row r="44" spans="3:16" ht="15.75">
      <c r="C44" s="837"/>
      <c r="D44" s="888"/>
      <c r="E44" s="888"/>
      <c r="F44" s="888"/>
      <c r="G44" s="888"/>
      <c r="H44" s="888"/>
      <c r="I44" s="888"/>
      <c r="J44" s="888"/>
      <c r="K44" s="888"/>
      <c r="L44" s="888"/>
      <c r="M44" s="888"/>
      <c r="N44" s="888"/>
      <c r="O44" s="770"/>
      <c r="P44" s="887"/>
    </row>
    <row r="45" spans="3:16" ht="15.75">
      <c r="C45" s="837" t="s">
        <v>300</v>
      </c>
      <c r="D45" s="888">
        <v>3442212</v>
      </c>
      <c r="E45" s="888">
        <v>13170468</v>
      </c>
      <c r="F45" s="888">
        <v>27032</v>
      </c>
      <c r="G45" s="888">
        <v>981657</v>
      </c>
      <c r="H45" s="888">
        <v>3727616</v>
      </c>
      <c r="I45" s="888">
        <v>15785947</v>
      </c>
      <c r="J45" s="888">
        <v>12046449</v>
      </c>
      <c r="K45" s="888">
        <v>7215509</v>
      </c>
      <c r="L45" s="888">
        <v>60158753</v>
      </c>
      <c r="M45" s="888">
        <v>1123759</v>
      </c>
      <c r="N45" s="888">
        <v>10655790</v>
      </c>
      <c r="O45" s="888">
        <v>6897420</v>
      </c>
      <c r="P45" s="887">
        <f>SUM(D45:O45)</f>
        <v>135232612</v>
      </c>
    </row>
    <row r="46" spans="3:16" ht="15.75">
      <c r="C46" s="837"/>
      <c r="D46" s="888"/>
      <c r="E46" s="888"/>
      <c r="F46" s="888"/>
      <c r="G46" s="888"/>
      <c r="H46" s="888"/>
      <c r="I46" s="888"/>
      <c r="J46" s="888"/>
      <c r="K46" s="888"/>
      <c r="L46" s="888"/>
      <c r="M46" s="888"/>
      <c r="N46" s="888"/>
      <c r="O46" s="770"/>
      <c r="P46" s="887"/>
    </row>
    <row r="47" spans="3:16" ht="15.75">
      <c r="C47" s="837" t="s">
        <v>301</v>
      </c>
      <c r="D47" s="888">
        <v>5011214</v>
      </c>
      <c r="E47" s="888">
        <v>15686237</v>
      </c>
      <c r="F47" s="888">
        <v>784020</v>
      </c>
      <c r="G47" s="888">
        <v>1373649</v>
      </c>
      <c r="H47" s="888">
        <v>33482262</v>
      </c>
      <c r="I47" s="888">
        <v>5691182</v>
      </c>
      <c r="J47" s="888">
        <v>1969845</v>
      </c>
      <c r="K47" s="888">
        <v>730944</v>
      </c>
      <c r="L47" s="888">
        <v>34657825</v>
      </c>
      <c r="M47" s="888">
        <v>1194821</v>
      </c>
      <c r="N47" s="888">
        <v>12108196</v>
      </c>
      <c r="O47" s="888">
        <v>408765</v>
      </c>
      <c r="P47" s="887">
        <f>SUM(D47:O47)</f>
        <v>113098960</v>
      </c>
    </row>
    <row r="48" spans="3:16" ht="15.75">
      <c r="C48" s="837"/>
      <c r="D48" s="888"/>
      <c r="E48" s="888"/>
      <c r="F48" s="888"/>
      <c r="G48" s="888"/>
      <c r="H48" s="888"/>
      <c r="I48" s="888"/>
      <c r="J48" s="888"/>
      <c r="K48" s="888"/>
      <c r="L48" s="888"/>
      <c r="M48" s="888"/>
      <c r="N48" s="888"/>
      <c r="O48" s="770"/>
      <c r="P48" s="887"/>
    </row>
    <row r="49" spans="3:16" ht="15.75">
      <c r="C49" s="837" t="s">
        <v>302</v>
      </c>
      <c r="D49" s="888">
        <v>7687566</v>
      </c>
      <c r="E49" s="888">
        <v>1970375</v>
      </c>
      <c r="F49" s="888">
        <v>592402</v>
      </c>
      <c r="G49" s="888">
        <v>3655222</v>
      </c>
      <c r="H49" s="888">
        <v>21669471</v>
      </c>
      <c r="I49" s="888">
        <v>52834337</v>
      </c>
      <c r="J49" s="888">
        <v>7755498</v>
      </c>
      <c r="K49" s="888">
        <v>14894719</v>
      </c>
      <c r="L49" s="888">
        <v>43703461</v>
      </c>
      <c r="M49" s="888">
        <v>3789116</v>
      </c>
      <c r="N49" s="888">
        <v>22088101</v>
      </c>
      <c r="O49" s="770">
        <v>11646142</v>
      </c>
      <c r="P49" s="887">
        <f>SUM(D49:O49)</f>
        <v>192286410</v>
      </c>
    </row>
    <row r="50" spans="3:16" ht="15.75">
      <c r="C50" s="837"/>
      <c r="D50" s="888"/>
      <c r="E50" s="888"/>
      <c r="F50" s="888"/>
      <c r="G50" s="888"/>
      <c r="H50" s="888"/>
      <c r="I50" s="888"/>
      <c r="J50" s="888"/>
      <c r="K50" s="888"/>
      <c r="L50" s="888"/>
      <c r="M50" s="888"/>
      <c r="N50" s="888"/>
      <c r="O50" s="770"/>
      <c r="P50" s="887"/>
    </row>
    <row r="51" spans="3:16" ht="15.75">
      <c r="C51" s="834" t="s">
        <v>303</v>
      </c>
      <c r="D51" s="888">
        <v>9647545</v>
      </c>
      <c r="E51" s="888">
        <v>1277604</v>
      </c>
      <c r="F51" s="888">
        <v>1299785</v>
      </c>
      <c r="G51" s="888">
        <v>1108116</v>
      </c>
      <c r="H51" s="888">
        <v>57880712</v>
      </c>
      <c r="I51" s="888">
        <v>45584306</v>
      </c>
      <c r="J51" s="888">
        <v>4815913</v>
      </c>
      <c r="K51" s="888">
        <v>13133581</v>
      </c>
      <c r="L51" s="888">
        <v>65985323</v>
      </c>
      <c r="M51" s="888">
        <v>7592461</v>
      </c>
      <c r="N51" s="888">
        <v>23173776</v>
      </c>
      <c r="O51" s="888">
        <v>6735575</v>
      </c>
      <c r="P51" s="887">
        <f>SUM(D51:O51)</f>
        <v>238234697</v>
      </c>
    </row>
    <row r="52" spans="3:16" ht="15.75">
      <c r="C52" s="834"/>
      <c r="D52" s="888"/>
      <c r="E52" s="888"/>
      <c r="F52" s="888"/>
      <c r="G52" s="888"/>
      <c r="H52" s="888"/>
      <c r="I52" s="888"/>
      <c r="J52" s="888"/>
      <c r="K52" s="888"/>
      <c r="L52" s="888"/>
      <c r="M52" s="888"/>
      <c r="N52" s="888"/>
      <c r="O52" s="770"/>
      <c r="P52" s="887"/>
    </row>
    <row r="53" spans="3:16" ht="15.75">
      <c r="C53" s="837" t="s">
        <v>304</v>
      </c>
      <c r="D53" s="888">
        <v>6831394</v>
      </c>
      <c r="E53" s="888">
        <v>1520844</v>
      </c>
      <c r="F53" s="888">
        <v>915150</v>
      </c>
      <c r="G53" s="888">
        <v>4355584</v>
      </c>
      <c r="H53" s="888">
        <v>11278975</v>
      </c>
      <c r="I53" s="888">
        <v>86588632</v>
      </c>
      <c r="J53" s="888">
        <v>11052944</v>
      </c>
      <c r="K53" s="888">
        <v>19028354</v>
      </c>
      <c r="L53" s="888">
        <v>58667528</v>
      </c>
      <c r="M53" s="888">
        <v>8380786</v>
      </c>
      <c r="N53" s="888">
        <v>24574221</v>
      </c>
      <c r="O53" s="888">
        <v>13796449</v>
      </c>
      <c r="P53" s="887">
        <f>SUM(D53:O53)</f>
        <v>246990861</v>
      </c>
    </row>
    <row r="54" spans="3:16" ht="15.75">
      <c r="C54" s="837"/>
      <c r="D54" s="888"/>
      <c r="E54" s="888"/>
      <c r="F54" s="888"/>
      <c r="G54" s="888"/>
      <c r="H54" s="888"/>
      <c r="I54" s="888"/>
      <c r="J54" s="888"/>
      <c r="K54" s="888"/>
      <c r="L54" s="888"/>
      <c r="M54" s="888"/>
      <c r="N54" s="888"/>
      <c r="O54" s="770"/>
      <c r="P54" s="887"/>
    </row>
    <row r="55" spans="3:16" ht="15.75">
      <c r="C55" s="837" t="s">
        <v>305</v>
      </c>
      <c r="D55" s="888">
        <v>10560846</v>
      </c>
      <c r="E55" s="888">
        <v>3907106</v>
      </c>
      <c r="F55" s="888">
        <v>1252098</v>
      </c>
      <c r="G55" s="888">
        <v>3516366</v>
      </c>
      <c r="H55" s="888">
        <v>27507342</v>
      </c>
      <c r="I55" s="888">
        <v>91561627</v>
      </c>
      <c r="J55" s="888">
        <v>5030333</v>
      </c>
      <c r="K55" s="888">
        <v>16739458</v>
      </c>
      <c r="L55" s="888">
        <v>49080006</v>
      </c>
      <c r="M55" s="888">
        <v>8993399</v>
      </c>
      <c r="N55" s="888">
        <v>15946952</v>
      </c>
      <c r="O55" s="888">
        <v>12460720</v>
      </c>
      <c r="P55" s="887">
        <f>SUM(D55:O55)</f>
        <v>246556253</v>
      </c>
    </row>
    <row r="56" spans="3:16" ht="15.75">
      <c r="C56" s="837"/>
      <c r="D56" s="888"/>
      <c r="E56" s="888"/>
      <c r="F56" s="888"/>
      <c r="G56" s="888"/>
      <c r="H56" s="888"/>
      <c r="I56" s="888"/>
      <c r="J56" s="888"/>
      <c r="K56" s="888"/>
      <c r="L56" s="888"/>
      <c r="M56" s="888"/>
      <c r="N56" s="888"/>
      <c r="O56" s="770"/>
      <c r="P56" s="887"/>
    </row>
    <row r="57" spans="3:16" ht="15.75">
      <c r="C57" s="837" t="s">
        <v>306</v>
      </c>
      <c r="D57" s="888">
        <v>14636627</v>
      </c>
      <c r="E57" s="888">
        <v>6003152</v>
      </c>
      <c r="F57" s="888">
        <v>356190</v>
      </c>
      <c r="G57" s="888">
        <v>4060267</v>
      </c>
      <c r="H57" s="888">
        <v>23256757</v>
      </c>
      <c r="I57" s="888">
        <v>117849870</v>
      </c>
      <c r="J57" s="888">
        <v>31165296</v>
      </c>
      <c r="K57" s="888">
        <v>11141282</v>
      </c>
      <c r="L57" s="888">
        <v>59205964</v>
      </c>
      <c r="M57" s="888">
        <v>16427811</v>
      </c>
      <c r="N57" s="888">
        <v>18411760</v>
      </c>
      <c r="O57" s="888">
        <v>10447924</v>
      </c>
      <c r="P57" s="887">
        <f>SUM(D57:O57)</f>
        <v>312962900</v>
      </c>
    </row>
    <row r="58" spans="3:16" ht="15.75">
      <c r="C58" s="837"/>
      <c r="D58" s="888"/>
      <c r="E58" s="888"/>
      <c r="F58" s="888"/>
      <c r="G58" s="888"/>
      <c r="H58" s="888"/>
      <c r="I58" s="888"/>
      <c r="J58" s="888"/>
      <c r="K58" s="888"/>
      <c r="L58" s="888"/>
      <c r="M58" s="888"/>
      <c r="N58" s="888"/>
      <c r="O58" s="770"/>
      <c r="P58" s="887"/>
    </row>
    <row r="59" spans="3:16" ht="15.75">
      <c r="C59" s="837" t="s">
        <v>307</v>
      </c>
      <c r="D59" s="888">
        <v>16019491</v>
      </c>
      <c r="E59" s="888">
        <v>5968192</v>
      </c>
      <c r="F59" s="888">
        <v>222153</v>
      </c>
      <c r="G59" s="888">
        <v>3603629</v>
      </c>
      <c r="H59" s="888">
        <v>10753051</v>
      </c>
      <c r="I59" s="888">
        <v>115542570</v>
      </c>
      <c r="J59" s="888">
        <v>33653398</v>
      </c>
      <c r="K59" s="888">
        <v>17916698</v>
      </c>
      <c r="L59" s="888">
        <v>52984453</v>
      </c>
      <c r="M59" s="888">
        <v>16640377</v>
      </c>
      <c r="N59" s="888">
        <v>10741934</v>
      </c>
      <c r="O59" s="888">
        <v>10447924</v>
      </c>
      <c r="P59" s="887">
        <f>SUM(D59:O59)</f>
        <v>294493870</v>
      </c>
    </row>
    <row r="60" spans="3:16" ht="15.75">
      <c r="C60" s="837"/>
      <c r="D60" s="888"/>
      <c r="E60" s="888"/>
      <c r="F60" s="888"/>
      <c r="G60" s="888"/>
      <c r="H60" s="888"/>
      <c r="I60" s="888"/>
      <c r="J60" s="888"/>
      <c r="K60" s="888"/>
      <c r="L60" s="888"/>
      <c r="M60" s="888"/>
      <c r="N60" s="888"/>
      <c r="O60" s="770"/>
      <c r="P60" s="887"/>
    </row>
    <row r="61" spans="3:16" ht="15.75">
      <c r="C61" s="837" t="s">
        <v>308</v>
      </c>
      <c r="D61" s="888">
        <v>17746547</v>
      </c>
      <c r="E61" s="888">
        <v>5968192</v>
      </c>
      <c r="F61" s="888">
        <v>222153</v>
      </c>
      <c r="G61" s="888">
        <v>3603629</v>
      </c>
      <c r="H61" s="888">
        <v>10753051</v>
      </c>
      <c r="I61" s="888">
        <v>117543380</v>
      </c>
      <c r="J61" s="888">
        <v>36769205</v>
      </c>
      <c r="K61" s="888">
        <v>17916698</v>
      </c>
      <c r="L61" s="888">
        <v>57500770</v>
      </c>
      <c r="M61" s="888">
        <v>16870197</v>
      </c>
      <c r="N61" s="888">
        <v>11128885</v>
      </c>
      <c r="O61" s="888">
        <v>10447924</v>
      </c>
      <c r="P61" s="887">
        <f>SUM(D61:O61)</f>
        <v>306470631</v>
      </c>
    </row>
    <row r="62" spans="3:16" ht="15.75">
      <c r="C62" s="837"/>
      <c r="D62" s="888"/>
      <c r="E62" s="888"/>
      <c r="F62" s="888"/>
      <c r="G62" s="888"/>
      <c r="H62" s="888"/>
      <c r="I62" s="888"/>
      <c r="J62" s="888"/>
      <c r="K62" s="888"/>
      <c r="L62" s="888"/>
      <c r="M62" s="888"/>
      <c r="N62" s="888"/>
      <c r="O62" s="770"/>
      <c r="P62" s="887"/>
    </row>
    <row r="63" spans="3:16" ht="15.75">
      <c r="C63" s="837" t="s">
        <v>311</v>
      </c>
      <c r="D63" s="888">
        <v>7007457</v>
      </c>
      <c r="E63" s="888">
        <v>4611189</v>
      </c>
      <c r="F63" s="888">
        <v>343832</v>
      </c>
      <c r="G63" s="888">
        <v>4884216</v>
      </c>
      <c r="H63" s="888">
        <v>53435562</v>
      </c>
      <c r="I63" s="888">
        <v>150888639</v>
      </c>
      <c r="J63" s="888">
        <v>35569677</v>
      </c>
      <c r="K63" s="888">
        <v>1736239</v>
      </c>
      <c r="L63" s="888">
        <v>76715545</v>
      </c>
      <c r="M63" s="888">
        <v>12203591</v>
      </c>
      <c r="N63" s="888">
        <v>38576378</v>
      </c>
      <c r="O63" s="888">
        <v>1443916</v>
      </c>
      <c r="P63" s="887">
        <f>SUM(D63:O63)</f>
        <v>387416241</v>
      </c>
    </row>
    <row r="65" spans="3:16">
      <c r="C65" s="785">
        <v>2011</v>
      </c>
      <c r="D65" s="785"/>
      <c r="E65" s="785"/>
      <c r="F65" s="785"/>
      <c r="G65" s="785"/>
      <c r="H65" s="785"/>
      <c r="I65" s="785"/>
      <c r="J65" s="785"/>
      <c r="K65" s="785"/>
      <c r="L65" s="785"/>
      <c r="M65" s="785"/>
      <c r="N65" s="785"/>
      <c r="O65" s="785"/>
      <c r="P65" s="785"/>
    </row>
    <row r="66" spans="3:16">
      <c r="C66" s="786" t="s">
        <v>298</v>
      </c>
      <c r="D66" s="787">
        <v>6976.8</v>
      </c>
      <c r="E66" s="787">
        <v>4611.2</v>
      </c>
      <c r="F66" s="785">
        <v>343.8</v>
      </c>
      <c r="G66" s="787">
        <v>4884.2</v>
      </c>
      <c r="H66" s="787">
        <v>59522.3</v>
      </c>
      <c r="I66" s="787">
        <v>148707.9</v>
      </c>
      <c r="J66" s="787">
        <v>35201.9</v>
      </c>
      <c r="K66" s="787">
        <v>2730.7</v>
      </c>
      <c r="L66" s="787">
        <v>90218.2</v>
      </c>
      <c r="M66" s="787">
        <v>12203.6</v>
      </c>
      <c r="N66" s="787">
        <v>34763.1</v>
      </c>
      <c r="O66" s="787">
        <v>1443.9</v>
      </c>
      <c r="P66" s="787">
        <v>401607.6</v>
      </c>
    </row>
    <row r="67" spans="3:16">
      <c r="C67" s="786" t="s">
        <v>299</v>
      </c>
      <c r="D67" s="787">
        <v>6184</v>
      </c>
      <c r="E67" s="787">
        <v>9127.1</v>
      </c>
      <c r="F67" s="785">
        <v>17.8</v>
      </c>
      <c r="G67" s="787">
        <v>13842.7</v>
      </c>
      <c r="H67" s="787">
        <v>52916</v>
      </c>
      <c r="I67" s="787">
        <v>151689.70000000001</v>
      </c>
      <c r="J67" s="787">
        <v>36845</v>
      </c>
      <c r="K67" s="787">
        <v>13950</v>
      </c>
      <c r="L67" s="787">
        <v>96093.3</v>
      </c>
      <c r="M67" s="785">
        <v>0</v>
      </c>
      <c r="N67" s="787">
        <v>51833.2</v>
      </c>
      <c r="O67" s="787">
        <v>12218.6</v>
      </c>
      <c r="P67" s="787">
        <v>444717.5</v>
      </c>
    </row>
    <row r="68" spans="3:16">
      <c r="C68" s="786" t="s">
        <v>300</v>
      </c>
      <c r="D68" s="787">
        <v>8502.7999999999993</v>
      </c>
      <c r="E68" s="787">
        <v>13036.1</v>
      </c>
      <c r="F68" s="785">
        <v>866</v>
      </c>
      <c r="G68" s="787">
        <v>24058.9</v>
      </c>
      <c r="H68" s="787">
        <v>54301.5</v>
      </c>
      <c r="I68" s="787">
        <v>129602.8</v>
      </c>
      <c r="J68" s="787">
        <v>41714.400000000001</v>
      </c>
      <c r="K68" s="787">
        <v>17516.2</v>
      </c>
      <c r="L68" s="787">
        <v>89401.8</v>
      </c>
      <c r="M68" s="787">
        <v>5528.5</v>
      </c>
      <c r="N68" s="787">
        <v>33683</v>
      </c>
      <c r="O68" s="787">
        <v>16257.4</v>
      </c>
      <c r="P68" s="787">
        <v>434469.3</v>
      </c>
    </row>
    <row r="69" spans="3:16">
      <c r="C69" s="786" t="s">
        <v>301</v>
      </c>
      <c r="D69" s="787">
        <v>8079.5</v>
      </c>
      <c r="E69" s="787">
        <v>13068.7</v>
      </c>
      <c r="F69" s="787">
        <v>1554.6</v>
      </c>
      <c r="G69" s="787">
        <v>14988.9</v>
      </c>
      <c r="H69" s="787">
        <v>48934.1</v>
      </c>
      <c r="I69" s="787">
        <v>150866.9</v>
      </c>
      <c r="J69" s="787">
        <v>41563.699999999997</v>
      </c>
      <c r="K69" s="787">
        <v>17078.8</v>
      </c>
      <c r="L69" s="787">
        <v>92352.8</v>
      </c>
      <c r="M69" s="787">
        <v>8339.7000000000007</v>
      </c>
      <c r="N69" s="787">
        <v>30521.7</v>
      </c>
      <c r="O69" s="787">
        <v>16257.4</v>
      </c>
      <c r="P69" s="787">
        <v>443607</v>
      </c>
    </row>
    <row r="70" spans="3:16">
      <c r="C70" s="786" t="s">
        <v>302</v>
      </c>
      <c r="D70" s="787">
        <v>4325.3999999999996</v>
      </c>
      <c r="E70" s="787">
        <v>12661.5</v>
      </c>
      <c r="F70" s="785">
        <v>304</v>
      </c>
      <c r="G70" s="787">
        <v>4971.3</v>
      </c>
      <c r="H70" s="787">
        <v>58836.1</v>
      </c>
      <c r="I70" s="787">
        <v>138980.5</v>
      </c>
      <c r="J70" s="787">
        <v>47089.1</v>
      </c>
      <c r="K70" s="787">
        <v>96310.3</v>
      </c>
      <c r="L70" s="787">
        <v>88058.7</v>
      </c>
      <c r="M70" s="787">
        <v>10544.6</v>
      </c>
      <c r="N70" s="787">
        <v>46398.1</v>
      </c>
      <c r="O70" s="787">
        <v>95496.1</v>
      </c>
      <c r="P70" s="787">
        <v>603975.80000000005</v>
      </c>
    </row>
    <row r="71" spans="3:16">
      <c r="C71" s="786" t="s">
        <v>303</v>
      </c>
      <c r="D71" s="787">
        <v>5071.7</v>
      </c>
      <c r="E71" s="787">
        <v>13458.8</v>
      </c>
      <c r="F71" s="785">
        <v>524.20000000000005</v>
      </c>
      <c r="G71" s="787">
        <v>5139.1000000000004</v>
      </c>
      <c r="H71" s="787">
        <v>55332.800000000003</v>
      </c>
      <c r="I71" s="787">
        <v>172758.1</v>
      </c>
      <c r="J71" s="787">
        <v>38640.9</v>
      </c>
      <c r="K71" s="787">
        <v>23373.5</v>
      </c>
      <c r="L71" s="787">
        <v>82906.899999999994</v>
      </c>
      <c r="M71" s="787">
        <v>17988.599999999999</v>
      </c>
      <c r="N71" s="787">
        <v>38704.300000000003</v>
      </c>
      <c r="O71" s="787">
        <v>22559.3</v>
      </c>
      <c r="P71" s="787">
        <v>476458.2</v>
      </c>
    </row>
    <row r="72" spans="3:16">
      <c r="C72" s="786" t="s">
        <v>304</v>
      </c>
      <c r="D72" s="787">
        <v>3719.7</v>
      </c>
      <c r="E72" s="787">
        <v>4858.5</v>
      </c>
      <c r="F72" s="787">
        <v>3082.9</v>
      </c>
      <c r="G72" s="787">
        <v>2188.6</v>
      </c>
      <c r="H72" s="787">
        <v>63992.9</v>
      </c>
      <c r="I72" s="787">
        <v>173087.8</v>
      </c>
      <c r="J72" s="787">
        <v>3148.8</v>
      </c>
      <c r="K72" s="787">
        <v>18873.7</v>
      </c>
      <c r="L72" s="787">
        <v>79506.7</v>
      </c>
      <c r="M72" s="787">
        <v>18802.3</v>
      </c>
      <c r="N72" s="787">
        <v>115370.3</v>
      </c>
      <c r="O72" s="787">
        <v>18307.8</v>
      </c>
      <c r="P72" s="787">
        <v>504939.9</v>
      </c>
    </row>
    <row r="73" spans="3:16">
      <c r="C73" s="786" t="s">
        <v>305</v>
      </c>
      <c r="D73" s="787">
        <v>3801</v>
      </c>
      <c r="E73" s="787">
        <v>5423.5</v>
      </c>
      <c r="F73" s="785">
        <v>41.4</v>
      </c>
      <c r="G73" s="787">
        <v>19561.7</v>
      </c>
      <c r="H73" s="787">
        <v>119881.2</v>
      </c>
      <c r="I73" s="787">
        <v>116634.2</v>
      </c>
      <c r="J73" s="787">
        <v>38382.699999999997</v>
      </c>
      <c r="K73" s="787">
        <v>35133.4</v>
      </c>
      <c r="L73" s="787">
        <v>94715.6</v>
      </c>
      <c r="M73" s="787">
        <v>19468.3</v>
      </c>
      <c r="N73" s="787">
        <v>96338</v>
      </c>
      <c r="O73" s="787">
        <v>8680.2999999999993</v>
      </c>
      <c r="P73" s="787">
        <v>558061.19999999995</v>
      </c>
    </row>
    <row r="74" spans="3:16">
      <c r="C74" s="786" t="s">
        <v>306</v>
      </c>
      <c r="D74" s="787">
        <v>3795.8</v>
      </c>
      <c r="E74" s="787">
        <v>5423.5</v>
      </c>
      <c r="F74" s="785">
        <v>41.4</v>
      </c>
      <c r="G74" s="787">
        <v>19561.7</v>
      </c>
      <c r="H74" s="787">
        <v>140260.4</v>
      </c>
      <c r="I74" s="787">
        <v>124157.5</v>
      </c>
      <c r="J74" s="787">
        <v>10452.799999999999</v>
      </c>
      <c r="K74" s="787">
        <v>35171.599999999999</v>
      </c>
      <c r="L74" s="787">
        <v>112541.6</v>
      </c>
      <c r="M74" s="787">
        <v>19468.3</v>
      </c>
      <c r="N74" s="787">
        <v>104043.5</v>
      </c>
      <c r="O74" s="787">
        <v>11366.9</v>
      </c>
      <c r="P74" s="787">
        <v>586285.1</v>
      </c>
    </row>
    <row r="75" spans="3:16">
      <c r="C75" s="786" t="s">
        <v>307</v>
      </c>
      <c r="D75" s="787">
        <v>2276.5</v>
      </c>
      <c r="E75" s="787">
        <v>4190.7</v>
      </c>
      <c r="F75" s="787">
        <v>1734.2</v>
      </c>
      <c r="G75" s="787">
        <v>18554</v>
      </c>
      <c r="H75" s="787">
        <v>146637.29999999999</v>
      </c>
      <c r="I75" s="787">
        <v>130248.1</v>
      </c>
      <c r="J75" s="787">
        <v>9397.6</v>
      </c>
      <c r="K75" s="787">
        <v>18509.900000000001</v>
      </c>
      <c r="L75" s="787">
        <v>107205.6</v>
      </c>
      <c r="M75" s="787">
        <v>30073.200000000001</v>
      </c>
      <c r="N75" s="787">
        <v>113441.7</v>
      </c>
      <c r="O75" s="787">
        <v>13264.6</v>
      </c>
      <c r="P75" s="787">
        <v>595533.30000000005</v>
      </c>
    </row>
    <row r="76" spans="3:16">
      <c r="C76" s="786" t="s">
        <v>308</v>
      </c>
      <c r="D76" s="787">
        <v>2276.5</v>
      </c>
      <c r="E76" s="787">
        <v>4190.7</v>
      </c>
      <c r="F76" s="787">
        <v>1734.2</v>
      </c>
      <c r="G76" s="787">
        <v>22146.2</v>
      </c>
      <c r="H76" s="787">
        <v>142567.70000000001</v>
      </c>
      <c r="I76" s="787">
        <v>127671</v>
      </c>
      <c r="J76" s="787">
        <v>9597.6</v>
      </c>
      <c r="K76" s="787">
        <v>18509.900000000001</v>
      </c>
      <c r="L76" s="787">
        <v>105205.6</v>
      </c>
      <c r="M76" s="787">
        <v>30073.200000000001</v>
      </c>
      <c r="N76" s="787">
        <v>116759.4</v>
      </c>
      <c r="O76" s="787">
        <v>13365.1</v>
      </c>
      <c r="P76" s="787">
        <v>594097.1</v>
      </c>
    </row>
    <row r="77" spans="3:16" ht="15.75" thickBot="1">
      <c r="C77" s="846" t="s">
        <v>311</v>
      </c>
      <c r="D77" s="890">
        <v>2343.1</v>
      </c>
      <c r="E77" s="890">
        <v>4190.7</v>
      </c>
      <c r="F77" s="890">
        <v>1734.2</v>
      </c>
      <c r="G77" s="890">
        <v>22186.9</v>
      </c>
      <c r="H77" s="890">
        <v>135439.4</v>
      </c>
      <c r="I77" s="890">
        <v>127671</v>
      </c>
      <c r="J77" s="890">
        <v>9265.9</v>
      </c>
      <c r="K77" s="890">
        <v>18821.599999999999</v>
      </c>
      <c r="L77" s="890">
        <v>129939.3</v>
      </c>
      <c r="M77" s="890">
        <v>30073.200000000001</v>
      </c>
      <c r="N77" s="890">
        <v>84592.3</v>
      </c>
      <c r="O77" s="890">
        <v>13217.7</v>
      </c>
      <c r="P77" s="890">
        <v>579475.30000000005</v>
      </c>
    </row>
    <row r="78" spans="3:16" ht="15.75" thickTop="1">
      <c r="C78" s="785">
        <v>2012</v>
      </c>
      <c r="D78" s="785"/>
      <c r="E78" s="785"/>
      <c r="F78" s="785"/>
      <c r="G78" s="785"/>
      <c r="H78" s="785"/>
      <c r="I78" s="785"/>
      <c r="J78" s="785"/>
      <c r="K78" s="785"/>
      <c r="L78" s="785"/>
      <c r="M78" s="785"/>
      <c r="N78" s="785"/>
      <c r="O78" s="785"/>
      <c r="P78" s="785"/>
    </row>
    <row r="79" spans="3:16">
      <c r="C79" s="786" t="s">
        <v>298</v>
      </c>
      <c r="D79" s="787">
        <v>11744.1</v>
      </c>
      <c r="E79" s="787">
        <v>8250.4</v>
      </c>
      <c r="F79" s="785">
        <v>7.1</v>
      </c>
      <c r="G79" s="787">
        <v>3238.1</v>
      </c>
      <c r="H79" s="787">
        <v>129742.5</v>
      </c>
      <c r="I79" s="787">
        <v>80306.399999999994</v>
      </c>
      <c r="J79" s="787">
        <v>17664.5</v>
      </c>
      <c r="K79" s="787">
        <v>9146.5</v>
      </c>
      <c r="L79" s="787">
        <v>158059.29999999999</v>
      </c>
      <c r="M79" s="787">
        <v>1650.5</v>
      </c>
      <c r="N79" s="787">
        <v>113108.8</v>
      </c>
      <c r="O79" s="787">
        <v>3038</v>
      </c>
      <c r="P79" s="787">
        <v>535956.30000000005</v>
      </c>
    </row>
    <row r="80" spans="3:16">
      <c r="C80" s="786" t="s">
        <v>299</v>
      </c>
      <c r="D80" s="787">
        <v>14684.8</v>
      </c>
      <c r="E80" s="787">
        <v>5815.5</v>
      </c>
      <c r="F80" s="785">
        <v>6.8</v>
      </c>
      <c r="G80" s="787">
        <v>23523.200000000001</v>
      </c>
      <c r="H80" s="787">
        <v>131181.20000000001</v>
      </c>
      <c r="I80" s="787">
        <v>95143.4</v>
      </c>
      <c r="J80" s="787">
        <v>21911.4</v>
      </c>
      <c r="K80" s="787">
        <v>22184.5</v>
      </c>
      <c r="L80" s="787">
        <v>131968.5</v>
      </c>
      <c r="M80" s="787">
        <v>1350.6</v>
      </c>
      <c r="N80" s="787">
        <v>149680.79999999999</v>
      </c>
      <c r="O80" s="787">
        <v>3038</v>
      </c>
      <c r="P80" s="787">
        <v>600488.69999999995</v>
      </c>
    </row>
    <row r="81" spans="3:16">
      <c r="C81" s="786" t="s">
        <v>1221</v>
      </c>
      <c r="D81" s="785" t="s">
        <v>1222</v>
      </c>
      <c r="E81" s="785" t="s">
        <v>1223</v>
      </c>
      <c r="F81" s="785" t="s">
        <v>1224</v>
      </c>
      <c r="G81" s="785" t="s">
        <v>1225</v>
      </c>
      <c r="H81" s="785" t="s">
        <v>1226</v>
      </c>
      <c r="I81" s="785" t="s">
        <v>1227</v>
      </c>
      <c r="J81" s="785" t="s">
        <v>1228</v>
      </c>
      <c r="K81" s="785" t="s">
        <v>1229</v>
      </c>
      <c r="L81" s="785" t="s">
        <v>1230</v>
      </c>
      <c r="M81" s="785" t="s">
        <v>1231</v>
      </c>
      <c r="N81" s="785" t="s">
        <v>1232</v>
      </c>
      <c r="O81" s="787">
        <v>28564.2</v>
      </c>
      <c r="P81" s="785" t="s">
        <v>1233</v>
      </c>
    </row>
    <row r="82" spans="3:16">
      <c r="C82" s="786" t="s">
        <v>301</v>
      </c>
      <c r="D82" s="787">
        <v>24233.200000000001</v>
      </c>
      <c r="E82" s="787">
        <v>8046.5</v>
      </c>
      <c r="F82" s="787">
        <v>1868.8</v>
      </c>
      <c r="G82" s="787">
        <v>27036.400000000001</v>
      </c>
      <c r="H82" s="787">
        <v>121160.1</v>
      </c>
      <c r="I82" s="787">
        <v>109064.2</v>
      </c>
      <c r="J82" s="787">
        <v>36456.300000000003</v>
      </c>
      <c r="K82" s="787">
        <v>30240.9</v>
      </c>
      <c r="L82" s="787">
        <v>151505.20000000001</v>
      </c>
      <c r="M82" s="787">
        <v>4892.5</v>
      </c>
      <c r="N82" s="787">
        <v>75547.7</v>
      </c>
      <c r="O82" s="787">
        <v>29200.400000000001</v>
      </c>
      <c r="P82" s="787">
        <v>619252.1</v>
      </c>
    </row>
    <row r="83" spans="3:16">
      <c r="C83" s="786" t="s">
        <v>302</v>
      </c>
      <c r="D83" s="787">
        <v>10329.700000000001</v>
      </c>
      <c r="E83" s="787">
        <v>6452.6</v>
      </c>
      <c r="F83" s="787">
        <v>1765</v>
      </c>
      <c r="G83" s="787">
        <v>12678.2</v>
      </c>
      <c r="H83" s="787">
        <v>115998.5</v>
      </c>
      <c r="I83" s="787">
        <v>103213.2</v>
      </c>
      <c r="J83" s="787">
        <v>35266.699999999997</v>
      </c>
      <c r="K83" s="787">
        <v>25989.8</v>
      </c>
      <c r="L83" s="787">
        <v>183915.3</v>
      </c>
      <c r="M83" s="787">
        <v>6141.2</v>
      </c>
      <c r="N83" s="787">
        <v>63313.3</v>
      </c>
      <c r="O83" s="787">
        <v>39110.5</v>
      </c>
      <c r="P83" s="787">
        <v>604173.9</v>
      </c>
    </row>
    <row r="84" spans="3:16">
      <c r="C84" s="786" t="s">
        <v>303</v>
      </c>
      <c r="D84" s="787">
        <v>10271.799999999999</v>
      </c>
      <c r="E84" s="787">
        <v>7330</v>
      </c>
      <c r="F84" s="787">
        <v>1698.4</v>
      </c>
      <c r="G84" s="787">
        <v>9186.1</v>
      </c>
      <c r="H84" s="787">
        <v>134312</v>
      </c>
      <c r="I84" s="787">
        <v>129103.5</v>
      </c>
      <c r="J84" s="787">
        <v>26823</v>
      </c>
      <c r="K84" s="787">
        <v>22693.9</v>
      </c>
      <c r="L84" s="787">
        <v>173514.3</v>
      </c>
      <c r="M84" s="787">
        <v>4286.6000000000004</v>
      </c>
      <c r="N84" s="787">
        <v>62007.9</v>
      </c>
      <c r="O84" s="787">
        <v>30818.9</v>
      </c>
      <c r="P84" s="787">
        <v>612046.30000000005</v>
      </c>
    </row>
    <row r="85" spans="3:16">
      <c r="C85" s="786" t="s">
        <v>304</v>
      </c>
      <c r="D85" s="787">
        <v>4473.8999999999996</v>
      </c>
      <c r="E85" s="787">
        <v>5298.2</v>
      </c>
      <c r="F85" s="785">
        <v>270.10000000000002</v>
      </c>
      <c r="G85" s="787">
        <v>27217.9</v>
      </c>
      <c r="H85" s="787">
        <v>132809.79999999999</v>
      </c>
      <c r="I85" s="787">
        <v>98744.9</v>
      </c>
      <c r="J85" s="787">
        <v>30365.9</v>
      </c>
      <c r="K85" s="787">
        <v>21415.7</v>
      </c>
      <c r="L85" s="787">
        <v>217331.4</v>
      </c>
      <c r="M85" s="787">
        <v>2077.4</v>
      </c>
      <c r="N85" s="787">
        <v>57143</v>
      </c>
      <c r="O85" s="787">
        <v>33601.699999999997</v>
      </c>
      <c r="P85" s="787">
        <v>630749.9</v>
      </c>
    </row>
    <row r="86" spans="3:16">
      <c r="C86" s="786" t="s">
        <v>305</v>
      </c>
      <c r="D86" s="787">
        <v>6744.1</v>
      </c>
      <c r="E86" s="787">
        <v>6765.6</v>
      </c>
      <c r="F86" s="785">
        <v>288.60000000000002</v>
      </c>
      <c r="G86" s="787">
        <v>26394.2</v>
      </c>
      <c r="H86" s="787">
        <v>123569.3</v>
      </c>
      <c r="I86" s="787">
        <v>83662.100000000006</v>
      </c>
      <c r="J86" s="787">
        <v>33578.1</v>
      </c>
      <c r="K86" s="787">
        <v>18015.7</v>
      </c>
      <c r="L86" s="787">
        <v>222325.8</v>
      </c>
      <c r="M86" s="787">
        <v>2979.2</v>
      </c>
      <c r="N86" s="787">
        <v>92733.9</v>
      </c>
      <c r="O86" s="787">
        <v>33058.9</v>
      </c>
      <c r="P86" s="787">
        <v>650115.6</v>
      </c>
    </row>
    <row r="87" spans="3:16">
      <c r="C87" s="786" t="s">
        <v>306</v>
      </c>
      <c r="D87" s="787">
        <v>16997.7</v>
      </c>
      <c r="E87" s="787">
        <v>8628.2000000000007</v>
      </c>
      <c r="F87" s="785">
        <v>300.8</v>
      </c>
      <c r="G87" s="787">
        <v>27315.7</v>
      </c>
      <c r="H87" s="787">
        <v>124411.1</v>
      </c>
      <c r="I87" s="787">
        <v>85232.7</v>
      </c>
      <c r="J87" s="787">
        <v>50279.5</v>
      </c>
      <c r="K87" s="787">
        <v>27896.5</v>
      </c>
      <c r="L87" s="787">
        <v>208113.3</v>
      </c>
      <c r="M87" s="787">
        <v>2000.9</v>
      </c>
      <c r="N87" s="787">
        <v>85429.2</v>
      </c>
      <c r="O87" s="787">
        <v>34840.800000000003</v>
      </c>
      <c r="P87" s="787">
        <v>671446.4</v>
      </c>
    </row>
    <row r="88" spans="3:16">
      <c r="C88" s="786" t="s">
        <v>307</v>
      </c>
      <c r="D88" s="787">
        <v>4473.8999999999996</v>
      </c>
      <c r="E88" s="787">
        <v>5298.2</v>
      </c>
      <c r="F88" s="785">
        <v>270.10000000000002</v>
      </c>
      <c r="G88" s="787">
        <v>3119.1</v>
      </c>
      <c r="H88" s="787">
        <v>124342.3</v>
      </c>
      <c r="I88" s="787">
        <v>115774.8</v>
      </c>
      <c r="J88" s="787">
        <v>30524.5</v>
      </c>
      <c r="K88" s="787">
        <v>21415.7</v>
      </c>
      <c r="L88" s="787">
        <v>191204.2</v>
      </c>
      <c r="M88" s="787">
        <v>2077.4</v>
      </c>
      <c r="N88" s="787">
        <v>153329.1</v>
      </c>
      <c r="O88" s="787">
        <v>32049.8</v>
      </c>
      <c r="P88" s="787">
        <v>683879</v>
      </c>
    </row>
    <row r="89" spans="3:16">
      <c r="C89" s="786" t="s">
        <v>308</v>
      </c>
      <c r="D89" s="787">
        <v>12872.8</v>
      </c>
      <c r="E89" s="787">
        <v>10868</v>
      </c>
      <c r="F89" s="787">
        <v>13414.5</v>
      </c>
      <c r="G89" s="787">
        <v>1649.6</v>
      </c>
      <c r="H89" s="787">
        <v>174107.7</v>
      </c>
      <c r="I89" s="787">
        <v>60405.7</v>
      </c>
      <c r="J89" s="787">
        <v>18484.7</v>
      </c>
      <c r="K89" s="787">
        <v>35828.300000000003</v>
      </c>
      <c r="L89" s="787">
        <v>188441.9</v>
      </c>
      <c r="M89" s="787">
        <v>4251.7</v>
      </c>
      <c r="N89" s="787">
        <v>203879.7</v>
      </c>
      <c r="O89" s="787">
        <v>27745</v>
      </c>
      <c r="P89" s="787">
        <v>751949.6</v>
      </c>
    </row>
    <row r="90" spans="3:16">
      <c r="C90" s="786" t="s">
        <v>311</v>
      </c>
      <c r="D90" s="787">
        <v>12164.3</v>
      </c>
      <c r="E90" s="787">
        <v>5900.3</v>
      </c>
      <c r="F90" s="787">
        <v>14197.9</v>
      </c>
      <c r="G90" s="787">
        <v>3080.8</v>
      </c>
      <c r="H90" s="787">
        <v>173009.4</v>
      </c>
      <c r="I90" s="787">
        <v>60501.2</v>
      </c>
      <c r="J90" s="787">
        <v>17631.400000000001</v>
      </c>
      <c r="K90" s="787">
        <v>137537.4</v>
      </c>
      <c r="L90" s="787">
        <v>198977.5</v>
      </c>
      <c r="M90" s="787">
        <v>2664.8</v>
      </c>
      <c r="N90" s="787">
        <v>79504.3</v>
      </c>
      <c r="O90" s="787">
        <v>32534.7</v>
      </c>
      <c r="P90" s="787">
        <v>737703.9</v>
      </c>
    </row>
    <row r="91" spans="3:16">
      <c r="C91" s="786"/>
      <c r="D91" s="787"/>
      <c r="E91" s="787"/>
      <c r="F91" s="787"/>
      <c r="G91" s="787"/>
      <c r="H91" s="787"/>
      <c r="I91" s="787"/>
      <c r="J91" s="787"/>
      <c r="K91" s="787"/>
      <c r="L91" s="787"/>
      <c r="M91" s="787"/>
      <c r="N91" s="787"/>
      <c r="O91" s="787"/>
      <c r="P91" s="787"/>
    </row>
    <row r="92" spans="3:16">
      <c r="C92" s="785">
        <v>2013</v>
      </c>
      <c r="D92" s="787"/>
      <c r="E92" s="787"/>
      <c r="F92" s="787"/>
      <c r="G92" s="787"/>
      <c r="H92" s="787"/>
      <c r="I92" s="787"/>
      <c r="J92" s="787"/>
      <c r="K92" s="787"/>
      <c r="L92" s="787"/>
      <c r="M92" s="787"/>
      <c r="N92" s="787"/>
      <c r="O92" s="787"/>
      <c r="P92" s="787"/>
    </row>
    <row r="93" spans="3:16">
      <c r="C93" s="786" t="s">
        <v>298</v>
      </c>
      <c r="D93" s="787">
        <v>11723.17</v>
      </c>
      <c r="E93" s="787">
        <v>6580.98</v>
      </c>
      <c r="F93" s="787">
        <v>10920.989</v>
      </c>
      <c r="G93" s="787">
        <v>751.4</v>
      </c>
      <c r="H93" s="787">
        <v>180889.60000000001</v>
      </c>
      <c r="I93" s="787">
        <v>64042.79</v>
      </c>
      <c r="J93" s="787">
        <v>16845.32</v>
      </c>
      <c r="K93" s="787">
        <v>28513.24</v>
      </c>
      <c r="L93" s="787">
        <v>215563.39</v>
      </c>
      <c r="M93" s="787">
        <v>2547.7399999999998</v>
      </c>
      <c r="N93" s="787">
        <v>113832.14</v>
      </c>
      <c r="O93" s="787">
        <v>34578.44</v>
      </c>
      <c r="P93" s="787">
        <f>SUM(D93:O93)</f>
        <v>686789.19900000002</v>
      </c>
    </row>
    <row r="94" spans="3:16" ht="15.75" thickBot="1">
      <c r="C94" s="786" t="s">
        <v>299</v>
      </c>
      <c r="D94" s="890">
        <v>10020.1</v>
      </c>
      <c r="E94" s="890">
        <v>7034.4</v>
      </c>
      <c r="F94" s="890">
        <v>11383.1</v>
      </c>
      <c r="G94" s="890">
        <v>1419.4</v>
      </c>
      <c r="H94" s="890">
        <v>196108.5</v>
      </c>
      <c r="I94" s="890">
        <v>51751.6</v>
      </c>
      <c r="J94" s="890">
        <v>16973.099999999999</v>
      </c>
      <c r="K94" s="890">
        <v>28365.1</v>
      </c>
      <c r="L94" s="890">
        <v>187610.2</v>
      </c>
      <c r="M94" s="890">
        <v>6432.7</v>
      </c>
      <c r="N94" s="890">
        <v>70211.600000000006</v>
      </c>
      <c r="O94" s="890">
        <v>34798.800000000003</v>
      </c>
      <c r="P94" s="890">
        <v>622108.30000000005</v>
      </c>
    </row>
    <row r="95" spans="3:16" ht="15.75" thickTop="1">
      <c r="C95" s="786" t="s">
        <v>1221</v>
      </c>
      <c r="D95" s="795">
        <v>58914.7</v>
      </c>
      <c r="E95" s="795">
        <v>8588.1200000000008</v>
      </c>
      <c r="F95" s="795">
        <v>7605.76</v>
      </c>
      <c r="G95" s="795">
        <v>1590.67</v>
      </c>
      <c r="H95" s="795">
        <v>142308.68</v>
      </c>
      <c r="I95" s="795">
        <v>90728.25</v>
      </c>
      <c r="J95" s="795">
        <v>28015.03</v>
      </c>
      <c r="K95" s="795">
        <v>25273.9</v>
      </c>
      <c r="L95" s="795">
        <v>185705.5</v>
      </c>
      <c r="M95" s="795">
        <v>1965</v>
      </c>
      <c r="N95" s="795">
        <v>164230.76999999999</v>
      </c>
      <c r="O95" s="795">
        <v>29295.16</v>
      </c>
      <c r="P95" s="795">
        <f>SUM(D95:O95)</f>
        <v>744221.54</v>
      </c>
    </row>
    <row r="96" spans="3:16">
      <c r="C96" s="786" t="s">
        <v>301</v>
      </c>
      <c r="D96" s="795">
        <v>31659.040000000001</v>
      </c>
      <c r="E96" s="795">
        <v>5702.72</v>
      </c>
      <c r="F96" s="795">
        <v>18835.72</v>
      </c>
      <c r="G96" s="795">
        <v>1538.05</v>
      </c>
      <c r="H96" s="795">
        <v>177040.53</v>
      </c>
      <c r="I96" s="795">
        <v>97838.14</v>
      </c>
      <c r="J96" s="795">
        <v>22611.759999999998</v>
      </c>
      <c r="K96" s="795">
        <v>28606.17</v>
      </c>
      <c r="L96" s="795">
        <v>187727.65</v>
      </c>
      <c r="M96" s="795">
        <v>3883.46</v>
      </c>
      <c r="N96" s="795">
        <v>139589.74</v>
      </c>
      <c r="O96" s="795">
        <v>31245.5</v>
      </c>
      <c r="P96" s="795">
        <v>746278.47</v>
      </c>
    </row>
    <row r="97" spans="3:16">
      <c r="C97" s="786" t="s">
        <v>302</v>
      </c>
      <c r="D97" s="795">
        <v>17827.546999999999</v>
      </c>
      <c r="E97" s="795">
        <v>5756.6080000000002</v>
      </c>
      <c r="F97" s="795">
        <v>18786.167000000001</v>
      </c>
      <c r="G97" s="795">
        <v>1258.9380000000001</v>
      </c>
      <c r="H97" s="795">
        <v>187857.89600000001</v>
      </c>
      <c r="I97" s="795">
        <v>99688.508000000002</v>
      </c>
      <c r="J97" s="795">
        <v>19315.644</v>
      </c>
      <c r="K97" s="795">
        <v>44794.209000000003</v>
      </c>
      <c r="L97" s="795">
        <v>197568.75200000001</v>
      </c>
      <c r="M97" s="795">
        <v>3436.3420000000001</v>
      </c>
      <c r="N97" s="795">
        <v>132325.519</v>
      </c>
      <c r="O97" s="795">
        <v>31463.114000000001</v>
      </c>
      <c r="P97" s="795">
        <f>SUM(D97:O97)</f>
        <v>760079.24399999995</v>
      </c>
    </row>
    <row r="98" spans="3:16">
      <c r="C98" s="786" t="s">
        <v>303</v>
      </c>
      <c r="D98" s="795">
        <v>4255.25227</v>
      </c>
      <c r="E98" s="795">
        <v>6236.6315100000011</v>
      </c>
      <c r="F98" s="795">
        <v>10753.667539999999</v>
      </c>
      <c r="G98" s="795">
        <v>1131.2091600000001</v>
      </c>
      <c r="H98" s="795">
        <v>156052.57739683133</v>
      </c>
      <c r="I98" s="795">
        <v>105612.99197</v>
      </c>
      <c r="J98" s="795">
        <v>18935.792719629193</v>
      </c>
      <c r="K98" s="795">
        <v>59790.69496999999</v>
      </c>
      <c r="L98" s="795">
        <v>184390.89959711017</v>
      </c>
      <c r="M98" s="795">
        <v>3652.3355699999997</v>
      </c>
      <c r="N98" s="795">
        <v>107354.64136330098</v>
      </c>
      <c r="O98" s="795">
        <v>30017.059770000011</v>
      </c>
      <c r="P98" s="795">
        <f>SUM(D98:O98)</f>
        <v>688183.75383687171</v>
      </c>
    </row>
    <row r="99" spans="3:16">
      <c r="C99" s="786" t="s">
        <v>304</v>
      </c>
      <c r="D99" s="795">
        <v>6597.9205960303416</v>
      </c>
      <c r="E99" s="795">
        <v>9544.8880096398025</v>
      </c>
      <c r="F99" s="795">
        <v>22034.874601904874</v>
      </c>
      <c r="G99" s="795">
        <v>17579.5904422126</v>
      </c>
      <c r="H99" s="795">
        <v>155178.31555305599</v>
      </c>
      <c r="I99" s="795">
        <v>101057.70819464079</v>
      </c>
      <c r="J99" s="795">
        <v>5786.532416978408</v>
      </c>
      <c r="K99" s="795">
        <v>25167.05659209935</v>
      </c>
      <c r="L99" s="795">
        <v>139687.96713623483</v>
      </c>
      <c r="M99" s="795">
        <v>2369.4046963255564</v>
      </c>
      <c r="N99" s="795">
        <v>102677.37396075082</v>
      </c>
      <c r="O99" s="795">
        <v>25029.729567914197</v>
      </c>
      <c r="P99" s="795">
        <f>SUM(D99:O99)</f>
        <v>612711.3617677876</v>
      </c>
    </row>
    <row r="100" spans="3:16">
      <c r="C100" s="786" t="s">
        <v>305</v>
      </c>
      <c r="D100" s="795"/>
      <c r="E100" s="795"/>
      <c r="F100" s="795"/>
      <c r="G100" s="795"/>
      <c r="H100" s="795"/>
      <c r="I100" s="795"/>
      <c r="J100" s="795"/>
      <c r="K100" s="795"/>
      <c r="L100" s="795"/>
      <c r="M100" s="795"/>
      <c r="N100" s="795"/>
      <c r="O100" s="795"/>
      <c r="P100" s="795"/>
    </row>
    <row r="101" spans="3:16">
      <c r="C101" s="786" t="s">
        <v>306</v>
      </c>
      <c r="D101" s="795">
        <v>40766.929500000006</v>
      </c>
      <c r="E101" s="795">
        <v>9757.1718199999996</v>
      </c>
      <c r="F101" s="795">
        <v>17595.373889999999</v>
      </c>
      <c r="G101" s="795">
        <v>10209.554850000002</v>
      </c>
      <c r="H101" s="795">
        <v>157646.11415039797</v>
      </c>
      <c r="I101" s="795">
        <v>87504.170020000005</v>
      </c>
      <c r="J101" s="795">
        <v>20864.473181587851</v>
      </c>
      <c r="K101" s="795">
        <v>12486.313299999994</v>
      </c>
      <c r="L101" s="795">
        <v>173696.60504205219</v>
      </c>
      <c r="M101" s="795">
        <v>1527.2162700000001</v>
      </c>
      <c r="N101" s="795">
        <v>125919.43534374157</v>
      </c>
      <c r="O101" s="795">
        <v>29482.663149809432</v>
      </c>
      <c r="P101" s="795">
        <f>SUM(D101:O101)</f>
        <v>687456.02051758906</v>
      </c>
    </row>
    <row r="102" spans="3:16" ht="15.75" thickBot="1">
      <c r="C102" s="891"/>
      <c r="D102" s="891"/>
      <c r="E102" s="891"/>
      <c r="F102" s="891"/>
      <c r="G102" s="891"/>
      <c r="H102" s="891"/>
      <c r="I102" s="891"/>
      <c r="J102" s="891"/>
      <c r="K102" s="891"/>
      <c r="L102" s="891"/>
      <c r="M102" s="891"/>
      <c r="N102" s="891"/>
      <c r="O102" s="891"/>
      <c r="P102" s="891"/>
    </row>
    <row r="103" spans="3:16" ht="15.75" thickTop="1"/>
    <row r="106" spans="3:16">
      <c r="P106" s="872">
        <v>1000</v>
      </c>
    </row>
  </sheetData>
  <customSheetViews>
    <customSheetView guid="{705E0D18-9A83-42CA-8732-90923BE2EC7D}"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1"/>
      <headerFooter alignWithMargins="0"/>
    </customSheetView>
    <customSheetView guid="{D45E5F9E-4EA6-40A2-8A1D-3AC67FB8CE54}"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2"/>
      <headerFooter alignWithMargins="0"/>
    </customSheetView>
    <customSheetView guid="{098C004C-808F-436E-8F18-182F927479D1}"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3"/>
      <headerFooter alignWithMargins="0"/>
    </customSheetView>
    <customSheetView guid="{89CA84C2-78F5-4B05-8F1D-B7C5F97BCB4E}"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4"/>
      <headerFooter alignWithMargins="0"/>
    </customSheetView>
  </customSheetViews>
  <mergeCells count="2">
    <mergeCell ref="C4:P4"/>
    <mergeCell ref="C6:P6"/>
  </mergeCells>
  <phoneticPr fontId="52" type="noConversion"/>
  <pageMargins left="0.26" right="0.13" top="0.35" bottom="0.21" header="0.28000000000000003" footer="0.19"/>
  <pageSetup scale="53" orientation="landscape" horizontalDpi="300" verticalDpi="300" r:id="rId5"/>
  <headerFooter alignWithMargins="0"/>
  <drawing r:id="rId6"/>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autoPageBreaks="0" fitToPage="1"/>
  </sheetPr>
  <dimension ref="A1:IR347"/>
  <sheetViews>
    <sheetView showOutlineSymbols="0" topLeftCell="B174" zoomScale="75" zoomScaleNormal="75" zoomScaleSheetLayoutView="75" workbookViewId="0">
      <selection activeCell="A174" sqref="A174"/>
    </sheetView>
  </sheetViews>
  <sheetFormatPr defaultColWidth="9.77734375" defaultRowHeight="15"/>
  <cols>
    <col min="1" max="1" width="20.44140625" style="210" customWidth="1"/>
    <col min="2" max="4" width="20.44140625" style="165" customWidth="1"/>
    <col min="5" max="5" width="18.21875" style="165" customWidth="1"/>
    <col min="6" max="6" width="16.109375" style="165" customWidth="1"/>
    <col min="7" max="7" width="12.77734375" style="165" customWidth="1"/>
    <col min="8" max="8" width="13.44140625" style="165" customWidth="1"/>
    <col min="9" max="9" width="12.21875" style="165" customWidth="1"/>
    <col min="10" max="10" width="16.44140625" style="165" bestFit="1" customWidth="1"/>
    <col min="11" max="11" width="9.6640625" style="166" customWidth="1"/>
    <col min="12" max="16384" width="9.77734375" style="166"/>
  </cols>
  <sheetData>
    <row r="1" spans="1:10" ht="21" hidden="1" customHeight="1">
      <c r="A1" s="164" t="s">
        <v>317</v>
      </c>
      <c r="B1" s="164"/>
      <c r="C1" s="164"/>
      <c r="D1" s="164"/>
      <c r="E1" s="164"/>
      <c r="F1" s="164"/>
      <c r="G1" s="164"/>
      <c r="J1" s="166"/>
    </row>
    <row r="2" spans="1:10" ht="13.15" hidden="1" customHeight="1">
      <c r="A2" s="167"/>
      <c r="B2" s="168"/>
      <c r="C2" s="168"/>
      <c r="D2" s="168"/>
      <c r="E2" s="168"/>
      <c r="G2" s="169"/>
      <c r="J2" s="166"/>
    </row>
    <row r="3" spans="1:10" ht="10.5" hidden="1" customHeight="1" thickBot="1">
      <c r="A3" s="170"/>
      <c r="B3" s="171"/>
      <c r="C3" s="171"/>
      <c r="D3" s="171"/>
      <c r="E3" s="169"/>
      <c r="F3" s="171"/>
      <c r="J3" s="166"/>
    </row>
    <row r="4" spans="1:10" ht="9.6" hidden="1" customHeight="1" thickTop="1">
      <c r="A4" s="172"/>
      <c r="B4" s="173"/>
      <c r="C4" s="174"/>
      <c r="D4" s="175"/>
      <c r="E4" s="175"/>
      <c r="F4" s="175"/>
      <c r="G4" s="174"/>
      <c r="J4" s="166"/>
    </row>
    <row r="5" spans="1:10" ht="16.5" hidden="1" customHeight="1">
      <c r="A5" s="176"/>
      <c r="B5" s="177"/>
      <c r="C5" s="178"/>
      <c r="D5" s="179"/>
      <c r="E5" s="164"/>
      <c r="F5" s="164"/>
      <c r="G5" s="178"/>
      <c r="J5" s="166"/>
    </row>
    <row r="6" spans="1:10" ht="16.899999999999999" hidden="1" customHeight="1" thickBot="1">
      <c r="A6" s="176"/>
      <c r="B6" s="177"/>
      <c r="C6" s="178"/>
      <c r="D6" s="179"/>
      <c r="E6" s="164"/>
      <c r="F6" s="164"/>
      <c r="G6" s="178"/>
      <c r="J6" s="166"/>
    </row>
    <row r="7" spans="1:10" ht="9" hidden="1" customHeight="1" thickTop="1">
      <c r="A7" s="180"/>
      <c r="B7" s="181"/>
      <c r="C7" s="182"/>
      <c r="D7" s="183"/>
      <c r="E7" s="183"/>
      <c r="F7" s="183"/>
      <c r="G7" s="184"/>
      <c r="J7" s="166"/>
    </row>
    <row r="8" spans="1:10" ht="15" hidden="1" customHeight="1">
      <c r="A8" s="185"/>
      <c r="B8" s="177"/>
      <c r="C8" s="186" t="s">
        <v>413</v>
      </c>
      <c r="D8" s="164" t="s">
        <v>414</v>
      </c>
      <c r="E8" s="164"/>
      <c r="F8" s="164"/>
      <c r="G8" s="178"/>
      <c r="J8" s="166"/>
    </row>
    <row r="9" spans="1:10" ht="17.25" hidden="1" customHeight="1" thickBot="1">
      <c r="A9" s="187" t="s">
        <v>263</v>
      </c>
      <c r="B9" s="188" t="s">
        <v>415</v>
      </c>
      <c r="C9" s="186" t="s">
        <v>416</v>
      </c>
      <c r="D9" s="164"/>
      <c r="E9" s="164"/>
      <c r="F9" s="164"/>
      <c r="G9" s="178"/>
      <c r="J9" s="166"/>
    </row>
    <row r="10" spans="1:10" ht="16.5" hidden="1" customHeight="1" thickTop="1">
      <c r="A10" s="185"/>
      <c r="B10" s="188" t="s">
        <v>417</v>
      </c>
      <c r="C10" s="186" t="s">
        <v>418</v>
      </c>
      <c r="D10" s="175"/>
      <c r="E10" s="173"/>
      <c r="F10" s="173"/>
      <c r="G10" s="189"/>
      <c r="J10" s="166"/>
    </row>
    <row r="11" spans="1:10" ht="14.25" hidden="1" customHeight="1">
      <c r="A11" s="185"/>
      <c r="B11" s="177"/>
      <c r="C11" s="186" t="s">
        <v>419</v>
      </c>
      <c r="D11" s="179" t="s">
        <v>413</v>
      </c>
      <c r="E11" s="188" t="s">
        <v>420</v>
      </c>
      <c r="F11" s="188" t="s">
        <v>421</v>
      </c>
      <c r="G11" s="186" t="s">
        <v>422</v>
      </c>
      <c r="J11" s="166"/>
    </row>
    <row r="12" spans="1:10" ht="16.5" hidden="1" customHeight="1" thickBot="1">
      <c r="A12" s="190"/>
      <c r="B12" s="191"/>
      <c r="C12" s="192"/>
      <c r="D12" s="193"/>
      <c r="E12" s="194"/>
      <c r="F12" s="194"/>
      <c r="G12" s="192"/>
      <c r="J12" s="166"/>
    </row>
    <row r="13" spans="1:10" ht="17.25" hidden="1" customHeight="1" thickTop="1">
      <c r="A13" s="195"/>
      <c r="B13" s="181"/>
      <c r="C13" s="182"/>
      <c r="D13" s="183"/>
      <c r="E13" s="181"/>
      <c r="F13" s="181"/>
      <c r="G13" s="182"/>
      <c r="J13" s="166"/>
    </row>
    <row r="14" spans="1:10" ht="13.15" hidden="1" customHeight="1">
      <c r="A14" s="185" t="s">
        <v>423</v>
      </c>
      <c r="B14" s="188" t="s">
        <v>424</v>
      </c>
      <c r="C14" s="186" t="s">
        <v>425</v>
      </c>
      <c r="D14" s="179" t="s">
        <v>429</v>
      </c>
      <c r="E14" s="188" t="s">
        <v>430</v>
      </c>
      <c r="F14" s="188" t="s">
        <v>431</v>
      </c>
      <c r="G14" s="186" t="s">
        <v>432</v>
      </c>
      <c r="J14" s="166"/>
    </row>
    <row r="15" spans="1:10" ht="13.15" hidden="1" customHeight="1">
      <c r="A15" s="196"/>
      <c r="B15" s="188"/>
      <c r="C15" s="186"/>
      <c r="D15" s="179"/>
      <c r="E15" s="188"/>
      <c r="F15" s="188"/>
      <c r="G15" s="186"/>
      <c r="J15" s="166"/>
    </row>
    <row r="16" spans="1:10" ht="13.15" hidden="1" customHeight="1">
      <c r="A16" s="187">
        <v>2000</v>
      </c>
      <c r="B16" s="188"/>
      <c r="C16" s="186"/>
      <c r="D16" s="179"/>
      <c r="E16" s="188"/>
      <c r="F16" s="188"/>
      <c r="G16" s="186"/>
      <c r="J16" s="166"/>
    </row>
    <row r="17" spans="1:10" ht="13.15" hidden="1" customHeight="1">
      <c r="A17" s="187"/>
      <c r="B17" s="188"/>
      <c r="C17" s="186"/>
      <c r="D17" s="179"/>
      <c r="E17" s="188"/>
      <c r="F17" s="188"/>
      <c r="G17" s="186"/>
      <c r="J17" s="166"/>
    </row>
    <row r="18" spans="1:10" ht="13.15" hidden="1" customHeight="1">
      <c r="A18" s="197" t="s">
        <v>298</v>
      </c>
      <c r="B18" s="188" t="s">
        <v>433</v>
      </c>
      <c r="C18" s="186" t="s">
        <v>425</v>
      </c>
      <c r="D18" s="179" t="s">
        <v>429</v>
      </c>
      <c r="E18" s="188" t="s">
        <v>430</v>
      </c>
      <c r="F18" s="188" t="s">
        <v>431</v>
      </c>
      <c r="G18" s="186" t="s">
        <v>432</v>
      </c>
      <c r="J18" s="166"/>
    </row>
    <row r="19" spans="1:10" ht="13.15" hidden="1" customHeight="1">
      <c r="A19" s="197" t="s">
        <v>299</v>
      </c>
      <c r="B19" s="188" t="s">
        <v>444</v>
      </c>
      <c r="C19" s="186" t="s">
        <v>445</v>
      </c>
      <c r="D19" s="179" t="s">
        <v>446</v>
      </c>
      <c r="E19" s="188" t="s">
        <v>447</v>
      </c>
      <c r="F19" s="188" t="s">
        <v>448</v>
      </c>
      <c r="G19" s="186" t="s">
        <v>449</v>
      </c>
      <c r="J19" s="166"/>
    </row>
    <row r="20" spans="1:10" ht="13.15" hidden="1" customHeight="1">
      <c r="A20" s="185" t="s">
        <v>300</v>
      </c>
      <c r="B20" s="188" t="s">
        <v>451</v>
      </c>
      <c r="C20" s="186" t="s">
        <v>458</v>
      </c>
      <c r="D20" s="179" t="s">
        <v>431</v>
      </c>
      <c r="E20" s="188" t="s">
        <v>447</v>
      </c>
      <c r="F20" s="188" t="s">
        <v>459</v>
      </c>
      <c r="G20" s="186" t="s">
        <v>460</v>
      </c>
      <c r="J20" s="166"/>
    </row>
    <row r="21" spans="1:10" ht="13.15" hidden="1" customHeight="1">
      <c r="A21" s="185" t="s">
        <v>301</v>
      </c>
      <c r="B21" s="188" t="s">
        <v>461</v>
      </c>
      <c r="C21" s="186" t="s">
        <v>462</v>
      </c>
      <c r="D21" s="179" t="s">
        <v>463</v>
      </c>
      <c r="E21" s="188" t="s">
        <v>431</v>
      </c>
      <c r="F21" s="188" t="s">
        <v>459</v>
      </c>
      <c r="G21" s="186" t="s">
        <v>460</v>
      </c>
      <c r="J21" s="166"/>
    </row>
    <row r="22" spans="1:10" ht="13.15" hidden="1" customHeight="1">
      <c r="A22" s="185" t="s">
        <v>302</v>
      </c>
      <c r="B22" s="188" t="s">
        <v>464</v>
      </c>
      <c r="C22" s="186" t="s">
        <v>465</v>
      </c>
      <c r="D22" s="179" t="s">
        <v>466</v>
      </c>
      <c r="E22" s="188" t="s">
        <v>431</v>
      </c>
      <c r="F22" s="188" t="s">
        <v>467</v>
      </c>
      <c r="G22" s="186" t="s">
        <v>468</v>
      </c>
      <c r="J22" s="166"/>
    </row>
    <row r="23" spans="1:10" ht="13.15" hidden="1" customHeight="1">
      <c r="A23" s="185" t="s">
        <v>303</v>
      </c>
      <c r="B23" s="188" t="s">
        <v>469</v>
      </c>
      <c r="C23" s="186" t="s">
        <v>473</v>
      </c>
      <c r="D23" s="179" t="s">
        <v>466</v>
      </c>
      <c r="E23" s="188" t="s">
        <v>474</v>
      </c>
      <c r="F23" s="188" t="s">
        <v>475</v>
      </c>
      <c r="G23" s="186" t="s">
        <v>476</v>
      </c>
      <c r="J23" s="166"/>
    </row>
    <row r="24" spans="1:10" ht="13.15" hidden="1" customHeight="1">
      <c r="A24" s="185" t="s">
        <v>304</v>
      </c>
      <c r="B24" s="188" t="s">
        <v>477</v>
      </c>
      <c r="C24" s="186" t="s">
        <v>478</v>
      </c>
      <c r="D24" s="179" t="s">
        <v>431</v>
      </c>
      <c r="E24" s="188" t="s">
        <v>431</v>
      </c>
      <c r="F24" s="188" t="s">
        <v>475</v>
      </c>
      <c r="G24" s="186" t="s">
        <v>476</v>
      </c>
      <c r="J24" s="166"/>
    </row>
    <row r="25" spans="1:10" ht="13.15" hidden="1" customHeight="1">
      <c r="A25" s="185" t="s">
        <v>305</v>
      </c>
      <c r="B25" s="188" t="s">
        <v>464</v>
      </c>
      <c r="C25" s="186" t="s">
        <v>479</v>
      </c>
      <c r="D25" s="179" t="s">
        <v>480</v>
      </c>
      <c r="E25" s="188" t="s">
        <v>481</v>
      </c>
      <c r="F25" s="188" t="s">
        <v>482</v>
      </c>
      <c r="G25" s="186" t="s">
        <v>483</v>
      </c>
      <c r="J25" s="166"/>
    </row>
    <row r="26" spans="1:10" ht="13.15" hidden="1" customHeight="1">
      <c r="A26" s="185" t="s">
        <v>306</v>
      </c>
      <c r="B26" s="188" t="s">
        <v>484</v>
      </c>
      <c r="C26" s="186" t="s">
        <v>485</v>
      </c>
      <c r="D26" s="179" t="s">
        <v>486</v>
      </c>
      <c r="E26" s="188" t="s">
        <v>487</v>
      </c>
      <c r="F26" s="188" t="s">
        <v>488</v>
      </c>
      <c r="G26" s="186" t="s">
        <v>483</v>
      </c>
      <c r="J26" s="166"/>
    </row>
    <row r="27" spans="1:10" ht="13.15" hidden="1" customHeight="1">
      <c r="A27" s="185" t="s">
        <v>307</v>
      </c>
      <c r="B27" s="188" t="s">
        <v>489</v>
      </c>
      <c r="C27" s="186" t="s">
        <v>490</v>
      </c>
      <c r="D27" s="179" t="s">
        <v>491</v>
      </c>
      <c r="E27" s="188" t="s">
        <v>492</v>
      </c>
      <c r="F27" s="188" t="s">
        <v>488</v>
      </c>
      <c r="G27" s="186" t="s">
        <v>482</v>
      </c>
      <c r="J27" s="166"/>
    </row>
    <row r="28" spans="1:10" ht="13.15" hidden="1" customHeight="1">
      <c r="A28" s="185" t="s">
        <v>308</v>
      </c>
      <c r="B28" s="188" t="s">
        <v>493</v>
      </c>
      <c r="C28" s="186" t="s">
        <v>494</v>
      </c>
      <c r="D28" s="179" t="s">
        <v>495</v>
      </c>
      <c r="E28" s="188" t="s">
        <v>496</v>
      </c>
      <c r="F28" s="188" t="s">
        <v>497</v>
      </c>
      <c r="G28" s="186" t="s">
        <v>498</v>
      </c>
      <c r="J28" s="166"/>
    </row>
    <row r="29" spans="1:10" ht="13.15" hidden="1" customHeight="1">
      <c r="A29" s="185" t="s">
        <v>311</v>
      </c>
      <c r="B29" s="188" t="s">
        <v>499</v>
      </c>
      <c r="C29" s="186" t="s">
        <v>500</v>
      </c>
      <c r="D29" s="179" t="s">
        <v>501</v>
      </c>
      <c r="E29" s="188" t="s">
        <v>502</v>
      </c>
      <c r="F29" s="188" t="s">
        <v>503</v>
      </c>
      <c r="G29" s="186" t="s">
        <v>504</v>
      </c>
      <c r="J29" s="166"/>
    </row>
    <row r="30" spans="1:10" ht="13.15" hidden="1" customHeight="1">
      <c r="A30" s="185"/>
      <c r="B30" s="188"/>
      <c r="C30" s="186"/>
      <c r="D30" s="179"/>
      <c r="E30" s="188"/>
      <c r="F30" s="188"/>
      <c r="G30" s="186"/>
      <c r="J30" s="166"/>
    </row>
    <row r="31" spans="1:10" ht="13.15" hidden="1" customHeight="1">
      <c r="A31" s="187">
        <v>2001</v>
      </c>
      <c r="B31" s="188"/>
      <c r="C31" s="198"/>
      <c r="D31" s="179"/>
      <c r="E31" s="188"/>
      <c r="F31" s="188"/>
      <c r="G31" s="186"/>
      <c r="J31" s="166"/>
    </row>
    <row r="32" spans="1:10" ht="11.65" hidden="1" customHeight="1">
      <c r="A32" s="187"/>
      <c r="B32" s="188"/>
      <c r="C32" s="198"/>
      <c r="D32" s="179"/>
      <c r="E32" s="188"/>
      <c r="F32" s="188"/>
      <c r="G32" s="186"/>
      <c r="J32" s="166"/>
    </row>
    <row r="33" spans="1:10" ht="13.15" hidden="1" customHeight="1">
      <c r="A33" s="185" t="s">
        <v>298</v>
      </c>
      <c r="B33" s="188" t="s">
        <v>505</v>
      </c>
      <c r="C33" s="186" t="s">
        <v>506</v>
      </c>
      <c r="D33" s="179" t="s">
        <v>507</v>
      </c>
      <c r="E33" s="188" t="s">
        <v>508</v>
      </c>
      <c r="F33" s="188" t="s">
        <v>509</v>
      </c>
      <c r="G33" s="186" t="s">
        <v>510</v>
      </c>
      <c r="J33" s="166"/>
    </row>
    <row r="34" spans="1:10" ht="13.15" hidden="1" customHeight="1">
      <c r="A34" s="185" t="s">
        <v>299</v>
      </c>
      <c r="B34" s="188" t="s">
        <v>511</v>
      </c>
      <c r="C34" s="186" t="s">
        <v>512</v>
      </c>
      <c r="D34" s="179" t="s">
        <v>513</v>
      </c>
      <c r="E34" s="188" t="s">
        <v>514</v>
      </c>
      <c r="F34" s="188" t="s">
        <v>515</v>
      </c>
      <c r="G34" s="186" t="s">
        <v>516</v>
      </c>
      <c r="J34" s="166"/>
    </row>
    <row r="35" spans="1:10" ht="13.15" hidden="1" customHeight="1">
      <c r="A35" s="185" t="s">
        <v>300</v>
      </c>
      <c r="B35" s="188" t="s">
        <v>517</v>
      </c>
      <c r="C35" s="186" t="s">
        <v>518</v>
      </c>
      <c r="D35" s="179" t="s">
        <v>519</v>
      </c>
      <c r="E35" s="188" t="s">
        <v>520</v>
      </c>
      <c r="F35" s="188" t="s">
        <v>516</v>
      </c>
      <c r="G35" s="186" t="s">
        <v>516</v>
      </c>
      <c r="J35" s="166"/>
    </row>
    <row r="36" spans="1:10" ht="13.15" hidden="1" customHeight="1">
      <c r="A36" s="185" t="s">
        <v>301</v>
      </c>
      <c r="B36" s="188" t="s">
        <v>521</v>
      </c>
      <c r="C36" s="186" t="s">
        <v>522</v>
      </c>
      <c r="D36" s="179" t="s">
        <v>523</v>
      </c>
      <c r="E36" s="188" t="s">
        <v>524</v>
      </c>
      <c r="F36" s="188" t="s">
        <v>525</v>
      </c>
      <c r="G36" s="186" t="s">
        <v>526</v>
      </c>
      <c r="J36" s="166"/>
    </row>
    <row r="37" spans="1:10" ht="13.15" hidden="1" customHeight="1">
      <c r="A37" s="185" t="s">
        <v>302</v>
      </c>
      <c r="B37" s="188" t="s">
        <v>521</v>
      </c>
      <c r="C37" s="186" t="s">
        <v>527</v>
      </c>
      <c r="D37" s="179" t="s">
        <v>523</v>
      </c>
      <c r="E37" s="188" t="s">
        <v>528</v>
      </c>
      <c r="F37" s="188" t="s">
        <v>529</v>
      </c>
      <c r="G37" s="186" t="s">
        <v>526</v>
      </c>
      <c r="J37" s="166"/>
    </row>
    <row r="38" spans="1:10" ht="13.15" hidden="1" customHeight="1">
      <c r="A38" s="185" t="s">
        <v>303</v>
      </c>
      <c r="B38" s="188" t="s">
        <v>511</v>
      </c>
      <c r="C38" s="186" t="s">
        <v>530</v>
      </c>
      <c r="D38" s="179" t="s">
        <v>531</v>
      </c>
      <c r="E38" s="188" t="s">
        <v>534</v>
      </c>
      <c r="F38" s="188" t="s">
        <v>535</v>
      </c>
      <c r="G38" s="186" t="s">
        <v>536</v>
      </c>
      <c r="J38" s="166"/>
    </row>
    <row r="39" spans="1:10" ht="13.15" hidden="1" customHeight="1">
      <c r="A39" s="185" t="s">
        <v>304</v>
      </c>
      <c r="B39" s="188" t="s">
        <v>537</v>
      </c>
      <c r="C39" s="186" t="s">
        <v>538</v>
      </c>
      <c r="D39" s="179" t="s">
        <v>539</v>
      </c>
      <c r="E39" s="188" t="s">
        <v>540</v>
      </c>
      <c r="F39" s="188" t="s">
        <v>516</v>
      </c>
      <c r="G39" s="186" t="s">
        <v>541</v>
      </c>
      <c r="J39" s="166"/>
    </row>
    <row r="40" spans="1:10" ht="13.15" hidden="1" customHeight="1">
      <c r="A40" s="185" t="s">
        <v>305</v>
      </c>
      <c r="B40" s="188" t="s">
        <v>542</v>
      </c>
      <c r="C40" s="186" t="s">
        <v>545</v>
      </c>
      <c r="D40" s="179" t="s">
        <v>546</v>
      </c>
      <c r="E40" s="188" t="s">
        <v>547</v>
      </c>
      <c r="F40" s="188" t="s">
        <v>535</v>
      </c>
      <c r="G40" s="186" t="s">
        <v>548</v>
      </c>
      <c r="J40" s="166"/>
    </row>
    <row r="41" spans="1:10" ht="13.9" hidden="1" customHeight="1">
      <c r="A41" s="185" t="s">
        <v>306</v>
      </c>
      <c r="B41" s="188" t="s">
        <v>549</v>
      </c>
      <c r="C41" s="186" t="s">
        <v>550</v>
      </c>
      <c r="D41" s="179" t="s">
        <v>551</v>
      </c>
      <c r="E41" s="188" t="s">
        <v>552</v>
      </c>
      <c r="F41" s="188" t="s">
        <v>516</v>
      </c>
      <c r="G41" s="186" t="s">
        <v>516</v>
      </c>
      <c r="J41" s="166"/>
    </row>
    <row r="42" spans="1:10" ht="13.15" hidden="1" customHeight="1">
      <c r="A42" s="185" t="s">
        <v>307</v>
      </c>
      <c r="B42" s="188" t="s">
        <v>553</v>
      </c>
      <c r="C42" s="186" t="s">
        <v>550</v>
      </c>
      <c r="D42" s="179" t="s">
        <v>554</v>
      </c>
      <c r="E42" s="188" t="s">
        <v>464</v>
      </c>
      <c r="F42" s="188" t="s">
        <v>516</v>
      </c>
      <c r="G42" s="186" t="s">
        <v>516</v>
      </c>
      <c r="J42" s="166"/>
    </row>
    <row r="43" spans="1:10" ht="13.15" hidden="1" customHeight="1">
      <c r="A43" s="185" t="s">
        <v>308</v>
      </c>
      <c r="B43" s="188" t="s">
        <v>555</v>
      </c>
      <c r="C43" s="186" t="s">
        <v>550</v>
      </c>
      <c r="D43" s="179" t="s">
        <v>556</v>
      </c>
      <c r="E43" s="188" t="s">
        <v>557</v>
      </c>
      <c r="F43" s="188" t="s">
        <v>558</v>
      </c>
      <c r="G43" s="186" t="s">
        <v>548</v>
      </c>
      <c r="J43" s="166"/>
    </row>
    <row r="44" spans="1:10" ht="13.15" hidden="1" customHeight="1">
      <c r="A44" s="185" t="s">
        <v>311</v>
      </c>
      <c r="B44" s="188" t="s">
        <v>559</v>
      </c>
      <c r="C44" s="186" t="s">
        <v>550</v>
      </c>
      <c r="D44" s="179" t="s">
        <v>560</v>
      </c>
      <c r="E44" s="188" t="s">
        <v>557</v>
      </c>
      <c r="F44" s="188" t="s">
        <v>548</v>
      </c>
      <c r="G44" s="186" t="s">
        <v>548</v>
      </c>
      <c r="J44" s="166"/>
    </row>
    <row r="45" spans="1:10" ht="10.15" hidden="1" customHeight="1">
      <c r="A45" s="185"/>
      <c r="B45" s="188"/>
      <c r="C45" s="186"/>
      <c r="D45" s="179"/>
      <c r="E45" s="188"/>
      <c r="F45" s="188"/>
      <c r="G45" s="186"/>
      <c r="J45" s="166"/>
    </row>
    <row r="46" spans="1:10" ht="13.15" hidden="1" customHeight="1">
      <c r="A46" s="187">
        <v>2002</v>
      </c>
      <c r="B46" s="188"/>
      <c r="C46" s="186"/>
      <c r="D46" s="179"/>
      <c r="E46" s="188"/>
      <c r="F46" s="188"/>
      <c r="G46" s="186"/>
      <c r="J46" s="166"/>
    </row>
    <row r="47" spans="1:10" ht="10.15" hidden="1" customHeight="1">
      <c r="A47" s="185"/>
      <c r="B47" s="188"/>
      <c r="C47" s="186"/>
      <c r="D47" s="179"/>
      <c r="E47" s="188"/>
      <c r="F47" s="188"/>
      <c r="G47" s="186"/>
      <c r="J47" s="166"/>
    </row>
    <row r="48" spans="1:10" ht="13.15" hidden="1" customHeight="1">
      <c r="A48" s="185" t="s">
        <v>298</v>
      </c>
      <c r="B48" s="188" t="s">
        <v>561</v>
      </c>
      <c r="C48" s="186" t="s">
        <v>562</v>
      </c>
      <c r="D48" s="179" t="s">
        <v>563</v>
      </c>
      <c r="E48" s="188" t="s">
        <v>564</v>
      </c>
      <c r="F48" s="188" t="s">
        <v>510</v>
      </c>
      <c r="G48" s="186" t="s">
        <v>548</v>
      </c>
      <c r="J48" s="166"/>
    </row>
    <row r="49" spans="1:10" ht="13.15" hidden="1" customHeight="1">
      <c r="A49" s="185" t="s">
        <v>299</v>
      </c>
      <c r="B49" s="188" t="s">
        <v>561</v>
      </c>
      <c r="C49" s="186" t="s">
        <v>562</v>
      </c>
      <c r="D49" s="179" t="s">
        <v>563</v>
      </c>
      <c r="E49" s="188" t="s">
        <v>565</v>
      </c>
      <c r="F49" s="188" t="s">
        <v>510</v>
      </c>
      <c r="G49" s="186" t="s">
        <v>548</v>
      </c>
      <c r="J49" s="166"/>
    </row>
    <row r="50" spans="1:10" ht="13.15" hidden="1" customHeight="1">
      <c r="A50" s="185" t="s">
        <v>300</v>
      </c>
      <c r="B50" s="188" t="s">
        <v>566</v>
      </c>
      <c r="C50" s="186" t="s">
        <v>567</v>
      </c>
      <c r="D50" s="179" t="s">
        <v>568</v>
      </c>
      <c r="E50" s="188" t="s">
        <v>569</v>
      </c>
      <c r="F50" s="188" t="s">
        <v>570</v>
      </c>
      <c r="G50" s="186" t="s">
        <v>571</v>
      </c>
      <c r="J50" s="166"/>
    </row>
    <row r="51" spans="1:10" ht="13.15" hidden="1" customHeight="1">
      <c r="A51" s="185" t="s">
        <v>301</v>
      </c>
      <c r="B51" s="188" t="s">
        <v>572</v>
      </c>
      <c r="C51" s="186" t="s">
        <v>573</v>
      </c>
      <c r="D51" s="179" t="s">
        <v>574</v>
      </c>
      <c r="E51" s="188" t="s">
        <v>575</v>
      </c>
      <c r="F51" s="188" t="s">
        <v>576</v>
      </c>
      <c r="G51" s="186" t="s">
        <v>577</v>
      </c>
      <c r="J51" s="166"/>
    </row>
    <row r="52" spans="1:10" ht="13.15" hidden="1" customHeight="1">
      <c r="A52" s="185" t="s">
        <v>302</v>
      </c>
      <c r="B52" s="188" t="s">
        <v>578</v>
      </c>
      <c r="C52" s="186" t="s">
        <v>567</v>
      </c>
      <c r="D52" s="179" t="s">
        <v>574</v>
      </c>
      <c r="E52" s="188" t="s">
        <v>579</v>
      </c>
      <c r="F52" s="188" t="s">
        <v>575</v>
      </c>
      <c r="G52" s="186" t="s">
        <v>580</v>
      </c>
      <c r="J52" s="166"/>
    </row>
    <row r="53" spans="1:10" ht="18.75" hidden="1" customHeight="1">
      <c r="A53" s="185" t="s">
        <v>303</v>
      </c>
      <c r="B53" s="188" t="s">
        <v>572</v>
      </c>
      <c r="C53" s="186" t="s">
        <v>581</v>
      </c>
      <c r="D53" s="179" t="s">
        <v>568</v>
      </c>
      <c r="E53" s="188" t="s">
        <v>582</v>
      </c>
      <c r="F53" s="188" t="s">
        <v>583</v>
      </c>
      <c r="G53" s="186" t="s">
        <v>498</v>
      </c>
      <c r="J53" s="166"/>
    </row>
    <row r="54" spans="1:10" ht="17.25" hidden="1" customHeight="1">
      <c r="A54" s="185" t="s">
        <v>304</v>
      </c>
      <c r="B54" s="188" t="s">
        <v>584</v>
      </c>
      <c r="C54" s="186" t="s">
        <v>585</v>
      </c>
      <c r="D54" s="179" t="s">
        <v>586</v>
      </c>
      <c r="E54" s="188" t="s">
        <v>587</v>
      </c>
      <c r="F54" s="188" t="s">
        <v>588</v>
      </c>
      <c r="G54" s="186" t="s">
        <v>589</v>
      </c>
      <c r="J54" s="166"/>
    </row>
    <row r="55" spans="1:10" ht="15" hidden="1" customHeight="1">
      <c r="A55" s="185" t="s">
        <v>305</v>
      </c>
      <c r="B55" s="188" t="s">
        <v>590</v>
      </c>
      <c r="C55" s="186" t="s">
        <v>591</v>
      </c>
      <c r="D55" s="179" t="s">
        <v>592</v>
      </c>
      <c r="E55" s="188" t="s">
        <v>593</v>
      </c>
      <c r="F55" s="188" t="s">
        <v>594</v>
      </c>
      <c r="G55" s="186" t="s">
        <v>595</v>
      </c>
      <c r="J55" s="166"/>
    </row>
    <row r="56" spans="1:10" ht="13.5" hidden="1" customHeight="1">
      <c r="A56" s="185" t="s">
        <v>306</v>
      </c>
      <c r="B56" s="188" t="s">
        <v>596</v>
      </c>
      <c r="C56" s="186" t="s">
        <v>597</v>
      </c>
      <c r="D56" s="179" t="s">
        <v>598</v>
      </c>
      <c r="E56" s="188" t="s">
        <v>582</v>
      </c>
      <c r="F56" s="188" t="s">
        <v>579</v>
      </c>
      <c r="G56" s="186" t="s">
        <v>599</v>
      </c>
      <c r="J56" s="166"/>
    </row>
    <row r="57" spans="1:10" ht="16.5" hidden="1" customHeight="1">
      <c r="A57" s="185" t="s">
        <v>307</v>
      </c>
      <c r="B57" s="199" t="s">
        <v>600</v>
      </c>
      <c r="C57" s="199" t="s">
        <v>601</v>
      </c>
      <c r="D57" s="200" t="s">
        <v>601</v>
      </c>
      <c r="E57" s="199" t="s">
        <v>602</v>
      </c>
      <c r="F57" s="201" t="s">
        <v>579</v>
      </c>
      <c r="G57" s="199" t="s">
        <v>603</v>
      </c>
      <c r="J57" s="166"/>
    </row>
    <row r="58" spans="1:10" ht="15.75" hidden="1" customHeight="1">
      <c r="A58" s="185" t="s">
        <v>308</v>
      </c>
      <c r="B58" s="202" t="s">
        <v>600</v>
      </c>
      <c r="C58" s="199" t="s">
        <v>604</v>
      </c>
      <c r="D58" s="201" t="s">
        <v>605</v>
      </c>
      <c r="E58" s="202" t="s">
        <v>606</v>
      </c>
      <c r="F58" s="188" t="s">
        <v>579</v>
      </c>
      <c r="G58" s="199" t="s">
        <v>607</v>
      </c>
      <c r="J58" s="166"/>
    </row>
    <row r="59" spans="1:10" ht="12" hidden="1" customHeight="1">
      <c r="A59" s="185" t="s">
        <v>311</v>
      </c>
      <c r="B59" s="202" t="s">
        <v>609</v>
      </c>
      <c r="C59" s="199" t="s">
        <v>604</v>
      </c>
      <c r="D59" s="201" t="s">
        <v>610</v>
      </c>
      <c r="E59" s="202" t="s">
        <v>604</v>
      </c>
      <c r="F59" s="188" t="s">
        <v>611</v>
      </c>
      <c r="G59" s="199" t="s">
        <v>612</v>
      </c>
      <c r="J59" s="166"/>
    </row>
    <row r="60" spans="1:10" ht="13.15" hidden="1" customHeight="1">
      <c r="A60" s="185"/>
      <c r="B60" s="202"/>
      <c r="C60" s="199"/>
      <c r="D60" s="201"/>
      <c r="E60" s="202"/>
      <c r="F60" s="188"/>
      <c r="G60" s="199"/>
      <c r="J60" s="166"/>
    </row>
    <row r="61" spans="1:10" ht="23.25" hidden="1" customHeight="1">
      <c r="A61" s="187">
        <v>2003</v>
      </c>
      <c r="B61" s="202"/>
      <c r="C61" s="199"/>
      <c r="D61" s="201"/>
      <c r="E61" s="202"/>
      <c r="F61" s="188"/>
      <c r="G61" s="199"/>
      <c r="J61" s="166"/>
    </row>
    <row r="62" spans="1:10" ht="19.5" hidden="1" customHeight="1">
      <c r="A62" s="187"/>
      <c r="B62" s="202"/>
      <c r="C62" s="199"/>
      <c r="D62" s="201"/>
      <c r="E62" s="202"/>
      <c r="F62" s="188"/>
      <c r="G62" s="199"/>
      <c r="J62" s="166"/>
    </row>
    <row r="63" spans="1:10" ht="13.15" hidden="1" customHeight="1">
      <c r="A63" s="197" t="s">
        <v>298</v>
      </c>
      <c r="B63" s="202" t="s">
        <v>609</v>
      </c>
      <c r="C63" s="199" t="s">
        <v>613</v>
      </c>
      <c r="D63" s="201" t="s">
        <v>614</v>
      </c>
      <c r="E63" s="202" t="s">
        <v>615</v>
      </c>
      <c r="F63" s="202" t="s">
        <v>614</v>
      </c>
      <c r="G63" s="199" t="s">
        <v>616</v>
      </c>
      <c r="J63" s="166"/>
    </row>
    <row r="64" spans="1:10" ht="18" hidden="1" customHeight="1">
      <c r="A64" s="197" t="s">
        <v>299</v>
      </c>
      <c r="B64" s="202" t="s">
        <v>617</v>
      </c>
      <c r="C64" s="199" t="s">
        <v>618</v>
      </c>
      <c r="D64" s="201" t="s">
        <v>619</v>
      </c>
      <c r="E64" s="202" t="s">
        <v>607</v>
      </c>
      <c r="F64" s="202" t="s">
        <v>620</v>
      </c>
      <c r="G64" s="199" t="s">
        <v>621</v>
      </c>
      <c r="J64" s="166"/>
    </row>
    <row r="65" spans="1:10" ht="14.25" hidden="1" customHeight="1">
      <c r="A65" s="176" t="s">
        <v>300</v>
      </c>
      <c r="B65" s="188" t="s">
        <v>516</v>
      </c>
      <c r="C65" s="186" t="s">
        <v>567</v>
      </c>
      <c r="D65" s="179" t="s">
        <v>622</v>
      </c>
      <c r="E65" s="188" t="s">
        <v>469</v>
      </c>
      <c r="F65" s="188" t="s">
        <v>469</v>
      </c>
      <c r="G65" s="186" t="s">
        <v>623</v>
      </c>
      <c r="J65" s="166"/>
    </row>
    <row r="66" spans="1:10" ht="17.25" hidden="1" customHeight="1">
      <c r="A66" s="176" t="s">
        <v>301</v>
      </c>
      <c r="B66" s="202" t="s">
        <v>516</v>
      </c>
      <c r="C66" s="199" t="s">
        <v>624</v>
      </c>
      <c r="D66" s="201" t="s">
        <v>625</v>
      </c>
      <c r="E66" s="202" t="s">
        <v>626</v>
      </c>
      <c r="F66" s="202" t="s">
        <v>627</v>
      </c>
      <c r="G66" s="199" t="s">
        <v>628</v>
      </c>
      <c r="J66" s="166"/>
    </row>
    <row r="67" spans="1:10" ht="16.5" hidden="1" customHeight="1">
      <c r="A67" s="203" t="s">
        <v>302</v>
      </c>
      <c r="B67" s="202" t="s">
        <v>638</v>
      </c>
      <c r="C67" s="199" t="s">
        <v>639</v>
      </c>
      <c r="D67" s="201" t="s">
        <v>625</v>
      </c>
      <c r="E67" s="202" t="s">
        <v>626</v>
      </c>
      <c r="F67" s="202" t="s">
        <v>627</v>
      </c>
      <c r="G67" s="199" t="s">
        <v>631</v>
      </c>
      <c r="J67" s="166"/>
    </row>
    <row r="68" spans="1:10" ht="17.25" hidden="1" customHeight="1">
      <c r="A68" s="203" t="s">
        <v>303</v>
      </c>
      <c r="B68" s="202" t="s">
        <v>640</v>
      </c>
      <c r="C68" s="199" t="s">
        <v>641</v>
      </c>
      <c r="D68" s="201" t="s">
        <v>630</v>
      </c>
      <c r="E68" s="202" t="s">
        <v>642</v>
      </c>
      <c r="F68" s="202" t="s">
        <v>643</v>
      </c>
      <c r="G68" s="199" t="s">
        <v>644</v>
      </c>
      <c r="J68" s="166"/>
    </row>
    <row r="69" spans="1:10" ht="17.25" hidden="1" customHeight="1">
      <c r="A69" s="203" t="s">
        <v>304</v>
      </c>
      <c r="B69" s="202" t="s">
        <v>645</v>
      </c>
      <c r="C69" s="199" t="s">
        <v>646</v>
      </c>
      <c r="D69" s="201" t="s">
        <v>647</v>
      </c>
      <c r="E69" s="202" t="s">
        <v>648</v>
      </c>
      <c r="F69" s="202" t="s">
        <v>649</v>
      </c>
      <c r="G69" s="199" t="s">
        <v>650</v>
      </c>
      <c r="J69" s="166"/>
    </row>
    <row r="70" spans="1:10" ht="17.25" hidden="1" customHeight="1">
      <c r="A70" s="176" t="s">
        <v>305</v>
      </c>
      <c r="B70" s="202" t="s">
        <v>654</v>
      </c>
      <c r="C70" s="199" t="s">
        <v>655</v>
      </c>
      <c r="D70" s="201" t="s">
        <v>656</v>
      </c>
      <c r="E70" s="202" t="s">
        <v>656</v>
      </c>
      <c r="F70" s="202" t="s">
        <v>657</v>
      </c>
      <c r="G70" s="199" t="s">
        <v>658</v>
      </c>
      <c r="J70" s="166"/>
    </row>
    <row r="71" spans="1:10" ht="17.25" hidden="1" customHeight="1">
      <c r="A71" s="176" t="s">
        <v>306</v>
      </c>
      <c r="B71" s="202" t="s">
        <v>659</v>
      </c>
      <c r="C71" s="199" t="s">
        <v>660</v>
      </c>
      <c r="D71" s="201" t="s">
        <v>661</v>
      </c>
      <c r="E71" s="202" t="s">
        <v>662</v>
      </c>
      <c r="F71" s="202" t="s">
        <v>663</v>
      </c>
      <c r="G71" s="199" t="s">
        <v>664</v>
      </c>
      <c r="J71" s="166"/>
    </row>
    <row r="72" spans="1:10" ht="17.25" hidden="1" customHeight="1">
      <c r="A72" s="176" t="s">
        <v>307</v>
      </c>
      <c r="B72" s="202" t="s">
        <v>665</v>
      </c>
      <c r="C72" s="199" t="s">
        <v>666</v>
      </c>
      <c r="D72" s="201" t="s">
        <v>667</v>
      </c>
      <c r="E72" s="202" t="s">
        <v>668</v>
      </c>
      <c r="F72" s="202" t="s">
        <v>669</v>
      </c>
      <c r="G72" s="199" t="s">
        <v>670</v>
      </c>
      <c r="J72" s="166"/>
    </row>
    <row r="73" spans="1:10" ht="17.25" hidden="1" customHeight="1">
      <c r="A73" s="176" t="s">
        <v>308</v>
      </c>
      <c r="B73" s="186" t="s">
        <v>671</v>
      </c>
      <c r="C73" s="186" t="s">
        <v>668</v>
      </c>
      <c r="D73" s="204" t="s">
        <v>667</v>
      </c>
      <c r="E73" s="186" t="s">
        <v>672</v>
      </c>
      <c r="F73" s="186" t="s">
        <v>673</v>
      </c>
      <c r="G73" s="186" t="s">
        <v>674</v>
      </c>
      <c r="J73" s="166"/>
    </row>
    <row r="74" spans="1:10" ht="17.25" hidden="1" customHeight="1">
      <c r="A74" s="176" t="s">
        <v>311</v>
      </c>
      <c r="B74" s="199" t="s">
        <v>677</v>
      </c>
      <c r="C74" s="199" t="s">
        <v>678</v>
      </c>
      <c r="D74" s="200" t="s">
        <v>679</v>
      </c>
      <c r="E74" s="199" t="s">
        <v>680</v>
      </c>
      <c r="F74" s="199" t="s">
        <v>681</v>
      </c>
      <c r="G74" s="199" t="s">
        <v>682</v>
      </c>
      <c r="J74" s="166"/>
    </row>
    <row r="75" spans="1:10" ht="17.25" hidden="1" customHeight="1">
      <c r="A75" s="176"/>
      <c r="B75" s="186"/>
      <c r="C75" s="186"/>
      <c r="D75" s="204"/>
      <c r="E75" s="186"/>
      <c r="F75" s="186"/>
      <c r="G75" s="186"/>
      <c r="J75" s="166"/>
    </row>
    <row r="76" spans="1:10" ht="17.25" hidden="1" customHeight="1">
      <c r="A76" s="205">
        <v>2004</v>
      </c>
      <c r="B76" s="186"/>
      <c r="C76" s="186"/>
      <c r="D76" s="204"/>
      <c r="E76" s="186"/>
      <c r="F76" s="186"/>
      <c r="G76" s="186"/>
      <c r="J76" s="166"/>
    </row>
    <row r="77" spans="1:10" ht="17.25" hidden="1" customHeight="1">
      <c r="A77" s="205"/>
      <c r="B77" s="186"/>
      <c r="C77" s="186"/>
      <c r="D77" s="204"/>
      <c r="E77" s="186"/>
      <c r="F77" s="186"/>
      <c r="G77" s="186"/>
      <c r="J77" s="166"/>
    </row>
    <row r="78" spans="1:10" ht="17.25" hidden="1" customHeight="1">
      <c r="A78" s="176" t="s">
        <v>298</v>
      </c>
      <c r="B78" s="199" t="s">
        <v>228</v>
      </c>
      <c r="C78" s="199" t="s">
        <v>242</v>
      </c>
      <c r="D78" s="200" t="s">
        <v>243</v>
      </c>
      <c r="E78" s="199" t="s">
        <v>683</v>
      </c>
      <c r="F78" s="199" t="s">
        <v>684</v>
      </c>
      <c r="G78" s="199" t="s">
        <v>684</v>
      </c>
      <c r="J78" s="166"/>
    </row>
    <row r="79" spans="1:10" ht="17.25" hidden="1" customHeight="1">
      <c r="A79" s="176" t="s">
        <v>299</v>
      </c>
      <c r="B79" s="186" t="s">
        <v>234</v>
      </c>
      <c r="C79" s="186" t="s">
        <v>161</v>
      </c>
      <c r="D79" s="204" t="s">
        <v>237</v>
      </c>
      <c r="E79" s="186" t="s">
        <v>171</v>
      </c>
      <c r="F79" s="186" t="s">
        <v>174</v>
      </c>
      <c r="G79" s="186" t="s">
        <v>176</v>
      </c>
      <c r="J79" s="166"/>
    </row>
    <row r="80" spans="1:10" ht="17.25" hidden="1" customHeight="1">
      <c r="A80" s="176" t="s">
        <v>300</v>
      </c>
      <c r="B80" s="186" t="s">
        <v>235</v>
      </c>
      <c r="C80" s="186" t="s">
        <v>169</v>
      </c>
      <c r="D80" s="204" t="s">
        <v>238</v>
      </c>
      <c r="E80" s="186" t="s">
        <v>172</v>
      </c>
      <c r="F80" s="186" t="s">
        <v>175</v>
      </c>
      <c r="G80" s="186" t="s">
        <v>177</v>
      </c>
      <c r="J80" s="166"/>
    </row>
    <row r="81" spans="1:10" ht="17.25" hidden="1" customHeight="1">
      <c r="A81" s="176" t="s">
        <v>301</v>
      </c>
      <c r="B81" s="186" t="s">
        <v>236</v>
      </c>
      <c r="C81" s="186" t="s">
        <v>170</v>
      </c>
      <c r="D81" s="204" t="s">
        <v>239</v>
      </c>
      <c r="E81" s="186" t="s">
        <v>173</v>
      </c>
      <c r="F81" s="186" t="s">
        <v>175</v>
      </c>
      <c r="G81" s="186" t="s">
        <v>177</v>
      </c>
      <c r="J81" s="166"/>
    </row>
    <row r="82" spans="1:10" ht="17.25" hidden="1" customHeight="1">
      <c r="A82" s="176" t="s">
        <v>302</v>
      </c>
      <c r="B82" s="188" t="s">
        <v>510</v>
      </c>
      <c r="C82" s="186" t="s">
        <v>356</v>
      </c>
      <c r="D82" s="179" t="s">
        <v>357</v>
      </c>
      <c r="E82" s="188" t="s">
        <v>667</v>
      </c>
      <c r="F82" s="188" t="s">
        <v>358</v>
      </c>
      <c r="G82" s="186" t="s">
        <v>359</v>
      </c>
      <c r="J82" s="166"/>
    </row>
    <row r="83" spans="1:10" ht="17.25" hidden="1" customHeight="1">
      <c r="A83" s="176" t="s">
        <v>303</v>
      </c>
      <c r="B83" s="188" t="s">
        <v>617</v>
      </c>
      <c r="C83" s="186" t="s">
        <v>257</v>
      </c>
      <c r="D83" s="179" t="s">
        <v>657</v>
      </c>
      <c r="E83" s="188" t="s">
        <v>663</v>
      </c>
      <c r="F83" s="188" t="s">
        <v>663</v>
      </c>
      <c r="G83" s="186" t="s">
        <v>256</v>
      </c>
      <c r="J83" s="166"/>
    </row>
    <row r="84" spans="1:10" ht="17.25" hidden="1" customHeight="1">
      <c r="A84" s="176" t="s">
        <v>304</v>
      </c>
      <c r="B84" s="188" t="s">
        <v>773</v>
      </c>
      <c r="C84" s="186" t="s">
        <v>630</v>
      </c>
      <c r="D84" s="179" t="s">
        <v>741</v>
      </c>
      <c r="E84" s="188" t="s">
        <v>631</v>
      </c>
      <c r="F84" s="188" t="s">
        <v>981</v>
      </c>
      <c r="G84" s="186" t="s">
        <v>983</v>
      </c>
      <c r="J84" s="166"/>
    </row>
    <row r="85" spans="1:10" ht="17.25" hidden="1" customHeight="1">
      <c r="A85" s="176" t="s">
        <v>305</v>
      </c>
      <c r="B85" s="188" t="s">
        <v>775</v>
      </c>
      <c r="C85" s="186" t="s">
        <v>741</v>
      </c>
      <c r="D85" s="179" t="s">
        <v>1102</v>
      </c>
      <c r="E85" s="188" t="s">
        <v>1102</v>
      </c>
      <c r="F85" s="188" t="s">
        <v>357</v>
      </c>
      <c r="G85" s="186" t="s">
        <v>981</v>
      </c>
      <c r="J85" s="166"/>
    </row>
    <row r="86" spans="1:10" ht="17.25" hidden="1" customHeight="1">
      <c r="A86" s="176" t="s">
        <v>306</v>
      </c>
      <c r="B86" s="188" t="s">
        <v>775</v>
      </c>
      <c r="C86" s="186" t="s">
        <v>162</v>
      </c>
      <c r="D86" s="179" t="s">
        <v>163</v>
      </c>
      <c r="E86" s="188" t="s">
        <v>164</v>
      </c>
      <c r="F86" s="188" t="s">
        <v>663</v>
      </c>
      <c r="G86" s="186" t="s">
        <v>165</v>
      </c>
      <c r="J86" s="166"/>
    </row>
    <row r="87" spans="1:10" ht="17.25" hidden="1" customHeight="1">
      <c r="A87" s="176" t="s">
        <v>307</v>
      </c>
      <c r="B87" s="188" t="s">
        <v>783</v>
      </c>
      <c r="C87" s="186" t="s">
        <v>166</v>
      </c>
      <c r="D87" s="179" t="s">
        <v>163</v>
      </c>
      <c r="E87" s="188" t="s">
        <v>167</v>
      </c>
      <c r="F87" s="188" t="s">
        <v>663</v>
      </c>
      <c r="G87" s="186" t="s">
        <v>165</v>
      </c>
      <c r="J87" s="166"/>
    </row>
    <row r="88" spans="1:10" ht="17.25" hidden="1" customHeight="1">
      <c r="A88" s="176" t="s">
        <v>308</v>
      </c>
      <c r="B88" s="202" t="s">
        <v>583</v>
      </c>
      <c r="C88" s="199" t="s">
        <v>385</v>
      </c>
      <c r="D88" s="201" t="s">
        <v>163</v>
      </c>
      <c r="E88" s="202" t="s">
        <v>391</v>
      </c>
      <c r="F88" s="202" t="s">
        <v>357</v>
      </c>
      <c r="G88" s="186" t="s">
        <v>165</v>
      </c>
      <c r="J88" s="166"/>
    </row>
    <row r="89" spans="1:10" ht="17.25" hidden="1" customHeight="1">
      <c r="A89" s="176" t="s">
        <v>311</v>
      </c>
      <c r="B89" s="202" t="s">
        <v>381</v>
      </c>
      <c r="C89" s="199" t="s">
        <v>386</v>
      </c>
      <c r="D89" s="201" t="s">
        <v>387</v>
      </c>
      <c r="E89" s="202" t="s">
        <v>388</v>
      </c>
      <c r="F89" s="202" t="s">
        <v>663</v>
      </c>
      <c r="G89" s="199" t="s">
        <v>165</v>
      </c>
      <c r="J89" s="166"/>
    </row>
    <row r="90" spans="1:10" ht="17.25" hidden="1" customHeight="1">
      <c r="A90" s="176"/>
      <c r="B90" s="202"/>
      <c r="C90" s="199"/>
      <c r="D90" s="201"/>
      <c r="E90" s="202"/>
      <c r="F90" s="202"/>
      <c r="G90" s="199"/>
      <c r="J90" s="166"/>
    </row>
    <row r="91" spans="1:10" ht="17.25" hidden="1" customHeight="1">
      <c r="A91" s="205">
        <v>2005</v>
      </c>
      <c r="B91" s="202"/>
      <c r="C91" s="199"/>
      <c r="D91" s="201"/>
      <c r="E91" s="202"/>
      <c r="F91" s="202"/>
      <c r="G91" s="199"/>
      <c r="J91" s="166"/>
    </row>
    <row r="92" spans="1:10" ht="17.25" hidden="1" customHeight="1">
      <c r="A92" s="205"/>
      <c r="B92" s="202"/>
      <c r="C92" s="199"/>
      <c r="D92" s="201"/>
      <c r="E92" s="202"/>
      <c r="F92" s="202"/>
      <c r="G92" s="199"/>
      <c r="J92" s="166"/>
    </row>
    <row r="93" spans="1:10" ht="17.25" hidden="1" customHeight="1">
      <c r="A93" s="176" t="s">
        <v>298</v>
      </c>
      <c r="B93" s="202" t="s">
        <v>593</v>
      </c>
      <c r="C93" s="199" t="s">
        <v>636</v>
      </c>
      <c r="D93" s="201" t="s">
        <v>75</v>
      </c>
      <c r="E93" s="202" t="s">
        <v>388</v>
      </c>
      <c r="F93" s="202" t="s">
        <v>76</v>
      </c>
      <c r="G93" s="199" t="s">
        <v>165</v>
      </c>
      <c r="J93" s="166"/>
    </row>
    <row r="94" spans="1:10" ht="17.25" hidden="1" customHeight="1">
      <c r="A94" s="176" t="s">
        <v>299</v>
      </c>
      <c r="B94" s="188" t="s">
        <v>783</v>
      </c>
      <c r="C94" s="186" t="s">
        <v>635</v>
      </c>
      <c r="D94" s="179" t="s">
        <v>635</v>
      </c>
      <c r="E94" s="188" t="s">
        <v>222</v>
      </c>
      <c r="F94" s="188" t="s">
        <v>222</v>
      </c>
      <c r="G94" s="186" t="s">
        <v>165</v>
      </c>
      <c r="J94" s="166"/>
    </row>
    <row r="95" spans="1:10" ht="17.25" hidden="1" customHeight="1">
      <c r="A95" s="176" t="s">
        <v>300</v>
      </c>
      <c r="B95" s="188" t="s">
        <v>634</v>
      </c>
      <c r="C95" s="186" t="s">
        <v>510</v>
      </c>
      <c r="D95" s="179" t="s">
        <v>516</v>
      </c>
      <c r="E95" s="188" t="s">
        <v>637</v>
      </c>
      <c r="F95" s="188" t="s">
        <v>222</v>
      </c>
      <c r="G95" s="186" t="s">
        <v>165</v>
      </c>
      <c r="J95" s="166"/>
    </row>
    <row r="96" spans="1:10" ht="17.25" hidden="1" customHeight="1">
      <c r="A96" s="176" t="s">
        <v>301</v>
      </c>
      <c r="B96" s="188" t="s">
        <v>634</v>
      </c>
      <c r="C96" s="186" t="s">
        <v>510</v>
      </c>
      <c r="D96" s="179" t="s">
        <v>1103</v>
      </c>
      <c r="E96" s="188" t="s">
        <v>637</v>
      </c>
      <c r="F96" s="188" t="s">
        <v>222</v>
      </c>
      <c r="G96" s="186" t="s">
        <v>165</v>
      </c>
      <c r="J96" s="166"/>
    </row>
    <row r="97" spans="1:10" ht="17.25" hidden="1" customHeight="1">
      <c r="A97" s="176" t="s">
        <v>302</v>
      </c>
      <c r="B97" s="188" t="s">
        <v>634</v>
      </c>
      <c r="C97" s="186" t="s">
        <v>510</v>
      </c>
      <c r="D97" s="179" t="s">
        <v>510</v>
      </c>
      <c r="E97" s="188" t="s">
        <v>637</v>
      </c>
      <c r="F97" s="188" t="s">
        <v>222</v>
      </c>
      <c r="G97" s="186" t="s">
        <v>165</v>
      </c>
      <c r="J97" s="166"/>
    </row>
    <row r="98" spans="1:10" ht="17.25" hidden="1" customHeight="1">
      <c r="A98" s="176" t="s">
        <v>303</v>
      </c>
      <c r="B98" s="202" t="s">
        <v>634</v>
      </c>
      <c r="C98" s="199" t="s">
        <v>510</v>
      </c>
      <c r="D98" s="201" t="s">
        <v>510</v>
      </c>
      <c r="E98" s="202" t="s">
        <v>637</v>
      </c>
      <c r="F98" s="202" t="s">
        <v>222</v>
      </c>
      <c r="G98" s="199" t="s">
        <v>165</v>
      </c>
      <c r="J98" s="166"/>
    </row>
    <row r="99" spans="1:10" ht="17.25" hidden="1" customHeight="1">
      <c r="A99" s="176" t="s">
        <v>304</v>
      </c>
      <c r="B99" s="202" t="s">
        <v>767</v>
      </c>
      <c r="C99" s="199" t="s">
        <v>5</v>
      </c>
      <c r="D99" s="201" t="s">
        <v>6</v>
      </c>
      <c r="E99" s="202" t="s">
        <v>659</v>
      </c>
      <c r="F99" s="202" t="s">
        <v>7</v>
      </c>
      <c r="G99" s="199" t="s">
        <v>165</v>
      </c>
      <c r="J99" s="166"/>
    </row>
    <row r="100" spans="1:10" ht="17.25" hidden="1" customHeight="1">
      <c r="A100" s="176" t="s">
        <v>305</v>
      </c>
      <c r="B100" s="202" t="s">
        <v>767</v>
      </c>
      <c r="C100" s="199" t="s">
        <v>244</v>
      </c>
      <c r="D100" s="201" t="s">
        <v>245</v>
      </c>
      <c r="E100" s="202" t="s">
        <v>246</v>
      </c>
      <c r="F100" s="202" t="s">
        <v>247</v>
      </c>
      <c r="G100" s="199" t="s">
        <v>248</v>
      </c>
      <c r="J100" s="166"/>
    </row>
    <row r="101" spans="1:10" ht="17.25" hidden="1" customHeight="1">
      <c r="A101" s="176" t="s">
        <v>306</v>
      </c>
      <c r="B101" s="202" t="s">
        <v>767</v>
      </c>
      <c r="C101" s="199" t="s">
        <v>244</v>
      </c>
      <c r="D101" s="201" t="s">
        <v>245</v>
      </c>
      <c r="E101" s="202" t="s">
        <v>246</v>
      </c>
      <c r="F101" s="202" t="s">
        <v>247</v>
      </c>
      <c r="G101" s="199" t="s">
        <v>248</v>
      </c>
      <c r="J101" s="166"/>
    </row>
    <row r="102" spans="1:10" ht="17.25" hidden="1" customHeight="1">
      <c r="A102" s="176" t="s">
        <v>307</v>
      </c>
      <c r="B102" s="202" t="s">
        <v>767</v>
      </c>
      <c r="C102" s="186" t="s">
        <v>94</v>
      </c>
      <c r="D102" s="179" t="s">
        <v>94</v>
      </c>
      <c r="E102" s="188" t="s">
        <v>94</v>
      </c>
      <c r="F102" s="188" t="s">
        <v>94</v>
      </c>
      <c r="G102" s="186" t="s">
        <v>94</v>
      </c>
      <c r="J102" s="166"/>
    </row>
    <row r="103" spans="1:10" ht="17.25" hidden="1" customHeight="1">
      <c r="A103" s="176" t="s">
        <v>308</v>
      </c>
      <c r="B103" s="202" t="s">
        <v>309</v>
      </c>
      <c r="C103" s="186" t="s">
        <v>94</v>
      </c>
      <c r="D103" s="179" t="s">
        <v>94</v>
      </c>
      <c r="E103" s="188" t="s">
        <v>94</v>
      </c>
      <c r="F103" s="188" t="s">
        <v>94</v>
      </c>
      <c r="G103" s="186" t="s">
        <v>94</v>
      </c>
      <c r="J103" s="166"/>
    </row>
    <row r="104" spans="1:10" ht="17.25" hidden="1" customHeight="1">
      <c r="A104" s="176" t="s">
        <v>311</v>
      </c>
      <c r="B104" s="188" t="s">
        <v>767</v>
      </c>
      <c r="C104" s="186" t="s">
        <v>94</v>
      </c>
      <c r="D104" s="179" t="s">
        <v>94</v>
      </c>
      <c r="E104" s="188" t="s">
        <v>94</v>
      </c>
      <c r="F104" s="188" t="s">
        <v>94</v>
      </c>
      <c r="G104" s="186" t="s">
        <v>94</v>
      </c>
      <c r="J104" s="166"/>
    </row>
    <row r="105" spans="1:10" ht="17.25" hidden="1" customHeight="1">
      <c r="A105" s="176"/>
      <c r="B105" s="188"/>
      <c r="C105" s="186"/>
      <c r="D105" s="179"/>
      <c r="E105" s="188"/>
      <c r="F105" s="188"/>
      <c r="G105" s="186"/>
      <c r="J105" s="166"/>
    </row>
    <row r="106" spans="1:10" ht="17.25" hidden="1" customHeight="1">
      <c r="A106" s="205">
        <v>2006</v>
      </c>
      <c r="B106" s="188"/>
      <c r="C106" s="186"/>
      <c r="D106" s="179"/>
      <c r="E106" s="188"/>
      <c r="F106" s="188"/>
      <c r="G106" s="186"/>
      <c r="J106" s="166"/>
    </row>
    <row r="107" spans="1:10" ht="17.25" hidden="1" customHeight="1">
      <c r="A107" s="176"/>
      <c r="B107" s="188"/>
      <c r="C107" s="186"/>
      <c r="D107" s="179"/>
      <c r="E107" s="188"/>
      <c r="F107" s="188"/>
      <c r="G107" s="186"/>
      <c r="J107" s="166"/>
    </row>
    <row r="108" spans="1:10" ht="17.25" hidden="1" customHeight="1">
      <c r="A108" s="176" t="s">
        <v>298</v>
      </c>
      <c r="B108" s="188" t="s">
        <v>375</v>
      </c>
      <c r="C108" s="186" t="s">
        <v>94</v>
      </c>
      <c r="D108" s="179" t="s">
        <v>94</v>
      </c>
      <c r="E108" s="188" t="s">
        <v>94</v>
      </c>
      <c r="F108" s="188" t="s">
        <v>94</v>
      </c>
      <c r="G108" s="186" t="s">
        <v>94</v>
      </c>
      <c r="J108" s="166"/>
    </row>
    <row r="109" spans="1:10" ht="17.25" hidden="1" customHeight="1">
      <c r="A109" s="176" t="s">
        <v>299</v>
      </c>
      <c r="B109" s="188" t="s">
        <v>94</v>
      </c>
      <c r="C109" s="186" t="s">
        <v>94</v>
      </c>
      <c r="D109" s="179" t="s">
        <v>94</v>
      </c>
      <c r="E109" s="188" t="s">
        <v>94</v>
      </c>
      <c r="F109" s="188" t="s">
        <v>94</v>
      </c>
      <c r="G109" s="186" t="s">
        <v>94</v>
      </c>
      <c r="J109" s="166"/>
    </row>
    <row r="110" spans="1:10" ht="17.25" hidden="1" customHeight="1">
      <c r="A110" s="176" t="s">
        <v>300</v>
      </c>
      <c r="B110" s="188" t="s">
        <v>94</v>
      </c>
      <c r="C110" s="186" t="s">
        <v>94</v>
      </c>
      <c r="D110" s="179" t="s">
        <v>94</v>
      </c>
      <c r="E110" s="188" t="s">
        <v>94</v>
      </c>
      <c r="F110" s="188" t="s">
        <v>94</v>
      </c>
      <c r="G110" s="186" t="s">
        <v>94</v>
      </c>
      <c r="J110" s="166"/>
    </row>
    <row r="111" spans="1:10" ht="17.25" hidden="1" customHeight="1">
      <c r="A111" s="176" t="s">
        <v>301</v>
      </c>
      <c r="B111" s="188" t="s">
        <v>94</v>
      </c>
      <c r="C111" s="186" t="s">
        <v>94</v>
      </c>
      <c r="D111" s="179" t="s">
        <v>94</v>
      </c>
      <c r="E111" s="188" t="s">
        <v>94</v>
      </c>
      <c r="F111" s="188" t="s">
        <v>94</v>
      </c>
      <c r="G111" s="186" t="s">
        <v>94</v>
      </c>
      <c r="J111" s="166"/>
    </row>
    <row r="112" spans="1:10" ht="17.25" hidden="1" customHeight="1">
      <c r="A112" s="176" t="s">
        <v>302</v>
      </c>
      <c r="B112" s="188" t="s">
        <v>94</v>
      </c>
      <c r="C112" s="186" t="s">
        <v>94</v>
      </c>
      <c r="D112" s="179" t="s">
        <v>94</v>
      </c>
      <c r="E112" s="188" t="s">
        <v>94</v>
      </c>
      <c r="F112" s="188" t="s">
        <v>94</v>
      </c>
      <c r="G112" s="186" t="s">
        <v>94</v>
      </c>
      <c r="J112" s="166"/>
    </row>
    <row r="113" spans="1:10" ht="17.25" hidden="1" customHeight="1">
      <c r="A113" s="176" t="s">
        <v>303</v>
      </c>
      <c r="B113" s="188" t="s">
        <v>94</v>
      </c>
      <c r="C113" s="186" t="s">
        <v>94</v>
      </c>
      <c r="D113" s="179" t="s">
        <v>94</v>
      </c>
      <c r="E113" s="188" t="s">
        <v>94</v>
      </c>
      <c r="F113" s="188" t="s">
        <v>94</v>
      </c>
      <c r="G113" s="186" t="s">
        <v>94</v>
      </c>
      <c r="J113" s="166"/>
    </row>
    <row r="114" spans="1:10" ht="17.25" hidden="1" customHeight="1">
      <c r="A114" s="176" t="s">
        <v>304</v>
      </c>
      <c r="B114" s="188" t="s">
        <v>94</v>
      </c>
      <c r="C114" s="186" t="s">
        <v>94</v>
      </c>
      <c r="D114" s="179" t="s">
        <v>94</v>
      </c>
      <c r="E114" s="188" t="s">
        <v>94</v>
      </c>
      <c r="F114" s="188" t="s">
        <v>94</v>
      </c>
      <c r="G114" s="186" t="s">
        <v>94</v>
      </c>
      <c r="J114" s="166"/>
    </row>
    <row r="115" spans="1:10" ht="17.25" hidden="1" customHeight="1">
      <c r="A115" s="176" t="s">
        <v>305</v>
      </c>
      <c r="B115" s="188" t="s">
        <v>94</v>
      </c>
      <c r="C115" s="186" t="s">
        <v>94</v>
      </c>
      <c r="D115" s="179" t="s">
        <v>94</v>
      </c>
      <c r="E115" s="188" t="s">
        <v>94</v>
      </c>
      <c r="F115" s="188" t="s">
        <v>94</v>
      </c>
      <c r="G115" s="186" t="s">
        <v>94</v>
      </c>
      <c r="J115" s="166"/>
    </row>
    <row r="116" spans="1:10" ht="17.25" hidden="1" customHeight="1">
      <c r="A116" s="176" t="s">
        <v>306</v>
      </c>
      <c r="B116" s="188" t="s">
        <v>94</v>
      </c>
      <c r="C116" s="186" t="s">
        <v>94</v>
      </c>
      <c r="D116" s="179" t="s">
        <v>94</v>
      </c>
      <c r="E116" s="188" t="s">
        <v>94</v>
      </c>
      <c r="F116" s="188" t="s">
        <v>94</v>
      </c>
      <c r="G116" s="186" t="s">
        <v>94</v>
      </c>
      <c r="J116" s="166"/>
    </row>
    <row r="117" spans="1:10" ht="17.25" hidden="1" customHeight="1">
      <c r="A117" s="176" t="s">
        <v>307</v>
      </c>
      <c r="B117" s="188" t="s">
        <v>94</v>
      </c>
      <c r="C117" s="186" t="s">
        <v>94</v>
      </c>
      <c r="D117" s="179" t="s">
        <v>94</v>
      </c>
      <c r="E117" s="188" t="s">
        <v>94</v>
      </c>
      <c r="F117" s="188" t="s">
        <v>94</v>
      </c>
      <c r="G117" s="186" t="s">
        <v>94</v>
      </c>
      <c r="J117" s="166"/>
    </row>
    <row r="118" spans="1:10" ht="17.25" hidden="1" customHeight="1">
      <c r="A118" s="176" t="s">
        <v>308</v>
      </c>
      <c r="B118" s="188" t="s">
        <v>94</v>
      </c>
      <c r="C118" s="186" t="s">
        <v>94</v>
      </c>
      <c r="D118" s="179" t="s">
        <v>94</v>
      </c>
      <c r="E118" s="188" t="s">
        <v>94</v>
      </c>
      <c r="F118" s="188" t="s">
        <v>94</v>
      </c>
      <c r="G118" s="186" t="s">
        <v>94</v>
      </c>
      <c r="J118" s="166"/>
    </row>
    <row r="119" spans="1:10" ht="17.25" hidden="1" customHeight="1">
      <c r="A119" s="176" t="s">
        <v>311</v>
      </c>
      <c r="B119" s="188" t="s">
        <v>94</v>
      </c>
      <c r="C119" s="186" t="s">
        <v>94</v>
      </c>
      <c r="D119" s="179" t="s">
        <v>94</v>
      </c>
      <c r="E119" s="188" t="s">
        <v>94</v>
      </c>
      <c r="F119" s="188" t="s">
        <v>94</v>
      </c>
      <c r="G119" s="186" t="s">
        <v>94</v>
      </c>
      <c r="J119" s="166"/>
    </row>
    <row r="120" spans="1:10" ht="17.25" hidden="1" customHeight="1">
      <c r="A120" s="176"/>
      <c r="B120" s="188"/>
      <c r="C120" s="186"/>
      <c r="D120" s="179"/>
      <c r="E120" s="188"/>
      <c r="F120" s="188"/>
      <c r="G120" s="186"/>
      <c r="J120" s="166"/>
    </row>
    <row r="121" spans="1:10" ht="17.25" hidden="1" customHeight="1">
      <c r="A121" s="205">
        <v>2007</v>
      </c>
      <c r="B121" s="188"/>
      <c r="C121" s="186"/>
      <c r="D121" s="179"/>
      <c r="E121" s="188"/>
      <c r="F121" s="188"/>
      <c r="G121" s="186"/>
      <c r="J121" s="166"/>
    </row>
    <row r="122" spans="1:10" ht="17.25" hidden="1" customHeight="1">
      <c r="A122" s="176"/>
      <c r="B122" s="188"/>
      <c r="C122" s="186"/>
      <c r="D122" s="179"/>
      <c r="E122" s="188"/>
      <c r="F122" s="188"/>
      <c r="G122" s="186"/>
      <c r="J122" s="166"/>
    </row>
    <row r="123" spans="1:10" ht="17.25" hidden="1" customHeight="1">
      <c r="A123" s="176" t="s">
        <v>298</v>
      </c>
      <c r="B123" s="188" t="s">
        <v>94</v>
      </c>
      <c r="C123" s="186" t="s">
        <v>94</v>
      </c>
      <c r="D123" s="179" t="s">
        <v>94</v>
      </c>
      <c r="E123" s="188" t="s">
        <v>94</v>
      </c>
      <c r="F123" s="188" t="s">
        <v>94</v>
      </c>
      <c r="G123" s="186" t="s">
        <v>94</v>
      </c>
      <c r="J123" s="166"/>
    </row>
    <row r="124" spans="1:10" ht="17.25" hidden="1" customHeight="1">
      <c r="A124" s="176" t="s">
        <v>299</v>
      </c>
      <c r="B124" s="188" t="s">
        <v>94</v>
      </c>
      <c r="C124" s="186" t="s">
        <v>94</v>
      </c>
      <c r="D124" s="179" t="s">
        <v>94</v>
      </c>
      <c r="E124" s="188" t="s">
        <v>94</v>
      </c>
      <c r="F124" s="188" t="s">
        <v>94</v>
      </c>
      <c r="G124" s="186" t="s">
        <v>94</v>
      </c>
      <c r="J124" s="166"/>
    </row>
    <row r="125" spans="1:10" ht="17.25" hidden="1" customHeight="1">
      <c r="A125" s="176" t="s">
        <v>300</v>
      </c>
      <c r="B125" s="188" t="s">
        <v>94</v>
      </c>
      <c r="C125" s="186" t="s">
        <v>94</v>
      </c>
      <c r="D125" s="179" t="s">
        <v>94</v>
      </c>
      <c r="E125" s="188" t="s">
        <v>94</v>
      </c>
      <c r="F125" s="188" t="s">
        <v>94</v>
      </c>
      <c r="G125" s="186" t="s">
        <v>94</v>
      </c>
      <c r="J125" s="166"/>
    </row>
    <row r="126" spans="1:10" ht="17.25" hidden="1" customHeight="1">
      <c r="A126" s="176" t="s">
        <v>301</v>
      </c>
      <c r="B126" s="188" t="s">
        <v>94</v>
      </c>
      <c r="C126" s="186" t="s">
        <v>94</v>
      </c>
      <c r="D126" s="179" t="s">
        <v>94</v>
      </c>
      <c r="E126" s="188" t="s">
        <v>94</v>
      </c>
      <c r="F126" s="188" t="s">
        <v>94</v>
      </c>
      <c r="G126" s="186" t="s">
        <v>94</v>
      </c>
      <c r="J126" s="166"/>
    </row>
    <row r="127" spans="1:10" ht="17.25" hidden="1" customHeight="1">
      <c r="A127" s="176" t="s">
        <v>302</v>
      </c>
      <c r="B127" s="188" t="s">
        <v>94</v>
      </c>
      <c r="C127" s="186" t="s">
        <v>94</v>
      </c>
      <c r="D127" s="179" t="s">
        <v>94</v>
      </c>
      <c r="E127" s="188" t="s">
        <v>94</v>
      </c>
      <c r="F127" s="188" t="s">
        <v>94</v>
      </c>
      <c r="G127" s="186" t="s">
        <v>94</v>
      </c>
      <c r="J127" s="166"/>
    </row>
    <row r="128" spans="1:10" ht="17.25" hidden="1" customHeight="1">
      <c r="A128" s="176" t="s">
        <v>303</v>
      </c>
      <c r="B128" s="188" t="s">
        <v>94</v>
      </c>
      <c r="C128" s="186" t="s">
        <v>94</v>
      </c>
      <c r="D128" s="179" t="s">
        <v>94</v>
      </c>
      <c r="E128" s="188" t="s">
        <v>94</v>
      </c>
      <c r="F128" s="188" t="s">
        <v>94</v>
      </c>
      <c r="G128" s="186" t="s">
        <v>94</v>
      </c>
      <c r="J128" s="166"/>
    </row>
    <row r="129" spans="1:10" ht="17.25" hidden="1" customHeight="1">
      <c r="A129" s="176" t="s">
        <v>304</v>
      </c>
      <c r="B129" s="188" t="s">
        <v>94</v>
      </c>
      <c r="C129" s="186" t="s">
        <v>94</v>
      </c>
      <c r="D129" s="179" t="s">
        <v>94</v>
      </c>
      <c r="E129" s="188" t="s">
        <v>94</v>
      </c>
      <c r="F129" s="188" t="s">
        <v>94</v>
      </c>
      <c r="G129" s="186" t="s">
        <v>94</v>
      </c>
      <c r="J129" s="166"/>
    </row>
    <row r="130" spans="1:10" ht="17.25" hidden="1" customHeight="1">
      <c r="A130" s="176" t="s">
        <v>305</v>
      </c>
      <c r="B130" s="188" t="s">
        <v>94</v>
      </c>
      <c r="C130" s="186" t="s">
        <v>94</v>
      </c>
      <c r="D130" s="179" t="s">
        <v>94</v>
      </c>
      <c r="E130" s="188" t="s">
        <v>94</v>
      </c>
      <c r="F130" s="188" t="s">
        <v>94</v>
      </c>
      <c r="G130" s="186" t="s">
        <v>94</v>
      </c>
      <c r="J130" s="166"/>
    </row>
    <row r="131" spans="1:10" ht="17.25" hidden="1" customHeight="1">
      <c r="A131" s="176" t="s">
        <v>306</v>
      </c>
      <c r="B131" s="188" t="s">
        <v>94</v>
      </c>
      <c r="C131" s="186" t="s">
        <v>94</v>
      </c>
      <c r="D131" s="179" t="s">
        <v>94</v>
      </c>
      <c r="E131" s="188" t="s">
        <v>94</v>
      </c>
      <c r="F131" s="188" t="s">
        <v>94</v>
      </c>
      <c r="G131" s="186" t="s">
        <v>94</v>
      </c>
      <c r="J131" s="166"/>
    </row>
    <row r="132" spans="1:10" ht="17.25" hidden="1" customHeight="1">
      <c r="A132" s="176" t="s">
        <v>307</v>
      </c>
      <c r="B132" s="188" t="s">
        <v>94</v>
      </c>
      <c r="C132" s="186" t="s">
        <v>94</v>
      </c>
      <c r="D132" s="179" t="s">
        <v>94</v>
      </c>
      <c r="E132" s="188" t="s">
        <v>94</v>
      </c>
      <c r="F132" s="188" t="s">
        <v>94</v>
      </c>
      <c r="G132" s="186" t="s">
        <v>94</v>
      </c>
      <c r="J132" s="166"/>
    </row>
    <row r="133" spans="1:10" ht="17.25" hidden="1" customHeight="1">
      <c r="A133" s="176" t="s">
        <v>308</v>
      </c>
      <c r="B133" s="188" t="s">
        <v>94</v>
      </c>
      <c r="C133" s="186" t="s">
        <v>94</v>
      </c>
      <c r="D133" s="179" t="s">
        <v>94</v>
      </c>
      <c r="E133" s="188" t="s">
        <v>94</v>
      </c>
      <c r="F133" s="188" t="s">
        <v>94</v>
      </c>
      <c r="G133" s="186" t="s">
        <v>94</v>
      </c>
      <c r="J133" s="166"/>
    </row>
    <row r="134" spans="1:10" ht="17.25" hidden="1" customHeight="1">
      <c r="A134" s="176" t="s">
        <v>311</v>
      </c>
      <c r="B134" s="188" t="s">
        <v>94</v>
      </c>
      <c r="C134" s="186" t="s">
        <v>94</v>
      </c>
      <c r="D134" s="179" t="s">
        <v>94</v>
      </c>
      <c r="E134" s="188" t="s">
        <v>94</v>
      </c>
      <c r="F134" s="188" t="s">
        <v>94</v>
      </c>
      <c r="G134" s="186" t="s">
        <v>94</v>
      </c>
      <c r="J134" s="166"/>
    </row>
    <row r="135" spans="1:10" ht="17.25" hidden="1" customHeight="1">
      <c r="A135" s="176"/>
      <c r="B135" s="188"/>
      <c r="C135" s="186"/>
      <c r="D135" s="179"/>
      <c r="E135" s="188"/>
      <c r="F135" s="188"/>
      <c r="G135" s="186"/>
      <c r="J135" s="166"/>
    </row>
    <row r="136" spans="1:10" ht="17.25" hidden="1" customHeight="1">
      <c r="A136" s="205">
        <v>2008</v>
      </c>
      <c r="B136" s="188"/>
      <c r="C136" s="186"/>
      <c r="D136" s="179"/>
      <c r="E136" s="188"/>
      <c r="F136" s="188"/>
      <c r="G136" s="186"/>
      <c r="J136" s="166"/>
    </row>
    <row r="137" spans="1:10" ht="17.25" hidden="1" customHeight="1">
      <c r="A137" s="176"/>
      <c r="B137" s="188"/>
      <c r="C137" s="186"/>
      <c r="D137" s="179"/>
      <c r="E137" s="188"/>
      <c r="F137" s="188"/>
      <c r="G137" s="186"/>
      <c r="J137" s="166"/>
    </row>
    <row r="138" spans="1:10" ht="17.25" hidden="1" customHeight="1">
      <c r="A138" s="176" t="s">
        <v>298</v>
      </c>
      <c r="B138" s="188" t="s">
        <v>94</v>
      </c>
      <c r="C138" s="186" t="s">
        <v>94</v>
      </c>
      <c r="D138" s="179" t="s">
        <v>94</v>
      </c>
      <c r="E138" s="188" t="s">
        <v>94</v>
      </c>
      <c r="F138" s="188" t="s">
        <v>94</v>
      </c>
      <c r="G138" s="186" t="s">
        <v>94</v>
      </c>
      <c r="J138" s="166"/>
    </row>
    <row r="139" spans="1:10" ht="17.25" hidden="1" customHeight="1">
      <c r="A139" s="176" t="s">
        <v>299</v>
      </c>
      <c r="B139" s="188" t="s">
        <v>94</v>
      </c>
      <c r="C139" s="186" t="s">
        <v>94</v>
      </c>
      <c r="D139" s="179" t="s">
        <v>94</v>
      </c>
      <c r="E139" s="188" t="s">
        <v>94</v>
      </c>
      <c r="F139" s="188" t="s">
        <v>94</v>
      </c>
      <c r="G139" s="186" t="s">
        <v>94</v>
      </c>
      <c r="J139" s="166"/>
    </row>
    <row r="140" spans="1:10" ht="17.25" hidden="1" customHeight="1">
      <c r="A140" s="176" t="s">
        <v>300</v>
      </c>
      <c r="B140" s="188" t="s">
        <v>94</v>
      </c>
      <c r="C140" s="186" t="s">
        <v>94</v>
      </c>
      <c r="D140" s="179" t="s">
        <v>94</v>
      </c>
      <c r="E140" s="188" t="s">
        <v>94</v>
      </c>
      <c r="F140" s="188" t="s">
        <v>94</v>
      </c>
      <c r="G140" s="186" t="s">
        <v>94</v>
      </c>
      <c r="J140" s="166"/>
    </row>
    <row r="141" spans="1:10" ht="17.25" hidden="1" customHeight="1">
      <c r="A141" s="176" t="s">
        <v>301</v>
      </c>
      <c r="B141" s="188" t="s">
        <v>94</v>
      </c>
      <c r="C141" s="186" t="s">
        <v>94</v>
      </c>
      <c r="D141" s="179" t="s">
        <v>94</v>
      </c>
      <c r="E141" s="188" t="s">
        <v>94</v>
      </c>
      <c r="F141" s="188" t="s">
        <v>94</v>
      </c>
      <c r="G141" s="186" t="s">
        <v>94</v>
      </c>
      <c r="J141" s="166"/>
    </row>
    <row r="142" spans="1:10" ht="17.25" hidden="1" customHeight="1">
      <c r="A142" s="176" t="s">
        <v>302</v>
      </c>
      <c r="B142" s="188" t="s">
        <v>94</v>
      </c>
      <c r="C142" s="186" t="s">
        <v>94</v>
      </c>
      <c r="D142" s="179" t="s">
        <v>94</v>
      </c>
      <c r="E142" s="188" t="s">
        <v>94</v>
      </c>
      <c r="F142" s="188" t="s">
        <v>94</v>
      </c>
      <c r="G142" s="186" t="s">
        <v>94</v>
      </c>
      <c r="J142" s="166"/>
    </row>
    <row r="143" spans="1:10" ht="17.25" hidden="1" customHeight="1">
      <c r="A143" s="176" t="s">
        <v>303</v>
      </c>
      <c r="B143" s="188" t="s">
        <v>94</v>
      </c>
      <c r="C143" s="186" t="s">
        <v>94</v>
      </c>
      <c r="D143" s="179" t="s">
        <v>94</v>
      </c>
      <c r="E143" s="188" t="s">
        <v>94</v>
      </c>
      <c r="F143" s="188" t="s">
        <v>94</v>
      </c>
      <c r="G143" s="186" t="s">
        <v>94</v>
      </c>
      <c r="J143" s="166"/>
    </row>
    <row r="144" spans="1:10" ht="17.25" hidden="1" customHeight="1">
      <c r="A144" s="176" t="s">
        <v>304</v>
      </c>
      <c r="B144" s="188" t="s">
        <v>94</v>
      </c>
      <c r="C144" s="186" t="s">
        <v>94</v>
      </c>
      <c r="D144" s="179" t="s">
        <v>94</v>
      </c>
      <c r="E144" s="188" t="s">
        <v>94</v>
      </c>
      <c r="F144" s="188" t="s">
        <v>94</v>
      </c>
      <c r="G144" s="186" t="s">
        <v>94</v>
      </c>
      <c r="J144" s="166"/>
    </row>
    <row r="145" spans="1:10" ht="17.25" hidden="1" customHeight="1">
      <c r="A145" s="176" t="s">
        <v>305</v>
      </c>
      <c r="B145" s="188" t="s">
        <v>94</v>
      </c>
      <c r="C145" s="186" t="s">
        <v>94</v>
      </c>
      <c r="D145" s="179" t="s">
        <v>94</v>
      </c>
      <c r="E145" s="188" t="s">
        <v>94</v>
      </c>
      <c r="F145" s="188" t="s">
        <v>94</v>
      </c>
      <c r="G145" s="186" t="s">
        <v>94</v>
      </c>
      <c r="J145" s="166"/>
    </row>
    <row r="146" spans="1:10" ht="17.25" hidden="1" customHeight="1">
      <c r="A146" s="176" t="s">
        <v>306</v>
      </c>
      <c r="B146" s="188" t="s">
        <v>94</v>
      </c>
      <c r="C146" s="186" t="s">
        <v>94</v>
      </c>
      <c r="D146" s="179" t="s">
        <v>94</v>
      </c>
      <c r="E146" s="188" t="s">
        <v>94</v>
      </c>
      <c r="F146" s="188" t="s">
        <v>94</v>
      </c>
      <c r="G146" s="186" t="s">
        <v>94</v>
      </c>
      <c r="J146" s="166"/>
    </row>
    <row r="147" spans="1:10" ht="17.25" hidden="1" customHeight="1">
      <c r="A147" s="176" t="s">
        <v>307</v>
      </c>
      <c r="B147" s="188" t="s">
        <v>94</v>
      </c>
      <c r="C147" s="186" t="s">
        <v>94</v>
      </c>
      <c r="D147" s="179" t="s">
        <v>94</v>
      </c>
      <c r="E147" s="188" t="s">
        <v>94</v>
      </c>
      <c r="F147" s="188" t="s">
        <v>94</v>
      </c>
      <c r="G147" s="186" t="s">
        <v>94</v>
      </c>
      <c r="J147" s="166"/>
    </row>
    <row r="148" spans="1:10" ht="17.25" hidden="1" customHeight="1">
      <c r="A148" s="176" t="s">
        <v>308</v>
      </c>
      <c r="B148" s="188" t="s">
        <v>94</v>
      </c>
      <c r="C148" s="186" t="s">
        <v>94</v>
      </c>
      <c r="D148" s="179" t="s">
        <v>94</v>
      </c>
      <c r="E148" s="188" t="s">
        <v>94</v>
      </c>
      <c r="F148" s="188" t="s">
        <v>94</v>
      </c>
      <c r="G148" s="186" t="s">
        <v>94</v>
      </c>
      <c r="J148" s="166"/>
    </row>
    <row r="149" spans="1:10" ht="17.25" hidden="1" customHeight="1">
      <c r="A149" s="176" t="s">
        <v>311</v>
      </c>
      <c r="B149" s="188" t="s">
        <v>94</v>
      </c>
      <c r="C149" s="186" t="s">
        <v>94</v>
      </c>
      <c r="D149" s="179" t="s">
        <v>94</v>
      </c>
      <c r="E149" s="188" t="s">
        <v>94</v>
      </c>
      <c r="F149" s="188" t="s">
        <v>94</v>
      </c>
      <c r="G149" s="186" t="s">
        <v>94</v>
      </c>
      <c r="J149" s="166"/>
    </row>
    <row r="150" spans="1:10" ht="17.25" hidden="1" customHeight="1">
      <c r="A150" s="176"/>
      <c r="B150" s="188"/>
      <c r="C150" s="186"/>
      <c r="D150" s="179"/>
      <c r="E150" s="188"/>
      <c r="F150" s="188"/>
      <c r="G150" s="186"/>
      <c r="J150" s="166"/>
    </row>
    <row r="151" spans="1:10" ht="17.25" hidden="1" customHeight="1">
      <c r="A151" s="205">
        <v>2011</v>
      </c>
      <c r="B151" s="188"/>
      <c r="C151" s="186"/>
      <c r="D151" s="179"/>
      <c r="E151" s="188"/>
      <c r="F151" s="188"/>
      <c r="G151" s="186"/>
      <c r="J151" s="166"/>
    </row>
    <row r="152" spans="1:10" ht="17.25" hidden="1" customHeight="1">
      <c r="A152" s="176"/>
      <c r="B152" s="188"/>
      <c r="C152" s="186"/>
      <c r="D152" s="179"/>
      <c r="E152" s="188"/>
      <c r="F152" s="188"/>
      <c r="G152" s="186"/>
      <c r="J152" s="166"/>
    </row>
    <row r="153" spans="1:10" ht="17.25" hidden="1" customHeight="1">
      <c r="A153" s="176" t="s">
        <v>298</v>
      </c>
      <c r="B153" s="188"/>
      <c r="C153" s="186"/>
      <c r="D153" s="179"/>
      <c r="E153" s="188"/>
      <c r="F153" s="188"/>
      <c r="G153" s="186"/>
      <c r="J153" s="166"/>
    </row>
    <row r="154" spans="1:10" ht="17.25" hidden="1" customHeight="1">
      <c r="A154" s="176" t="s">
        <v>299</v>
      </c>
      <c r="B154" s="188"/>
      <c r="C154" s="186"/>
      <c r="D154" s="179"/>
      <c r="E154" s="188"/>
      <c r="F154" s="188"/>
      <c r="G154" s="186"/>
      <c r="J154" s="166"/>
    </row>
    <row r="155" spans="1:10" ht="17.25" hidden="1" customHeight="1">
      <c r="A155" s="176" t="s">
        <v>300</v>
      </c>
      <c r="B155" s="188"/>
      <c r="C155" s="186"/>
      <c r="D155" s="179"/>
      <c r="E155" s="188"/>
      <c r="F155" s="188"/>
      <c r="G155" s="186"/>
      <c r="J155" s="166"/>
    </row>
    <row r="156" spans="1:10" ht="17.25" hidden="1" customHeight="1">
      <c r="A156" s="176" t="s">
        <v>301</v>
      </c>
      <c r="B156" s="188"/>
      <c r="C156" s="186"/>
      <c r="D156" s="179"/>
      <c r="E156" s="188"/>
      <c r="F156" s="188"/>
      <c r="G156" s="186"/>
      <c r="J156" s="166"/>
    </row>
    <row r="157" spans="1:10" ht="17.25" hidden="1" customHeight="1">
      <c r="A157" s="176" t="s">
        <v>302</v>
      </c>
      <c r="B157" s="188"/>
      <c r="C157" s="186"/>
      <c r="D157" s="179"/>
      <c r="E157" s="188"/>
      <c r="F157" s="188"/>
      <c r="G157" s="186"/>
      <c r="J157" s="166"/>
    </row>
    <row r="158" spans="1:10" ht="17.25" hidden="1" customHeight="1">
      <c r="A158" s="176" t="s">
        <v>303</v>
      </c>
      <c r="B158" s="188"/>
      <c r="C158" s="186"/>
      <c r="D158" s="179"/>
      <c r="E158" s="188"/>
      <c r="F158" s="188"/>
      <c r="G158" s="186"/>
      <c r="J158" s="166"/>
    </row>
    <row r="159" spans="1:10" ht="17.25" hidden="1" customHeight="1">
      <c r="A159" s="176" t="s">
        <v>304</v>
      </c>
      <c r="B159" s="188"/>
      <c r="C159" s="186"/>
      <c r="D159" s="179"/>
      <c r="E159" s="188"/>
      <c r="F159" s="188"/>
      <c r="G159" s="186"/>
      <c r="J159" s="166"/>
    </row>
    <row r="160" spans="1:10" ht="17.25" hidden="1" customHeight="1">
      <c r="A160" s="176" t="s">
        <v>305</v>
      </c>
      <c r="B160" s="188"/>
      <c r="C160" s="186"/>
      <c r="D160" s="179"/>
      <c r="E160" s="188"/>
      <c r="F160" s="188"/>
      <c r="G160" s="186"/>
      <c r="J160" s="166"/>
    </row>
    <row r="161" spans="1:10" ht="17.25" hidden="1" customHeight="1">
      <c r="A161" s="176" t="s">
        <v>306</v>
      </c>
      <c r="B161" s="188"/>
      <c r="C161" s="186"/>
      <c r="D161" s="179"/>
      <c r="E161" s="188"/>
      <c r="F161" s="188"/>
      <c r="G161" s="186"/>
      <c r="J161" s="166"/>
    </row>
    <row r="162" spans="1:10" ht="17.25" hidden="1" customHeight="1">
      <c r="A162" s="176" t="s">
        <v>307</v>
      </c>
      <c r="B162" s="188"/>
      <c r="C162" s="186"/>
      <c r="D162" s="179"/>
      <c r="E162" s="188"/>
      <c r="F162" s="188"/>
      <c r="G162" s="186"/>
      <c r="J162" s="166"/>
    </row>
    <row r="163" spans="1:10" ht="17.25" hidden="1" customHeight="1">
      <c r="A163" s="176" t="s">
        <v>308</v>
      </c>
      <c r="B163" s="188"/>
      <c r="C163" s="186"/>
      <c r="D163" s="179"/>
      <c r="E163" s="188"/>
      <c r="F163" s="188"/>
      <c r="G163" s="186"/>
      <c r="J163" s="166"/>
    </row>
    <row r="164" spans="1:10" ht="17.25" hidden="1" customHeight="1">
      <c r="A164" s="176" t="s">
        <v>311</v>
      </c>
      <c r="B164" s="188"/>
      <c r="C164" s="186"/>
      <c r="D164" s="179"/>
      <c r="E164" s="188"/>
      <c r="F164" s="188"/>
      <c r="G164" s="186"/>
      <c r="J164" s="166"/>
    </row>
    <row r="165" spans="1:10" ht="13.15" hidden="1" customHeight="1" thickBot="1">
      <c r="A165" s="206"/>
      <c r="B165" s="188"/>
      <c r="C165" s="192"/>
      <c r="D165" s="179"/>
      <c r="E165" s="188" t="s">
        <v>296</v>
      </c>
      <c r="F165" s="188"/>
      <c r="G165" s="192"/>
      <c r="J165" s="166"/>
    </row>
    <row r="166" spans="1:10" ht="13.15" hidden="1" customHeight="1" thickTop="1">
      <c r="A166" s="207"/>
      <c r="B166" s="208" t="s">
        <v>296</v>
      </c>
      <c r="C166" s="208"/>
      <c r="D166" s="208"/>
      <c r="E166" s="208"/>
      <c r="F166" s="208"/>
      <c r="G166" s="169"/>
    </row>
    <row r="167" spans="1:10" ht="15.75" hidden="1" customHeight="1">
      <c r="A167" s="209" t="s">
        <v>690</v>
      </c>
      <c r="B167" s="169"/>
      <c r="D167" s="165" t="s">
        <v>296</v>
      </c>
    </row>
    <row r="168" spans="1:10" ht="15.75" hidden="1" customHeight="1">
      <c r="A168" s="209" t="s">
        <v>691</v>
      </c>
      <c r="B168" s="169"/>
      <c r="D168" s="165" t="s">
        <v>296</v>
      </c>
      <c r="I168" s="165" t="s">
        <v>296</v>
      </c>
    </row>
    <row r="169" spans="1:10" ht="15" hidden="1" customHeight="1">
      <c r="A169" s="209" t="s">
        <v>692</v>
      </c>
      <c r="B169" s="169"/>
      <c r="D169" s="165" t="s">
        <v>296</v>
      </c>
    </row>
    <row r="170" spans="1:10" ht="13.5" hidden="1" customHeight="1">
      <c r="A170" s="209" t="s">
        <v>693</v>
      </c>
      <c r="B170" s="169"/>
      <c r="D170" s="165" t="s">
        <v>296</v>
      </c>
    </row>
    <row r="171" spans="1:10" ht="15" hidden="1" customHeight="1">
      <c r="A171" s="209" t="s">
        <v>694</v>
      </c>
      <c r="B171" s="169"/>
      <c r="D171" s="165" t="s">
        <v>296</v>
      </c>
    </row>
    <row r="172" spans="1:10" ht="15" hidden="1" customHeight="1">
      <c r="A172" s="209"/>
    </row>
    <row r="173" spans="1:10" ht="9.75" hidden="1" customHeight="1">
      <c r="A173" s="209"/>
    </row>
    <row r="174" spans="1:10" ht="16.5" customHeight="1"/>
    <row r="175" spans="1:10" ht="13.15" customHeight="1"/>
    <row r="176" spans="1:10" ht="8.25" customHeight="1"/>
    <row r="177" spans="7:13" ht="10.15" customHeight="1"/>
    <row r="178" spans="7:13" ht="18.75" customHeight="1"/>
    <row r="179" spans="7:13" ht="19.5" customHeight="1"/>
    <row r="180" spans="7:13" ht="10.9" customHeight="1"/>
    <row r="181" spans="7:13" ht="13.5" customHeight="1"/>
    <row r="182" spans="7:13" ht="15.75" customHeight="1"/>
    <row r="183" spans="7:13" ht="17.25" customHeight="1"/>
    <row r="184" spans="7:13" ht="18" customHeight="1"/>
    <row r="185" spans="7:13" ht="19.5" customHeight="1"/>
    <row r="186" spans="7:13" ht="15" customHeight="1"/>
    <row r="187" spans="7:13" ht="10.15" customHeight="1"/>
    <row r="188" spans="7:13" ht="13.15" hidden="1" customHeight="1"/>
    <row r="189" spans="7:13" ht="13.15" hidden="1" customHeight="1"/>
    <row r="190" spans="7:13" ht="13.15" hidden="1" customHeight="1">
      <c r="G190" s="171"/>
      <c r="H190" s="171"/>
      <c r="I190" s="171"/>
      <c r="J190" s="171"/>
      <c r="K190" s="211"/>
      <c r="L190" s="211"/>
      <c r="M190" s="211"/>
    </row>
    <row r="191" spans="7:13" ht="13.15" hidden="1" customHeight="1">
      <c r="G191" s="171"/>
      <c r="H191" s="171"/>
      <c r="I191" s="171"/>
      <c r="J191" s="171"/>
      <c r="K191" s="211"/>
      <c r="L191" s="211"/>
      <c r="M191" s="211"/>
    </row>
    <row r="192" spans="7:13" ht="13.15" hidden="1" customHeight="1">
      <c r="G192" s="171"/>
      <c r="H192" s="171"/>
      <c r="I192" s="171"/>
      <c r="J192" s="171"/>
      <c r="K192" s="211"/>
      <c r="L192" s="211"/>
      <c r="M192" s="211"/>
    </row>
    <row r="193" spans="7:13" ht="13.15" hidden="1" customHeight="1">
      <c r="G193" s="171"/>
      <c r="H193" s="171"/>
      <c r="I193" s="171"/>
      <c r="J193" s="171"/>
      <c r="K193" s="211"/>
      <c r="L193" s="211"/>
      <c r="M193" s="211"/>
    </row>
    <row r="194" spans="7:13" ht="13.15" hidden="1" customHeight="1">
      <c r="G194" s="171"/>
      <c r="H194" s="171"/>
      <c r="I194" s="171"/>
      <c r="J194" s="171"/>
      <c r="K194" s="211"/>
      <c r="L194" s="211"/>
      <c r="M194" s="211"/>
    </row>
    <row r="195" spans="7:13" ht="13.15" hidden="1" customHeight="1">
      <c r="G195" s="171"/>
      <c r="H195" s="171"/>
      <c r="I195" s="171"/>
      <c r="J195" s="171"/>
      <c r="K195" s="211"/>
      <c r="L195" s="211"/>
      <c r="M195" s="211"/>
    </row>
    <row r="196" spans="7:13" ht="13.15" hidden="1" customHeight="1"/>
    <row r="197" spans="7:13" ht="13.15" hidden="1" customHeight="1"/>
    <row r="198" spans="7:13" ht="13.15" hidden="1" customHeight="1"/>
    <row r="199" spans="7:13" ht="13.15" hidden="1" customHeight="1"/>
    <row r="200" spans="7:13" ht="13.15" hidden="1" customHeight="1"/>
    <row r="201" spans="7:13" ht="13.15" hidden="1" customHeight="1"/>
    <row r="202" spans="7:13" ht="13.15" hidden="1" customHeight="1"/>
    <row r="203" spans="7:13" ht="13.15" hidden="1" customHeight="1"/>
    <row r="204" spans="7:13" ht="13.15" hidden="1" customHeight="1"/>
    <row r="205" spans="7:13" ht="13.15" hidden="1" customHeight="1"/>
    <row r="206" spans="7:13" ht="13.15" customHeight="1" thickBot="1"/>
    <row r="207" spans="7:13" ht="13.15" hidden="1" customHeight="1"/>
    <row r="208" spans="7:13" ht="9" hidden="1" customHeight="1"/>
    <row r="209" spans="13:252" ht="13.15" hidden="1" customHeight="1"/>
    <row r="210" spans="13:252" ht="13.15" hidden="1" customHeight="1"/>
    <row r="211" spans="13:252" ht="13.15" hidden="1" customHeight="1"/>
    <row r="212" spans="13:252" ht="13.15" hidden="1" customHeight="1"/>
    <row r="213" spans="13:252" ht="13.15" hidden="1" customHeight="1"/>
    <row r="214" spans="13:252" ht="13.15" hidden="1" customHeight="1"/>
    <row r="215" spans="13:252" ht="13.15" hidden="1" customHeight="1"/>
    <row r="216" spans="13:252" ht="13.15" hidden="1" customHeight="1"/>
    <row r="217" spans="13:252" ht="13.15" hidden="1" customHeight="1"/>
    <row r="218" spans="13:252" ht="13.15" hidden="1" customHeight="1"/>
    <row r="219" spans="13:252" ht="13.15" hidden="1" customHeight="1" thickBot="1"/>
    <row r="220" spans="13:252" ht="13.15" hidden="1" customHeight="1" thickTop="1" thickBot="1">
      <c r="M220" s="212"/>
      <c r="N220" s="212"/>
      <c r="O220" s="212"/>
      <c r="P220" s="212"/>
      <c r="Q220" s="212"/>
      <c r="R220" s="212"/>
      <c r="S220" s="212"/>
      <c r="T220" s="212"/>
      <c r="U220" s="212"/>
      <c r="V220" s="212"/>
      <c r="W220" s="212"/>
      <c r="X220" s="212"/>
      <c r="Y220" s="212"/>
      <c r="Z220" s="212"/>
      <c r="AA220" s="212"/>
      <c r="AB220" s="212"/>
      <c r="AC220" s="212"/>
      <c r="AD220" s="212"/>
      <c r="AE220" s="212"/>
      <c r="AF220" s="212"/>
      <c r="AG220" s="212"/>
      <c r="AH220" s="212"/>
      <c r="AI220" s="212"/>
      <c r="AJ220" s="212"/>
      <c r="AK220" s="212"/>
      <c r="AL220" s="212"/>
      <c r="AM220" s="212"/>
      <c r="AN220" s="212"/>
      <c r="AO220" s="212"/>
      <c r="AP220" s="212"/>
      <c r="AQ220" s="212"/>
      <c r="AR220" s="212"/>
      <c r="AS220" s="212"/>
      <c r="AT220" s="212"/>
      <c r="AU220" s="212"/>
      <c r="AV220" s="212"/>
      <c r="AW220" s="212"/>
      <c r="AX220" s="212"/>
      <c r="AY220" s="212"/>
      <c r="AZ220" s="212"/>
      <c r="BA220" s="212"/>
      <c r="BB220" s="212"/>
      <c r="BC220" s="212"/>
      <c r="BD220" s="212"/>
      <c r="BE220" s="212"/>
      <c r="BF220" s="212"/>
      <c r="BG220" s="212"/>
      <c r="BH220" s="212"/>
      <c r="BI220" s="212"/>
      <c r="BJ220" s="212"/>
      <c r="BK220" s="212"/>
      <c r="BL220" s="212"/>
      <c r="BM220" s="212"/>
      <c r="BN220" s="212"/>
      <c r="BO220" s="212"/>
      <c r="BP220" s="212"/>
      <c r="BQ220" s="212"/>
      <c r="BR220" s="212"/>
      <c r="BS220" s="212"/>
      <c r="BT220" s="212"/>
      <c r="BU220" s="212"/>
      <c r="BV220" s="212"/>
      <c r="BW220" s="212"/>
      <c r="BX220" s="212"/>
      <c r="BY220" s="212"/>
      <c r="BZ220" s="212"/>
      <c r="CA220" s="212"/>
      <c r="CB220" s="212"/>
      <c r="CC220" s="212"/>
      <c r="CD220" s="212"/>
      <c r="CE220" s="212"/>
      <c r="CF220" s="212"/>
      <c r="CG220" s="212"/>
      <c r="CH220" s="212"/>
      <c r="CI220" s="212"/>
      <c r="CJ220" s="212"/>
      <c r="CK220" s="212"/>
      <c r="CL220" s="212"/>
      <c r="CM220" s="212"/>
      <c r="CN220" s="212"/>
      <c r="CO220" s="212"/>
      <c r="CP220" s="212"/>
      <c r="CQ220" s="212"/>
      <c r="CR220" s="212"/>
      <c r="CS220" s="212"/>
      <c r="CT220" s="212"/>
      <c r="CU220" s="212"/>
      <c r="CV220" s="212"/>
      <c r="CW220" s="212"/>
      <c r="CX220" s="212"/>
      <c r="CY220" s="212"/>
      <c r="CZ220" s="212"/>
      <c r="DA220" s="212"/>
      <c r="DB220" s="212"/>
      <c r="DC220" s="212"/>
      <c r="DD220" s="212"/>
      <c r="DE220" s="212"/>
      <c r="DF220" s="212"/>
      <c r="DG220" s="212"/>
      <c r="DH220" s="212"/>
      <c r="DI220" s="212"/>
      <c r="DJ220" s="212"/>
      <c r="DK220" s="212"/>
      <c r="DL220" s="212"/>
      <c r="DM220" s="212"/>
      <c r="DN220" s="212"/>
      <c r="DO220" s="212"/>
      <c r="DP220" s="212"/>
      <c r="DQ220" s="212"/>
      <c r="DR220" s="212"/>
      <c r="DS220" s="212"/>
      <c r="DT220" s="212"/>
      <c r="DU220" s="212"/>
      <c r="DV220" s="212"/>
      <c r="DW220" s="212"/>
      <c r="DX220" s="212"/>
      <c r="DY220" s="212"/>
      <c r="DZ220" s="212"/>
      <c r="EA220" s="212"/>
      <c r="EB220" s="212"/>
      <c r="EC220" s="212"/>
      <c r="ED220" s="212"/>
      <c r="EE220" s="212"/>
      <c r="EF220" s="212"/>
      <c r="EG220" s="212"/>
      <c r="EH220" s="212"/>
      <c r="EI220" s="212"/>
      <c r="EJ220" s="212"/>
      <c r="EK220" s="212"/>
      <c r="EL220" s="212"/>
      <c r="EM220" s="212"/>
      <c r="EN220" s="212"/>
      <c r="EO220" s="212"/>
      <c r="EP220" s="212"/>
      <c r="EQ220" s="212"/>
      <c r="ER220" s="212"/>
      <c r="ES220" s="212"/>
      <c r="ET220" s="212"/>
      <c r="EU220" s="212"/>
      <c r="EV220" s="212"/>
      <c r="EW220" s="212"/>
      <c r="EX220" s="212"/>
      <c r="EY220" s="212"/>
      <c r="EZ220" s="212"/>
      <c r="FA220" s="212"/>
      <c r="FB220" s="212"/>
      <c r="FC220" s="212"/>
      <c r="FD220" s="212"/>
      <c r="FE220" s="212"/>
      <c r="FF220" s="212"/>
      <c r="FG220" s="212"/>
      <c r="FH220" s="212"/>
      <c r="FI220" s="212"/>
      <c r="FJ220" s="212"/>
      <c r="FK220" s="212"/>
      <c r="FL220" s="212"/>
      <c r="FM220" s="212"/>
      <c r="FN220" s="212"/>
      <c r="FO220" s="212"/>
      <c r="FP220" s="212"/>
      <c r="FQ220" s="212"/>
      <c r="FR220" s="212"/>
      <c r="FS220" s="212"/>
      <c r="FT220" s="212"/>
      <c r="FU220" s="212"/>
      <c r="FV220" s="212"/>
      <c r="FW220" s="212"/>
      <c r="FX220" s="212"/>
      <c r="FY220" s="212"/>
      <c r="FZ220" s="212"/>
      <c r="GA220" s="212"/>
      <c r="GB220" s="212"/>
      <c r="GC220" s="212"/>
      <c r="GD220" s="212"/>
      <c r="GE220" s="212"/>
      <c r="GF220" s="212"/>
      <c r="GG220" s="212"/>
      <c r="GH220" s="212"/>
      <c r="GI220" s="212"/>
      <c r="GJ220" s="212"/>
      <c r="GK220" s="212"/>
      <c r="GL220" s="212"/>
      <c r="GM220" s="212"/>
      <c r="GN220" s="212"/>
      <c r="GO220" s="212"/>
      <c r="GP220" s="212"/>
      <c r="GQ220" s="212"/>
      <c r="GR220" s="212"/>
      <c r="GS220" s="212"/>
      <c r="GT220" s="212"/>
      <c r="GU220" s="212"/>
      <c r="GV220" s="212"/>
      <c r="GW220" s="212"/>
      <c r="GX220" s="212"/>
      <c r="GY220" s="212"/>
      <c r="GZ220" s="212"/>
      <c r="HA220" s="212"/>
      <c r="HB220" s="212"/>
      <c r="HC220" s="212"/>
      <c r="HD220" s="212"/>
      <c r="HE220" s="212"/>
      <c r="HF220" s="212"/>
      <c r="HG220" s="212"/>
      <c r="HH220" s="212"/>
      <c r="HI220" s="212"/>
      <c r="HJ220" s="212"/>
      <c r="HK220" s="212"/>
      <c r="HL220" s="212"/>
      <c r="HM220" s="212"/>
      <c r="HN220" s="212"/>
      <c r="HO220" s="212"/>
      <c r="HP220" s="212"/>
      <c r="HQ220" s="212"/>
      <c r="HR220" s="212"/>
      <c r="HS220" s="212"/>
      <c r="HT220" s="212"/>
      <c r="HU220" s="212"/>
      <c r="HV220" s="212"/>
      <c r="HW220" s="212"/>
      <c r="HX220" s="212"/>
      <c r="HY220" s="212"/>
      <c r="HZ220" s="212"/>
      <c r="IA220" s="212"/>
      <c r="IB220" s="212"/>
      <c r="IC220" s="212"/>
      <c r="ID220" s="212"/>
      <c r="IE220" s="212"/>
      <c r="IF220" s="212"/>
      <c r="IG220" s="212"/>
      <c r="IH220" s="212"/>
      <c r="II220" s="212"/>
      <c r="IJ220" s="212"/>
      <c r="IK220" s="212"/>
      <c r="IL220" s="212"/>
      <c r="IM220" s="212"/>
      <c r="IN220" s="212"/>
      <c r="IO220" s="212"/>
      <c r="IP220" s="212"/>
      <c r="IQ220" s="212"/>
      <c r="IR220" s="212"/>
    </row>
    <row r="221" spans="13:252" ht="10.9" hidden="1" customHeight="1" thickTop="1" thickBot="1">
      <c r="M221" s="212"/>
      <c r="N221" s="212"/>
      <c r="O221" s="212"/>
      <c r="P221" s="212"/>
      <c r="Q221" s="212"/>
      <c r="R221" s="212"/>
      <c r="S221" s="212"/>
      <c r="T221" s="212"/>
      <c r="U221" s="212"/>
      <c r="V221" s="212"/>
      <c r="W221" s="212"/>
      <c r="X221" s="212"/>
      <c r="Y221" s="212"/>
      <c r="Z221" s="212"/>
      <c r="AA221" s="212"/>
      <c r="AB221" s="212"/>
      <c r="AC221" s="212"/>
      <c r="AD221" s="212"/>
      <c r="AE221" s="212"/>
      <c r="AF221" s="212"/>
      <c r="AG221" s="212"/>
      <c r="AH221" s="212"/>
      <c r="AI221" s="212"/>
      <c r="AJ221" s="212"/>
      <c r="AK221" s="212"/>
      <c r="AL221" s="212"/>
      <c r="AM221" s="212"/>
      <c r="AN221" s="212"/>
      <c r="AO221" s="212"/>
      <c r="AP221" s="212"/>
      <c r="AQ221" s="212"/>
      <c r="AR221" s="212"/>
      <c r="AS221" s="212"/>
      <c r="AT221" s="212"/>
      <c r="AU221" s="212"/>
      <c r="AV221" s="212"/>
      <c r="AW221" s="212"/>
      <c r="AX221" s="212"/>
      <c r="AY221" s="212"/>
      <c r="AZ221" s="212"/>
      <c r="BA221" s="212"/>
      <c r="BB221" s="212"/>
      <c r="BC221" s="212"/>
      <c r="BD221" s="212"/>
      <c r="BE221" s="212"/>
      <c r="BF221" s="212"/>
      <c r="BG221" s="212"/>
      <c r="BH221" s="212"/>
      <c r="BI221" s="212"/>
      <c r="BJ221" s="212"/>
      <c r="BK221" s="212"/>
      <c r="BL221" s="212"/>
      <c r="BM221" s="212"/>
      <c r="BN221" s="212"/>
      <c r="BO221" s="212"/>
      <c r="BP221" s="212"/>
      <c r="BQ221" s="212"/>
      <c r="BR221" s="212"/>
      <c r="BS221" s="212"/>
      <c r="BT221" s="212"/>
      <c r="BU221" s="212"/>
      <c r="BV221" s="212"/>
      <c r="BW221" s="212"/>
      <c r="BX221" s="212"/>
      <c r="BY221" s="212"/>
      <c r="BZ221" s="212"/>
      <c r="CA221" s="212"/>
      <c r="CB221" s="212"/>
      <c r="CC221" s="212"/>
      <c r="CD221" s="212"/>
      <c r="CE221" s="212"/>
      <c r="CF221" s="212"/>
      <c r="CG221" s="212"/>
      <c r="CH221" s="212"/>
      <c r="CI221" s="212"/>
      <c r="CJ221" s="212"/>
      <c r="CK221" s="212"/>
      <c r="CL221" s="212"/>
      <c r="CM221" s="212"/>
      <c r="CN221" s="212"/>
      <c r="CO221" s="212"/>
      <c r="CP221" s="212"/>
      <c r="CQ221" s="212"/>
      <c r="CR221" s="212"/>
      <c r="CS221" s="212"/>
      <c r="CT221" s="212"/>
      <c r="CU221" s="212"/>
      <c r="CV221" s="212"/>
      <c r="CW221" s="212"/>
      <c r="CX221" s="212"/>
      <c r="CY221" s="212"/>
      <c r="CZ221" s="212"/>
      <c r="DA221" s="212"/>
      <c r="DB221" s="212"/>
      <c r="DC221" s="212"/>
      <c r="DD221" s="212"/>
      <c r="DE221" s="212"/>
      <c r="DF221" s="212"/>
      <c r="DG221" s="212"/>
      <c r="DH221" s="212"/>
      <c r="DI221" s="212"/>
      <c r="DJ221" s="212"/>
      <c r="DK221" s="212"/>
      <c r="DL221" s="212"/>
      <c r="DM221" s="212"/>
      <c r="DN221" s="212"/>
      <c r="DO221" s="212"/>
      <c r="DP221" s="212"/>
      <c r="DQ221" s="212"/>
      <c r="DR221" s="212"/>
      <c r="DS221" s="212"/>
      <c r="DT221" s="212"/>
      <c r="DU221" s="212"/>
      <c r="DV221" s="212"/>
      <c r="DW221" s="212"/>
      <c r="DX221" s="212"/>
      <c r="DY221" s="212"/>
      <c r="DZ221" s="212"/>
      <c r="EA221" s="212"/>
      <c r="EB221" s="212"/>
      <c r="EC221" s="212"/>
      <c r="ED221" s="212"/>
      <c r="EE221" s="212"/>
      <c r="EF221" s="212"/>
      <c r="EG221" s="212"/>
      <c r="EH221" s="212"/>
      <c r="EI221" s="212"/>
      <c r="EJ221" s="212"/>
      <c r="EK221" s="212"/>
      <c r="EL221" s="212"/>
      <c r="EM221" s="212"/>
      <c r="EN221" s="212"/>
      <c r="EO221" s="212"/>
      <c r="EP221" s="212"/>
      <c r="EQ221" s="212"/>
      <c r="ER221" s="212"/>
      <c r="ES221" s="212"/>
      <c r="ET221" s="212"/>
      <c r="EU221" s="212"/>
      <c r="EV221" s="212"/>
      <c r="EW221" s="212"/>
      <c r="EX221" s="212"/>
      <c r="EY221" s="212"/>
      <c r="EZ221" s="212"/>
      <c r="FA221" s="212"/>
      <c r="FB221" s="212"/>
      <c r="FC221" s="212"/>
      <c r="FD221" s="212"/>
      <c r="FE221" s="212"/>
      <c r="FF221" s="212"/>
      <c r="FG221" s="212"/>
      <c r="FH221" s="212"/>
      <c r="FI221" s="212"/>
      <c r="FJ221" s="212"/>
      <c r="FK221" s="212"/>
      <c r="FL221" s="212"/>
      <c r="FM221" s="212"/>
      <c r="FN221" s="212"/>
      <c r="FO221" s="212"/>
      <c r="FP221" s="212"/>
      <c r="FQ221" s="212"/>
      <c r="FR221" s="212"/>
      <c r="FS221" s="212"/>
      <c r="FT221" s="212"/>
      <c r="FU221" s="212"/>
      <c r="FV221" s="212"/>
      <c r="FW221" s="212"/>
      <c r="FX221" s="212"/>
      <c r="FY221" s="212"/>
      <c r="FZ221" s="212"/>
      <c r="GA221" s="212"/>
      <c r="GB221" s="212"/>
      <c r="GC221" s="212"/>
      <c r="GD221" s="212"/>
      <c r="GE221" s="212"/>
      <c r="GF221" s="212"/>
      <c r="GG221" s="212"/>
      <c r="GH221" s="212"/>
      <c r="GI221" s="212"/>
      <c r="GJ221" s="212"/>
      <c r="GK221" s="212"/>
      <c r="GL221" s="212"/>
      <c r="GM221" s="212"/>
      <c r="GN221" s="212"/>
      <c r="GO221" s="212"/>
      <c r="GP221" s="212"/>
      <c r="GQ221" s="212"/>
      <c r="GR221" s="212"/>
      <c r="GS221" s="212"/>
      <c r="GT221" s="212"/>
      <c r="GU221" s="212"/>
      <c r="GV221" s="212"/>
      <c r="GW221" s="212"/>
      <c r="GX221" s="212"/>
      <c r="GY221" s="212"/>
      <c r="GZ221" s="212"/>
      <c r="HA221" s="212"/>
      <c r="HB221" s="212"/>
      <c r="HC221" s="212"/>
      <c r="HD221" s="212"/>
      <c r="HE221" s="212"/>
      <c r="HF221" s="212"/>
      <c r="HG221" s="212"/>
      <c r="HH221" s="212"/>
      <c r="HI221" s="212"/>
      <c r="HJ221" s="212"/>
      <c r="HK221" s="212"/>
      <c r="HL221" s="212"/>
      <c r="HM221" s="212"/>
      <c r="HN221" s="212"/>
      <c r="HO221" s="212"/>
      <c r="HP221" s="212"/>
      <c r="HQ221" s="212"/>
      <c r="HR221" s="212"/>
      <c r="HS221" s="212"/>
      <c r="HT221" s="212"/>
      <c r="HU221" s="212"/>
      <c r="HV221" s="212"/>
      <c r="HW221" s="212"/>
      <c r="HX221" s="212"/>
      <c r="HY221" s="212"/>
      <c r="HZ221" s="212"/>
      <c r="IA221" s="212"/>
      <c r="IB221" s="212"/>
      <c r="IC221" s="212"/>
      <c r="ID221" s="212"/>
      <c r="IE221" s="212"/>
      <c r="IF221" s="212"/>
      <c r="IG221" s="212"/>
      <c r="IH221" s="212"/>
      <c r="II221" s="212"/>
      <c r="IJ221" s="212"/>
      <c r="IK221" s="212"/>
      <c r="IL221" s="212"/>
      <c r="IM221" s="212"/>
      <c r="IN221" s="212"/>
      <c r="IO221" s="212"/>
      <c r="IP221" s="212"/>
      <c r="IQ221" s="212"/>
      <c r="IR221" s="212"/>
    </row>
    <row r="222" spans="13:252" ht="16.5" hidden="1" thickTop="1" thickBot="1">
      <c r="M222" s="212"/>
      <c r="N222" s="212"/>
      <c r="O222" s="212"/>
      <c r="P222" s="212"/>
      <c r="Q222" s="212"/>
      <c r="R222" s="212"/>
      <c r="S222" s="212"/>
      <c r="T222" s="212"/>
      <c r="U222" s="212"/>
      <c r="V222" s="212"/>
      <c r="W222" s="212"/>
      <c r="X222" s="212"/>
      <c r="Y222" s="212"/>
      <c r="Z222" s="212"/>
      <c r="AA222" s="212"/>
      <c r="AB222" s="212"/>
      <c r="AC222" s="212"/>
      <c r="AD222" s="212"/>
      <c r="AE222" s="212"/>
      <c r="AF222" s="212"/>
      <c r="AG222" s="212"/>
      <c r="AH222" s="212"/>
      <c r="AI222" s="212"/>
      <c r="AJ222" s="212"/>
      <c r="AK222" s="212"/>
      <c r="AL222" s="212"/>
      <c r="AM222" s="212"/>
      <c r="AN222" s="212"/>
      <c r="AO222" s="212"/>
      <c r="AP222" s="212"/>
      <c r="AQ222" s="212"/>
      <c r="AR222" s="212"/>
      <c r="AS222" s="212"/>
      <c r="AT222" s="212"/>
      <c r="AU222" s="212"/>
      <c r="AV222" s="212"/>
      <c r="AW222" s="212"/>
      <c r="AX222" s="212"/>
      <c r="AY222" s="212"/>
      <c r="AZ222" s="212"/>
      <c r="BA222" s="212"/>
      <c r="BB222" s="212"/>
      <c r="BC222" s="212"/>
      <c r="BD222" s="212"/>
      <c r="BE222" s="212"/>
      <c r="BF222" s="212"/>
      <c r="BG222" s="212"/>
      <c r="BH222" s="212"/>
      <c r="BI222" s="212"/>
      <c r="BJ222" s="212"/>
      <c r="BK222" s="212"/>
      <c r="BL222" s="212"/>
      <c r="BM222" s="212"/>
      <c r="BN222" s="212"/>
      <c r="BO222" s="212"/>
      <c r="BP222" s="212"/>
      <c r="BQ222" s="212"/>
      <c r="BR222" s="212"/>
      <c r="BS222" s="212"/>
      <c r="BT222" s="212"/>
      <c r="BU222" s="212"/>
      <c r="BV222" s="212"/>
      <c r="BW222" s="212"/>
      <c r="BX222" s="212"/>
      <c r="BY222" s="212"/>
      <c r="BZ222" s="212"/>
      <c r="CA222" s="212"/>
      <c r="CB222" s="212"/>
      <c r="CC222" s="212"/>
      <c r="CD222" s="212"/>
      <c r="CE222" s="212"/>
      <c r="CF222" s="212"/>
      <c r="CG222" s="212"/>
      <c r="CH222" s="212"/>
      <c r="CI222" s="212"/>
      <c r="CJ222" s="212"/>
      <c r="CK222" s="212"/>
      <c r="CL222" s="212"/>
      <c r="CM222" s="212"/>
      <c r="CN222" s="212"/>
      <c r="CO222" s="212"/>
      <c r="CP222" s="212"/>
      <c r="CQ222" s="212"/>
      <c r="CR222" s="212"/>
      <c r="CS222" s="212"/>
      <c r="CT222" s="212"/>
      <c r="CU222" s="212"/>
      <c r="CV222" s="212"/>
      <c r="CW222" s="212"/>
      <c r="CX222" s="212"/>
      <c r="CY222" s="212"/>
      <c r="CZ222" s="212"/>
      <c r="DA222" s="212"/>
      <c r="DB222" s="212"/>
      <c r="DC222" s="212"/>
      <c r="DD222" s="212"/>
      <c r="DE222" s="212"/>
      <c r="DF222" s="212"/>
      <c r="DG222" s="212"/>
      <c r="DH222" s="212"/>
      <c r="DI222" s="212"/>
      <c r="DJ222" s="212"/>
      <c r="DK222" s="212"/>
      <c r="DL222" s="212"/>
      <c r="DM222" s="212"/>
      <c r="DN222" s="212"/>
      <c r="DO222" s="212"/>
      <c r="DP222" s="212"/>
      <c r="DQ222" s="212"/>
      <c r="DR222" s="212"/>
      <c r="DS222" s="212"/>
      <c r="DT222" s="212"/>
      <c r="DU222" s="212"/>
      <c r="DV222" s="212"/>
      <c r="DW222" s="212"/>
      <c r="DX222" s="212"/>
      <c r="DY222" s="212"/>
      <c r="DZ222" s="212"/>
      <c r="EA222" s="212"/>
      <c r="EB222" s="212"/>
      <c r="EC222" s="212"/>
      <c r="ED222" s="212"/>
      <c r="EE222" s="212"/>
      <c r="EF222" s="212"/>
      <c r="EG222" s="212"/>
      <c r="EH222" s="212"/>
      <c r="EI222" s="212"/>
      <c r="EJ222" s="212"/>
      <c r="EK222" s="212"/>
      <c r="EL222" s="212"/>
      <c r="EM222" s="212"/>
      <c r="EN222" s="212"/>
      <c r="EO222" s="212"/>
      <c r="EP222" s="212"/>
      <c r="EQ222" s="212"/>
      <c r="ER222" s="212"/>
      <c r="ES222" s="212"/>
      <c r="ET222" s="212"/>
      <c r="EU222" s="212"/>
      <c r="EV222" s="212"/>
      <c r="EW222" s="212"/>
      <c r="EX222" s="212"/>
      <c r="EY222" s="212"/>
      <c r="EZ222" s="212"/>
      <c r="FA222" s="212"/>
      <c r="FB222" s="212"/>
      <c r="FC222" s="212"/>
      <c r="FD222" s="212"/>
      <c r="FE222" s="212"/>
      <c r="FF222" s="212"/>
      <c r="FG222" s="212"/>
      <c r="FH222" s="212"/>
      <c r="FI222" s="212"/>
      <c r="FJ222" s="212"/>
      <c r="FK222" s="212"/>
      <c r="FL222" s="212"/>
      <c r="FM222" s="212"/>
      <c r="FN222" s="212"/>
      <c r="FO222" s="212"/>
      <c r="FP222" s="212"/>
      <c r="FQ222" s="212"/>
      <c r="FR222" s="212"/>
      <c r="FS222" s="212"/>
      <c r="FT222" s="212"/>
      <c r="FU222" s="212"/>
      <c r="FV222" s="212"/>
      <c r="FW222" s="212"/>
      <c r="FX222" s="212"/>
      <c r="FY222" s="212"/>
      <c r="FZ222" s="212"/>
      <c r="GA222" s="212"/>
      <c r="GB222" s="212"/>
      <c r="GC222" s="212"/>
      <c r="GD222" s="212"/>
      <c r="GE222" s="212"/>
      <c r="GF222" s="212"/>
      <c r="GG222" s="212"/>
      <c r="GH222" s="212"/>
      <c r="GI222" s="212"/>
      <c r="GJ222" s="212"/>
      <c r="GK222" s="212"/>
      <c r="GL222" s="212"/>
      <c r="GM222" s="212"/>
      <c r="GN222" s="212"/>
      <c r="GO222" s="212"/>
      <c r="GP222" s="212"/>
      <c r="GQ222" s="212"/>
      <c r="GR222" s="212"/>
      <c r="GS222" s="212"/>
      <c r="GT222" s="212"/>
      <c r="GU222" s="212"/>
      <c r="GV222" s="212"/>
      <c r="GW222" s="212"/>
      <c r="GX222" s="212"/>
      <c r="GY222" s="212"/>
      <c r="GZ222" s="212"/>
      <c r="HA222" s="212"/>
      <c r="HB222" s="212"/>
      <c r="HC222" s="212"/>
      <c r="HD222" s="212"/>
      <c r="HE222" s="212"/>
      <c r="HF222" s="212"/>
      <c r="HG222" s="212"/>
      <c r="HH222" s="212"/>
      <c r="HI222" s="212"/>
      <c r="HJ222" s="212"/>
      <c r="HK222" s="212"/>
      <c r="HL222" s="212"/>
      <c r="HM222" s="212"/>
      <c r="HN222" s="212"/>
      <c r="HO222" s="212"/>
      <c r="HP222" s="212"/>
      <c r="HQ222" s="212"/>
      <c r="HR222" s="212"/>
      <c r="HS222" s="212"/>
      <c r="HT222" s="212"/>
      <c r="HU222" s="212"/>
      <c r="HV222" s="212"/>
      <c r="HW222" s="212"/>
      <c r="HX222" s="212"/>
      <c r="HY222" s="212"/>
      <c r="HZ222" s="212"/>
      <c r="IA222" s="212"/>
      <c r="IB222" s="212"/>
      <c r="IC222" s="212"/>
      <c r="ID222" s="212"/>
      <c r="IE222" s="212"/>
      <c r="IF222" s="212"/>
      <c r="IG222" s="212"/>
      <c r="IH222" s="212"/>
      <c r="II222" s="212"/>
      <c r="IJ222" s="212"/>
      <c r="IK222" s="212"/>
      <c r="IL222" s="212"/>
      <c r="IM222" s="212"/>
      <c r="IN222" s="212"/>
      <c r="IO222" s="212"/>
      <c r="IP222" s="212"/>
      <c r="IQ222" s="212"/>
      <c r="IR222" s="212"/>
    </row>
    <row r="223" spans="13:252" ht="9" hidden="1" customHeight="1" thickTop="1" thickBot="1">
      <c r="M223" s="212"/>
      <c r="N223" s="212"/>
      <c r="O223" s="212"/>
      <c r="P223" s="212"/>
      <c r="Q223" s="212"/>
      <c r="R223" s="212"/>
      <c r="S223" s="212"/>
      <c r="T223" s="212"/>
      <c r="U223" s="212"/>
      <c r="V223" s="212"/>
      <c r="W223" s="212"/>
      <c r="X223" s="212"/>
      <c r="Y223" s="212"/>
      <c r="Z223" s="212"/>
      <c r="AA223" s="212"/>
      <c r="AB223" s="212"/>
      <c r="AC223" s="212"/>
      <c r="AD223" s="212"/>
      <c r="AE223" s="212"/>
      <c r="AF223" s="212"/>
      <c r="AG223" s="212"/>
      <c r="AH223" s="212"/>
      <c r="AI223" s="212"/>
      <c r="AJ223" s="212"/>
      <c r="AK223" s="212"/>
      <c r="AL223" s="212"/>
      <c r="AM223" s="212"/>
      <c r="AN223" s="212"/>
      <c r="AO223" s="212"/>
      <c r="AP223" s="212"/>
      <c r="AQ223" s="212"/>
      <c r="AR223" s="212"/>
      <c r="AS223" s="212"/>
      <c r="AT223" s="212"/>
      <c r="AU223" s="212"/>
      <c r="AV223" s="212"/>
      <c r="AW223" s="212"/>
      <c r="AX223" s="212"/>
      <c r="AY223" s="212"/>
      <c r="AZ223" s="212"/>
      <c r="BA223" s="212"/>
      <c r="BB223" s="212"/>
      <c r="BC223" s="212"/>
      <c r="BD223" s="212"/>
      <c r="BE223" s="212"/>
      <c r="BF223" s="212"/>
      <c r="BG223" s="212"/>
      <c r="BH223" s="212"/>
      <c r="BI223" s="212"/>
      <c r="BJ223" s="212"/>
      <c r="BK223" s="212"/>
      <c r="BL223" s="212"/>
      <c r="BM223" s="212"/>
      <c r="BN223" s="212"/>
      <c r="BO223" s="212"/>
      <c r="BP223" s="212"/>
      <c r="BQ223" s="212"/>
      <c r="BR223" s="212"/>
      <c r="BS223" s="212"/>
      <c r="BT223" s="212"/>
      <c r="BU223" s="212"/>
      <c r="BV223" s="212"/>
      <c r="BW223" s="212"/>
      <c r="BX223" s="212"/>
      <c r="BY223" s="212"/>
      <c r="BZ223" s="212"/>
      <c r="CA223" s="212"/>
      <c r="CB223" s="212"/>
      <c r="CC223" s="212"/>
      <c r="CD223" s="212"/>
      <c r="CE223" s="212"/>
      <c r="CF223" s="212"/>
      <c r="CG223" s="212"/>
      <c r="CH223" s="212"/>
      <c r="CI223" s="212"/>
      <c r="CJ223" s="212"/>
      <c r="CK223" s="212"/>
      <c r="CL223" s="212"/>
      <c r="CM223" s="212"/>
      <c r="CN223" s="212"/>
      <c r="CO223" s="212"/>
      <c r="CP223" s="212"/>
      <c r="CQ223" s="212"/>
      <c r="CR223" s="212"/>
      <c r="CS223" s="212"/>
      <c r="CT223" s="212"/>
      <c r="CU223" s="212"/>
      <c r="CV223" s="212"/>
      <c r="CW223" s="212"/>
      <c r="CX223" s="212"/>
      <c r="CY223" s="212"/>
      <c r="CZ223" s="212"/>
      <c r="DA223" s="212"/>
      <c r="DB223" s="212"/>
      <c r="DC223" s="212"/>
      <c r="DD223" s="212"/>
      <c r="DE223" s="212"/>
      <c r="DF223" s="212"/>
      <c r="DG223" s="212"/>
      <c r="DH223" s="212"/>
      <c r="DI223" s="212"/>
      <c r="DJ223" s="212"/>
      <c r="DK223" s="212"/>
      <c r="DL223" s="212"/>
      <c r="DM223" s="212"/>
      <c r="DN223" s="212"/>
      <c r="DO223" s="212"/>
      <c r="DP223" s="212"/>
      <c r="DQ223" s="212"/>
      <c r="DR223" s="212"/>
      <c r="DS223" s="212"/>
      <c r="DT223" s="212"/>
      <c r="DU223" s="212"/>
      <c r="DV223" s="212"/>
      <c r="DW223" s="212"/>
      <c r="DX223" s="212"/>
      <c r="DY223" s="212"/>
      <c r="DZ223" s="212"/>
      <c r="EA223" s="212"/>
      <c r="EB223" s="212"/>
      <c r="EC223" s="212"/>
      <c r="ED223" s="212"/>
      <c r="EE223" s="212"/>
      <c r="EF223" s="212"/>
      <c r="EG223" s="212"/>
      <c r="EH223" s="212"/>
      <c r="EI223" s="212"/>
      <c r="EJ223" s="212"/>
      <c r="EK223" s="212"/>
      <c r="EL223" s="212"/>
      <c r="EM223" s="212"/>
      <c r="EN223" s="212"/>
      <c r="EO223" s="212"/>
      <c r="EP223" s="212"/>
      <c r="EQ223" s="212"/>
      <c r="ER223" s="212"/>
      <c r="ES223" s="212"/>
      <c r="ET223" s="212"/>
      <c r="EU223" s="212"/>
      <c r="EV223" s="212"/>
      <c r="EW223" s="212"/>
      <c r="EX223" s="212"/>
      <c r="EY223" s="212"/>
      <c r="EZ223" s="212"/>
      <c r="FA223" s="212"/>
      <c r="FB223" s="212"/>
      <c r="FC223" s="212"/>
      <c r="FD223" s="212"/>
      <c r="FE223" s="212"/>
      <c r="FF223" s="212"/>
      <c r="FG223" s="212"/>
      <c r="FH223" s="212"/>
      <c r="FI223" s="212"/>
      <c r="FJ223" s="212"/>
      <c r="FK223" s="212"/>
      <c r="FL223" s="212"/>
      <c r="FM223" s="212"/>
      <c r="FN223" s="212"/>
      <c r="FO223" s="212"/>
      <c r="FP223" s="212"/>
      <c r="FQ223" s="212"/>
      <c r="FR223" s="212"/>
      <c r="FS223" s="212"/>
      <c r="FT223" s="212"/>
      <c r="FU223" s="212"/>
      <c r="FV223" s="212"/>
      <c r="FW223" s="212"/>
      <c r="FX223" s="212"/>
      <c r="FY223" s="212"/>
      <c r="FZ223" s="212"/>
      <c r="GA223" s="212"/>
      <c r="GB223" s="212"/>
      <c r="GC223" s="212"/>
      <c r="GD223" s="212"/>
      <c r="GE223" s="212"/>
      <c r="GF223" s="212"/>
      <c r="GG223" s="212"/>
      <c r="GH223" s="212"/>
      <c r="GI223" s="212"/>
      <c r="GJ223" s="212"/>
      <c r="GK223" s="212"/>
      <c r="GL223" s="212"/>
      <c r="GM223" s="212"/>
      <c r="GN223" s="212"/>
      <c r="GO223" s="212"/>
      <c r="GP223" s="212"/>
      <c r="GQ223" s="212"/>
      <c r="GR223" s="212"/>
      <c r="GS223" s="212"/>
      <c r="GT223" s="212"/>
      <c r="GU223" s="212"/>
      <c r="GV223" s="212"/>
      <c r="GW223" s="212"/>
      <c r="GX223" s="212"/>
      <c r="GY223" s="212"/>
      <c r="GZ223" s="212"/>
      <c r="HA223" s="212"/>
      <c r="HB223" s="212"/>
      <c r="HC223" s="212"/>
      <c r="HD223" s="212"/>
      <c r="HE223" s="212"/>
      <c r="HF223" s="212"/>
      <c r="HG223" s="212"/>
      <c r="HH223" s="212"/>
      <c r="HI223" s="212"/>
      <c r="HJ223" s="212"/>
      <c r="HK223" s="212"/>
      <c r="HL223" s="212"/>
      <c r="HM223" s="212"/>
      <c r="HN223" s="212"/>
      <c r="HO223" s="212"/>
      <c r="HP223" s="212"/>
      <c r="HQ223" s="212"/>
      <c r="HR223" s="212"/>
      <c r="HS223" s="212"/>
      <c r="HT223" s="212"/>
      <c r="HU223" s="212"/>
      <c r="HV223" s="212"/>
      <c r="HW223" s="212"/>
      <c r="HX223" s="212"/>
      <c r="HY223" s="212"/>
      <c r="HZ223" s="212"/>
      <c r="IA223" s="212"/>
      <c r="IB223" s="212"/>
      <c r="IC223" s="212"/>
      <c r="ID223" s="212"/>
      <c r="IE223" s="212"/>
      <c r="IF223" s="212"/>
      <c r="IG223" s="212"/>
      <c r="IH223" s="212"/>
      <c r="II223" s="212"/>
      <c r="IJ223" s="212"/>
      <c r="IK223" s="212"/>
      <c r="IL223" s="212"/>
      <c r="IM223" s="212"/>
      <c r="IN223" s="212"/>
      <c r="IO223" s="212"/>
      <c r="IP223" s="212"/>
      <c r="IQ223" s="212"/>
      <c r="IR223" s="212"/>
    </row>
    <row r="224" spans="13:252" ht="13.15" hidden="1" customHeight="1" thickTop="1" thickBot="1">
      <c r="M224" s="212"/>
      <c r="N224" s="212"/>
      <c r="O224" s="212"/>
      <c r="P224" s="212"/>
      <c r="Q224" s="212"/>
      <c r="R224" s="212"/>
      <c r="S224" s="212"/>
      <c r="T224" s="212"/>
      <c r="U224" s="212"/>
      <c r="V224" s="212"/>
      <c r="W224" s="212"/>
      <c r="X224" s="212"/>
      <c r="Y224" s="212"/>
      <c r="Z224" s="212"/>
      <c r="AA224" s="212"/>
      <c r="AB224" s="212"/>
      <c r="AC224" s="212"/>
      <c r="AD224" s="212"/>
      <c r="AE224" s="212"/>
      <c r="AF224" s="212"/>
      <c r="AG224" s="212"/>
      <c r="AH224" s="212"/>
      <c r="AI224" s="212"/>
      <c r="AJ224" s="212"/>
      <c r="AK224" s="212"/>
      <c r="AL224" s="212"/>
      <c r="AM224" s="212"/>
      <c r="AN224" s="212"/>
      <c r="AO224" s="212"/>
      <c r="AP224" s="212"/>
      <c r="AQ224" s="212"/>
      <c r="AR224" s="212"/>
      <c r="AS224" s="212"/>
      <c r="AT224" s="212"/>
      <c r="AU224" s="212"/>
      <c r="AV224" s="212"/>
      <c r="AW224" s="212"/>
      <c r="AX224" s="212"/>
      <c r="AY224" s="212"/>
      <c r="AZ224" s="212"/>
      <c r="BA224" s="212"/>
      <c r="BB224" s="212"/>
      <c r="BC224" s="212"/>
      <c r="BD224" s="212"/>
      <c r="BE224" s="212"/>
      <c r="BF224" s="212"/>
      <c r="BG224" s="212"/>
      <c r="BH224" s="212"/>
      <c r="BI224" s="212"/>
      <c r="BJ224" s="212"/>
      <c r="BK224" s="212"/>
      <c r="BL224" s="212"/>
      <c r="BM224" s="212"/>
      <c r="BN224" s="212"/>
      <c r="BO224" s="212"/>
      <c r="BP224" s="212"/>
      <c r="BQ224" s="212"/>
      <c r="BR224" s="212"/>
      <c r="BS224" s="212"/>
      <c r="BT224" s="212"/>
      <c r="BU224" s="212"/>
      <c r="BV224" s="212"/>
      <c r="BW224" s="212"/>
      <c r="BX224" s="212"/>
      <c r="BY224" s="212"/>
      <c r="BZ224" s="212"/>
      <c r="CA224" s="212"/>
      <c r="CB224" s="212"/>
      <c r="CC224" s="212"/>
      <c r="CD224" s="212"/>
      <c r="CE224" s="212"/>
      <c r="CF224" s="212"/>
      <c r="CG224" s="212"/>
      <c r="CH224" s="212"/>
      <c r="CI224" s="212"/>
      <c r="CJ224" s="212"/>
      <c r="CK224" s="212"/>
      <c r="CL224" s="212"/>
      <c r="CM224" s="212"/>
      <c r="CN224" s="212"/>
      <c r="CO224" s="212"/>
      <c r="CP224" s="212"/>
      <c r="CQ224" s="212"/>
      <c r="CR224" s="212"/>
      <c r="CS224" s="212"/>
      <c r="CT224" s="212"/>
      <c r="CU224" s="212"/>
      <c r="CV224" s="212"/>
      <c r="CW224" s="212"/>
      <c r="CX224" s="212"/>
      <c r="CY224" s="212"/>
      <c r="CZ224" s="212"/>
      <c r="DA224" s="212"/>
      <c r="DB224" s="212"/>
      <c r="DC224" s="212"/>
      <c r="DD224" s="212"/>
      <c r="DE224" s="212"/>
      <c r="DF224" s="212"/>
      <c r="DG224" s="212"/>
      <c r="DH224" s="212"/>
      <c r="DI224" s="212"/>
      <c r="DJ224" s="212"/>
      <c r="DK224" s="212"/>
      <c r="DL224" s="212"/>
      <c r="DM224" s="212"/>
      <c r="DN224" s="212"/>
      <c r="DO224" s="212"/>
      <c r="DP224" s="212"/>
      <c r="DQ224" s="212"/>
      <c r="DR224" s="212"/>
      <c r="DS224" s="212"/>
      <c r="DT224" s="212"/>
      <c r="DU224" s="212"/>
      <c r="DV224" s="212"/>
      <c r="DW224" s="212"/>
      <c r="DX224" s="212"/>
      <c r="DY224" s="212"/>
      <c r="DZ224" s="212"/>
      <c r="EA224" s="212"/>
      <c r="EB224" s="212"/>
      <c r="EC224" s="212"/>
      <c r="ED224" s="212"/>
      <c r="EE224" s="212"/>
      <c r="EF224" s="212"/>
      <c r="EG224" s="212"/>
      <c r="EH224" s="212"/>
      <c r="EI224" s="212"/>
      <c r="EJ224" s="212"/>
      <c r="EK224" s="212"/>
      <c r="EL224" s="212"/>
      <c r="EM224" s="212"/>
      <c r="EN224" s="212"/>
      <c r="EO224" s="212"/>
      <c r="EP224" s="212"/>
      <c r="EQ224" s="212"/>
      <c r="ER224" s="212"/>
      <c r="ES224" s="212"/>
      <c r="ET224" s="212"/>
      <c r="EU224" s="212"/>
      <c r="EV224" s="212"/>
      <c r="EW224" s="212"/>
      <c r="EX224" s="212"/>
      <c r="EY224" s="212"/>
      <c r="EZ224" s="212"/>
      <c r="FA224" s="212"/>
      <c r="FB224" s="212"/>
      <c r="FC224" s="212"/>
      <c r="FD224" s="212"/>
      <c r="FE224" s="212"/>
      <c r="FF224" s="212"/>
      <c r="FG224" s="212"/>
      <c r="FH224" s="212"/>
      <c r="FI224" s="212"/>
      <c r="FJ224" s="212"/>
      <c r="FK224" s="212"/>
      <c r="FL224" s="212"/>
      <c r="FM224" s="212"/>
      <c r="FN224" s="212"/>
      <c r="FO224" s="212"/>
      <c r="FP224" s="212"/>
      <c r="FQ224" s="212"/>
      <c r="FR224" s="212"/>
      <c r="FS224" s="212"/>
      <c r="FT224" s="212"/>
      <c r="FU224" s="212"/>
      <c r="FV224" s="212"/>
      <c r="FW224" s="212"/>
      <c r="FX224" s="212"/>
      <c r="FY224" s="212"/>
      <c r="FZ224" s="212"/>
      <c r="GA224" s="212"/>
      <c r="GB224" s="212"/>
      <c r="GC224" s="212"/>
      <c r="GD224" s="212"/>
      <c r="GE224" s="212"/>
      <c r="GF224" s="212"/>
      <c r="GG224" s="212"/>
      <c r="GH224" s="212"/>
      <c r="GI224" s="212"/>
      <c r="GJ224" s="212"/>
      <c r="GK224" s="212"/>
      <c r="GL224" s="212"/>
      <c r="GM224" s="212"/>
      <c r="GN224" s="212"/>
      <c r="GO224" s="212"/>
      <c r="GP224" s="212"/>
      <c r="GQ224" s="212"/>
      <c r="GR224" s="212"/>
      <c r="GS224" s="212"/>
      <c r="GT224" s="212"/>
      <c r="GU224" s="212"/>
      <c r="GV224" s="212"/>
      <c r="GW224" s="212"/>
      <c r="GX224" s="212"/>
      <c r="GY224" s="212"/>
      <c r="GZ224" s="212"/>
      <c r="HA224" s="212"/>
      <c r="HB224" s="212"/>
      <c r="HC224" s="212"/>
      <c r="HD224" s="212"/>
      <c r="HE224" s="212"/>
      <c r="HF224" s="212"/>
      <c r="HG224" s="212"/>
      <c r="HH224" s="212"/>
      <c r="HI224" s="212"/>
      <c r="HJ224" s="212"/>
      <c r="HK224" s="212"/>
      <c r="HL224" s="212"/>
      <c r="HM224" s="212"/>
      <c r="HN224" s="212"/>
      <c r="HO224" s="212"/>
      <c r="HP224" s="212"/>
      <c r="HQ224" s="212"/>
      <c r="HR224" s="212"/>
      <c r="HS224" s="212"/>
      <c r="HT224" s="212"/>
      <c r="HU224" s="212"/>
      <c r="HV224" s="212"/>
      <c r="HW224" s="212"/>
      <c r="HX224" s="212"/>
      <c r="HY224" s="212"/>
      <c r="HZ224" s="212"/>
      <c r="IA224" s="212"/>
      <c r="IB224" s="212"/>
      <c r="IC224" s="212"/>
      <c r="ID224" s="212"/>
      <c r="IE224" s="212"/>
      <c r="IF224" s="212"/>
      <c r="IG224" s="212"/>
      <c r="IH224" s="212"/>
      <c r="II224" s="212"/>
      <c r="IJ224" s="212"/>
      <c r="IK224" s="212"/>
      <c r="IL224" s="212"/>
      <c r="IM224" s="212"/>
      <c r="IN224" s="212"/>
      <c r="IO224" s="212"/>
      <c r="IP224" s="212"/>
      <c r="IQ224" s="212"/>
      <c r="IR224" s="212"/>
    </row>
    <row r="225" spans="13:252" ht="13.15" hidden="1" customHeight="1" thickTop="1" thickBot="1">
      <c r="M225" s="212"/>
      <c r="N225" s="212"/>
      <c r="O225" s="212"/>
      <c r="P225" s="212"/>
      <c r="Q225" s="212"/>
      <c r="R225" s="212"/>
      <c r="S225" s="212"/>
      <c r="T225" s="212"/>
      <c r="U225" s="212"/>
      <c r="V225" s="212"/>
      <c r="W225" s="212"/>
      <c r="X225" s="212"/>
      <c r="Y225" s="212"/>
      <c r="Z225" s="212"/>
      <c r="AA225" s="212"/>
      <c r="AB225" s="212"/>
      <c r="AC225" s="212"/>
      <c r="AD225" s="212"/>
      <c r="AE225" s="212"/>
      <c r="AF225" s="212"/>
      <c r="AG225" s="212"/>
      <c r="AH225" s="212"/>
      <c r="AI225" s="212"/>
      <c r="AJ225" s="212"/>
      <c r="AK225" s="212"/>
      <c r="AL225" s="212"/>
      <c r="AM225" s="212"/>
      <c r="AN225" s="212"/>
      <c r="AO225" s="212"/>
      <c r="AP225" s="212"/>
      <c r="AQ225" s="212"/>
      <c r="AR225" s="212"/>
      <c r="AS225" s="212"/>
      <c r="AT225" s="212"/>
      <c r="AU225" s="212"/>
      <c r="AV225" s="212"/>
      <c r="AW225" s="212"/>
      <c r="AX225" s="212"/>
      <c r="AY225" s="212"/>
      <c r="AZ225" s="212"/>
      <c r="BA225" s="212"/>
      <c r="BB225" s="212"/>
      <c r="BC225" s="212"/>
      <c r="BD225" s="212"/>
      <c r="BE225" s="212"/>
      <c r="BF225" s="212"/>
      <c r="BG225" s="212"/>
      <c r="BH225" s="212"/>
      <c r="BI225" s="212"/>
      <c r="BJ225" s="212"/>
      <c r="BK225" s="212"/>
      <c r="BL225" s="212"/>
      <c r="BM225" s="212"/>
      <c r="BN225" s="212"/>
      <c r="BO225" s="212"/>
      <c r="BP225" s="212"/>
      <c r="BQ225" s="212"/>
      <c r="BR225" s="212"/>
      <c r="BS225" s="212"/>
      <c r="BT225" s="212"/>
      <c r="BU225" s="212"/>
      <c r="BV225" s="212"/>
      <c r="BW225" s="212"/>
      <c r="BX225" s="212"/>
      <c r="BY225" s="212"/>
      <c r="BZ225" s="212"/>
      <c r="CA225" s="212"/>
      <c r="CB225" s="212"/>
      <c r="CC225" s="212"/>
      <c r="CD225" s="212"/>
      <c r="CE225" s="212"/>
      <c r="CF225" s="212"/>
      <c r="CG225" s="212"/>
      <c r="CH225" s="212"/>
      <c r="CI225" s="212"/>
      <c r="CJ225" s="212"/>
      <c r="CK225" s="212"/>
      <c r="CL225" s="212"/>
      <c r="CM225" s="212"/>
      <c r="CN225" s="212"/>
      <c r="CO225" s="212"/>
      <c r="CP225" s="212"/>
      <c r="CQ225" s="212"/>
      <c r="CR225" s="212"/>
      <c r="CS225" s="212"/>
      <c r="CT225" s="212"/>
      <c r="CU225" s="212"/>
      <c r="CV225" s="212"/>
      <c r="CW225" s="212"/>
      <c r="CX225" s="212"/>
      <c r="CY225" s="212"/>
      <c r="CZ225" s="212"/>
      <c r="DA225" s="212"/>
      <c r="DB225" s="212"/>
      <c r="DC225" s="212"/>
      <c r="DD225" s="212"/>
      <c r="DE225" s="212"/>
      <c r="DF225" s="212"/>
      <c r="DG225" s="212"/>
      <c r="DH225" s="212"/>
      <c r="DI225" s="212"/>
      <c r="DJ225" s="212"/>
      <c r="DK225" s="212"/>
      <c r="DL225" s="212"/>
      <c r="DM225" s="212"/>
      <c r="DN225" s="212"/>
      <c r="DO225" s="212"/>
      <c r="DP225" s="212"/>
      <c r="DQ225" s="212"/>
      <c r="DR225" s="212"/>
      <c r="DS225" s="212"/>
      <c r="DT225" s="212"/>
      <c r="DU225" s="212"/>
      <c r="DV225" s="212"/>
      <c r="DW225" s="212"/>
      <c r="DX225" s="212"/>
      <c r="DY225" s="212"/>
      <c r="DZ225" s="212"/>
      <c r="EA225" s="212"/>
      <c r="EB225" s="212"/>
      <c r="EC225" s="212"/>
      <c r="ED225" s="212"/>
      <c r="EE225" s="212"/>
      <c r="EF225" s="212"/>
      <c r="EG225" s="212"/>
      <c r="EH225" s="212"/>
      <c r="EI225" s="212"/>
      <c r="EJ225" s="212"/>
      <c r="EK225" s="212"/>
      <c r="EL225" s="212"/>
      <c r="EM225" s="212"/>
      <c r="EN225" s="212"/>
      <c r="EO225" s="212"/>
      <c r="EP225" s="212"/>
      <c r="EQ225" s="212"/>
      <c r="ER225" s="212"/>
      <c r="ES225" s="212"/>
      <c r="ET225" s="212"/>
      <c r="EU225" s="212"/>
      <c r="EV225" s="212"/>
      <c r="EW225" s="212"/>
      <c r="EX225" s="212"/>
      <c r="EY225" s="212"/>
      <c r="EZ225" s="212"/>
      <c r="FA225" s="212"/>
      <c r="FB225" s="212"/>
      <c r="FC225" s="212"/>
      <c r="FD225" s="212"/>
      <c r="FE225" s="212"/>
      <c r="FF225" s="212"/>
      <c r="FG225" s="212"/>
      <c r="FH225" s="212"/>
      <c r="FI225" s="212"/>
      <c r="FJ225" s="212"/>
      <c r="FK225" s="212"/>
      <c r="FL225" s="212"/>
      <c r="FM225" s="212"/>
      <c r="FN225" s="212"/>
      <c r="FO225" s="212"/>
      <c r="FP225" s="212"/>
      <c r="FQ225" s="212"/>
      <c r="FR225" s="212"/>
      <c r="FS225" s="212"/>
      <c r="FT225" s="212"/>
      <c r="FU225" s="212"/>
      <c r="FV225" s="212"/>
      <c r="FW225" s="212"/>
      <c r="FX225" s="212"/>
      <c r="FY225" s="212"/>
      <c r="FZ225" s="212"/>
      <c r="GA225" s="212"/>
      <c r="GB225" s="212"/>
      <c r="GC225" s="212"/>
      <c r="GD225" s="212"/>
      <c r="GE225" s="212"/>
      <c r="GF225" s="212"/>
      <c r="GG225" s="212"/>
      <c r="GH225" s="212"/>
      <c r="GI225" s="212"/>
      <c r="GJ225" s="212"/>
      <c r="GK225" s="212"/>
      <c r="GL225" s="212"/>
      <c r="GM225" s="212"/>
      <c r="GN225" s="212"/>
      <c r="GO225" s="212"/>
      <c r="GP225" s="212"/>
      <c r="GQ225" s="212"/>
      <c r="GR225" s="212"/>
      <c r="GS225" s="212"/>
      <c r="GT225" s="212"/>
      <c r="GU225" s="212"/>
      <c r="GV225" s="212"/>
      <c r="GW225" s="212"/>
      <c r="GX225" s="212"/>
      <c r="GY225" s="212"/>
      <c r="GZ225" s="212"/>
      <c r="HA225" s="212"/>
      <c r="HB225" s="212"/>
      <c r="HC225" s="212"/>
      <c r="HD225" s="212"/>
      <c r="HE225" s="212"/>
      <c r="HF225" s="212"/>
      <c r="HG225" s="212"/>
      <c r="HH225" s="212"/>
      <c r="HI225" s="212"/>
      <c r="HJ225" s="212"/>
      <c r="HK225" s="212"/>
      <c r="HL225" s="212"/>
      <c r="HM225" s="212"/>
      <c r="HN225" s="212"/>
      <c r="HO225" s="212"/>
      <c r="HP225" s="212"/>
      <c r="HQ225" s="212"/>
      <c r="HR225" s="212"/>
      <c r="HS225" s="212"/>
      <c r="HT225" s="212"/>
      <c r="HU225" s="212"/>
      <c r="HV225" s="212"/>
      <c r="HW225" s="212"/>
      <c r="HX225" s="212"/>
      <c r="HY225" s="212"/>
      <c r="HZ225" s="212"/>
      <c r="IA225" s="212"/>
      <c r="IB225" s="212"/>
      <c r="IC225" s="212"/>
      <c r="ID225" s="212"/>
      <c r="IE225" s="212"/>
      <c r="IF225" s="212"/>
      <c r="IG225" s="212"/>
      <c r="IH225" s="212"/>
      <c r="II225" s="212"/>
      <c r="IJ225" s="212"/>
      <c r="IK225" s="212"/>
      <c r="IL225" s="212"/>
      <c r="IM225" s="212"/>
      <c r="IN225" s="212"/>
      <c r="IO225" s="212"/>
      <c r="IP225" s="212"/>
      <c r="IQ225" s="212"/>
      <c r="IR225" s="212"/>
    </row>
    <row r="226" spans="13:252" ht="13.15" hidden="1" customHeight="1" thickTop="1" thickBot="1">
      <c r="M226" s="212"/>
      <c r="N226" s="212"/>
      <c r="O226" s="212"/>
      <c r="P226" s="212"/>
      <c r="Q226" s="212"/>
      <c r="R226" s="212"/>
      <c r="S226" s="212"/>
      <c r="T226" s="212"/>
      <c r="U226" s="212"/>
      <c r="V226" s="212"/>
      <c r="W226" s="212"/>
      <c r="X226" s="212"/>
      <c r="Y226" s="212"/>
      <c r="Z226" s="212"/>
      <c r="AA226" s="212"/>
      <c r="AB226" s="212"/>
      <c r="AC226" s="212"/>
      <c r="AD226" s="212"/>
      <c r="AE226" s="212"/>
      <c r="AF226" s="212"/>
      <c r="AG226" s="212"/>
      <c r="AH226" s="212"/>
      <c r="AI226" s="212"/>
      <c r="AJ226" s="212"/>
      <c r="AK226" s="212"/>
      <c r="AL226" s="212"/>
      <c r="AM226" s="212"/>
      <c r="AN226" s="212"/>
      <c r="AO226" s="212"/>
      <c r="AP226" s="212"/>
      <c r="AQ226" s="212"/>
      <c r="AR226" s="212"/>
      <c r="AS226" s="212"/>
      <c r="AT226" s="212"/>
      <c r="AU226" s="212"/>
      <c r="AV226" s="212"/>
      <c r="AW226" s="212"/>
      <c r="AX226" s="212"/>
      <c r="AY226" s="212"/>
      <c r="AZ226" s="212"/>
      <c r="BA226" s="212"/>
      <c r="BB226" s="212"/>
      <c r="BC226" s="212"/>
      <c r="BD226" s="212"/>
      <c r="BE226" s="212"/>
      <c r="BF226" s="212"/>
      <c r="BG226" s="212"/>
      <c r="BH226" s="212"/>
      <c r="BI226" s="212"/>
      <c r="BJ226" s="212"/>
      <c r="BK226" s="212"/>
      <c r="BL226" s="212"/>
      <c r="BM226" s="212"/>
      <c r="BN226" s="212"/>
      <c r="BO226" s="212"/>
      <c r="BP226" s="212"/>
      <c r="BQ226" s="212"/>
      <c r="BR226" s="212"/>
      <c r="BS226" s="212"/>
      <c r="BT226" s="212"/>
      <c r="BU226" s="212"/>
      <c r="BV226" s="212"/>
      <c r="BW226" s="212"/>
      <c r="BX226" s="212"/>
      <c r="BY226" s="212"/>
      <c r="BZ226" s="212"/>
      <c r="CA226" s="212"/>
      <c r="CB226" s="212"/>
      <c r="CC226" s="212"/>
      <c r="CD226" s="212"/>
      <c r="CE226" s="212"/>
      <c r="CF226" s="212"/>
      <c r="CG226" s="212"/>
      <c r="CH226" s="212"/>
      <c r="CI226" s="212"/>
      <c r="CJ226" s="212"/>
      <c r="CK226" s="212"/>
      <c r="CL226" s="212"/>
      <c r="CM226" s="212"/>
      <c r="CN226" s="212"/>
      <c r="CO226" s="212"/>
      <c r="CP226" s="212"/>
      <c r="CQ226" s="212"/>
      <c r="CR226" s="212"/>
      <c r="CS226" s="212"/>
      <c r="CT226" s="212"/>
      <c r="CU226" s="212"/>
      <c r="CV226" s="212"/>
      <c r="CW226" s="212"/>
      <c r="CX226" s="212"/>
      <c r="CY226" s="212"/>
      <c r="CZ226" s="212"/>
      <c r="DA226" s="212"/>
      <c r="DB226" s="212"/>
      <c r="DC226" s="212"/>
      <c r="DD226" s="212"/>
      <c r="DE226" s="212"/>
      <c r="DF226" s="212"/>
      <c r="DG226" s="212"/>
      <c r="DH226" s="212"/>
      <c r="DI226" s="212"/>
      <c r="DJ226" s="212"/>
      <c r="DK226" s="212"/>
      <c r="DL226" s="212"/>
      <c r="DM226" s="212"/>
      <c r="DN226" s="212"/>
      <c r="DO226" s="212"/>
      <c r="DP226" s="212"/>
      <c r="DQ226" s="212"/>
      <c r="DR226" s="212"/>
      <c r="DS226" s="212"/>
      <c r="DT226" s="212"/>
      <c r="DU226" s="212"/>
      <c r="DV226" s="212"/>
      <c r="DW226" s="212"/>
      <c r="DX226" s="212"/>
      <c r="DY226" s="212"/>
      <c r="DZ226" s="212"/>
      <c r="EA226" s="212"/>
      <c r="EB226" s="212"/>
      <c r="EC226" s="212"/>
      <c r="ED226" s="212"/>
      <c r="EE226" s="212"/>
      <c r="EF226" s="212"/>
      <c r="EG226" s="212"/>
      <c r="EH226" s="212"/>
      <c r="EI226" s="212"/>
      <c r="EJ226" s="212"/>
      <c r="EK226" s="212"/>
      <c r="EL226" s="212"/>
      <c r="EM226" s="212"/>
      <c r="EN226" s="212"/>
      <c r="EO226" s="212"/>
      <c r="EP226" s="212"/>
      <c r="EQ226" s="212"/>
      <c r="ER226" s="212"/>
      <c r="ES226" s="212"/>
      <c r="ET226" s="212"/>
      <c r="EU226" s="212"/>
      <c r="EV226" s="212"/>
      <c r="EW226" s="212"/>
      <c r="EX226" s="212"/>
      <c r="EY226" s="212"/>
      <c r="EZ226" s="212"/>
      <c r="FA226" s="212"/>
      <c r="FB226" s="212"/>
      <c r="FC226" s="212"/>
      <c r="FD226" s="212"/>
      <c r="FE226" s="212"/>
      <c r="FF226" s="212"/>
      <c r="FG226" s="212"/>
      <c r="FH226" s="212"/>
      <c r="FI226" s="212"/>
      <c r="FJ226" s="212"/>
      <c r="FK226" s="212"/>
      <c r="FL226" s="212"/>
      <c r="FM226" s="212"/>
      <c r="FN226" s="212"/>
      <c r="FO226" s="212"/>
      <c r="FP226" s="212"/>
      <c r="FQ226" s="212"/>
      <c r="FR226" s="212"/>
      <c r="FS226" s="212"/>
      <c r="FT226" s="212"/>
      <c r="FU226" s="212"/>
      <c r="FV226" s="212"/>
      <c r="FW226" s="212"/>
      <c r="FX226" s="212"/>
      <c r="FY226" s="212"/>
      <c r="FZ226" s="212"/>
      <c r="GA226" s="212"/>
      <c r="GB226" s="212"/>
      <c r="GC226" s="212"/>
      <c r="GD226" s="212"/>
      <c r="GE226" s="212"/>
      <c r="GF226" s="212"/>
      <c r="GG226" s="212"/>
      <c r="GH226" s="212"/>
      <c r="GI226" s="212"/>
      <c r="GJ226" s="212"/>
      <c r="GK226" s="212"/>
      <c r="GL226" s="212"/>
      <c r="GM226" s="212"/>
      <c r="GN226" s="212"/>
      <c r="GO226" s="212"/>
      <c r="GP226" s="212"/>
      <c r="GQ226" s="212"/>
      <c r="GR226" s="212"/>
      <c r="GS226" s="212"/>
      <c r="GT226" s="212"/>
      <c r="GU226" s="212"/>
      <c r="GV226" s="212"/>
      <c r="GW226" s="212"/>
      <c r="GX226" s="212"/>
      <c r="GY226" s="212"/>
      <c r="GZ226" s="212"/>
      <c r="HA226" s="212"/>
      <c r="HB226" s="212"/>
      <c r="HC226" s="212"/>
      <c r="HD226" s="212"/>
      <c r="HE226" s="212"/>
      <c r="HF226" s="212"/>
      <c r="HG226" s="212"/>
      <c r="HH226" s="212"/>
      <c r="HI226" s="212"/>
      <c r="HJ226" s="212"/>
      <c r="HK226" s="212"/>
      <c r="HL226" s="212"/>
      <c r="HM226" s="212"/>
      <c r="HN226" s="212"/>
      <c r="HO226" s="212"/>
      <c r="HP226" s="212"/>
      <c r="HQ226" s="212"/>
      <c r="HR226" s="212"/>
      <c r="HS226" s="212"/>
      <c r="HT226" s="212"/>
      <c r="HU226" s="212"/>
      <c r="HV226" s="212"/>
      <c r="HW226" s="212"/>
      <c r="HX226" s="212"/>
      <c r="HY226" s="212"/>
      <c r="HZ226" s="212"/>
      <c r="IA226" s="212"/>
      <c r="IB226" s="212"/>
      <c r="IC226" s="212"/>
      <c r="ID226" s="212"/>
      <c r="IE226" s="212"/>
      <c r="IF226" s="212"/>
      <c r="IG226" s="212"/>
      <c r="IH226" s="212"/>
      <c r="II226" s="212"/>
      <c r="IJ226" s="212"/>
      <c r="IK226" s="212"/>
      <c r="IL226" s="212"/>
      <c r="IM226" s="212"/>
      <c r="IN226" s="212"/>
      <c r="IO226" s="212"/>
      <c r="IP226" s="212"/>
      <c r="IQ226" s="212"/>
      <c r="IR226" s="212"/>
    </row>
    <row r="227" spans="13:252" ht="13.15" hidden="1" customHeight="1" thickTop="1" thickBot="1">
      <c r="M227" s="212"/>
      <c r="N227" s="212"/>
      <c r="O227" s="212"/>
      <c r="P227" s="212"/>
      <c r="Q227" s="212"/>
      <c r="R227" s="212"/>
      <c r="S227" s="212"/>
      <c r="T227" s="212"/>
      <c r="U227" s="212"/>
      <c r="V227" s="212"/>
      <c r="W227" s="212"/>
      <c r="X227" s="212"/>
      <c r="Y227" s="212"/>
      <c r="Z227" s="212"/>
      <c r="AA227" s="212"/>
      <c r="AB227" s="212"/>
      <c r="AC227" s="212"/>
      <c r="AD227" s="212"/>
      <c r="AE227" s="212"/>
      <c r="AF227" s="212"/>
      <c r="AG227" s="212"/>
      <c r="AH227" s="212"/>
      <c r="AI227" s="212"/>
      <c r="AJ227" s="212"/>
      <c r="AK227" s="212"/>
      <c r="AL227" s="212"/>
      <c r="AM227" s="212"/>
      <c r="AN227" s="212"/>
      <c r="AO227" s="212"/>
      <c r="AP227" s="212"/>
      <c r="AQ227" s="212"/>
      <c r="AR227" s="212"/>
      <c r="AS227" s="212"/>
      <c r="AT227" s="212"/>
      <c r="AU227" s="212"/>
      <c r="AV227" s="212"/>
      <c r="AW227" s="212"/>
      <c r="AX227" s="212"/>
      <c r="AY227" s="212"/>
      <c r="AZ227" s="212"/>
      <c r="BA227" s="212"/>
      <c r="BB227" s="212"/>
      <c r="BC227" s="212"/>
      <c r="BD227" s="212"/>
      <c r="BE227" s="212"/>
      <c r="BF227" s="212"/>
      <c r="BG227" s="212"/>
      <c r="BH227" s="212"/>
      <c r="BI227" s="212"/>
      <c r="BJ227" s="212"/>
      <c r="BK227" s="212"/>
      <c r="BL227" s="212"/>
      <c r="BM227" s="212"/>
      <c r="BN227" s="212"/>
      <c r="BO227" s="212"/>
      <c r="BP227" s="212"/>
      <c r="BQ227" s="212"/>
      <c r="BR227" s="212"/>
      <c r="BS227" s="212"/>
      <c r="BT227" s="212"/>
      <c r="BU227" s="212"/>
      <c r="BV227" s="212"/>
      <c r="BW227" s="212"/>
      <c r="BX227" s="212"/>
      <c r="BY227" s="212"/>
      <c r="BZ227" s="212"/>
      <c r="CA227" s="212"/>
      <c r="CB227" s="212"/>
      <c r="CC227" s="212"/>
      <c r="CD227" s="212"/>
      <c r="CE227" s="212"/>
      <c r="CF227" s="212"/>
      <c r="CG227" s="212"/>
      <c r="CH227" s="212"/>
      <c r="CI227" s="212"/>
      <c r="CJ227" s="212"/>
      <c r="CK227" s="212"/>
      <c r="CL227" s="212"/>
      <c r="CM227" s="212"/>
      <c r="CN227" s="212"/>
      <c r="CO227" s="212"/>
      <c r="CP227" s="212"/>
      <c r="CQ227" s="212"/>
      <c r="CR227" s="212"/>
      <c r="CS227" s="212"/>
      <c r="CT227" s="212"/>
      <c r="CU227" s="212"/>
      <c r="CV227" s="212"/>
      <c r="CW227" s="212"/>
      <c r="CX227" s="212"/>
      <c r="CY227" s="212"/>
      <c r="CZ227" s="212"/>
      <c r="DA227" s="212"/>
      <c r="DB227" s="212"/>
      <c r="DC227" s="212"/>
      <c r="DD227" s="212"/>
      <c r="DE227" s="212"/>
      <c r="DF227" s="212"/>
      <c r="DG227" s="212"/>
      <c r="DH227" s="212"/>
      <c r="DI227" s="212"/>
      <c r="DJ227" s="212"/>
      <c r="DK227" s="212"/>
      <c r="DL227" s="212"/>
      <c r="DM227" s="212"/>
      <c r="DN227" s="212"/>
      <c r="DO227" s="212"/>
      <c r="DP227" s="212"/>
      <c r="DQ227" s="212"/>
      <c r="DR227" s="212"/>
      <c r="DS227" s="212"/>
      <c r="DT227" s="212"/>
      <c r="DU227" s="212"/>
      <c r="DV227" s="212"/>
      <c r="DW227" s="212"/>
      <c r="DX227" s="212"/>
      <c r="DY227" s="212"/>
      <c r="DZ227" s="212"/>
      <c r="EA227" s="212"/>
      <c r="EB227" s="212"/>
      <c r="EC227" s="212"/>
      <c r="ED227" s="212"/>
      <c r="EE227" s="212"/>
      <c r="EF227" s="212"/>
      <c r="EG227" s="212"/>
      <c r="EH227" s="212"/>
      <c r="EI227" s="212"/>
      <c r="EJ227" s="212"/>
      <c r="EK227" s="212"/>
      <c r="EL227" s="212"/>
      <c r="EM227" s="212"/>
      <c r="EN227" s="212"/>
      <c r="EO227" s="212"/>
      <c r="EP227" s="212"/>
      <c r="EQ227" s="212"/>
      <c r="ER227" s="212"/>
      <c r="ES227" s="212"/>
      <c r="ET227" s="212"/>
      <c r="EU227" s="212"/>
      <c r="EV227" s="212"/>
      <c r="EW227" s="212"/>
      <c r="EX227" s="212"/>
      <c r="EY227" s="212"/>
      <c r="EZ227" s="212"/>
      <c r="FA227" s="212"/>
      <c r="FB227" s="212"/>
      <c r="FC227" s="212"/>
      <c r="FD227" s="212"/>
      <c r="FE227" s="212"/>
      <c r="FF227" s="212"/>
      <c r="FG227" s="212"/>
      <c r="FH227" s="212"/>
      <c r="FI227" s="212"/>
      <c r="FJ227" s="212"/>
      <c r="FK227" s="212"/>
      <c r="FL227" s="212"/>
      <c r="FM227" s="212"/>
      <c r="FN227" s="212"/>
      <c r="FO227" s="212"/>
      <c r="FP227" s="212"/>
      <c r="FQ227" s="212"/>
      <c r="FR227" s="212"/>
      <c r="FS227" s="212"/>
      <c r="FT227" s="212"/>
      <c r="FU227" s="212"/>
      <c r="FV227" s="212"/>
      <c r="FW227" s="212"/>
      <c r="FX227" s="212"/>
      <c r="FY227" s="212"/>
      <c r="FZ227" s="212"/>
      <c r="GA227" s="212"/>
      <c r="GB227" s="212"/>
      <c r="GC227" s="212"/>
      <c r="GD227" s="212"/>
      <c r="GE227" s="212"/>
      <c r="GF227" s="212"/>
      <c r="GG227" s="212"/>
      <c r="GH227" s="212"/>
      <c r="GI227" s="212"/>
      <c r="GJ227" s="212"/>
      <c r="GK227" s="212"/>
      <c r="GL227" s="212"/>
      <c r="GM227" s="212"/>
      <c r="GN227" s="212"/>
      <c r="GO227" s="212"/>
      <c r="GP227" s="212"/>
      <c r="GQ227" s="212"/>
      <c r="GR227" s="212"/>
      <c r="GS227" s="212"/>
      <c r="GT227" s="212"/>
      <c r="GU227" s="212"/>
      <c r="GV227" s="212"/>
      <c r="GW227" s="212"/>
      <c r="GX227" s="212"/>
      <c r="GY227" s="212"/>
      <c r="GZ227" s="212"/>
      <c r="HA227" s="212"/>
      <c r="HB227" s="212"/>
      <c r="HC227" s="212"/>
      <c r="HD227" s="212"/>
      <c r="HE227" s="212"/>
      <c r="HF227" s="212"/>
      <c r="HG227" s="212"/>
      <c r="HH227" s="212"/>
      <c r="HI227" s="212"/>
      <c r="HJ227" s="212"/>
      <c r="HK227" s="212"/>
      <c r="HL227" s="212"/>
      <c r="HM227" s="212"/>
      <c r="HN227" s="212"/>
      <c r="HO227" s="212"/>
      <c r="HP227" s="212"/>
      <c r="HQ227" s="212"/>
      <c r="HR227" s="212"/>
      <c r="HS227" s="212"/>
      <c r="HT227" s="212"/>
      <c r="HU227" s="212"/>
      <c r="HV227" s="212"/>
      <c r="HW227" s="212"/>
      <c r="HX227" s="212"/>
      <c r="HY227" s="212"/>
      <c r="HZ227" s="212"/>
      <c r="IA227" s="212"/>
      <c r="IB227" s="212"/>
      <c r="IC227" s="212"/>
      <c r="ID227" s="212"/>
      <c r="IE227" s="212"/>
      <c r="IF227" s="212"/>
      <c r="IG227" s="212"/>
      <c r="IH227" s="212"/>
      <c r="II227" s="212"/>
      <c r="IJ227" s="212"/>
      <c r="IK227" s="212"/>
      <c r="IL227" s="212"/>
      <c r="IM227" s="212"/>
      <c r="IN227" s="212"/>
      <c r="IO227" s="212"/>
      <c r="IP227" s="212"/>
      <c r="IQ227" s="212"/>
      <c r="IR227" s="212"/>
    </row>
    <row r="228" spans="13:252" ht="13.15" hidden="1" customHeight="1" thickTop="1" thickBot="1">
      <c r="M228" s="212"/>
      <c r="N228" s="212"/>
      <c r="O228" s="212"/>
      <c r="P228" s="212"/>
      <c r="Q228" s="212"/>
      <c r="R228" s="212"/>
      <c r="S228" s="212"/>
      <c r="T228" s="212"/>
      <c r="U228" s="212"/>
      <c r="V228" s="212"/>
      <c r="W228" s="212"/>
      <c r="X228" s="212"/>
      <c r="Y228" s="212"/>
      <c r="Z228" s="212"/>
      <c r="AA228" s="212"/>
      <c r="AB228" s="212"/>
      <c r="AC228" s="212"/>
      <c r="AD228" s="212"/>
      <c r="AE228" s="212"/>
      <c r="AF228" s="212"/>
      <c r="AG228" s="212"/>
      <c r="AH228" s="212"/>
      <c r="AI228" s="212"/>
      <c r="AJ228" s="212"/>
      <c r="AK228" s="212"/>
      <c r="AL228" s="212"/>
      <c r="AM228" s="212"/>
      <c r="AN228" s="212"/>
      <c r="AO228" s="212"/>
      <c r="AP228" s="212"/>
      <c r="AQ228" s="212"/>
      <c r="AR228" s="212"/>
      <c r="AS228" s="212"/>
      <c r="AT228" s="212"/>
      <c r="AU228" s="212"/>
      <c r="AV228" s="212"/>
      <c r="AW228" s="212"/>
      <c r="AX228" s="212"/>
      <c r="AY228" s="212"/>
      <c r="AZ228" s="212"/>
      <c r="BA228" s="212"/>
      <c r="BB228" s="212"/>
      <c r="BC228" s="212"/>
      <c r="BD228" s="212"/>
      <c r="BE228" s="212"/>
      <c r="BF228" s="212"/>
      <c r="BG228" s="212"/>
      <c r="BH228" s="212"/>
      <c r="BI228" s="212"/>
      <c r="BJ228" s="212"/>
      <c r="BK228" s="212"/>
      <c r="BL228" s="212"/>
      <c r="BM228" s="212"/>
      <c r="BN228" s="212"/>
      <c r="BO228" s="212"/>
      <c r="BP228" s="212"/>
      <c r="BQ228" s="212"/>
      <c r="BR228" s="212"/>
      <c r="BS228" s="212"/>
      <c r="BT228" s="212"/>
      <c r="BU228" s="212"/>
      <c r="BV228" s="212"/>
      <c r="BW228" s="212"/>
      <c r="BX228" s="212"/>
      <c r="BY228" s="212"/>
      <c r="BZ228" s="212"/>
      <c r="CA228" s="212"/>
      <c r="CB228" s="212"/>
      <c r="CC228" s="212"/>
      <c r="CD228" s="212"/>
      <c r="CE228" s="212"/>
      <c r="CF228" s="212"/>
      <c r="CG228" s="212"/>
      <c r="CH228" s="212"/>
      <c r="CI228" s="212"/>
      <c r="CJ228" s="212"/>
      <c r="CK228" s="212"/>
      <c r="CL228" s="212"/>
      <c r="CM228" s="212"/>
      <c r="CN228" s="212"/>
      <c r="CO228" s="212"/>
      <c r="CP228" s="212"/>
      <c r="CQ228" s="212"/>
      <c r="CR228" s="212"/>
      <c r="CS228" s="212"/>
      <c r="CT228" s="212"/>
      <c r="CU228" s="212"/>
      <c r="CV228" s="212"/>
      <c r="CW228" s="212"/>
      <c r="CX228" s="212"/>
      <c r="CY228" s="212"/>
      <c r="CZ228" s="212"/>
      <c r="DA228" s="212"/>
      <c r="DB228" s="212"/>
      <c r="DC228" s="212"/>
      <c r="DD228" s="212"/>
      <c r="DE228" s="212"/>
      <c r="DF228" s="212"/>
      <c r="DG228" s="212"/>
      <c r="DH228" s="212"/>
      <c r="DI228" s="212"/>
      <c r="DJ228" s="212"/>
      <c r="DK228" s="212"/>
      <c r="DL228" s="212"/>
      <c r="DM228" s="212"/>
      <c r="DN228" s="212"/>
      <c r="DO228" s="212"/>
      <c r="DP228" s="212"/>
      <c r="DQ228" s="212"/>
      <c r="DR228" s="212"/>
      <c r="DS228" s="212"/>
      <c r="DT228" s="212"/>
      <c r="DU228" s="212"/>
      <c r="DV228" s="212"/>
      <c r="DW228" s="212"/>
      <c r="DX228" s="212"/>
      <c r="DY228" s="212"/>
      <c r="DZ228" s="212"/>
      <c r="EA228" s="212"/>
      <c r="EB228" s="212"/>
      <c r="EC228" s="212"/>
      <c r="ED228" s="212"/>
      <c r="EE228" s="212"/>
      <c r="EF228" s="212"/>
      <c r="EG228" s="212"/>
      <c r="EH228" s="212"/>
      <c r="EI228" s="212"/>
      <c r="EJ228" s="212"/>
      <c r="EK228" s="212"/>
      <c r="EL228" s="212"/>
      <c r="EM228" s="212"/>
      <c r="EN228" s="212"/>
      <c r="EO228" s="212"/>
      <c r="EP228" s="212"/>
      <c r="EQ228" s="212"/>
      <c r="ER228" s="212"/>
      <c r="ES228" s="212"/>
      <c r="ET228" s="212"/>
      <c r="EU228" s="212"/>
      <c r="EV228" s="212"/>
      <c r="EW228" s="212"/>
      <c r="EX228" s="212"/>
      <c r="EY228" s="212"/>
      <c r="EZ228" s="212"/>
      <c r="FA228" s="212"/>
      <c r="FB228" s="212"/>
      <c r="FC228" s="212"/>
      <c r="FD228" s="212"/>
      <c r="FE228" s="212"/>
      <c r="FF228" s="212"/>
      <c r="FG228" s="212"/>
      <c r="FH228" s="212"/>
      <c r="FI228" s="212"/>
      <c r="FJ228" s="212"/>
      <c r="FK228" s="212"/>
      <c r="FL228" s="212"/>
      <c r="FM228" s="212"/>
      <c r="FN228" s="212"/>
      <c r="FO228" s="212"/>
      <c r="FP228" s="212"/>
      <c r="FQ228" s="212"/>
      <c r="FR228" s="212"/>
      <c r="FS228" s="212"/>
      <c r="FT228" s="212"/>
      <c r="FU228" s="212"/>
      <c r="FV228" s="212"/>
      <c r="FW228" s="212"/>
      <c r="FX228" s="212"/>
      <c r="FY228" s="212"/>
      <c r="FZ228" s="212"/>
      <c r="GA228" s="212"/>
      <c r="GB228" s="212"/>
      <c r="GC228" s="212"/>
      <c r="GD228" s="212"/>
      <c r="GE228" s="212"/>
      <c r="GF228" s="212"/>
      <c r="GG228" s="212"/>
      <c r="GH228" s="212"/>
      <c r="GI228" s="212"/>
      <c r="GJ228" s="212"/>
      <c r="GK228" s="212"/>
      <c r="GL228" s="212"/>
      <c r="GM228" s="212"/>
      <c r="GN228" s="212"/>
      <c r="GO228" s="212"/>
      <c r="GP228" s="212"/>
      <c r="GQ228" s="212"/>
      <c r="GR228" s="212"/>
      <c r="GS228" s="212"/>
      <c r="GT228" s="212"/>
      <c r="GU228" s="212"/>
      <c r="GV228" s="212"/>
      <c r="GW228" s="212"/>
      <c r="GX228" s="212"/>
      <c r="GY228" s="212"/>
      <c r="GZ228" s="212"/>
      <c r="HA228" s="212"/>
      <c r="HB228" s="212"/>
      <c r="HC228" s="212"/>
      <c r="HD228" s="212"/>
      <c r="HE228" s="212"/>
      <c r="HF228" s="212"/>
      <c r="HG228" s="212"/>
      <c r="HH228" s="212"/>
      <c r="HI228" s="212"/>
      <c r="HJ228" s="212"/>
      <c r="HK228" s="212"/>
      <c r="HL228" s="212"/>
      <c r="HM228" s="212"/>
      <c r="HN228" s="212"/>
      <c r="HO228" s="212"/>
      <c r="HP228" s="212"/>
      <c r="HQ228" s="212"/>
      <c r="HR228" s="212"/>
      <c r="HS228" s="212"/>
      <c r="HT228" s="212"/>
      <c r="HU228" s="212"/>
      <c r="HV228" s="212"/>
      <c r="HW228" s="212"/>
      <c r="HX228" s="212"/>
      <c r="HY228" s="212"/>
      <c r="HZ228" s="212"/>
      <c r="IA228" s="212"/>
      <c r="IB228" s="212"/>
      <c r="IC228" s="212"/>
      <c r="ID228" s="212"/>
      <c r="IE228" s="212"/>
      <c r="IF228" s="212"/>
      <c r="IG228" s="212"/>
      <c r="IH228" s="212"/>
      <c r="II228" s="212"/>
      <c r="IJ228" s="212"/>
      <c r="IK228" s="212"/>
      <c r="IL228" s="212"/>
      <c r="IM228" s="212"/>
      <c r="IN228" s="212"/>
      <c r="IO228" s="212"/>
      <c r="IP228" s="212"/>
      <c r="IQ228" s="212"/>
      <c r="IR228" s="212"/>
    </row>
    <row r="229" spans="13:252" ht="16.5" hidden="1" customHeight="1" thickTop="1" thickBot="1">
      <c r="M229" s="212"/>
      <c r="N229" s="212"/>
      <c r="O229" s="212"/>
      <c r="P229" s="212"/>
      <c r="Q229" s="212"/>
      <c r="R229" s="212"/>
      <c r="S229" s="212"/>
      <c r="T229" s="212"/>
      <c r="U229" s="212"/>
      <c r="V229" s="212"/>
      <c r="W229" s="212"/>
      <c r="X229" s="212"/>
      <c r="Y229" s="212"/>
      <c r="Z229" s="212"/>
      <c r="AA229" s="212"/>
      <c r="AB229" s="212"/>
      <c r="AC229" s="212"/>
      <c r="AD229" s="212"/>
      <c r="AE229" s="212"/>
      <c r="AF229" s="212"/>
      <c r="AG229" s="212"/>
      <c r="AH229" s="212"/>
      <c r="AI229" s="212"/>
      <c r="AJ229" s="212"/>
      <c r="AK229" s="212"/>
      <c r="AL229" s="212"/>
      <c r="AM229" s="212"/>
      <c r="AN229" s="212"/>
      <c r="AO229" s="212"/>
      <c r="AP229" s="212"/>
      <c r="AQ229" s="212"/>
      <c r="AR229" s="212"/>
      <c r="AS229" s="212"/>
      <c r="AT229" s="212"/>
      <c r="AU229" s="212"/>
      <c r="AV229" s="212"/>
      <c r="AW229" s="212"/>
      <c r="AX229" s="212"/>
      <c r="AY229" s="212"/>
      <c r="AZ229" s="212"/>
      <c r="BA229" s="212"/>
      <c r="BB229" s="212"/>
      <c r="BC229" s="212"/>
      <c r="BD229" s="212"/>
      <c r="BE229" s="212"/>
      <c r="BF229" s="212"/>
      <c r="BG229" s="212"/>
      <c r="BH229" s="212"/>
      <c r="BI229" s="212"/>
      <c r="BJ229" s="212"/>
      <c r="BK229" s="212"/>
      <c r="BL229" s="212"/>
      <c r="BM229" s="212"/>
      <c r="BN229" s="212"/>
      <c r="BO229" s="212"/>
      <c r="BP229" s="212"/>
      <c r="BQ229" s="212"/>
      <c r="BR229" s="212"/>
      <c r="BS229" s="212"/>
      <c r="BT229" s="212"/>
      <c r="BU229" s="212"/>
      <c r="BV229" s="212"/>
      <c r="BW229" s="212"/>
      <c r="BX229" s="212"/>
      <c r="BY229" s="212"/>
      <c r="BZ229" s="212"/>
      <c r="CA229" s="212"/>
      <c r="CB229" s="212"/>
      <c r="CC229" s="212"/>
      <c r="CD229" s="212"/>
      <c r="CE229" s="212"/>
      <c r="CF229" s="212"/>
      <c r="CG229" s="212"/>
      <c r="CH229" s="212"/>
      <c r="CI229" s="212"/>
      <c r="CJ229" s="212"/>
      <c r="CK229" s="212"/>
      <c r="CL229" s="212"/>
      <c r="CM229" s="212"/>
      <c r="CN229" s="212"/>
      <c r="CO229" s="212"/>
      <c r="CP229" s="212"/>
      <c r="CQ229" s="212"/>
      <c r="CR229" s="212"/>
      <c r="CS229" s="212"/>
      <c r="CT229" s="212"/>
      <c r="CU229" s="212"/>
      <c r="CV229" s="212"/>
      <c r="CW229" s="212"/>
      <c r="CX229" s="212"/>
      <c r="CY229" s="212"/>
      <c r="CZ229" s="212"/>
      <c r="DA229" s="212"/>
      <c r="DB229" s="212"/>
      <c r="DC229" s="212"/>
      <c r="DD229" s="212"/>
      <c r="DE229" s="212"/>
      <c r="DF229" s="212"/>
      <c r="DG229" s="212"/>
      <c r="DH229" s="212"/>
      <c r="DI229" s="212"/>
      <c r="DJ229" s="212"/>
      <c r="DK229" s="212"/>
      <c r="DL229" s="212"/>
      <c r="DM229" s="212"/>
      <c r="DN229" s="212"/>
      <c r="DO229" s="212"/>
      <c r="DP229" s="212"/>
      <c r="DQ229" s="212"/>
      <c r="DR229" s="212"/>
      <c r="DS229" s="212"/>
      <c r="DT229" s="212"/>
      <c r="DU229" s="212"/>
      <c r="DV229" s="212"/>
      <c r="DW229" s="212"/>
      <c r="DX229" s="212"/>
      <c r="DY229" s="212"/>
      <c r="DZ229" s="212"/>
      <c r="EA229" s="212"/>
      <c r="EB229" s="212"/>
      <c r="EC229" s="212"/>
      <c r="ED229" s="212"/>
      <c r="EE229" s="212"/>
      <c r="EF229" s="212"/>
      <c r="EG229" s="212"/>
      <c r="EH229" s="212"/>
      <c r="EI229" s="212"/>
      <c r="EJ229" s="212"/>
      <c r="EK229" s="212"/>
      <c r="EL229" s="212"/>
      <c r="EM229" s="212"/>
      <c r="EN229" s="212"/>
      <c r="EO229" s="212"/>
      <c r="EP229" s="212"/>
      <c r="EQ229" s="212"/>
      <c r="ER229" s="212"/>
      <c r="ES229" s="212"/>
      <c r="ET229" s="212"/>
      <c r="EU229" s="212"/>
      <c r="EV229" s="212"/>
      <c r="EW229" s="212"/>
      <c r="EX229" s="212"/>
      <c r="EY229" s="212"/>
      <c r="EZ229" s="212"/>
      <c r="FA229" s="212"/>
      <c r="FB229" s="212"/>
      <c r="FC229" s="212"/>
      <c r="FD229" s="212"/>
      <c r="FE229" s="212"/>
      <c r="FF229" s="212"/>
      <c r="FG229" s="212"/>
      <c r="FH229" s="212"/>
      <c r="FI229" s="212"/>
      <c r="FJ229" s="212"/>
      <c r="FK229" s="212"/>
      <c r="FL229" s="212"/>
      <c r="FM229" s="212"/>
      <c r="FN229" s="212"/>
      <c r="FO229" s="212"/>
      <c r="FP229" s="212"/>
      <c r="FQ229" s="212"/>
      <c r="FR229" s="212"/>
      <c r="FS229" s="212"/>
      <c r="FT229" s="212"/>
      <c r="FU229" s="212"/>
      <c r="FV229" s="212"/>
      <c r="FW229" s="212"/>
      <c r="FX229" s="212"/>
      <c r="FY229" s="212"/>
      <c r="FZ229" s="212"/>
      <c r="GA229" s="212"/>
      <c r="GB229" s="212"/>
      <c r="GC229" s="212"/>
      <c r="GD229" s="212"/>
      <c r="GE229" s="212"/>
      <c r="GF229" s="212"/>
      <c r="GG229" s="212"/>
      <c r="GH229" s="212"/>
      <c r="GI229" s="212"/>
      <c r="GJ229" s="212"/>
      <c r="GK229" s="212"/>
      <c r="GL229" s="212"/>
      <c r="GM229" s="212"/>
      <c r="GN229" s="212"/>
      <c r="GO229" s="212"/>
      <c r="GP229" s="212"/>
      <c r="GQ229" s="212"/>
      <c r="GR229" s="212"/>
      <c r="GS229" s="212"/>
      <c r="GT229" s="212"/>
      <c r="GU229" s="212"/>
      <c r="GV229" s="212"/>
      <c r="GW229" s="212"/>
      <c r="GX229" s="212"/>
      <c r="GY229" s="212"/>
      <c r="GZ229" s="212"/>
      <c r="HA229" s="212"/>
      <c r="HB229" s="212"/>
      <c r="HC229" s="212"/>
      <c r="HD229" s="212"/>
      <c r="HE229" s="212"/>
      <c r="HF229" s="212"/>
      <c r="HG229" s="212"/>
      <c r="HH229" s="212"/>
      <c r="HI229" s="212"/>
      <c r="HJ229" s="212"/>
      <c r="HK229" s="212"/>
      <c r="HL229" s="212"/>
      <c r="HM229" s="212"/>
      <c r="HN229" s="212"/>
      <c r="HO229" s="212"/>
      <c r="HP229" s="212"/>
      <c r="HQ229" s="212"/>
      <c r="HR229" s="212"/>
      <c r="HS229" s="212"/>
      <c r="HT229" s="212"/>
      <c r="HU229" s="212"/>
      <c r="HV229" s="212"/>
      <c r="HW229" s="212"/>
      <c r="HX229" s="212"/>
      <c r="HY229" s="212"/>
      <c r="HZ229" s="212"/>
      <c r="IA229" s="212"/>
      <c r="IB229" s="212"/>
      <c r="IC229" s="212"/>
      <c r="ID229" s="212"/>
      <c r="IE229" s="212"/>
      <c r="IF229" s="212"/>
      <c r="IG229" s="212"/>
      <c r="IH229" s="212"/>
      <c r="II229" s="212"/>
      <c r="IJ229" s="212"/>
      <c r="IK229" s="212"/>
      <c r="IL229" s="212"/>
      <c r="IM229" s="212"/>
      <c r="IN229" s="212"/>
      <c r="IO229" s="212"/>
      <c r="IP229" s="212"/>
      <c r="IQ229" s="212"/>
      <c r="IR229" s="212"/>
    </row>
    <row r="230" spans="13:252" ht="13.5" hidden="1" customHeight="1" thickTop="1" thickBot="1">
      <c r="M230" s="212"/>
      <c r="N230" s="212"/>
      <c r="O230" s="212"/>
      <c r="P230" s="212"/>
      <c r="Q230" s="212"/>
      <c r="R230" s="212"/>
      <c r="S230" s="212"/>
      <c r="T230" s="212"/>
      <c r="U230" s="212"/>
      <c r="V230" s="212"/>
      <c r="W230" s="212"/>
      <c r="X230" s="212"/>
      <c r="Y230" s="212"/>
      <c r="Z230" s="212"/>
      <c r="AA230" s="212"/>
      <c r="AB230" s="212"/>
      <c r="AC230" s="212"/>
      <c r="AD230" s="212"/>
      <c r="AE230" s="212"/>
      <c r="AF230" s="212"/>
      <c r="AG230" s="212"/>
      <c r="AH230" s="212"/>
      <c r="AI230" s="212"/>
      <c r="AJ230" s="212"/>
      <c r="AK230" s="212"/>
      <c r="AL230" s="212"/>
      <c r="AM230" s="212"/>
      <c r="AN230" s="212"/>
      <c r="AO230" s="212"/>
      <c r="AP230" s="212"/>
      <c r="AQ230" s="212"/>
      <c r="AR230" s="212"/>
      <c r="AS230" s="212"/>
      <c r="AT230" s="212"/>
      <c r="AU230" s="212"/>
      <c r="AV230" s="212"/>
      <c r="AW230" s="212"/>
      <c r="AX230" s="212"/>
      <c r="AY230" s="212"/>
      <c r="AZ230" s="212"/>
      <c r="BA230" s="212"/>
      <c r="BB230" s="212"/>
      <c r="BC230" s="212"/>
      <c r="BD230" s="212"/>
      <c r="BE230" s="212"/>
      <c r="BF230" s="212"/>
      <c r="BG230" s="212"/>
      <c r="BH230" s="212"/>
      <c r="BI230" s="212"/>
      <c r="BJ230" s="212"/>
      <c r="BK230" s="212"/>
      <c r="BL230" s="212"/>
      <c r="BM230" s="212"/>
      <c r="BN230" s="212"/>
      <c r="BO230" s="212"/>
      <c r="BP230" s="212"/>
      <c r="BQ230" s="212"/>
      <c r="BR230" s="212"/>
      <c r="BS230" s="212"/>
      <c r="BT230" s="212"/>
      <c r="BU230" s="212"/>
      <c r="BV230" s="212"/>
      <c r="BW230" s="212"/>
      <c r="BX230" s="212"/>
      <c r="BY230" s="212"/>
      <c r="BZ230" s="212"/>
      <c r="CA230" s="212"/>
      <c r="CB230" s="212"/>
      <c r="CC230" s="212"/>
      <c r="CD230" s="212"/>
      <c r="CE230" s="212"/>
      <c r="CF230" s="212"/>
      <c r="CG230" s="212"/>
      <c r="CH230" s="212"/>
      <c r="CI230" s="212"/>
      <c r="CJ230" s="212"/>
      <c r="CK230" s="212"/>
      <c r="CL230" s="212"/>
      <c r="CM230" s="212"/>
      <c r="CN230" s="212"/>
      <c r="CO230" s="212"/>
      <c r="CP230" s="212"/>
      <c r="CQ230" s="212"/>
      <c r="CR230" s="212"/>
      <c r="CS230" s="212"/>
      <c r="CT230" s="212"/>
      <c r="CU230" s="212"/>
      <c r="CV230" s="212"/>
      <c r="CW230" s="212"/>
      <c r="CX230" s="212"/>
      <c r="CY230" s="212"/>
      <c r="CZ230" s="212"/>
      <c r="DA230" s="212"/>
      <c r="DB230" s="212"/>
      <c r="DC230" s="212"/>
      <c r="DD230" s="212"/>
      <c r="DE230" s="212"/>
      <c r="DF230" s="212"/>
      <c r="DG230" s="212"/>
      <c r="DH230" s="212"/>
      <c r="DI230" s="212"/>
      <c r="DJ230" s="212"/>
      <c r="DK230" s="212"/>
      <c r="DL230" s="212"/>
      <c r="DM230" s="212"/>
      <c r="DN230" s="212"/>
      <c r="DO230" s="212"/>
      <c r="DP230" s="212"/>
      <c r="DQ230" s="212"/>
      <c r="DR230" s="212"/>
      <c r="DS230" s="212"/>
      <c r="DT230" s="212"/>
      <c r="DU230" s="212"/>
      <c r="DV230" s="212"/>
      <c r="DW230" s="212"/>
      <c r="DX230" s="212"/>
      <c r="DY230" s="212"/>
      <c r="DZ230" s="212"/>
      <c r="EA230" s="212"/>
      <c r="EB230" s="212"/>
      <c r="EC230" s="212"/>
      <c r="ED230" s="212"/>
      <c r="EE230" s="212"/>
      <c r="EF230" s="212"/>
      <c r="EG230" s="212"/>
      <c r="EH230" s="212"/>
      <c r="EI230" s="212"/>
      <c r="EJ230" s="212"/>
      <c r="EK230" s="212"/>
      <c r="EL230" s="212"/>
      <c r="EM230" s="212"/>
      <c r="EN230" s="212"/>
      <c r="EO230" s="212"/>
      <c r="EP230" s="212"/>
      <c r="EQ230" s="212"/>
      <c r="ER230" s="212"/>
      <c r="ES230" s="212"/>
      <c r="ET230" s="212"/>
      <c r="EU230" s="212"/>
      <c r="EV230" s="212"/>
      <c r="EW230" s="212"/>
      <c r="EX230" s="212"/>
      <c r="EY230" s="212"/>
      <c r="EZ230" s="212"/>
      <c r="FA230" s="212"/>
      <c r="FB230" s="212"/>
      <c r="FC230" s="212"/>
      <c r="FD230" s="212"/>
      <c r="FE230" s="212"/>
      <c r="FF230" s="212"/>
      <c r="FG230" s="212"/>
      <c r="FH230" s="212"/>
      <c r="FI230" s="212"/>
      <c r="FJ230" s="212"/>
      <c r="FK230" s="212"/>
      <c r="FL230" s="212"/>
      <c r="FM230" s="212"/>
      <c r="FN230" s="212"/>
      <c r="FO230" s="212"/>
      <c r="FP230" s="212"/>
      <c r="FQ230" s="212"/>
      <c r="FR230" s="212"/>
      <c r="FS230" s="212"/>
      <c r="FT230" s="212"/>
      <c r="FU230" s="212"/>
      <c r="FV230" s="212"/>
      <c r="FW230" s="212"/>
      <c r="FX230" s="212"/>
      <c r="FY230" s="212"/>
      <c r="FZ230" s="212"/>
      <c r="GA230" s="212"/>
      <c r="GB230" s="212"/>
      <c r="GC230" s="212"/>
      <c r="GD230" s="212"/>
      <c r="GE230" s="212"/>
      <c r="GF230" s="212"/>
      <c r="GG230" s="212"/>
      <c r="GH230" s="212"/>
      <c r="GI230" s="212"/>
      <c r="GJ230" s="212"/>
      <c r="GK230" s="212"/>
      <c r="GL230" s="212"/>
      <c r="GM230" s="212"/>
      <c r="GN230" s="212"/>
      <c r="GO230" s="212"/>
      <c r="GP230" s="212"/>
      <c r="GQ230" s="212"/>
      <c r="GR230" s="212"/>
      <c r="GS230" s="212"/>
      <c r="GT230" s="212"/>
      <c r="GU230" s="212"/>
      <c r="GV230" s="212"/>
      <c r="GW230" s="212"/>
      <c r="GX230" s="212"/>
      <c r="GY230" s="212"/>
      <c r="GZ230" s="212"/>
      <c r="HA230" s="212"/>
      <c r="HB230" s="212"/>
      <c r="HC230" s="212"/>
      <c r="HD230" s="212"/>
      <c r="HE230" s="212"/>
      <c r="HF230" s="212"/>
      <c r="HG230" s="212"/>
      <c r="HH230" s="212"/>
      <c r="HI230" s="212"/>
      <c r="HJ230" s="212"/>
      <c r="HK230" s="212"/>
      <c r="HL230" s="212"/>
      <c r="HM230" s="212"/>
      <c r="HN230" s="212"/>
      <c r="HO230" s="212"/>
      <c r="HP230" s="212"/>
      <c r="HQ230" s="212"/>
      <c r="HR230" s="212"/>
      <c r="HS230" s="212"/>
      <c r="HT230" s="212"/>
      <c r="HU230" s="212"/>
      <c r="HV230" s="212"/>
      <c r="HW230" s="212"/>
      <c r="HX230" s="212"/>
      <c r="HY230" s="212"/>
      <c r="HZ230" s="212"/>
      <c r="IA230" s="212"/>
      <c r="IB230" s="212"/>
      <c r="IC230" s="212"/>
      <c r="ID230" s="212"/>
      <c r="IE230" s="212"/>
      <c r="IF230" s="212"/>
      <c r="IG230" s="212"/>
      <c r="IH230" s="212"/>
      <c r="II230" s="212"/>
      <c r="IJ230" s="212"/>
      <c r="IK230" s="212"/>
      <c r="IL230" s="212"/>
      <c r="IM230" s="212"/>
      <c r="IN230" s="212"/>
      <c r="IO230" s="212"/>
      <c r="IP230" s="212"/>
      <c r="IQ230" s="212"/>
      <c r="IR230" s="212"/>
    </row>
    <row r="231" spans="13:252" ht="15.75" hidden="1" customHeight="1" thickTop="1" thickBot="1">
      <c r="M231" s="212"/>
      <c r="N231" s="212"/>
      <c r="O231" s="212"/>
      <c r="P231" s="212"/>
      <c r="Q231" s="212"/>
      <c r="R231" s="212"/>
      <c r="S231" s="212"/>
      <c r="T231" s="212"/>
      <c r="U231" s="212"/>
      <c r="V231" s="212"/>
      <c r="W231" s="212"/>
      <c r="X231" s="212"/>
      <c r="Y231" s="212"/>
      <c r="Z231" s="212"/>
      <c r="AA231" s="212"/>
      <c r="AB231" s="212"/>
      <c r="AC231" s="212"/>
      <c r="AD231" s="212"/>
      <c r="AE231" s="212"/>
      <c r="AF231" s="212"/>
      <c r="AG231" s="212"/>
      <c r="AH231" s="212"/>
      <c r="AI231" s="212"/>
      <c r="AJ231" s="212"/>
      <c r="AK231" s="212"/>
      <c r="AL231" s="212"/>
      <c r="AM231" s="212"/>
      <c r="AN231" s="212"/>
      <c r="AO231" s="212"/>
      <c r="AP231" s="212"/>
      <c r="AQ231" s="212"/>
      <c r="AR231" s="212"/>
      <c r="AS231" s="212"/>
      <c r="AT231" s="212"/>
      <c r="AU231" s="212"/>
      <c r="AV231" s="212"/>
      <c r="AW231" s="212"/>
      <c r="AX231" s="212"/>
      <c r="AY231" s="212"/>
      <c r="AZ231" s="212"/>
      <c r="BA231" s="212"/>
      <c r="BB231" s="212"/>
      <c r="BC231" s="212"/>
      <c r="BD231" s="212"/>
      <c r="BE231" s="212"/>
      <c r="BF231" s="212"/>
      <c r="BG231" s="212"/>
      <c r="BH231" s="212"/>
      <c r="BI231" s="212"/>
      <c r="BJ231" s="212"/>
      <c r="BK231" s="212"/>
      <c r="BL231" s="212"/>
      <c r="BM231" s="212"/>
      <c r="BN231" s="212"/>
      <c r="BO231" s="212"/>
      <c r="BP231" s="212"/>
      <c r="BQ231" s="212"/>
      <c r="BR231" s="212"/>
      <c r="BS231" s="212"/>
      <c r="BT231" s="212"/>
      <c r="BU231" s="212"/>
      <c r="BV231" s="212"/>
      <c r="BW231" s="212"/>
      <c r="BX231" s="212"/>
      <c r="BY231" s="212"/>
      <c r="BZ231" s="212"/>
      <c r="CA231" s="212"/>
      <c r="CB231" s="212"/>
      <c r="CC231" s="212"/>
      <c r="CD231" s="212"/>
      <c r="CE231" s="212"/>
      <c r="CF231" s="212"/>
      <c r="CG231" s="212"/>
      <c r="CH231" s="212"/>
      <c r="CI231" s="212"/>
      <c r="CJ231" s="212"/>
      <c r="CK231" s="212"/>
      <c r="CL231" s="212"/>
      <c r="CM231" s="212"/>
      <c r="CN231" s="212"/>
      <c r="CO231" s="212"/>
      <c r="CP231" s="212"/>
      <c r="CQ231" s="212"/>
      <c r="CR231" s="212"/>
      <c r="CS231" s="212"/>
      <c r="CT231" s="212"/>
      <c r="CU231" s="212"/>
      <c r="CV231" s="212"/>
      <c r="CW231" s="212"/>
      <c r="CX231" s="212"/>
      <c r="CY231" s="212"/>
      <c r="CZ231" s="212"/>
      <c r="DA231" s="212"/>
      <c r="DB231" s="212"/>
      <c r="DC231" s="212"/>
      <c r="DD231" s="212"/>
      <c r="DE231" s="212"/>
      <c r="DF231" s="212"/>
      <c r="DG231" s="212"/>
      <c r="DH231" s="212"/>
      <c r="DI231" s="212"/>
      <c r="DJ231" s="212"/>
      <c r="DK231" s="212"/>
      <c r="DL231" s="212"/>
      <c r="DM231" s="212"/>
      <c r="DN231" s="212"/>
      <c r="DO231" s="212"/>
      <c r="DP231" s="212"/>
      <c r="DQ231" s="212"/>
      <c r="DR231" s="212"/>
      <c r="DS231" s="212"/>
      <c r="DT231" s="212"/>
      <c r="DU231" s="212"/>
      <c r="DV231" s="212"/>
      <c r="DW231" s="212"/>
      <c r="DX231" s="212"/>
      <c r="DY231" s="212"/>
      <c r="DZ231" s="212"/>
      <c r="EA231" s="212"/>
      <c r="EB231" s="212"/>
      <c r="EC231" s="212"/>
      <c r="ED231" s="212"/>
      <c r="EE231" s="212"/>
      <c r="EF231" s="212"/>
      <c r="EG231" s="212"/>
      <c r="EH231" s="212"/>
      <c r="EI231" s="212"/>
      <c r="EJ231" s="212"/>
      <c r="EK231" s="212"/>
      <c r="EL231" s="212"/>
      <c r="EM231" s="212"/>
      <c r="EN231" s="212"/>
      <c r="EO231" s="212"/>
      <c r="EP231" s="212"/>
      <c r="EQ231" s="212"/>
      <c r="ER231" s="212"/>
      <c r="ES231" s="212"/>
      <c r="ET231" s="212"/>
      <c r="EU231" s="212"/>
      <c r="EV231" s="212"/>
      <c r="EW231" s="212"/>
      <c r="EX231" s="212"/>
      <c r="EY231" s="212"/>
      <c r="EZ231" s="212"/>
      <c r="FA231" s="212"/>
      <c r="FB231" s="212"/>
      <c r="FC231" s="212"/>
      <c r="FD231" s="212"/>
      <c r="FE231" s="212"/>
      <c r="FF231" s="212"/>
      <c r="FG231" s="212"/>
      <c r="FH231" s="212"/>
      <c r="FI231" s="212"/>
      <c r="FJ231" s="212"/>
      <c r="FK231" s="212"/>
      <c r="FL231" s="212"/>
      <c r="FM231" s="212"/>
      <c r="FN231" s="212"/>
      <c r="FO231" s="212"/>
      <c r="FP231" s="212"/>
      <c r="FQ231" s="212"/>
      <c r="FR231" s="212"/>
      <c r="FS231" s="212"/>
      <c r="FT231" s="212"/>
      <c r="FU231" s="212"/>
      <c r="FV231" s="212"/>
      <c r="FW231" s="212"/>
      <c r="FX231" s="212"/>
      <c r="FY231" s="212"/>
      <c r="FZ231" s="212"/>
      <c r="GA231" s="212"/>
      <c r="GB231" s="212"/>
      <c r="GC231" s="212"/>
      <c r="GD231" s="212"/>
      <c r="GE231" s="212"/>
      <c r="GF231" s="212"/>
      <c r="GG231" s="212"/>
      <c r="GH231" s="212"/>
      <c r="GI231" s="212"/>
      <c r="GJ231" s="212"/>
      <c r="GK231" s="212"/>
      <c r="GL231" s="212"/>
      <c r="GM231" s="212"/>
      <c r="GN231" s="212"/>
      <c r="GO231" s="212"/>
      <c r="GP231" s="212"/>
      <c r="GQ231" s="212"/>
      <c r="GR231" s="212"/>
      <c r="GS231" s="212"/>
      <c r="GT231" s="212"/>
      <c r="GU231" s="212"/>
      <c r="GV231" s="212"/>
      <c r="GW231" s="212"/>
      <c r="GX231" s="212"/>
      <c r="GY231" s="212"/>
      <c r="GZ231" s="212"/>
      <c r="HA231" s="212"/>
      <c r="HB231" s="212"/>
      <c r="HC231" s="212"/>
      <c r="HD231" s="212"/>
      <c r="HE231" s="212"/>
      <c r="HF231" s="212"/>
      <c r="HG231" s="212"/>
      <c r="HH231" s="212"/>
      <c r="HI231" s="212"/>
      <c r="HJ231" s="212"/>
      <c r="HK231" s="212"/>
      <c r="HL231" s="212"/>
      <c r="HM231" s="212"/>
      <c r="HN231" s="212"/>
      <c r="HO231" s="212"/>
      <c r="HP231" s="212"/>
      <c r="HQ231" s="212"/>
      <c r="HR231" s="212"/>
      <c r="HS231" s="212"/>
      <c r="HT231" s="212"/>
      <c r="HU231" s="212"/>
      <c r="HV231" s="212"/>
      <c r="HW231" s="212"/>
      <c r="HX231" s="212"/>
      <c r="HY231" s="212"/>
      <c r="HZ231" s="212"/>
      <c r="IA231" s="212"/>
      <c r="IB231" s="212"/>
      <c r="IC231" s="212"/>
      <c r="ID231" s="212"/>
      <c r="IE231" s="212"/>
      <c r="IF231" s="212"/>
      <c r="IG231" s="212"/>
      <c r="IH231" s="212"/>
      <c r="II231" s="212"/>
      <c r="IJ231" s="212"/>
      <c r="IK231" s="212"/>
      <c r="IL231" s="212"/>
      <c r="IM231" s="212"/>
      <c r="IN231" s="212"/>
      <c r="IO231" s="212"/>
      <c r="IP231" s="212"/>
      <c r="IQ231" s="212"/>
      <c r="IR231" s="212"/>
    </row>
    <row r="232" spans="13:252" ht="18" hidden="1" customHeight="1" thickTop="1" thickBot="1">
      <c r="M232" s="212"/>
      <c r="N232" s="212"/>
      <c r="O232" s="212"/>
      <c r="P232" s="212"/>
      <c r="Q232" s="212"/>
      <c r="R232" s="212"/>
      <c r="S232" s="212"/>
      <c r="T232" s="212"/>
      <c r="U232" s="212"/>
      <c r="V232" s="212"/>
      <c r="W232" s="212"/>
      <c r="X232" s="212"/>
      <c r="Y232" s="212"/>
      <c r="Z232" s="212"/>
      <c r="AA232" s="212"/>
      <c r="AB232" s="212"/>
      <c r="AC232" s="212"/>
      <c r="AD232" s="212"/>
      <c r="AE232" s="212"/>
      <c r="AF232" s="212"/>
      <c r="AG232" s="212"/>
      <c r="AH232" s="212"/>
      <c r="AI232" s="212"/>
      <c r="AJ232" s="212"/>
      <c r="AK232" s="212"/>
      <c r="AL232" s="212"/>
      <c r="AM232" s="212"/>
      <c r="AN232" s="212"/>
      <c r="AO232" s="212"/>
      <c r="AP232" s="212"/>
      <c r="AQ232" s="212"/>
      <c r="AR232" s="212"/>
      <c r="AS232" s="212"/>
      <c r="AT232" s="212"/>
      <c r="AU232" s="212"/>
      <c r="AV232" s="212"/>
      <c r="AW232" s="212"/>
      <c r="AX232" s="212"/>
      <c r="AY232" s="212"/>
      <c r="AZ232" s="212"/>
      <c r="BA232" s="212"/>
      <c r="BB232" s="212"/>
      <c r="BC232" s="212"/>
      <c r="BD232" s="212"/>
      <c r="BE232" s="212"/>
      <c r="BF232" s="212"/>
      <c r="BG232" s="212"/>
      <c r="BH232" s="212"/>
      <c r="BI232" s="212"/>
      <c r="BJ232" s="212"/>
      <c r="BK232" s="212"/>
      <c r="BL232" s="212"/>
      <c r="BM232" s="212"/>
      <c r="BN232" s="212"/>
      <c r="BO232" s="212"/>
      <c r="BP232" s="212"/>
      <c r="BQ232" s="212"/>
      <c r="BR232" s="212"/>
      <c r="BS232" s="212"/>
      <c r="BT232" s="212"/>
      <c r="BU232" s="212"/>
      <c r="BV232" s="212"/>
      <c r="BW232" s="212"/>
      <c r="BX232" s="212"/>
      <c r="BY232" s="212"/>
      <c r="BZ232" s="212"/>
      <c r="CA232" s="212"/>
      <c r="CB232" s="212"/>
      <c r="CC232" s="212"/>
      <c r="CD232" s="212"/>
      <c r="CE232" s="212"/>
      <c r="CF232" s="212"/>
      <c r="CG232" s="212"/>
      <c r="CH232" s="212"/>
      <c r="CI232" s="212"/>
      <c r="CJ232" s="212"/>
      <c r="CK232" s="212"/>
      <c r="CL232" s="212"/>
      <c r="CM232" s="212"/>
      <c r="CN232" s="212"/>
      <c r="CO232" s="212"/>
      <c r="CP232" s="212"/>
      <c r="CQ232" s="212"/>
      <c r="CR232" s="212"/>
      <c r="CS232" s="212"/>
      <c r="CT232" s="212"/>
      <c r="CU232" s="212"/>
      <c r="CV232" s="212"/>
      <c r="CW232" s="212"/>
      <c r="CX232" s="212"/>
      <c r="CY232" s="212"/>
      <c r="CZ232" s="212"/>
      <c r="DA232" s="212"/>
      <c r="DB232" s="212"/>
      <c r="DC232" s="212"/>
      <c r="DD232" s="212"/>
      <c r="DE232" s="212"/>
      <c r="DF232" s="212"/>
      <c r="DG232" s="212"/>
      <c r="DH232" s="212"/>
      <c r="DI232" s="212"/>
      <c r="DJ232" s="212"/>
      <c r="DK232" s="212"/>
      <c r="DL232" s="212"/>
      <c r="DM232" s="212"/>
      <c r="DN232" s="212"/>
      <c r="DO232" s="212"/>
      <c r="DP232" s="212"/>
      <c r="DQ232" s="212"/>
      <c r="DR232" s="212"/>
      <c r="DS232" s="212"/>
      <c r="DT232" s="212"/>
      <c r="DU232" s="212"/>
      <c r="DV232" s="212"/>
      <c r="DW232" s="212"/>
      <c r="DX232" s="212"/>
      <c r="DY232" s="212"/>
      <c r="DZ232" s="212"/>
      <c r="EA232" s="212"/>
      <c r="EB232" s="212"/>
      <c r="EC232" s="212"/>
      <c r="ED232" s="212"/>
      <c r="EE232" s="212"/>
      <c r="EF232" s="212"/>
      <c r="EG232" s="212"/>
      <c r="EH232" s="212"/>
      <c r="EI232" s="212"/>
      <c r="EJ232" s="212"/>
      <c r="EK232" s="212"/>
      <c r="EL232" s="212"/>
      <c r="EM232" s="212"/>
      <c r="EN232" s="212"/>
      <c r="EO232" s="212"/>
      <c r="EP232" s="212"/>
      <c r="EQ232" s="212"/>
      <c r="ER232" s="212"/>
      <c r="ES232" s="212"/>
      <c r="ET232" s="212"/>
      <c r="EU232" s="212"/>
      <c r="EV232" s="212"/>
      <c r="EW232" s="212"/>
      <c r="EX232" s="212"/>
      <c r="EY232" s="212"/>
      <c r="EZ232" s="212"/>
      <c r="FA232" s="212"/>
      <c r="FB232" s="212"/>
      <c r="FC232" s="212"/>
      <c r="FD232" s="212"/>
      <c r="FE232" s="212"/>
      <c r="FF232" s="212"/>
      <c r="FG232" s="212"/>
      <c r="FH232" s="212"/>
      <c r="FI232" s="212"/>
      <c r="FJ232" s="212"/>
      <c r="FK232" s="212"/>
      <c r="FL232" s="212"/>
      <c r="FM232" s="212"/>
      <c r="FN232" s="212"/>
      <c r="FO232" s="212"/>
      <c r="FP232" s="212"/>
      <c r="FQ232" s="212"/>
      <c r="FR232" s="212"/>
      <c r="FS232" s="212"/>
      <c r="FT232" s="212"/>
      <c r="FU232" s="212"/>
      <c r="FV232" s="212"/>
      <c r="FW232" s="212"/>
      <c r="FX232" s="212"/>
      <c r="FY232" s="212"/>
      <c r="FZ232" s="212"/>
      <c r="GA232" s="212"/>
      <c r="GB232" s="212"/>
      <c r="GC232" s="212"/>
      <c r="GD232" s="212"/>
      <c r="GE232" s="212"/>
      <c r="GF232" s="212"/>
      <c r="GG232" s="212"/>
      <c r="GH232" s="212"/>
      <c r="GI232" s="212"/>
      <c r="GJ232" s="212"/>
      <c r="GK232" s="212"/>
      <c r="GL232" s="212"/>
      <c r="GM232" s="212"/>
      <c r="GN232" s="212"/>
      <c r="GO232" s="212"/>
      <c r="GP232" s="212"/>
      <c r="GQ232" s="212"/>
      <c r="GR232" s="212"/>
      <c r="GS232" s="212"/>
      <c r="GT232" s="212"/>
      <c r="GU232" s="212"/>
      <c r="GV232" s="212"/>
      <c r="GW232" s="212"/>
      <c r="GX232" s="212"/>
      <c r="GY232" s="212"/>
      <c r="GZ232" s="212"/>
      <c r="HA232" s="212"/>
      <c r="HB232" s="212"/>
      <c r="HC232" s="212"/>
      <c r="HD232" s="212"/>
      <c r="HE232" s="212"/>
      <c r="HF232" s="212"/>
      <c r="HG232" s="212"/>
      <c r="HH232" s="212"/>
      <c r="HI232" s="212"/>
      <c r="HJ232" s="212"/>
      <c r="HK232" s="212"/>
      <c r="HL232" s="212"/>
      <c r="HM232" s="212"/>
      <c r="HN232" s="212"/>
      <c r="HO232" s="212"/>
      <c r="HP232" s="212"/>
      <c r="HQ232" s="212"/>
      <c r="HR232" s="212"/>
      <c r="HS232" s="212"/>
      <c r="HT232" s="212"/>
      <c r="HU232" s="212"/>
      <c r="HV232" s="212"/>
      <c r="HW232" s="212"/>
      <c r="HX232" s="212"/>
      <c r="HY232" s="212"/>
      <c r="HZ232" s="212"/>
      <c r="IA232" s="212"/>
      <c r="IB232" s="212"/>
      <c r="IC232" s="212"/>
      <c r="ID232" s="212"/>
      <c r="IE232" s="212"/>
      <c r="IF232" s="212"/>
      <c r="IG232" s="212"/>
      <c r="IH232" s="212"/>
      <c r="II232" s="212"/>
      <c r="IJ232" s="212"/>
      <c r="IK232" s="212"/>
      <c r="IL232" s="212"/>
      <c r="IM232" s="212"/>
      <c r="IN232" s="212"/>
      <c r="IO232" s="212"/>
      <c r="IP232" s="212"/>
      <c r="IQ232" s="212"/>
      <c r="IR232" s="212"/>
    </row>
    <row r="233" spans="13:252" ht="18" hidden="1" customHeight="1" thickTop="1" thickBot="1">
      <c r="M233" s="212"/>
      <c r="N233" s="212"/>
      <c r="O233" s="212"/>
      <c r="P233" s="212"/>
      <c r="Q233" s="212"/>
      <c r="R233" s="212"/>
      <c r="S233" s="212"/>
      <c r="T233" s="212"/>
      <c r="U233" s="212"/>
      <c r="V233" s="212"/>
      <c r="W233" s="212"/>
      <c r="X233" s="212"/>
      <c r="Y233" s="212"/>
      <c r="Z233" s="212"/>
      <c r="AA233" s="212"/>
      <c r="AB233" s="212"/>
      <c r="AC233" s="212"/>
      <c r="AD233" s="212"/>
      <c r="AE233" s="212"/>
      <c r="AF233" s="212"/>
      <c r="AG233" s="212"/>
      <c r="AH233" s="212"/>
      <c r="AI233" s="212"/>
      <c r="AJ233" s="212"/>
      <c r="AK233" s="212"/>
      <c r="AL233" s="212"/>
      <c r="AM233" s="212"/>
      <c r="AN233" s="212"/>
      <c r="AO233" s="212"/>
      <c r="AP233" s="212"/>
      <c r="AQ233" s="212"/>
      <c r="AR233" s="212"/>
      <c r="AS233" s="212"/>
      <c r="AT233" s="212"/>
      <c r="AU233" s="212"/>
      <c r="AV233" s="212"/>
      <c r="AW233" s="212"/>
      <c r="AX233" s="212"/>
      <c r="AY233" s="212"/>
      <c r="AZ233" s="212"/>
      <c r="BA233" s="212"/>
      <c r="BB233" s="212"/>
      <c r="BC233" s="212"/>
      <c r="BD233" s="212"/>
      <c r="BE233" s="212"/>
      <c r="BF233" s="212"/>
      <c r="BG233" s="212"/>
      <c r="BH233" s="212"/>
      <c r="BI233" s="212"/>
      <c r="BJ233" s="212"/>
      <c r="BK233" s="212"/>
      <c r="BL233" s="212"/>
      <c r="BM233" s="212"/>
      <c r="BN233" s="212"/>
      <c r="BO233" s="212"/>
      <c r="BP233" s="212"/>
      <c r="BQ233" s="212"/>
      <c r="BR233" s="212"/>
      <c r="BS233" s="212"/>
      <c r="BT233" s="212"/>
      <c r="BU233" s="212"/>
      <c r="BV233" s="212"/>
      <c r="BW233" s="212"/>
      <c r="BX233" s="212"/>
      <c r="BY233" s="212"/>
      <c r="BZ233" s="212"/>
      <c r="CA233" s="212"/>
      <c r="CB233" s="212"/>
      <c r="CC233" s="212"/>
      <c r="CD233" s="212"/>
      <c r="CE233" s="212"/>
      <c r="CF233" s="212"/>
      <c r="CG233" s="212"/>
      <c r="CH233" s="212"/>
      <c r="CI233" s="212"/>
      <c r="CJ233" s="212"/>
      <c r="CK233" s="212"/>
      <c r="CL233" s="212"/>
      <c r="CM233" s="212"/>
      <c r="CN233" s="212"/>
      <c r="CO233" s="212"/>
      <c r="CP233" s="212"/>
      <c r="CQ233" s="212"/>
      <c r="CR233" s="212"/>
      <c r="CS233" s="212"/>
      <c r="CT233" s="212"/>
      <c r="CU233" s="212"/>
      <c r="CV233" s="212"/>
      <c r="CW233" s="212"/>
      <c r="CX233" s="212"/>
      <c r="CY233" s="212"/>
      <c r="CZ233" s="212"/>
      <c r="DA233" s="212"/>
      <c r="DB233" s="212"/>
      <c r="DC233" s="212"/>
      <c r="DD233" s="212"/>
      <c r="DE233" s="212"/>
      <c r="DF233" s="212"/>
      <c r="DG233" s="212"/>
      <c r="DH233" s="212"/>
      <c r="DI233" s="212"/>
      <c r="DJ233" s="212"/>
      <c r="DK233" s="212"/>
      <c r="DL233" s="212"/>
      <c r="DM233" s="212"/>
      <c r="DN233" s="212"/>
      <c r="DO233" s="212"/>
      <c r="DP233" s="212"/>
      <c r="DQ233" s="212"/>
      <c r="DR233" s="212"/>
      <c r="DS233" s="212"/>
      <c r="DT233" s="212"/>
      <c r="DU233" s="212"/>
      <c r="DV233" s="212"/>
      <c r="DW233" s="212"/>
      <c r="DX233" s="212"/>
      <c r="DY233" s="212"/>
      <c r="DZ233" s="212"/>
      <c r="EA233" s="212"/>
      <c r="EB233" s="212"/>
      <c r="EC233" s="212"/>
      <c r="ED233" s="212"/>
      <c r="EE233" s="212"/>
      <c r="EF233" s="212"/>
      <c r="EG233" s="212"/>
      <c r="EH233" s="212"/>
      <c r="EI233" s="212"/>
      <c r="EJ233" s="212"/>
      <c r="EK233" s="212"/>
      <c r="EL233" s="212"/>
      <c r="EM233" s="212"/>
      <c r="EN233" s="212"/>
      <c r="EO233" s="212"/>
      <c r="EP233" s="212"/>
      <c r="EQ233" s="212"/>
      <c r="ER233" s="212"/>
      <c r="ES233" s="212"/>
      <c r="ET233" s="212"/>
      <c r="EU233" s="212"/>
      <c r="EV233" s="212"/>
      <c r="EW233" s="212"/>
      <c r="EX233" s="212"/>
      <c r="EY233" s="212"/>
      <c r="EZ233" s="212"/>
      <c r="FA233" s="212"/>
      <c r="FB233" s="212"/>
      <c r="FC233" s="212"/>
      <c r="FD233" s="212"/>
      <c r="FE233" s="212"/>
      <c r="FF233" s="212"/>
      <c r="FG233" s="212"/>
      <c r="FH233" s="212"/>
      <c r="FI233" s="212"/>
      <c r="FJ233" s="212"/>
      <c r="FK233" s="212"/>
      <c r="FL233" s="212"/>
      <c r="FM233" s="212"/>
      <c r="FN233" s="212"/>
      <c r="FO233" s="212"/>
      <c r="FP233" s="212"/>
      <c r="FQ233" s="212"/>
      <c r="FR233" s="212"/>
      <c r="FS233" s="212"/>
      <c r="FT233" s="212"/>
      <c r="FU233" s="212"/>
      <c r="FV233" s="212"/>
      <c r="FW233" s="212"/>
      <c r="FX233" s="212"/>
      <c r="FY233" s="212"/>
      <c r="FZ233" s="212"/>
      <c r="GA233" s="212"/>
      <c r="GB233" s="212"/>
      <c r="GC233" s="212"/>
      <c r="GD233" s="212"/>
      <c r="GE233" s="212"/>
      <c r="GF233" s="212"/>
      <c r="GG233" s="212"/>
      <c r="GH233" s="212"/>
      <c r="GI233" s="212"/>
      <c r="GJ233" s="212"/>
      <c r="GK233" s="212"/>
      <c r="GL233" s="212"/>
      <c r="GM233" s="212"/>
      <c r="GN233" s="212"/>
      <c r="GO233" s="212"/>
      <c r="GP233" s="212"/>
      <c r="GQ233" s="212"/>
      <c r="GR233" s="212"/>
      <c r="GS233" s="212"/>
      <c r="GT233" s="212"/>
      <c r="GU233" s="212"/>
      <c r="GV233" s="212"/>
      <c r="GW233" s="212"/>
      <c r="GX233" s="212"/>
      <c r="GY233" s="212"/>
      <c r="GZ233" s="212"/>
      <c r="HA233" s="212"/>
      <c r="HB233" s="212"/>
      <c r="HC233" s="212"/>
      <c r="HD233" s="212"/>
      <c r="HE233" s="212"/>
      <c r="HF233" s="212"/>
      <c r="HG233" s="212"/>
      <c r="HH233" s="212"/>
      <c r="HI233" s="212"/>
      <c r="HJ233" s="212"/>
      <c r="HK233" s="212"/>
      <c r="HL233" s="212"/>
      <c r="HM233" s="212"/>
      <c r="HN233" s="212"/>
      <c r="HO233" s="212"/>
      <c r="HP233" s="212"/>
      <c r="HQ233" s="212"/>
      <c r="HR233" s="212"/>
      <c r="HS233" s="212"/>
      <c r="HT233" s="212"/>
      <c r="HU233" s="212"/>
      <c r="HV233" s="212"/>
      <c r="HW233" s="212"/>
      <c r="HX233" s="212"/>
      <c r="HY233" s="212"/>
      <c r="HZ233" s="212"/>
      <c r="IA233" s="212"/>
      <c r="IB233" s="212"/>
      <c r="IC233" s="212"/>
      <c r="ID233" s="212"/>
      <c r="IE233" s="212"/>
      <c r="IF233" s="212"/>
      <c r="IG233" s="212"/>
      <c r="IH233" s="212"/>
      <c r="II233" s="212"/>
      <c r="IJ233" s="212"/>
      <c r="IK233" s="212"/>
      <c r="IL233" s="212"/>
      <c r="IM233" s="212"/>
      <c r="IN233" s="212"/>
      <c r="IO233" s="212"/>
      <c r="IP233" s="212"/>
      <c r="IQ233" s="212"/>
      <c r="IR233" s="212"/>
    </row>
    <row r="234" spans="13:252" ht="15.75" hidden="1" customHeight="1" thickTop="1" thickBot="1">
      <c r="M234" s="212"/>
      <c r="N234" s="212"/>
      <c r="O234" s="212"/>
      <c r="P234" s="212"/>
      <c r="Q234" s="212"/>
      <c r="R234" s="212"/>
      <c r="S234" s="212"/>
      <c r="T234" s="212"/>
      <c r="U234" s="212"/>
      <c r="V234" s="212"/>
      <c r="W234" s="212"/>
      <c r="X234" s="212"/>
      <c r="Y234" s="212"/>
      <c r="Z234" s="212"/>
      <c r="AA234" s="212"/>
      <c r="AB234" s="212"/>
      <c r="AC234" s="212"/>
      <c r="AD234" s="212"/>
      <c r="AE234" s="212"/>
      <c r="AF234" s="212"/>
      <c r="AG234" s="212"/>
      <c r="AH234" s="212"/>
      <c r="AI234" s="212"/>
      <c r="AJ234" s="212"/>
      <c r="AK234" s="212"/>
      <c r="AL234" s="212"/>
      <c r="AM234" s="212"/>
      <c r="AN234" s="212"/>
      <c r="AO234" s="212"/>
      <c r="AP234" s="212"/>
      <c r="AQ234" s="212"/>
      <c r="AR234" s="212"/>
      <c r="AS234" s="212"/>
      <c r="AT234" s="212"/>
      <c r="AU234" s="212"/>
      <c r="AV234" s="212"/>
      <c r="AW234" s="212"/>
      <c r="AX234" s="212"/>
      <c r="AY234" s="212"/>
      <c r="AZ234" s="212"/>
      <c r="BA234" s="212"/>
      <c r="BB234" s="212"/>
      <c r="BC234" s="212"/>
      <c r="BD234" s="212"/>
      <c r="BE234" s="212"/>
      <c r="BF234" s="212"/>
      <c r="BG234" s="212"/>
      <c r="BH234" s="212"/>
      <c r="BI234" s="212"/>
      <c r="BJ234" s="212"/>
      <c r="BK234" s="212"/>
      <c r="BL234" s="212"/>
      <c r="BM234" s="212"/>
      <c r="BN234" s="212"/>
      <c r="BO234" s="212"/>
      <c r="BP234" s="212"/>
      <c r="BQ234" s="212"/>
      <c r="BR234" s="212"/>
      <c r="BS234" s="212"/>
      <c r="BT234" s="212"/>
      <c r="BU234" s="212"/>
      <c r="BV234" s="212"/>
      <c r="BW234" s="212"/>
      <c r="BX234" s="212"/>
      <c r="BY234" s="212"/>
      <c r="BZ234" s="212"/>
      <c r="CA234" s="212"/>
      <c r="CB234" s="212"/>
      <c r="CC234" s="212"/>
      <c r="CD234" s="212"/>
      <c r="CE234" s="212"/>
      <c r="CF234" s="212"/>
      <c r="CG234" s="212"/>
      <c r="CH234" s="212"/>
      <c r="CI234" s="212"/>
      <c r="CJ234" s="212"/>
      <c r="CK234" s="212"/>
      <c r="CL234" s="212"/>
      <c r="CM234" s="212"/>
      <c r="CN234" s="212"/>
      <c r="CO234" s="212"/>
      <c r="CP234" s="212"/>
      <c r="CQ234" s="212"/>
      <c r="CR234" s="212"/>
      <c r="CS234" s="212"/>
      <c r="CT234" s="212"/>
      <c r="CU234" s="212"/>
      <c r="CV234" s="212"/>
      <c r="CW234" s="212"/>
      <c r="CX234" s="212"/>
      <c r="CY234" s="212"/>
      <c r="CZ234" s="212"/>
      <c r="DA234" s="212"/>
      <c r="DB234" s="212"/>
      <c r="DC234" s="212"/>
      <c r="DD234" s="212"/>
      <c r="DE234" s="212"/>
      <c r="DF234" s="212"/>
      <c r="DG234" s="212"/>
      <c r="DH234" s="212"/>
      <c r="DI234" s="212"/>
      <c r="DJ234" s="212"/>
      <c r="DK234" s="212"/>
      <c r="DL234" s="212"/>
      <c r="DM234" s="212"/>
      <c r="DN234" s="212"/>
      <c r="DO234" s="212"/>
      <c r="DP234" s="212"/>
      <c r="DQ234" s="212"/>
      <c r="DR234" s="212"/>
      <c r="DS234" s="212"/>
      <c r="DT234" s="212"/>
      <c r="DU234" s="212"/>
      <c r="DV234" s="212"/>
      <c r="DW234" s="212"/>
      <c r="DX234" s="212"/>
      <c r="DY234" s="212"/>
      <c r="DZ234" s="212"/>
      <c r="EA234" s="212"/>
      <c r="EB234" s="212"/>
      <c r="EC234" s="212"/>
      <c r="ED234" s="212"/>
      <c r="EE234" s="212"/>
      <c r="EF234" s="212"/>
      <c r="EG234" s="212"/>
      <c r="EH234" s="212"/>
      <c r="EI234" s="212"/>
      <c r="EJ234" s="212"/>
      <c r="EK234" s="212"/>
      <c r="EL234" s="212"/>
      <c r="EM234" s="212"/>
      <c r="EN234" s="212"/>
      <c r="EO234" s="212"/>
      <c r="EP234" s="212"/>
      <c r="EQ234" s="212"/>
      <c r="ER234" s="212"/>
      <c r="ES234" s="212"/>
      <c r="ET234" s="212"/>
      <c r="EU234" s="212"/>
      <c r="EV234" s="212"/>
      <c r="EW234" s="212"/>
      <c r="EX234" s="212"/>
      <c r="EY234" s="212"/>
      <c r="EZ234" s="212"/>
      <c r="FA234" s="212"/>
      <c r="FB234" s="212"/>
      <c r="FC234" s="212"/>
      <c r="FD234" s="212"/>
      <c r="FE234" s="212"/>
      <c r="FF234" s="212"/>
      <c r="FG234" s="212"/>
      <c r="FH234" s="212"/>
      <c r="FI234" s="212"/>
      <c r="FJ234" s="212"/>
      <c r="FK234" s="212"/>
      <c r="FL234" s="212"/>
      <c r="FM234" s="212"/>
      <c r="FN234" s="212"/>
      <c r="FO234" s="212"/>
      <c r="FP234" s="212"/>
      <c r="FQ234" s="212"/>
      <c r="FR234" s="212"/>
      <c r="FS234" s="212"/>
      <c r="FT234" s="212"/>
      <c r="FU234" s="212"/>
      <c r="FV234" s="212"/>
      <c r="FW234" s="212"/>
      <c r="FX234" s="212"/>
      <c r="FY234" s="212"/>
      <c r="FZ234" s="212"/>
      <c r="GA234" s="212"/>
      <c r="GB234" s="212"/>
      <c r="GC234" s="212"/>
      <c r="GD234" s="212"/>
      <c r="GE234" s="212"/>
      <c r="GF234" s="212"/>
      <c r="GG234" s="212"/>
      <c r="GH234" s="212"/>
      <c r="GI234" s="212"/>
      <c r="GJ234" s="212"/>
      <c r="GK234" s="212"/>
      <c r="GL234" s="212"/>
      <c r="GM234" s="212"/>
      <c r="GN234" s="212"/>
      <c r="GO234" s="212"/>
      <c r="GP234" s="212"/>
      <c r="GQ234" s="212"/>
      <c r="GR234" s="212"/>
      <c r="GS234" s="212"/>
      <c r="GT234" s="212"/>
      <c r="GU234" s="212"/>
      <c r="GV234" s="212"/>
      <c r="GW234" s="212"/>
      <c r="GX234" s="212"/>
      <c r="GY234" s="212"/>
      <c r="GZ234" s="212"/>
      <c r="HA234" s="212"/>
      <c r="HB234" s="212"/>
      <c r="HC234" s="212"/>
      <c r="HD234" s="212"/>
      <c r="HE234" s="212"/>
      <c r="HF234" s="212"/>
      <c r="HG234" s="212"/>
      <c r="HH234" s="212"/>
      <c r="HI234" s="212"/>
      <c r="HJ234" s="212"/>
      <c r="HK234" s="212"/>
      <c r="HL234" s="212"/>
      <c r="HM234" s="212"/>
      <c r="HN234" s="212"/>
      <c r="HO234" s="212"/>
      <c r="HP234" s="212"/>
      <c r="HQ234" s="212"/>
      <c r="HR234" s="212"/>
      <c r="HS234" s="212"/>
      <c r="HT234" s="212"/>
      <c r="HU234" s="212"/>
      <c r="HV234" s="212"/>
      <c r="HW234" s="212"/>
      <c r="HX234" s="212"/>
      <c r="HY234" s="212"/>
      <c r="HZ234" s="212"/>
      <c r="IA234" s="212"/>
      <c r="IB234" s="212"/>
      <c r="IC234" s="212"/>
      <c r="ID234" s="212"/>
      <c r="IE234" s="212"/>
      <c r="IF234" s="212"/>
      <c r="IG234" s="212"/>
      <c r="IH234" s="212"/>
      <c r="II234" s="212"/>
      <c r="IJ234" s="212"/>
      <c r="IK234" s="212"/>
      <c r="IL234" s="212"/>
      <c r="IM234" s="212"/>
      <c r="IN234" s="212"/>
      <c r="IO234" s="212"/>
      <c r="IP234" s="212"/>
      <c r="IQ234" s="212"/>
      <c r="IR234" s="212"/>
    </row>
    <row r="235" spans="13:252" ht="18" hidden="1" customHeight="1" thickTop="1" thickBot="1">
      <c r="M235" s="212"/>
      <c r="N235" s="212"/>
      <c r="O235" s="212"/>
      <c r="P235" s="212"/>
      <c r="Q235" s="212"/>
      <c r="R235" s="212"/>
      <c r="S235" s="212"/>
      <c r="T235" s="212"/>
      <c r="U235" s="212"/>
      <c r="V235" s="212"/>
      <c r="W235" s="212"/>
      <c r="X235" s="212"/>
      <c r="Y235" s="212"/>
      <c r="Z235" s="212"/>
      <c r="AA235" s="212"/>
      <c r="AB235" s="212"/>
      <c r="AC235" s="212"/>
      <c r="AD235" s="212"/>
      <c r="AE235" s="212"/>
      <c r="AF235" s="212"/>
      <c r="AG235" s="212"/>
      <c r="AH235" s="212"/>
      <c r="AI235" s="212"/>
      <c r="AJ235" s="212"/>
      <c r="AK235" s="212"/>
      <c r="AL235" s="212"/>
      <c r="AM235" s="212"/>
      <c r="AN235" s="212"/>
      <c r="AO235" s="212"/>
      <c r="AP235" s="212"/>
      <c r="AQ235" s="212"/>
      <c r="AR235" s="212"/>
      <c r="AS235" s="212"/>
      <c r="AT235" s="212"/>
      <c r="AU235" s="212"/>
      <c r="AV235" s="212"/>
      <c r="AW235" s="212"/>
      <c r="AX235" s="212"/>
      <c r="AY235" s="212"/>
      <c r="AZ235" s="212"/>
      <c r="BA235" s="212"/>
      <c r="BB235" s="212"/>
      <c r="BC235" s="212"/>
      <c r="BD235" s="212"/>
      <c r="BE235" s="212"/>
      <c r="BF235" s="212"/>
      <c r="BG235" s="212"/>
      <c r="BH235" s="212"/>
      <c r="BI235" s="212"/>
      <c r="BJ235" s="212"/>
      <c r="BK235" s="212"/>
      <c r="BL235" s="212"/>
      <c r="BM235" s="212"/>
      <c r="BN235" s="212"/>
      <c r="BO235" s="212"/>
      <c r="BP235" s="212"/>
      <c r="BQ235" s="212"/>
      <c r="BR235" s="212"/>
      <c r="BS235" s="212"/>
      <c r="BT235" s="212"/>
      <c r="BU235" s="212"/>
      <c r="BV235" s="212"/>
      <c r="BW235" s="212"/>
      <c r="BX235" s="212"/>
      <c r="BY235" s="212"/>
      <c r="BZ235" s="212"/>
      <c r="CA235" s="212"/>
      <c r="CB235" s="212"/>
      <c r="CC235" s="212"/>
      <c r="CD235" s="212"/>
      <c r="CE235" s="212"/>
      <c r="CF235" s="212"/>
      <c r="CG235" s="212"/>
      <c r="CH235" s="212"/>
      <c r="CI235" s="212"/>
      <c r="CJ235" s="212"/>
      <c r="CK235" s="212"/>
      <c r="CL235" s="212"/>
      <c r="CM235" s="212"/>
      <c r="CN235" s="212"/>
      <c r="CO235" s="212"/>
      <c r="CP235" s="212"/>
      <c r="CQ235" s="212"/>
      <c r="CR235" s="212"/>
      <c r="CS235" s="212"/>
      <c r="CT235" s="212"/>
      <c r="CU235" s="212"/>
      <c r="CV235" s="212"/>
      <c r="CW235" s="212"/>
      <c r="CX235" s="212"/>
      <c r="CY235" s="212"/>
      <c r="CZ235" s="212"/>
      <c r="DA235" s="212"/>
      <c r="DB235" s="212"/>
      <c r="DC235" s="212"/>
      <c r="DD235" s="212"/>
      <c r="DE235" s="212"/>
      <c r="DF235" s="212"/>
      <c r="DG235" s="212"/>
      <c r="DH235" s="212"/>
      <c r="DI235" s="212"/>
      <c r="DJ235" s="212"/>
      <c r="DK235" s="212"/>
      <c r="DL235" s="212"/>
      <c r="DM235" s="212"/>
      <c r="DN235" s="212"/>
      <c r="DO235" s="212"/>
      <c r="DP235" s="212"/>
      <c r="DQ235" s="212"/>
      <c r="DR235" s="212"/>
      <c r="DS235" s="212"/>
      <c r="DT235" s="212"/>
      <c r="DU235" s="212"/>
      <c r="DV235" s="212"/>
      <c r="DW235" s="212"/>
      <c r="DX235" s="212"/>
      <c r="DY235" s="212"/>
      <c r="DZ235" s="212"/>
      <c r="EA235" s="212"/>
      <c r="EB235" s="212"/>
      <c r="EC235" s="212"/>
      <c r="ED235" s="212"/>
      <c r="EE235" s="212"/>
      <c r="EF235" s="212"/>
      <c r="EG235" s="212"/>
      <c r="EH235" s="212"/>
      <c r="EI235" s="212"/>
      <c r="EJ235" s="212"/>
      <c r="EK235" s="212"/>
      <c r="EL235" s="212"/>
      <c r="EM235" s="212"/>
      <c r="EN235" s="212"/>
      <c r="EO235" s="212"/>
      <c r="EP235" s="212"/>
      <c r="EQ235" s="212"/>
      <c r="ER235" s="212"/>
      <c r="ES235" s="212"/>
      <c r="ET235" s="212"/>
      <c r="EU235" s="212"/>
      <c r="EV235" s="212"/>
      <c r="EW235" s="212"/>
      <c r="EX235" s="212"/>
      <c r="EY235" s="212"/>
      <c r="EZ235" s="212"/>
      <c r="FA235" s="212"/>
      <c r="FB235" s="212"/>
      <c r="FC235" s="212"/>
      <c r="FD235" s="212"/>
      <c r="FE235" s="212"/>
      <c r="FF235" s="212"/>
      <c r="FG235" s="212"/>
      <c r="FH235" s="212"/>
      <c r="FI235" s="212"/>
      <c r="FJ235" s="212"/>
      <c r="FK235" s="212"/>
      <c r="FL235" s="212"/>
      <c r="FM235" s="212"/>
      <c r="FN235" s="212"/>
      <c r="FO235" s="212"/>
      <c r="FP235" s="212"/>
      <c r="FQ235" s="212"/>
      <c r="FR235" s="212"/>
      <c r="FS235" s="212"/>
      <c r="FT235" s="212"/>
      <c r="FU235" s="212"/>
      <c r="FV235" s="212"/>
      <c r="FW235" s="212"/>
      <c r="FX235" s="212"/>
      <c r="FY235" s="212"/>
      <c r="FZ235" s="212"/>
      <c r="GA235" s="212"/>
      <c r="GB235" s="212"/>
      <c r="GC235" s="212"/>
      <c r="GD235" s="212"/>
      <c r="GE235" s="212"/>
      <c r="GF235" s="212"/>
      <c r="GG235" s="212"/>
      <c r="GH235" s="212"/>
      <c r="GI235" s="212"/>
      <c r="GJ235" s="212"/>
      <c r="GK235" s="212"/>
      <c r="GL235" s="212"/>
      <c r="GM235" s="212"/>
      <c r="GN235" s="212"/>
      <c r="GO235" s="212"/>
      <c r="GP235" s="212"/>
      <c r="GQ235" s="212"/>
      <c r="GR235" s="212"/>
      <c r="GS235" s="212"/>
      <c r="GT235" s="212"/>
      <c r="GU235" s="212"/>
      <c r="GV235" s="212"/>
      <c r="GW235" s="212"/>
      <c r="GX235" s="212"/>
      <c r="GY235" s="212"/>
      <c r="GZ235" s="212"/>
      <c r="HA235" s="212"/>
      <c r="HB235" s="212"/>
      <c r="HC235" s="212"/>
      <c r="HD235" s="212"/>
      <c r="HE235" s="212"/>
      <c r="HF235" s="212"/>
      <c r="HG235" s="212"/>
      <c r="HH235" s="212"/>
      <c r="HI235" s="212"/>
      <c r="HJ235" s="212"/>
      <c r="HK235" s="212"/>
      <c r="HL235" s="212"/>
      <c r="HM235" s="212"/>
      <c r="HN235" s="212"/>
      <c r="HO235" s="212"/>
      <c r="HP235" s="212"/>
      <c r="HQ235" s="212"/>
      <c r="HR235" s="212"/>
      <c r="HS235" s="212"/>
      <c r="HT235" s="212"/>
      <c r="HU235" s="212"/>
      <c r="HV235" s="212"/>
      <c r="HW235" s="212"/>
      <c r="HX235" s="212"/>
      <c r="HY235" s="212"/>
      <c r="HZ235" s="212"/>
      <c r="IA235" s="212"/>
      <c r="IB235" s="212"/>
      <c r="IC235" s="212"/>
      <c r="ID235" s="212"/>
      <c r="IE235" s="212"/>
      <c r="IF235" s="212"/>
      <c r="IG235" s="212"/>
      <c r="IH235" s="212"/>
      <c r="II235" s="212"/>
      <c r="IJ235" s="212"/>
      <c r="IK235" s="212"/>
      <c r="IL235" s="212"/>
      <c r="IM235" s="212"/>
      <c r="IN235" s="212"/>
      <c r="IO235" s="212"/>
      <c r="IP235" s="212"/>
      <c r="IQ235" s="212"/>
      <c r="IR235" s="212"/>
    </row>
    <row r="236" spans="13:252" ht="13.5" hidden="1" customHeight="1" thickTop="1" thickBot="1">
      <c r="M236" s="212"/>
      <c r="N236" s="212"/>
      <c r="O236" s="212"/>
      <c r="P236" s="212"/>
      <c r="Q236" s="212"/>
      <c r="R236" s="212"/>
      <c r="S236" s="212"/>
      <c r="T236" s="212"/>
      <c r="U236" s="212"/>
      <c r="V236" s="212"/>
      <c r="W236" s="212"/>
      <c r="X236" s="212"/>
      <c r="Y236" s="212"/>
      <c r="Z236" s="212"/>
      <c r="AA236" s="212"/>
      <c r="AB236" s="212"/>
      <c r="AC236" s="212"/>
      <c r="AD236" s="212"/>
      <c r="AE236" s="212"/>
      <c r="AF236" s="212"/>
      <c r="AG236" s="212"/>
      <c r="AH236" s="212"/>
      <c r="AI236" s="212"/>
      <c r="AJ236" s="212"/>
      <c r="AK236" s="212"/>
      <c r="AL236" s="212"/>
      <c r="AM236" s="212"/>
      <c r="AN236" s="212"/>
      <c r="AO236" s="212"/>
      <c r="AP236" s="212"/>
      <c r="AQ236" s="212"/>
      <c r="AR236" s="212"/>
      <c r="AS236" s="212"/>
      <c r="AT236" s="212"/>
      <c r="AU236" s="212"/>
      <c r="AV236" s="212"/>
      <c r="AW236" s="212"/>
      <c r="AX236" s="212"/>
      <c r="AY236" s="212"/>
      <c r="AZ236" s="212"/>
      <c r="BA236" s="212"/>
      <c r="BB236" s="212"/>
      <c r="BC236" s="212"/>
      <c r="BD236" s="212"/>
      <c r="BE236" s="212"/>
      <c r="BF236" s="212"/>
      <c r="BG236" s="212"/>
      <c r="BH236" s="212"/>
      <c r="BI236" s="212"/>
      <c r="BJ236" s="212"/>
      <c r="BK236" s="212"/>
      <c r="BL236" s="212"/>
      <c r="BM236" s="212"/>
      <c r="BN236" s="212"/>
      <c r="BO236" s="212"/>
      <c r="BP236" s="212"/>
      <c r="BQ236" s="212"/>
      <c r="BR236" s="212"/>
      <c r="BS236" s="212"/>
      <c r="BT236" s="212"/>
      <c r="BU236" s="212"/>
      <c r="BV236" s="212"/>
      <c r="BW236" s="212"/>
      <c r="BX236" s="212"/>
      <c r="BY236" s="212"/>
      <c r="BZ236" s="212"/>
      <c r="CA236" s="212"/>
      <c r="CB236" s="212"/>
      <c r="CC236" s="212"/>
      <c r="CD236" s="212"/>
      <c r="CE236" s="212"/>
      <c r="CF236" s="212"/>
      <c r="CG236" s="212"/>
      <c r="CH236" s="212"/>
      <c r="CI236" s="212"/>
      <c r="CJ236" s="212"/>
      <c r="CK236" s="212"/>
      <c r="CL236" s="212"/>
      <c r="CM236" s="212"/>
      <c r="CN236" s="212"/>
      <c r="CO236" s="212"/>
      <c r="CP236" s="212"/>
      <c r="CQ236" s="212"/>
      <c r="CR236" s="212"/>
      <c r="CS236" s="212"/>
      <c r="CT236" s="212"/>
      <c r="CU236" s="212"/>
      <c r="CV236" s="212"/>
      <c r="CW236" s="212"/>
      <c r="CX236" s="212"/>
      <c r="CY236" s="212"/>
      <c r="CZ236" s="212"/>
      <c r="DA236" s="212"/>
      <c r="DB236" s="212"/>
      <c r="DC236" s="212"/>
      <c r="DD236" s="212"/>
      <c r="DE236" s="212"/>
      <c r="DF236" s="212"/>
      <c r="DG236" s="212"/>
      <c r="DH236" s="212"/>
      <c r="DI236" s="212"/>
      <c r="DJ236" s="212"/>
      <c r="DK236" s="212"/>
      <c r="DL236" s="212"/>
      <c r="DM236" s="212"/>
      <c r="DN236" s="212"/>
      <c r="DO236" s="212"/>
      <c r="DP236" s="212"/>
      <c r="DQ236" s="212"/>
      <c r="DR236" s="212"/>
      <c r="DS236" s="212"/>
      <c r="DT236" s="212"/>
      <c r="DU236" s="212"/>
      <c r="DV236" s="212"/>
      <c r="DW236" s="212"/>
      <c r="DX236" s="212"/>
      <c r="DY236" s="212"/>
      <c r="DZ236" s="212"/>
      <c r="EA236" s="212"/>
      <c r="EB236" s="212"/>
      <c r="EC236" s="212"/>
      <c r="ED236" s="212"/>
      <c r="EE236" s="212"/>
      <c r="EF236" s="212"/>
      <c r="EG236" s="212"/>
      <c r="EH236" s="212"/>
      <c r="EI236" s="212"/>
      <c r="EJ236" s="212"/>
      <c r="EK236" s="212"/>
      <c r="EL236" s="212"/>
      <c r="EM236" s="212"/>
      <c r="EN236" s="212"/>
      <c r="EO236" s="212"/>
      <c r="EP236" s="212"/>
      <c r="EQ236" s="212"/>
      <c r="ER236" s="212"/>
      <c r="ES236" s="212"/>
      <c r="ET236" s="212"/>
      <c r="EU236" s="212"/>
      <c r="EV236" s="212"/>
      <c r="EW236" s="212"/>
      <c r="EX236" s="212"/>
      <c r="EY236" s="212"/>
      <c r="EZ236" s="212"/>
      <c r="FA236" s="212"/>
      <c r="FB236" s="212"/>
      <c r="FC236" s="212"/>
      <c r="FD236" s="212"/>
      <c r="FE236" s="212"/>
      <c r="FF236" s="212"/>
      <c r="FG236" s="212"/>
      <c r="FH236" s="212"/>
      <c r="FI236" s="212"/>
      <c r="FJ236" s="212"/>
      <c r="FK236" s="212"/>
      <c r="FL236" s="212"/>
      <c r="FM236" s="212"/>
      <c r="FN236" s="212"/>
      <c r="FO236" s="212"/>
      <c r="FP236" s="212"/>
      <c r="FQ236" s="212"/>
      <c r="FR236" s="212"/>
      <c r="FS236" s="212"/>
      <c r="FT236" s="212"/>
      <c r="FU236" s="212"/>
      <c r="FV236" s="212"/>
      <c r="FW236" s="212"/>
      <c r="FX236" s="212"/>
      <c r="FY236" s="212"/>
      <c r="FZ236" s="212"/>
      <c r="GA236" s="212"/>
      <c r="GB236" s="212"/>
      <c r="GC236" s="212"/>
      <c r="GD236" s="212"/>
      <c r="GE236" s="212"/>
      <c r="GF236" s="212"/>
      <c r="GG236" s="212"/>
      <c r="GH236" s="212"/>
      <c r="GI236" s="212"/>
      <c r="GJ236" s="212"/>
      <c r="GK236" s="212"/>
      <c r="GL236" s="212"/>
      <c r="GM236" s="212"/>
      <c r="GN236" s="212"/>
      <c r="GO236" s="212"/>
      <c r="GP236" s="212"/>
      <c r="GQ236" s="212"/>
      <c r="GR236" s="212"/>
      <c r="GS236" s="212"/>
      <c r="GT236" s="212"/>
      <c r="GU236" s="212"/>
      <c r="GV236" s="212"/>
      <c r="GW236" s="212"/>
      <c r="GX236" s="212"/>
      <c r="GY236" s="212"/>
      <c r="GZ236" s="212"/>
      <c r="HA236" s="212"/>
      <c r="HB236" s="212"/>
      <c r="HC236" s="212"/>
      <c r="HD236" s="212"/>
      <c r="HE236" s="212"/>
      <c r="HF236" s="212"/>
      <c r="HG236" s="212"/>
      <c r="HH236" s="212"/>
      <c r="HI236" s="212"/>
      <c r="HJ236" s="212"/>
      <c r="HK236" s="212"/>
      <c r="HL236" s="212"/>
      <c r="HM236" s="212"/>
      <c r="HN236" s="212"/>
      <c r="HO236" s="212"/>
      <c r="HP236" s="212"/>
      <c r="HQ236" s="212"/>
      <c r="HR236" s="212"/>
      <c r="HS236" s="212"/>
      <c r="HT236" s="212"/>
      <c r="HU236" s="212"/>
      <c r="HV236" s="212"/>
      <c r="HW236" s="212"/>
      <c r="HX236" s="212"/>
      <c r="HY236" s="212"/>
      <c r="HZ236" s="212"/>
      <c r="IA236" s="212"/>
      <c r="IB236" s="212"/>
      <c r="IC236" s="212"/>
      <c r="ID236" s="212"/>
      <c r="IE236" s="212"/>
      <c r="IF236" s="212"/>
      <c r="IG236" s="212"/>
      <c r="IH236" s="212"/>
      <c r="II236" s="212"/>
      <c r="IJ236" s="212"/>
      <c r="IK236" s="212"/>
      <c r="IL236" s="212"/>
      <c r="IM236" s="212"/>
      <c r="IN236" s="212"/>
      <c r="IO236" s="212"/>
      <c r="IP236" s="212"/>
      <c r="IQ236" s="212"/>
      <c r="IR236" s="212"/>
    </row>
    <row r="237" spans="13:252" ht="20.25" hidden="1" customHeight="1" thickTop="1" thickBot="1">
      <c r="M237" s="212"/>
      <c r="N237" s="212"/>
      <c r="O237" s="212"/>
      <c r="P237" s="212"/>
      <c r="Q237" s="212"/>
      <c r="R237" s="212"/>
      <c r="S237" s="212"/>
      <c r="T237" s="212"/>
      <c r="U237" s="212"/>
      <c r="V237" s="212"/>
      <c r="W237" s="212"/>
      <c r="X237" s="212"/>
      <c r="Y237" s="212"/>
      <c r="Z237" s="212"/>
      <c r="AA237" s="212"/>
      <c r="AB237" s="212"/>
      <c r="AC237" s="212"/>
      <c r="AD237" s="212"/>
      <c r="AE237" s="212"/>
      <c r="AF237" s="212"/>
      <c r="AG237" s="212"/>
      <c r="AH237" s="212"/>
      <c r="AI237" s="212"/>
      <c r="AJ237" s="212"/>
      <c r="AK237" s="212"/>
      <c r="AL237" s="212"/>
      <c r="AM237" s="212"/>
      <c r="AN237" s="212"/>
      <c r="AO237" s="212"/>
      <c r="AP237" s="212"/>
      <c r="AQ237" s="212"/>
      <c r="AR237" s="212"/>
      <c r="AS237" s="212"/>
      <c r="AT237" s="212"/>
      <c r="AU237" s="212"/>
      <c r="AV237" s="212"/>
      <c r="AW237" s="212"/>
      <c r="AX237" s="212"/>
      <c r="AY237" s="212"/>
      <c r="AZ237" s="212"/>
      <c r="BA237" s="212"/>
      <c r="BB237" s="212"/>
      <c r="BC237" s="212"/>
      <c r="BD237" s="212"/>
      <c r="BE237" s="212"/>
      <c r="BF237" s="212"/>
      <c r="BG237" s="212"/>
      <c r="BH237" s="212"/>
      <c r="BI237" s="212"/>
      <c r="BJ237" s="212"/>
      <c r="BK237" s="212"/>
      <c r="BL237" s="212"/>
      <c r="BM237" s="212"/>
      <c r="BN237" s="212"/>
      <c r="BO237" s="212"/>
      <c r="BP237" s="212"/>
      <c r="BQ237" s="212"/>
      <c r="BR237" s="212"/>
      <c r="BS237" s="212"/>
      <c r="BT237" s="212"/>
      <c r="BU237" s="212"/>
      <c r="BV237" s="212"/>
      <c r="BW237" s="212"/>
      <c r="BX237" s="212"/>
      <c r="BY237" s="212"/>
      <c r="BZ237" s="212"/>
      <c r="CA237" s="212"/>
      <c r="CB237" s="212"/>
      <c r="CC237" s="212"/>
      <c r="CD237" s="212"/>
      <c r="CE237" s="212"/>
      <c r="CF237" s="212"/>
      <c r="CG237" s="212"/>
      <c r="CH237" s="212"/>
      <c r="CI237" s="212"/>
      <c r="CJ237" s="212"/>
      <c r="CK237" s="212"/>
      <c r="CL237" s="212"/>
      <c r="CM237" s="212"/>
      <c r="CN237" s="212"/>
      <c r="CO237" s="212"/>
      <c r="CP237" s="212"/>
      <c r="CQ237" s="212"/>
      <c r="CR237" s="212"/>
      <c r="CS237" s="212"/>
      <c r="CT237" s="212"/>
      <c r="CU237" s="212"/>
      <c r="CV237" s="212"/>
      <c r="CW237" s="212"/>
      <c r="CX237" s="212"/>
      <c r="CY237" s="212"/>
      <c r="CZ237" s="212"/>
      <c r="DA237" s="212"/>
      <c r="DB237" s="212"/>
      <c r="DC237" s="212"/>
      <c r="DD237" s="212"/>
      <c r="DE237" s="212"/>
      <c r="DF237" s="212"/>
      <c r="DG237" s="212"/>
      <c r="DH237" s="212"/>
      <c r="DI237" s="212"/>
      <c r="DJ237" s="212"/>
      <c r="DK237" s="212"/>
      <c r="DL237" s="212"/>
      <c r="DM237" s="212"/>
      <c r="DN237" s="212"/>
      <c r="DO237" s="212"/>
      <c r="DP237" s="212"/>
      <c r="DQ237" s="212"/>
      <c r="DR237" s="212"/>
      <c r="DS237" s="212"/>
      <c r="DT237" s="212"/>
      <c r="DU237" s="212"/>
      <c r="DV237" s="212"/>
      <c r="DW237" s="212"/>
      <c r="DX237" s="212"/>
      <c r="DY237" s="212"/>
      <c r="DZ237" s="212"/>
      <c r="EA237" s="212"/>
      <c r="EB237" s="212"/>
      <c r="EC237" s="212"/>
      <c r="ED237" s="212"/>
      <c r="EE237" s="212"/>
      <c r="EF237" s="212"/>
      <c r="EG237" s="212"/>
      <c r="EH237" s="212"/>
      <c r="EI237" s="212"/>
      <c r="EJ237" s="212"/>
      <c r="EK237" s="212"/>
      <c r="EL237" s="212"/>
      <c r="EM237" s="212"/>
      <c r="EN237" s="212"/>
      <c r="EO237" s="212"/>
      <c r="EP237" s="212"/>
      <c r="EQ237" s="212"/>
      <c r="ER237" s="212"/>
      <c r="ES237" s="212"/>
      <c r="ET237" s="212"/>
      <c r="EU237" s="212"/>
      <c r="EV237" s="212"/>
      <c r="EW237" s="212"/>
      <c r="EX237" s="212"/>
      <c r="EY237" s="212"/>
      <c r="EZ237" s="212"/>
      <c r="FA237" s="212"/>
      <c r="FB237" s="212"/>
      <c r="FC237" s="212"/>
      <c r="FD237" s="212"/>
      <c r="FE237" s="212"/>
      <c r="FF237" s="212"/>
      <c r="FG237" s="212"/>
      <c r="FH237" s="212"/>
      <c r="FI237" s="212"/>
      <c r="FJ237" s="212"/>
      <c r="FK237" s="212"/>
      <c r="FL237" s="212"/>
      <c r="FM237" s="212"/>
      <c r="FN237" s="212"/>
      <c r="FO237" s="212"/>
      <c r="FP237" s="212"/>
      <c r="FQ237" s="212"/>
      <c r="FR237" s="212"/>
      <c r="FS237" s="212"/>
      <c r="FT237" s="212"/>
      <c r="FU237" s="212"/>
      <c r="FV237" s="212"/>
      <c r="FW237" s="212"/>
      <c r="FX237" s="212"/>
      <c r="FY237" s="212"/>
      <c r="FZ237" s="212"/>
      <c r="GA237" s="212"/>
      <c r="GB237" s="212"/>
      <c r="GC237" s="212"/>
      <c r="GD237" s="212"/>
      <c r="GE237" s="212"/>
      <c r="GF237" s="212"/>
      <c r="GG237" s="212"/>
      <c r="GH237" s="212"/>
      <c r="GI237" s="212"/>
      <c r="GJ237" s="212"/>
      <c r="GK237" s="212"/>
      <c r="GL237" s="212"/>
      <c r="GM237" s="212"/>
      <c r="GN237" s="212"/>
      <c r="GO237" s="212"/>
      <c r="GP237" s="212"/>
      <c r="GQ237" s="212"/>
      <c r="GR237" s="212"/>
      <c r="GS237" s="212"/>
      <c r="GT237" s="212"/>
      <c r="GU237" s="212"/>
      <c r="GV237" s="212"/>
      <c r="GW237" s="212"/>
      <c r="GX237" s="212"/>
      <c r="GY237" s="212"/>
      <c r="GZ237" s="212"/>
      <c r="HA237" s="212"/>
      <c r="HB237" s="212"/>
      <c r="HC237" s="212"/>
      <c r="HD237" s="212"/>
      <c r="HE237" s="212"/>
      <c r="HF237" s="212"/>
      <c r="HG237" s="212"/>
      <c r="HH237" s="212"/>
      <c r="HI237" s="212"/>
      <c r="HJ237" s="212"/>
      <c r="HK237" s="212"/>
      <c r="HL237" s="212"/>
      <c r="HM237" s="212"/>
      <c r="HN237" s="212"/>
      <c r="HO237" s="212"/>
      <c r="HP237" s="212"/>
      <c r="HQ237" s="212"/>
      <c r="HR237" s="212"/>
      <c r="HS237" s="212"/>
      <c r="HT237" s="212"/>
      <c r="HU237" s="212"/>
      <c r="HV237" s="212"/>
      <c r="HW237" s="212"/>
      <c r="HX237" s="212"/>
      <c r="HY237" s="212"/>
      <c r="HZ237" s="212"/>
      <c r="IA237" s="212"/>
      <c r="IB237" s="212"/>
      <c r="IC237" s="212"/>
      <c r="ID237" s="212"/>
      <c r="IE237" s="212"/>
      <c r="IF237" s="212"/>
      <c r="IG237" s="212"/>
      <c r="IH237" s="212"/>
      <c r="II237" s="212"/>
      <c r="IJ237" s="212"/>
      <c r="IK237" s="212"/>
      <c r="IL237" s="212"/>
      <c r="IM237" s="212"/>
      <c r="IN237" s="212"/>
      <c r="IO237" s="212"/>
      <c r="IP237" s="212"/>
      <c r="IQ237" s="212"/>
      <c r="IR237" s="212"/>
    </row>
    <row r="238" spans="13:252" ht="11.25" hidden="1" customHeight="1" thickTop="1" thickBot="1">
      <c r="M238" s="212"/>
      <c r="N238" s="212"/>
      <c r="O238" s="212"/>
      <c r="P238" s="212"/>
      <c r="Q238" s="212"/>
      <c r="R238" s="212"/>
      <c r="S238" s="212"/>
      <c r="T238" s="212"/>
      <c r="U238" s="212"/>
      <c r="V238" s="212"/>
      <c r="W238" s="212"/>
      <c r="X238" s="212"/>
      <c r="Y238" s="212"/>
      <c r="Z238" s="212"/>
      <c r="AA238" s="212"/>
      <c r="AB238" s="212"/>
      <c r="AC238" s="212"/>
      <c r="AD238" s="212"/>
      <c r="AE238" s="212"/>
      <c r="AF238" s="212"/>
      <c r="AG238" s="212"/>
      <c r="AH238" s="212"/>
      <c r="AI238" s="212"/>
      <c r="AJ238" s="212"/>
      <c r="AK238" s="212"/>
      <c r="AL238" s="212"/>
      <c r="AM238" s="212"/>
      <c r="AN238" s="212"/>
      <c r="AO238" s="212"/>
      <c r="AP238" s="212"/>
      <c r="AQ238" s="212"/>
      <c r="AR238" s="212"/>
      <c r="AS238" s="212"/>
      <c r="AT238" s="212"/>
      <c r="AU238" s="212"/>
      <c r="AV238" s="212"/>
      <c r="AW238" s="212"/>
      <c r="AX238" s="212"/>
      <c r="AY238" s="212"/>
      <c r="AZ238" s="212"/>
      <c r="BA238" s="212"/>
      <c r="BB238" s="212"/>
      <c r="BC238" s="212"/>
      <c r="BD238" s="212"/>
      <c r="BE238" s="212"/>
      <c r="BF238" s="212"/>
      <c r="BG238" s="212"/>
      <c r="BH238" s="212"/>
      <c r="BI238" s="212"/>
      <c r="BJ238" s="212"/>
      <c r="BK238" s="212"/>
      <c r="BL238" s="212"/>
      <c r="BM238" s="212"/>
      <c r="BN238" s="212"/>
      <c r="BO238" s="212"/>
      <c r="BP238" s="212"/>
      <c r="BQ238" s="212"/>
      <c r="BR238" s="212"/>
      <c r="BS238" s="212"/>
      <c r="BT238" s="212"/>
      <c r="BU238" s="212"/>
      <c r="BV238" s="212"/>
      <c r="BW238" s="212"/>
      <c r="BX238" s="212"/>
      <c r="BY238" s="212"/>
      <c r="BZ238" s="212"/>
      <c r="CA238" s="212"/>
      <c r="CB238" s="212"/>
      <c r="CC238" s="212"/>
      <c r="CD238" s="212"/>
      <c r="CE238" s="212"/>
      <c r="CF238" s="212"/>
      <c r="CG238" s="212"/>
      <c r="CH238" s="212"/>
      <c r="CI238" s="212"/>
      <c r="CJ238" s="212"/>
      <c r="CK238" s="212"/>
      <c r="CL238" s="212"/>
      <c r="CM238" s="212"/>
      <c r="CN238" s="212"/>
      <c r="CO238" s="212"/>
      <c r="CP238" s="212"/>
      <c r="CQ238" s="212"/>
      <c r="CR238" s="212"/>
      <c r="CS238" s="212"/>
      <c r="CT238" s="212"/>
      <c r="CU238" s="212"/>
      <c r="CV238" s="212"/>
      <c r="CW238" s="212"/>
      <c r="CX238" s="212"/>
      <c r="CY238" s="212"/>
      <c r="CZ238" s="212"/>
      <c r="DA238" s="212"/>
      <c r="DB238" s="212"/>
      <c r="DC238" s="212"/>
      <c r="DD238" s="212"/>
      <c r="DE238" s="212"/>
      <c r="DF238" s="212"/>
      <c r="DG238" s="212"/>
      <c r="DH238" s="212"/>
      <c r="DI238" s="212"/>
      <c r="DJ238" s="212"/>
      <c r="DK238" s="212"/>
      <c r="DL238" s="212"/>
      <c r="DM238" s="212"/>
      <c r="DN238" s="212"/>
      <c r="DO238" s="212"/>
      <c r="DP238" s="212"/>
      <c r="DQ238" s="212"/>
      <c r="DR238" s="212"/>
      <c r="DS238" s="212"/>
      <c r="DT238" s="212"/>
      <c r="DU238" s="212"/>
      <c r="DV238" s="212"/>
      <c r="DW238" s="212"/>
      <c r="DX238" s="212"/>
      <c r="DY238" s="212"/>
      <c r="DZ238" s="212"/>
      <c r="EA238" s="212"/>
      <c r="EB238" s="212"/>
      <c r="EC238" s="212"/>
      <c r="ED238" s="212"/>
      <c r="EE238" s="212"/>
      <c r="EF238" s="212"/>
      <c r="EG238" s="212"/>
      <c r="EH238" s="212"/>
      <c r="EI238" s="212"/>
      <c r="EJ238" s="212"/>
      <c r="EK238" s="212"/>
      <c r="EL238" s="212"/>
      <c r="EM238" s="212"/>
      <c r="EN238" s="212"/>
      <c r="EO238" s="212"/>
      <c r="EP238" s="212"/>
      <c r="EQ238" s="212"/>
      <c r="ER238" s="212"/>
      <c r="ES238" s="212"/>
      <c r="ET238" s="212"/>
      <c r="EU238" s="212"/>
      <c r="EV238" s="212"/>
      <c r="EW238" s="212"/>
      <c r="EX238" s="212"/>
      <c r="EY238" s="212"/>
      <c r="EZ238" s="212"/>
      <c r="FA238" s="212"/>
      <c r="FB238" s="212"/>
      <c r="FC238" s="212"/>
      <c r="FD238" s="212"/>
      <c r="FE238" s="212"/>
      <c r="FF238" s="212"/>
      <c r="FG238" s="212"/>
      <c r="FH238" s="212"/>
      <c r="FI238" s="212"/>
      <c r="FJ238" s="212"/>
      <c r="FK238" s="212"/>
      <c r="FL238" s="212"/>
      <c r="FM238" s="212"/>
      <c r="FN238" s="212"/>
      <c r="FO238" s="212"/>
      <c r="FP238" s="212"/>
      <c r="FQ238" s="212"/>
      <c r="FR238" s="212"/>
      <c r="FS238" s="212"/>
      <c r="FT238" s="212"/>
      <c r="FU238" s="212"/>
      <c r="FV238" s="212"/>
      <c r="FW238" s="212"/>
      <c r="FX238" s="212"/>
      <c r="FY238" s="212"/>
      <c r="FZ238" s="212"/>
      <c r="GA238" s="212"/>
      <c r="GB238" s="212"/>
      <c r="GC238" s="212"/>
      <c r="GD238" s="212"/>
      <c r="GE238" s="212"/>
      <c r="GF238" s="212"/>
      <c r="GG238" s="212"/>
      <c r="GH238" s="212"/>
      <c r="GI238" s="212"/>
      <c r="GJ238" s="212"/>
      <c r="GK238" s="212"/>
      <c r="GL238" s="212"/>
      <c r="GM238" s="212"/>
      <c r="GN238" s="212"/>
      <c r="GO238" s="212"/>
      <c r="GP238" s="212"/>
      <c r="GQ238" s="212"/>
      <c r="GR238" s="212"/>
      <c r="GS238" s="212"/>
      <c r="GT238" s="212"/>
      <c r="GU238" s="212"/>
      <c r="GV238" s="212"/>
      <c r="GW238" s="212"/>
      <c r="GX238" s="212"/>
      <c r="GY238" s="212"/>
      <c r="GZ238" s="212"/>
      <c r="HA238" s="212"/>
      <c r="HB238" s="212"/>
      <c r="HC238" s="212"/>
      <c r="HD238" s="212"/>
      <c r="HE238" s="212"/>
      <c r="HF238" s="212"/>
      <c r="HG238" s="212"/>
      <c r="HH238" s="212"/>
      <c r="HI238" s="212"/>
      <c r="HJ238" s="212"/>
      <c r="HK238" s="212"/>
      <c r="HL238" s="212"/>
      <c r="HM238" s="212"/>
      <c r="HN238" s="212"/>
      <c r="HO238" s="212"/>
      <c r="HP238" s="212"/>
      <c r="HQ238" s="212"/>
      <c r="HR238" s="212"/>
      <c r="HS238" s="212"/>
      <c r="HT238" s="212"/>
      <c r="HU238" s="212"/>
      <c r="HV238" s="212"/>
      <c r="HW238" s="212"/>
      <c r="HX238" s="212"/>
      <c r="HY238" s="212"/>
      <c r="HZ238" s="212"/>
      <c r="IA238" s="212"/>
      <c r="IB238" s="212"/>
      <c r="IC238" s="212"/>
      <c r="ID238" s="212"/>
      <c r="IE238" s="212"/>
      <c r="IF238" s="212"/>
      <c r="IG238" s="212"/>
      <c r="IH238" s="212"/>
      <c r="II238" s="212"/>
      <c r="IJ238" s="212"/>
      <c r="IK238" s="212"/>
      <c r="IL238" s="212"/>
      <c r="IM238" s="212"/>
      <c r="IN238" s="212"/>
      <c r="IO238" s="212"/>
      <c r="IP238" s="212"/>
      <c r="IQ238" s="212"/>
      <c r="IR238" s="212"/>
    </row>
    <row r="239" spans="13:252" ht="15.75" hidden="1" customHeight="1" thickTop="1" thickBot="1">
      <c r="M239" s="212"/>
      <c r="N239" s="212"/>
      <c r="O239" s="212"/>
      <c r="P239" s="212"/>
      <c r="Q239" s="212"/>
      <c r="R239" s="212"/>
      <c r="S239" s="212"/>
      <c r="T239" s="212"/>
      <c r="U239" s="212"/>
      <c r="V239" s="212"/>
      <c r="W239" s="212"/>
      <c r="X239" s="212"/>
      <c r="Y239" s="212"/>
      <c r="Z239" s="212"/>
      <c r="AA239" s="212"/>
      <c r="AB239" s="212"/>
      <c r="AC239" s="212"/>
      <c r="AD239" s="212"/>
      <c r="AE239" s="212"/>
      <c r="AF239" s="212"/>
      <c r="AG239" s="212"/>
      <c r="AH239" s="212"/>
      <c r="AI239" s="212"/>
      <c r="AJ239" s="212"/>
      <c r="AK239" s="212"/>
      <c r="AL239" s="212"/>
      <c r="AM239" s="212"/>
      <c r="AN239" s="212"/>
      <c r="AO239" s="212"/>
      <c r="AP239" s="212"/>
      <c r="AQ239" s="212"/>
      <c r="AR239" s="212"/>
      <c r="AS239" s="212"/>
      <c r="AT239" s="212"/>
      <c r="AU239" s="212"/>
      <c r="AV239" s="212"/>
      <c r="AW239" s="212"/>
      <c r="AX239" s="212"/>
      <c r="AY239" s="212"/>
      <c r="AZ239" s="212"/>
      <c r="BA239" s="212"/>
      <c r="BB239" s="212"/>
      <c r="BC239" s="212"/>
      <c r="BD239" s="212"/>
      <c r="BE239" s="212"/>
      <c r="BF239" s="212"/>
      <c r="BG239" s="212"/>
      <c r="BH239" s="212"/>
      <c r="BI239" s="212"/>
      <c r="BJ239" s="212"/>
      <c r="BK239" s="212"/>
      <c r="BL239" s="212"/>
      <c r="BM239" s="212"/>
      <c r="BN239" s="212"/>
      <c r="BO239" s="212"/>
      <c r="BP239" s="212"/>
      <c r="BQ239" s="212"/>
      <c r="BR239" s="212"/>
      <c r="BS239" s="212"/>
      <c r="BT239" s="212"/>
      <c r="BU239" s="212"/>
      <c r="BV239" s="212"/>
      <c r="BW239" s="212"/>
      <c r="BX239" s="212"/>
      <c r="BY239" s="212"/>
      <c r="BZ239" s="212"/>
      <c r="CA239" s="212"/>
      <c r="CB239" s="212"/>
      <c r="CC239" s="212"/>
      <c r="CD239" s="212"/>
      <c r="CE239" s="212"/>
      <c r="CF239" s="212"/>
      <c r="CG239" s="212"/>
      <c r="CH239" s="212"/>
      <c r="CI239" s="212"/>
      <c r="CJ239" s="212"/>
      <c r="CK239" s="212"/>
      <c r="CL239" s="212"/>
      <c r="CM239" s="212"/>
      <c r="CN239" s="212"/>
      <c r="CO239" s="212"/>
      <c r="CP239" s="212"/>
      <c r="CQ239" s="212"/>
      <c r="CR239" s="212"/>
      <c r="CS239" s="212"/>
      <c r="CT239" s="212"/>
      <c r="CU239" s="212"/>
      <c r="CV239" s="212"/>
      <c r="CW239" s="212"/>
      <c r="CX239" s="212"/>
      <c r="CY239" s="212"/>
      <c r="CZ239" s="212"/>
      <c r="DA239" s="212"/>
      <c r="DB239" s="212"/>
      <c r="DC239" s="212"/>
      <c r="DD239" s="212"/>
      <c r="DE239" s="212"/>
      <c r="DF239" s="212"/>
      <c r="DG239" s="212"/>
      <c r="DH239" s="212"/>
      <c r="DI239" s="212"/>
      <c r="DJ239" s="212"/>
      <c r="DK239" s="212"/>
      <c r="DL239" s="212"/>
      <c r="DM239" s="212"/>
      <c r="DN239" s="212"/>
      <c r="DO239" s="212"/>
      <c r="DP239" s="212"/>
      <c r="DQ239" s="212"/>
      <c r="DR239" s="212"/>
      <c r="DS239" s="212"/>
      <c r="DT239" s="212"/>
      <c r="DU239" s="212"/>
      <c r="DV239" s="212"/>
      <c r="DW239" s="212"/>
      <c r="DX239" s="212"/>
      <c r="DY239" s="212"/>
      <c r="DZ239" s="212"/>
      <c r="EA239" s="212"/>
      <c r="EB239" s="212"/>
      <c r="EC239" s="212"/>
      <c r="ED239" s="212"/>
      <c r="EE239" s="212"/>
      <c r="EF239" s="212"/>
      <c r="EG239" s="212"/>
      <c r="EH239" s="212"/>
      <c r="EI239" s="212"/>
      <c r="EJ239" s="212"/>
      <c r="EK239" s="212"/>
      <c r="EL239" s="212"/>
      <c r="EM239" s="212"/>
      <c r="EN239" s="212"/>
      <c r="EO239" s="212"/>
      <c r="EP239" s="212"/>
      <c r="EQ239" s="212"/>
      <c r="ER239" s="212"/>
      <c r="ES239" s="212"/>
      <c r="ET239" s="212"/>
      <c r="EU239" s="212"/>
      <c r="EV239" s="212"/>
      <c r="EW239" s="212"/>
      <c r="EX239" s="212"/>
      <c r="EY239" s="212"/>
      <c r="EZ239" s="212"/>
      <c r="FA239" s="212"/>
      <c r="FB239" s="212"/>
      <c r="FC239" s="212"/>
      <c r="FD239" s="212"/>
      <c r="FE239" s="212"/>
      <c r="FF239" s="212"/>
      <c r="FG239" s="212"/>
      <c r="FH239" s="212"/>
      <c r="FI239" s="212"/>
      <c r="FJ239" s="212"/>
      <c r="FK239" s="212"/>
      <c r="FL239" s="212"/>
      <c r="FM239" s="212"/>
      <c r="FN239" s="212"/>
      <c r="FO239" s="212"/>
      <c r="FP239" s="212"/>
      <c r="FQ239" s="212"/>
      <c r="FR239" s="212"/>
      <c r="FS239" s="212"/>
      <c r="FT239" s="212"/>
      <c r="FU239" s="212"/>
      <c r="FV239" s="212"/>
      <c r="FW239" s="212"/>
      <c r="FX239" s="212"/>
      <c r="FY239" s="212"/>
      <c r="FZ239" s="212"/>
      <c r="GA239" s="212"/>
      <c r="GB239" s="212"/>
      <c r="GC239" s="212"/>
      <c r="GD239" s="212"/>
      <c r="GE239" s="212"/>
      <c r="GF239" s="212"/>
      <c r="GG239" s="212"/>
      <c r="GH239" s="212"/>
      <c r="GI239" s="212"/>
      <c r="GJ239" s="212"/>
      <c r="GK239" s="212"/>
      <c r="GL239" s="212"/>
      <c r="GM239" s="212"/>
      <c r="GN239" s="212"/>
      <c r="GO239" s="212"/>
      <c r="GP239" s="212"/>
      <c r="GQ239" s="212"/>
      <c r="GR239" s="212"/>
      <c r="GS239" s="212"/>
      <c r="GT239" s="212"/>
      <c r="GU239" s="212"/>
      <c r="GV239" s="212"/>
      <c r="GW239" s="212"/>
      <c r="GX239" s="212"/>
      <c r="GY239" s="212"/>
      <c r="GZ239" s="212"/>
      <c r="HA239" s="212"/>
      <c r="HB239" s="212"/>
      <c r="HC239" s="212"/>
      <c r="HD239" s="212"/>
      <c r="HE239" s="212"/>
      <c r="HF239" s="212"/>
      <c r="HG239" s="212"/>
      <c r="HH239" s="212"/>
      <c r="HI239" s="212"/>
      <c r="HJ239" s="212"/>
      <c r="HK239" s="212"/>
      <c r="HL239" s="212"/>
      <c r="HM239" s="212"/>
      <c r="HN239" s="212"/>
      <c r="HO239" s="212"/>
      <c r="HP239" s="212"/>
      <c r="HQ239" s="212"/>
      <c r="HR239" s="212"/>
      <c r="HS239" s="212"/>
      <c r="HT239" s="212"/>
      <c r="HU239" s="212"/>
      <c r="HV239" s="212"/>
      <c r="HW239" s="212"/>
      <c r="HX239" s="212"/>
      <c r="HY239" s="212"/>
      <c r="HZ239" s="212"/>
      <c r="IA239" s="212"/>
      <c r="IB239" s="212"/>
      <c r="IC239" s="212"/>
      <c r="ID239" s="212"/>
      <c r="IE239" s="212"/>
      <c r="IF239" s="212"/>
      <c r="IG239" s="212"/>
      <c r="IH239" s="212"/>
      <c r="II239" s="212"/>
      <c r="IJ239" s="212"/>
      <c r="IK239" s="212"/>
      <c r="IL239" s="212"/>
      <c r="IM239" s="212"/>
      <c r="IN239" s="212"/>
      <c r="IO239" s="212"/>
      <c r="IP239" s="212"/>
      <c r="IQ239" s="212"/>
      <c r="IR239" s="212"/>
    </row>
    <row r="240" spans="13:252" ht="16.5" hidden="1" customHeight="1" thickTop="1" thickBot="1">
      <c r="M240" s="212"/>
      <c r="N240" s="212"/>
      <c r="O240" s="212"/>
      <c r="P240" s="212"/>
      <c r="Q240" s="212"/>
      <c r="R240" s="212"/>
      <c r="S240" s="212"/>
      <c r="T240" s="212"/>
      <c r="U240" s="212"/>
      <c r="V240" s="212"/>
      <c r="W240" s="212"/>
      <c r="X240" s="212"/>
      <c r="Y240" s="212"/>
      <c r="Z240" s="212"/>
      <c r="AA240" s="212"/>
      <c r="AB240" s="212"/>
      <c r="AC240" s="212"/>
      <c r="AD240" s="212"/>
      <c r="AE240" s="212"/>
      <c r="AF240" s="212"/>
      <c r="AG240" s="212"/>
      <c r="AH240" s="212"/>
      <c r="AI240" s="212"/>
      <c r="AJ240" s="212"/>
      <c r="AK240" s="212"/>
      <c r="AL240" s="212"/>
      <c r="AM240" s="212"/>
      <c r="AN240" s="212"/>
      <c r="AO240" s="212"/>
      <c r="AP240" s="212"/>
      <c r="AQ240" s="212"/>
      <c r="AR240" s="212"/>
      <c r="AS240" s="212"/>
      <c r="AT240" s="212"/>
      <c r="AU240" s="212"/>
      <c r="AV240" s="212"/>
      <c r="AW240" s="212"/>
      <c r="AX240" s="212"/>
      <c r="AY240" s="212"/>
      <c r="AZ240" s="212"/>
      <c r="BA240" s="212"/>
      <c r="BB240" s="212"/>
      <c r="BC240" s="212"/>
      <c r="BD240" s="212"/>
      <c r="BE240" s="212"/>
      <c r="BF240" s="212"/>
      <c r="BG240" s="212"/>
      <c r="BH240" s="212"/>
      <c r="BI240" s="212"/>
      <c r="BJ240" s="212"/>
      <c r="BK240" s="212"/>
      <c r="BL240" s="212"/>
      <c r="BM240" s="212"/>
      <c r="BN240" s="212"/>
      <c r="BO240" s="212"/>
      <c r="BP240" s="212"/>
      <c r="BQ240" s="212"/>
      <c r="BR240" s="212"/>
      <c r="BS240" s="212"/>
      <c r="BT240" s="212"/>
      <c r="BU240" s="212"/>
      <c r="BV240" s="212"/>
      <c r="BW240" s="212"/>
      <c r="BX240" s="212"/>
      <c r="BY240" s="212"/>
      <c r="BZ240" s="212"/>
      <c r="CA240" s="212"/>
      <c r="CB240" s="212"/>
      <c r="CC240" s="212"/>
      <c r="CD240" s="212"/>
      <c r="CE240" s="212"/>
      <c r="CF240" s="212"/>
      <c r="CG240" s="212"/>
      <c r="CH240" s="212"/>
      <c r="CI240" s="212"/>
      <c r="CJ240" s="212"/>
      <c r="CK240" s="212"/>
      <c r="CL240" s="212"/>
      <c r="CM240" s="212"/>
      <c r="CN240" s="212"/>
      <c r="CO240" s="212"/>
      <c r="CP240" s="212"/>
      <c r="CQ240" s="212"/>
      <c r="CR240" s="212"/>
      <c r="CS240" s="212"/>
      <c r="CT240" s="212"/>
      <c r="CU240" s="212"/>
      <c r="CV240" s="212"/>
      <c r="CW240" s="212"/>
      <c r="CX240" s="212"/>
      <c r="CY240" s="212"/>
      <c r="CZ240" s="212"/>
      <c r="DA240" s="212"/>
      <c r="DB240" s="212"/>
      <c r="DC240" s="212"/>
      <c r="DD240" s="212"/>
      <c r="DE240" s="212"/>
      <c r="DF240" s="212"/>
      <c r="DG240" s="212"/>
      <c r="DH240" s="212"/>
      <c r="DI240" s="212"/>
      <c r="DJ240" s="212"/>
      <c r="DK240" s="212"/>
      <c r="DL240" s="212"/>
      <c r="DM240" s="212"/>
      <c r="DN240" s="212"/>
      <c r="DO240" s="212"/>
      <c r="DP240" s="212"/>
      <c r="DQ240" s="212"/>
      <c r="DR240" s="212"/>
      <c r="DS240" s="212"/>
      <c r="DT240" s="212"/>
      <c r="DU240" s="212"/>
      <c r="DV240" s="212"/>
      <c r="DW240" s="212"/>
      <c r="DX240" s="212"/>
      <c r="DY240" s="212"/>
      <c r="DZ240" s="212"/>
      <c r="EA240" s="212"/>
      <c r="EB240" s="212"/>
      <c r="EC240" s="212"/>
      <c r="ED240" s="212"/>
      <c r="EE240" s="212"/>
      <c r="EF240" s="212"/>
      <c r="EG240" s="212"/>
      <c r="EH240" s="212"/>
      <c r="EI240" s="212"/>
      <c r="EJ240" s="212"/>
      <c r="EK240" s="212"/>
      <c r="EL240" s="212"/>
      <c r="EM240" s="212"/>
      <c r="EN240" s="212"/>
      <c r="EO240" s="212"/>
      <c r="EP240" s="212"/>
      <c r="EQ240" s="212"/>
      <c r="ER240" s="212"/>
      <c r="ES240" s="212"/>
      <c r="ET240" s="212"/>
      <c r="EU240" s="212"/>
      <c r="EV240" s="212"/>
      <c r="EW240" s="212"/>
      <c r="EX240" s="212"/>
      <c r="EY240" s="212"/>
      <c r="EZ240" s="212"/>
      <c r="FA240" s="212"/>
      <c r="FB240" s="212"/>
      <c r="FC240" s="212"/>
      <c r="FD240" s="212"/>
      <c r="FE240" s="212"/>
      <c r="FF240" s="212"/>
      <c r="FG240" s="212"/>
      <c r="FH240" s="212"/>
      <c r="FI240" s="212"/>
      <c r="FJ240" s="212"/>
      <c r="FK240" s="212"/>
      <c r="FL240" s="212"/>
      <c r="FM240" s="212"/>
      <c r="FN240" s="212"/>
      <c r="FO240" s="212"/>
      <c r="FP240" s="212"/>
      <c r="FQ240" s="212"/>
      <c r="FR240" s="212"/>
      <c r="FS240" s="212"/>
      <c r="FT240" s="212"/>
      <c r="FU240" s="212"/>
      <c r="FV240" s="212"/>
      <c r="FW240" s="212"/>
      <c r="FX240" s="212"/>
      <c r="FY240" s="212"/>
      <c r="FZ240" s="212"/>
      <c r="GA240" s="212"/>
      <c r="GB240" s="212"/>
      <c r="GC240" s="212"/>
      <c r="GD240" s="212"/>
      <c r="GE240" s="212"/>
      <c r="GF240" s="212"/>
      <c r="GG240" s="212"/>
      <c r="GH240" s="212"/>
      <c r="GI240" s="212"/>
      <c r="GJ240" s="212"/>
      <c r="GK240" s="212"/>
      <c r="GL240" s="212"/>
      <c r="GM240" s="212"/>
      <c r="GN240" s="212"/>
      <c r="GO240" s="212"/>
      <c r="GP240" s="212"/>
      <c r="GQ240" s="212"/>
      <c r="GR240" s="212"/>
      <c r="GS240" s="212"/>
      <c r="GT240" s="212"/>
      <c r="GU240" s="212"/>
      <c r="GV240" s="212"/>
      <c r="GW240" s="212"/>
      <c r="GX240" s="212"/>
      <c r="GY240" s="212"/>
      <c r="GZ240" s="212"/>
      <c r="HA240" s="212"/>
      <c r="HB240" s="212"/>
      <c r="HC240" s="212"/>
      <c r="HD240" s="212"/>
      <c r="HE240" s="212"/>
      <c r="HF240" s="212"/>
      <c r="HG240" s="212"/>
      <c r="HH240" s="212"/>
      <c r="HI240" s="212"/>
      <c r="HJ240" s="212"/>
      <c r="HK240" s="212"/>
      <c r="HL240" s="212"/>
      <c r="HM240" s="212"/>
      <c r="HN240" s="212"/>
      <c r="HO240" s="212"/>
      <c r="HP240" s="212"/>
      <c r="HQ240" s="212"/>
      <c r="HR240" s="212"/>
      <c r="HS240" s="212"/>
      <c r="HT240" s="212"/>
      <c r="HU240" s="212"/>
      <c r="HV240" s="212"/>
      <c r="HW240" s="212"/>
      <c r="HX240" s="212"/>
      <c r="HY240" s="212"/>
      <c r="HZ240" s="212"/>
      <c r="IA240" s="212"/>
      <c r="IB240" s="212"/>
      <c r="IC240" s="212"/>
      <c r="ID240" s="212"/>
      <c r="IE240" s="212"/>
      <c r="IF240" s="212"/>
      <c r="IG240" s="212"/>
      <c r="IH240" s="212"/>
      <c r="II240" s="212"/>
      <c r="IJ240" s="212"/>
      <c r="IK240" s="212"/>
      <c r="IL240" s="212"/>
      <c r="IM240" s="212"/>
      <c r="IN240" s="212"/>
      <c r="IO240" s="212"/>
      <c r="IP240" s="212"/>
      <c r="IQ240" s="212"/>
      <c r="IR240" s="212"/>
    </row>
    <row r="241" spans="13:252" ht="16.5" hidden="1" customHeight="1" thickTop="1" thickBot="1">
      <c r="M241" s="212"/>
      <c r="N241" s="212"/>
      <c r="O241" s="212"/>
      <c r="P241" s="212"/>
      <c r="Q241" s="212"/>
      <c r="R241" s="212"/>
      <c r="S241" s="212"/>
      <c r="T241" s="212"/>
      <c r="U241" s="212"/>
      <c r="V241" s="212"/>
      <c r="W241" s="212"/>
      <c r="X241" s="212"/>
      <c r="Y241" s="212"/>
      <c r="Z241" s="212"/>
      <c r="AA241" s="212"/>
      <c r="AB241" s="212"/>
      <c r="AC241" s="212"/>
      <c r="AD241" s="212"/>
      <c r="AE241" s="212"/>
      <c r="AF241" s="212"/>
      <c r="AG241" s="212"/>
      <c r="AH241" s="212"/>
      <c r="AI241" s="212"/>
      <c r="AJ241" s="212"/>
      <c r="AK241" s="212"/>
      <c r="AL241" s="212"/>
      <c r="AM241" s="212"/>
      <c r="AN241" s="212"/>
      <c r="AO241" s="212"/>
      <c r="AP241" s="212"/>
      <c r="AQ241" s="212"/>
      <c r="AR241" s="212"/>
      <c r="AS241" s="212"/>
      <c r="AT241" s="212"/>
      <c r="AU241" s="212"/>
      <c r="AV241" s="212"/>
      <c r="AW241" s="212"/>
      <c r="AX241" s="212"/>
      <c r="AY241" s="212"/>
      <c r="AZ241" s="212"/>
      <c r="BA241" s="212"/>
      <c r="BB241" s="212"/>
      <c r="BC241" s="212"/>
      <c r="BD241" s="212"/>
      <c r="BE241" s="212"/>
      <c r="BF241" s="212"/>
      <c r="BG241" s="212"/>
      <c r="BH241" s="212"/>
      <c r="BI241" s="212"/>
      <c r="BJ241" s="212"/>
      <c r="BK241" s="212"/>
      <c r="BL241" s="212"/>
      <c r="BM241" s="212"/>
      <c r="BN241" s="212"/>
      <c r="BO241" s="212"/>
      <c r="BP241" s="212"/>
      <c r="BQ241" s="212"/>
      <c r="BR241" s="212"/>
      <c r="BS241" s="212"/>
      <c r="BT241" s="212"/>
      <c r="BU241" s="212"/>
      <c r="BV241" s="212"/>
      <c r="BW241" s="212"/>
      <c r="BX241" s="212"/>
      <c r="BY241" s="212"/>
      <c r="BZ241" s="212"/>
      <c r="CA241" s="212"/>
      <c r="CB241" s="212"/>
      <c r="CC241" s="212"/>
      <c r="CD241" s="212"/>
      <c r="CE241" s="212"/>
      <c r="CF241" s="212"/>
      <c r="CG241" s="212"/>
      <c r="CH241" s="212"/>
      <c r="CI241" s="212"/>
      <c r="CJ241" s="212"/>
      <c r="CK241" s="212"/>
      <c r="CL241" s="212"/>
      <c r="CM241" s="212"/>
      <c r="CN241" s="212"/>
      <c r="CO241" s="212"/>
      <c r="CP241" s="212"/>
      <c r="CQ241" s="212"/>
      <c r="CR241" s="212"/>
      <c r="CS241" s="212"/>
      <c r="CT241" s="212"/>
      <c r="CU241" s="212"/>
      <c r="CV241" s="212"/>
      <c r="CW241" s="212"/>
      <c r="CX241" s="212"/>
      <c r="CY241" s="212"/>
      <c r="CZ241" s="212"/>
      <c r="DA241" s="212"/>
      <c r="DB241" s="212"/>
      <c r="DC241" s="212"/>
      <c r="DD241" s="212"/>
      <c r="DE241" s="212"/>
      <c r="DF241" s="212"/>
      <c r="DG241" s="212"/>
      <c r="DH241" s="212"/>
      <c r="DI241" s="212"/>
      <c r="DJ241" s="212"/>
      <c r="DK241" s="212"/>
      <c r="DL241" s="212"/>
      <c r="DM241" s="212"/>
      <c r="DN241" s="212"/>
      <c r="DO241" s="212"/>
      <c r="DP241" s="212"/>
      <c r="DQ241" s="212"/>
      <c r="DR241" s="212"/>
      <c r="DS241" s="212"/>
      <c r="DT241" s="212"/>
      <c r="DU241" s="212"/>
      <c r="DV241" s="212"/>
      <c r="DW241" s="212"/>
      <c r="DX241" s="212"/>
      <c r="DY241" s="212"/>
      <c r="DZ241" s="212"/>
      <c r="EA241" s="212"/>
      <c r="EB241" s="212"/>
      <c r="EC241" s="212"/>
      <c r="ED241" s="212"/>
      <c r="EE241" s="212"/>
      <c r="EF241" s="212"/>
      <c r="EG241" s="212"/>
      <c r="EH241" s="212"/>
      <c r="EI241" s="212"/>
      <c r="EJ241" s="212"/>
      <c r="EK241" s="212"/>
      <c r="EL241" s="212"/>
      <c r="EM241" s="212"/>
      <c r="EN241" s="212"/>
      <c r="EO241" s="212"/>
      <c r="EP241" s="212"/>
      <c r="EQ241" s="212"/>
      <c r="ER241" s="212"/>
      <c r="ES241" s="212"/>
      <c r="ET241" s="212"/>
      <c r="EU241" s="212"/>
      <c r="EV241" s="212"/>
      <c r="EW241" s="212"/>
      <c r="EX241" s="212"/>
      <c r="EY241" s="212"/>
      <c r="EZ241" s="212"/>
      <c r="FA241" s="212"/>
      <c r="FB241" s="212"/>
      <c r="FC241" s="212"/>
      <c r="FD241" s="212"/>
      <c r="FE241" s="212"/>
      <c r="FF241" s="212"/>
      <c r="FG241" s="212"/>
      <c r="FH241" s="212"/>
      <c r="FI241" s="212"/>
      <c r="FJ241" s="212"/>
      <c r="FK241" s="212"/>
      <c r="FL241" s="212"/>
      <c r="FM241" s="212"/>
      <c r="FN241" s="212"/>
      <c r="FO241" s="212"/>
      <c r="FP241" s="212"/>
      <c r="FQ241" s="212"/>
      <c r="FR241" s="212"/>
      <c r="FS241" s="212"/>
      <c r="FT241" s="212"/>
      <c r="FU241" s="212"/>
      <c r="FV241" s="212"/>
      <c r="FW241" s="212"/>
      <c r="FX241" s="212"/>
      <c r="FY241" s="212"/>
      <c r="FZ241" s="212"/>
      <c r="GA241" s="212"/>
      <c r="GB241" s="212"/>
      <c r="GC241" s="212"/>
      <c r="GD241" s="212"/>
      <c r="GE241" s="212"/>
      <c r="GF241" s="212"/>
      <c r="GG241" s="212"/>
      <c r="GH241" s="212"/>
      <c r="GI241" s="212"/>
      <c r="GJ241" s="212"/>
      <c r="GK241" s="212"/>
      <c r="GL241" s="212"/>
      <c r="GM241" s="212"/>
      <c r="GN241" s="212"/>
      <c r="GO241" s="212"/>
      <c r="GP241" s="212"/>
      <c r="GQ241" s="212"/>
      <c r="GR241" s="212"/>
      <c r="GS241" s="212"/>
      <c r="GT241" s="212"/>
      <c r="GU241" s="212"/>
      <c r="GV241" s="212"/>
      <c r="GW241" s="212"/>
      <c r="GX241" s="212"/>
      <c r="GY241" s="212"/>
      <c r="GZ241" s="212"/>
      <c r="HA241" s="212"/>
      <c r="HB241" s="212"/>
      <c r="HC241" s="212"/>
      <c r="HD241" s="212"/>
      <c r="HE241" s="212"/>
      <c r="HF241" s="212"/>
      <c r="HG241" s="212"/>
      <c r="HH241" s="212"/>
      <c r="HI241" s="212"/>
      <c r="HJ241" s="212"/>
      <c r="HK241" s="212"/>
      <c r="HL241" s="212"/>
      <c r="HM241" s="212"/>
      <c r="HN241" s="212"/>
      <c r="HO241" s="212"/>
      <c r="HP241" s="212"/>
      <c r="HQ241" s="212"/>
      <c r="HR241" s="212"/>
      <c r="HS241" s="212"/>
      <c r="HT241" s="212"/>
      <c r="HU241" s="212"/>
      <c r="HV241" s="212"/>
      <c r="HW241" s="212"/>
      <c r="HX241" s="212"/>
      <c r="HY241" s="212"/>
      <c r="HZ241" s="212"/>
      <c r="IA241" s="212"/>
      <c r="IB241" s="212"/>
      <c r="IC241" s="212"/>
      <c r="ID241" s="212"/>
      <c r="IE241" s="212"/>
      <c r="IF241" s="212"/>
      <c r="IG241" s="212"/>
      <c r="IH241" s="212"/>
      <c r="II241" s="212"/>
      <c r="IJ241" s="212"/>
      <c r="IK241" s="212"/>
      <c r="IL241" s="212"/>
      <c r="IM241" s="212"/>
      <c r="IN241" s="212"/>
      <c r="IO241" s="212"/>
      <c r="IP241" s="212"/>
      <c r="IQ241" s="212"/>
      <c r="IR241" s="212"/>
    </row>
    <row r="242" spans="13:252" ht="15.75" hidden="1" customHeight="1" thickTop="1" thickBot="1">
      <c r="M242" s="212"/>
      <c r="N242" s="212"/>
      <c r="O242" s="212"/>
      <c r="P242" s="212"/>
      <c r="Q242" s="212"/>
      <c r="R242" s="212"/>
      <c r="S242" s="212"/>
      <c r="T242" s="212"/>
      <c r="U242" s="212"/>
      <c r="V242" s="212"/>
      <c r="W242" s="212"/>
      <c r="X242" s="212"/>
      <c r="Y242" s="212"/>
      <c r="Z242" s="212"/>
      <c r="AA242" s="212"/>
      <c r="AB242" s="212"/>
      <c r="AC242" s="212"/>
      <c r="AD242" s="212"/>
      <c r="AE242" s="212"/>
      <c r="AF242" s="212"/>
      <c r="AG242" s="212"/>
      <c r="AH242" s="212"/>
      <c r="AI242" s="212"/>
      <c r="AJ242" s="212"/>
      <c r="AK242" s="212"/>
      <c r="AL242" s="212"/>
      <c r="AM242" s="212"/>
      <c r="AN242" s="212"/>
      <c r="AO242" s="212"/>
      <c r="AP242" s="212"/>
      <c r="AQ242" s="212"/>
      <c r="AR242" s="212"/>
      <c r="AS242" s="212"/>
      <c r="AT242" s="212"/>
      <c r="AU242" s="212"/>
      <c r="AV242" s="212"/>
      <c r="AW242" s="212"/>
      <c r="AX242" s="212"/>
      <c r="AY242" s="212"/>
      <c r="AZ242" s="212"/>
      <c r="BA242" s="212"/>
      <c r="BB242" s="212"/>
      <c r="BC242" s="212"/>
      <c r="BD242" s="212"/>
      <c r="BE242" s="212"/>
      <c r="BF242" s="212"/>
      <c r="BG242" s="212"/>
      <c r="BH242" s="212"/>
      <c r="BI242" s="212"/>
      <c r="BJ242" s="212"/>
      <c r="BK242" s="212"/>
      <c r="BL242" s="212"/>
      <c r="BM242" s="212"/>
      <c r="BN242" s="212"/>
      <c r="BO242" s="212"/>
      <c r="BP242" s="212"/>
      <c r="BQ242" s="212"/>
      <c r="BR242" s="212"/>
      <c r="BS242" s="212"/>
      <c r="BT242" s="212"/>
      <c r="BU242" s="212"/>
      <c r="BV242" s="212"/>
      <c r="BW242" s="212"/>
      <c r="BX242" s="212"/>
      <c r="BY242" s="212"/>
      <c r="BZ242" s="212"/>
      <c r="CA242" s="212"/>
      <c r="CB242" s="212"/>
      <c r="CC242" s="212"/>
      <c r="CD242" s="212"/>
      <c r="CE242" s="212"/>
      <c r="CF242" s="212"/>
      <c r="CG242" s="212"/>
      <c r="CH242" s="212"/>
      <c r="CI242" s="212"/>
      <c r="CJ242" s="212"/>
      <c r="CK242" s="212"/>
      <c r="CL242" s="212"/>
      <c r="CM242" s="212"/>
      <c r="CN242" s="212"/>
      <c r="CO242" s="212"/>
      <c r="CP242" s="212"/>
      <c r="CQ242" s="212"/>
      <c r="CR242" s="212"/>
      <c r="CS242" s="212"/>
      <c r="CT242" s="212"/>
      <c r="CU242" s="212"/>
      <c r="CV242" s="212"/>
      <c r="CW242" s="212"/>
      <c r="CX242" s="212"/>
      <c r="CY242" s="212"/>
      <c r="CZ242" s="212"/>
      <c r="DA242" s="212"/>
      <c r="DB242" s="212"/>
      <c r="DC242" s="212"/>
      <c r="DD242" s="212"/>
      <c r="DE242" s="212"/>
      <c r="DF242" s="212"/>
      <c r="DG242" s="212"/>
      <c r="DH242" s="212"/>
      <c r="DI242" s="212"/>
      <c r="DJ242" s="212"/>
      <c r="DK242" s="212"/>
      <c r="DL242" s="212"/>
      <c r="DM242" s="212"/>
      <c r="DN242" s="212"/>
      <c r="DO242" s="212"/>
      <c r="DP242" s="212"/>
      <c r="DQ242" s="212"/>
      <c r="DR242" s="212"/>
      <c r="DS242" s="212"/>
      <c r="DT242" s="212"/>
      <c r="DU242" s="212"/>
      <c r="DV242" s="212"/>
      <c r="DW242" s="212"/>
      <c r="DX242" s="212"/>
      <c r="DY242" s="212"/>
      <c r="DZ242" s="212"/>
      <c r="EA242" s="212"/>
      <c r="EB242" s="212"/>
      <c r="EC242" s="212"/>
      <c r="ED242" s="212"/>
      <c r="EE242" s="212"/>
      <c r="EF242" s="212"/>
      <c r="EG242" s="212"/>
      <c r="EH242" s="212"/>
      <c r="EI242" s="212"/>
      <c r="EJ242" s="212"/>
      <c r="EK242" s="212"/>
      <c r="EL242" s="212"/>
      <c r="EM242" s="212"/>
      <c r="EN242" s="212"/>
      <c r="EO242" s="212"/>
      <c r="EP242" s="212"/>
      <c r="EQ242" s="212"/>
      <c r="ER242" s="212"/>
      <c r="ES242" s="212"/>
      <c r="ET242" s="212"/>
      <c r="EU242" s="212"/>
      <c r="EV242" s="212"/>
      <c r="EW242" s="212"/>
      <c r="EX242" s="212"/>
      <c r="EY242" s="212"/>
      <c r="EZ242" s="212"/>
      <c r="FA242" s="212"/>
      <c r="FB242" s="212"/>
      <c r="FC242" s="212"/>
      <c r="FD242" s="212"/>
      <c r="FE242" s="212"/>
      <c r="FF242" s="212"/>
      <c r="FG242" s="212"/>
      <c r="FH242" s="212"/>
      <c r="FI242" s="212"/>
      <c r="FJ242" s="212"/>
      <c r="FK242" s="212"/>
      <c r="FL242" s="212"/>
      <c r="FM242" s="212"/>
      <c r="FN242" s="212"/>
      <c r="FO242" s="212"/>
      <c r="FP242" s="212"/>
      <c r="FQ242" s="212"/>
      <c r="FR242" s="212"/>
      <c r="FS242" s="212"/>
      <c r="FT242" s="212"/>
      <c r="FU242" s="212"/>
      <c r="FV242" s="212"/>
      <c r="FW242" s="212"/>
      <c r="FX242" s="212"/>
      <c r="FY242" s="212"/>
      <c r="FZ242" s="212"/>
      <c r="GA242" s="212"/>
      <c r="GB242" s="212"/>
      <c r="GC242" s="212"/>
      <c r="GD242" s="212"/>
      <c r="GE242" s="212"/>
      <c r="GF242" s="212"/>
      <c r="GG242" s="212"/>
      <c r="GH242" s="212"/>
      <c r="GI242" s="212"/>
      <c r="GJ242" s="212"/>
      <c r="GK242" s="212"/>
      <c r="GL242" s="212"/>
      <c r="GM242" s="212"/>
      <c r="GN242" s="212"/>
      <c r="GO242" s="212"/>
      <c r="GP242" s="212"/>
      <c r="GQ242" s="212"/>
      <c r="GR242" s="212"/>
      <c r="GS242" s="212"/>
      <c r="GT242" s="212"/>
      <c r="GU242" s="212"/>
      <c r="GV242" s="212"/>
      <c r="GW242" s="212"/>
      <c r="GX242" s="212"/>
      <c r="GY242" s="212"/>
      <c r="GZ242" s="212"/>
      <c r="HA242" s="212"/>
      <c r="HB242" s="212"/>
      <c r="HC242" s="212"/>
      <c r="HD242" s="212"/>
      <c r="HE242" s="212"/>
      <c r="HF242" s="212"/>
      <c r="HG242" s="212"/>
      <c r="HH242" s="212"/>
      <c r="HI242" s="212"/>
      <c r="HJ242" s="212"/>
      <c r="HK242" s="212"/>
      <c r="HL242" s="212"/>
      <c r="HM242" s="212"/>
      <c r="HN242" s="212"/>
      <c r="HO242" s="212"/>
      <c r="HP242" s="212"/>
      <c r="HQ242" s="212"/>
      <c r="HR242" s="212"/>
      <c r="HS242" s="212"/>
      <c r="HT242" s="212"/>
      <c r="HU242" s="212"/>
      <c r="HV242" s="212"/>
      <c r="HW242" s="212"/>
      <c r="HX242" s="212"/>
      <c r="HY242" s="212"/>
      <c r="HZ242" s="212"/>
      <c r="IA242" s="212"/>
      <c r="IB242" s="212"/>
      <c r="IC242" s="212"/>
      <c r="ID242" s="212"/>
      <c r="IE242" s="212"/>
      <c r="IF242" s="212"/>
      <c r="IG242" s="212"/>
      <c r="IH242" s="212"/>
      <c r="II242" s="212"/>
      <c r="IJ242" s="212"/>
      <c r="IK242" s="212"/>
      <c r="IL242" s="212"/>
      <c r="IM242" s="212"/>
      <c r="IN242" s="212"/>
      <c r="IO242" s="212"/>
      <c r="IP242" s="212"/>
      <c r="IQ242" s="212"/>
      <c r="IR242" s="212"/>
    </row>
    <row r="243" spans="13:252" ht="15" hidden="1" customHeight="1" thickTop="1" thickBot="1">
      <c r="M243" s="212"/>
      <c r="N243" s="212"/>
      <c r="O243" s="212"/>
      <c r="P243" s="212"/>
      <c r="Q243" s="212"/>
      <c r="R243" s="212"/>
      <c r="S243" s="212"/>
      <c r="T243" s="212"/>
      <c r="U243" s="212"/>
      <c r="V243" s="212"/>
      <c r="W243" s="212"/>
      <c r="X243" s="212"/>
      <c r="Y243" s="212"/>
      <c r="Z243" s="212"/>
      <c r="AA243" s="212"/>
      <c r="AB243" s="212"/>
      <c r="AC243" s="212"/>
      <c r="AD243" s="212"/>
      <c r="AE243" s="212"/>
      <c r="AF243" s="212"/>
      <c r="AG243" s="212"/>
      <c r="AH243" s="212"/>
      <c r="AI243" s="212"/>
      <c r="AJ243" s="212"/>
      <c r="AK243" s="212"/>
      <c r="AL243" s="212"/>
      <c r="AM243" s="212"/>
      <c r="AN243" s="212"/>
      <c r="AO243" s="212"/>
      <c r="AP243" s="212"/>
      <c r="AQ243" s="212"/>
      <c r="AR243" s="212"/>
      <c r="AS243" s="212"/>
      <c r="AT243" s="212"/>
      <c r="AU243" s="212"/>
      <c r="AV243" s="212"/>
      <c r="AW243" s="212"/>
      <c r="AX243" s="212"/>
      <c r="AY243" s="212"/>
      <c r="AZ243" s="212"/>
      <c r="BA243" s="212"/>
      <c r="BB243" s="212"/>
      <c r="BC243" s="212"/>
      <c r="BD243" s="212"/>
      <c r="BE243" s="212"/>
      <c r="BF243" s="212"/>
      <c r="BG243" s="212"/>
      <c r="BH243" s="212"/>
      <c r="BI243" s="212"/>
      <c r="BJ243" s="212"/>
      <c r="BK243" s="212"/>
      <c r="BL243" s="212"/>
      <c r="BM243" s="212"/>
      <c r="BN243" s="212"/>
      <c r="BO243" s="212"/>
      <c r="BP243" s="212"/>
      <c r="BQ243" s="212"/>
      <c r="BR243" s="212"/>
      <c r="BS243" s="212"/>
      <c r="BT243" s="212"/>
      <c r="BU243" s="212"/>
      <c r="BV243" s="212"/>
      <c r="BW243" s="212"/>
      <c r="BX243" s="212"/>
      <c r="BY243" s="212"/>
      <c r="BZ243" s="212"/>
      <c r="CA243" s="212"/>
      <c r="CB243" s="212"/>
      <c r="CC243" s="212"/>
      <c r="CD243" s="212"/>
      <c r="CE243" s="212"/>
      <c r="CF243" s="212"/>
      <c r="CG243" s="212"/>
      <c r="CH243" s="212"/>
      <c r="CI243" s="212"/>
      <c r="CJ243" s="212"/>
      <c r="CK243" s="212"/>
      <c r="CL243" s="212"/>
      <c r="CM243" s="212"/>
      <c r="CN243" s="212"/>
      <c r="CO243" s="212"/>
      <c r="CP243" s="212"/>
      <c r="CQ243" s="212"/>
      <c r="CR243" s="212"/>
      <c r="CS243" s="212"/>
      <c r="CT243" s="212"/>
      <c r="CU243" s="212"/>
      <c r="CV243" s="212"/>
      <c r="CW243" s="212"/>
      <c r="CX243" s="212"/>
      <c r="CY243" s="212"/>
      <c r="CZ243" s="212"/>
      <c r="DA243" s="212"/>
      <c r="DB243" s="212"/>
      <c r="DC243" s="212"/>
      <c r="DD243" s="212"/>
      <c r="DE243" s="212"/>
      <c r="DF243" s="212"/>
      <c r="DG243" s="212"/>
      <c r="DH243" s="212"/>
      <c r="DI243" s="212"/>
      <c r="DJ243" s="212"/>
      <c r="DK243" s="212"/>
      <c r="DL243" s="212"/>
      <c r="DM243" s="212"/>
      <c r="DN243" s="212"/>
      <c r="DO243" s="212"/>
      <c r="DP243" s="212"/>
      <c r="DQ243" s="212"/>
      <c r="DR243" s="212"/>
      <c r="DS243" s="212"/>
      <c r="DT243" s="212"/>
      <c r="DU243" s="212"/>
      <c r="DV243" s="212"/>
      <c r="DW243" s="212"/>
      <c r="DX243" s="212"/>
      <c r="DY243" s="212"/>
      <c r="DZ243" s="212"/>
      <c r="EA243" s="212"/>
      <c r="EB243" s="212"/>
      <c r="EC243" s="212"/>
      <c r="ED243" s="212"/>
      <c r="EE243" s="212"/>
      <c r="EF243" s="212"/>
      <c r="EG243" s="212"/>
      <c r="EH243" s="212"/>
      <c r="EI243" s="212"/>
      <c r="EJ243" s="212"/>
      <c r="EK243" s="212"/>
      <c r="EL243" s="212"/>
      <c r="EM243" s="212"/>
      <c r="EN243" s="212"/>
      <c r="EO243" s="212"/>
      <c r="EP243" s="212"/>
      <c r="EQ243" s="212"/>
      <c r="ER243" s="212"/>
      <c r="ES243" s="212"/>
      <c r="ET243" s="212"/>
      <c r="EU243" s="212"/>
      <c r="EV243" s="212"/>
      <c r="EW243" s="212"/>
      <c r="EX243" s="212"/>
      <c r="EY243" s="212"/>
      <c r="EZ243" s="212"/>
      <c r="FA243" s="212"/>
      <c r="FB243" s="212"/>
      <c r="FC243" s="212"/>
      <c r="FD243" s="212"/>
      <c r="FE243" s="212"/>
      <c r="FF243" s="212"/>
      <c r="FG243" s="212"/>
      <c r="FH243" s="212"/>
      <c r="FI243" s="212"/>
      <c r="FJ243" s="212"/>
      <c r="FK243" s="212"/>
      <c r="FL243" s="212"/>
      <c r="FM243" s="212"/>
      <c r="FN243" s="212"/>
      <c r="FO243" s="212"/>
      <c r="FP243" s="212"/>
      <c r="FQ243" s="212"/>
      <c r="FR243" s="212"/>
      <c r="FS243" s="212"/>
      <c r="FT243" s="212"/>
      <c r="FU243" s="212"/>
      <c r="FV243" s="212"/>
      <c r="FW243" s="212"/>
      <c r="FX243" s="212"/>
      <c r="FY243" s="212"/>
      <c r="FZ243" s="212"/>
      <c r="GA243" s="212"/>
      <c r="GB243" s="212"/>
      <c r="GC243" s="212"/>
      <c r="GD243" s="212"/>
      <c r="GE243" s="212"/>
      <c r="GF243" s="212"/>
      <c r="GG243" s="212"/>
      <c r="GH243" s="212"/>
      <c r="GI243" s="212"/>
      <c r="GJ243" s="212"/>
      <c r="GK243" s="212"/>
      <c r="GL243" s="212"/>
      <c r="GM243" s="212"/>
      <c r="GN243" s="212"/>
      <c r="GO243" s="212"/>
      <c r="GP243" s="212"/>
      <c r="GQ243" s="212"/>
      <c r="GR243" s="212"/>
      <c r="GS243" s="212"/>
      <c r="GT243" s="212"/>
      <c r="GU243" s="212"/>
      <c r="GV243" s="212"/>
      <c r="GW243" s="212"/>
      <c r="GX243" s="212"/>
      <c r="GY243" s="212"/>
      <c r="GZ243" s="212"/>
      <c r="HA243" s="212"/>
      <c r="HB243" s="212"/>
      <c r="HC243" s="212"/>
      <c r="HD243" s="212"/>
      <c r="HE243" s="212"/>
      <c r="HF243" s="212"/>
      <c r="HG243" s="212"/>
      <c r="HH243" s="212"/>
      <c r="HI243" s="212"/>
      <c r="HJ243" s="212"/>
      <c r="HK243" s="212"/>
      <c r="HL243" s="212"/>
      <c r="HM243" s="212"/>
      <c r="HN243" s="212"/>
      <c r="HO243" s="212"/>
      <c r="HP243" s="212"/>
      <c r="HQ243" s="212"/>
      <c r="HR243" s="212"/>
      <c r="HS243" s="212"/>
      <c r="HT243" s="212"/>
      <c r="HU243" s="212"/>
      <c r="HV243" s="212"/>
      <c r="HW243" s="212"/>
      <c r="HX243" s="212"/>
      <c r="HY243" s="212"/>
      <c r="HZ243" s="212"/>
      <c r="IA243" s="212"/>
      <c r="IB243" s="212"/>
      <c r="IC243" s="212"/>
      <c r="ID243" s="212"/>
      <c r="IE243" s="212"/>
      <c r="IF243" s="212"/>
      <c r="IG243" s="212"/>
      <c r="IH243" s="212"/>
      <c r="II243" s="212"/>
      <c r="IJ243" s="212"/>
      <c r="IK243" s="212"/>
      <c r="IL243" s="212"/>
      <c r="IM243" s="212"/>
      <c r="IN243" s="212"/>
      <c r="IO243" s="212"/>
      <c r="IP243" s="212"/>
      <c r="IQ243" s="212"/>
      <c r="IR243" s="212"/>
    </row>
    <row r="244" spans="13:252" ht="16.5" hidden="1" customHeight="1" thickTop="1" thickBot="1">
      <c r="M244" s="212"/>
      <c r="N244" s="212"/>
      <c r="O244" s="212"/>
      <c r="P244" s="212"/>
      <c r="Q244" s="212"/>
      <c r="R244" s="212"/>
      <c r="S244" s="212"/>
      <c r="T244" s="212"/>
      <c r="U244" s="212"/>
      <c r="V244" s="212"/>
      <c r="W244" s="212"/>
      <c r="X244" s="212"/>
      <c r="Y244" s="212"/>
      <c r="Z244" s="212"/>
      <c r="AA244" s="212"/>
      <c r="AB244" s="212"/>
      <c r="AC244" s="212"/>
      <c r="AD244" s="212"/>
      <c r="AE244" s="212"/>
      <c r="AF244" s="212"/>
      <c r="AG244" s="212"/>
      <c r="AH244" s="212"/>
      <c r="AI244" s="212"/>
      <c r="AJ244" s="212"/>
      <c r="AK244" s="212"/>
      <c r="AL244" s="212"/>
      <c r="AM244" s="212"/>
      <c r="AN244" s="212"/>
      <c r="AO244" s="212"/>
      <c r="AP244" s="212"/>
      <c r="AQ244" s="212"/>
      <c r="AR244" s="212"/>
      <c r="AS244" s="212"/>
      <c r="AT244" s="212"/>
      <c r="AU244" s="212"/>
      <c r="AV244" s="212"/>
      <c r="AW244" s="212"/>
      <c r="AX244" s="212"/>
      <c r="AY244" s="212"/>
      <c r="AZ244" s="212"/>
      <c r="BA244" s="212"/>
      <c r="BB244" s="212"/>
      <c r="BC244" s="212"/>
      <c r="BD244" s="212"/>
      <c r="BE244" s="212"/>
      <c r="BF244" s="212"/>
      <c r="BG244" s="212"/>
      <c r="BH244" s="212"/>
      <c r="BI244" s="212"/>
      <c r="BJ244" s="212"/>
      <c r="BK244" s="212"/>
      <c r="BL244" s="212"/>
      <c r="BM244" s="212"/>
      <c r="BN244" s="212"/>
      <c r="BO244" s="212"/>
      <c r="BP244" s="212"/>
      <c r="BQ244" s="212"/>
      <c r="BR244" s="212"/>
      <c r="BS244" s="212"/>
      <c r="BT244" s="212"/>
      <c r="BU244" s="212"/>
      <c r="BV244" s="212"/>
      <c r="BW244" s="212"/>
      <c r="BX244" s="212"/>
      <c r="BY244" s="212"/>
      <c r="BZ244" s="212"/>
      <c r="CA244" s="212"/>
      <c r="CB244" s="212"/>
      <c r="CC244" s="212"/>
      <c r="CD244" s="212"/>
      <c r="CE244" s="212"/>
      <c r="CF244" s="212"/>
      <c r="CG244" s="212"/>
      <c r="CH244" s="212"/>
      <c r="CI244" s="212"/>
      <c r="CJ244" s="212"/>
      <c r="CK244" s="212"/>
      <c r="CL244" s="212"/>
      <c r="CM244" s="212"/>
      <c r="CN244" s="212"/>
      <c r="CO244" s="212"/>
      <c r="CP244" s="212"/>
      <c r="CQ244" s="212"/>
      <c r="CR244" s="212"/>
      <c r="CS244" s="212"/>
      <c r="CT244" s="212"/>
      <c r="CU244" s="212"/>
      <c r="CV244" s="212"/>
      <c r="CW244" s="212"/>
      <c r="CX244" s="212"/>
      <c r="CY244" s="212"/>
      <c r="CZ244" s="212"/>
      <c r="DA244" s="212"/>
      <c r="DB244" s="212"/>
      <c r="DC244" s="212"/>
      <c r="DD244" s="212"/>
      <c r="DE244" s="212"/>
      <c r="DF244" s="212"/>
      <c r="DG244" s="212"/>
      <c r="DH244" s="212"/>
      <c r="DI244" s="212"/>
      <c r="DJ244" s="212"/>
      <c r="DK244" s="212"/>
      <c r="DL244" s="212"/>
      <c r="DM244" s="212"/>
      <c r="DN244" s="212"/>
      <c r="DO244" s="212"/>
      <c r="DP244" s="212"/>
      <c r="DQ244" s="212"/>
      <c r="DR244" s="212"/>
      <c r="DS244" s="212"/>
      <c r="DT244" s="212"/>
      <c r="DU244" s="212"/>
      <c r="DV244" s="212"/>
      <c r="DW244" s="212"/>
      <c r="DX244" s="212"/>
      <c r="DY244" s="212"/>
      <c r="DZ244" s="212"/>
      <c r="EA244" s="212"/>
      <c r="EB244" s="212"/>
      <c r="EC244" s="212"/>
      <c r="ED244" s="212"/>
      <c r="EE244" s="212"/>
      <c r="EF244" s="212"/>
      <c r="EG244" s="212"/>
      <c r="EH244" s="212"/>
      <c r="EI244" s="212"/>
      <c r="EJ244" s="212"/>
      <c r="EK244" s="212"/>
      <c r="EL244" s="212"/>
      <c r="EM244" s="212"/>
      <c r="EN244" s="212"/>
      <c r="EO244" s="212"/>
      <c r="EP244" s="212"/>
      <c r="EQ244" s="212"/>
      <c r="ER244" s="212"/>
      <c r="ES244" s="212"/>
      <c r="ET244" s="212"/>
      <c r="EU244" s="212"/>
      <c r="EV244" s="212"/>
      <c r="EW244" s="212"/>
      <c r="EX244" s="212"/>
      <c r="EY244" s="212"/>
      <c r="EZ244" s="212"/>
      <c r="FA244" s="212"/>
      <c r="FB244" s="212"/>
      <c r="FC244" s="212"/>
      <c r="FD244" s="212"/>
      <c r="FE244" s="212"/>
      <c r="FF244" s="212"/>
      <c r="FG244" s="212"/>
      <c r="FH244" s="212"/>
      <c r="FI244" s="212"/>
      <c r="FJ244" s="212"/>
      <c r="FK244" s="212"/>
      <c r="FL244" s="212"/>
      <c r="FM244" s="212"/>
      <c r="FN244" s="212"/>
      <c r="FO244" s="212"/>
      <c r="FP244" s="212"/>
      <c r="FQ244" s="212"/>
      <c r="FR244" s="212"/>
      <c r="FS244" s="212"/>
      <c r="FT244" s="212"/>
      <c r="FU244" s="212"/>
      <c r="FV244" s="212"/>
      <c r="FW244" s="212"/>
      <c r="FX244" s="212"/>
      <c r="FY244" s="212"/>
      <c r="FZ244" s="212"/>
      <c r="GA244" s="212"/>
      <c r="GB244" s="212"/>
      <c r="GC244" s="212"/>
      <c r="GD244" s="212"/>
      <c r="GE244" s="212"/>
      <c r="GF244" s="212"/>
      <c r="GG244" s="212"/>
      <c r="GH244" s="212"/>
      <c r="GI244" s="212"/>
      <c r="GJ244" s="212"/>
      <c r="GK244" s="212"/>
      <c r="GL244" s="212"/>
      <c r="GM244" s="212"/>
      <c r="GN244" s="212"/>
      <c r="GO244" s="212"/>
      <c r="GP244" s="212"/>
      <c r="GQ244" s="212"/>
      <c r="GR244" s="212"/>
      <c r="GS244" s="212"/>
      <c r="GT244" s="212"/>
      <c r="GU244" s="212"/>
      <c r="GV244" s="212"/>
      <c r="GW244" s="212"/>
      <c r="GX244" s="212"/>
      <c r="GY244" s="212"/>
      <c r="GZ244" s="212"/>
      <c r="HA244" s="212"/>
      <c r="HB244" s="212"/>
      <c r="HC244" s="212"/>
      <c r="HD244" s="212"/>
      <c r="HE244" s="212"/>
      <c r="HF244" s="212"/>
      <c r="HG244" s="212"/>
      <c r="HH244" s="212"/>
      <c r="HI244" s="212"/>
      <c r="HJ244" s="212"/>
      <c r="HK244" s="212"/>
      <c r="HL244" s="212"/>
      <c r="HM244" s="212"/>
      <c r="HN244" s="212"/>
      <c r="HO244" s="212"/>
      <c r="HP244" s="212"/>
      <c r="HQ244" s="212"/>
      <c r="HR244" s="212"/>
      <c r="HS244" s="212"/>
      <c r="HT244" s="212"/>
      <c r="HU244" s="212"/>
      <c r="HV244" s="212"/>
      <c r="HW244" s="212"/>
      <c r="HX244" s="212"/>
      <c r="HY244" s="212"/>
      <c r="HZ244" s="212"/>
      <c r="IA244" s="212"/>
      <c r="IB244" s="212"/>
      <c r="IC244" s="212"/>
      <c r="ID244" s="212"/>
      <c r="IE244" s="212"/>
      <c r="IF244" s="212"/>
      <c r="IG244" s="212"/>
      <c r="IH244" s="212"/>
      <c r="II244" s="212"/>
      <c r="IJ244" s="212"/>
      <c r="IK244" s="212"/>
      <c r="IL244" s="212"/>
      <c r="IM244" s="212"/>
      <c r="IN244" s="212"/>
      <c r="IO244" s="212"/>
      <c r="IP244" s="212"/>
      <c r="IQ244" s="212"/>
      <c r="IR244" s="212"/>
    </row>
    <row r="245" spans="13:252" ht="16.5" hidden="1" customHeight="1" thickTop="1" thickBot="1">
      <c r="M245" s="212"/>
      <c r="N245" s="212"/>
      <c r="O245" s="212"/>
      <c r="P245" s="212"/>
      <c r="Q245" s="212"/>
      <c r="R245" s="212"/>
      <c r="S245" s="212"/>
      <c r="T245" s="212"/>
      <c r="U245" s="212"/>
      <c r="V245" s="212"/>
      <c r="W245" s="212"/>
      <c r="X245" s="212"/>
      <c r="Y245" s="212"/>
      <c r="Z245" s="212"/>
      <c r="AA245" s="212"/>
      <c r="AB245" s="212"/>
      <c r="AC245" s="212"/>
      <c r="AD245" s="212"/>
      <c r="AE245" s="212"/>
      <c r="AF245" s="212"/>
      <c r="AG245" s="212"/>
      <c r="AH245" s="212"/>
      <c r="AI245" s="212"/>
      <c r="AJ245" s="212"/>
      <c r="AK245" s="212"/>
      <c r="AL245" s="212"/>
      <c r="AM245" s="212"/>
      <c r="AN245" s="212"/>
      <c r="AO245" s="212"/>
      <c r="AP245" s="212"/>
      <c r="AQ245" s="212"/>
      <c r="AR245" s="212"/>
      <c r="AS245" s="212"/>
      <c r="AT245" s="212"/>
      <c r="AU245" s="212"/>
      <c r="AV245" s="212"/>
      <c r="AW245" s="212"/>
      <c r="AX245" s="212"/>
      <c r="AY245" s="212"/>
      <c r="AZ245" s="212"/>
      <c r="BA245" s="212"/>
      <c r="BB245" s="212"/>
      <c r="BC245" s="212"/>
      <c r="BD245" s="212"/>
      <c r="BE245" s="212"/>
      <c r="BF245" s="212"/>
      <c r="BG245" s="212"/>
      <c r="BH245" s="212"/>
      <c r="BI245" s="212"/>
      <c r="BJ245" s="212"/>
      <c r="BK245" s="212"/>
      <c r="BL245" s="212"/>
      <c r="BM245" s="212"/>
      <c r="BN245" s="212"/>
      <c r="BO245" s="212"/>
      <c r="BP245" s="212"/>
      <c r="BQ245" s="212"/>
      <c r="BR245" s="212"/>
      <c r="BS245" s="212"/>
      <c r="BT245" s="212"/>
      <c r="BU245" s="212"/>
      <c r="BV245" s="212"/>
      <c r="BW245" s="212"/>
      <c r="BX245" s="212"/>
      <c r="BY245" s="212"/>
      <c r="BZ245" s="212"/>
      <c r="CA245" s="212"/>
      <c r="CB245" s="212"/>
      <c r="CC245" s="212"/>
      <c r="CD245" s="212"/>
      <c r="CE245" s="212"/>
      <c r="CF245" s="212"/>
      <c r="CG245" s="212"/>
      <c r="CH245" s="212"/>
      <c r="CI245" s="212"/>
      <c r="CJ245" s="212"/>
      <c r="CK245" s="212"/>
      <c r="CL245" s="212"/>
      <c r="CM245" s="212"/>
      <c r="CN245" s="212"/>
      <c r="CO245" s="212"/>
      <c r="CP245" s="212"/>
      <c r="CQ245" s="212"/>
      <c r="CR245" s="212"/>
      <c r="CS245" s="212"/>
      <c r="CT245" s="212"/>
      <c r="CU245" s="212"/>
      <c r="CV245" s="212"/>
      <c r="CW245" s="212"/>
      <c r="CX245" s="212"/>
      <c r="CY245" s="212"/>
      <c r="CZ245" s="212"/>
      <c r="DA245" s="212"/>
      <c r="DB245" s="212"/>
      <c r="DC245" s="212"/>
      <c r="DD245" s="212"/>
      <c r="DE245" s="212"/>
      <c r="DF245" s="212"/>
      <c r="DG245" s="212"/>
      <c r="DH245" s="212"/>
      <c r="DI245" s="212"/>
      <c r="DJ245" s="212"/>
      <c r="DK245" s="212"/>
      <c r="DL245" s="212"/>
      <c r="DM245" s="212"/>
      <c r="DN245" s="212"/>
      <c r="DO245" s="212"/>
      <c r="DP245" s="212"/>
      <c r="DQ245" s="212"/>
      <c r="DR245" s="212"/>
      <c r="DS245" s="212"/>
      <c r="DT245" s="212"/>
      <c r="DU245" s="212"/>
      <c r="DV245" s="212"/>
      <c r="DW245" s="212"/>
      <c r="DX245" s="212"/>
      <c r="DY245" s="212"/>
      <c r="DZ245" s="212"/>
      <c r="EA245" s="212"/>
      <c r="EB245" s="212"/>
      <c r="EC245" s="212"/>
      <c r="ED245" s="212"/>
      <c r="EE245" s="212"/>
      <c r="EF245" s="212"/>
      <c r="EG245" s="212"/>
      <c r="EH245" s="212"/>
      <c r="EI245" s="212"/>
      <c r="EJ245" s="212"/>
      <c r="EK245" s="212"/>
      <c r="EL245" s="212"/>
      <c r="EM245" s="212"/>
      <c r="EN245" s="212"/>
      <c r="EO245" s="212"/>
      <c r="EP245" s="212"/>
      <c r="EQ245" s="212"/>
      <c r="ER245" s="212"/>
      <c r="ES245" s="212"/>
      <c r="ET245" s="212"/>
      <c r="EU245" s="212"/>
      <c r="EV245" s="212"/>
      <c r="EW245" s="212"/>
      <c r="EX245" s="212"/>
      <c r="EY245" s="212"/>
      <c r="EZ245" s="212"/>
      <c r="FA245" s="212"/>
      <c r="FB245" s="212"/>
      <c r="FC245" s="212"/>
      <c r="FD245" s="212"/>
      <c r="FE245" s="212"/>
      <c r="FF245" s="212"/>
      <c r="FG245" s="212"/>
      <c r="FH245" s="212"/>
      <c r="FI245" s="212"/>
      <c r="FJ245" s="212"/>
      <c r="FK245" s="212"/>
      <c r="FL245" s="212"/>
      <c r="FM245" s="212"/>
      <c r="FN245" s="212"/>
      <c r="FO245" s="212"/>
      <c r="FP245" s="212"/>
      <c r="FQ245" s="212"/>
      <c r="FR245" s="212"/>
      <c r="FS245" s="212"/>
      <c r="FT245" s="212"/>
      <c r="FU245" s="212"/>
      <c r="FV245" s="212"/>
      <c r="FW245" s="212"/>
      <c r="FX245" s="212"/>
      <c r="FY245" s="212"/>
      <c r="FZ245" s="212"/>
      <c r="GA245" s="212"/>
      <c r="GB245" s="212"/>
      <c r="GC245" s="212"/>
      <c r="GD245" s="212"/>
      <c r="GE245" s="212"/>
      <c r="GF245" s="212"/>
      <c r="GG245" s="212"/>
      <c r="GH245" s="212"/>
      <c r="GI245" s="212"/>
      <c r="GJ245" s="212"/>
      <c r="GK245" s="212"/>
      <c r="GL245" s="212"/>
      <c r="GM245" s="212"/>
      <c r="GN245" s="212"/>
      <c r="GO245" s="212"/>
      <c r="GP245" s="212"/>
      <c r="GQ245" s="212"/>
      <c r="GR245" s="212"/>
      <c r="GS245" s="212"/>
      <c r="GT245" s="212"/>
      <c r="GU245" s="212"/>
      <c r="GV245" s="212"/>
      <c r="GW245" s="212"/>
      <c r="GX245" s="212"/>
      <c r="GY245" s="212"/>
      <c r="GZ245" s="212"/>
      <c r="HA245" s="212"/>
      <c r="HB245" s="212"/>
      <c r="HC245" s="212"/>
      <c r="HD245" s="212"/>
      <c r="HE245" s="212"/>
      <c r="HF245" s="212"/>
      <c r="HG245" s="212"/>
      <c r="HH245" s="212"/>
      <c r="HI245" s="212"/>
      <c r="HJ245" s="212"/>
      <c r="HK245" s="212"/>
      <c r="HL245" s="212"/>
      <c r="HM245" s="212"/>
      <c r="HN245" s="212"/>
      <c r="HO245" s="212"/>
      <c r="HP245" s="212"/>
      <c r="HQ245" s="212"/>
      <c r="HR245" s="212"/>
      <c r="HS245" s="212"/>
      <c r="HT245" s="212"/>
      <c r="HU245" s="212"/>
      <c r="HV245" s="212"/>
      <c r="HW245" s="212"/>
      <c r="HX245" s="212"/>
      <c r="HY245" s="212"/>
      <c r="HZ245" s="212"/>
      <c r="IA245" s="212"/>
      <c r="IB245" s="212"/>
      <c r="IC245" s="212"/>
      <c r="ID245" s="212"/>
      <c r="IE245" s="212"/>
      <c r="IF245" s="212"/>
      <c r="IG245" s="212"/>
      <c r="IH245" s="212"/>
      <c r="II245" s="212"/>
      <c r="IJ245" s="212"/>
      <c r="IK245" s="212"/>
      <c r="IL245" s="212"/>
      <c r="IM245" s="212"/>
      <c r="IN245" s="212"/>
      <c r="IO245" s="212"/>
      <c r="IP245" s="212"/>
      <c r="IQ245" s="212"/>
      <c r="IR245" s="212"/>
    </row>
    <row r="246" spans="13:252" ht="16.5" hidden="1" customHeight="1" thickTop="1" thickBot="1">
      <c r="M246" s="212"/>
      <c r="N246" s="212"/>
      <c r="O246" s="212"/>
      <c r="P246" s="212"/>
      <c r="Q246" s="212"/>
      <c r="R246" s="212"/>
      <c r="S246" s="212"/>
      <c r="T246" s="212"/>
      <c r="U246" s="212"/>
      <c r="V246" s="212"/>
      <c r="W246" s="212"/>
      <c r="X246" s="212"/>
      <c r="Y246" s="212"/>
      <c r="Z246" s="212"/>
      <c r="AA246" s="212"/>
      <c r="AB246" s="212"/>
      <c r="AC246" s="212"/>
      <c r="AD246" s="212"/>
      <c r="AE246" s="212"/>
      <c r="AF246" s="212"/>
      <c r="AG246" s="212"/>
      <c r="AH246" s="212"/>
      <c r="AI246" s="212"/>
      <c r="AJ246" s="212"/>
      <c r="AK246" s="212"/>
      <c r="AL246" s="212"/>
      <c r="AM246" s="212"/>
      <c r="AN246" s="212"/>
      <c r="AO246" s="212"/>
      <c r="AP246" s="212"/>
      <c r="AQ246" s="212"/>
      <c r="AR246" s="212"/>
      <c r="AS246" s="212"/>
      <c r="AT246" s="212"/>
      <c r="AU246" s="212"/>
      <c r="AV246" s="212"/>
      <c r="AW246" s="212"/>
      <c r="AX246" s="212"/>
      <c r="AY246" s="212"/>
      <c r="AZ246" s="212"/>
      <c r="BA246" s="212"/>
      <c r="BB246" s="212"/>
      <c r="BC246" s="212"/>
      <c r="BD246" s="212"/>
      <c r="BE246" s="212"/>
      <c r="BF246" s="212"/>
      <c r="BG246" s="212"/>
      <c r="BH246" s="212"/>
      <c r="BI246" s="212"/>
      <c r="BJ246" s="212"/>
      <c r="BK246" s="212"/>
      <c r="BL246" s="212"/>
      <c r="BM246" s="212"/>
      <c r="BN246" s="212"/>
      <c r="BO246" s="212"/>
      <c r="BP246" s="212"/>
      <c r="BQ246" s="212"/>
      <c r="BR246" s="212"/>
      <c r="BS246" s="212"/>
      <c r="BT246" s="212"/>
      <c r="BU246" s="212"/>
      <c r="BV246" s="212"/>
      <c r="BW246" s="212"/>
      <c r="BX246" s="212"/>
      <c r="BY246" s="212"/>
      <c r="BZ246" s="212"/>
      <c r="CA246" s="212"/>
      <c r="CB246" s="212"/>
      <c r="CC246" s="212"/>
      <c r="CD246" s="212"/>
      <c r="CE246" s="212"/>
      <c r="CF246" s="212"/>
      <c r="CG246" s="212"/>
      <c r="CH246" s="212"/>
      <c r="CI246" s="212"/>
      <c r="CJ246" s="212"/>
      <c r="CK246" s="212"/>
      <c r="CL246" s="212"/>
      <c r="CM246" s="212"/>
      <c r="CN246" s="212"/>
      <c r="CO246" s="212"/>
      <c r="CP246" s="212"/>
      <c r="CQ246" s="212"/>
      <c r="CR246" s="212"/>
      <c r="CS246" s="212"/>
      <c r="CT246" s="212"/>
      <c r="CU246" s="212"/>
      <c r="CV246" s="212"/>
      <c r="CW246" s="212"/>
      <c r="CX246" s="212"/>
      <c r="CY246" s="212"/>
      <c r="CZ246" s="212"/>
      <c r="DA246" s="212"/>
      <c r="DB246" s="212"/>
      <c r="DC246" s="212"/>
      <c r="DD246" s="212"/>
      <c r="DE246" s="212"/>
      <c r="DF246" s="212"/>
      <c r="DG246" s="212"/>
      <c r="DH246" s="212"/>
      <c r="DI246" s="212"/>
      <c r="DJ246" s="212"/>
      <c r="DK246" s="212"/>
      <c r="DL246" s="212"/>
      <c r="DM246" s="212"/>
      <c r="DN246" s="212"/>
      <c r="DO246" s="212"/>
      <c r="DP246" s="212"/>
      <c r="DQ246" s="212"/>
      <c r="DR246" s="212"/>
      <c r="DS246" s="212"/>
      <c r="DT246" s="212"/>
      <c r="DU246" s="212"/>
      <c r="DV246" s="212"/>
      <c r="DW246" s="212"/>
      <c r="DX246" s="212"/>
      <c r="DY246" s="212"/>
      <c r="DZ246" s="212"/>
      <c r="EA246" s="212"/>
      <c r="EB246" s="212"/>
      <c r="EC246" s="212"/>
      <c r="ED246" s="212"/>
      <c r="EE246" s="212"/>
      <c r="EF246" s="212"/>
      <c r="EG246" s="212"/>
      <c r="EH246" s="212"/>
      <c r="EI246" s="212"/>
      <c r="EJ246" s="212"/>
      <c r="EK246" s="212"/>
      <c r="EL246" s="212"/>
      <c r="EM246" s="212"/>
      <c r="EN246" s="212"/>
      <c r="EO246" s="212"/>
      <c r="EP246" s="212"/>
      <c r="EQ246" s="212"/>
      <c r="ER246" s="212"/>
      <c r="ES246" s="212"/>
      <c r="ET246" s="212"/>
      <c r="EU246" s="212"/>
      <c r="EV246" s="212"/>
      <c r="EW246" s="212"/>
      <c r="EX246" s="212"/>
      <c r="EY246" s="212"/>
      <c r="EZ246" s="212"/>
      <c r="FA246" s="212"/>
      <c r="FB246" s="212"/>
      <c r="FC246" s="212"/>
      <c r="FD246" s="212"/>
      <c r="FE246" s="212"/>
      <c r="FF246" s="212"/>
      <c r="FG246" s="212"/>
      <c r="FH246" s="212"/>
      <c r="FI246" s="212"/>
      <c r="FJ246" s="212"/>
      <c r="FK246" s="212"/>
      <c r="FL246" s="212"/>
      <c r="FM246" s="212"/>
      <c r="FN246" s="212"/>
      <c r="FO246" s="212"/>
      <c r="FP246" s="212"/>
      <c r="FQ246" s="212"/>
      <c r="FR246" s="212"/>
      <c r="FS246" s="212"/>
      <c r="FT246" s="212"/>
      <c r="FU246" s="212"/>
      <c r="FV246" s="212"/>
      <c r="FW246" s="212"/>
      <c r="FX246" s="212"/>
      <c r="FY246" s="212"/>
      <c r="FZ246" s="212"/>
      <c r="GA246" s="212"/>
      <c r="GB246" s="212"/>
      <c r="GC246" s="212"/>
      <c r="GD246" s="212"/>
      <c r="GE246" s="212"/>
      <c r="GF246" s="212"/>
      <c r="GG246" s="212"/>
      <c r="GH246" s="212"/>
      <c r="GI246" s="212"/>
      <c r="GJ246" s="212"/>
      <c r="GK246" s="212"/>
      <c r="GL246" s="212"/>
      <c r="GM246" s="212"/>
      <c r="GN246" s="212"/>
      <c r="GO246" s="212"/>
      <c r="GP246" s="212"/>
      <c r="GQ246" s="212"/>
      <c r="GR246" s="212"/>
      <c r="GS246" s="212"/>
      <c r="GT246" s="212"/>
      <c r="GU246" s="212"/>
      <c r="GV246" s="212"/>
      <c r="GW246" s="212"/>
      <c r="GX246" s="212"/>
      <c r="GY246" s="212"/>
      <c r="GZ246" s="212"/>
      <c r="HA246" s="212"/>
      <c r="HB246" s="212"/>
      <c r="HC246" s="212"/>
      <c r="HD246" s="212"/>
      <c r="HE246" s="212"/>
      <c r="HF246" s="212"/>
      <c r="HG246" s="212"/>
      <c r="HH246" s="212"/>
      <c r="HI246" s="212"/>
      <c r="HJ246" s="212"/>
      <c r="HK246" s="212"/>
      <c r="HL246" s="212"/>
      <c r="HM246" s="212"/>
      <c r="HN246" s="212"/>
      <c r="HO246" s="212"/>
      <c r="HP246" s="212"/>
      <c r="HQ246" s="212"/>
      <c r="HR246" s="212"/>
      <c r="HS246" s="212"/>
      <c r="HT246" s="212"/>
      <c r="HU246" s="212"/>
      <c r="HV246" s="212"/>
      <c r="HW246" s="212"/>
      <c r="HX246" s="212"/>
      <c r="HY246" s="212"/>
      <c r="HZ246" s="212"/>
      <c r="IA246" s="212"/>
      <c r="IB246" s="212"/>
      <c r="IC246" s="212"/>
      <c r="ID246" s="212"/>
      <c r="IE246" s="212"/>
      <c r="IF246" s="212"/>
      <c r="IG246" s="212"/>
      <c r="IH246" s="212"/>
      <c r="II246" s="212"/>
      <c r="IJ246" s="212"/>
      <c r="IK246" s="212"/>
      <c r="IL246" s="212"/>
      <c r="IM246" s="212"/>
      <c r="IN246" s="212"/>
      <c r="IO246" s="212"/>
      <c r="IP246" s="212"/>
      <c r="IQ246" s="212"/>
      <c r="IR246" s="212"/>
    </row>
    <row r="247" spans="13:252" ht="16.5" hidden="1" customHeight="1" thickTop="1" thickBot="1">
      <c r="M247" s="212"/>
      <c r="N247" s="212"/>
      <c r="O247" s="212"/>
      <c r="P247" s="212"/>
      <c r="Q247" s="212"/>
      <c r="R247" s="212"/>
      <c r="S247" s="212"/>
      <c r="T247" s="212"/>
      <c r="U247" s="212"/>
      <c r="V247" s="212"/>
      <c r="W247" s="212"/>
      <c r="X247" s="212"/>
      <c r="Y247" s="212"/>
      <c r="Z247" s="212"/>
      <c r="AA247" s="212"/>
      <c r="AB247" s="212"/>
      <c r="AC247" s="212"/>
      <c r="AD247" s="212"/>
      <c r="AE247" s="212"/>
      <c r="AF247" s="212"/>
      <c r="AG247" s="212"/>
      <c r="AH247" s="212"/>
      <c r="AI247" s="212"/>
      <c r="AJ247" s="212"/>
      <c r="AK247" s="212"/>
      <c r="AL247" s="212"/>
      <c r="AM247" s="212"/>
      <c r="AN247" s="212"/>
      <c r="AO247" s="212"/>
      <c r="AP247" s="212"/>
      <c r="AQ247" s="212"/>
      <c r="AR247" s="212"/>
      <c r="AS247" s="212"/>
      <c r="AT247" s="212"/>
      <c r="AU247" s="212"/>
      <c r="AV247" s="212"/>
      <c r="AW247" s="212"/>
      <c r="AX247" s="212"/>
      <c r="AY247" s="212"/>
      <c r="AZ247" s="212"/>
      <c r="BA247" s="212"/>
      <c r="BB247" s="212"/>
      <c r="BC247" s="212"/>
      <c r="BD247" s="212"/>
      <c r="BE247" s="212"/>
      <c r="BF247" s="212"/>
      <c r="BG247" s="212"/>
      <c r="BH247" s="212"/>
      <c r="BI247" s="212"/>
      <c r="BJ247" s="212"/>
      <c r="BK247" s="212"/>
      <c r="BL247" s="212"/>
      <c r="BM247" s="212"/>
      <c r="BN247" s="212"/>
      <c r="BO247" s="212"/>
      <c r="BP247" s="212"/>
      <c r="BQ247" s="212"/>
      <c r="BR247" s="212"/>
      <c r="BS247" s="212"/>
      <c r="BT247" s="212"/>
      <c r="BU247" s="212"/>
      <c r="BV247" s="212"/>
      <c r="BW247" s="212"/>
      <c r="BX247" s="212"/>
      <c r="BY247" s="212"/>
      <c r="BZ247" s="212"/>
      <c r="CA247" s="212"/>
      <c r="CB247" s="212"/>
      <c r="CC247" s="212"/>
      <c r="CD247" s="212"/>
      <c r="CE247" s="212"/>
      <c r="CF247" s="212"/>
      <c r="CG247" s="212"/>
      <c r="CH247" s="212"/>
      <c r="CI247" s="212"/>
      <c r="CJ247" s="212"/>
      <c r="CK247" s="212"/>
      <c r="CL247" s="212"/>
      <c r="CM247" s="212"/>
      <c r="CN247" s="212"/>
      <c r="CO247" s="212"/>
      <c r="CP247" s="212"/>
      <c r="CQ247" s="212"/>
      <c r="CR247" s="212"/>
      <c r="CS247" s="212"/>
      <c r="CT247" s="212"/>
      <c r="CU247" s="212"/>
      <c r="CV247" s="212"/>
      <c r="CW247" s="212"/>
      <c r="CX247" s="212"/>
      <c r="CY247" s="212"/>
      <c r="CZ247" s="212"/>
      <c r="DA247" s="212"/>
      <c r="DB247" s="212"/>
      <c r="DC247" s="212"/>
      <c r="DD247" s="212"/>
      <c r="DE247" s="212"/>
      <c r="DF247" s="212"/>
      <c r="DG247" s="212"/>
      <c r="DH247" s="212"/>
      <c r="DI247" s="212"/>
      <c r="DJ247" s="212"/>
      <c r="DK247" s="212"/>
      <c r="DL247" s="212"/>
      <c r="DM247" s="212"/>
      <c r="DN247" s="212"/>
      <c r="DO247" s="212"/>
      <c r="DP247" s="212"/>
      <c r="DQ247" s="212"/>
      <c r="DR247" s="212"/>
      <c r="DS247" s="212"/>
      <c r="DT247" s="212"/>
      <c r="DU247" s="212"/>
      <c r="DV247" s="212"/>
      <c r="DW247" s="212"/>
      <c r="DX247" s="212"/>
      <c r="DY247" s="212"/>
      <c r="DZ247" s="212"/>
      <c r="EA247" s="212"/>
      <c r="EB247" s="212"/>
      <c r="EC247" s="212"/>
      <c r="ED247" s="212"/>
      <c r="EE247" s="212"/>
      <c r="EF247" s="212"/>
      <c r="EG247" s="212"/>
      <c r="EH247" s="212"/>
      <c r="EI247" s="212"/>
      <c r="EJ247" s="212"/>
      <c r="EK247" s="212"/>
      <c r="EL247" s="212"/>
      <c r="EM247" s="212"/>
      <c r="EN247" s="212"/>
      <c r="EO247" s="212"/>
      <c r="EP247" s="212"/>
      <c r="EQ247" s="212"/>
      <c r="ER247" s="212"/>
      <c r="ES247" s="212"/>
      <c r="ET247" s="212"/>
      <c r="EU247" s="212"/>
      <c r="EV247" s="212"/>
      <c r="EW247" s="212"/>
      <c r="EX247" s="212"/>
      <c r="EY247" s="212"/>
      <c r="EZ247" s="212"/>
      <c r="FA247" s="212"/>
      <c r="FB247" s="212"/>
      <c r="FC247" s="212"/>
      <c r="FD247" s="212"/>
      <c r="FE247" s="212"/>
      <c r="FF247" s="212"/>
      <c r="FG247" s="212"/>
      <c r="FH247" s="212"/>
      <c r="FI247" s="212"/>
      <c r="FJ247" s="212"/>
      <c r="FK247" s="212"/>
      <c r="FL247" s="212"/>
      <c r="FM247" s="212"/>
      <c r="FN247" s="212"/>
      <c r="FO247" s="212"/>
      <c r="FP247" s="212"/>
      <c r="FQ247" s="212"/>
      <c r="FR247" s="212"/>
      <c r="FS247" s="212"/>
      <c r="FT247" s="212"/>
      <c r="FU247" s="212"/>
      <c r="FV247" s="212"/>
      <c r="FW247" s="212"/>
      <c r="FX247" s="212"/>
      <c r="FY247" s="212"/>
      <c r="FZ247" s="212"/>
      <c r="GA247" s="212"/>
      <c r="GB247" s="212"/>
      <c r="GC247" s="212"/>
      <c r="GD247" s="212"/>
      <c r="GE247" s="212"/>
      <c r="GF247" s="212"/>
      <c r="GG247" s="212"/>
      <c r="GH247" s="212"/>
      <c r="GI247" s="212"/>
      <c r="GJ247" s="212"/>
      <c r="GK247" s="212"/>
      <c r="GL247" s="212"/>
      <c r="GM247" s="212"/>
      <c r="GN247" s="212"/>
      <c r="GO247" s="212"/>
      <c r="GP247" s="212"/>
      <c r="GQ247" s="212"/>
      <c r="GR247" s="212"/>
      <c r="GS247" s="212"/>
      <c r="GT247" s="212"/>
      <c r="GU247" s="212"/>
      <c r="GV247" s="212"/>
      <c r="GW247" s="212"/>
      <c r="GX247" s="212"/>
      <c r="GY247" s="212"/>
      <c r="GZ247" s="212"/>
      <c r="HA247" s="212"/>
      <c r="HB247" s="212"/>
      <c r="HC247" s="212"/>
      <c r="HD247" s="212"/>
      <c r="HE247" s="212"/>
      <c r="HF247" s="212"/>
      <c r="HG247" s="212"/>
      <c r="HH247" s="212"/>
      <c r="HI247" s="212"/>
      <c r="HJ247" s="212"/>
      <c r="HK247" s="212"/>
      <c r="HL247" s="212"/>
      <c r="HM247" s="212"/>
      <c r="HN247" s="212"/>
      <c r="HO247" s="212"/>
      <c r="HP247" s="212"/>
      <c r="HQ247" s="212"/>
      <c r="HR247" s="212"/>
      <c r="HS247" s="212"/>
      <c r="HT247" s="212"/>
      <c r="HU247" s="212"/>
      <c r="HV247" s="212"/>
      <c r="HW247" s="212"/>
      <c r="HX247" s="212"/>
      <c r="HY247" s="212"/>
      <c r="HZ247" s="212"/>
      <c r="IA247" s="212"/>
      <c r="IB247" s="212"/>
      <c r="IC247" s="212"/>
      <c r="ID247" s="212"/>
      <c r="IE247" s="212"/>
      <c r="IF247" s="212"/>
      <c r="IG247" s="212"/>
      <c r="IH247" s="212"/>
      <c r="II247" s="212"/>
      <c r="IJ247" s="212"/>
      <c r="IK247" s="212"/>
      <c r="IL247" s="212"/>
      <c r="IM247" s="212"/>
      <c r="IN247" s="212"/>
      <c r="IO247" s="212"/>
      <c r="IP247" s="212"/>
      <c r="IQ247" s="212"/>
      <c r="IR247" s="212"/>
    </row>
    <row r="248" spans="13:252" ht="16.5" hidden="1" customHeight="1" thickTop="1" thickBot="1">
      <c r="M248" s="212"/>
      <c r="N248" s="212"/>
      <c r="O248" s="212"/>
      <c r="P248" s="212"/>
      <c r="Q248" s="212"/>
      <c r="R248" s="212"/>
      <c r="S248" s="212"/>
      <c r="T248" s="212"/>
      <c r="U248" s="212"/>
      <c r="V248" s="212"/>
      <c r="W248" s="212"/>
      <c r="X248" s="212"/>
      <c r="Y248" s="212"/>
      <c r="Z248" s="212"/>
      <c r="AA248" s="212"/>
      <c r="AB248" s="212"/>
      <c r="AC248" s="212"/>
      <c r="AD248" s="212"/>
      <c r="AE248" s="212"/>
      <c r="AF248" s="212"/>
      <c r="AG248" s="212"/>
      <c r="AH248" s="212"/>
      <c r="AI248" s="212"/>
      <c r="AJ248" s="212"/>
      <c r="AK248" s="212"/>
      <c r="AL248" s="212"/>
      <c r="AM248" s="212"/>
      <c r="AN248" s="212"/>
      <c r="AO248" s="212"/>
      <c r="AP248" s="212"/>
      <c r="AQ248" s="212"/>
      <c r="AR248" s="212"/>
      <c r="AS248" s="212"/>
      <c r="AT248" s="212"/>
      <c r="AU248" s="212"/>
      <c r="AV248" s="212"/>
      <c r="AW248" s="212"/>
      <c r="AX248" s="212"/>
      <c r="AY248" s="212"/>
      <c r="AZ248" s="212"/>
      <c r="BA248" s="212"/>
      <c r="BB248" s="212"/>
      <c r="BC248" s="212"/>
      <c r="BD248" s="212"/>
      <c r="BE248" s="212"/>
      <c r="BF248" s="212"/>
      <c r="BG248" s="212"/>
      <c r="BH248" s="212"/>
      <c r="BI248" s="212"/>
      <c r="BJ248" s="212"/>
      <c r="BK248" s="212"/>
      <c r="BL248" s="212"/>
      <c r="BM248" s="212"/>
      <c r="BN248" s="212"/>
      <c r="BO248" s="212"/>
      <c r="BP248" s="212"/>
      <c r="BQ248" s="212"/>
      <c r="BR248" s="212"/>
      <c r="BS248" s="212"/>
      <c r="BT248" s="212"/>
      <c r="BU248" s="212"/>
      <c r="BV248" s="212"/>
      <c r="BW248" s="212"/>
      <c r="BX248" s="212"/>
      <c r="BY248" s="212"/>
      <c r="BZ248" s="212"/>
      <c r="CA248" s="212"/>
      <c r="CB248" s="212"/>
      <c r="CC248" s="212"/>
      <c r="CD248" s="212"/>
      <c r="CE248" s="212"/>
      <c r="CF248" s="212"/>
      <c r="CG248" s="212"/>
      <c r="CH248" s="212"/>
      <c r="CI248" s="212"/>
      <c r="CJ248" s="212"/>
      <c r="CK248" s="212"/>
      <c r="CL248" s="212"/>
      <c r="CM248" s="212"/>
      <c r="CN248" s="212"/>
      <c r="CO248" s="212"/>
      <c r="CP248" s="212"/>
      <c r="CQ248" s="212"/>
      <c r="CR248" s="212"/>
      <c r="CS248" s="212"/>
      <c r="CT248" s="212"/>
      <c r="CU248" s="212"/>
      <c r="CV248" s="212"/>
      <c r="CW248" s="212"/>
      <c r="CX248" s="212"/>
      <c r="CY248" s="212"/>
      <c r="CZ248" s="212"/>
      <c r="DA248" s="212"/>
      <c r="DB248" s="212"/>
      <c r="DC248" s="212"/>
      <c r="DD248" s="212"/>
      <c r="DE248" s="212"/>
      <c r="DF248" s="212"/>
      <c r="DG248" s="212"/>
      <c r="DH248" s="212"/>
      <c r="DI248" s="212"/>
      <c r="DJ248" s="212"/>
      <c r="DK248" s="212"/>
      <c r="DL248" s="212"/>
      <c r="DM248" s="212"/>
      <c r="DN248" s="212"/>
      <c r="DO248" s="212"/>
      <c r="DP248" s="212"/>
      <c r="DQ248" s="212"/>
      <c r="DR248" s="212"/>
      <c r="DS248" s="212"/>
      <c r="DT248" s="212"/>
      <c r="DU248" s="212"/>
      <c r="DV248" s="212"/>
      <c r="DW248" s="212"/>
      <c r="DX248" s="212"/>
      <c r="DY248" s="212"/>
      <c r="DZ248" s="212"/>
      <c r="EA248" s="212"/>
      <c r="EB248" s="212"/>
      <c r="EC248" s="212"/>
      <c r="ED248" s="212"/>
      <c r="EE248" s="212"/>
      <c r="EF248" s="212"/>
      <c r="EG248" s="212"/>
      <c r="EH248" s="212"/>
      <c r="EI248" s="212"/>
      <c r="EJ248" s="212"/>
      <c r="EK248" s="212"/>
      <c r="EL248" s="212"/>
      <c r="EM248" s="212"/>
      <c r="EN248" s="212"/>
      <c r="EO248" s="212"/>
      <c r="EP248" s="212"/>
      <c r="EQ248" s="212"/>
      <c r="ER248" s="212"/>
      <c r="ES248" s="212"/>
      <c r="ET248" s="212"/>
      <c r="EU248" s="212"/>
      <c r="EV248" s="212"/>
      <c r="EW248" s="212"/>
      <c r="EX248" s="212"/>
      <c r="EY248" s="212"/>
      <c r="EZ248" s="212"/>
      <c r="FA248" s="212"/>
      <c r="FB248" s="212"/>
      <c r="FC248" s="212"/>
      <c r="FD248" s="212"/>
      <c r="FE248" s="212"/>
      <c r="FF248" s="212"/>
      <c r="FG248" s="212"/>
      <c r="FH248" s="212"/>
      <c r="FI248" s="212"/>
      <c r="FJ248" s="212"/>
      <c r="FK248" s="212"/>
      <c r="FL248" s="212"/>
      <c r="FM248" s="212"/>
      <c r="FN248" s="212"/>
      <c r="FO248" s="212"/>
      <c r="FP248" s="212"/>
      <c r="FQ248" s="212"/>
      <c r="FR248" s="212"/>
      <c r="FS248" s="212"/>
      <c r="FT248" s="212"/>
      <c r="FU248" s="212"/>
      <c r="FV248" s="212"/>
      <c r="FW248" s="212"/>
      <c r="FX248" s="212"/>
      <c r="FY248" s="212"/>
      <c r="FZ248" s="212"/>
      <c r="GA248" s="212"/>
      <c r="GB248" s="212"/>
      <c r="GC248" s="212"/>
      <c r="GD248" s="212"/>
      <c r="GE248" s="212"/>
      <c r="GF248" s="212"/>
      <c r="GG248" s="212"/>
      <c r="GH248" s="212"/>
      <c r="GI248" s="212"/>
      <c r="GJ248" s="212"/>
      <c r="GK248" s="212"/>
      <c r="GL248" s="212"/>
      <c r="GM248" s="212"/>
      <c r="GN248" s="212"/>
      <c r="GO248" s="212"/>
      <c r="GP248" s="212"/>
      <c r="GQ248" s="212"/>
      <c r="GR248" s="212"/>
      <c r="GS248" s="212"/>
      <c r="GT248" s="212"/>
      <c r="GU248" s="212"/>
      <c r="GV248" s="212"/>
      <c r="GW248" s="212"/>
      <c r="GX248" s="212"/>
      <c r="GY248" s="212"/>
      <c r="GZ248" s="212"/>
      <c r="HA248" s="212"/>
      <c r="HB248" s="212"/>
      <c r="HC248" s="212"/>
      <c r="HD248" s="212"/>
      <c r="HE248" s="212"/>
      <c r="HF248" s="212"/>
      <c r="HG248" s="212"/>
      <c r="HH248" s="212"/>
      <c r="HI248" s="212"/>
      <c r="HJ248" s="212"/>
      <c r="HK248" s="212"/>
      <c r="HL248" s="212"/>
      <c r="HM248" s="212"/>
      <c r="HN248" s="212"/>
      <c r="HO248" s="212"/>
      <c r="HP248" s="212"/>
      <c r="HQ248" s="212"/>
      <c r="HR248" s="212"/>
      <c r="HS248" s="212"/>
      <c r="HT248" s="212"/>
      <c r="HU248" s="212"/>
      <c r="HV248" s="212"/>
      <c r="HW248" s="212"/>
      <c r="HX248" s="212"/>
      <c r="HY248" s="212"/>
      <c r="HZ248" s="212"/>
      <c r="IA248" s="212"/>
      <c r="IB248" s="212"/>
      <c r="IC248" s="212"/>
      <c r="ID248" s="212"/>
      <c r="IE248" s="212"/>
      <c r="IF248" s="212"/>
      <c r="IG248" s="212"/>
      <c r="IH248" s="212"/>
      <c r="II248" s="212"/>
      <c r="IJ248" s="212"/>
      <c r="IK248" s="212"/>
      <c r="IL248" s="212"/>
      <c r="IM248" s="212"/>
      <c r="IN248" s="212"/>
      <c r="IO248" s="212"/>
      <c r="IP248" s="212"/>
      <c r="IQ248" s="212"/>
      <c r="IR248" s="212"/>
    </row>
    <row r="249" spans="13:252" ht="16.5" hidden="1" customHeight="1" thickTop="1" thickBot="1">
      <c r="M249" s="212"/>
      <c r="N249" s="212"/>
      <c r="O249" s="212"/>
      <c r="P249" s="212"/>
      <c r="Q249" s="212"/>
      <c r="R249" s="212"/>
      <c r="S249" s="212"/>
      <c r="T249" s="212"/>
      <c r="U249" s="212"/>
      <c r="V249" s="212"/>
      <c r="W249" s="212"/>
      <c r="X249" s="212"/>
      <c r="Y249" s="212"/>
      <c r="Z249" s="212"/>
      <c r="AA249" s="212"/>
      <c r="AB249" s="212"/>
      <c r="AC249" s="212"/>
      <c r="AD249" s="212"/>
      <c r="AE249" s="212"/>
      <c r="AF249" s="212"/>
      <c r="AG249" s="212"/>
      <c r="AH249" s="212"/>
      <c r="AI249" s="212"/>
      <c r="AJ249" s="212"/>
      <c r="AK249" s="212"/>
      <c r="AL249" s="212"/>
      <c r="AM249" s="212"/>
      <c r="AN249" s="212"/>
      <c r="AO249" s="212"/>
      <c r="AP249" s="212"/>
      <c r="AQ249" s="212"/>
      <c r="AR249" s="212"/>
      <c r="AS249" s="212"/>
      <c r="AT249" s="212"/>
      <c r="AU249" s="212"/>
      <c r="AV249" s="212"/>
      <c r="AW249" s="212"/>
      <c r="AX249" s="212"/>
      <c r="AY249" s="212"/>
      <c r="AZ249" s="212"/>
      <c r="BA249" s="212"/>
      <c r="BB249" s="212"/>
      <c r="BC249" s="212"/>
      <c r="BD249" s="212"/>
      <c r="BE249" s="212"/>
      <c r="BF249" s="212"/>
      <c r="BG249" s="212"/>
      <c r="BH249" s="212"/>
      <c r="BI249" s="212"/>
      <c r="BJ249" s="212"/>
      <c r="BK249" s="212"/>
      <c r="BL249" s="212"/>
      <c r="BM249" s="212"/>
      <c r="BN249" s="212"/>
      <c r="BO249" s="212"/>
      <c r="BP249" s="212"/>
      <c r="BQ249" s="212"/>
      <c r="BR249" s="212"/>
      <c r="BS249" s="212"/>
      <c r="BT249" s="212"/>
      <c r="BU249" s="212"/>
      <c r="BV249" s="212"/>
      <c r="BW249" s="212"/>
      <c r="BX249" s="212"/>
      <c r="BY249" s="212"/>
      <c r="BZ249" s="212"/>
      <c r="CA249" s="212"/>
      <c r="CB249" s="212"/>
      <c r="CC249" s="212"/>
      <c r="CD249" s="212"/>
      <c r="CE249" s="212"/>
      <c r="CF249" s="212"/>
      <c r="CG249" s="212"/>
      <c r="CH249" s="212"/>
      <c r="CI249" s="212"/>
      <c r="CJ249" s="212"/>
      <c r="CK249" s="212"/>
      <c r="CL249" s="212"/>
      <c r="CM249" s="212"/>
      <c r="CN249" s="212"/>
      <c r="CO249" s="212"/>
      <c r="CP249" s="212"/>
      <c r="CQ249" s="212"/>
      <c r="CR249" s="212"/>
      <c r="CS249" s="212"/>
      <c r="CT249" s="212"/>
      <c r="CU249" s="212"/>
      <c r="CV249" s="212"/>
      <c r="CW249" s="212"/>
      <c r="CX249" s="212"/>
      <c r="CY249" s="212"/>
      <c r="CZ249" s="212"/>
      <c r="DA249" s="212"/>
      <c r="DB249" s="212"/>
      <c r="DC249" s="212"/>
      <c r="DD249" s="212"/>
      <c r="DE249" s="212"/>
      <c r="DF249" s="212"/>
      <c r="DG249" s="212"/>
      <c r="DH249" s="212"/>
      <c r="DI249" s="212"/>
      <c r="DJ249" s="212"/>
      <c r="DK249" s="212"/>
      <c r="DL249" s="212"/>
      <c r="DM249" s="212"/>
      <c r="DN249" s="212"/>
      <c r="DO249" s="212"/>
      <c r="DP249" s="212"/>
      <c r="DQ249" s="212"/>
      <c r="DR249" s="212"/>
      <c r="DS249" s="212"/>
      <c r="DT249" s="212"/>
      <c r="DU249" s="212"/>
      <c r="DV249" s="212"/>
      <c r="DW249" s="212"/>
      <c r="DX249" s="212"/>
      <c r="DY249" s="212"/>
      <c r="DZ249" s="212"/>
      <c r="EA249" s="212"/>
      <c r="EB249" s="212"/>
      <c r="EC249" s="212"/>
      <c r="ED249" s="212"/>
      <c r="EE249" s="212"/>
      <c r="EF249" s="212"/>
      <c r="EG249" s="212"/>
      <c r="EH249" s="212"/>
      <c r="EI249" s="212"/>
      <c r="EJ249" s="212"/>
      <c r="EK249" s="212"/>
      <c r="EL249" s="212"/>
      <c r="EM249" s="212"/>
      <c r="EN249" s="212"/>
      <c r="EO249" s="212"/>
      <c r="EP249" s="212"/>
      <c r="EQ249" s="212"/>
      <c r="ER249" s="212"/>
      <c r="ES249" s="212"/>
      <c r="ET249" s="212"/>
      <c r="EU249" s="212"/>
      <c r="EV249" s="212"/>
      <c r="EW249" s="212"/>
      <c r="EX249" s="212"/>
      <c r="EY249" s="212"/>
      <c r="EZ249" s="212"/>
      <c r="FA249" s="212"/>
      <c r="FB249" s="212"/>
      <c r="FC249" s="212"/>
      <c r="FD249" s="212"/>
      <c r="FE249" s="212"/>
      <c r="FF249" s="212"/>
      <c r="FG249" s="212"/>
      <c r="FH249" s="212"/>
      <c r="FI249" s="212"/>
      <c r="FJ249" s="212"/>
      <c r="FK249" s="212"/>
      <c r="FL249" s="212"/>
      <c r="FM249" s="212"/>
      <c r="FN249" s="212"/>
      <c r="FO249" s="212"/>
      <c r="FP249" s="212"/>
      <c r="FQ249" s="212"/>
      <c r="FR249" s="212"/>
      <c r="FS249" s="212"/>
      <c r="FT249" s="212"/>
      <c r="FU249" s="212"/>
      <c r="FV249" s="212"/>
      <c r="FW249" s="212"/>
      <c r="FX249" s="212"/>
      <c r="FY249" s="212"/>
      <c r="FZ249" s="212"/>
      <c r="GA249" s="212"/>
      <c r="GB249" s="212"/>
      <c r="GC249" s="212"/>
      <c r="GD249" s="212"/>
      <c r="GE249" s="212"/>
      <c r="GF249" s="212"/>
      <c r="GG249" s="212"/>
      <c r="GH249" s="212"/>
      <c r="GI249" s="212"/>
      <c r="GJ249" s="212"/>
      <c r="GK249" s="212"/>
      <c r="GL249" s="212"/>
      <c r="GM249" s="212"/>
      <c r="GN249" s="212"/>
      <c r="GO249" s="212"/>
      <c r="GP249" s="212"/>
      <c r="GQ249" s="212"/>
      <c r="GR249" s="212"/>
      <c r="GS249" s="212"/>
      <c r="GT249" s="212"/>
      <c r="GU249" s="212"/>
      <c r="GV249" s="212"/>
      <c r="GW249" s="212"/>
      <c r="GX249" s="212"/>
      <c r="GY249" s="212"/>
      <c r="GZ249" s="212"/>
      <c r="HA249" s="212"/>
      <c r="HB249" s="212"/>
      <c r="HC249" s="212"/>
      <c r="HD249" s="212"/>
      <c r="HE249" s="212"/>
      <c r="HF249" s="212"/>
      <c r="HG249" s="212"/>
      <c r="HH249" s="212"/>
      <c r="HI249" s="212"/>
      <c r="HJ249" s="212"/>
      <c r="HK249" s="212"/>
      <c r="HL249" s="212"/>
      <c r="HM249" s="212"/>
      <c r="HN249" s="212"/>
      <c r="HO249" s="212"/>
      <c r="HP249" s="212"/>
      <c r="HQ249" s="212"/>
      <c r="HR249" s="212"/>
      <c r="HS249" s="212"/>
      <c r="HT249" s="212"/>
      <c r="HU249" s="212"/>
      <c r="HV249" s="212"/>
      <c r="HW249" s="212"/>
      <c r="HX249" s="212"/>
      <c r="HY249" s="212"/>
      <c r="HZ249" s="212"/>
      <c r="IA249" s="212"/>
      <c r="IB249" s="212"/>
      <c r="IC249" s="212"/>
      <c r="ID249" s="212"/>
      <c r="IE249" s="212"/>
      <c r="IF249" s="212"/>
      <c r="IG249" s="212"/>
      <c r="IH249" s="212"/>
      <c r="II249" s="212"/>
      <c r="IJ249" s="212"/>
      <c r="IK249" s="212"/>
      <c r="IL249" s="212"/>
      <c r="IM249" s="212"/>
      <c r="IN249" s="212"/>
      <c r="IO249" s="212"/>
      <c r="IP249" s="212"/>
      <c r="IQ249" s="212"/>
      <c r="IR249" s="212"/>
    </row>
    <row r="250" spans="13:252" ht="16.5" hidden="1" customHeight="1" thickTop="1" thickBot="1">
      <c r="M250" s="212"/>
      <c r="N250" s="212"/>
      <c r="O250" s="212"/>
      <c r="P250" s="212"/>
      <c r="Q250" s="212"/>
      <c r="R250" s="212"/>
      <c r="S250" s="212"/>
      <c r="T250" s="212"/>
      <c r="U250" s="212"/>
      <c r="V250" s="212"/>
      <c r="W250" s="212"/>
      <c r="X250" s="212"/>
      <c r="Y250" s="212"/>
      <c r="Z250" s="212"/>
      <c r="AA250" s="212"/>
      <c r="AB250" s="212"/>
      <c r="AC250" s="212"/>
      <c r="AD250" s="212"/>
      <c r="AE250" s="212"/>
      <c r="AF250" s="212"/>
      <c r="AG250" s="212"/>
      <c r="AH250" s="212"/>
      <c r="AI250" s="212"/>
      <c r="AJ250" s="212"/>
      <c r="AK250" s="212"/>
      <c r="AL250" s="212"/>
      <c r="AM250" s="212"/>
      <c r="AN250" s="212"/>
      <c r="AO250" s="212"/>
      <c r="AP250" s="212"/>
      <c r="AQ250" s="212"/>
      <c r="AR250" s="212"/>
      <c r="AS250" s="212"/>
      <c r="AT250" s="212"/>
      <c r="AU250" s="212"/>
      <c r="AV250" s="212"/>
      <c r="AW250" s="212"/>
      <c r="AX250" s="212"/>
      <c r="AY250" s="212"/>
      <c r="AZ250" s="212"/>
      <c r="BA250" s="212"/>
      <c r="BB250" s="212"/>
      <c r="BC250" s="212"/>
      <c r="BD250" s="212"/>
      <c r="BE250" s="212"/>
      <c r="BF250" s="212"/>
      <c r="BG250" s="212"/>
      <c r="BH250" s="212"/>
      <c r="BI250" s="212"/>
      <c r="BJ250" s="212"/>
      <c r="BK250" s="212"/>
      <c r="BL250" s="212"/>
      <c r="BM250" s="212"/>
      <c r="BN250" s="212"/>
      <c r="BO250" s="212"/>
      <c r="BP250" s="212"/>
      <c r="BQ250" s="212"/>
      <c r="BR250" s="212"/>
      <c r="BS250" s="212"/>
      <c r="BT250" s="212"/>
      <c r="BU250" s="212"/>
      <c r="BV250" s="212"/>
      <c r="BW250" s="212"/>
      <c r="BX250" s="212"/>
      <c r="BY250" s="212"/>
      <c r="BZ250" s="212"/>
      <c r="CA250" s="212"/>
      <c r="CB250" s="212"/>
      <c r="CC250" s="212"/>
      <c r="CD250" s="212"/>
      <c r="CE250" s="212"/>
      <c r="CF250" s="212"/>
      <c r="CG250" s="212"/>
      <c r="CH250" s="212"/>
      <c r="CI250" s="212"/>
      <c r="CJ250" s="212"/>
      <c r="CK250" s="212"/>
      <c r="CL250" s="212"/>
      <c r="CM250" s="212"/>
      <c r="CN250" s="212"/>
      <c r="CO250" s="212"/>
      <c r="CP250" s="212"/>
      <c r="CQ250" s="212"/>
      <c r="CR250" s="212"/>
      <c r="CS250" s="212"/>
      <c r="CT250" s="212"/>
      <c r="CU250" s="212"/>
      <c r="CV250" s="212"/>
      <c r="CW250" s="212"/>
      <c r="CX250" s="212"/>
      <c r="CY250" s="212"/>
      <c r="CZ250" s="212"/>
      <c r="DA250" s="212"/>
      <c r="DB250" s="212"/>
      <c r="DC250" s="212"/>
      <c r="DD250" s="212"/>
      <c r="DE250" s="212"/>
      <c r="DF250" s="212"/>
      <c r="DG250" s="212"/>
      <c r="DH250" s="212"/>
      <c r="DI250" s="212"/>
      <c r="DJ250" s="212"/>
      <c r="DK250" s="212"/>
      <c r="DL250" s="212"/>
      <c r="DM250" s="212"/>
      <c r="DN250" s="212"/>
      <c r="DO250" s="212"/>
      <c r="DP250" s="212"/>
      <c r="DQ250" s="212"/>
      <c r="DR250" s="212"/>
      <c r="DS250" s="212"/>
      <c r="DT250" s="212"/>
      <c r="DU250" s="212"/>
      <c r="DV250" s="212"/>
      <c r="DW250" s="212"/>
      <c r="DX250" s="212"/>
      <c r="DY250" s="212"/>
      <c r="DZ250" s="212"/>
      <c r="EA250" s="212"/>
      <c r="EB250" s="212"/>
      <c r="EC250" s="212"/>
      <c r="ED250" s="212"/>
      <c r="EE250" s="212"/>
      <c r="EF250" s="212"/>
      <c r="EG250" s="212"/>
      <c r="EH250" s="212"/>
      <c r="EI250" s="212"/>
      <c r="EJ250" s="212"/>
      <c r="EK250" s="212"/>
      <c r="EL250" s="212"/>
      <c r="EM250" s="212"/>
      <c r="EN250" s="212"/>
      <c r="EO250" s="212"/>
      <c r="EP250" s="212"/>
      <c r="EQ250" s="212"/>
      <c r="ER250" s="212"/>
      <c r="ES250" s="212"/>
      <c r="ET250" s="212"/>
      <c r="EU250" s="212"/>
      <c r="EV250" s="212"/>
      <c r="EW250" s="212"/>
      <c r="EX250" s="212"/>
      <c r="EY250" s="212"/>
      <c r="EZ250" s="212"/>
      <c r="FA250" s="212"/>
      <c r="FB250" s="212"/>
      <c r="FC250" s="212"/>
      <c r="FD250" s="212"/>
      <c r="FE250" s="212"/>
      <c r="FF250" s="212"/>
      <c r="FG250" s="212"/>
      <c r="FH250" s="212"/>
      <c r="FI250" s="212"/>
      <c r="FJ250" s="212"/>
      <c r="FK250" s="212"/>
      <c r="FL250" s="212"/>
      <c r="FM250" s="212"/>
      <c r="FN250" s="212"/>
      <c r="FO250" s="212"/>
      <c r="FP250" s="212"/>
      <c r="FQ250" s="212"/>
      <c r="FR250" s="212"/>
      <c r="FS250" s="212"/>
      <c r="FT250" s="212"/>
      <c r="FU250" s="212"/>
      <c r="FV250" s="212"/>
      <c r="FW250" s="212"/>
      <c r="FX250" s="212"/>
      <c r="FY250" s="212"/>
      <c r="FZ250" s="212"/>
      <c r="GA250" s="212"/>
      <c r="GB250" s="212"/>
      <c r="GC250" s="212"/>
      <c r="GD250" s="212"/>
      <c r="GE250" s="212"/>
      <c r="GF250" s="212"/>
      <c r="GG250" s="212"/>
      <c r="GH250" s="212"/>
      <c r="GI250" s="212"/>
      <c r="GJ250" s="212"/>
      <c r="GK250" s="212"/>
      <c r="GL250" s="212"/>
      <c r="GM250" s="212"/>
      <c r="GN250" s="212"/>
      <c r="GO250" s="212"/>
      <c r="GP250" s="212"/>
      <c r="GQ250" s="212"/>
      <c r="GR250" s="212"/>
      <c r="GS250" s="212"/>
      <c r="GT250" s="212"/>
      <c r="GU250" s="212"/>
      <c r="GV250" s="212"/>
      <c r="GW250" s="212"/>
      <c r="GX250" s="212"/>
      <c r="GY250" s="212"/>
      <c r="GZ250" s="212"/>
      <c r="HA250" s="212"/>
      <c r="HB250" s="212"/>
      <c r="HC250" s="212"/>
      <c r="HD250" s="212"/>
      <c r="HE250" s="212"/>
      <c r="HF250" s="212"/>
      <c r="HG250" s="212"/>
      <c r="HH250" s="212"/>
      <c r="HI250" s="212"/>
      <c r="HJ250" s="212"/>
      <c r="HK250" s="212"/>
      <c r="HL250" s="212"/>
      <c r="HM250" s="212"/>
      <c r="HN250" s="212"/>
      <c r="HO250" s="212"/>
      <c r="HP250" s="212"/>
      <c r="HQ250" s="212"/>
      <c r="HR250" s="212"/>
      <c r="HS250" s="212"/>
      <c r="HT250" s="212"/>
      <c r="HU250" s="212"/>
      <c r="HV250" s="212"/>
      <c r="HW250" s="212"/>
      <c r="HX250" s="212"/>
      <c r="HY250" s="212"/>
      <c r="HZ250" s="212"/>
      <c r="IA250" s="212"/>
      <c r="IB250" s="212"/>
      <c r="IC250" s="212"/>
      <c r="ID250" s="212"/>
      <c r="IE250" s="212"/>
      <c r="IF250" s="212"/>
      <c r="IG250" s="212"/>
      <c r="IH250" s="212"/>
      <c r="II250" s="212"/>
      <c r="IJ250" s="212"/>
      <c r="IK250" s="212"/>
      <c r="IL250" s="212"/>
      <c r="IM250" s="212"/>
      <c r="IN250" s="212"/>
      <c r="IO250" s="212"/>
      <c r="IP250" s="212"/>
      <c r="IQ250" s="212"/>
      <c r="IR250" s="212"/>
    </row>
    <row r="251" spans="13:252" ht="16.5" hidden="1" customHeight="1" thickTop="1" thickBot="1">
      <c r="M251" s="212"/>
      <c r="N251" s="212"/>
      <c r="O251" s="212"/>
      <c r="P251" s="212"/>
      <c r="Q251" s="212"/>
      <c r="R251" s="212"/>
      <c r="S251" s="212"/>
      <c r="T251" s="212"/>
      <c r="U251" s="212"/>
      <c r="V251" s="212"/>
      <c r="W251" s="212"/>
      <c r="X251" s="212"/>
      <c r="Y251" s="212"/>
      <c r="Z251" s="212"/>
      <c r="AA251" s="212"/>
      <c r="AB251" s="212"/>
      <c r="AC251" s="212"/>
      <c r="AD251" s="212"/>
      <c r="AE251" s="212"/>
      <c r="AF251" s="212"/>
      <c r="AG251" s="212"/>
      <c r="AH251" s="212"/>
      <c r="AI251" s="212"/>
      <c r="AJ251" s="212"/>
      <c r="AK251" s="212"/>
      <c r="AL251" s="212"/>
      <c r="AM251" s="212"/>
      <c r="AN251" s="212"/>
      <c r="AO251" s="212"/>
      <c r="AP251" s="212"/>
      <c r="AQ251" s="212"/>
      <c r="AR251" s="212"/>
      <c r="AS251" s="212"/>
      <c r="AT251" s="212"/>
      <c r="AU251" s="212"/>
      <c r="AV251" s="212"/>
      <c r="AW251" s="212"/>
      <c r="AX251" s="212"/>
      <c r="AY251" s="212"/>
      <c r="AZ251" s="212"/>
      <c r="BA251" s="212"/>
      <c r="BB251" s="212"/>
      <c r="BC251" s="212"/>
      <c r="BD251" s="212"/>
      <c r="BE251" s="212"/>
      <c r="BF251" s="212"/>
      <c r="BG251" s="212"/>
      <c r="BH251" s="212"/>
      <c r="BI251" s="212"/>
      <c r="BJ251" s="212"/>
      <c r="BK251" s="212"/>
      <c r="BL251" s="212"/>
      <c r="BM251" s="212"/>
      <c r="BN251" s="212"/>
      <c r="BO251" s="212"/>
      <c r="BP251" s="212"/>
      <c r="BQ251" s="212"/>
      <c r="BR251" s="212"/>
      <c r="BS251" s="212"/>
      <c r="BT251" s="212"/>
      <c r="BU251" s="212"/>
      <c r="BV251" s="212"/>
      <c r="BW251" s="212"/>
      <c r="BX251" s="212"/>
      <c r="BY251" s="212"/>
      <c r="BZ251" s="212"/>
      <c r="CA251" s="212"/>
      <c r="CB251" s="212"/>
      <c r="CC251" s="212"/>
      <c r="CD251" s="212"/>
      <c r="CE251" s="212"/>
      <c r="CF251" s="212"/>
      <c r="CG251" s="212"/>
      <c r="CH251" s="212"/>
      <c r="CI251" s="212"/>
      <c r="CJ251" s="212"/>
      <c r="CK251" s="212"/>
      <c r="CL251" s="212"/>
      <c r="CM251" s="212"/>
      <c r="CN251" s="212"/>
      <c r="CO251" s="212"/>
      <c r="CP251" s="212"/>
      <c r="CQ251" s="212"/>
      <c r="CR251" s="212"/>
      <c r="CS251" s="212"/>
      <c r="CT251" s="212"/>
      <c r="CU251" s="212"/>
      <c r="CV251" s="212"/>
      <c r="CW251" s="212"/>
      <c r="CX251" s="212"/>
      <c r="CY251" s="212"/>
      <c r="CZ251" s="212"/>
      <c r="DA251" s="212"/>
      <c r="DB251" s="212"/>
      <c r="DC251" s="212"/>
      <c r="DD251" s="212"/>
      <c r="DE251" s="212"/>
      <c r="DF251" s="212"/>
      <c r="DG251" s="212"/>
      <c r="DH251" s="212"/>
      <c r="DI251" s="212"/>
      <c r="DJ251" s="212"/>
      <c r="DK251" s="212"/>
      <c r="DL251" s="212"/>
      <c r="DM251" s="212"/>
      <c r="DN251" s="212"/>
      <c r="DO251" s="212"/>
      <c r="DP251" s="212"/>
      <c r="DQ251" s="212"/>
      <c r="DR251" s="212"/>
      <c r="DS251" s="212"/>
      <c r="DT251" s="212"/>
      <c r="DU251" s="212"/>
      <c r="DV251" s="212"/>
      <c r="DW251" s="212"/>
      <c r="DX251" s="212"/>
      <c r="DY251" s="212"/>
      <c r="DZ251" s="212"/>
      <c r="EA251" s="212"/>
      <c r="EB251" s="212"/>
      <c r="EC251" s="212"/>
      <c r="ED251" s="212"/>
      <c r="EE251" s="212"/>
      <c r="EF251" s="212"/>
      <c r="EG251" s="212"/>
      <c r="EH251" s="212"/>
      <c r="EI251" s="212"/>
      <c r="EJ251" s="212"/>
      <c r="EK251" s="212"/>
      <c r="EL251" s="212"/>
      <c r="EM251" s="212"/>
      <c r="EN251" s="212"/>
      <c r="EO251" s="212"/>
      <c r="EP251" s="212"/>
      <c r="EQ251" s="212"/>
      <c r="ER251" s="212"/>
      <c r="ES251" s="212"/>
      <c r="ET251" s="212"/>
      <c r="EU251" s="212"/>
      <c r="EV251" s="212"/>
      <c r="EW251" s="212"/>
      <c r="EX251" s="212"/>
      <c r="EY251" s="212"/>
      <c r="EZ251" s="212"/>
      <c r="FA251" s="212"/>
      <c r="FB251" s="212"/>
      <c r="FC251" s="212"/>
      <c r="FD251" s="212"/>
      <c r="FE251" s="212"/>
      <c r="FF251" s="212"/>
      <c r="FG251" s="212"/>
      <c r="FH251" s="212"/>
      <c r="FI251" s="212"/>
      <c r="FJ251" s="212"/>
      <c r="FK251" s="212"/>
      <c r="FL251" s="212"/>
      <c r="FM251" s="212"/>
      <c r="FN251" s="212"/>
      <c r="FO251" s="212"/>
      <c r="FP251" s="212"/>
      <c r="FQ251" s="212"/>
      <c r="FR251" s="212"/>
      <c r="FS251" s="212"/>
      <c r="FT251" s="212"/>
      <c r="FU251" s="212"/>
      <c r="FV251" s="212"/>
      <c r="FW251" s="212"/>
      <c r="FX251" s="212"/>
      <c r="FY251" s="212"/>
      <c r="FZ251" s="212"/>
      <c r="GA251" s="212"/>
      <c r="GB251" s="212"/>
      <c r="GC251" s="212"/>
      <c r="GD251" s="212"/>
      <c r="GE251" s="212"/>
      <c r="GF251" s="212"/>
      <c r="GG251" s="212"/>
      <c r="GH251" s="212"/>
      <c r="GI251" s="212"/>
      <c r="GJ251" s="212"/>
      <c r="GK251" s="212"/>
      <c r="GL251" s="212"/>
      <c r="GM251" s="212"/>
      <c r="GN251" s="212"/>
      <c r="GO251" s="212"/>
      <c r="GP251" s="212"/>
      <c r="GQ251" s="212"/>
      <c r="GR251" s="212"/>
      <c r="GS251" s="212"/>
      <c r="GT251" s="212"/>
      <c r="GU251" s="212"/>
      <c r="GV251" s="212"/>
      <c r="GW251" s="212"/>
      <c r="GX251" s="212"/>
      <c r="GY251" s="212"/>
      <c r="GZ251" s="212"/>
      <c r="HA251" s="212"/>
      <c r="HB251" s="212"/>
      <c r="HC251" s="212"/>
      <c r="HD251" s="212"/>
      <c r="HE251" s="212"/>
      <c r="HF251" s="212"/>
      <c r="HG251" s="212"/>
      <c r="HH251" s="212"/>
      <c r="HI251" s="212"/>
      <c r="HJ251" s="212"/>
      <c r="HK251" s="212"/>
      <c r="HL251" s="212"/>
      <c r="HM251" s="212"/>
      <c r="HN251" s="212"/>
      <c r="HO251" s="212"/>
      <c r="HP251" s="212"/>
      <c r="HQ251" s="212"/>
      <c r="HR251" s="212"/>
      <c r="HS251" s="212"/>
      <c r="HT251" s="212"/>
      <c r="HU251" s="212"/>
      <c r="HV251" s="212"/>
      <c r="HW251" s="212"/>
      <c r="HX251" s="212"/>
      <c r="HY251" s="212"/>
      <c r="HZ251" s="212"/>
      <c r="IA251" s="212"/>
      <c r="IB251" s="212"/>
      <c r="IC251" s="212"/>
      <c r="ID251" s="212"/>
      <c r="IE251" s="212"/>
      <c r="IF251" s="212"/>
      <c r="IG251" s="212"/>
      <c r="IH251" s="212"/>
      <c r="II251" s="212"/>
      <c r="IJ251" s="212"/>
      <c r="IK251" s="212"/>
      <c r="IL251" s="212"/>
      <c r="IM251" s="212"/>
      <c r="IN251" s="212"/>
      <c r="IO251" s="212"/>
      <c r="IP251" s="212"/>
      <c r="IQ251" s="212"/>
      <c r="IR251" s="212"/>
    </row>
    <row r="252" spans="13:252" ht="16.5" hidden="1" customHeight="1" thickTop="1" thickBot="1">
      <c r="M252" s="212"/>
      <c r="N252" s="212"/>
      <c r="O252" s="212"/>
      <c r="P252" s="212"/>
      <c r="Q252" s="212"/>
      <c r="R252" s="212"/>
      <c r="S252" s="212"/>
      <c r="T252" s="212"/>
      <c r="U252" s="212"/>
      <c r="V252" s="212"/>
      <c r="W252" s="212"/>
      <c r="X252" s="212"/>
      <c r="Y252" s="212"/>
      <c r="Z252" s="212"/>
      <c r="AA252" s="212"/>
      <c r="AB252" s="212"/>
      <c r="AC252" s="212"/>
      <c r="AD252" s="212"/>
      <c r="AE252" s="212"/>
      <c r="AF252" s="212"/>
      <c r="AG252" s="212"/>
      <c r="AH252" s="212"/>
      <c r="AI252" s="212"/>
      <c r="AJ252" s="212"/>
      <c r="AK252" s="212"/>
      <c r="AL252" s="212"/>
      <c r="AM252" s="212"/>
      <c r="AN252" s="212"/>
      <c r="AO252" s="212"/>
      <c r="AP252" s="212"/>
      <c r="AQ252" s="212"/>
      <c r="AR252" s="212"/>
      <c r="AS252" s="212"/>
      <c r="AT252" s="212"/>
      <c r="AU252" s="212"/>
      <c r="AV252" s="212"/>
      <c r="AW252" s="212"/>
      <c r="AX252" s="212"/>
      <c r="AY252" s="212"/>
      <c r="AZ252" s="212"/>
      <c r="BA252" s="212"/>
      <c r="BB252" s="212"/>
      <c r="BC252" s="212"/>
      <c r="BD252" s="212"/>
      <c r="BE252" s="212"/>
      <c r="BF252" s="212"/>
      <c r="BG252" s="212"/>
      <c r="BH252" s="212"/>
      <c r="BI252" s="212"/>
      <c r="BJ252" s="212"/>
      <c r="BK252" s="212"/>
      <c r="BL252" s="212"/>
      <c r="BM252" s="212"/>
      <c r="BN252" s="212"/>
      <c r="BO252" s="212"/>
      <c r="BP252" s="212"/>
      <c r="BQ252" s="212"/>
      <c r="BR252" s="212"/>
      <c r="BS252" s="212"/>
      <c r="BT252" s="212"/>
      <c r="BU252" s="212"/>
      <c r="BV252" s="212"/>
      <c r="BW252" s="212"/>
      <c r="BX252" s="212"/>
      <c r="BY252" s="212"/>
      <c r="BZ252" s="212"/>
      <c r="CA252" s="212"/>
      <c r="CB252" s="212"/>
      <c r="CC252" s="212"/>
      <c r="CD252" s="212"/>
      <c r="CE252" s="212"/>
      <c r="CF252" s="212"/>
      <c r="CG252" s="212"/>
      <c r="CH252" s="212"/>
      <c r="CI252" s="212"/>
      <c r="CJ252" s="212"/>
      <c r="CK252" s="212"/>
      <c r="CL252" s="212"/>
      <c r="CM252" s="212"/>
      <c r="CN252" s="212"/>
      <c r="CO252" s="212"/>
      <c r="CP252" s="212"/>
      <c r="CQ252" s="212"/>
      <c r="CR252" s="212"/>
      <c r="CS252" s="212"/>
      <c r="CT252" s="212"/>
      <c r="CU252" s="212"/>
      <c r="CV252" s="212"/>
      <c r="CW252" s="212"/>
      <c r="CX252" s="212"/>
      <c r="CY252" s="212"/>
      <c r="CZ252" s="212"/>
      <c r="DA252" s="212"/>
      <c r="DB252" s="212"/>
      <c r="DC252" s="212"/>
      <c r="DD252" s="212"/>
      <c r="DE252" s="212"/>
      <c r="DF252" s="212"/>
      <c r="DG252" s="212"/>
      <c r="DH252" s="212"/>
      <c r="DI252" s="212"/>
      <c r="DJ252" s="212"/>
      <c r="DK252" s="212"/>
      <c r="DL252" s="212"/>
      <c r="DM252" s="212"/>
      <c r="DN252" s="212"/>
      <c r="DO252" s="212"/>
      <c r="DP252" s="212"/>
      <c r="DQ252" s="212"/>
      <c r="DR252" s="212"/>
      <c r="DS252" s="212"/>
      <c r="DT252" s="212"/>
      <c r="DU252" s="212"/>
      <c r="DV252" s="212"/>
      <c r="DW252" s="212"/>
      <c r="DX252" s="212"/>
      <c r="DY252" s="212"/>
      <c r="DZ252" s="212"/>
      <c r="EA252" s="212"/>
      <c r="EB252" s="212"/>
      <c r="EC252" s="212"/>
      <c r="ED252" s="212"/>
      <c r="EE252" s="212"/>
      <c r="EF252" s="212"/>
      <c r="EG252" s="212"/>
      <c r="EH252" s="212"/>
      <c r="EI252" s="212"/>
      <c r="EJ252" s="212"/>
      <c r="EK252" s="212"/>
      <c r="EL252" s="212"/>
      <c r="EM252" s="212"/>
      <c r="EN252" s="212"/>
      <c r="EO252" s="212"/>
      <c r="EP252" s="212"/>
      <c r="EQ252" s="212"/>
      <c r="ER252" s="212"/>
      <c r="ES252" s="212"/>
      <c r="ET252" s="212"/>
      <c r="EU252" s="212"/>
      <c r="EV252" s="212"/>
      <c r="EW252" s="212"/>
      <c r="EX252" s="212"/>
      <c r="EY252" s="212"/>
      <c r="EZ252" s="212"/>
      <c r="FA252" s="212"/>
      <c r="FB252" s="212"/>
      <c r="FC252" s="212"/>
      <c r="FD252" s="212"/>
      <c r="FE252" s="212"/>
      <c r="FF252" s="212"/>
      <c r="FG252" s="212"/>
      <c r="FH252" s="212"/>
      <c r="FI252" s="212"/>
      <c r="FJ252" s="212"/>
      <c r="FK252" s="212"/>
      <c r="FL252" s="212"/>
      <c r="FM252" s="212"/>
      <c r="FN252" s="212"/>
      <c r="FO252" s="212"/>
      <c r="FP252" s="212"/>
      <c r="FQ252" s="212"/>
      <c r="FR252" s="212"/>
      <c r="FS252" s="212"/>
      <c r="FT252" s="212"/>
      <c r="FU252" s="212"/>
      <c r="FV252" s="212"/>
      <c r="FW252" s="212"/>
      <c r="FX252" s="212"/>
      <c r="FY252" s="212"/>
      <c r="FZ252" s="212"/>
      <c r="GA252" s="212"/>
      <c r="GB252" s="212"/>
      <c r="GC252" s="212"/>
      <c r="GD252" s="212"/>
      <c r="GE252" s="212"/>
      <c r="GF252" s="212"/>
      <c r="GG252" s="212"/>
      <c r="GH252" s="212"/>
      <c r="GI252" s="212"/>
      <c r="GJ252" s="212"/>
      <c r="GK252" s="212"/>
      <c r="GL252" s="212"/>
      <c r="GM252" s="212"/>
      <c r="GN252" s="212"/>
      <c r="GO252" s="212"/>
      <c r="GP252" s="212"/>
      <c r="GQ252" s="212"/>
      <c r="GR252" s="212"/>
      <c r="GS252" s="212"/>
      <c r="GT252" s="212"/>
      <c r="GU252" s="212"/>
      <c r="GV252" s="212"/>
      <c r="GW252" s="212"/>
      <c r="GX252" s="212"/>
      <c r="GY252" s="212"/>
      <c r="GZ252" s="212"/>
      <c r="HA252" s="212"/>
      <c r="HB252" s="212"/>
      <c r="HC252" s="212"/>
      <c r="HD252" s="212"/>
      <c r="HE252" s="212"/>
      <c r="HF252" s="212"/>
      <c r="HG252" s="212"/>
      <c r="HH252" s="212"/>
      <c r="HI252" s="212"/>
      <c r="HJ252" s="212"/>
      <c r="HK252" s="212"/>
      <c r="HL252" s="212"/>
      <c r="HM252" s="212"/>
      <c r="HN252" s="212"/>
      <c r="HO252" s="212"/>
      <c r="HP252" s="212"/>
      <c r="HQ252" s="212"/>
      <c r="HR252" s="212"/>
      <c r="HS252" s="212"/>
      <c r="HT252" s="212"/>
      <c r="HU252" s="212"/>
      <c r="HV252" s="212"/>
      <c r="HW252" s="212"/>
      <c r="HX252" s="212"/>
      <c r="HY252" s="212"/>
      <c r="HZ252" s="212"/>
      <c r="IA252" s="212"/>
      <c r="IB252" s="212"/>
      <c r="IC252" s="212"/>
      <c r="ID252" s="212"/>
      <c r="IE252" s="212"/>
      <c r="IF252" s="212"/>
      <c r="IG252" s="212"/>
      <c r="IH252" s="212"/>
      <c r="II252" s="212"/>
      <c r="IJ252" s="212"/>
      <c r="IK252" s="212"/>
      <c r="IL252" s="212"/>
      <c r="IM252" s="212"/>
      <c r="IN252" s="212"/>
      <c r="IO252" s="212"/>
      <c r="IP252" s="212"/>
      <c r="IQ252" s="212"/>
      <c r="IR252" s="212"/>
    </row>
    <row r="253" spans="13:252" ht="16.5" hidden="1" customHeight="1" thickTop="1" thickBot="1">
      <c r="M253" s="212"/>
      <c r="N253" s="212"/>
      <c r="O253" s="212"/>
      <c r="P253" s="212"/>
      <c r="Q253" s="212"/>
      <c r="R253" s="212"/>
      <c r="S253" s="212"/>
      <c r="T253" s="212"/>
      <c r="U253" s="212"/>
      <c r="V253" s="212"/>
      <c r="W253" s="212"/>
      <c r="X253" s="212"/>
      <c r="Y253" s="212"/>
      <c r="Z253" s="212"/>
      <c r="AA253" s="212"/>
      <c r="AB253" s="212"/>
      <c r="AC253" s="212"/>
      <c r="AD253" s="212"/>
      <c r="AE253" s="212"/>
      <c r="AF253" s="212"/>
      <c r="AG253" s="212"/>
      <c r="AH253" s="212"/>
      <c r="AI253" s="212"/>
      <c r="AJ253" s="212"/>
      <c r="AK253" s="212"/>
      <c r="AL253" s="212"/>
      <c r="AM253" s="212"/>
      <c r="AN253" s="212"/>
      <c r="AO253" s="212"/>
      <c r="AP253" s="212"/>
      <c r="AQ253" s="212"/>
      <c r="AR253" s="212"/>
      <c r="AS253" s="212"/>
      <c r="AT253" s="212"/>
      <c r="AU253" s="212"/>
      <c r="AV253" s="212"/>
      <c r="AW253" s="212"/>
      <c r="AX253" s="212"/>
      <c r="AY253" s="212"/>
      <c r="AZ253" s="212"/>
      <c r="BA253" s="212"/>
      <c r="BB253" s="212"/>
      <c r="BC253" s="212"/>
      <c r="BD253" s="212"/>
      <c r="BE253" s="212"/>
      <c r="BF253" s="212"/>
      <c r="BG253" s="212"/>
      <c r="BH253" s="212"/>
      <c r="BI253" s="212"/>
      <c r="BJ253" s="212"/>
      <c r="BK253" s="212"/>
      <c r="BL253" s="212"/>
      <c r="BM253" s="212"/>
      <c r="BN253" s="212"/>
      <c r="BO253" s="212"/>
      <c r="BP253" s="212"/>
      <c r="BQ253" s="212"/>
      <c r="BR253" s="212"/>
      <c r="BS253" s="212"/>
      <c r="BT253" s="212"/>
      <c r="BU253" s="212"/>
      <c r="BV253" s="212"/>
      <c r="BW253" s="212"/>
      <c r="BX253" s="212"/>
      <c r="BY253" s="212"/>
      <c r="BZ253" s="212"/>
      <c r="CA253" s="212"/>
      <c r="CB253" s="212"/>
      <c r="CC253" s="212"/>
      <c r="CD253" s="212"/>
      <c r="CE253" s="212"/>
      <c r="CF253" s="212"/>
      <c r="CG253" s="212"/>
      <c r="CH253" s="212"/>
      <c r="CI253" s="212"/>
      <c r="CJ253" s="212"/>
      <c r="CK253" s="212"/>
      <c r="CL253" s="212"/>
      <c r="CM253" s="212"/>
      <c r="CN253" s="212"/>
      <c r="CO253" s="212"/>
      <c r="CP253" s="212"/>
      <c r="CQ253" s="212"/>
      <c r="CR253" s="212"/>
      <c r="CS253" s="212"/>
      <c r="CT253" s="212"/>
      <c r="CU253" s="212"/>
      <c r="CV253" s="212"/>
      <c r="CW253" s="212"/>
      <c r="CX253" s="212"/>
      <c r="CY253" s="212"/>
      <c r="CZ253" s="212"/>
      <c r="DA253" s="212"/>
      <c r="DB253" s="212"/>
      <c r="DC253" s="212"/>
      <c r="DD253" s="212"/>
      <c r="DE253" s="212"/>
      <c r="DF253" s="212"/>
      <c r="DG253" s="212"/>
      <c r="DH253" s="212"/>
      <c r="DI253" s="212"/>
      <c r="DJ253" s="212"/>
      <c r="DK253" s="212"/>
      <c r="DL253" s="212"/>
      <c r="DM253" s="212"/>
      <c r="DN253" s="212"/>
      <c r="DO253" s="212"/>
      <c r="DP253" s="212"/>
      <c r="DQ253" s="212"/>
      <c r="DR253" s="212"/>
      <c r="DS253" s="212"/>
      <c r="DT253" s="212"/>
      <c r="DU253" s="212"/>
      <c r="DV253" s="212"/>
      <c r="DW253" s="212"/>
      <c r="DX253" s="212"/>
      <c r="DY253" s="212"/>
      <c r="DZ253" s="212"/>
      <c r="EA253" s="212"/>
      <c r="EB253" s="212"/>
      <c r="EC253" s="212"/>
      <c r="ED253" s="212"/>
      <c r="EE253" s="212"/>
      <c r="EF253" s="212"/>
      <c r="EG253" s="212"/>
      <c r="EH253" s="212"/>
      <c r="EI253" s="212"/>
      <c r="EJ253" s="212"/>
      <c r="EK253" s="212"/>
      <c r="EL253" s="212"/>
      <c r="EM253" s="212"/>
      <c r="EN253" s="212"/>
      <c r="EO253" s="212"/>
      <c r="EP253" s="212"/>
      <c r="EQ253" s="212"/>
      <c r="ER253" s="212"/>
      <c r="ES253" s="212"/>
      <c r="ET253" s="212"/>
      <c r="EU253" s="212"/>
      <c r="EV253" s="212"/>
      <c r="EW253" s="212"/>
      <c r="EX253" s="212"/>
      <c r="EY253" s="212"/>
      <c r="EZ253" s="212"/>
      <c r="FA253" s="212"/>
      <c r="FB253" s="212"/>
      <c r="FC253" s="212"/>
      <c r="FD253" s="212"/>
      <c r="FE253" s="212"/>
      <c r="FF253" s="212"/>
      <c r="FG253" s="212"/>
      <c r="FH253" s="212"/>
      <c r="FI253" s="212"/>
      <c r="FJ253" s="212"/>
      <c r="FK253" s="212"/>
      <c r="FL253" s="212"/>
      <c r="FM253" s="212"/>
      <c r="FN253" s="212"/>
      <c r="FO253" s="212"/>
      <c r="FP253" s="212"/>
      <c r="FQ253" s="212"/>
      <c r="FR253" s="212"/>
      <c r="FS253" s="212"/>
      <c r="FT253" s="212"/>
      <c r="FU253" s="212"/>
      <c r="FV253" s="212"/>
      <c r="FW253" s="212"/>
      <c r="FX253" s="212"/>
      <c r="FY253" s="212"/>
      <c r="FZ253" s="212"/>
      <c r="GA253" s="212"/>
      <c r="GB253" s="212"/>
      <c r="GC253" s="212"/>
      <c r="GD253" s="212"/>
      <c r="GE253" s="212"/>
      <c r="GF253" s="212"/>
      <c r="GG253" s="212"/>
      <c r="GH253" s="212"/>
      <c r="GI253" s="212"/>
      <c r="GJ253" s="212"/>
      <c r="GK253" s="212"/>
      <c r="GL253" s="212"/>
      <c r="GM253" s="212"/>
      <c r="GN253" s="212"/>
      <c r="GO253" s="212"/>
      <c r="GP253" s="212"/>
      <c r="GQ253" s="212"/>
      <c r="GR253" s="212"/>
      <c r="GS253" s="212"/>
      <c r="GT253" s="212"/>
      <c r="GU253" s="212"/>
      <c r="GV253" s="212"/>
      <c r="GW253" s="212"/>
      <c r="GX253" s="212"/>
      <c r="GY253" s="212"/>
      <c r="GZ253" s="212"/>
      <c r="HA253" s="212"/>
      <c r="HB253" s="212"/>
      <c r="HC253" s="212"/>
      <c r="HD253" s="212"/>
      <c r="HE253" s="212"/>
      <c r="HF253" s="212"/>
      <c r="HG253" s="212"/>
      <c r="HH253" s="212"/>
      <c r="HI253" s="212"/>
      <c r="HJ253" s="212"/>
      <c r="HK253" s="212"/>
      <c r="HL253" s="212"/>
      <c r="HM253" s="212"/>
      <c r="HN253" s="212"/>
      <c r="HO253" s="212"/>
      <c r="HP253" s="212"/>
      <c r="HQ253" s="212"/>
      <c r="HR253" s="212"/>
      <c r="HS253" s="212"/>
      <c r="HT253" s="212"/>
      <c r="HU253" s="212"/>
      <c r="HV253" s="212"/>
      <c r="HW253" s="212"/>
      <c r="HX253" s="212"/>
      <c r="HY253" s="212"/>
      <c r="HZ253" s="212"/>
      <c r="IA253" s="212"/>
      <c r="IB253" s="212"/>
      <c r="IC253" s="212"/>
      <c r="ID253" s="212"/>
      <c r="IE253" s="212"/>
      <c r="IF253" s="212"/>
      <c r="IG253" s="212"/>
      <c r="IH253" s="212"/>
      <c r="II253" s="212"/>
      <c r="IJ253" s="212"/>
      <c r="IK253" s="212"/>
      <c r="IL253" s="212"/>
      <c r="IM253" s="212"/>
      <c r="IN253" s="212"/>
      <c r="IO253" s="212"/>
      <c r="IP253" s="212"/>
      <c r="IQ253" s="212"/>
      <c r="IR253" s="212"/>
    </row>
    <row r="254" spans="13:252" ht="16.5" customHeight="1" thickTop="1" thickBot="1">
      <c r="M254" s="212"/>
      <c r="N254" s="212"/>
      <c r="O254" s="212"/>
      <c r="P254" s="212"/>
      <c r="Q254" s="212"/>
      <c r="R254" s="212"/>
      <c r="S254" s="212"/>
      <c r="T254" s="212"/>
      <c r="U254" s="212"/>
      <c r="V254" s="212"/>
      <c r="W254" s="212"/>
      <c r="X254" s="212"/>
      <c r="Y254" s="212"/>
      <c r="Z254" s="212"/>
      <c r="AA254" s="212"/>
      <c r="AB254" s="212"/>
      <c r="AC254" s="212"/>
      <c r="AD254" s="212"/>
      <c r="AE254" s="212"/>
      <c r="AF254" s="212"/>
      <c r="AG254" s="212"/>
      <c r="AH254" s="212"/>
      <c r="AI254" s="212"/>
      <c r="AJ254" s="212"/>
      <c r="AK254" s="212"/>
      <c r="AL254" s="212"/>
      <c r="AM254" s="212"/>
      <c r="AN254" s="212"/>
      <c r="AO254" s="212"/>
      <c r="AP254" s="212"/>
      <c r="AQ254" s="212"/>
      <c r="AR254" s="212"/>
      <c r="AS254" s="212"/>
      <c r="AT254" s="212"/>
      <c r="AU254" s="212"/>
      <c r="AV254" s="212"/>
      <c r="AW254" s="212"/>
      <c r="AX254" s="212"/>
      <c r="AY254" s="212"/>
      <c r="AZ254" s="212"/>
      <c r="BA254" s="212"/>
      <c r="BB254" s="212"/>
      <c r="BC254" s="212"/>
      <c r="BD254" s="212"/>
      <c r="BE254" s="212"/>
      <c r="BF254" s="212"/>
      <c r="BG254" s="212"/>
      <c r="BH254" s="212"/>
      <c r="BI254" s="212"/>
      <c r="BJ254" s="212"/>
      <c r="BK254" s="212"/>
      <c r="BL254" s="212"/>
      <c r="BM254" s="212"/>
      <c r="BN254" s="212"/>
      <c r="BO254" s="212"/>
      <c r="BP254" s="212"/>
      <c r="BQ254" s="212"/>
      <c r="BR254" s="212"/>
      <c r="BS254" s="212"/>
      <c r="BT254" s="212"/>
      <c r="BU254" s="212"/>
      <c r="BV254" s="212"/>
      <c r="BW254" s="212"/>
      <c r="BX254" s="212"/>
      <c r="BY254" s="212"/>
      <c r="BZ254" s="212"/>
      <c r="CA254" s="212"/>
      <c r="CB254" s="212"/>
      <c r="CC254" s="212"/>
      <c r="CD254" s="212"/>
      <c r="CE254" s="212"/>
      <c r="CF254" s="212"/>
      <c r="CG254" s="212"/>
      <c r="CH254" s="212"/>
      <c r="CI254" s="212"/>
      <c r="CJ254" s="212"/>
      <c r="CK254" s="212"/>
      <c r="CL254" s="212"/>
      <c r="CM254" s="212"/>
      <c r="CN254" s="212"/>
      <c r="CO254" s="212"/>
      <c r="CP254" s="212"/>
      <c r="CQ254" s="212"/>
      <c r="CR254" s="212"/>
      <c r="CS254" s="212"/>
      <c r="CT254" s="212"/>
      <c r="CU254" s="212"/>
      <c r="CV254" s="212"/>
      <c r="CW254" s="212"/>
      <c r="CX254" s="212"/>
      <c r="CY254" s="212"/>
      <c r="CZ254" s="212"/>
      <c r="DA254" s="212"/>
      <c r="DB254" s="212"/>
      <c r="DC254" s="212"/>
      <c r="DD254" s="212"/>
      <c r="DE254" s="212"/>
      <c r="DF254" s="212"/>
      <c r="DG254" s="212"/>
      <c r="DH254" s="212"/>
      <c r="DI254" s="212"/>
      <c r="DJ254" s="212"/>
      <c r="DK254" s="212"/>
      <c r="DL254" s="212"/>
      <c r="DM254" s="212"/>
      <c r="DN254" s="212"/>
      <c r="DO254" s="212"/>
      <c r="DP254" s="212"/>
      <c r="DQ254" s="212"/>
      <c r="DR254" s="212"/>
      <c r="DS254" s="212"/>
      <c r="DT254" s="212"/>
      <c r="DU254" s="212"/>
      <c r="DV254" s="212"/>
      <c r="DW254" s="212"/>
      <c r="DX254" s="212"/>
      <c r="DY254" s="212"/>
      <c r="DZ254" s="212"/>
      <c r="EA254" s="212"/>
      <c r="EB254" s="212"/>
      <c r="EC254" s="212"/>
      <c r="ED254" s="212"/>
      <c r="EE254" s="212"/>
      <c r="EF254" s="212"/>
      <c r="EG254" s="212"/>
      <c r="EH254" s="212"/>
      <c r="EI254" s="212"/>
      <c r="EJ254" s="212"/>
      <c r="EK254" s="212"/>
      <c r="EL254" s="212"/>
      <c r="EM254" s="212"/>
      <c r="EN254" s="212"/>
      <c r="EO254" s="212"/>
      <c r="EP254" s="212"/>
      <c r="EQ254" s="212"/>
      <c r="ER254" s="212"/>
      <c r="ES254" s="212"/>
      <c r="ET254" s="212"/>
      <c r="EU254" s="212"/>
      <c r="EV254" s="212"/>
      <c r="EW254" s="212"/>
      <c r="EX254" s="212"/>
      <c r="EY254" s="212"/>
      <c r="EZ254" s="212"/>
      <c r="FA254" s="212"/>
      <c r="FB254" s="212"/>
      <c r="FC254" s="212"/>
      <c r="FD254" s="212"/>
      <c r="FE254" s="212"/>
      <c r="FF254" s="212"/>
      <c r="FG254" s="212"/>
      <c r="FH254" s="212"/>
      <c r="FI254" s="212"/>
      <c r="FJ254" s="212"/>
      <c r="FK254" s="212"/>
      <c r="FL254" s="212"/>
      <c r="FM254" s="212"/>
      <c r="FN254" s="212"/>
      <c r="FO254" s="212"/>
      <c r="FP254" s="212"/>
      <c r="FQ254" s="212"/>
      <c r="FR254" s="212"/>
      <c r="FS254" s="212"/>
      <c r="FT254" s="212"/>
      <c r="FU254" s="212"/>
      <c r="FV254" s="212"/>
      <c r="FW254" s="212"/>
      <c r="FX254" s="212"/>
      <c r="FY254" s="212"/>
      <c r="FZ254" s="212"/>
      <c r="GA254" s="212"/>
      <c r="GB254" s="212"/>
      <c r="GC254" s="212"/>
      <c r="GD254" s="212"/>
      <c r="GE254" s="212"/>
      <c r="GF254" s="212"/>
      <c r="GG254" s="212"/>
      <c r="GH254" s="212"/>
      <c r="GI254" s="212"/>
      <c r="GJ254" s="212"/>
      <c r="GK254" s="212"/>
      <c r="GL254" s="212"/>
      <c r="GM254" s="212"/>
      <c r="GN254" s="212"/>
      <c r="GO254" s="212"/>
      <c r="GP254" s="212"/>
      <c r="GQ254" s="212"/>
      <c r="GR254" s="212"/>
      <c r="GS254" s="212"/>
      <c r="GT254" s="212"/>
      <c r="GU254" s="212"/>
      <c r="GV254" s="212"/>
      <c r="GW254" s="212"/>
      <c r="GX254" s="212"/>
      <c r="GY254" s="212"/>
      <c r="GZ254" s="212"/>
      <c r="HA254" s="212"/>
      <c r="HB254" s="212"/>
      <c r="HC254" s="212"/>
      <c r="HD254" s="212"/>
      <c r="HE254" s="212"/>
      <c r="HF254" s="212"/>
      <c r="HG254" s="212"/>
      <c r="HH254" s="212"/>
      <c r="HI254" s="212"/>
      <c r="HJ254" s="212"/>
      <c r="HK254" s="212"/>
      <c r="HL254" s="212"/>
      <c r="HM254" s="212"/>
      <c r="HN254" s="212"/>
      <c r="HO254" s="212"/>
      <c r="HP254" s="212"/>
      <c r="HQ254" s="212"/>
      <c r="HR254" s="212"/>
      <c r="HS254" s="212"/>
      <c r="HT254" s="212"/>
      <c r="HU254" s="212"/>
      <c r="HV254" s="212"/>
      <c r="HW254" s="212"/>
      <c r="HX254" s="212"/>
      <c r="HY254" s="212"/>
      <c r="HZ254" s="212"/>
      <c r="IA254" s="212"/>
      <c r="IB254" s="212"/>
      <c r="IC254" s="212"/>
      <c r="ID254" s="212"/>
      <c r="IE254" s="212"/>
      <c r="IF254" s="212"/>
      <c r="IG254" s="212"/>
      <c r="IH254" s="212"/>
      <c r="II254" s="212"/>
      <c r="IJ254" s="212"/>
      <c r="IK254" s="212"/>
      <c r="IL254" s="212"/>
      <c r="IM254" s="212"/>
      <c r="IN254" s="212"/>
      <c r="IO254" s="212"/>
      <c r="IP254" s="212"/>
      <c r="IQ254" s="212"/>
      <c r="IR254" s="212"/>
    </row>
    <row r="255" spans="13:252" ht="16.5" customHeight="1" thickTop="1" thickBot="1">
      <c r="M255" s="212"/>
      <c r="N255" s="212"/>
      <c r="O255" s="212"/>
      <c r="P255" s="212"/>
      <c r="Q255" s="212"/>
      <c r="R255" s="212"/>
      <c r="S255" s="212"/>
      <c r="T255" s="212"/>
      <c r="U255" s="212"/>
      <c r="V255" s="212"/>
      <c r="W255" s="212"/>
      <c r="X255" s="212"/>
      <c r="Y255" s="212"/>
      <c r="Z255" s="212"/>
      <c r="AA255" s="212"/>
      <c r="AB255" s="212"/>
      <c r="AC255" s="212"/>
      <c r="AD255" s="212"/>
      <c r="AE255" s="212"/>
      <c r="AF255" s="212"/>
      <c r="AG255" s="212"/>
      <c r="AH255" s="212"/>
      <c r="AI255" s="212"/>
      <c r="AJ255" s="212"/>
      <c r="AK255" s="212"/>
      <c r="AL255" s="212"/>
      <c r="AM255" s="212"/>
      <c r="AN255" s="212"/>
      <c r="AO255" s="212"/>
      <c r="AP255" s="212"/>
      <c r="AQ255" s="212"/>
      <c r="AR255" s="212"/>
      <c r="AS255" s="212"/>
      <c r="AT255" s="212"/>
      <c r="AU255" s="212"/>
      <c r="AV255" s="212"/>
      <c r="AW255" s="212"/>
      <c r="AX255" s="212"/>
      <c r="AY255" s="212"/>
      <c r="AZ255" s="212"/>
      <c r="BA255" s="212"/>
      <c r="BB255" s="212"/>
      <c r="BC255" s="212"/>
      <c r="BD255" s="212"/>
      <c r="BE255" s="212"/>
      <c r="BF255" s="212"/>
      <c r="BG255" s="212"/>
      <c r="BH255" s="212"/>
      <c r="BI255" s="212"/>
      <c r="BJ255" s="212"/>
      <c r="BK255" s="212"/>
      <c r="BL255" s="212"/>
      <c r="BM255" s="212"/>
      <c r="BN255" s="212"/>
      <c r="BO255" s="212"/>
      <c r="BP255" s="212"/>
      <c r="BQ255" s="212"/>
      <c r="BR255" s="212"/>
      <c r="BS255" s="212"/>
      <c r="BT255" s="212"/>
      <c r="BU255" s="212"/>
      <c r="BV255" s="212"/>
      <c r="BW255" s="212"/>
      <c r="BX255" s="212"/>
      <c r="BY255" s="212"/>
      <c r="BZ255" s="212"/>
      <c r="CA255" s="212"/>
      <c r="CB255" s="212"/>
      <c r="CC255" s="212"/>
      <c r="CD255" s="212"/>
      <c r="CE255" s="212"/>
      <c r="CF255" s="212"/>
      <c r="CG255" s="212"/>
      <c r="CH255" s="212"/>
      <c r="CI255" s="212"/>
      <c r="CJ255" s="212"/>
      <c r="CK255" s="212"/>
      <c r="CL255" s="212"/>
      <c r="CM255" s="212"/>
      <c r="CN255" s="212"/>
      <c r="CO255" s="212"/>
      <c r="CP255" s="212"/>
      <c r="CQ255" s="212"/>
      <c r="CR255" s="212"/>
      <c r="CS255" s="212"/>
      <c r="CT255" s="212"/>
      <c r="CU255" s="212"/>
      <c r="CV255" s="212"/>
      <c r="CW255" s="212"/>
      <c r="CX255" s="212"/>
      <c r="CY255" s="212"/>
      <c r="CZ255" s="212"/>
      <c r="DA255" s="212"/>
      <c r="DB255" s="212"/>
      <c r="DC255" s="212"/>
      <c r="DD255" s="212"/>
      <c r="DE255" s="212"/>
      <c r="DF255" s="212"/>
      <c r="DG255" s="212"/>
      <c r="DH255" s="212"/>
      <c r="DI255" s="212"/>
      <c r="DJ255" s="212"/>
      <c r="DK255" s="212"/>
      <c r="DL255" s="212"/>
      <c r="DM255" s="212"/>
      <c r="DN255" s="212"/>
      <c r="DO255" s="212"/>
      <c r="DP255" s="212"/>
      <c r="DQ255" s="212"/>
      <c r="DR255" s="212"/>
      <c r="DS255" s="212"/>
      <c r="DT255" s="212"/>
      <c r="DU255" s="212"/>
      <c r="DV255" s="212"/>
      <c r="DW255" s="212"/>
      <c r="DX255" s="212"/>
      <c r="DY255" s="212"/>
      <c r="DZ255" s="212"/>
      <c r="EA255" s="212"/>
      <c r="EB255" s="212"/>
      <c r="EC255" s="212"/>
      <c r="ED255" s="212"/>
      <c r="EE255" s="212"/>
      <c r="EF255" s="212"/>
      <c r="EG255" s="212"/>
      <c r="EH255" s="212"/>
      <c r="EI255" s="212"/>
      <c r="EJ255" s="212"/>
      <c r="EK255" s="212"/>
      <c r="EL255" s="212"/>
      <c r="EM255" s="212"/>
      <c r="EN255" s="212"/>
      <c r="EO255" s="212"/>
      <c r="EP255" s="212"/>
      <c r="EQ255" s="212"/>
      <c r="ER255" s="212"/>
      <c r="ES255" s="212"/>
      <c r="ET255" s="212"/>
      <c r="EU255" s="212"/>
      <c r="EV255" s="212"/>
      <c r="EW255" s="212"/>
      <c r="EX255" s="212"/>
      <c r="EY255" s="212"/>
      <c r="EZ255" s="212"/>
      <c r="FA255" s="212"/>
      <c r="FB255" s="212"/>
      <c r="FC255" s="212"/>
      <c r="FD255" s="212"/>
      <c r="FE255" s="212"/>
      <c r="FF255" s="212"/>
      <c r="FG255" s="212"/>
      <c r="FH255" s="212"/>
      <c r="FI255" s="212"/>
      <c r="FJ255" s="212"/>
      <c r="FK255" s="212"/>
      <c r="FL255" s="212"/>
      <c r="FM255" s="212"/>
      <c r="FN255" s="212"/>
      <c r="FO255" s="212"/>
      <c r="FP255" s="212"/>
      <c r="FQ255" s="212"/>
      <c r="FR255" s="212"/>
      <c r="FS255" s="212"/>
      <c r="FT255" s="212"/>
      <c r="FU255" s="212"/>
      <c r="FV255" s="212"/>
      <c r="FW255" s="212"/>
      <c r="FX255" s="212"/>
      <c r="FY255" s="212"/>
      <c r="FZ255" s="212"/>
      <c r="GA255" s="212"/>
      <c r="GB255" s="212"/>
      <c r="GC255" s="212"/>
      <c r="GD255" s="212"/>
      <c r="GE255" s="212"/>
      <c r="GF255" s="212"/>
      <c r="GG255" s="212"/>
      <c r="GH255" s="212"/>
      <c r="GI255" s="212"/>
      <c r="GJ255" s="212"/>
      <c r="GK255" s="212"/>
      <c r="GL255" s="212"/>
      <c r="GM255" s="212"/>
      <c r="GN255" s="212"/>
      <c r="GO255" s="212"/>
      <c r="GP255" s="212"/>
      <c r="GQ255" s="212"/>
      <c r="GR255" s="212"/>
      <c r="GS255" s="212"/>
      <c r="GT255" s="212"/>
      <c r="GU255" s="212"/>
      <c r="GV255" s="212"/>
      <c r="GW255" s="212"/>
      <c r="GX255" s="212"/>
      <c r="GY255" s="212"/>
      <c r="GZ255" s="212"/>
      <c r="HA255" s="212"/>
      <c r="HB255" s="212"/>
      <c r="HC255" s="212"/>
      <c r="HD255" s="212"/>
      <c r="HE255" s="212"/>
      <c r="HF255" s="212"/>
      <c r="HG255" s="212"/>
      <c r="HH255" s="212"/>
      <c r="HI255" s="212"/>
      <c r="HJ255" s="212"/>
      <c r="HK255" s="212"/>
      <c r="HL255" s="212"/>
      <c r="HM255" s="212"/>
      <c r="HN255" s="212"/>
      <c r="HO255" s="212"/>
      <c r="HP255" s="212"/>
      <c r="HQ255" s="212"/>
      <c r="HR255" s="212"/>
      <c r="HS255" s="212"/>
      <c r="HT255" s="212"/>
      <c r="HU255" s="212"/>
      <c r="HV255" s="212"/>
      <c r="HW255" s="212"/>
      <c r="HX255" s="212"/>
      <c r="HY255" s="212"/>
      <c r="HZ255" s="212"/>
      <c r="IA255" s="212"/>
      <c r="IB255" s="212"/>
      <c r="IC255" s="212"/>
      <c r="ID255" s="212"/>
      <c r="IE255" s="212"/>
      <c r="IF255" s="212"/>
      <c r="IG255" s="212"/>
      <c r="IH255" s="212"/>
      <c r="II255" s="212"/>
      <c r="IJ255" s="212"/>
      <c r="IK255" s="212"/>
      <c r="IL255" s="212"/>
      <c r="IM255" s="212"/>
      <c r="IN255" s="212"/>
      <c r="IO255" s="212"/>
      <c r="IP255" s="212"/>
      <c r="IQ255" s="212"/>
      <c r="IR255" s="212"/>
    </row>
    <row r="256" spans="13:252" ht="16.5" customHeight="1" thickTop="1" thickBot="1">
      <c r="M256" s="212"/>
      <c r="N256" s="212"/>
      <c r="O256" s="212"/>
      <c r="P256" s="212"/>
      <c r="Q256" s="212"/>
      <c r="R256" s="212"/>
      <c r="S256" s="212"/>
      <c r="T256" s="212"/>
      <c r="U256" s="212"/>
      <c r="V256" s="212"/>
      <c r="W256" s="212"/>
      <c r="X256" s="212"/>
      <c r="Y256" s="212"/>
      <c r="Z256" s="212"/>
      <c r="AA256" s="212"/>
      <c r="AB256" s="212"/>
      <c r="AC256" s="212"/>
      <c r="AD256" s="212"/>
      <c r="AE256" s="212"/>
      <c r="AF256" s="212"/>
      <c r="AG256" s="212"/>
      <c r="AH256" s="212"/>
      <c r="AI256" s="212"/>
      <c r="AJ256" s="212"/>
      <c r="AK256" s="212"/>
      <c r="AL256" s="212"/>
      <c r="AM256" s="212"/>
      <c r="AN256" s="212"/>
      <c r="AO256" s="212"/>
      <c r="AP256" s="212"/>
      <c r="AQ256" s="212"/>
      <c r="AR256" s="212"/>
      <c r="AS256" s="212"/>
      <c r="AT256" s="212"/>
      <c r="AU256" s="212"/>
      <c r="AV256" s="212"/>
      <c r="AW256" s="212"/>
      <c r="AX256" s="212"/>
      <c r="AY256" s="212"/>
      <c r="AZ256" s="212"/>
      <c r="BA256" s="212"/>
      <c r="BB256" s="212"/>
      <c r="BC256" s="212"/>
      <c r="BD256" s="212"/>
      <c r="BE256" s="212"/>
      <c r="BF256" s="212"/>
      <c r="BG256" s="212"/>
      <c r="BH256" s="212"/>
      <c r="BI256" s="212"/>
      <c r="BJ256" s="212"/>
      <c r="BK256" s="212"/>
      <c r="BL256" s="212"/>
      <c r="BM256" s="212"/>
      <c r="BN256" s="212"/>
      <c r="BO256" s="212"/>
      <c r="BP256" s="212"/>
      <c r="BQ256" s="212"/>
      <c r="BR256" s="212"/>
      <c r="BS256" s="212"/>
      <c r="BT256" s="212"/>
      <c r="BU256" s="212"/>
      <c r="BV256" s="212"/>
      <c r="BW256" s="212"/>
      <c r="BX256" s="212"/>
      <c r="BY256" s="212"/>
      <c r="BZ256" s="212"/>
      <c r="CA256" s="212"/>
      <c r="CB256" s="212"/>
      <c r="CC256" s="212"/>
      <c r="CD256" s="212"/>
      <c r="CE256" s="212"/>
      <c r="CF256" s="212"/>
      <c r="CG256" s="212"/>
      <c r="CH256" s="212"/>
      <c r="CI256" s="212"/>
      <c r="CJ256" s="212"/>
      <c r="CK256" s="212"/>
      <c r="CL256" s="212"/>
      <c r="CM256" s="212"/>
      <c r="CN256" s="212"/>
      <c r="CO256" s="212"/>
      <c r="CP256" s="212"/>
      <c r="CQ256" s="212"/>
      <c r="CR256" s="212"/>
      <c r="CS256" s="212"/>
      <c r="CT256" s="212"/>
      <c r="CU256" s="212"/>
      <c r="CV256" s="212"/>
      <c r="CW256" s="212"/>
      <c r="CX256" s="212"/>
      <c r="CY256" s="212"/>
      <c r="CZ256" s="212"/>
      <c r="DA256" s="212"/>
      <c r="DB256" s="212"/>
      <c r="DC256" s="212"/>
      <c r="DD256" s="212"/>
      <c r="DE256" s="212"/>
      <c r="DF256" s="212"/>
      <c r="DG256" s="212"/>
      <c r="DH256" s="212"/>
      <c r="DI256" s="212"/>
      <c r="DJ256" s="212"/>
      <c r="DK256" s="212"/>
      <c r="DL256" s="212"/>
      <c r="DM256" s="212"/>
      <c r="DN256" s="212"/>
      <c r="DO256" s="212"/>
      <c r="DP256" s="212"/>
      <c r="DQ256" s="212"/>
      <c r="DR256" s="212"/>
      <c r="DS256" s="212"/>
      <c r="DT256" s="212"/>
      <c r="DU256" s="212"/>
      <c r="DV256" s="212"/>
      <c r="DW256" s="212"/>
      <c r="DX256" s="212"/>
      <c r="DY256" s="212"/>
      <c r="DZ256" s="212"/>
      <c r="EA256" s="212"/>
      <c r="EB256" s="212"/>
      <c r="EC256" s="212"/>
      <c r="ED256" s="212"/>
      <c r="EE256" s="212"/>
      <c r="EF256" s="212"/>
      <c r="EG256" s="212"/>
      <c r="EH256" s="212"/>
      <c r="EI256" s="212"/>
      <c r="EJ256" s="212"/>
      <c r="EK256" s="212"/>
      <c r="EL256" s="212"/>
      <c r="EM256" s="212"/>
      <c r="EN256" s="212"/>
      <c r="EO256" s="212"/>
      <c r="EP256" s="212"/>
      <c r="EQ256" s="212"/>
      <c r="ER256" s="212"/>
      <c r="ES256" s="212"/>
      <c r="ET256" s="212"/>
      <c r="EU256" s="212"/>
      <c r="EV256" s="212"/>
      <c r="EW256" s="212"/>
      <c r="EX256" s="212"/>
      <c r="EY256" s="212"/>
      <c r="EZ256" s="212"/>
      <c r="FA256" s="212"/>
      <c r="FB256" s="212"/>
      <c r="FC256" s="212"/>
      <c r="FD256" s="212"/>
      <c r="FE256" s="212"/>
      <c r="FF256" s="212"/>
      <c r="FG256" s="212"/>
      <c r="FH256" s="212"/>
      <c r="FI256" s="212"/>
      <c r="FJ256" s="212"/>
      <c r="FK256" s="212"/>
      <c r="FL256" s="212"/>
      <c r="FM256" s="212"/>
      <c r="FN256" s="212"/>
      <c r="FO256" s="212"/>
      <c r="FP256" s="212"/>
      <c r="FQ256" s="212"/>
      <c r="FR256" s="212"/>
      <c r="FS256" s="212"/>
      <c r="FT256" s="212"/>
      <c r="FU256" s="212"/>
      <c r="FV256" s="212"/>
      <c r="FW256" s="212"/>
      <c r="FX256" s="212"/>
      <c r="FY256" s="212"/>
      <c r="FZ256" s="212"/>
      <c r="GA256" s="212"/>
      <c r="GB256" s="212"/>
      <c r="GC256" s="212"/>
      <c r="GD256" s="212"/>
      <c r="GE256" s="212"/>
      <c r="GF256" s="212"/>
      <c r="GG256" s="212"/>
      <c r="GH256" s="212"/>
      <c r="GI256" s="212"/>
      <c r="GJ256" s="212"/>
      <c r="GK256" s="212"/>
      <c r="GL256" s="212"/>
      <c r="GM256" s="212"/>
      <c r="GN256" s="212"/>
      <c r="GO256" s="212"/>
      <c r="GP256" s="212"/>
      <c r="GQ256" s="212"/>
      <c r="GR256" s="212"/>
      <c r="GS256" s="212"/>
      <c r="GT256" s="212"/>
      <c r="GU256" s="212"/>
      <c r="GV256" s="212"/>
      <c r="GW256" s="212"/>
      <c r="GX256" s="212"/>
      <c r="GY256" s="212"/>
      <c r="GZ256" s="212"/>
      <c r="HA256" s="212"/>
      <c r="HB256" s="212"/>
      <c r="HC256" s="212"/>
      <c r="HD256" s="212"/>
      <c r="HE256" s="212"/>
      <c r="HF256" s="212"/>
      <c r="HG256" s="212"/>
      <c r="HH256" s="212"/>
      <c r="HI256" s="212"/>
      <c r="HJ256" s="212"/>
      <c r="HK256" s="212"/>
      <c r="HL256" s="212"/>
      <c r="HM256" s="212"/>
      <c r="HN256" s="212"/>
      <c r="HO256" s="212"/>
      <c r="HP256" s="212"/>
      <c r="HQ256" s="212"/>
      <c r="HR256" s="212"/>
      <c r="HS256" s="212"/>
      <c r="HT256" s="212"/>
      <c r="HU256" s="212"/>
      <c r="HV256" s="212"/>
      <c r="HW256" s="212"/>
      <c r="HX256" s="212"/>
      <c r="HY256" s="212"/>
      <c r="HZ256" s="212"/>
      <c r="IA256" s="212"/>
      <c r="IB256" s="212"/>
      <c r="IC256" s="212"/>
      <c r="ID256" s="212"/>
      <c r="IE256" s="212"/>
      <c r="IF256" s="212"/>
      <c r="IG256" s="212"/>
      <c r="IH256" s="212"/>
      <c r="II256" s="212"/>
      <c r="IJ256" s="212"/>
      <c r="IK256" s="212"/>
      <c r="IL256" s="212"/>
      <c r="IM256" s="212"/>
      <c r="IN256" s="212"/>
      <c r="IO256" s="212"/>
      <c r="IP256" s="212"/>
      <c r="IQ256" s="212"/>
      <c r="IR256" s="212"/>
    </row>
    <row r="257" spans="13:252" ht="15" customHeight="1" thickTop="1" thickBot="1">
      <c r="M257" s="212"/>
      <c r="N257" s="212"/>
      <c r="O257" s="212"/>
      <c r="P257" s="212"/>
      <c r="Q257" s="212"/>
      <c r="R257" s="212"/>
      <c r="S257" s="212"/>
      <c r="T257" s="212"/>
      <c r="U257" s="212"/>
      <c r="V257" s="212"/>
      <c r="W257" s="212"/>
      <c r="X257" s="212"/>
      <c r="Y257" s="212"/>
      <c r="Z257" s="212"/>
      <c r="AA257" s="212"/>
      <c r="AB257" s="212"/>
      <c r="AC257" s="212"/>
      <c r="AD257" s="212"/>
      <c r="AE257" s="212"/>
      <c r="AF257" s="212"/>
      <c r="AG257" s="212"/>
      <c r="AH257" s="212"/>
      <c r="AI257" s="212"/>
      <c r="AJ257" s="212"/>
      <c r="AK257" s="212"/>
      <c r="AL257" s="212"/>
      <c r="AM257" s="212"/>
      <c r="AN257" s="212"/>
      <c r="AO257" s="212"/>
      <c r="AP257" s="212"/>
      <c r="AQ257" s="212"/>
      <c r="AR257" s="212"/>
      <c r="AS257" s="212"/>
      <c r="AT257" s="212"/>
      <c r="AU257" s="212"/>
      <c r="AV257" s="212"/>
      <c r="AW257" s="212"/>
      <c r="AX257" s="212"/>
      <c r="AY257" s="212"/>
      <c r="AZ257" s="212"/>
      <c r="BA257" s="212"/>
      <c r="BB257" s="212"/>
      <c r="BC257" s="212"/>
      <c r="BD257" s="212"/>
      <c r="BE257" s="212"/>
      <c r="BF257" s="212"/>
      <c r="BG257" s="212"/>
      <c r="BH257" s="212"/>
      <c r="BI257" s="212"/>
      <c r="BJ257" s="212"/>
      <c r="BK257" s="212"/>
      <c r="BL257" s="212"/>
      <c r="BM257" s="212"/>
      <c r="BN257" s="212"/>
      <c r="BO257" s="212"/>
      <c r="BP257" s="212"/>
      <c r="BQ257" s="212"/>
      <c r="BR257" s="212"/>
      <c r="BS257" s="212"/>
      <c r="BT257" s="212"/>
      <c r="BU257" s="212"/>
      <c r="BV257" s="212"/>
      <c r="BW257" s="212"/>
      <c r="BX257" s="212"/>
      <c r="BY257" s="212"/>
      <c r="BZ257" s="212"/>
      <c r="CA257" s="212"/>
      <c r="CB257" s="212"/>
      <c r="CC257" s="212"/>
      <c r="CD257" s="212"/>
      <c r="CE257" s="212"/>
      <c r="CF257" s="212"/>
      <c r="CG257" s="212"/>
      <c r="CH257" s="212"/>
      <c r="CI257" s="212"/>
      <c r="CJ257" s="212"/>
      <c r="CK257" s="212"/>
      <c r="CL257" s="212"/>
      <c r="CM257" s="212"/>
      <c r="CN257" s="212"/>
      <c r="CO257" s="212"/>
      <c r="CP257" s="212"/>
      <c r="CQ257" s="212"/>
      <c r="CR257" s="212"/>
      <c r="CS257" s="212"/>
      <c r="CT257" s="212"/>
      <c r="CU257" s="212"/>
      <c r="CV257" s="212"/>
      <c r="CW257" s="212"/>
      <c r="CX257" s="212"/>
      <c r="CY257" s="212"/>
      <c r="CZ257" s="212"/>
      <c r="DA257" s="212"/>
      <c r="DB257" s="212"/>
      <c r="DC257" s="212"/>
      <c r="DD257" s="212"/>
      <c r="DE257" s="212"/>
      <c r="DF257" s="212"/>
      <c r="DG257" s="212"/>
      <c r="DH257" s="212"/>
      <c r="DI257" s="212"/>
      <c r="DJ257" s="212"/>
      <c r="DK257" s="212"/>
      <c r="DL257" s="212"/>
      <c r="DM257" s="212"/>
      <c r="DN257" s="212"/>
      <c r="DO257" s="212"/>
      <c r="DP257" s="212"/>
      <c r="DQ257" s="212"/>
      <c r="DR257" s="212"/>
      <c r="DS257" s="212"/>
      <c r="DT257" s="212"/>
      <c r="DU257" s="212"/>
      <c r="DV257" s="212"/>
      <c r="DW257" s="212"/>
      <c r="DX257" s="212"/>
      <c r="DY257" s="212"/>
      <c r="DZ257" s="212"/>
      <c r="EA257" s="212"/>
      <c r="EB257" s="212"/>
      <c r="EC257" s="212"/>
      <c r="ED257" s="212"/>
      <c r="EE257" s="212"/>
      <c r="EF257" s="212"/>
      <c r="EG257" s="212"/>
      <c r="EH257" s="212"/>
      <c r="EI257" s="212"/>
      <c r="EJ257" s="212"/>
      <c r="EK257" s="212"/>
      <c r="EL257" s="212"/>
      <c r="EM257" s="212"/>
      <c r="EN257" s="212"/>
      <c r="EO257" s="212"/>
      <c r="EP257" s="212"/>
      <c r="EQ257" s="212"/>
      <c r="ER257" s="212"/>
      <c r="ES257" s="212"/>
      <c r="ET257" s="212"/>
      <c r="EU257" s="212"/>
      <c r="EV257" s="212"/>
      <c r="EW257" s="212"/>
      <c r="EX257" s="212"/>
      <c r="EY257" s="212"/>
      <c r="EZ257" s="212"/>
      <c r="FA257" s="212"/>
      <c r="FB257" s="212"/>
      <c r="FC257" s="212"/>
      <c r="FD257" s="212"/>
      <c r="FE257" s="212"/>
      <c r="FF257" s="212"/>
      <c r="FG257" s="212"/>
      <c r="FH257" s="212"/>
      <c r="FI257" s="212"/>
      <c r="FJ257" s="212"/>
      <c r="FK257" s="212"/>
      <c r="FL257" s="212"/>
      <c r="FM257" s="212"/>
      <c r="FN257" s="212"/>
      <c r="FO257" s="212"/>
      <c r="FP257" s="212"/>
      <c r="FQ257" s="212"/>
      <c r="FR257" s="212"/>
      <c r="FS257" s="212"/>
      <c r="FT257" s="212"/>
      <c r="FU257" s="212"/>
      <c r="FV257" s="212"/>
      <c r="FW257" s="212"/>
      <c r="FX257" s="212"/>
      <c r="FY257" s="212"/>
      <c r="FZ257" s="212"/>
      <c r="GA257" s="212"/>
      <c r="GB257" s="212"/>
      <c r="GC257" s="212"/>
      <c r="GD257" s="212"/>
      <c r="GE257" s="212"/>
      <c r="GF257" s="212"/>
      <c r="GG257" s="212"/>
      <c r="GH257" s="212"/>
      <c r="GI257" s="212"/>
      <c r="GJ257" s="212"/>
      <c r="GK257" s="212"/>
      <c r="GL257" s="212"/>
      <c r="GM257" s="212"/>
      <c r="GN257" s="212"/>
      <c r="GO257" s="212"/>
      <c r="GP257" s="212"/>
      <c r="GQ257" s="212"/>
      <c r="GR257" s="212"/>
      <c r="GS257" s="212"/>
      <c r="GT257" s="212"/>
      <c r="GU257" s="212"/>
      <c r="GV257" s="212"/>
      <c r="GW257" s="212"/>
      <c r="GX257" s="212"/>
      <c r="GY257" s="212"/>
      <c r="GZ257" s="212"/>
      <c r="HA257" s="212"/>
      <c r="HB257" s="212"/>
      <c r="HC257" s="212"/>
      <c r="HD257" s="212"/>
      <c r="HE257" s="212"/>
      <c r="HF257" s="212"/>
      <c r="HG257" s="212"/>
      <c r="HH257" s="212"/>
      <c r="HI257" s="212"/>
      <c r="HJ257" s="212"/>
      <c r="HK257" s="212"/>
      <c r="HL257" s="212"/>
      <c r="HM257" s="212"/>
      <c r="HN257" s="212"/>
      <c r="HO257" s="212"/>
      <c r="HP257" s="212"/>
      <c r="HQ257" s="212"/>
      <c r="HR257" s="212"/>
      <c r="HS257" s="212"/>
      <c r="HT257" s="212"/>
      <c r="HU257" s="212"/>
      <c r="HV257" s="212"/>
      <c r="HW257" s="212"/>
      <c r="HX257" s="212"/>
      <c r="HY257" s="212"/>
      <c r="HZ257" s="212"/>
      <c r="IA257" s="212"/>
      <c r="IB257" s="212"/>
      <c r="IC257" s="212"/>
      <c r="ID257" s="212"/>
      <c r="IE257" s="212"/>
      <c r="IF257" s="212"/>
      <c r="IG257" s="212"/>
      <c r="IH257" s="212"/>
      <c r="II257" s="212"/>
      <c r="IJ257" s="212"/>
      <c r="IK257" s="212"/>
      <c r="IL257" s="212"/>
      <c r="IM257" s="212"/>
      <c r="IN257" s="212"/>
      <c r="IO257" s="212"/>
      <c r="IP257" s="212"/>
      <c r="IQ257" s="212"/>
      <c r="IR257" s="212"/>
    </row>
    <row r="258" spans="13:252" ht="18" customHeight="1" thickTop="1" thickBot="1">
      <c r="M258" s="212"/>
      <c r="N258" s="212"/>
      <c r="O258" s="212"/>
      <c r="P258" s="212"/>
      <c r="Q258" s="212"/>
      <c r="R258" s="212"/>
      <c r="S258" s="212"/>
      <c r="T258" s="212"/>
      <c r="U258" s="212"/>
      <c r="V258" s="212"/>
      <c r="W258" s="212"/>
      <c r="X258" s="212"/>
      <c r="Y258" s="212"/>
      <c r="Z258" s="212"/>
      <c r="AA258" s="212"/>
      <c r="AB258" s="212"/>
      <c r="AC258" s="212"/>
      <c r="AD258" s="212"/>
      <c r="AE258" s="212"/>
      <c r="AF258" s="212"/>
      <c r="AG258" s="212"/>
      <c r="AH258" s="212"/>
      <c r="AI258" s="212"/>
      <c r="AJ258" s="212"/>
      <c r="AK258" s="212"/>
      <c r="AL258" s="212"/>
      <c r="AM258" s="212"/>
      <c r="AN258" s="212"/>
      <c r="AO258" s="212"/>
      <c r="AP258" s="212"/>
      <c r="AQ258" s="212"/>
      <c r="AR258" s="212"/>
      <c r="AS258" s="212"/>
      <c r="AT258" s="212"/>
      <c r="AU258" s="212"/>
      <c r="AV258" s="212"/>
      <c r="AW258" s="212"/>
      <c r="AX258" s="212"/>
      <c r="AY258" s="212"/>
      <c r="AZ258" s="212"/>
      <c r="BA258" s="212"/>
      <c r="BB258" s="212"/>
      <c r="BC258" s="212"/>
      <c r="BD258" s="212"/>
      <c r="BE258" s="212"/>
      <c r="BF258" s="212"/>
      <c r="BG258" s="212"/>
      <c r="BH258" s="212"/>
      <c r="BI258" s="212"/>
      <c r="BJ258" s="212"/>
      <c r="BK258" s="212"/>
      <c r="BL258" s="212"/>
      <c r="BM258" s="212"/>
      <c r="BN258" s="212"/>
      <c r="BO258" s="212"/>
      <c r="BP258" s="212"/>
      <c r="BQ258" s="212"/>
      <c r="BR258" s="212"/>
      <c r="BS258" s="212"/>
      <c r="BT258" s="212"/>
      <c r="BU258" s="212"/>
      <c r="BV258" s="212"/>
      <c r="BW258" s="212"/>
      <c r="BX258" s="212"/>
      <c r="BY258" s="212"/>
      <c r="BZ258" s="212"/>
      <c r="CA258" s="212"/>
      <c r="CB258" s="212"/>
      <c r="CC258" s="212"/>
      <c r="CD258" s="212"/>
      <c r="CE258" s="212"/>
      <c r="CF258" s="212"/>
      <c r="CG258" s="212"/>
      <c r="CH258" s="212"/>
      <c r="CI258" s="212"/>
      <c r="CJ258" s="212"/>
      <c r="CK258" s="212"/>
      <c r="CL258" s="212"/>
      <c r="CM258" s="212"/>
      <c r="CN258" s="212"/>
      <c r="CO258" s="212"/>
      <c r="CP258" s="212"/>
      <c r="CQ258" s="212"/>
      <c r="CR258" s="212"/>
      <c r="CS258" s="212"/>
      <c r="CT258" s="212"/>
      <c r="CU258" s="212"/>
      <c r="CV258" s="212"/>
      <c r="CW258" s="212"/>
      <c r="CX258" s="212"/>
      <c r="CY258" s="212"/>
      <c r="CZ258" s="212"/>
      <c r="DA258" s="212"/>
      <c r="DB258" s="212"/>
      <c r="DC258" s="212"/>
      <c r="DD258" s="212"/>
      <c r="DE258" s="212"/>
      <c r="DF258" s="212"/>
      <c r="DG258" s="212"/>
      <c r="DH258" s="212"/>
      <c r="DI258" s="212"/>
      <c r="DJ258" s="212"/>
      <c r="DK258" s="212"/>
      <c r="DL258" s="212"/>
      <c r="DM258" s="212"/>
      <c r="DN258" s="212"/>
      <c r="DO258" s="212"/>
      <c r="DP258" s="212"/>
      <c r="DQ258" s="212"/>
      <c r="DR258" s="212"/>
      <c r="DS258" s="212"/>
      <c r="DT258" s="212"/>
      <c r="DU258" s="212"/>
      <c r="DV258" s="212"/>
      <c r="DW258" s="212"/>
      <c r="DX258" s="212"/>
      <c r="DY258" s="212"/>
      <c r="DZ258" s="212"/>
      <c r="EA258" s="212"/>
      <c r="EB258" s="212"/>
      <c r="EC258" s="212"/>
      <c r="ED258" s="212"/>
      <c r="EE258" s="212"/>
      <c r="EF258" s="212"/>
      <c r="EG258" s="212"/>
      <c r="EH258" s="212"/>
      <c r="EI258" s="212"/>
      <c r="EJ258" s="212"/>
      <c r="EK258" s="212"/>
      <c r="EL258" s="212"/>
      <c r="EM258" s="212"/>
      <c r="EN258" s="212"/>
      <c r="EO258" s="212"/>
      <c r="EP258" s="212"/>
      <c r="EQ258" s="212"/>
      <c r="ER258" s="212"/>
      <c r="ES258" s="212"/>
      <c r="ET258" s="212"/>
      <c r="EU258" s="212"/>
      <c r="EV258" s="212"/>
      <c r="EW258" s="212"/>
      <c r="EX258" s="212"/>
      <c r="EY258" s="212"/>
      <c r="EZ258" s="212"/>
      <c r="FA258" s="212"/>
      <c r="FB258" s="212"/>
      <c r="FC258" s="212"/>
      <c r="FD258" s="212"/>
      <c r="FE258" s="212"/>
      <c r="FF258" s="212"/>
      <c r="FG258" s="212"/>
      <c r="FH258" s="212"/>
      <c r="FI258" s="212"/>
      <c r="FJ258" s="212"/>
      <c r="FK258" s="212"/>
      <c r="FL258" s="212"/>
      <c r="FM258" s="212"/>
      <c r="FN258" s="212"/>
      <c r="FO258" s="212"/>
      <c r="FP258" s="212"/>
      <c r="FQ258" s="212"/>
      <c r="FR258" s="212"/>
      <c r="FS258" s="212"/>
      <c r="FT258" s="212"/>
      <c r="FU258" s="212"/>
      <c r="FV258" s="212"/>
      <c r="FW258" s="212"/>
      <c r="FX258" s="212"/>
      <c r="FY258" s="212"/>
      <c r="FZ258" s="212"/>
      <c r="GA258" s="212"/>
      <c r="GB258" s="212"/>
      <c r="GC258" s="212"/>
      <c r="GD258" s="212"/>
      <c r="GE258" s="212"/>
      <c r="GF258" s="212"/>
      <c r="GG258" s="212"/>
      <c r="GH258" s="212"/>
      <c r="GI258" s="212"/>
      <c r="GJ258" s="212"/>
      <c r="GK258" s="212"/>
      <c r="GL258" s="212"/>
      <c r="GM258" s="212"/>
      <c r="GN258" s="212"/>
      <c r="GO258" s="212"/>
      <c r="GP258" s="212"/>
      <c r="GQ258" s="212"/>
      <c r="GR258" s="212"/>
      <c r="GS258" s="212"/>
      <c r="GT258" s="212"/>
      <c r="GU258" s="212"/>
      <c r="GV258" s="212"/>
      <c r="GW258" s="212"/>
      <c r="GX258" s="212"/>
      <c r="GY258" s="212"/>
      <c r="GZ258" s="212"/>
      <c r="HA258" s="212"/>
      <c r="HB258" s="212"/>
      <c r="HC258" s="212"/>
      <c r="HD258" s="212"/>
      <c r="HE258" s="212"/>
      <c r="HF258" s="212"/>
      <c r="HG258" s="212"/>
      <c r="HH258" s="212"/>
      <c r="HI258" s="212"/>
      <c r="HJ258" s="212"/>
      <c r="HK258" s="212"/>
      <c r="HL258" s="212"/>
      <c r="HM258" s="212"/>
      <c r="HN258" s="212"/>
      <c r="HO258" s="212"/>
      <c r="HP258" s="212"/>
      <c r="HQ258" s="212"/>
      <c r="HR258" s="212"/>
      <c r="HS258" s="212"/>
      <c r="HT258" s="212"/>
      <c r="HU258" s="212"/>
      <c r="HV258" s="212"/>
      <c r="HW258" s="212"/>
      <c r="HX258" s="212"/>
      <c r="HY258" s="212"/>
      <c r="HZ258" s="212"/>
      <c r="IA258" s="212"/>
      <c r="IB258" s="212"/>
      <c r="IC258" s="212"/>
      <c r="ID258" s="212"/>
      <c r="IE258" s="212"/>
      <c r="IF258" s="212"/>
      <c r="IG258" s="212"/>
      <c r="IH258" s="212"/>
      <c r="II258" s="212"/>
      <c r="IJ258" s="212"/>
      <c r="IK258" s="212"/>
      <c r="IL258" s="212"/>
      <c r="IM258" s="212"/>
      <c r="IN258" s="212"/>
      <c r="IO258" s="212"/>
      <c r="IP258" s="212"/>
      <c r="IQ258" s="212"/>
      <c r="IR258" s="212"/>
    </row>
    <row r="259" spans="13:252" ht="16.5" thickTop="1" thickBot="1">
      <c r="M259" s="212"/>
      <c r="N259" s="212"/>
      <c r="O259" s="212"/>
      <c r="P259" s="212"/>
      <c r="Q259" s="212"/>
      <c r="R259" s="212"/>
      <c r="S259" s="212"/>
      <c r="T259" s="212"/>
      <c r="U259" s="212"/>
      <c r="V259" s="212"/>
      <c r="W259" s="212"/>
      <c r="X259" s="212"/>
      <c r="Y259" s="212"/>
      <c r="Z259" s="212"/>
      <c r="AA259" s="212"/>
      <c r="AB259" s="212"/>
      <c r="AC259" s="212"/>
      <c r="AD259" s="212"/>
      <c r="AE259" s="212"/>
      <c r="AF259" s="212"/>
      <c r="AG259" s="212"/>
      <c r="AH259" s="212"/>
      <c r="AI259" s="212"/>
      <c r="AJ259" s="212"/>
      <c r="AK259" s="212"/>
      <c r="AL259" s="212"/>
      <c r="AM259" s="212"/>
      <c r="AN259" s="212"/>
      <c r="AO259" s="212"/>
      <c r="AP259" s="212"/>
      <c r="AQ259" s="212"/>
      <c r="AR259" s="212"/>
      <c r="AS259" s="212"/>
      <c r="AT259" s="212"/>
      <c r="AU259" s="212"/>
      <c r="AV259" s="212"/>
      <c r="AW259" s="212"/>
      <c r="AX259" s="212"/>
      <c r="AY259" s="212"/>
      <c r="AZ259" s="212"/>
      <c r="BA259" s="212"/>
      <c r="BB259" s="212"/>
      <c r="BC259" s="212"/>
      <c r="BD259" s="212"/>
      <c r="BE259" s="212"/>
      <c r="BF259" s="212"/>
      <c r="BG259" s="212"/>
      <c r="BH259" s="212"/>
      <c r="BI259" s="212"/>
      <c r="BJ259" s="212"/>
      <c r="BK259" s="212"/>
      <c r="BL259" s="212"/>
      <c r="BM259" s="212"/>
      <c r="BN259" s="212"/>
      <c r="BO259" s="212"/>
      <c r="BP259" s="212"/>
      <c r="BQ259" s="212"/>
      <c r="BR259" s="212"/>
      <c r="BS259" s="212"/>
      <c r="BT259" s="212"/>
      <c r="BU259" s="212"/>
      <c r="BV259" s="212"/>
      <c r="BW259" s="212"/>
      <c r="BX259" s="212"/>
      <c r="BY259" s="212"/>
      <c r="BZ259" s="212"/>
      <c r="CA259" s="212"/>
      <c r="CB259" s="212"/>
      <c r="CC259" s="212"/>
      <c r="CD259" s="212"/>
      <c r="CE259" s="212"/>
      <c r="CF259" s="212"/>
      <c r="CG259" s="212"/>
      <c r="CH259" s="212"/>
      <c r="CI259" s="212"/>
      <c r="CJ259" s="212"/>
      <c r="CK259" s="212"/>
      <c r="CL259" s="212"/>
      <c r="CM259" s="212"/>
      <c r="CN259" s="212"/>
      <c r="CO259" s="212"/>
      <c r="CP259" s="212"/>
      <c r="CQ259" s="212"/>
      <c r="CR259" s="212"/>
      <c r="CS259" s="212"/>
      <c r="CT259" s="212"/>
      <c r="CU259" s="212"/>
      <c r="CV259" s="212"/>
      <c r="CW259" s="212"/>
      <c r="CX259" s="212"/>
      <c r="CY259" s="212"/>
      <c r="CZ259" s="212"/>
      <c r="DA259" s="212"/>
      <c r="DB259" s="212"/>
      <c r="DC259" s="212"/>
      <c r="DD259" s="212"/>
      <c r="DE259" s="212"/>
      <c r="DF259" s="212"/>
      <c r="DG259" s="212"/>
      <c r="DH259" s="212"/>
      <c r="DI259" s="212"/>
      <c r="DJ259" s="212"/>
      <c r="DK259" s="212"/>
      <c r="DL259" s="212"/>
      <c r="DM259" s="212"/>
      <c r="DN259" s="212"/>
      <c r="DO259" s="212"/>
      <c r="DP259" s="212"/>
      <c r="DQ259" s="212"/>
      <c r="DR259" s="212"/>
      <c r="DS259" s="212"/>
      <c r="DT259" s="212"/>
      <c r="DU259" s="212"/>
      <c r="DV259" s="212"/>
      <c r="DW259" s="212"/>
      <c r="DX259" s="212"/>
      <c r="DY259" s="212"/>
      <c r="DZ259" s="212"/>
      <c r="EA259" s="212"/>
      <c r="EB259" s="212"/>
      <c r="EC259" s="212"/>
      <c r="ED259" s="212"/>
      <c r="EE259" s="212"/>
      <c r="EF259" s="212"/>
      <c r="EG259" s="212"/>
      <c r="EH259" s="212"/>
      <c r="EI259" s="212"/>
      <c r="EJ259" s="212"/>
      <c r="EK259" s="212"/>
      <c r="EL259" s="212"/>
      <c r="EM259" s="212"/>
      <c r="EN259" s="212"/>
      <c r="EO259" s="212"/>
      <c r="EP259" s="212"/>
      <c r="EQ259" s="212"/>
      <c r="ER259" s="212"/>
      <c r="ES259" s="212"/>
      <c r="ET259" s="212"/>
      <c r="EU259" s="212"/>
      <c r="EV259" s="212"/>
      <c r="EW259" s="212"/>
      <c r="EX259" s="212"/>
      <c r="EY259" s="212"/>
      <c r="EZ259" s="212"/>
      <c r="FA259" s="212"/>
      <c r="FB259" s="212"/>
      <c r="FC259" s="212"/>
      <c r="FD259" s="212"/>
      <c r="FE259" s="212"/>
      <c r="FF259" s="212"/>
      <c r="FG259" s="212"/>
      <c r="FH259" s="212"/>
      <c r="FI259" s="212"/>
      <c r="FJ259" s="212"/>
      <c r="FK259" s="212"/>
      <c r="FL259" s="212"/>
      <c r="FM259" s="212"/>
      <c r="FN259" s="212"/>
      <c r="FO259" s="212"/>
      <c r="FP259" s="212"/>
      <c r="FQ259" s="212"/>
      <c r="FR259" s="212"/>
      <c r="FS259" s="212"/>
      <c r="FT259" s="212"/>
      <c r="FU259" s="212"/>
      <c r="FV259" s="212"/>
      <c r="FW259" s="212"/>
      <c r="FX259" s="212"/>
      <c r="FY259" s="212"/>
      <c r="FZ259" s="212"/>
      <c r="GA259" s="212"/>
      <c r="GB259" s="212"/>
      <c r="GC259" s="212"/>
      <c r="GD259" s="212"/>
      <c r="GE259" s="212"/>
      <c r="GF259" s="212"/>
      <c r="GG259" s="212"/>
      <c r="GH259" s="212"/>
      <c r="GI259" s="212"/>
      <c r="GJ259" s="212"/>
      <c r="GK259" s="212"/>
      <c r="GL259" s="212"/>
      <c r="GM259" s="212"/>
      <c r="GN259" s="212"/>
      <c r="GO259" s="212"/>
      <c r="GP259" s="212"/>
      <c r="GQ259" s="212"/>
      <c r="GR259" s="212"/>
      <c r="GS259" s="212"/>
      <c r="GT259" s="212"/>
      <c r="GU259" s="212"/>
      <c r="GV259" s="212"/>
      <c r="GW259" s="212"/>
      <c r="GX259" s="212"/>
      <c r="GY259" s="212"/>
      <c r="GZ259" s="212"/>
      <c r="HA259" s="212"/>
      <c r="HB259" s="212"/>
      <c r="HC259" s="212"/>
      <c r="HD259" s="212"/>
      <c r="HE259" s="212"/>
      <c r="HF259" s="212"/>
      <c r="HG259" s="212"/>
      <c r="HH259" s="212"/>
      <c r="HI259" s="212"/>
      <c r="HJ259" s="212"/>
      <c r="HK259" s="212"/>
      <c r="HL259" s="212"/>
      <c r="HM259" s="212"/>
      <c r="HN259" s="212"/>
      <c r="HO259" s="212"/>
      <c r="HP259" s="212"/>
      <c r="HQ259" s="212"/>
      <c r="HR259" s="212"/>
      <c r="HS259" s="212"/>
      <c r="HT259" s="212"/>
      <c r="HU259" s="212"/>
      <c r="HV259" s="212"/>
      <c r="HW259" s="212"/>
      <c r="HX259" s="212"/>
      <c r="HY259" s="212"/>
      <c r="HZ259" s="212"/>
      <c r="IA259" s="212"/>
      <c r="IB259" s="212"/>
      <c r="IC259" s="212"/>
      <c r="ID259" s="212"/>
      <c r="IE259" s="212"/>
      <c r="IF259" s="212"/>
      <c r="IG259" s="212"/>
      <c r="IH259" s="212"/>
      <c r="II259" s="212"/>
      <c r="IJ259" s="212"/>
      <c r="IK259" s="212"/>
      <c r="IL259" s="212"/>
      <c r="IM259" s="212"/>
      <c r="IN259" s="212"/>
      <c r="IO259" s="212"/>
      <c r="IP259" s="212"/>
      <c r="IQ259" s="212"/>
      <c r="IR259" s="212"/>
    </row>
    <row r="260" spans="13:252" ht="16.5" thickTop="1" thickBot="1">
      <c r="M260" s="212"/>
      <c r="N260" s="212"/>
      <c r="O260" s="212"/>
      <c r="P260" s="212"/>
      <c r="Q260" s="212"/>
      <c r="R260" s="212"/>
      <c r="S260" s="212"/>
      <c r="T260" s="212"/>
      <c r="U260" s="212"/>
      <c r="V260" s="212"/>
      <c r="W260" s="212"/>
      <c r="X260" s="212"/>
      <c r="Y260" s="212"/>
      <c r="Z260" s="212"/>
      <c r="AA260" s="212"/>
      <c r="AB260" s="212"/>
      <c r="AC260" s="212"/>
      <c r="AD260" s="212"/>
      <c r="AE260" s="212"/>
      <c r="AF260" s="212"/>
      <c r="AG260" s="212"/>
      <c r="AH260" s="212"/>
      <c r="AI260" s="212"/>
      <c r="AJ260" s="212"/>
      <c r="AK260" s="212"/>
      <c r="AL260" s="212"/>
      <c r="AM260" s="212"/>
      <c r="AN260" s="212"/>
      <c r="AO260" s="212"/>
      <c r="AP260" s="212"/>
      <c r="AQ260" s="212"/>
      <c r="AR260" s="212"/>
      <c r="AS260" s="212"/>
      <c r="AT260" s="212"/>
      <c r="AU260" s="212"/>
      <c r="AV260" s="212"/>
      <c r="AW260" s="212"/>
      <c r="AX260" s="212"/>
      <c r="AY260" s="212"/>
      <c r="AZ260" s="212"/>
      <c r="BA260" s="212"/>
      <c r="BB260" s="212"/>
      <c r="BC260" s="212"/>
      <c r="BD260" s="212"/>
      <c r="BE260" s="212"/>
      <c r="BF260" s="212"/>
      <c r="BG260" s="212"/>
      <c r="BH260" s="212"/>
      <c r="BI260" s="212"/>
      <c r="BJ260" s="212"/>
      <c r="BK260" s="212"/>
      <c r="BL260" s="212"/>
      <c r="BM260" s="212"/>
      <c r="BN260" s="212"/>
      <c r="BO260" s="212"/>
      <c r="BP260" s="212"/>
      <c r="BQ260" s="212"/>
      <c r="BR260" s="212"/>
      <c r="BS260" s="212"/>
      <c r="BT260" s="212"/>
      <c r="BU260" s="212"/>
      <c r="BV260" s="212"/>
      <c r="BW260" s="212"/>
      <c r="BX260" s="212"/>
      <c r="BY260" s="212"/>
      <c r="BZ260" s="212"/>
      <c r="CA260" s="212"/>
      <c r="CB260" s="212"/>
      <c r="CC260" s="212"/>
      <c r="CD260" s="212"/>
      <c r="CE260" s="212"/>
      <c r="CF260" s="212"/>
      <c r="CG260" s="212"/>
      <c r="CH260" s="212"/>
      <c r="CI260" s="212"/>
      <c r="CJ260" s="212"/>
      <c r="CK260" s="212"/>
      <c r="CL260" s="212"/>
      <c r="CM260" s="212"/>
      <c r="CN260" s="212"/>
      <c r="CO260" s="212"/>
      <c r="CP260" s="212"/>
      <c r="CQ260" s="212"/>
      <c r="CR260" s="212"/>
      <c r="CS260" s="212"/>
      <c r="CT260" s="212"/>
      <c r="CU260" s="212"/>
      <c r="CV260" s="212"/>
      <c r="CW260" s="212"/>
      <c r="CX260" s="212"/>
      <c r="CY260" s="212"/>
      <c r="CZ260" s="212"/>
      <c r="DA260" s="212"/>
      <c r="DB260" s="212"/>
      <c r="DC260" s="212"/>
      <c r="DD260" s="212"/>
      <c r="DE260" s="212"/>
      <c r="DF260" s="212"/>
      <c r="DG260" s="212"/>
      <c r="DH260" s="212"/>
      <c r="DI260" s="212"/>
      <c r="DJ260" s="212"/>
      <c r="DK260" s="212"/>
      <c r="DL260" s="212"/>
      <c r="DM260" s="212"/>
      <c r="DN260" s="212"/>
      <c r="DO260" s="212"/>
      <c r="DP260" s="212"/>
      <c r="DQ260" s="212"/>
      <c r="DR260" s="212"/>
      <c r="DS260" s="212"/>
      <c r="DT260" s="212"/>
      <c r="DU260" s="212"/>
      <c r="DV260" s="212"/>
      <c r="DW260" s="212"/>
      <c r="DX260" s="212"/>
      <c r="DY260" s="212"/>
      <c r="DZ260" s="212"/>
      <c r="EA260" s="212"/>
      <c r="EB260" s="212"/>
      <c r="EC260" s="212"/>
      <c r="ED260" s="212"/>
      <c r="EE260" s="212"/>
      <c r="EF260" s="212"/>
      <c r="EG260" s="212"/>
      <c r="EH260" s="212"/>
      <c r="EI260" s="212"/>
      <c r="EJ260" s="212"/>
      <c r="EK260" s="212"/>
      <c r="EL260" s="212"/>
      <c r="EM260" s="212"/>
      <c r="EN260" s="212"/>
      <c r="EO260" s="212"/>
      <c r="EP260" s="212"/>
      <c r="EQ260" s="212"/>
      <c r="ER260" s="212"/>
      <c r="ES260" s="212"/>
      <c r="ET260" s="212"/>
      <c r="EU260" s="212"/>
      <c r="EV260" s="212"/>
      <c r="EW260" s="212"/>
      <c r="EX260" s="212"/>
      <c r="EY260" s="212"/>
      <c r="EZ260" s="212"/>
      <c r="FA260" s="212"/>
      <c r="FB260" s="212"/>
      <c r="FC260" s="212"/>
      <c r="FD260" s="212"/>
      <c r="FE260" s="212"/>
      <c r="FF260" s="212"/>
      <c r="FG260" s="212"/>
      <c r="FH260" s="212"/>
      <c r="FI260" s="212"/>
      <c r="FJ260" s="212"/>
      <c r="FK260" s="212"/>
      <c r="FL260" s="212"/>
      <c r="FM260" s="212"/>
      <c r="FN260" s="212"/>
      <c r="FO260" s="212"/>
      <c r="FP260" s="212"/>
      <c r="FQ260" s="212"/>
      <c r="FR260" s="212"/>
      <c r="FS260" s="212"/>
      <c r="FT260" s="212"/>
      <c r="FU260" s="212"/>
      <c r="FV260" s="212"/>
      <c r="FW260" s="212"/>
      <c r="FX260" s="212"/>
      <c r="FY260" s="212"/>
      <c r="FZ260" s="212"/>
      <c r="GA260" s="212"/>
      <c r="GB260" s="212"/>
      <c r="GC260" s="212"/>
      <c r="GD260" s="212"/>
      <c r="GE260" s="212"/>
      <c r="GF260" s="212"/>
      <c r="GG260" s="212"/>
      <c r="GH260" s="212"/>
      <c r="GI260" s="212"/>
      <c r="GJ260" s="212"/>
      <c r="GK260" s="212"/>
      <c r="GL260" s="212"/>
      <c r="GM260" s="212"/>
      <c r="GN260" s="212"/>
      <c r="GO260" s="212"/>
      <c r="GP260" s="212"/>
      <c r="GQ260" s="212"/>
      <c r="GR260" s="212"/>
      <c r="GS260" s="212"/>
      <c r="GT260" s="212"/>
      <c r="GU260" s="212"/>
      <c r="GV260" s="212"/>
      <c r="GW260" s="212"/>
      <c r="GX260" s="212"/>
      <c r="GY260" s="212"/>
      <c r="GZ260" s="212"/>
      <c r="HA260" s="212"/>
      <c r="HB260" s="212"/>
      <c r="HC260" s="212"/>
      <c r="HD260" s="212"/>
      <c r="HE260" s="212"/>
      <c r="HF260" s="212"/>
      <c r="HG260" s="212"/>
      <c r="HH260" s="212"/>
      <c r="HI260" s="212"/>
      <c r="HJ260" s="212"/>
      <c r="HK260" s="212"/>
      <c r="HL260" s="212"/>
      <c r="HM260" s="212"/>
      <c r="HN260" s="212"/>
      <c r="HO260" s="212"/>
      <c r="HP260" s="212"/>
      <c r="HQ260" s="212"/>
      <c r="HR260" s="212"/>
      <c r="HS260" s="212"/>
      <c r="HT260" s="212"/>
      <c r="HU260" s="212"/>
      <c r="HV260" s="212"/>
      <c r="HW260" s="212"/>
      <c r="HX260" s="212"/>
      <c r="HY260" s="212"/>
      <c r="HZ260" s="212"/>
      <c r="IA260" s="212"/>
      <c r="IB260" s="212"/>
      <c r="IC260" s="212"/>
      <c r="ID260" s="212"/>
      <c r="IE260" s="212"/>
      <c r="IF260" s="212"/>
      <c r="IG260" s="212"/>
      <c r="IH260" s="212"/>
      <c r="II260" s="212"/>
      <c r="IJ260" s="212"/>
      <c r="IK260" s="212"/>
      <c r="IL260" s="212"/>
      <c r="IM260" s="212"/>
      <c r="IN260" s="212"/>
      <c r="IO260" s="212"/>
      <c r="IP260" s="212"/>
      <c r="IQ260" s="212"/>
      <c r="IR260" s="212"/>
    </row>
    <row r="261" spans="13:252" ht="16.5" thickTop="1" thickBot="1">
      <c r="M261" s="212"/>
      <c r="N261" s="212"/>
      <c r="O261" s="212"/>
      <c r="P261" s="212"/>
      <c r="Q261" s="212"/>
      <c r="R261" s="212"/>
      <c r="S261" s="212"/>
      <c r="T261" s="212"/>
      <c r="U261" s="212"/>
      <c r="V261" s="212"/>
      <c r="W261" s="212"/>
      <c r="X261" s="212"/>
      <c r="Y261" s="212"/>
      <c r="Z261" s="212"/>
      <c r="AA261" s="212"/>
      <c r="AB261" s="212"/>
      <c r="AC261" s="212"/>
      <c r="AD261" s="212"/>
      <c r="AE261" s="212"/>
      <c r="AF261" s="212"/>
      <c r="AG261" s="212"/>
      <c r="AH261" s="212"/>
      <c r="AI261" s="212"/>
      <c r="AJ261" s="212"/>
      <c r="AK261" s="212"/>
      <c r="AL261" s="212"/>
      <c r="AM261" s="212"/>
      <c r="AN261" s="212"/>
      <c r="AO261" s="212"/>
      <c r="AP261" s="212"/>
      <c r="AQ261" s="212"/>
      <c r="AR261" s="212"/>
      <c r="AS261" s="212"/>
      <c r="AT261" s="212"/>
      <c r="AU261" s="212"/>
      <c r="AV261" s="212"/>
      <c r="AW261" s="212"/>
      <c r="AX261" s="212"/>
      <c r="AY261" s="212"/>
      <c r="AZ261" s="212"/>
      <c r="BA261" s="212"/>
      <c r="BB261" s="212"/>
      <c r="BC261" s="212"/>
      <c r="BD261" s="212"/>
      <c r="BE261" s="212"/>
      <c r="BF261" s="212"/>
      <c r="BG261" s="212"/>
      <c r="BH261" s="212"/>
      <c r="BI261" s="212"/>
      <c r="BJ261" s="212"/>
      <c r="BK261" s="212"/>
      <c r="BL261" s="212"/>
      <c r="BM261" s="212"/>
      <c r="BN261" s="212"/>
      <c r="BO261" s="212"/>
      <c r="BP261" s="212"/>
      <c r="BQ261" s="212"/>
      <c r="BR261" s="212"/>
      <c r="BS261" s="212"/>
      <c r="BT261" s="212"/>
      <c r="BU261" s="212"/>
      <c r="BV261" s="212"/>
      <c r="BW261" s="212"/>
      <c r="BX261" s="212"/>
      <c r="BY261" s="212"/>
      <c r="BZ261" s="212"/>
      <c r="CA261" s="212"/>
      <c r="CB261" s="212"/>
      <c r="CC261" s="212"/>
      <c r="CD261" s="212"/>
      <c r="CE261" s="212"/>
      <c r="CF261" s="212"/>
      <c r="CG261" s="212"/>
      <c r="CH261" s="212"/>
      <c r="CI261" s="212"/>
      <c r="CJ261" s="212"/>
      <c r="CK261" s="212"/>
      <c r="CL261" s="212"/>
      <c r="CM261" s="212"/>
      <c r="CN261" s="212"/>
      <c r="CO261" s="212"/>
      <c r="CP261" s="212"/>
      <c r="CQ261" s="212"/>
      <c r="CR261" s="212"/>
      <c r="CS261" s="212"/>
      <c r="CT261" s="212"/>
      <c r="CU261" s="212"/>
      <c r="CV261" s="212"/>
      <c r="CW261" s="212"/>
      <c r="CX261" s="212"/>
      <c r="CY261" s="212"/>
      <c r="CZ261" s="212"/>
      <c r="DA261" s="212"/>
      <c r="DB261" s="212"/>
      <c r="DC261" s="212"/>
      <c r="DD261" s="212"/>
      <c r="DE261" s="212"/>
      <c r="DF261" s="212"/>
      <c r="DG261" s="212"/>
      <c r="DH261" s="212"/>
      <c r="DI261" s="212"/>
      <c r="DJ261" s="212"/>
      <c r="DK261" s="212"/>
      <c r="DL261" s="212"/>
      <c r="DM261" s="212"/>
      <c r="DN261" s="212"/>
      <c r="DO261" s="212"/>
      <c r="DP261" s="212"/>
      <c r="DQ261" s="212"/>
      <c r="DR261" s="212"/>
      <c r="DS261" s="212"/>
      <c r="DT261" s="212"/>
      <c r="DU261" s="212"/>
      <c r="DV261" s="212"/>
      <c r="DW261" s="212"/>
      <c r="DX261" s="212"/>
      <c r="DY261" s="212"/>
      <c r="DZ261" s="212"/>
      <c r="EA261" s="212"/>
      <c r="EB261" s="212"/>
      <c r="EC261" s="212"/>
      <c r="ED261" s="212"/>
      <c r="EE261" s="212"/>
      <c r="EF261" s="212"/>
      <c r="EG261" s="212"/>
      <c r="EH261" s="212"/>
      <c r="EI261" s="212"/>
      <c r="EJ261" s="212"/>
      <c r="EK261" s="212"/>
      <c r="EL261" s="212"/>
      <c r="EM261" s="212"/>
      <c r="EN261" s="212"/>
      <c r="EO261" s="212"/>
      <c r="EP261" s="212"/>
      <c r="EQ261" s="212"/>
      <c r="ER261" s="212"/>
      <c r="ES261" s="212"/>
      <c r="ET261" s="212"/>
      <c r="EU261" s="212"/>
      <c r="EV261" s="212"/>
      <c r="EW261" s="212"/>
      <c r="EX261" s="212"/>
      <c r="EY261" s="212"/>
      <c r="EZ261" s="212"/>
      <c r="FA261" s="212"/>
      <c r="FB261" s="212"/>
      <c r="FC261" s="212"/>
      <c r="FD261" s="212"/>
      <c r="FE261" s="212"/>
      <c r="FF261" s="212"/>
      <c r="FG261" s="212"/>
      <c r="FH261" s="212"/>
      <c r="FI261" s="212"/>
      <c r="FJ261" s="212"/>
      <c r="FK261" s="212"/>
      <c r="FL261" s="212"/>
      <c r="FM261" s="212"/>
      <c r="FN261" s="212"/>
      <c r="FO261" s="212"/>
      <c r="FP261" s="212"/>
      <c r="FQ261" s="212"/>
      <c r="FR261" s="212"/>
      <c r="FS261" s="212"/>
      <c r="FT261" s="212"/>
      <c r="FU261" s="212"/>
      <c r="FV261" s="212"/>
      <c r="FW261" s="212"/>
      <c r="FX261" s="212"/>
      <c r="FY261" s="212"/>
      <c r="FZ261" s="212"/>
      <c r="GA261" s="212"/>
      <c r="GB261" s="212"/>
      <c r="GC261" s="212"/>
      <c r="GD261" s="212"/>
      <c r="GE261" s="212"/>
      <c r="GF261" s="212"/>
      <c r="GG261" s="212"/>
      <c r="GH261" s="212"/>
      <c r="GI261" s="212"/>
      <c r="GJ261" s="212"/>
      <c r="GK261" s="212"/>
      <c r="GL261" s="212"/>
      <c r="GM261" s="212"/>
      <c r="GN261" s="212"/>
      <c r="GO261" s="212"/>
      <c r="GP261" s="212"/>
      <c r="GQ261" s="212"/>
      <c r="GR261" s="212"/>
      <c r="GS261" s="212"/>
      <c r="GT261" s="212"/>
      <c r="GU261" s="212"/>
      <c r="GV261" s="212"/>
      <c r="GW261" s="212"/>
      <c r="GX261" s="212"/>
      <c r="GY261" s="212"/>
      <c r="GZ261" s="212"/>
      <c r="HA261" s="212"/>
      <c r="HB261" s="212"/>
      <c r="HC261" s="212"/>
      <c r="HD261" s="212"/>
      <c r="HE261" s="212"/>
      <c r="HF261" s="212"/>
      <c r="HG261" s="212"/>
      <c r="HH261" s="212"/>
      <c r="HI261" s="212"/>
      <c r="HJ261" s="212"/>
      <c r="HK261" s="212"/>
      <c r="HL261" s="212"/>
      <c r="HM261" s="212"/>
      <c r="HN261" s="212"/>
      <c r="HO261" s="212"/>
      <c r="HP261" s="212"/>
      <c r="HQ261" s="212"/>
      <c r="HR261" s="212"/>
      <c r="HS261" s="212"/>
      <c r="HT261" s="212"/>
      <c r="HU261" s="212"/>
      <c r="HV261" s="212"/>
      <c r="HW261" s="212"/>
      <c r="HX261" s="212"/>
      <c r="HY261" s="212"/>
      <c r="HZ261" s="212"/>
      <c r="IA261" s="212"/>
      <c r="IB261" s="212"/>
      <c r="IC261" s="212"/>
      <c r="ID261" s="212"/>
      <c r="IE261" s="212"/>
      <c r="IF261" s="212"/>
      <c r="IG261" s="212"/>
      <c r="IH261" s="212"/>
      <c r="II261" s="212"/>
      <c r="IJ261" s="212"/>
      <c r="IK261" s="212"/>
      <c r="IL261" s="212"/>
      <c r="IM261" s="212"/>
      <c r="IN261" s="212"/>
      <c r="IO261" s="212"/>
      <c r="IP261" s="212"/>
      <c r="IQ261" s="212"/>
      <c r="IR261" s="212"/>
    </row>
    <row r="262" spans="13:252" ht="16.5" thickTop="1" thickBot="1">
      <c r="M262" s="212"/>
      <c r="N262" s="212"/>
      <c r="O262" s="212"/>
      <c r="P262" s="212"/>
      <c r="Q262" s="212"/>
      <c r="R262" s="212"/>
      <c r="S262" s="212"/>
      <c r="T262" s="212"/>
      <c r="U262" s="212"/>
      <c r="V262" s="212"/>
      <c r="W262" s="212"/>
      <c r="X262" s="212"/>
      <c r="Y262" s="212"/>
      <c r="Z262" s="212"/>
      <c r="AA262" s="212"/>
      <c r="AB262" s="212"/>
      <c r="AC262" s="212"/>
      <c r="AD262" s="212"/>
      <c r="AE262" s="212"/>
      <c r="AF262" s="212"/>
      <c r="AG262" s="212"/>
      <c r="AH262" s="212"/>
      <c r="AI262" s="212"/>
      <c r="AJ262" s="212"/>
      <c r="AK262" s="212"/>
      <c r="AL262" s="212"/>
      <c r="AM262" s="212"/>
      <c r="AN262" s="212"/>
      <c r="AO262" s="212"/>
      <c r="AP262" s="212"/>
      <c r="AQ262" s="212"/>
      <c r="AR262" s="212"/>
      <c r="AS262" s="212"/>
      <c r="AT262" s="212"/>
      <c r="AU262" s="212"/>
      <c r="AV262" s="212"/>
      <c r="AW262" s="212"/>
      <c r="AX262" s="212"/>
      <c r="AY262" s="212"/>
      <c r="AZ262" s="212"/>
      <c r="BA262" s="212"/>
      <c r="BB262" s="212"/>
      <c r="BC262" s="212"/>
      <c r="BD262" s="212"/>
      <c r="BE262" s="212"/>
      <c r="BF262" s="212"/>
      <c r="BG262" s="212"/>
      <c r="BH262" s="212"/>
      <c r="BI262" s="212"/>
      <c r="BJ262" s="212"/>
      <c r="BK262" s="212"/>
      <c r="BL262" s="212"/>
      <c r="BM262" s="212"/>
      <c r="BN262" s="212"/>
      <c r="BO262" s="212"/>
      <c r="BP262" s="212"/>
      <c r="BQ262" s="212"/>
      <c r="BR262" s="212"/>
      <c r="BS262" s="212"/>
      <c r="BT262" s="212"/>
      <c r="BU262" s="212"/>
      <c r="BV262" s="212"/>
      <c r="BW262" s="212"/>
      <c r="BX262" s="212"/>
      <c r="BY262" s="212"/>
      <c r="BZ262" s="212"/>
      <c r="CA262" s="212"/>
      <c r="CB262" s="212"/>
      <c r="CC262" s="212"/>
      <c r="CD262" s="212"/>
      <c r="CE262" s="212"/>
      <c r="CF262" s="212"/>
      <c r="CG262" s="212"/>
      <c r="CH262" s="212"/>
      <c r="CI262" s="212"/>
      <c r="CJ262" s="212"/>
      <c r="CK262" s="212"/>
      <c r="CL262" s="212"/>
      <c r="CM262" s="212"/>
      <c r="CN262" s="212"/>
      <c r="CO262" s="212"/>
      <c r="CP262" s="212"/>
      <c r="CQ262" s="212"/>
      <c r="CR262" s="212"/>
      <c r="CS262" s="212"/>
      <c r="CT262" s="212"/>
      <c r="CU262" s="212"/>
      <c r="CV262" s="212"/>
      <c r="CW262" s="212"/>
      <c r="CX262" s="212"/>
      <c r="CY262" s="212"/>
      <c r="CZ262" s="212"/>
      <c r="DA262" s="212"/>
      <c r="DB262" s="212"/>
      <c r="DC262" s="212"/>
      <c r="DD262" s="212"/>
      <c r="DE262" s="212"/>
      <c r="DF262" s="212"/>
      <c r="DG262" s="212"/>
      <c r="DH262" s="212"/>
      <c r="DI262" s="212"/>
      <c r="DJ262" s="212"/>
      <c r="DK262" s="212"/>
      <c r="DL262" s="212"/>
      <c r="DM262" s="212"/>
      <c r="DN262" s="212"/>
      <c r="DO262" s="212"/>
      <c r="DP262" s="212"/>
      <c r="DQ262" s="212"/>
      <c r="DR262" s="212"/>
      <c r="DS262" s="212"/>
      <c r="DT262" s="212"/>
      <c r="DU262" s="212"/>
      <c r="DV262" s="212"/>
      <c r="DW262" s="212"/>
      <c r="DX262" s="212"/>
      <c r="DY262" s="212"/>
      <c r="DZ262" s="212"/>
      <c r="EA262" s="212"/>
      <c r="EB262" s="212"/>
      <c r="EC262" s="212"/>
      <c r="ED262" s="212"/>
      <c r="EE262" s="212"/>
      <c r="EF262" s="212"/>
      <c r="EG262" s="212"/>
      <c r="EH262" s="212"/>
      <c r="EI262" s="212"/>
      <c r="EJ262" s="212"/>
      <c r="EK262" s="212"/>
      <c r="EL262" s="212"/>
      <c r="EM262" s="212"/>
      <c r="EN262" s="212"/>
      <c r="EO262" s="212"/>
      <c r="EP262" s="212"/>
      <c r="EQ262" s="212"/>
      <c r="ER262" s="212"/>
      <c r="ES262" s="212"/>
      <c r="ET262" s="212"/>
      <c r="EU262" s="212"/>
      <c r="EV262" s="212"/>
      <c r="EW262" s="212"/>
      <c r="EX262" s="212"/>
      <c r="EY262" s="212"/>
      <c r="EZ262" s="212"/>
      <c r="FA262" s="212"/>
      <c r="FB262" s="212"/>
      <c r="FC262" s="212"/>
      <c r="FD262" s="212"/>
      <c r="FE262" s="212"/>
      <c r="FF262" s="212"/>
      <c r="FG262" s="212"/>
      <c r="FH262" s="212"/>
      <c r="FI262" s="212"/>
      <c r="FJ262" s="212"/>
      <c r="FK262" s="212"/>
      <c r="FL262" s="212"/>
      <c r="FM262" s="212"/>
      <c r="FN262" s="212"/>
      <c r="FO262" s="212"/>
      <c r="FP262" s="212"/>
      <c r="FQ262" s="212"/>
      <c r="FR262" s="212"/>
      <c r="FS262" s="212"/>
      <c r="FT262" s="212"/>
      <c r="FU262" s="212"/>
      <c r="FV262" s="212"/>
      <c r="FW262" s="212"/>
      <c r="FX262" s="212"/>
      <c r="FY262" s="212"/>
      <c r="FZ262" s="212"/>
      <c r="GA262" s="212"/>
      <c r="GB262" s="212"/>
      <c r="GC262" s="212"/>
      <c r="GD262" s="212"/>
      <c r="GE262" s="212"/>
      <c r="GF262" s="212"/>
      <c r="GG262" s="212"/>
      <c r="GH262" s="212"/>
      <c r="GI262" s="212"/>
      <c r="GJ262" s="212"/>
      <c r="GK262" s="212"/>
      <c r="GL262" s="212"/>
      <c r="GM262" s="212"/>
      <c r="GN262" s="212"/>
      <c r="GO262" s="212"/>
      <c r="GP262" s="212"/>
      <c r="GQ262" s="212"/>
      <c r="GR262" s="212"/>
      <c r="GS262" s="212"/>
      <c r="GT262" s="212"/>
      <c r="GU262" s="212"/>
      <c r="GV262" s="212"/>
      <c r="GW262" s="212"/>
      <c r="GX262" s="212"/>
      <c r="GY262" s="212"/>
      <c r="GZ262" s="212"/>
      <c r="HA262" s="212"/>
      <c r="HB262" s="212"/>
      <c r="HC262" s="212"/>
      <c r="HD262" s="212"/>
      <c r="HE262" s="212"/>
      <c r="HF262" s="212"/>
      <c r="HG262" s="212"/>
      <c r="HH262" s="212"/>
      <c r="HI262" s="212"/>
      <c r="HJ262" s="212"/>
      <c r="HK262" s="212"/>
      <c r="HL262" s="212"/>
      <c r="HM262" s="212"/>
      <c r="HN262" s="212"/>
      <c r="HO262" s="212"/>
      <c r="HP262" s="212"/>
      <c r="HQ262" s="212"/>
      <c r="HR262" s="212"/>
      <c r="HS262" s="212"/>
      <c r="HT262" s="212"/>
      <c r="HU262" s="212"/>
      <c r="HV262" s="212"/>
      <c r="HW262" s="212"/>
      <c r="HX262" s="212"/>
      <c r="HY262" s="212"/>
      <c r="HZ262" s="212"/>
      <c r="IA262" s="212"/>
      <c r="IB262" s="212"/>
      <c r="IC262" s="212"/>
      <c r="ID262" s="212"/>
      <c r="IE262" s="212"/>
      <c r="IF262" s="212"/>
      <c r="IG262" s="212"/>
      <c r="IH262" s="212"/>
      <c r="II262" s="212"/>
      <c r="IJ262" s="212"/>
      <c r="IK262" s="212"/>
      <c r="IL262" s="212"/>
      <c r="IM262" s="212"/>
      <c r="IN262" s="212"/>
      <c r="IO262" s="212"/>
      <c r="IP262" s="212"/>
      <c r="IQ262" s="212"/>
      <c r="IR262" s="212"/>
    </row>
    <row r="263" spans="13:252" ht="16.5" hidden="1" thickTop="1" thickBot="1">
      <c r="M263" s="212"/>
      <c r="N263" s="212"/>
      <c r="O263" s="212"/>
      <c r="P263" s="212"/>
      <c r="Q263" s="212"/>
      <c r="R263" s="212"/>
      <c r="S263" s="212"/>
      <c r="T263" s="212"/>
      <c r="U263" s="212"/>
      <c r="V263" s="212"/>
      <c r="W263" s="212"/>
      <c r="X263" s="212"/>
      <c r="Y263" s="212"/>
      <c r="Z263" s="212"/>
      <c r="AA263" s="212"/>
      <c r="AB263" s="212"/>
      <c r="AC263" s="212"/>
      <c r="AD263" s="212"/>
      <c r="AE263" s="212"/>
      <c r="AF263" s="212"/>
      <c r="AG263" s="212"/>
      <c r="AH263" s="212"/>
      <c r="AI263" s="212"/>
      <c r="AJ263" s="212"/>
      <c r="AK263" s="212"/>
      <c r="AL263" s="212"/>
      <c r="AM263" s="212"/>
      <c r="AN263" s="212"/>
      <c r="AO263" s="212"/>
      <c r="AP263" s="212"/>
      <c r="AQ263" s="212"/>
      <c r="AR263" s="212"/>
      <c r="AS263" s="212"/>
      <c r="AT263" s="212"/>
      <c r="AU263" s="212"/>
      <c r="AV263" s="212"/>
      <c r="AW263" s="212"/>
      <c r="AX263" s="212"/>
      <c r="AY263" s="212"/>
      <c r="AZ263" s="212"/>
      <c r="BA263" s="212"/>
      <c r="BB263" s="212"/>
      <c r="BC263" s="212"/>
      <c r="BD263" s="212"/>
      <c r="BE263" s="212"/>
      <c r="BF263" s="212"/>
      <c r="BG263" s="212"/>
      <c r="BH263" s="212"/>
      <c r="BI263" s="212"/>
      <c r="BJ263" s="212"/>
      <c r="BK263" s="212"/>
      <c r="BL263" s="212"/>
      <c r="BM263" s="212"/>
      <c r="BN263" s="212"/>
      <c r="BO263" s="212"/>
      <c r="BP263" s="212"/>
      <c r="BQ263" s="212"/>
      <c r="BR263" s="212"/>
      <c r="BS263" s="212"/>
      <c r="BT263" s="212"/>
      <c r="BU263" s="212"/>
      <c r="BV263" s="212"/>
      <c r="BW263" s="212"/>
      <c r="BX263" s="212"/>
      <c r="BY263" s="212"/>
      <c r="BZ263" s="212"/>
      <c r="CA263" s="212"/>
      <c r="CB263" s="212"/>
      <c r="CC263" s="212"/>
      <c r="CD263" s="212"/>
      <c r="CE263" s="212"/>
      <c r="CF263" s="212"/>
      <c r="CG263" s="212"/>
      <c r="CH263" s="212"/>
      <c r="CI263" s="212"/>
      <c r="CJ263" s="212"/>
      <c r="CK263" s="212"/>
      <c r="CL263" s="212"/>
      <c r="CM263" s="212"/>
      <c r="CN263" s="212"/>
      <c r="CO263" s="212"/>
      <c r="CP263" s="212"/>
      <c r="CQ263" s="212"/>
      <c r="CR263" s="212"/>
      <c r="CS263" s="212"/>
      <c r="CT263" s="212"/>
      <c r="CU263" s="212"/>
      <c r="CV263" s="212"/>
      <c r="CW263" s="212"/>
      <c r="CX263" s="212"/>
      <c r="CY263" s="212"/>
      <c r="CZ263" s="212"/>
      <c r="DA263" s="212"/>
      <c r="DB263" s="212"/>
      <c r="DC263" s="212"/>
      <c r="DD263" s="212"/>
      <c r="DE263" s="212"/>
      <c r="DF263" s="212"/>
      <c r="DG263" s="212"/>
      <c r="DH263" s="212"/>
      <c r="DI263" s="212"/>
      <c r="DJ263" s="212"/>
      <c r="DK263" s="212"/>
      <c r="DL263" s="212"/>
      <c r="DM263" s="212"/>
      <c r="DN263" s="212"/>
      <c r="DO263" s="212"/>
      <c r="DP263" s="212"/>
      <c r="DQ263" s="212"/>
      <c r="DR263" s="212"/>
      <c r="DS263" s="212"/>
      <c r="DT263" s="212"/>
      <c r="DU263" s="212"/>
      <c r="DV263" s="212"/>
      <c r="DW263" s="212"/>
      <c r="DX263" s="212"/>
      <c r="DY263" s="212"/>
      <c r="DZ263" s="212"/>
      <c r="EA263" s="212"/>
      <c r="EB263" s="212"/>
      <c r="EC263" s="212"/>
      <c r="ED263" s="212"/>
      <c r="EE263" s="212"/>
      <c r="EF263" s="212"/>
      <c r="EG263" s="212"/>
      <c r="EH263" s="212"/>
      <c r="EI263" s="212"/>
      <c r="EJ263" s="212"/>
      <c r="EK263" s="212"/>
      <c r="EL263" s="212"/>
      <c r="EM263" s="212"/>
      <c r="EN263" s="212"/>
      <c r="EO263" s="212"/>
      <c r="EP263" s="212"/>
      <c r="EQ263" s="212"/>
      <c r="ER263" s="212"/>
      <c r="ES263" s="212"/>
      <c r="ET263" s="212"/>
      <c r="EU263" s="212"/>
      <c r="EV263" s="212"/>
      <c r="EW263" s="212"/>
      <c r="EX263" s="212"/>
      <c r="EY263" s="212"/>
      <c r="EZ263" s="212"/>
      <c r="FA263" s="212"/>
      <c r="FB263" s="212"/>
      <c r="FC263" s="212"/>
      <c r="FD263" s="212"/>
      <c r="FE263" s="212"/>
      <c r="FF263" s="212"/>
      <c r="FG263" s="212"/>
      <c r="FH263" s="212"/>
      <c r="FI263" s="212"/>
      <c r="FJ263" s="212"/>
      <c r="FK263" s="212"/>
      <c r="FL263" s="212"/>
      <c r="FM263" s="212"/>
      <c r="FN263" s="212"/>
      <c r="FO263" s="212"/>
      <c r="FP263" s="212"/>
      <c r="FQ263" s="212"/>
      <c r="FR263" s="212"/>
      <c r="FS263" s="212"/>
      <c r="FT263" s="212"/>
      <c r="FU263" s="212"/>
      <c r="FV263" s="212"/>
      <c r="FW263" s="212"/>
      <c r="FX263" s="212"/>
      <c r="FY263" s="212"/>
      <c r="FZ263" s="212"/>
      <c r="GA263" s="212"/>
      <c r="GB263" s="212"/>
      <c r="GC263" s="212"/>
      <c r="GD263" s="212"/>
      <c r="GE263" s="212"/>
      <c r="GF263" s="212"/>
      <c r="GG263" s="212"/>
      <c r="GH263" s="212"/>
      <c r="GI263" s="212"/>
      <c r="GJ263" s="212"/>
      <c r="GK263" s="212"/>
      <c r="GL263" s="212"/>
      <c r="GM263" s="212"/>
      <c r="GN263" s="212"/>
      <c r="GO263" s="212"/>
      <c r="GP263" s="212"/>
      <c r="GQ263" s="212"/>
      <c r="GR263" s="212"/>
      <c r="GS263" s="212"/>
      <c r="GT263" s="212"/>
      <c r="GU263" s="212"/>
      <c r="GV263" s="212"/>
      <c r="GW263" s="212"/>
      <c r="GX263" s="212"/>
      <c r="GY263" s="212"/>
      <c r="GZ263" s="212"/>
      <c r="HA263" s="212"/>
      <c r="HB263" s="212"/>
      <c r="HC263" s="212"/>
      <c r="HD263" s="212"/>
      <c r="HE263" s="212"/>
      <c r="HF263" s="212"/>
      <c r="HG263" s="212"/>
      <c r="HH263" s="212"/>
      <c r="HI263" s="212"/>
      <c r="HJ263" s="212"/>
      <c r="HK263" s="212"/>
      <c r="HL263" s="212"/>
      <c r="HM263" s="212"/>
      <c r="HN263" s="212"/>
      <c r="HO263" s="212"/>
      <c r="HP263" s="212"/>
      <c r="HQ263" s="212"/>
      <c r="HR263" s="212"/>
      <c r="HS263" s="212"/>
      <c r="HT263" s="212"/>
      <c r="HU263" s="212"/>
      <c r="HV263" s="212"/>
      <c r="HW263" s="212"/>
      <c r="HX263" s="212"/>
      <c r="HY263" s="212"/>
      <c r="HZ263" s="212"/>
      <c r="IA263" s="212"/>
      <c r="IB263" s="212"/>
      <c r="IC263" s="212"/>
      <c r="ID263" s="212"/>
      <c r="IE263" s="212"/>
      <c r="IF263" s="212"/>
      <c r="IG263" s="212"/>
      <c r="IH263" s="212"/>
      <c r="II263" s="212"/>
      <c r="IJ263" s="212"/>
      <c r="IK263" s="212"/>
      <c r="IL263" s="212"/>
      <c r="IM263" s="212"/>
      <c r="IN263" s="212"/>
      <c r="IO263" s="212"/>
      <c r="IP263" s="212"/>
      <c r="IQ263" s="212"/>
      <c r="IR263" s="212"/>
    </row>
    <row r="264" spans="13:252" ht="16.5" hidden="1" thickTop="1" thickBot="1">
      <c r="M264" s="212"/>
      <c r="N264" s="212"/>
      <c r="O264" s="212"/>
      <c r="P264" s="212"/>
      <c r="Q264" s="212"/>
      <c r="R264" s="212"/>
      <c r="S264" s="212"/>
      <c r="T264" s="212"/>
      <c r="U264" s="212"/>
      <c r="V264" s="212"/>
      <c r="W264" s="212"/>
      <c r="X264" s="212"/>
      <c r="Y264" s="212"/>
      <c r="Z264" s="212"/>
      <c r="AA264" s="212"/>
      <c r="AB264" s="212"/>
      <c r="AC264" s="212"/>
      <c r="AD264" s="212"/>
      <c r="AE264" s="212"/>
      <c r="AF264" s="212"/>
      <c r="AG264" s="212"/>
      <c r="AH264" s="212"/>
      <c r="AI264" s="212"/>
      <c r="AJ264" s="212"/>
      <c r="AK264" s="212"/>
      <c r="AL264" s="212"/>
      <c r="AM264" s="212"/>
      <c r="AN264" s="212"/>
      <c r="AO264" s="212"/>
      <c r="AP264" s="212"/>
      <c r="AQ264" s="212"/>
      <c r="AR264" s="212"/>
      <c r="AS264" s="212"/>
      <c r="AT264" s="212"/>
      <c r="AU264" s="212"/>
      <c r="AV264" s="212"/>
      <c r="AW264" s="212"/>
      <c r="AX264" s="212"/>
      <c r="AY264" s="212"/>
      <c r="AZ264" s="212"/>
      <c r="BA264" s="212"/>
      <c r="BB264" s="212"/>
      <c r="BC264" s="212"/>
      <c r="BD264" s="212"/>
      <c r="BE264" s="212"/>
      <c r="BF264" s="212"/>
      <c r="BG264" s="212"/>
      <c r="BH264" s="212"/>
      <c r="BI264" s="212"/>
      <c r="BJ264" s="212"/>
      <c r="BK264" s="212"/>
      <c r="BL264" s="212"/>
      <c r="BM264" s="212"/>
      <c r="BN264" s="212"/>
      <c r="BO264" s="212"/>
      <c r="BP264" s="212"/>
      <c r="BQ264" s="212"/>
      <c r="BR264" s="212"/>
      <c r="BS264" s="212"/>
      <c r="BT264" s="212"/>
      <c r="BU264" s="212"/>
      <c r="BV264" s="212"/>
      <c r="BW264" s="212"/>
      <c r="BX264" s="212"/>
      <c r="BY264" s="212"/>
      <c r="BZ264" s="212"/>
      <c r="CA264" s="212"/>
      <c r="CB264" s="212"/>
      <c r="CC264" s="212"/>
      <c r="CD264" s="212"/>
      <c r="CE264" s="212"/>
      <c r="CF264" s="212"/>
      <c r="CG264" s="212"/>
      <c r="CH264" s="212"/>
      <c r="CI264" s="212"/>
      <c r="CJ264" s="212"/>
      <c r="CK264" s="212"/>
      <c r="CL264" s="212"/>
      <c r="CM264" s="212"/>
      <c r="CN264" s="212"/>
      <c r="CO264" s="212"/>
      <c r="CP264" s="212"/>
      <c r="CQ264" s="212"/>
      <c r="CR264" s="212"/>
      <c r="CS264" s="212"/>
      <c r="CT264" s="212"/>
      <c r="CU264" s="212"/>
      <c r="CV264" s="212"/>
      <c r="CW264" s="212"/>
      <c r="CX264" s="212"/>
      <c r="CY264" s="212"/>
      <c r="CZ264" s="212"/>
      <c r="DA264" s="212"/>
      <c r="DB264" s="212"/>
      <c r="DC264" s="212"/>
      <c r="DD264" s="212"/>
      <c r="DE264" s="212"/>
      <c r="DF264" s="212"/>
      <c r="DG264" s="212"/>
      <c r="DH264" s="212"/>
      <c r="DI264" s="212"/>
      <c r="DJ264" s="212"/>
      <c r="DK264" s="212"/>
      <c r="DL264" s="212"/>
      <c r="DM264" s="212"/>
      <c r="DN264" s="212"/>
      <c r="DO264" s="212"/>
      <c r="DP264" s="212"/>
      <c r="DQ264" s="212"/>
      <c r="DR264" s="212"/>
      <c r="DS264" s="212"/>
      <c r="DT264" s="212"/>
      <c r="DU264" s="212"/>
      <c r="DV264" s="212"/>
      <c r="DW264" s="212"/>
      <c r="DX264" s="212"/>
      <c r="DY264" s="212"/>
      <c r="DZ264" s="212"/>
      <c r="EA264" s="212"/>
      <c r="EB264" s="212"/>
      <c r="EC264" s="212"/>
      <c r="ED264" s="212"/>
      <c r="EE264" s="212"/>
      <c r="EF264" s="212"/>
      <c r="EG264" s="212"/>
      <c r="EH264" s="212"/>
      <c r="EI264" s="212"/>
      <c r="EJ264" s="212"/>
      <c r="EK264" s="212"/>
      <c r="EL264" s="212"/>
      <c r="EM264" s="212"/>
      <c r="EN264" s="212"/>
      <c r="EO264" s="212"/>
      <c r="EP264" s="212"/>
      <c r="EQ264" s="212"/>
      <c r="ER264" s="212"/>
      <c r="ES264" s="212"/>
      <c r="ET264" s="212"/>
      <c r="EU264" s="212"/>
      <c r="EV264" s="212"/>
      <c r="EW264" s="212"/>
      <c r="EX264" s="212"/>
      <c r="EY264" s="212"/>
      <c r="EZ264" s="212"/>
      <c r="FA264" s="212"/>
      <c r="FB264" s="212"/>
      <c r="FC264" s="212"/>
      <c r="FD264" s="212"/>
      <c r="FE264" s="212"/>
      <c r="FF264" s="212"/>
      <c r="FG264" s="212"/>
      <c r="FH264" s="212"/>
      <c r="FI264" s="212"/>
      <c r="FJ264" s="212"/>
      <c r="FK264" s="212"/>
      <c r="FL264" s="212"/>
      <c r="FM264" s="212"/>
      <c r="FN264" s="212"/>
      <c r="FO264" s="212"/>
      <c r="FP264" s="212"/>
      <c r="FQ264" s="212"/>
      <c r="FR264" s="212"/>
      <c r="FS264" s="212"/>
      <c r="FT264" s="212"/>
      <c r="FU264" s="212"/>
      <c r="FV264" s="212"/>
      <c r="FW264" s="212"/>
      <c r="FX264" s="212"/>
      <c r="FY264" s="212"/>
      <c r="FZ264" s="212"/>
      <c r="GA264" s="212"/>
      <c r="GB264" s="212"/>
      <c r="GC264" s="212"/>
      <c r="GD264" s="212"/>
      <c r="GE264" s="212"/>
      <c r="GF264" s="212"/>
      <c r="GG264" s="212"/>
      <c r="GH264" s="212"/>
      <c r="GI264" s="212"/>
      <c r="GJ264" s="212"/>
      <c r="GK264" s="212"/>
      <c r="GL264" s="212"/>
      <c r="GM264" s="212"/>
      <c r="GN264" s="212"/>
      <c r="GO264" s="212"/>
      <c r="GP264" s="212"/>
      <c r="GQ264" s="212"/>
      <c r="GR264" s="212"/>
      <c r="GS264" s="212"/>
      <c r="GT264" s="212"/>
      <c r="GU264" s="212"/>
      <c r="GV264" s="212"/>
      <c r="GW264" s="212"/>
      <c r="GX264" s="212"/>
      <c r="GY264" s="212"/>
      <c r="GZ264" s="212"/>
      <c r="HA264" s="212"/>
      <c r="HB264" s="212"/>
      <c r="HC264" s="212"/>
      <c r="HD264" s="212"/>
      <c r="HE264" s="212"/>
      <c r="HF264" s="212"/>
      <c r="HG264" s="212"/>
      <c r="HH264" s="212"/>
      <c r="HI264" s="212"/>
      <c r="HJ264" s="212"/>
      <c r="HK264" s="212"/>
      <c r="HL264" s="212"/>
      <c r="HM264" s="212"/>
      <c r="HN264" s="212"/>
      <c r="HO264" s="212"/>
      <c r="HP264" s="212"/>
      <c r="HQ264" s="212"/>
      <c r="HR264" s="212"/>
      <c r="HS264" s="212"/>
      <c r="HT264" s="212"/>
      <c r="HU264" s="212"/>
      <c r="HV264" s="212"/>
      <c r="HW264" s="212"/>
      <c r="HX264" s="212"/>
      <c r="HY264" s="212"/>
      <c r="HZ264" s="212"/>
      <c r="IA264" s="212"/>
      <c r="IB264" s="212"/>
      <c r="IC264" s="212"/>
      <c r="ID264" s="212"/>
      <c r="IE264" s="212"/>
      <c r="IF264" s="212"/>
      <c r="IG264" s="212"/>
      <c r="IH264" s="212"/>
      <c r="II264" s="212"/>
      <c r="IJ264" s="212"/>
      <c r="IK264" s="212"/>
      <c r="IL264" s="212"/>
      <c r="IM264" s="212"/>
      <c r="IN264" s="212"/>
      <c r="IO264" s="212"/>
      <c r="IP264" s="212"/>
      <c r="IQ264" s="212"/>
      <c r="IR264" s="212"/>
    </row>
    <row r="265" spans="13:252" ht="16.5" hidden="1" thickTop="1" thickBot="1">
      <c r="M265" s="212"/>
      <c r="N265" s="212"/>
      <c r="O265" s="212"/>
      <c r="P265" s="212"/>
      <c r="Q265" s="212"/>
      <c r="R265" s="212"/>
      <c r="S265" s="212"/>
      <c r="T265" s="212"/>
      <c r="U265" s="212"/>
      <c r="V265" s="212"/>
      <c r="W265" s="212"/>
      <c r="X265" s="212"/>
      <c r="Y265" s="212"/>
      <c r="Z265" s="212"/>
      <c r="AA265" s="212"/>
      <c r="AB265" s="212"/>
      <c r="AC265" s="212"/>
      <c r="AD265" s="212"/>
      <c r="AE265" s="212"/>
      <c r="AF265" s="212"/>
      <c r="AG265" s="212"/>
      <c r="AH265" s="212"/>
      <c r="AI265" s="212"/>
      <c r="AJ265" s="212"/>
      <c r="AK265" s="212"/>
      <c r="AL265" s="212"/>
      <c r="AM265" s="212"/>
      <c r="AN265" s="212"/>
      <c r="AO265" s="212"/>
      <c r="AP265" s="212"/>
      <c r="AQ265" s="212"/>
      <c r="AR265" s="212"/>
      <c r="AS265" s="212"/>
      <c r="AT265" s="212"/>
      <c r="AU265" s="212"/>
      <c r="AV265" s="212"/>
      <c r="AW265" s="212"/>
      <c r="AX265" s="212"/>
      <c r="AY265" s="212"/>
      <c r="AZ265" s="212"/>
      <c r="BA265" s="212"/>
      <c r="BB265" s="212"/>
      <c r="BC265" s="212"/>
      <c r="BD265" s="212"/>
      <c r="BE265" s="212"/>
      <c r="BF265" s="212"/>
      <c r="BG265" s="212"/>
      <c r="BH265" s="212"/>
      <c r="BI265" s="212"/>
      <c r="BJ265" s="212"/>
      <c r="BK265" s="212"/>
      <c r="BL265" s="212"/>
      <c r="BM265" s="212"/>
      <c r="BN265" s="212"/>
      <c r="BO265" s="212"/>
      <c r="BP265" s="212"/>
      <c r="BQ265" s="212"/>
      <c r="BR265" s="212"/>
      <c r="BS265" s="212"/>
      <c r="BT265" s="212"/>
      <c r="BU265" s="212"/>
      <c r="BV265" s="212"/>
      <c r="BW265" s="212"/>
      <c r="BX265" s="212"/>
      <c r="BY265" s="212"/>
      <c r="BZ265" s="212"/>
      <c r="CA265" s="212"/>
      <c r="CB265" s="212"/>
      <c r="CC265" s="212"/>
      <c r="CD265" s="212"/>
      <c r="CE265" s="212"/>
      <c r="CF265" s="212"/>
      <c r="CG265" s="212"/>
      <c r="CH265" s="212"/>
      <c r="CI265" s="212"/>
      <c r="CJ265" s="212"/>
      <c r="CK265" s="212"/>
      <c r="CL265" s="212"/>
      <c r="CM265" s="212"/>
      <c r="CN265" s="212"/>
      <c r="CO265" s="212"/>
      <c r="CP265" s="212"/>
      <c r="CQ265" s="212"/>
      <c r="CR265" s="212"/>
      <c r="CS265" s="212"/>
      <c r="CT265" s="212"/>
      <c r="CU265" s="212"/>
      <c r="CV265" s="212"/>
      <c r="CW265" s="212"/>
      <c r="CX265" s="212"/>
      <c r="CY265" s="212"/>
      <c r="CZ265" s="212"/>
      <c r="DA265" s="212"/>
      <c r="DB265" s="212"/>
      <c r="DC265" s="212"/>
      <c r="DD265" s="212"/>
      <c r="DE265" s="212"/>
      <c r="DF265" s="212"/>
      <c r="DG265" s="212"/>
      <c r="DH265" s="212"/>
      <c r="DI265" s="212"/>
      <c r="DJ265" s="212"/>
      <c r="DK265" s="212"/>
      <c r="DL265" s="212"/>
      <c r="DM265" s="212"/>
      <c r="DN265" s="212"/>
      <c r="DO265" s="212"/>
      <c r="DP265" s="212"/>
      <c r="DQ265" s="212"/>
      <c r="DR265" s="212"/>
      <c r="DS265" s="212"/>
      <c r="DT265" s="212"/>
      <c r="DU265" s="212"/>
      <c r="DV265" s="212"/>
      <c r="DW265" s="212"/>
      <c r="DX265" s="212"/>
      <c r="DY265" s="212"/>
      <c r="DZ265" s="212"/>
      <c r="EA265" s="212"/>
      <c r="EB265" s="212"/>
      <c r="EC265" s="212"/>
      <c r="ED265" s="212"/>
      <c r="EE265" s="212"/>
      <c r="EF265" s="212"/>
      <c r="EG265" s="212"/>
      <c r="EH265" s="212"/>
      <c r="EI265" s="212"/>
      <c r="EJ265" s="212"/>
      <c r="EK265" s="212"/>
      <c r="EL265" s="212"/>
      <c r="EM265" s="212"/>
      <c r="EN265" s="212"/>
      <c r="EO265" s="212"/>
      <c r="EP265" s="212"/>
      <c r="EQ265" s="212"/>
      <c r="ER265" s="212"/>
      <c r="ES265" s="212"/>
      <c r="ET265" s="212"/>
      <c r="EU265" s="212"/>
      <c r="EV265" s="212"/>
      <c r="EW265" s="212"/>
      <c r="EX265" s="212"/>
      <c r="EY265" s="212"/>
      <c r="EZ265" s="212"/>
      <c r="FA265" s="212"/>
      <c r="FB265" s="212"/>
      <c r="FC265" s="212"/>
      <c r="FD265" s="212"/>
      <c r="FE265" s="212"/>
      <c r="FF265" s="212"/>
      <c r="FG265" s="212"/>
      <c r="FH265" s="212"/>
      <c r="FI265" s="212"/>
      <c r="FJ265" s="212"/>
      <c r="FK265" s="212"/>
      <c r="FL265" s="212"/>
      <c r="FM265" s="212"/>
      <c r="FN265" s="212"/>
      <c r="FO265" s="212"/>
      <c r="FP265" s="212"/>
      <c r="FQ265" s="212"/>
      <c r="FR265" s="212"/>
      <c r="FS265" s="212"/>
      <c r="FT265" s="212"/>
      <c r="FU265" s="212"/>
      <c r="FV265" s="212"/>
      <c r="FW265" s="212"/>
      <c r="FX265" s="212"/>
      <c r="FY265" s="212"/>
      <c r="FZ265" s="212"/>
      <c r="GA265" s="212"/>
      <c r="GB265" s="212"/>
      <c r="GC265" s="212"/>
      <c r="GD265" s="212"/>
      <c r="GE265" s="212"/>
      <c r="GF265" s="212"/>
      <c r="GG265" s="212"/>
      <c r="GH265" s="212"/>
      <c r="GI265" s="212"/>
      <c r="GJ265" s="212"/>
      <c r="GK265" s="212"/>
      <c r="GL265" s="212"/>
      <c r="GM265" s="212"/>
      <c r="GN265" s="212"/>
      <c r="GO265" s="212"/>
      <c r="GP265" s="212"/>
      <c r="GQ265" s="212"/>
      <c r="GR265" s="212"/>
      <c r="GS265" s="212"/>
      <c r="GT265" s="212"/>
      <c r="GU265" s="212"/>
      <c r="GV265" s="212"/>
      <c r="GW265" s="212"/>
      <c r="GX265" s="212"/>
      <c r="GY265" s="212"/>
      <c r="GZ265" s="212"/>
      <c r="HA265" s="212"/>
      <c r="HB265" s="212"/>
      <c r="HC265" s="212"/>
      <c r="HD265" s="212"/>
      <c r="HE265" s="212"/>
      <c r="HF265" s="212"/>
      <c r="HG265" s="212"/>
      <c r="HH265" s="212"/>
      <c r="HI265" s="212"/>
      <c r="HJ265" s="212"/>
      <c r="HK265" s="212"/>
      <c r="HL265" s="212"/>
      <c r="HM265" s="212"/>
      <c r="HN265" s="212"/>
      <c r="HO265" s="212"/>
      <c r="HP265" s="212"/>
      <c r="HQ265" s="212"/>
      <c r="HR265" s="212"/>
      <c r="HS265" s="212"/>
      <c r="HT265" s="212"/>
      <c r="HU265" s="212"/>
      <c r="HV265" s="212"/>
      <c r="HW265" s="212"/>
      <c r="HX265" s="212"/>
      <c r="HY265" s="212"/>
      <c r="HZ265" s="212"/>
      <c r="IA265" s="212"/>
      <c r="IB265" s="212"/>
      <c r="IC265" s="212"/>
      <c r="ID265" s="212"/>
      <c r="IE265" s="212"/>
      <c r="IF265" s="212"/>
      <c r="IG265" s="212"/>
      <c r="IH265" s="212"/>
      <c r="II265" s="212"/>
      <c r="IJ265" s="212"/>
      <c r="IK265" s="212"/>
      <c r="IL265" s="212"/>
      <c r="IM265" s="212"/>
      <c r="IN265" s="212"/>
      <c r="IO265" s="212"/>
      <c r="IP265" s="212"/>
      <c r="IQ265" s="212"/>
      <c r="IR265" s="212"/>
    </row>
    <row r="266" spans="13:252" ht="16.5" hidden="1" thickTop="1" thickBot="1">
      <c r="M266" s="212"/>
      <c r="N266" s="212"/>
      <c r="O266" s="212"/>
      <c r="P266" s="212"/>
      <c r="Q266" s="212"/>
      <c r="R266" s="212"/>
      <c r="S266" s="212"/>
      <c r="T266" s="212"/>
      <c r="U266" s="212"/>
      <c r="V266" s="212"/>
      <c r="W266" s="212"/>
      <c r="X266" s="212"/>
      <c r="Y266" s="212"/>
      <c r="Z266" s="212"/>
      <c r="AA266" s="212"/>
      <c r="AB266" s="212"/>
      <c r="AC266" s="212"/>
      <c r="AD266" s="212"/>
      <c r="AE266" s="212"/>
      <c r="AF266" s="212"/>
      <c r="AG266" s="212"/>
      <c r="AH266" s="212"/>
      <c r="AI266" s="212"/>
      <c r="AJ266" s="212"/>
      <c r="AK266" s="212"/>
      <c r="AL266" s="212"/>
      <c r="AM266" s="212"/>
      <c r="AN266" s="212"/>
      <c r="AO266" s="212"/>
      <c r="AP266" s="212"/>
      <c r="AQ266" s="212"/>
      <c r="AR266" s="212"/>
      <c r="AS266" s="212"/>
      <c r="AT266" s="212"/>
      <c r="AU266" s="212"/>
      <c r="AV266" s="212"/>
      <c r="AW266" s="212"/>
      <c r="AX266" s="212"/>
      <c r="AY266" s="212"/>
      <c r="AZ266" s="212"/>
      <c r="BA266" s="212"/>
      <c r="BB266" s="212"/>
      <c r="BC266" s="212"/>
      <c r="BD266" s="212"/>
      <c r="BE266" s="212"/>
      <c r="BF266" s="212"/>
      <c r="BG266" s="212"/>
      <c r="BH266" s="212"/>
      <c r="BI266" s="212"/>
      <c r="BJ266" s="212"/>
      <c r="BK266" s="212"/>
      <c r="BL266" s="212"/>
      <c r="BM266" s="212"/>
      <c r="BN266" s="212"/>
      <c r="BO266" s="212"/>
      <c r="BP266" s="212"/>
      <c r="BQ266" s="212"/>
      <c r="BR266" s="212"/>
      <c r="BS266" s="212"/>
      <c r="BT266" s="212"/>
      <c r="BU266" s="212"/>
      <c r="BV266" s="212"/>
      <c r="BW266" s="212"/>
      <c r="BX266" s="212"/>
      <c r="BY266" s="212"/>
      <c r="BZ266" s="212"/>
      <c r="CA266" s="212"/>
      <c r="CB266" s="212"/>
      <c r="CC266" s="212"/>
      <c r="CD266" s="212"/>
      <c r="CE266" s="212"/>
      <c r="CF266" s="212"/>
      <c r="CG266" s="212"/>
      <c r="CH266" s="212"/>
      <c r="CI266" s="212"/>
      <c r="CJ266" s="212"/>
      <c r="CK266" s="212"/>
      <c r="CL266" s="212"/>
      <c r="CM266" s="212"/>
      <c r="CN266" s="212"/>
      <c r="CO266" s="212"/>
      <c r="CP266" s="212"/>
      <c r="CQ266" s="212"/>
      <c r="CR266" s="212"/>
      <c r="CS266" s="212"/>
      <c r="CT266" s="212"/>
      <c r="CU266" s="212"/>
      <c r="CV266" s="212"/>
      <c r="CW266" s="212"/>
      <c r="CX266" s="212"/>
      <c r="CY266" s="212"/>
      <c r="CZ266" s="212"/>
      <c r="DA266" s="212"/>
      <c r="DB266" s="212"/>
      <c r="DC266" s="212"/>
      <c r="DD266" s="212"/>
      <c r="DE266" s="212"/>
      <c r="DF266" s="212"/>
      <c r="DG266" s="212"/>
      <c r="DH266" s="212"/>
      <c r="DI266" s="212"/>
      <c r="DJ266" s="212"/>
      <c r="DK266" s="212"/>
      <c r="DL266" s="212"/>
      <c r="DM266" s="212"/>
      <c r="DN266" s="212"/>
      <c r="DO266" s="212"/>
      <c r="DP266" s="212"/>
      <c r="DQ266" s="212"/>
      <c r="DR266" s="212"/>
      <c r="DS266" s="212"/>
      <c r="DT266" s="212"/>
      <c r="DU266" s="212"/>
      <c r="DV266" s="212"/>
      <c r="DW266" s="212"/>
      <c r="DX266" s="212"/>
      <c r="DY266" s="212"/>
      <c r="DZ266" s="212"/>
      <c r="EA266" s="212"/>
      <c r="EB266" s="212"/>
      <c r="EC266" s="212"/>
      <c r="ED266" s="212"/>
      <c r="EE266" s="212"/>
      <c r="EF266" s="212"/>
      <c r="EG266" s="212"/>
      <c r="EH266" s="212"/>
      <c r="EI266" s="212"/>
      <c r="EJ266" s="212"/>
      <c r="EK266" s="212"/>
      <c r="EL266" s="212"/>
      <c r="EM266" s="212"/>
      <c r="EN266" s="212"/>
      <c r="EO266" s="212"/>
      <c r="EP266" s="212"/>
      <c r="EQ266" s="212"/>
      <c r="ER266" s="212"/>
      <c r="ES266" s="212"/>
      <c r="ET266" s="212"/>
      <c r="EU266" s="212"/>
      <c r="EV266" s="212"/>
      <c r="EW266" s="212"/>
      <c r="EX266" s="212"/>
      <c r="EY266" s="212"/>
      <c r="EZ266" s="212"/>
      <c r="FA266" s="212"/>
      <c r="FB266" s="212"/>
      <c r="FC266" s="212"/>
      <c r="FD266" s="212"/>
      <c r="FE266" s="212"/>
      <c r="FF266" s="212"/>
      <c r="FG266" s="212"/>
      <c r="FH266" s="212"/>
      <c r="FI266" s="212"/>
      <c r="FJ266" s="212"/>
      <c r="FK266" s="212"/>
      <c r="FL266" s="212"/>
      <c r="FM266" s="212"/>
      <c r="FN266" s="212"/>
      <c r="FO266" s="212"/>
      <c r="FP266" s="212"/>
      <c r="FQ266" s="212"/>
      <c r="FR266" s="212"/>
      <c r="FS266" s="212"/>
      <c r="FT266" s="212"/>
      <c r="FU266" s="212"/>
      <c r="FV266" s="212"/>
      <c r="FW266" s="212"/>
      <c r="FX266" s="212"/>
      <c r="FY266" s="212"/>
      <c r="FZ266" s="212"/>
      <c r="GA266" s="212"/>
      <c r="GB266" s="212"/>
      <c r="GC266" s="212"/>
      <c r="GD266" s="212"/>
      <c r="GE266" s="212"/>
      <c r="GF266" s="212"/>
      <c r="GG266" s="212"/>
      <c r="GH266" s="212"/>
      <c r="GI266" s="212"/>
      <c r="GJ266" s="212"/>
      <c r="GK266" s="212"/>
      <c r="GL266" s="212"/>
      <c r="GM266" s="212"/>
      <c r="GN266" s="212"/>
      <c r="GO266" s="212"/>
      <c r="GP266" s="212"/>
      <c r="GQ266" s="212"/>
      <c r="GR266" s="212"/>
      <c r="GS266" s="212"/>
      <c r="GT266" s="212"/>
      <c r="GU266" s="212"/>
      <c r="GV266" s="212"/>
      <c r="GW266" s="212"/>
      <c r="GX266" s="212"/>
      <c r="GY266" s="212"/>
      <c r="GZ266" s="212"/>
      <c r="HA266" s="212"/>
      <c r="HB266" s="212"/>
      <c r="HC266" s="212"/>
      <c r="HD266" s="212"/>
      <c r="HE266" s="212"/>
      <c r="HF266" s="212"/>
      <c r="HG266" s="212"/>
      <c r="HH266" s="212"/>
      <c r="HI266" s="212"/>
      <c r="HJ266" s="212"/>
      <c r="HK266" s="212"/>
      <c r="HL266" s="212"/>
      <c r="HM266" s="212"/>
      <c r="HN266" s="212"/>
      <c r="HO266" s="212"/>
      <c r="HP266" s="212"/>
      <c r="HQ266" s="212"/>
      <c r="HR266" s="212"/>
      <c r="HS266" s="212"/>
      <c r="HT266" s="212"/>
      <c r="HU266" s="212"/>
      <c r="HV266" s="212"/>
      <c r="HW266" s="212"/>
      <c r="HX266" s="212"/>
      <c r="HY266" s="212"/>
      <c r="HZ266" s="212"/>
      <c r="IA266" s="212"/>
      <c r="IB266" s="212"/>
      <c r="IC266" s="212"/>
      <c r="ID266" s="212"/>
      <c r="IE266" s="212"/>
      <c r="IF266" s="212"/>
      <c r="IG266" s="212"/>
      <c r="IH266" s="212"/>
      <c r="II266" s="212"/>
      <c r="IJ266" s="212"/>
      <c r="IK266" s="212"/>
      <c r="IL266" s="212"/>
      <c r="IM266" s="212"/>
      <c r="IN266" s="212"/>
      <c r="IO266" s="212"/>
      <c r="IP266" s="212"/>
      <c r="IQ266" s="212"/>
      <c r="IR266" s="212"/>
    </row>
    <row r="267" spans="13:252" ht="16.5" hidden="1" thickTop="1" thickBot="1">
      <c r="M267" s="212"/>
      <c r="N267" s="212"/>
      <c r="O267" s="212"/>
      <c r="P267" s="212"/>
      <c r="Q267" s="212"/>
      <c r="R267" s="212"/>
      <c r="S267" s="212"/>
      <c r="T267" s="212"/>
      <c r="U267" s="212"/>
      <c r="V267" s="212"/>
      <c r="W267" s="212"/>
      <c r="X267" s="212"/>
      <c r="Y267" s="212"/>
      <c r="Z267" s="212"/>
      <c r="AA267" s="212"/>
      <c r="AB267" s="212"/>
      <c r="AC267" s="212"/>
      <c r="AD267" s="212"/>
      <c r="AE267" s="212"/>
      <c r="AF267" s="212"/>
      <c r="AG267" s="212"/>
      <c r="AH267" s="212"/>
      <c r="AI267" s="212"/>
      <c r="AJ267" s="212"/>
      <c r="AK267" s="212"/>
      <c r="AL267" s="212"/>
      <c r="AM267" s="212"/>
      <c r="AN267" s="212"/>
      <c r="AO267" s="212"/>
      <c r="AP267" s="212"/>
      <c r="AQ267" s="212"/>
      <c r="AR267" s="212"/>
      <c r="AS267" s="212"/>
      <c r="AT267" s="212"/>
      <c r="AU267" s="212"/>
      <c r="AV267" s="212"/>
      <c r="AW267" s="212"/>
      <c r="AX267" s="212"/>
      <c r="AY267" s="212"/>
      <c r="AZ267" s="212"/>
      <c r="BA267" s="212"/>
      <c r="BB267" s="212"/>
      <c r="BC267" s="212"/>
      <c r="BD267" s="212"/>
      <c r="BE267" s="212"/>
      <c r="BF267" s="212"/>
      <c r="BG267" s="212"/>
      <c r="BH267" s="212"/>
      <c r="BI267" s="212"/>
      <c r="BJ267" s="212"/>
      <c r="BK267" s="212"/>
      <c r="BL267" s="212"/>
      <c r="BM267" s="212"/>
      <c r="BN267" s="212"/>
      <c r="BO267" s="212"/>
      <c r="BP267" s="212"/>
      <c r="BQ267" s="212"/>
      <c r="BR267" s="212"/>
      <c r="BS267" s="212"/>
      <c r="BT267" s="212"/>
      <c r="BU267" s="212"/>
      <c r="BV267" s="212"/>
      <c r="BW267" s="212"/>
      <c r="BX267" s="212"/>
      <c r="BY267" s="212"/>
      <c r="BZ267" s="212"/>
      <c r="CA267" s="212"/>
      <c r="CB267" s="212"/>
      <c r="CC267" s="212"/>
      <c r="CD267" s="212"/>
      <c r="CE267" s="212"/>
      <c r="CF267" s="212"/>
      <c r="CG267" s="212"/>
      <c r="CH267" s="212"/>
      <c r="CI267" s="212"/>
      <c r="CJ267" s="212"/>
      <c r="CK267" s="212"/>
      <c r="CL267" s="212"/>
      <c r="CM267" s="212"/>
      <c r="CN267" s="212"/>
      <c r="CO267" s="212"/>
      <c r="CP267" s="212"/>
      <c r="CQ267" s="212"/>
      <c r="CR267" s="212"/>
      <c r="CS267" s="212"/>
      <c r="CT267" s="212"/>
      <c r="CU267" s="212"/>
      <c r="CV267" s="212"/>
      <c r="CW267" s="212"/>
      <c r="CX267" s="212"/>
      <c r="CY267" s="212"/>
      <c r="CZ267" s="212"/>
      <c r="DA267" s="212"/>
      <c r="DB267" s="212"/>
      <c r="DC267" s="212"/>
      <c r="DD267" s="212"/>
      <c r="DE267" s="212"/>
      <c r="DF267" s="212"/>
      <c r="DG267" s="212"/>
      <c r="DH267" s="212"/>
      <c r="DI267" s="212"/>
      <c r="DJ267" s="212"/>
      <c r="DK267" s="212"/>
      <c r="DL267" s="212"/>
      <c r="DM267" s="212"/>
      <c r="DN267" s="212"/>
      <c r="DO267" s="212"/>
      <c r="DP267" s="212"/>
      <c r="DQ267" s="212"/>
      <c r="DR267" s="212"/>
      <c r="DS267" s="212"/>
      <c r="DT267" s="212"/>
      <c r="DU267" s="212"/>
      <c r="DV267" s="212"/>
      <c r="DW267" s="212"/>
      <c r="DX267" s="212"/>
      <c r="DY267" s="212"/>
      <c r="DZ267" s="212"/>
      <c r="EA267" s="212"/>
      <c r="EB267" s="212"/>
      <c r="EC267" s="212"/>
      <c r="ED267" s="212"/>
      <c r="EE267" s="212"/>
      <c r="EF267" s="212"/>
      <c r="EG267" s="212"/>
      <c r="EH267" s="212"/>
      <c r="EI267" s="212"/>
      <c r="EJ267" s="212"/>
      <c r="EK267" s="212"/>
      <c r="EL267" s="212"/>
      <c r="EM267" s="212"/>
      <c r="EN267" s="212"/>
      <c r="EO267" s="212"/>
      <c r="EP267" s="212"/>
      <c r="EQ267" s="212"/>
      <c r="ER267" s="212"/>
      <c r="ES267" s="212"/>
      <c r="ET267" s="212"/>
      <c r="EU267" s="212"/>
      <c r="EV267" s="212"/>
      <c r="EW267" s="212"/>
      <c r="EX267" s="212"/>
      <c r="EY267" s="212"/>
      <c r="EZ267" s="212"/>
      <c r="FA267" s="212"/>
      <c r="FB267" s="212"/>
      <c r="FC267" s="212"/>
      <c r="FD267" s="212"/>
      <c r="FE267" s="212"/>
      <c r="FF267" s="212"/>
      <c r="FG267" s="212"/>
      <c r="FH267" s="212"/>
      <c r="FI267" s="212"/>
      <c r="FJ267" s="212"/>
      <c r="FK267" s="212"/>
      <c r="FL267" s="212"/>
      <c r="FM267" s="212"/>
      <c r="FN267" s="212"/>
      <c r="FO267" s="212"/>
      <c r="FP267" s="212"/>
      <c r="FQ267" s="212"/>
      <c r="FR267" s="212"/>
      <c r="FS267" s="212"/>
      <c r="FT267" s="212"/>
      <c r="FU267" s="212"/>
      <c r="FV267" s="212"/>
      <c r="FW267" s="212"/>
      <c r="FX267" s="212"/>
      <c r="FY267" s="212"/>
      <c r="FZ267" s="212"/>
      <c r="GA267" s="212"/>
      <c r="GB267" s="212"/>
      <c r="GC267" s="212"/>
      <c r="GD267" s="212"/>
      <c r="GE267" s="212"/>
      <c r="GF267" s="212"/>
      <c r="GG267" s="212"/>
      <c r="GH267" s="212"/>
      <c r="GI267" s="212"/>
      <c r="GJ267" s="212"/>
      <c r="GK267" s="212"/>
      <c r="GL267" s="212"/>
      <c r="GM267" s="212"/>
      <c r="GN267" s="212"/>
      <c r="GO267" s="212"/>
      <c r="GP267" s="212"/>
      <c r="GQ267" s="212"/>
      <c r="GR267" s="212"/>
      <c r="GS267" s="212"/>
      <c r="GT267" s="212"/>
      <c r="GU267" s="212"/>
      <c r="GV267" s="212"/>
      <c r="GW267" s="212"/>
      <c r="GX267" s="212"/>
      <c r="GY267" s="212"/>
      <c r="GZ267" s="212"/>
      <c r="HA267" s="212"/>
      <c r="HB267" s="212"/>
      <c r="HC267" s="212"/>
      <c r="HD267" s="212"/>
      <c r="HE267" s="212"/>
      <c r="HF267" s="212"/>
      <c r="HG267" s="212"/>
      <c r="HH267" s="212"/>
      <c r="HI267" s="212"/>
      <c r="HJ267" s="212"/>
      <c r="HK267" s="212"/>
      <c r="HL267" s="212"/>
      <c r="HM267" s="212"/>
      <c r="HN267" s="212"/>
      <c r="HO267" s="212"/>
      <c r="HP267" s="212"/>
      <c r="HQ267" s="212"/>
      <c r="HR267" s="212"/>
      <c r="HS267" s="212"/>
      <c r="HT267" s="212"/>
      <c r="HU267" s="212"/>
      <c r="HV267" s="212"/>
      <c r="HW267" s="212"/>
      <c r="HX267" s="212"/>
      <c r="HY267" s="212"/>
      <c r="HZ267" s="212"/>
      <c r="IA267" s="212"/>
      <c r="IB267" s="212"/>
      <c r="IC267" s="212"/>
      <c r="ID267" s="212"/>
      <c r="IE267" s="212"/>
      <c r="IF267" s="212"/>
      <c r="IG267" s="212"/>
      <c r="IH267" s="212"/>
      <c r="II267" s="212"/>
      <c r="IJ267" s="212"/>
      <c r="IK267" s="212"/>
      <c r="IL267" s="212"/>
      <c r="IM267" s="212"/>
      <c r="IN267" s="212"/>
      <c r="IO267" s="212"/>
      <c r="IP267" s="212"/>
      <c r="IQ267" s="212"/>
      <c r="IR267" s="212"/>
    </row>
    <row r="268" spans="13:252" ht="16.5" hidden="1" thickTop="1" thickBot="1">
      <c r="M268" s="212"/>
      <c r="N268" s="212"/>
      <c r="O268" s="212"/>
      <c r="P268" s="212"/>
      <c r="Q268" s="212"/>
      <c r="R268" s="212"/>
      <c r="S268" s="212"/>
      <c r="T268" s="212"/>
      <c r="U268" s="212"/>
      <c r="V268" s="212"/>
      <c r="W268" s="212"/>
      <c r="X268" s="212"/>
      <c r="Y268" s="212"/>
      <c r="Z268" s="212"/>
      <c r="AA268" s="212"/>
      <c r="AB268" s="212"/>
      <c r="AC268" s="212"/>
      <c r="AD268" s="212"/>
      <c r="AE268" s="212"/>
      <c r="AF268" s="212"/>
      <c r="AG268" s="212"/>
      <c r="AH268" s="212"/>
      <c r="AI268" s="212"/>
      <c r="AJ268" s="212"/>
      <c r="AK268" s="212"/>
      <c r="AL268" s="212"/>
      <c r="AM268" s="212"/>
      <c r="AN268" s="212"/>
      <c r="AO268" s="212"/>
      <c r="AP268" s="212"/>
      <c r="AQ268" s="212"/>
      <c r="AR268" s="212"/>
      <c r="AS268" s="212"/>
      <c r="AT268" s="212"/>
      <c r="AU268" s="212"/>
      <c r="AV268" s="212"/>
      <c r="AW268" s="212"/>
      <c r="AX268" s="212"/>
      <c r="AY268" s="212"/>
      <c r="AZ268" s="212"/>
      <c r="BA268" s="212"/>
      <c r="BB268" s="212"/>
      <c r="BC268" s="212"/>
      <c r="BD268" s="212"/>
      <c r="BE268" s="212"/>
      <c r="BF268" s="212"/>
      <c r="BG268" s="212"/>
      <c r="BH268" s="212"/>
      <c r="BI268" s="212"/>
      <c r="BJ268" s="212"/>
      <c r="BK268" s="212"/>
      <c r="BL268" s="212"/>
      <c r="BM268" s="212"/>
      <c r="BN268" s="212"/>
      <c r="BO268" s="212"/>
      <c r="BP268" s="212"/>
      <c r="BQ268" s="212"/>
      <c r="BR268" s="212"/>
      <c r="BS268" s="212"/>
      <c r="BT268" s="212"/>
      <c r="BU268" s="212"/>
      <c r="BV268" s="212"/>
      <c r="BW268" s="212"/>
      <c r="BX268" s="212"/>
      <c r="BY268" s="212"/>
      <c r="BZ268" s="212"/>
      <c r="CA268" s="212"/>
      <c r="CB268" s="212"/>
      <c r="CC268" s="212"/>
      <c r="CD268" s="212"/>
      <c r="CE268" s="212"/>
      <c r="CF268" s="212"/>
      <c r="CG268" s="212"/>
      <c r="CH268" s="212"/>
      <c r="CI268" s="212"/>
      <c r="CJ268" s="212"/>
      <c r="CK268" s="212"/>
      <c r="CL268" s="212"/>
      <c r="CM268" s="212"/>
      <c r="CN268" s="212"/>
      <c r="CO268" s="212"/>
      <c r="CP268" s="212"/>
      <c r="CQ268" s="212"/>
      <c r="CR268" s="212"/>
      <c r="CS268" s="212"/>
      <c r="CT268" s="212"/>
      <c r="CU268" s="212"/>
      <c r="CV268" s="212"/>
      <c r="CW268" s="212"/>
      <c r="CX268" s="212"/>
      <c r="CY268" s="212"/>
      <c r="CZ268" s="212"/>
      <c r="DA268" s="212"/>
      <c r="DB268" s="212"/>
      <c r="DC268" s="212"/>
      <c r="DD268" s="212"/>
      <c r="DE268" s="212"/>
      <c r="DF268" s="212"/>
      <c r="DG268" s="212"/>
      <c r="DH268" s="212"/>
      <c r="DI268" s="212"/>
      <c r="DJ268" s="212"/>
      <c r="DK268" s="212"/>
      <c r="DL268" s="212"/>
      <c r="DM268" s="212"/>
      <c r="DN268" s="212"/>
      <c r="DO268" s="212"/>
      <c r="DP268" s="212"/>
      <c r="DQ268" s="212"/>
      <c r="DR268" s="212"/>
      <c r="DS268" s="212"/>
      <c r="DT268" s="212"/>
      <c r="DU268" s="212"/>
      <c r="DV268" s="212"/>
      <c r="DW268" s="212"/>
      <c r="DX268" s="212"/>
      <c r="DY268" s="212"/>
      <c r="DZ268" s="212"/>
      <c r="EA268" s="212"/>
      <c r="EB268" s="212"/>
      <c r="EC268" s="212"/>
      <c r="ED268" s="212"/>
      <c r="EE268" s="212"/>
      <c r="EF268" s="212"/>
      <c r="EG268" s="212"/>
      <c r="EH268" s="212"/>
      <c r="EI268" s="212"/>
      <c r="EJ268" s="212"/>
      <c r="EK268" s="212"/>
      <c r="EL268" s="212"/>
      <c r="EM268" s="212"/>
      <c r="EN268" s="212"/>
      <c r="EO268" s="212"/>
      <c r="EP268" s="212"/>
      <c r="EQ268" s="212"/>
      <c r="ER268" s="212"/>
      <c r="ES268" s="212"/>
      <c r="ET268" s="212"/>
      <c r="EU268" s="212"/>
      <c r="EV268" s="212"/>
      <c r="EW268" s="212"/>
      <c r="EX268" s="212"/>
      <c r="EY268" s="212"/>
      <c r="EZ268" s="212"/>
      <c r="FA268" s="212"/>
      <c r="FB268" s="212"/>
      <c r="FC268" s="212"/>
      <c r="FD268" s="212"/>
      <c r="FE268" s="212"/>
      <c r="FF268" s="212"/>
      <c r="FG268" s="212"/>
      <c r="FH268" s="212"/>
      <c r="FI268" s="212"/>
      <c r="FJ268" s="212"/>
      <c r="FK268" s="212"/>
      <c r="FL268" s="212"/>
      <c r="FM268" s="212"/>
      <c r="FN268" s="212"/>
      <c r="FO268" s="212"/>
      <c r="FP268" s="212"/>
      <c r="FQ268" s="212"/>
      <c r="FR268" s="212"/>
      <c r="FS268" s="212"/>
      <c r="FT268" s="212"/>
      <c r="FU268" s="212"/>
      <c r="FV268" s="212"/>
      <c r="FW268" s="212"/>
      <c r="FX268" s="212"/>
      <c r="FY268" s="212"/>
      <c r="FZ268" s="212"/>
      <c r="GA268" s="212"/>
      <c r="GB268" s="212"/>
      <c r="GC268" s="212"/>
      <c r="GD268" s="212"/>
      <c r="GE268" s="212"/>
      <c r="GF268" s="212"/>
      <c r="GG268" s="212"/>
      <c r="GH268" s="212"/>
      <c r="GI268" s="212"/>
      <c r="GJ268" s="212"/>
      <c r="GK268" s="212"/>
      <c r="GL268" s="212"/>
      <c r="GM268" s="212"/>
      <c r="GN268" s="212"/>
      <c r="GO268" s="212"/>
      <c r="GP268" s="212"/>
      <c r="GQ268" s="212"/>
      <c r="GR268" s="212"/>
      <c r="GS268" s="212"/>
      <c r="GT268" s="212"/>
      <c r="GU268" s="212"/>
      <c r="GV268" s="212"/>
      <c r="GW268" s="212"/>
      <c r="GX268" s="212"/>
      <c r="GY268" s="212"/>
      <c r="GZ268" s="212"/>
      <c r="HA268" s="212"/>
      <c r="HB268" s="212"/>
      <c r="HC268" s="212"/>
      <c r="HD268" s="212"/>
      <c r="HE268" s="212"/>
      <c r="HF268" s="212"/>
      <c r="HG268" s="212"/>
      <c r="HH268" s="212"/>
      <c r="HI268" s="212"/>
      <c r="HJ268" s="212"/>
      <c r="HK268" s="212"/>
      <c r="HL268" s="212"/>
      <c r="HM268" s="212"/>
      <c r="HN268" s="212"/>
      <c r="HO268" s="212"/>
      <c r="HP268" s="212"/>
      <c r="HQ268" s="212"/>
      <c r="HR268" s="212"/>
      <c r="HS268" s="212"/>
      <c r="HT268" s="212"/>
      <c r="HU268" s="212"/>
      <c r="HV268" s="212"/>
      <c r="HW268" s="212"/>
      <c r="HX268" s="212"/>
      <c r="HY268" s="212"/>
      <c r="HZ268" s="212"/>
      <c r="IA268" s="212"/>
      <c r="IB268" s="212"/>
      <c r="IC268" s="212"/>
      <c r="ID268" s="212"/>
      <c r="IE268" s="212"/>
      <c r="IF268" s="212"/>
      <c r="IG268" s="212"/>
      <c r="IH268" s="212"/>
      <c r="II268" s="212"/>
      <c r="IJ268" s="212"/>
      <c r="IK268" s="212"/>
      <c r="IL268" s="212"/>
      <c r="IM268" s="212"/>
      <c r="IN268" s="212"/>
      <c r="IO268" s="212"/>
      <c r="IP268" s="212"/>
      <c r="IQ268" s="212"/>
      <c r="IR268" s="212"/>
    </row>
    <row r="269" spans="13:252" ht="16.5" hidden="1" thickTop="1" thickBot="1">
      <c r="M269" s="212"/>
      <c r="N269" s="212"/>
      <c r="O269" s="212"/>
      <c r="P269" s="212"/>
      <c r="Q269" s="212"/>
      <c r="R269" s="212"/>
      <c r="S269" s="212"/>
      <c r="T269" s="212"/>
      <c r="U269" s="212"/>
      <c r="V269" s="212"/>
      <c r="W269" s="212"/>
      <c r="X269" s="212"/>
      <c r="Y269" s="212"/>
      <c r="Z269" s="212"/>
      <c r="AA269" s="212"/>
      <c r="AB269" s="212"/>
      <c r="AC269" s="212"/>
      <c r="AD269" s="212"/>
      <c r="AE269" s="212"/>
      <c r="AF269" s="212"/>
      <c r="AG269" s="212"/>
      <c r="AH269" s="212"/>
      <c r="AI269" s="212"/>
      <c r="AJ269" s="212"/>
      <c r="AK269" s="212"/>
      <c r="AL269" s="212"/>
      <c r="AM269" s="212"/>
      <c r="AN269" s="212"/>
      <c r="AO269" s="212"/>
      <c r="AP269" s="212"/>
      <c r="AQ269" s="212"/>
      <c r="AR269" s="212"/>
      <c r="AS269" s="212"/>
      <c r="AT269" s="212"/>
      <c r="AU269" s="212"/>
      <c r="AV269" s="212"/>
      <c r="AW269" s="212"/>
      <c r="AX269" s="212"/>
      <c r="AY269" s="212"/>
      <c r="AZ269" s="212"/>
      <c r="BA269" s="212"/>
      <c r="BB269" s="212"/>
      <c r="BC269" s="212"/>
      <c r="BD269" s="212"/>
      <c r="BE269" s="212"/>
      <c r="BF269" s="212"/>
      <c r="BG269" s="212"/>
      <c r="BH269" s="212"/>
      <c r="BI269" s="212"/>
      <c r="BJ269" s="212"/>
      <c r="BK269" s="212"/>
      <c r="BL269" s="212"/>
      <c r="BM269" s="212"/>
      <c r="BN269" s="212"/>
      <c r="BO269" s="212"/>
      <c r="BP269" s="212"/>
      <c r="BQ269" s="212"/>
      <c r="BR269" s="212"/>
      <c r="BS269" s="212"/>
      <c r="BT269" s="212"/>
      <c r="BU269" s="212"/>
      <c r="BV269" s="212"/>
      <c r="BW269" s="212"/>
      <c r="BX269" s="212"/>
      <c r="BY269" s="212"/>
      <c r="BZ269" s="212"/>
      <c r="CA269" s="212"/>
      <c r="CB269" s="212"/>
      <c r="CC269" s="212"/>
      <c r="CD269" s="212"/>
      <c r="CE269" s="212"/>
      <c r="CF269" s="212"/>
      <c r="CG269" s="212"/>
      <c r="CH269" s="212"/>
      <c r="CI269" s="212"/>
      <c r="CJ269" s="212"/>
      <c r="CK269" s="212"/>
      <c r="CL269" s="212"/>
      <c r="CM269" s="212"/>
      <c r="CN269" s="212"/>
      <c r="CO269" s="212"/>
      <c r="CP269" s="212"/>
      <c r="CQ269" s="212"/>
      <c r="CR269" s="212"/>
      <c r="CS269" s="212"/>
      <c r="CT269" s="212"/>
      <c r="CU269" s="212"/>
      <c r="CV269" s="212"/>
      <c r="CW269" s="212"/>
      <c r="CX269" s="212"/>
      <c r="CY269" s="212"/>
      <c r="CZ269" s="212"/>
      <c r="DA269" s="212"/>
      <c r="DB269" s="212"/>
      <c r="DC269" s="212"/>
      <c r="DD269" s="212"/>
      <c r="DE269" s="212"/>
      <c r="DF269" s="212"/>
      <c r="DG269" s="212"/>
      <c r="DH269" s="212"/>
      <c r="DI269" s="212"/>
      <c r="DJ269" s="212"/>
      <c r="DK269" s="212"/>
      <c r="DL269" s="212"/>
      <c r="DM269" s="212"/>
      <c r="DN269" s="212"/>
      <c r="DO269" s="212"/>
      <c r="DP269" s="212"/>
      <c r="DQ269" s="212"/>
      <c r="DR269" s="212"/>
      <c r="DS269" s="212"/>
      <c r="DT269" s="212"/>
      <c r="DU269" s="212"/>
      <c r="DV269" s="212"/>
      <c r="DW269" s="212"/>
      <c r="DX269" s="212"/>
      <c r="DY269" s="212"/>
      <c r="DZ269" s="212"/>
      <c r="EA269" s="212"/>
      <c r="EB269" s="212"/>
      <c r="EC269" s="212"/>
      <c r="ED269" s="212"/>
      <c r="EE269" s="212"/>
      <c r="EF269" s="212"/>
      <c r="EG269" s="212"/>
      <c r="EH269" s="212"/>
      <c r="EI269" s="212"/>
      <c r="EJ269" s="212"/>
      <c r="EK269" s="212"/>
      <c r="EL269" s="212"/>
      <c r="EM269" s="212"/>
      <c r="EN269" s="212"/>
      <c r="EO269" s="212"/>
      <c r="EP269" s="212"/>
      <c r="EQ269" s="212"/>
      <c r="ER269" s="212"/>
      <c r="ES269" s="212"/>
      <c r="ET269" s="212"/>
      <c r="EU269" s="212"/>
      <c r="EV269" s="212"/>
      <c r="EW269" s="212"/>
      <c r="EX269" s="212"/>
      <c r="EY269" s="212"/>
      <c r="EZ269" s="212"/>
      <c r="FA269" s="212"/>
      <c r="FB269" s="212"/>
      <c r="FC269" s="212"/>
      <c r="FD269" s="212"/>
      <c r="FE269" s="212"/>
      <c r="FF269" s="212"/>
      <c r="FG269" s="212"/>
      <c r="FH269" s="212"/>
      <c r="FI269" s="212"/>
      <c r="FJ269" s="212"/>
      <c r="FK269" s="212"/>
      <c r="FL269" s="212"/>
      <c r="FM269" s="212"/>
      <c r="FN269" s="212"/>
      <c r="FO269" s="212"/>
      <c r="FP269" s="212"/>
      <c r="FQ269" s="212"/>
      <c r="FR269" s="212"/>
      <c r="FS269" s="212"/>
      <c r="FT269" s="212"/>
      <c r="FU269" s="212"/>
      <c r="FV269" s="212"/>
      <c r="FW269" s="212"/>
      <c r="FX269" s="212"/>
      <c r="FY269" s="212"/>
      <c r="FZ269" s="212"/>
      <c r="GA269" s="212"/>
      <c r="GB269" s="212"/>
      <c r="GC269" s="212"/>
      <c r="GD269" s="212"/>
      <c r="GE269" s="212"/>
      <c r="GF269" s="212"/>
      <c r="GG269" s="212"/>
      <c r="GH269" s="212"/>
      <c r="GI269" s="212"/>
      <c r="GJ269" s="212"/>
      <c r="GK269" s="212"/>
      <c r="GL269" s="212"/>
      <c r="GM269" s="212"/>
      <c r="GN269" s="212"/>
      <c r="GO269" s="212"/>
      <c r="GP269" s="212"/>
      <c r="GQ269" s="212"/>
      <c r="GR269" s="212"/>
      <c r="GS269" s="212"/>
      <c r="GT269" s="212"/>
      <c r="GU269" s="212"/>
      <c r="GV269" s="212"/>
      <c r="GW269" s="212"/>
      <c r="GX269" s="212"/>
      <c r="GY269" s="212"/>
      <c r="GZ269" s="212"/>
      <c r="HA269" s="212"/>
      <c r="HB269" s="212"/>
      <c r="HC269" s="212"/>
      <c r="HD269" s="212"/>
      <c r="HE269" s="212"/>
      <c r="HF269" s="212"/>
      <c r="HG269" s="212"/>
      <c r="HH269" s="212"/>
      <c r="HI269" s="212"/>
      <c r="HJ269" s="212"/>
      <c r="HK269" s="212"/>
      <c r="HL269" s="212"/>
      <c r="HM269" s="212"/>
      <c r="HN269" s="212"/>
      <c r="HO269" s="212"/>
      <c r="HP269" s="212"/>
      <c r="HQ269" s="212"/>
      <c r="HR269" s="212"/>
      <c r="HS269" s="212"/>
      <c r="HT269" s="212"/>
      <c r="HU269" s="212"/>
      <c r="HV269" s="212"/>
      <c r="HW269" s="212"/>
      <c r="HX269" s="212"/>
      <c r="HY269" s="212"/>
      <c r="HZ269" s="212"/>
      <c r="IA269" s="212"/>
      <c r="IB269" s="212"/>
      <c r="IC269" s="212"/>
      <c r="ID269" s="212"/>
      <c r="IE269" s="212"/>
      <c r="IF269" s="212"/>
      <c r="IG269" s="212"/>
      <c r="IH269" s="212"/>
      <c r="II269" s="212"/>
      <c r="IJ269" s="212"/>
      <c r="IK269" s="212"/>
      <c r="IL269" s="212"/>
      <c r="IM269" s="212"/>
      <c r="IN269" s="212"/>
      <c r="IO269" s="212"/>
      <c r="IP269" s="212"/>
      <c r="IQ269" s="212"/>
      <c r="IR269" s="212"/>
    </row>
    <row r="270" spans="13:252" ht="16.5" hidden="1" thickTop="1" thickBot="1">
      <c r="M270" s="212"/>
      <c r="N270" s="212"/>
      <c r="O270" s="212"/>
      <c r="P270" s="212"/>
      <c r="Q270" s="212"/>
      <c r="R270" s="212"/>
      <c r="S270" s="212"/>
      <c r="T270" s="212"/>
      <c r="U270" s="212"/>
      <c r="V270" s="212"/>
      <c r="W270" s="212"/>
      <c r="X270" s="212"/>
      <c r="Y270" s="212"/>
      <c r="Z270" s="212"/>
      <c r="AA270" s="212"/>
      <c r="AB270" s="212"/>
      <c r="AC270" s="212"/>
      <c r="AD270" s="212"/>
      <c r="AE270" s="212"/>
      <c r="AF270" s="212"/>
      <c r="AG270" s="212"/>
      <c r="AH270" s="212"/>
      <c r="AI270" s="212"/>
      <c r="AJ270" s="212"/>
      <c r="AK270" s="212"/>
      <c r="AL270" s="212"/>
      <c r="AM270" s="212"/>
      <c r="AN270" s="212"/>
      <c r="AO270" s="212"/>
      <c r="AP270" s="212"/>
      <c r="AQ270" s="212"/>
      <c r="AR270" s="212"/>
      <c r="AS270" s="212"/>
      <c r="AT270" s="212"/>
      <c r="AU270" s="212"/>
      <c r="AV270" s="212"/>
      <c r="AW270" s="212"/>
      <c r="AX270" s="212"/>
      <c r="AY270" s="212"/>
      <c r="AZ270" s="212"/>
      <c r="BA270" s="212"/>
      <c r="BB270" s="212"/>
      <c r="BC270" s="212"/>
      <c r="BD270" s="212"/>
      <c r="BE270" s="212"/>
      <c r="BF270" s="212"/>
      <c r="BG270" s="212"/>
      <c r="BH270" s="212"/>
      <c r="BI270" s="212"/>
      <c r="BJ270" s="212"/>
      <c r="BK270" s="212"/>
      <c r="BL270" s="212"/>
      <c r="BM270" s="212"/>
      <c r="BN270" s="212"/>
      <c r="BO270" s="212"/>
      <c r="BP270" s="212"/>
      <c r="BQ270" s="212"/>
      <c r="BR270" s="212"/>
      <c r="BS270" s="212"/>
      <c r="BT270" s="212"/>
      <c r="BU270" s="212"/>
      <c r="BV270" s="212"/>
      <c r="BW270" s="212"/>
      <c r="BX270" s="212"/>
      <c r="BY270" s="212"/>
      <c r="BZ270" s="212"/>
      <c r="CA270" s="212"/>
      <c r="CB270" s="212"/>
      <c r="CC270" s="212"/>
      <c r="CD270" s="212"/>
      <c r="CE270" s="212"/>
      <c r="CF270" s="212"/>
      <c r="CG270" s="212"/>
      <c r="CH270" s="212"/>
      <c r="CI270" s="212"/>
      <c r="CJ270" s="212"/>
      <c r="CK270" s="212"/>
      <c r="CL270" s="212"/>
      <c r="CM270" s="212"/>
      <c r="CN270" s="212"/>
      <c r="CO270" s="212"/>
      <c r="CP270" s="212"/>
      <c r="CQ270" s="212"/>
      <c r="CR270" s="212"/>
      <c r="CS270" s="212"/>
      <c r="CT270" s="212"/>
      <c r="CU270" s="212"/>
      <c r="CV270" s="212"/>
      <c r="CW270" s="212"/>
      <c r="CX270" s="212"/>
      <c r="CY270" s="212"/>
      <c r="CZ270" s="212"/>
      <c r="DA270" s="212"/>
      <c r="DB270" s="212"/>
      <c r="DC270" s="212"/>
      <c r="DD270" s="212"/>
      <c r="DE270" s="212"/>
      <c r="DF270" s="212"/>
      <c r="DG270" s="212"/>
      <c r="DH270" s="212"/>
      <c r="DI270" s="212"/>
      <c r="DJ270" s="212"/>
      <c r="DK270" s="212"/>
      <c r="DL270" s="212"/>
      <c r="DM270" s="212"/>
      <c r="DN270" s="212"/>
      <c r="DO270" s="212"/>
      <c r="DP270" s="212"/>
      <c r="DQ270" s="212"/>
      <c r="DR270" s="212"/>
      <c r="DS270" s="212"/>
      <c r="DT270" s="212"/>
      <c r="DU270" s="212"/>
      <c r="DV270" s="212"/>
      <c r="DW270" s="212"/>
      <c r="DX270" s="212"/>
      <c r="DY270" s="212"/>
      <c r="DZ270" s="212"/>
      <c r="EA270" s="212"/>
      <c r="EB270" s="212"/>
      <c r="EC270" s="212"/>
      <c r="ED270" s="212"/>
      <c r="EE270" s="212"/>
      <c r="EF270" s="212"/>
      <c r="EG270" s="212"/>
      <c r="EH270" s="212"/>
      <c r="EI270" s="212"/>
      <c r="EJ270" s="212"/>
      <c r="EK270" s="212"/>
      <c r="EL270" s="212"/>
      <c r="EM270" s="212"/>
      <c r="EN270" s="212"/>
      <c r="EO270" s="212"/>
      <c r="EP270" s="212"/>
      <c r="EQ270" s="212"/>
      <c r="ER270" s="212"/>
      <c r="ES270" s="212"/>
      <c r="ET270" s="212"/>
      <c r="EU270" s="212"/>
      <c r="EV270" s="212"/>
      <c r="EW270" s="212"/>
      <c r="EX270" s="212"/>
      <c r="EY270" s="212"/>
      <c r="EZ270" s="212"/>
      <c r="FA270" s="212"/>
      <c r="FB270" s="212"/>
      <c r="FC270" s="212"/>
      <c r="FD270" s="212"/>
      <c r="FE270" s="212"/>
      <c r="FF270" s="212"/>
      <c r="FG270" s="212"/>
      <c r="FH270" s="212"/>
      <c r="FI270" s="212"/>
      <c r="FJ270" s="212"/>
      <c r="FK270" s="212"/>
      <c r="FL270" s="212"/>
      <c r="FM270" s="212"/>
      <c r="FN270" s="212"/>
      <c r="FO270" s="212"/>
      <c r="FP270" s="212"/>
      <c r="FQ270" s="212"/>
      <c r="FR270" s="212"/>
      <c r="FS270" s="212"/>
      <c r="FT270" s="212"/>
      <c r="FU270" s="212"/>
      <c r="FV270" s="212"/>
      <c r="FW270" s="212"/>
      <c r="FX270" s="212"/>
      <c r="FY270" s="212"/>
      <c r="FZ270" s="212"/>
      <c r="GA270" s="212"/>
      <c r="GB270" s="212"/>
      <c r="GC270" s="212"/>
      <c r="GD270" s="212"/>
      <c r="GE270" s="212"/>
      <c r="GF270" s="212"/>
      <c r="GG270" s="212"/>
      <c r="GH270" s="212"/>
      <c r="GI270" s="212"/>
      <c r="GJ270" s="212"/>
      <c r="GK270" s="212"/>
      <c r="GL270" s="212"/>
      <c r="GM270" s="212"/>
      <c r="GN270" s="212"/>
      <c r="GO270" s="212"/>
      <c r="GP270" s="212"/>
      <c r="GQ270" s="212"/>
      <c r="GR270" s="212"/>
      <c r="GS270" s="212"/>
      <c r="GT270" s="212"/>
      <c r="GU270" s="212"/>
      <c r="GV270" s="212"/>
      <c r="GW270" s="212"/>
      <c r="GX270" s="212"/>
      <c r="GY270" s="212"/>
      <c r="GZ270" s="212"/>
      <c r="HA270" s="212"/>
      <c r="HB270" s="212"/>
      <c r="HC270" s="212"/>
      <c r="HD270" s="212"/>
      <c r="HE270" s="212"/>
      <c r="HF270" s="212"/>
      <c r="HG270" s="212"/>
      <c r="HH270" s="212"/>
      <c r="HI270" s="212"/>
      <c r="HJ270" s="212"/>
      <c r="HK270" s="212"/>
      <c r="HL270" s="212"/>
      <c r="HM270" s="212"/>
      <c r="HN270" s="212"/>
      <c r="HO270" s="212"/>
      <c r="HP270" s="212"/>
      <c r="HQ270" s="212"/>
      <c r="HR270" s="212"/>
      <c r="HS270" s="212"/>
      <c r="HT270" s="212"/>
      <c r="HU270" s="212"/>
      <c r="HV270" s="212"/>
      <c r="HW270" s="212"/>
      <c r="HX270" s="212"/>
      <c r="HY270" s="212"/>
      <c r="HZ270" s="212"/>
      <c r="IA270" s="212"/>
      <c r="IB270" s="212"/>
      <c r="IC270" s="212"/>
      <c r="ID270" s="212"/>
      <c r="IE270" s="212"/>
      <c r="IF270" s="212"/>
      <c r="IG270" s="212"/>
      <c r="IH270" s="212"/>
      <c r="II270" s="212"/>
      <c r="IJ270" s="212"/>
      <c r="IK270" s="212"/>
      <c r="IL270" s="212"/>
      <c r="IM270" s="212"/>
      <c r="IN270" s="212"/>
      <c r="IO270" s="212"/>
      <c r="IP270" s="212"/>
      <c r="IQ270" s="212"/>
      <c r="IR270" s="212"/>
    </row>
    <row r="271" spans="13:252" ht="16.5" hidden="1" thickTop="1" thickBot="1">
      <c r="M271" s="212"/>
      <c r="N271" s="212"/>
      <c r="O271" s="212"/>
      <c r="P271" s="212"/>
      <c r="Q271" s="212"/>
      <c r="R271" s="212"/>
      <c r="S271" s="212"/>
      <c r="T271" s="212"/>
      <c r="U271" s="212"/>
      <c r="V271" s="212"/>
      <c r="W271" s="212"/>
      <c r="X271" s="212"/>
      <c r="Y271" s="212"/>
      <c r="Z271" s="212"/>
      <c r="AA271" s="212"/>
      <c r="AB271" s="212"/>
      <c r="AC271" s="212"/>
      <c r="AD271" s="212"/>
      <c r="AE271" s="212"/>
      <c r="AF271" s="212"/>
      <c r="AG271" s="212"/>
      <c r="AH271" s="212"/>
      <c r="AI271" s="212"/>
      <c r="AJ271" s="212"/>
      <c r="AK271" s="212"/>
      <c r="AL271" s="212"/>
      <c r="AM271" s="212"/>
      <c r="AN271" s="212"/>
      <c r="AO271" s="212"/>
      <c r="AP271" s="212"/>
      <c r="AQ271" s="212"/>
      <c r="AR271" s="212"/>
      <c r="AS271" s="212"/>
      <c r="AT271" s="212"/>
      <c r="AU271" s="212"/>
      <c r="AV271" s="212"/>
      <c r="AW271" s="212"/>
      <c r="AX271" s="212"/>
      <c r="AY271" s="212"/>
      <c r="AZ271" s="212"/>
      <c r="BA271" s="212"/>
      <c r="BB271" s="212"/>
      <c r="BC271" s="212"/>
      <c r="BD271" s="212"/>
      <c r="BE271" s="212"/>
      <c r="BF271" s="212"/>
      <c r="BG271" s="212"/>
      <c r="BH271" s="212"/>
      <c r="BI271" s="212"/>
      <c r="BJ271" s="212"/>
      <c r="BK271" s="212"/>
      <c r="BL271" s="212"/>
      <c r="BM271" s="212"/>
      <c r="BN271" s="212"/>
      <c r="BO271" s="212"/>
      <c r="BP271" s="212"/>
      <c r="BQ271" s="212"/>
      <c r="BR271" s="212"/>
      <c r="BS271" s="212"/>
      <c r="BT271" s="212"/>
      <c r="BU271" s="212"/>
      <c r="BV271" s="212"/>
      <c r="BW271" s="212"/>
      <c r="BX271" s="212"/>
      <c r="BY271" s="212"/>
      <c r="BZ271" s="212"/>
      <c r="CA271" s="212"/>
      <c r="CB271" s="212"/>
      <c r="CC271" s="212"/>
      <c r="CD271" s="212"/>
      <c r="CE271" s="212"/>
      <c r="CF271" s="212"/>
      <c r="CG271" s="212"/>
      <c r="CH271" s="212"/>
      <c r="CI271" s="212"/>
      <c r="CJ271" s="212"/>
      <c r="CK271" s="212"/>
      <c r="CL271" s="212"/>
      <c r="CM271" s="212"/>
      <c r="CN271" s="212"/>
      <c r="CO271" s="212"/>
      <c r="CP271" s="212"/>
      <c r="CQ271" s="212"/>
      <c r="CR271" s="212"/>
      <c r="CS271" s="212"/>
      <c r="CT271" s="212"/>
      <c r="CU271" s="212"/>
      <c r="CV271" s="212"/>
      <c r="CW271" s="212"/>
      <c r="CX271" s="212"/>
      <c r="CY271" s="212"/>
      <c r="CZ271" s="212"/>
      <c r="DA271" s="212"/>
      <c r="DB271" s="212"/>
      <c r="DC271" s="212"/>
      <c r="DD271" s="212"/>
      <c r="DE271" s="212"/>
      <c r="DF271" s="212"/>
      <c r="DG271" s="212"/>
      <c r="DH271" s="212"/>
      <c r="DI271" s="212"/>
      <c r="DJ271" s="212"/>
      <c r="DK271" s="212"/>
      <c r="DL271" s="212"/>
      <c r="DM271" s="212"/>
      <c r="DN271" s="212"/>
      <c r="DO271" s="212"/>
      <c r="DP271" s="212"/>
      <c r="DQ271" s="212"/>
      <c r="DR271" s="212"/>
      <c r="DS271" s="212"/>
      <c r="DT271" s="212"/>
      <c r="DU271" s="212"/>
      <c r="DV271" s="212"/>
      <c r="DW271" s="212"/>
      <c r="DX271" s="212"/>
      <c r="DY271" s="212"/>
      <c r="DZ271" s="212"/>
      <c r="EA271" s="212"/>
      <c r="EB271" s="212"/>
      <c r="EC271" s="212"/>
      <c r="ED271" s="212"/>
      <c r="EE271" s="212"/>
      <c r="EF271" s="212"/>
      <c r="EG271" s="212"/>
      <c r="EH271" s="212"/>
      <c r="EI271" s="212"/>
      <c r="EJ271" s="212"/>
      <c r="EK271" s="212"/>
      <c r="EL271" s="212"/>
      <c r="EM271" s="212"/>
      <c r="EN271" s="212"/>
      <c r="EO271" s="212"/>
      <c r="EP271" s="212"/>
      <c r="EQ271" s="212"/>
      <c r="ER271" s="212"/>
      <c r="ES271" s="212"/>
      <c r="ET271" s="212"/>
      <c r="EU271" s="212"/>
      <c r="EV271" s="212"/>
      <c r="EW271" s="212"/>
      <c r="EX271" s="212"/>
      <c r="EY271" s="212"/>
      <c r="EZ271" s="212"/>
      <c r="FA271" s="212"/>
      <c r="FB271" s="212"/>
      <c r="FC271" s="212"/>
      <c r="FD271" s="212"/>
      <c r="FE271" s="212"/>
      <c r="FF271" s="212"/>
      <c r="FG271" s="212"/>
      <c r="FH271" s="212"/>
      <c r="FI271" s="212"/>
      <c r="FJ271" s="212"/>
      <c r="FK271" s="212"/>
      <c r="FL271" s="212"/>
      <c r="FM271" s="212"/>
      <c r="FN271" s="212"/>
      <c r="FO271" s="212"/>
      <c r="FP271" s="212"/>
      <c r="FQ271" s="212"/>
      <c r="FR271" s="212"/>
      <c r="FS271" s="212"/>
      <c r="FT271" s="212"/>
      <c r="FU271" s="212"/>
      <c r="FV271" s="212"/>
      <c r="FW271" s="212"/>
      <c r="FX271" s="212"/>
      <c r="FY271" s="212"/>
      <c r="FZ271" s="212"/>
      <c r="GA271" s="212"/>
      <c r="GB271" s="212"/>
      <c r="GC271" s="212"/>
      <c r="GD271" s="212"/>
      <c r="GE271" s="212"/>
      <c r="GF271" s="212"/>
      <c r="GG271" s="212"/>
      <c r="GH271" s="212"/>
      <c r="GI271" s="212"/>
      <c r="GJ271" s="212"/>
      <c r="GK271" s="212"/>
      <c r="GL271" s="212"/>
      <c r="GM271" s="212"/>
      <c r="GN271" s="212"/>
      <c r="GO271" s="212"/>
      <c r="GP271" s="212"/>
      <c r="GQ271" s="212"/>
      <c r="GR271" s="212"/>
      <c r="GS271" s="212"/>
      <c r="GT271" s="212"/>
      <c r="GU271" s="212"/>
      <c r="GV271" s="212"/>
      <c r="GW271" s="212"/>
      <c r="GX271" s="212"/>
      <c r="GY271" s="212"/>
      <c r="GZ271" s="212"/>
      <c r="HA271" s="212"/>
      <c r="HB271" s="212"/>
      <c r="HC271" s="212"/>
      <c r="HD271" s="212"/>
      <c r="HE271" s="212"/>
      <c r="HF271" s="212"/>
      <c r="HG271" s="212"/>
      <c r="HH271" s="212"/>
      <c r="HI271" s="212"/>
      <c r="HJ271" s="212"/>
      <c r="HK271" s="212"/>
      <c r="HL271" s="212"/>
      <c r="HM271" s="212"/>
      <c r="HN271" s="212"/>
      <c r="HO271" s="212"/>
      <c r="HP271" s="212"/>
      <c r="HQ271" s="212"/>
      <c r="HR271" s="212"/>
      <c r="HS271" s="212"/>
      <c r="HT271" s="212"/>
      <c r="HU271" s="212"/>
      <c r="HV271" s="212"/>
      <c r="HW271" s="212"/>
      <c r="HX271" s="212"/>
      <c r="HY271" s="212"/>
      <c r="HZ271" s="212"/>
      <c r="IA271" s="212"/>
      <c r="IB271" s="212"/>
      <c r="IC271" s="212"/>
      <c r="ID271" s="212"/>
      <c r="IE271" s="212"/>
      <c r="IF271" s="212"/>
      <c r="IG271" s="212"/>
      <c r="IH271" s="212"/>
      <c r="II271" s="212"/>
      <c r="IJ271" s="212"/>
      <c r="IK271" s="212"/>
      <c r="IL271" s="212"/>
      <c r="IM271" s="212"/>
      <c r="IN271" s="212"/>
      <c r="IO271" s="212"/>
      <c r="IP271" s="212"/>
      <c r="IQ271" s="212"/>
      <c r="IR271" s="212"/>
    </row>
    <row r="272" spans="13:252" ht="16.5" hidden="1" thickTop="1" thickBot="1">
      <c r="M272" s="212"/>
      <c r="N272" s="212"/>
      <c r="O272" s="212"/>
      <c r="P272" s="212"/>
      <c r="Q272" s="212"/>
      <c r="R272" s="212"/>
      <c r="S272" s="212"/>
      <c r="T272" s="212"/>
      <c r="U272" s="212"/>
      <c r="V272" s="212"/>
      <c r="W272" s="212"/>
      <c r="X272" s="212"/>
      <c r="Y272" s="212"/>
      <c r="Z272" s="212"/>
      <c r="AA272" s="212"/>
      <c r="AB272" s="212"/>
      <c r="AC272" s="212"/>
      <c r="AD272" s="212"/>
      <c r="AE272" s="212"/>
      <c r="AF272" s="212"/>
      <c r="AG272" s="212"/>
      <c r="AH272" s="212"/>
      <c r="AI272" s="212"/>
      <c r="AJ272" s="212"/>
      <c r="AK272" s="212"/>
      <c r="AL272" s="212"/>
      <c r="AM272" s="212"/>
      <c r="AN272" s="212"/>
      <c r="AO272" s="212"/>
      <c r="AP272" s="212"/>
      <c r="AQ272" s="212"/>
      <c r="AR272" s="212"/>
      <c r="AS272" s="212"/>
      <c r="AT272" s="212"/>
      <c r="AU272" s="212"/>
      <c r="AV272" s="212"/>
      <c r="AW272" s="212"/>
      <c r="AX272" s="212"/>
      <c r="AY272" s="212"/>
      <c r="AZ272" s="212"/>
      <c r="BA272" s="212"/>
      <c r="BB272" s="212"/>
      <c r="BC272" s="212"/>
      <c r="BD272" s="212"/>
      <c r="BE272" s="212"/>
      <c r="BF272" s="212"/>
      <c r="BG272" s="212"/>
      <c r="BH272" s="212"/>
      <c r="BI272" s="212"/>
      <c r="BJ272" s="212"/>
      <c r="BK272" s="212"/>
      <c r="BL272" s="212"/>
      <c r="BM272" s="212"/>
      <c r="BN272" s="212"/>
      <c r="BO272" s="212"/>
      <c r="BP272" s="212"/>
      <c r="BQ272" s="212"/>
      <c r="BR272" s="212"/>
      <c r="BS272" s="212"/>
      <c r="BT272" s="212"/>
      <c r="BU272" s="212"/>
      <c r="BV272" s="212"/>
      <c r="BW272" s="212"/>
      <c r="BX272" s="212"/>
      <c r="BY272" s="212"/>
      <c r="BZ272" s="212"/>
      <c r="CA272" s="212"/>
      <c r="CB272" s="212"/>
      <c r="CC272" s="212"/>
      <c r="CD272" s="212"/>
      <c r="CE272" s="212"/>
      <c r="CF272" s="212"/>
      <c r="CG272" s="212"/>
      <c r="CH272" s="212"/>
      <c r="CI272" s="212"/>
      <c r="CJ272" s="212"/>
      <c r="CK272" s="212"/>
      <c r="CL272" s="212"/>
      <c r="CM272" s="212"/>
      <c r="CN272" s="212"/>
      <c r="CO272" s="212"/>
      <c r="CP272" s="212"/>
      <c r="CQ272" s="212"/>
      <c r="CR272" s="212"/>
      <c r="CS272" s="212"/>
      <c r="CT272" s="212"/>
      <c r="CU272" s="212"/>
      <c r="CV272" s="212"/>
      <c r="CW272" s="212"/>
      <c r="CX272" s="212"/>
      <c r="CY272" s="212"/>
      <c r="CZ272" s="212"/>
      <c r="DA272" s="212"/>
      <c r="DB272" s="212"/>
      <c r="DC272" s="212"/>
      <c r="DD272" s="212"/>
      <c r="DE272" s="212"/>
      <c r="DF272" s="212"/>
      <c r="DG272" s="212"/>
      <c r="DH272" s="212"/>
      <c r="DI272" s="212"/>
      <c r="DJ272" s="212"/>
      <c r="DK272" s="212"/>
      <c r="DL272" s="212"/>
      <c r="DM272" s="212"/>
      <c r="DN272" s="212"/>
      <c r="DO272" s="212"/>
      <c r="DP272" s="212"/>
      <c r="DQ272" s="212"/>
      <c r="DR272" s="212"/>
      <c r="DS272" s="212"/>
      <c r="DT272" s="212"/>
      <c r="DU272" s="212"/>
      <c r="DV272" s="212"/>
      <c r="DW272" s="212"/>
      <c r="DX272" s="212"/>
      <c r="DY272" s="212"/>
      <c r="DZ272" s="212"/>
      <c r="EA272" s="212"/>
      <c r="EB272" s="212"/>
      <c r="EC272" s="212"/>
      <c r="ED272" s="212"/>
      <c r="EE272" s="212"/>
      <c r="EF272" s="212"/>
      <c r="EG272" s="212"/>
      <c r="EH272" s="212"/>
      <c r="EI272" s="212"/>
      <c r="EJ272" s="212"/>
      <c r="EK272" s="212"/>
      <c r="EL272" s="212"/>
      <c r="EM272" s="212"/>
      <c r="EN272" s="212"/>
      <c r="EO272" s="212"/>
      <c r="EP272" s="212"/>
      <c r="EQ272" s="212"/>
      <c r="ER272" s="212"/>
      <c r="ES272" s="212"/>
      <c r="ET272" s="212"/>
      <c r="EU272" s="212"/>
      <c r="EV272" s="212"/>
      <c r="EW272" s="212"/>
      <c r="EX272" s="212"/>
      <c r="EY272" s="212"/>
      <c r="EZ272" s="212"/>
      <c r="FA272" s="212"/>
      <c r="FB272" s="212"/>
      <c r="FC272" s="212"/>
      <c r="FD272" s="212"/>
      <c r="FE272" s="212"/>
      <c r="FF272" s="212"/>
      <c r="FG272" s="212"/>
      <c r="FH272" s="212"/>
      <c r="FI272" s="212"/>
      <c r="FJ272" s="212"/>
      <c r="FK272" s="212"/>
      <c r="FL272" s="212"/>
      <c r="FM272" s="212"/>
      <c r="FN272" s="212"/>
      <c r="FO272" s="212"/>
      <c r="FP272" s="212"/>
      <c r="FQ272" s="212"/>
      <c r="FR272" s="212"/>
      <c r="FS272" s="212"/>
      <c r="FT272" s="212"/>
      <c r="FU272" s="212"/>
      <c r="FV272" s="212"/>
      <c r="FW272" s="212"/>
      <c r="FX272" s="212"/>
      <c r="FY272" s="212"/>
      <c r="FZ272" s="212"/>
      <c r="GA272" s="212"/>
      <c r="GB272" s="212"/>
      <c r="GC272" s="212"/>
      <c r="GD272" s="212"/>
      <c r="GE272" s="212"/>
      <c r="GF272" s="212"/>
      <c r="GG272" s="212"/>
      <c r="GH272" s="212"/>
      <c r="GI272" s="212"/>
      <c r="GJ272" s="212"/>
      <c r="GK272" s="212"/>
      <c r="GL272" s="212"/>
      <c r="GM272" s="212"/>
      <c r="GN272" s="212"/>
      <c r="GO272" s="212"/>
      <c r="GP272" s="212"/>
      <c r="GQ272" s="212"/>
      <c r="GR272" s="212"/>
      <c r="GS272" s="212"/>
      <c r="GT272" s="212"/>
      <c r="GU272" s="212"/>
      <c r="GV272" s="212"/>
      <c r="GW272" s="212"/>
      <c r="GX272" s="212"/>
      <c r="GY272" s="212"/>
      <c r="GZ272" s="212"/>
      <c r="HA272" s="212"/>
      <c r="HB272" s="212"/>
      <c r="HC272" s="212"/>
      <c r="HD272" s="212"/>
      <c r="HE272" s="212"/>
      <c r="HF272" s="212"/>
      <c r="HG272" s="212"/>
      <c r="HH272" s="212"/>
      <c r="HI272" s="212"/>
      <c r="HJ272" s="212"/>
      <c r="HK272" s="212"/>
      <c r="HL272" s="212"/>
      <c r="HM272" s="212"/>
      <c r="HN272" s="212"/>
      <c r="HO272" s="212"/>
      <c r="HP272" s="212"/>
      <c r="HQ272" s="212"/>
      <c r="HR272" s="212"/>
      <c r="HS272" s="212"/>
      <c r="HT272" s="212"/>
      <c r="HU272" s="212"/>
      <c r="HV272" s="212"/>
      <c r="HW272" s="212"/>
      <c r="HX272" s="212"/>
      <c r="HY272" s="212"/>
      <c r="HZ272" s="212"/>
      <c r="IA272" s="212"/>
      <c r="IB272" s="212"/>
      <c r="IC272" s="212"/>
      <c r="ID272" s="212"/>
      <c r="IE272" s="212"/>
      <c r="IF272" s="212"/>
      <c r="IG272" s="212"/>
      <c r="IH272" s="212"/>
      <c r="II272" s="212"/>
      <c r="IJ272" s="212"/>
      <c r="IK272" s="212"/>
      <c r="IL272" s="212"/>
      <c r="IM272" s="212"/>
      <c r="IN272" s="212"/>
      <c r="IO272" s="212"/>
      <c r="IP272" s="212"/>
      <c r="IQ272" s="212"/>
      <c r="IR272" s="212"/>
    </row>
    <row r="273" spans="13:252" ht="16.5" hidden="1" thickTop="1" thickBot="1">
      <c r="M273" s="212"/>
      <c r="N273" s="212"/>
      <c r="O273" s="212"/>
      <c r="P273" s="212"/>
      <c r="Q273" s="212"/>
      <c r="R273" s="212"/>
      <c r="S273" s="212"/>
      <c r="T273" s="212"/>
      <c r="U273" s="212"/>
      <c r="V273" s="212"/>
      <c r="W273" s="212"/>
      <c r="X273" s="212"/>
      <c r="Y273" s="212"/>
      <c r="Z273" s="212"/>
      <c r="AA273" s="212"/>
      <c r="AB273" s="212"/>
      <c r="AC273" s="212"/>
      <c r="AD273" s="212"/>
      <c r="AE273" s="212"/>
      <c r="AF273" s="212"/>
      <c r="AG273" s="212"/>
      <c r="AH273" s="212"/>
      <c r="AI273" s="212"/>
      <c r="AJ273" s="212"/>
      <c r="AK273" s="212"/>
      <c r="AL273" s="212"/>
      <c r="AM273" s="212"/>
      <c r="AN273" s="212"/>
      <c r="AO273" s="212"/>
      <c r="AP273" s="212"/>
      <c r="AQ273" s="212"/>
      <c r="AR273" s="212"/>
      <c r="AS273" s="212"/>
      <c r="AT273" s="212"/>
      <c r="AU273" s="212"/>
      <c r="AV273" s="212"/>
      <c r="AW273" s="212"/>
      <c r="AX273" s="212"/>
      <c r="AY273" s="212"/>
      <c r="AZ273" s="212"/>
      <c r="BA273" s="212"/>
      <c r="BB273" s="212"/>
      <c r="BC273" s="212"/>
      <c r="BD273" s="212"/>
      <c r="BE273" s="212"/>
      <c r="BF273" s="212"/>
      <c r="BG273" s="212"/>
      <c r="BH273" s="212"/>
      <c r="BI273" s="212"/>
      <c r="BJ273" s="212"/>
      <c r="BK273" s="212"/>
      <c r="BL273" s="212"/>
      <c r="BM273" s="212"/>
      <c r="BN273" s="212"/>
      <c r="BO273" s="212"/>
      <c r="BP273" s="212"/>
      <c r="BQ273" s="212"/>
      <c r="BR273" s="212"/>
      <c r="BS273" s="212"/>
      <c r="BT273" s="212"/>
      <c r="BU273" s="212"/>
      <c r="BV273" s="212"/>
      <c r="BW273" s="212"/>
      <c r="BX273" s="212"/>
      <c r="BY273" s="212"/>
      <c r="BZ273" s="212"/>
      <c r="CA273" s="212"/>
      <c r="CB273" s="212"/>
      <c r="CC273" s="212"/>
      <c r="CD273" s="212"/>
      <c r="CE273" s="212"/>
      <c r="CF273" s="212"/>
      <c r="CG273" s="212"/>
      <c r="CH273" s="212"/>
      <c r="CI273" s="212"/>
      <c r="CJ273" s="212"/>
      <c r="CK273" s="212"/>
      <c r="CL273" s="212"/>
      <c r="CM273" s="212"/>
      <c r="CN273" s="212"/>
      <c r="CO273" s="212"/>
      <c r="CP273" s="212"/>
      <c r="CQ273" s="212"/>
      <c r="CR273" s="212"/>
      <c r="CS273" s="212"/>
      <c r="CT273" s="212"/>
      <c r="CU273" s="212"/>
      <c r="CV273" s="212"/>
      <c r="CW273" s="212"/>
      <c r="CX273" s="212"/>
      <c r="CY273" s="212"/>
      <c r="CZ273" s="212"/>
      <c r="DA273" s="212"/>
      <c r="DB273" s="212"/>
      <c r="DC273" s="212"/>
      <c r="DD273" s="212"/>
      <c r="DE273" s="212"/>
      <c r="DF273" s="212"/>
      <c r="DG273" s="212"/>
      <c r="DH273" s="212"/>
      <c r="DI273" s="212"/>
      <c r="DJ273" s="212"/>
      <c r="DK273" s="212"/>
      <c r="DL273" s="212"/>
      <c r="DM273" s="212"/>
      <c r="DN273" s="212"/>
      <c r="DO273" s="212"/>
      <c r="DP273" s="212"/>
      <c r="DQ273" s="212"/>
      <c r="DR273" s="212"/>
      <c r="DS273" s="212"/>
      <c r="DT273" s="212"/>
      <c r="DU273" s="212"/>
      <c r="DV273" s="212"/>
      <c r="DW273" s="212"/>
      <c r="DX273" s="212"/>
      <c r="DY273" s="212"/>
      <c r="DZ273" s="212"/>
      <c r="EA273" s="212"/>
      <c r="EB273" s="212"/>
      <c r="EC273" s="212"/>
      <c r="ED273" s="212"/>
      <c r="EE273" s="212"/>
      <c r="EF273" s="212"/>
      <c r="EG273" s="212"/>
      <c r="EH273" s="212"/>
      <c r="EI273" s="212"/>
      <c r="EJ273" s="212"/>
      <c r="EK273" s="212"/>
      <c r="EL273" s="212"/>
      <c r="EM273" s="212"/>
      <c r="EN273" s="212"/>
      <c r="EO273" s="212"/>
      <c r="EP273" s="212"/>
      <c r="EQ273" s="212"/>
      <c r="ER273" s="212"/>
      <c r="ES273" s="212"/>
      <c r="ET273" s="212"/>
      <c r="EU273" s="212"/>
      <c r="EV273" s="212"/>
      <c r="EW273" s="212"/>
      <c r="EX273" s="212"/>
      <c r="EY273" s="212"/>
      <c r="EZ273" s="212"/>
      <c r="FA273" s="212"/>
      <c r="FB273" s="212"/>
      <c r="FC273" s="212"/>
      <c r="FD273" s="212"/>
      <c r="FE273" s="212"/>
      <c r="FF273" s="212"/>
      <c r="FG273" s="212"/>
      <c r="FH273" s="212"/>
      <c r="FI273" s="212"/>
      <c r="FJ273" s="212"/>
      <c r="FK273" s="212"/>
      <c r="FL273" s="212"/>
      <c r="FM273" s="212"/>
      <c r="FN273" s="212"/>
      <c r="FO273" s="212"/>
      <c r="FP273" s="212"/>
      <c r="FQ273" s="212"/>
      <c r="FR273" s="212"/>
      <c r="FS273" s="212"/>
      <c r="FT273" s="212"/>
      <c r="FU273" s="212"/>
      <c r="FV273" s="212"/>
      <c r="FW273" s="212"/>
      <c r="FX273" s="212"/>
      <c r="FY273" s="212"/>
      <c r="FZ273" s="212"/>
      <c r="GA273" s="212"/>
      <c r="GB273" s="212"/>
      <c r="GC273" s="212"/>
      <c r="GD273" s="212"/>
      <c r="GE273" s="212"/>
      <c r="GF273" s="212"/>
      <c r="GG273" s="212"/>
      <c r="GH273" s="212"/>
      <c r="GI273" s="212"/>
      <c r="GJ273" s="212"/>
      <c r="GK273" s="212"/>
      <c r="GL273" s="212"/>
      <c r="GM273" s="212"/>
      <c r="GN273" s="212"/>
      <c r="GO273" s="212"/>
      <c r="GP273" s="212"/>
      <c r="GQ273" s="212"/>
      <c r="GR273" s="212"/>
      <c r="GS273" s="212"/>
      <c r="GT273" s="212"/>
      <c r="GU273" s="212"/>
      <c r="GV273" s="212"/>
      <c r="GW273" s="212"/>
      <c r="GX273" s="212"/>
      <c r="GY273" s="212"/>
      <c r="GZ273" s="212"/>
      <c r="HA273" s="212"/>
      <c r="HB273" s="212"/>
      <c r="HC273" s="212"/>
      <c r="HD273" s="212"/>
      <c r="HE273" s="212"/>
      <c r="HF273" s="212"/>
      <c r="HG273" s="212"/>
      <c r="HH273" s="212"/>
      <c r="HI273" s="212"/>
      <c r="HJ273" s="212"/>
      <c r="HK273" s="212"/>
      <c r="HL273" s="212"/>
      <c r="HM273" s="212"/>
      <c r="HN273" s="212"/>
      <c r="HO273" s="212"/>
      <c r="HP273" s="212"/>
      <c r="HQ273" s="212"/>
      <c r="HR273" s="212"/>
      <c r="HS273" s="212"/>
      <c r="HT273" s="212"/>
      <c r="HU273" s="212"/>
      <c r="HV273" s="212"/>
      <c r="HW273" s="212"/>
      <c r="HX273" s="212"/>
      <c r="HY273" s="212"/>
      <c r="HZ273" s="212"/>
      <c r="IA273" s="212"/>
      <c r="IB273" s="212"/>
      <c r="IC273" s="212"/>
      <c r="ID273" s="212"/>
      <c r="IE273" s="212"/>
      <c r="IF273" s="212"/>
      <c r="IG273" s="212"/>
      <c r="IH273" s="212"/>
      <c r="II273" s="212"/>
      <c r="IJ273" s="212"/>
      <c r="IK273" s="212"/>
      <c r="IL273" s="212"/>
      <c r="IM273" s="212"/>
      <c r="IN273" s="212"/>
      <c r="IO273" s="212"/>
      <c r="IP273" s="212"/>
      <c r="IQ273" s="212"/>
      <c r="IR273" s="212"/>
    </row>
    <row r="274" spans="13:252" ht="16.5" hidden="1" thickTop="1" thickBot="1">
      <c r="M274" s="212"/>
      <c r="N274" s="212"/>
      <c r="O274" s="212"/>
      <c r="P274" s="212"/>
      <c r="Q274" s="212"/>
      <c r="R274" s="212"/>
      <c r="S274" s="212"/>
      <c r="T274" s="212"/>
      <c r="U274" s="212"/>
      <c r="V274" s="212"/>
      <c r="W274" s="212"/>
      <c r="X274" s="212"/>
      <c r="Y274" s="212"/>
      <c r="Z274" s="212"/>
      <c r="AA274" s="212"/>
      <c r="AB274" s="212"/>
      <c r="AC274" s="212"/>
      <c r="AD274" s="212"/>
      <c r="AE274" s="212"/>
      <c r="AF274" s="212"/>
      <c r="AG274" s="212"/>
      <c r="AH274" s="212"/>
      <c r="AI274" s="212"/>
      <c r="AJ274" s="212"/>
      <c r="AK274" s="212"/>
      <c r="AL274" s="212"/>
      <c r="AM274" s="212"/>
      <c r="AN274" s="212"/>
      <c r="AO274" s="212"/>
      <c r="AP274" s="212"/>
      <c r="AQ274" s="212"/>
      <c r="AR274" s="212"/>
      <c r="AS274" s="212"/>
      <c r="AT274" s="212"/>
      <c r="AU274" s="212"/>
      <c r="AV274" s="212"/>
      <c r="AW274" s="212"/>
      <c r="AX274" s="212"/>
      <c r="AY274" s="212"/>
      <c r="AZ274" s="212"/>
      <c r="BA274" s="212"/>
      <c r="BB274" s="212"/>
      <c r="BC274" s="212"/>
      <c r="BD274" s="212"/>
      <c r="BE274" s="212"/>
      <c r="BF274" s="212"/>
      <c r="BG274" s="212"/>
      <c r="BH274" s="212"/>
      <c r="BI274" s="212"/>
      <c r="BJ274" s="212"/>
      <c r="BK274" s="212"/>
      <c r="BL274" s="212"/>
      <c r="BM274" s="212"/>
      <c r="BN274" s="212"/>
      <c r="BO274" s="212"/>
      <c r="BP274" s="212"/>
      <c r="BQ274" s="212"/>
      <c r="BR274" s="212"/>
      <c r="BS274" s="212"/>
      <c r="BT274" s="212"/>
      <c r="BU274" s="212"/>
      <c r="BV274" s="212"/>
      <c r="BW274" s="212"/>
      <c r="BX274" s="212"/>
      <c r="BY274" s="212"/>
      <c r="BZ274" s="212"/>
      <c r="CA274" s="212"/>
      <c r="CB274" s="212"/>
      <c r="CC274" s="212"/>
      <c r="CD274" s="212"/>
      <c r="CE274" s="212"/>
      <c r="CF274" s="212"/>
      <c r="CG274" s="212"/>
      <c r="CH274" s="212"/>
      <c r="CI274" s="212"/>
      <c r="CJ274" s="212"/>
      <c r="CK274" s="212"/>
      <c r="CL274" s="212"/>
      <c r="CM274" s="212"/>
      <c r="CN274" s="212"/>
      <c r="CO274" s="212"/>
      <c r="CP274" s="212"/>
      <c r="CQ274" s="212"/>
      <c r="CR274" s="212"/>
      <c r="CS274" s="212"/>
      <c r="CT274" s="212"/>
      <c r="CU274" s="212"/>
      <c r="CV274" s="212"/>
      <c r="CW274" s="212"/>
      <c r="CX274" s="212"/>
      <c r="CY274" s="212"/>
      <c r="CZ274" s="212"/>
      <c r="DA274" s="212"/>
      <c r="DB274" s="212"/>
      <c r="DC274" s="212"/>
      <c r="DD274" s="212"/>
      <c r="DE274" s="212"/>
      <c r="DF274" s="212"/>
      <c r="DG274" s="212"/>
      <c r="DH274" s="212"/>
      <c r="DI274" s="212"/>
      <c r="DJ274" s="212"/>
      <c r="DK274" s="212"/>
      <c r="DL274" s="212"/>
      <c r="DM274" s="212"/>
      <c r="DN274" s="212"/>
      <c r="DO274" s="212"/>
      <c r="DP274" s="212"/>
      <c r="DQ274" s="212"/>
      <c r="DR274" s="212"/>
      <c r="DS274" s="212"/>
      <c r="DT274" s="212"/>
      <c r="DU274" s="212"/>
      <c r="DV274" s="212"/>
      <c r="DW274" s="212"/>
      <c r="DX274" s="212"/>
      <c r="DY274" s="212"/>
      <c r="DZ274" s="212"/>
      <c r="EA274" s="212"/>
      <c r="EB274" s="212"/>
      <c r="EC274" s="212"/>
      <c r="ED274" s="212"/>
      <c r="EE274" s="212"/>
      <c r="EF274" s="212"/>
      <c r="EG274" s="212"/>
      <c r="EH274" s="212"/>
      <c r="EI274" s="212"/>
      <c r="EJ274" s="212"/>
      <c r="EK274" s="212"/>
      <c r="EL274" s="212"/>
      <c r="EM274" s="212"/>
      <c r="EN274" s="212"/>
      <c r="EO274" s="212"/>
      <c r="EP274" s="212"/>
      <c r="EQ274" s="212"/>
      <c r="ER274" s="212"/>
      <c r="ES274" s="212"/>
      <c r="ET274" s="212"/>
      <c r="EU274" s="212"/>
      <c r="EV274" s="212"/>
      <c r="EW274" s="212"/>
      <c r="EX274" s="212"/>
      <c r="EY274" s="212"/>
      <c r="EZ274" s="212"/>
      <c r="FA274" s="212"/>
      <c r="FB274" s="212"/>
      <c r="FC274" s="212"/>
      <c r="FD274" s="212"/>
      <c r="FE274" s="212"/>
      <c r="FF274" s="212"/>
      <c r="FG274" s="212"/>
      <c r="FH274" s="212"/>
      <c r="FI274" s="212"/>
      <c r="FJ274" s="212"/>
      <c r="FK274" s="212"/>
      <c r="FL274" s="212"/>
      <c r="FM274" s="212"/>
      <c r="FN274" s="212"/>
      <c r="FO274" s="212"/>
      <c r="FP274" s="212"/>
      <c r="FQ274" s="212"/>
      <c r="FR274" s="212"/>
      <c r="FS274" s="212"/>
      <c r="FT274" s="212"/>
      <c r="FU274" s="212"/>
      <c r="FV274" s="212"/>
      <c r="FW274" s="212"/>
      <c r="FX274" s="212"/>
      <c r="FY274" s="212"/>
      <c r="FZ274" s="212"/>
      <c r="GA274" s="212"/>
      <c r="GB274" s="212"/>
      <c r="GC274" s="212"/>
      <c r="GD274" s="212"/>
      <c r="GE274" s="212"/>
      <c r="GF274" s="212"/>
      <c r="GG274" s="212"/>
      <c r="GH274" s="212"/>
      <c r="GI274" s="212"/>
      <c r="GJ274" s="212"/>
      <c r="GK274" s="212"/>
      <c r="GL274" s="212"/>
      <c r="GM274" s="212"/>
      <c r="GN274" s="212"/>
      <c r="GO274" s="212"/>
      <c r="GP274" s="212"/>
      <c r="GQ274" s="212"/>
      <c r="GR274" s="212"/>
      <c r="GS274" s="212"/>
      <c r="GT274" s="212"/>
      <c r="GU274" s="212"/>
      <c r="GV274" s="212"/>
      <c r="GW274" s="212"/>
      <c r="GX274" s="212"/>
      <c r="GY274" s="212"/>
      <c r="GZ274" s="212"/>
      <c r="HA274" s="212"/>
      <c r="HB274" s="212"/>
      <c r="HC274" s="212"/>
      <c r="HD274" s="212"/>
      <c r="HE274" s="212"/>
      <c r="HF274" s="212"/>
      <c r="HG274" s="212"/>
      <c r="HH274" s="212"/>
      <c r="HI274" s="212"/>
      <c r="HJ274" s="212"/>
      <c r="HK274" s="212"/>
      <c r="HL274" s="212"/>
      <c r="HM274" s="212"/>
      <c r="HN274" s="212"/>
      <c r="HO274" s="212"/>
      <c r="HP274" s="212"/>
      <c r="HQ274" s="212"/>
      <c r="HR274" s="212"/>
      <c r="HS274" s="212"/>
      <c r="HT274" s="212"/>
      <c r="HU274" s="212"/>
      <c r="HV274" s="212"/>
      <c r="HW274" s="212"/>
      <c r="HX274" s="212"/>
      <c r="HY274" s="212"/>
      <c r="HZ274" s="212"/>
      <c r="IA274" s="212"/>
      <c r="IB274" s="212"/>
      <c r="IC274" s="212"/>
      <c r="ID274" s="212"/>
      <c r="IE274" s="212"/>
      <c r="IF274" s="212"/>
      <c r="IG274" s="212"/>
      <c r="IH274" s="212"/>
      <c r="II274" s="212"/>
      <c r="IJ274" s="212"/>
      <c r="IK274" s="212"/>
      <c r="IL274" s="212"/>
      <c r="IM274" s="212"/>
      <c r="IN274" s="212"/>
      <c r="IO274" s="212"/>
      <c r="IP274" s="212"/>
      <c r="IQ274" s="212"/>
      <c r="IR274" s="212"/>
    </row>
    <row r="275" spans="13:252" ht="16.5" hidden="1" thickTop="1" thickBot="1">
      <c r="M275" s="212"/>
      <c r="N275" s="212"/>
      <c r="O275" s="212"/>
      <c r="P275" s="212"/>
      <c r="Q275" s="212"/>
      <c r="R275" s="212"/>
      <c r="S275" s="212"/>
      <c r="T275" s="212"/>
      <c r="U275" s="212"/>
      <c r="V275" s="212"/>
      <c r="W275" s="212"/>
      <c r="X275" s="212"/>
      <c r="Y275" s="212"/>
      <c r="Z275" s="212"/>
      <c r="AA275" s="212"/>
      <c r="AB275" s="212"/>
      <c r="AC275" s="212"/>
      <c r="AD275" s="212"/>
      <c r="AE275" s="212"/>
      <c r="AF275" s="212"/>
      <c r="AG275" s="212"/>
      <c r="AH275" s="212"/>
      <c r="AI275" s="212"/>
      <c r="AJ275" s="212"/>
      <c r="AK275" s="212"/>
      <c r="AL275" s="212"/>
      <c r="AM275" s="212"/>
      <c r="AN275" s="212"/>
      <c r="AO275" s="212"/>
      <c r="AP275" s="212"/>
      <c r="AQ275" s="212"/>
      <c r="AR275" s="212"/>
      <c r="AS275" s="212"/>
      <c r="AT275" s="212"/>
      <c r="AU275" s="212"/>
      <c r="AV275" s="212"/>
      <c r="AW275" s="212"/>
      <c r="AX275" s="212"/>
      <c r="AY275" s="212"/>
      <c r="AZ275" s="212"/>
      <c r="BA275" s="212"/>
      <c r="BB275" s="212"/>
      <c r="BC275" s="212"/>
      <c r="BD275" s="212"/>
      <c r="BE275" s="212"/>
      <c r="BF275" s="212"/>
      <c r="BG275" s="212"/>
      <c r="BH275" s="212"/>
      <c r="BI275" s="212"/>
      <c r="BJ275" s="212"/>
      <c r="BK275" s="212"/>
      <c r="BL275" s="212"/>
      <c r="BM275" s="212"/>
      <c r="BN275" s="212"/>
      <c r="BO275" s="212"/>
      <c r="BP275" s="212"/>
      <c r="BQ275" s="212"/>
      <c r="BR275" s="212"/>
      <c r="BS275" s="212"/>
      <c r="BT275" s="212"/>
      <c r="BU275" s="212"/>
      <c r="BV275" s="212"/>
      <c r="BW275" s="212"/>
      <c r="BX275" s="212"/>
      <c r="BY275" s="212"/>
      <c r="BZ275" s="212"/>
      <c r="CA275" s="212"/>
      <c r="CB275" s="212"/>
      <c r="CC275" s="212"/>
      <c r="CD275" s="212"/>
      <c r="CE275" s="212"/>
      <c r="CF275" s="212"/>
      <c r="CG275" s="212"/>
      <c r="CH275" s="212"/>
      <c r="CI275" s="212"/>
      <c r="CJ275" s="212"/>
      <c r="CK275" s="212"/>
      <c r="CL275" s="212"/>
      <c r="CM275" s="212"/>
      <c r="CN275" s="212"/>
      <c r="CO275" s="212"/>
      <c r="CP275" s="212"/>
      <c r="CQ275" s="212"/>
      <c r="CR275" s="212"/>
      <c r="CS275" s="212"/>
      <c r="CT275" s="212"/>
      <c r="CU275" s="212"/>
      <c r="CV275" s="212"/>
      <c r="CW275" s="212"/>
      <c r="CX275" s="212"/>
      <c r="CY275" s="212"/>
      <c r="CZ275" s="212"/>
      <c r="DA275" s="212"/>
      <c r="DB275" s="212"/>
      <c r="DC275" s="212"/>
      <c r="DD275" s="212"/>
      <c r="DE275" s="212"/>
      <c r="DF275" s="212"/>
      <c r="DG275" s="212"/>
      <c r="DH275" s="212"/>
      <c r="DI275" s="212"/>
      <c r="DJ275" s="212"/>
      <c r="DK275" s="212"/>
      <c r="DL275" s="212"/>
      <c r="DM275" s="212"/>
      <c r="DN275" s="212"/>
      <c r="DO275" s="212"/>
      <c r="DP275" s="212"/>
      <c r="DQ275" s="212"/>
      <c r="DR275" s="212"/>
      <c r="DS275" s="212"/>
      <c r="DT275" s="212"/>
      <c r="DU275" s="212"/>
      <c r="DV275" s="212"/>
      <c r="DW275" s="212"/>
      <c r="DX275" s="212"/>
      <c r="DY275" s="212"/>
      <c r="DZ275" s="212"/>
      <c r="EA275" s="212"/>
      <c r="EB275" s="212"/>
      <c r="EC275" s="212"/>
      <c r="ED275" s="212"/>
      <c r="EE275" s="212"/>
      <c r="EF275" s="212"/>
      <c r="EG275" s="212"/>
      <c r="EH275" s="212"/>
      <c r="EI275" s="212"/>
      <c r="EJ275" s="212"/>
      <c r="EK275" s="212"/>
      <c r="EL275" s="212"/>
      <c r="EM275" s="212"/>
      <c r="EN275" s="212"/>
      <c r="EO275" s="212"/>
      <c r="EP275" s="212"/>
      <c r="EQ275" s="212"/>
      <c r="ER275" s="212"/>
      <c r="ES275" s="212"/>
      <c r="ET275" s="212"/>
      <c r="EU275" s="212"/>
      <c r="EV275" s="212"/>
      <c r="EW275" s="212"/>
      <c r="EX275" s="212"/>
      <c r="EY275" s="212"/>
      <c r="EZ275" s="212"/>
      <c r="FA275" s="212"/>
      <c r="FB275" s="212"/>
      <c r="FC275" s="212"/>
      <c r="FD275" s="212"/>
      <c r="FE275" s="212"/>
      <c r="FF275" s="212"/>
      <c r="FG275" s="212"/>
      <c r="FH275" s="212"/>
      <c r="FI275" s="212"/>
      <c r="FJ275" s="212"/>
      <c r="FK275" s="212"/>
      <c r="FL275" s="212"/>
      <c r="FM275" s="212"/>
      <c r="FN275" s="212"/>
      <c r="FO275" s="212"/>
      <c r="FP275" s="212"/>
      <c r="FQ275" s="212"/>
      <c r="FR275" s="212"/>
      <c r="FS275" s="212"/>
      <c r="FT275" s="212"/>
      <c r="FU275" s="212"/>
      <c r="FV275" s="212"/>
      <c r="FW275" s="212"/>
      <c r="FX275" s="212"/>
      <c r="FY275" s="212"/>
      <c r="FZ275" s="212"/>
      <c r="GA275" s="212"/>
      <c r="GB275" s="212"/>
      <c r="GC275" s="212"/>
      <c r="GD275" s="212"/>
      <c r="GE275" s="212"/>
      <c r="GF275" s="212"/>
      <c r="GG275" s="212"/>
      <c r="GH275" s="212"/>
      <c r="GI275" s="212"/>
      <c r="GJ275" s="212"/>
      <c r="GK275" s="212"/>
      <c r="GL275" s="212"/>
      <c r="GM275" s="212"/>
      <c r="GN275" s="212"/>
      <c r="GO275" s="212"/>
      <c r="GP275" s="212"/>
      <c r="GQ275" s="212"/>
      <c r="GR275" s="212"/>
      <c r="GS275" s="212"/>
      <c r="GT275" s="212"/>
      <c r="GU275" s="212"/>
      <c r="GV275" s="212"/>
      <c r="GW275" s="212"/>
      <c r="GX275" s="212"/>
      <c r="GY275" s="212"/>
      <c r="GZ275" s="212"/>
      <c r="HA275" s="212"/>
      <c r="HB275" s="212"/>
      <c r="HC275" s="212"/>
      <c r="HD275" s="212"/>
      <c r="HE275" s="212"/>
      <c r="HF275" s="212"/>
      <c r="HG275" s="212"/>
      <c r="HH275" s="212"/>
      <c r="HI275" s="212"/>
      <c r="HJ275" s="212"/>
      <c r="HK275" s="212"/>
      <c r="HL275" s="212"/>
      <c r="HM275" s="212"/>
      <c r="HN275" s="212"/>
      <c r="HO275" s="212"/>
      <c r="HP275" s="212"/>
      <c r="HQ275" s="212"/>
      <c r="HR275" s="212"/>
      <c r="HS275" s="212"/>
      <c r="HT275" s="212"/>
      <c r="HU275" s="212"/>
      <c r="HV275" s="212"/>
      <c r="HW275" s="212"/>
      <c r="HX275" s="212"/>
      <c r="HY275" s="212"/>
      <c r="HZ275" s="212"/>
      <c r="IA275" s="212"/>
      <c r="IB275" s="212"/>
      <c r="IC275" s="212"/>
      <c r="ID275" s="212"/>
      <c r="IE275" s="212"/>
      <c r="IF275" s="212"/>
      <c r="IG275" s="212"/>
      <c r="IH275" s="212"/>
      <c r="II275" s="212"/>
      <c r="IJ275" s="212"/>
      <c r="IK275" s="212"/>
      <c r="IL275" s="212"/>
      <c r="IM275" s="212"/>
      <c r="IN275" s="212"/>
      <c r="IO275" s="212"/>
      <c r="IP275" s="212"/>
      <c r="IQ275" s="212"/>
      <c r="IR275" s="212"/>
    </row>
    <row r="276" spans="13:252" ht="16.5" hidden="1" thickTop="1" thickBot="1">
      <c r="M276" s="212"/>
      <c r="N276" s="212"/>
      <c r="O276" s="212"/>
      <c r="P276" s="212"/>
      <c r="Q276" s="212"/>
      <c r="R276" s="212"/>
      <c r="S276" s="212"/>
      <c r="T276" s="212"/>
      <c r="U276" s="212"/>
      <c r="V276" s="212"/>
      <c r="W276" s="212"/>
      <c r="X276" s="212"/>
      <c r="Y276" s="212"/>
      <c r="Z276" s="212"/>
      <c r="AA276" s="212"/>
      <c r="AB276" s="212"/>
      <c r="AC276" s="212"/>
      <c r="AD276" s="212"/>
      <c r="AE276" s="212"/>
      <c r="AF276" s="212"/>
      <c r="AG276" s="212"/>
      <c r="AH276" s="212"/>
      <c r="AI276" s="212"/>
      <c r="AJ276" s="212"/>
      <c r="AK276" s="212"/>
      <c r="AL276" s="212"/>
      <c r="AM276" s="212"/>
      <c r="AN276" s="212"/>
      <c r="AO276" s="212"/>
      <c r="AP276" s="212"/>
      <c r="AQ276" s="212"/>
      <c r="AR276" s="212"/>
      <c r="AS276" s="212"/>
      <c r="AT276" s="212"/>
      <c r="AU276" s="212"/>
      <c r="AV276" s="212"/>
      <c r="AW276" s="212"/>
      <c r="AX276" s="212"/>
      <c r="AY276" s="212"/>
      <c r="AZ276" s="212"/>
      <c r="BA276" s="212"/>
      <c r="BB276" s="212"/>
      <c r="BC276" s="212"/>
      <c r="BD276" s="212"/>
      <c r="BE276" s="212"/>
      <c r="BF276" s="212"/>
      <c r="BG276" s="212"/>
      <c r="BH276" s="212"/>
      <c r="BI276" s="212"/>
      <c r="BJ276" s="212"/>
      <c r="BK276" s="212"/>
      <c r="BL276" s="212"/>
      <c r="BM276" s="212"/>
      <c r="BN276" s="212"/>
      <c r="BO276" s="212"/>
      <c r="BP276" s="212"/>
      <c r="BQ276" s="212"/>
      <c r="BR276" s="212"/>
      <c r="BS276" s="212"/>
      <c r="BT276" s="212"/>
      <c r="BU276" s="212"/>
      <c r="BV276" s="212"/>
      <c r="BW276" s="212"/>
      <c r="BX276" s="212"/>
      <c r="BY276" s="212"/>
      <c r="BZ276" s="212"/>
      <c r="CA276" s="212"/>
      <c r="CB276" s="212"/>
      <c r="CC276" s="212"/>
      <c r="CD276" s="212"/>
      <c r="CE276" s="212"/>
      <c r="CF276" s="212"/>
      <c r="CG276" s="212"/>
      <c r="CH276" s="212"/>
      <c r="CI276" s="212"/>
      <c r="CJ276" s="212"/>
      <c r="CK276" s="212"/>
      <c r="CL276" s="212"/>
      <c r="CM276" s="212"/>
      <c r="CN276" s="212"/>
      <c r="CO276" s="212"/>
      <c r="CP276" s="212"/>
      <c r="CQ276" s="212"/>
      <c r="CR276" s="212"/>
      <c r="CS276" s="212"/>
      <c r="CT276" s="212"/>
      <c r="CU276" s="212"/>
      <c r="CV276" s="212"/>
      <c r="CW276" s="212"/>
      <c r="CX276" s="212"/>
      <c r="CY276" s="212"/>
      <c r="CZ276" s="212"/>
      <c r="DA276" s="212"/>
      <c r="DB276" s="212"/>
      <c r="DC276" s="212"/>
      <c r="DD276" s="212"/>
      <c r="DE276" s="212"/>
      <c r="DF276" s="212"/>
      <c r="DG276" s="212"/>
      <c r="DH276" s="212"/>
      <c r="DI276" s="212"/>
      <c r="DJ276" s="212"/>
      <c r="DK276" s="212"/>
      <c r="DL276" s="212"/>
      <c r="DM276" s="212"/>
      <c r="DN276" s="212"/>
      <c r="DO276" s="212"/>
      <c r="DP276" s="212"/>
      <c r="DQ276" s="212"/>
      <c r="DR276" s="212"/>
      <c r="DS276" s="212"/>
      <c r="DT276" s="212"/>
      <c r="DU276" s="212"/>
      <c r="DV276" s="212"/>
      <c r="DW276" s="212"/>
      <c r="DX276" s="212"/>
      <c r="DY276" s="212"/>
      <c r="DZ276" s="212"/>
      <c r="EA276" s="212"/>
      <c r="EB276" s="212"/>
      <c r="EC276" s="212"/>
      <c r="ED276" s="212"/>
      <c r="EE276" s="212"/>
      <c r="EF276" s="212"/>
      <c r="EG276" s="212"/>
      <c r="EH276" s="212"/>
      <c r="EI276" s="212"/>
      <c r="EJ276" s="212"/>
      <c r="EK276" s="212"/>
      <c r="EL276" s="212"/>
      <c r="EM276" s="212"/>
      <c r="EN276" s="212"/>
      <c r="EO276" s="212"/>
      <c r="EP276" s="212"/>
      <c r="EQ276" s="212"/>
      <c r="ER276" s="212"/>
      <c r="ES276" s="212"/>
      <c r="ET276" s="212"/>
      <c r="EU276" s="212"/>
      <c r="EV276" s="212"/>
      <c r="EW276" s="212"/>
      <c r="EX276" s="212"/>
      <c r="EY276" s="212"/>
      <c r="EZ276" s="212"/>
      <c r="FA276" s="212"/>
      <c r="FB276" s="212"/>
      <c r="FC276" s="212"/>
      <c r="FD276" s="212"/>
      <c r="FE276" s="212"/>
      <c r="FF276" s="212"/>
      <c r="FG276" s="212"/>
      <c r="FH276" s="212"/>
      <c r="FI276" s="212"/>
      <c r="FJ276" s="212"/>
      <c r="FK276" s="212"/>
      <c r="FL276" s="212"/>
      <c r="FM276" s="212"/>
      <c r="FN276" s="212"/>
      <c r="FO276" s="212"/>
      <c r="FP276" s="212"/>
      <c r="FQ276" s="212"/>
      <c r="FR276" s="212"/>
      <c r="FS276" s="212"/>
      <c r="FT276" s="212"/>
      <c r="FU276" s="212"/>
      <c r="FV276" s="212"/>
      <c r="FW276" s="212"/>
      <c r="FX276" s="212"/>
      <c r="FY276" s="212"/>
      <c r="FZ276" s="212"/>
      <c r="GA276" s="212"/>
      <c r="GB276" s="212"/>
      <c r="GC276" s="212"/>
      <c r="GD276" s="212"/>
      <c r="GE276" s="212"/>
      <c r="GF276" s="212"/>
      <c r="GG276" s="212"/>
      <c r="GH276" s="212"/>
      <c r="GI276" s="212"/>
      <c r="GJ276" s="212"/>
      <c r="GK276" s="212"/>
      <c r="GL276" s="212"/>
      <c r="GM276" s="212"/>
      <c r="GN276" s="212"/>
      <c r="GO276" s="212"/>
      <c r="GP276" s="212"/>
      <c r="GQ276" s="212"/>
      <c r="GR276" s="212"/>
      <c r="GS276" s="212"/>
      <c r="GT276" s="212"/>
      <c r="GU276" s="212"/>
      <c r="GV276" s="212"/>
      <c r="GW276" s="212"/>
      <c r="GX276" s="212"/>
      <c r="GY276" s="212"/>
      <c r="GZ276" s="212"/>
      <c r="HA276" s="212"/>
      <c r="HB276" s="212"/>
      <c r="HC276" s="212"/>
      <c r="HD276" s="212"/>
      <c r="HE276" s="212"/>
      <c r="HF276" s="212"/>
      <c r="HG276" s="212"/>
      <c r="HH276" s="212"/>
      <c r="HI276" s="212"/>
      <c r="HJ276" s="212"/>
      <c r="HK276" s="212"/>
      <c r="HL276" s="212"/>
      <c r="HM276" s="212"/>
      <c r="HN276" s="212"/>
      <c r="HO276" s="212"/>
      <c r="HP276" s="212"/>
      <c r="HQ276" s="212"/>
      <c r="HR276" s="212"/>
      <c r="HS276" s="212"/>
      <c r="HT276" s="212"/>
      <c r="HU276" s="212"/>
      <c r="HV276" s="212"/>
      <c r="HW276" s="212"/>
      <c r="HX276" s="212"/>
      <c r="HY276" s="212"/>
      <c r="HZ276" s="212"/>
      <c r="IA276" s="212"/>
      <c r="IB276" s="212"/>
      <c r="IC276" s="212"/>
      <c r="ID276" s="212"/>
      <c r="IE276" s="212"/>
      <c r="IF276" s="212"/>
      <c r="IG276" s="212"/>
      <c r="IH276" s="212"/>
      <c r="II276" s="212"/>
      <c r="IJ276" s="212"/>
      <c r="IK276" s="212"/>
      <c r="IL276" s="212"/>
      <c r="IM276" s="212"/>
      <c r="IN276" s="212"/>
      <c r="IO276" s="212"/>
      <c r="IP276" s="212"/>
      <c r="IQ276" s="212"/>
      <c r="IR276" s="212"/>
    </row>
    <row r="277" spans="13:252" ht="16.5" hidden="1" thickTop="1" thickBot="1">
      <c r="M277" s="212"/>
      <c r="N277" s="212"/>
      <c r="O277" s="212"/>
      <c r="P277" s="212"/>
      <c r="Q277" s="212"/>
      <c r="R277" s="212"/>
      <c r="S277" s="212"/>
      <c r="T277" s="212"/>
      <c r="U277" s="212"/>
      <c r="V277" s="212"/>
      <c r="W277" s="212"/>
      <c r="X277" s="212"/>
      <c r="Y277" s="212"/>
      <c r="Z277" s="212"/>
      <c r="AA277" s="212"/>
      <c r="AB277" s="212"/>
      <c r="AC277" s="212"/>
      <c r="AD277" s="212"/>
      <c r="AE277" s="212"/>
      <c r="AF277" s="212"/>
      <c r="AG277" s="212"/>
      <c r="AH277" s="212"/>
      <c r="AI277" s="212"/>
      <c r="AJ277" s="212"/>
      <c r="AK277" s="212"/>
      <c r="AL277" s="212"/>
      <c r="AM277" s="212"/>
      <c r="AN277" s="212"/>
      <c r="AO277" s="212"/>
      <c r="AP277" s="212"/>
      <c r="AQ277" s="212"/>
      <c r="AR277" s="212"/>
      <c r="AS277" s="212"/>
      <c r="AT277" s="212"/>
      <c r="AU277" s="212"/>
      <c r="AV277" s="212"/>
      <c r="AW277" s="212"/>
      <c r="AX277" s="212"/>
      <c r="AY277" s="212"/>
      <c r="AZ277" s="212"/>
      <c r="BA277" s="212"/>
      <c r="BB277" s="212"/>
      <c r="BC277" s="212"/>
      <c r="BD277" s="212"/>
      <c r="BE277" s="212"/>
      <c r="BF277" s="212"/>
      <c r="BG277" s="212"/>
      <c r="BH277" s="212"/>
      <c r="BI277" s="212"/>
      <c r="BJ277" s="212"/>
      <c r="BK277" s="212"/>
      <c r="BL277" s="212"/>
      <c r="BM277" s="212"/>
      <c r="BN277" s="212"/>
      <c r="BO277" s="212"/>
      <c r="BP277" s="212"/>
      <c r="BQ277" s="212"/>
      <c r="BR277" s="212"/>
      <c r="BS277" s="212"/>
      <c r="BT277" s="212"/>
      <c r="BU277" s="212"/>
      <c r="BV277" s="212"/>
      <c r="BW277" s="212"/>
      <c r="BX277" s="212"/>
      <c r="BY277" s="212"/>
      <c r="BZ277" s="212"/>
      <c r="CA277" s="212"/>
      <c r="CB277" s="212"/>
      <c r="CC277" s="212"/>
      <c r="CD277" s="212"/>
      <c r="CE277" s="212"/>
      <c r="CF277" s="212"/>
      <c r="CG277" s="212"/>
      <c r="CH277" s="212"/>
      <c r="CI277" s="212"/>
      <c r="CJ277" s="212"/>
      <c r="CK277" s="212"/>
      <c r="CL277" s="212"/>
      <c r="CM277" s="212"/>
      <c r="CN277" s="212"/>
      <c r="CO277" s="212"/>
      <c r="CP277" s="212"/>
      <c r="CQ277" s="212"/>
      <c r="CR277" s="212"/>
      <c r="CS277" s="212"/>
      <c r="CT277" s="212"/>
      <c r="CU277" s="212"/>
      <c r="CV277" s="212"/>
      <c r="CW277" s="212"/>
      <c r="CX277" s="212"/>
      <c r="CY277" s="212"/>
      <c r="CZ277" s="212"/>
      <c r="DA277" s="212"/>
      <c r="DB277" s="212"/>
      <c r="DC277" s="212"/>
      <c r="DD277" s="212"/>
      <c r="DE277" s="212"/>
      <c r="DF277" s="212"/>
      <c r="DG277" s="212"/>
      <c r="DH277" s="212"/>
      <c r="DI277" s="212"/>
      <c r="DJ277" s="212"/>
      <c r="DK277" s="212"/>
      <c r="DL277" s="212"/>
      <c r="DM277" s="212"/>
      <c r="DN277" s="212"/>
      <c r="DO277" s="212"/>
      <c r="DP277" s="212"/>
      <c r="DQ277" s="212"/>
      <c r="DR277" s="212"/>
      <c r="DS277" s="212"/>
      <c r="DT277" s="212"/>
      <c r="DU277" s="212"/>
      <c r="DV277" s="212"/>
      <c r="DW277" s="212"/>
      <c r="DX277" s="212"/>
      <c r="DY277" s="212"/>
      <c r="DZ277" s="212"/>
      <c r="EA277" s="212"/>
      <c r="EB277" s="212"/>
      <c r="EC277" s="212"/>
      <c r="ED277" s="212"/>
      <c r="EE277" s="212"/>
      <c r="EF277" s="212"/>
      <c r="EG277" s="212"/>
      <c r="EH277" s="212"/>
      <c r="EI277" s="212"/>
      <c r="EJ277" s="212"/>
      <c r="EK277" s="212"/>
      <c r="EL277" s="212"/>
      <c r="EM277" s="212"/>
      <c r="EN277" s="212"/>
      <c r="EO277" s="212"/>
      <c r="EP277" s="212"/>
      <c r="EQ277" s="212"/>
      <c r="ER277" s="212"/>
      <c r="ES277" s="212"/>
      <c r="ET277" s="212"/>
      <c r="EU277" s="212"/>
      <c r="EV277" s="212"/>
      <c r="EW277" s="212"/>
      <c r="EX277" s="212"/>
      <c r="EY277" s="212"/>
      <c r="EZ277" s="212"/>
      <c r="FA277" s="212"/>
      <c r="FB277" s="212"/>
      <c r="FC277" s="212"/>
      <c r="FD277" s="212"/>
      <c r="FE277" s="212"/>
      <c r="FF277" s="212"/>
      <c r="FG277" s="212"/>
      <c r="FH277" s="212"/>
      <c r="FI277" s="212"/>
      <c r="FJ277" s="212"/>
      <c r="FK277" s="212"/>
      <c r="FL277" s="212"/>
      <c r="FM277" s="212"/>
      <c r="FN277" s="212"/>
      <c r="FO277" s="212"/>
      <c r="FP277" s="212"/>
      <c r="FQ277" s="212"/>
      <c r="FR277" s="212"/>
      <c r="FS277" s="212"/>
      <c r="FT277" s="212"/>
      <c r="FU277" s="212"/>
      <c r="FV277" s="212"/>
      <c r="FW277" s="212"/>
      <c r="FX277" s="212"/>
      <c r="FY277" s="212"/>
      <c r="FZ277" s="212"/>
      <c r="GA277" s="212"/>
      <c r="GB277" s="212"/>
      <c r="GC277" s="212"/>
      <c r="GD277" s="212"/>
      <c r="GE277" s="212"/>
      <c r="GF277" s="212"/>
      <c r="GG277" s="212"/>
      <c r="GH277" s="212"/>
      <c r="GI277" s="212"/>
      <c r="GJ277" s="212"/>
      <c r="GK277" s="212"/>
      <c r="GL277" s="212"/>
      <c r="GM277" s="212"/>
      <c r="GN277" s="212"/>
      <c r="GO277" s="212"/>
      <c r="GP277" s="212"/>
      <c r="GQ277" s="212"/>
      <c r="GR277" s="212"/>
      <c r="GS277" s="212"/>
      <c r="GT277" s="212"/>
      <c r="GU277" s="212"/>
      <c r="GV277" s="212"/>
      <c r="GW277" s="212"/>
      <c r="GX277" s="212"/>
      <c r="GY277" s="212"/>
      <c r="GZ277" s="212"/>
      <c r="HA277" s="212"/>
      <c r="HB277" s="212"/>
      <c r="HC277" s="212"/>
      <c r="HD277" s="212"/>
      <c r="HE277" s="212"/>
      <c r="HF277" s="212"/>
      <c r="HG277" s="212"/>
      <c r="HH277" s="212"/>
      <c r="HI277" s="212"/>
      <c r="HJ277" s="212"/>
      <c r="HK277" s="212"/>
      <c r="HL277" s="212"/>
      <c r="HM277" s="212"/>
      <c r="HN277" s="212"/>
      <c r="HO277" s="212"/>
      <c r="HP277" s="212"/>
      <c r="HQ277" s="212"/>
      <c r="HR277" s="212"/>
      <c r="HS277" s="212"/>
      <c r="HT277" s="212"/>
      <c r="HU277" s="212"/>
      <c r="HV277" s="212"/>
      <c r="HW277" s="212"/>
      <c r="HX277" s="212"/>
      <c r="HY277" s="212"/>
      <c r="HZ277" s="212"/>
      <c r="IA277" s="212"/>
      <c r="IB277" s="212"/>
      <c r="IC277" s="212"/>
      <c r="ID277" s="212"/>
      <c r="IE277" s="212"/>
      <c r="IF277" s="212"/>
      <c r="IG277" s="212"/>
      <c r="IH277" s="212"/>
      <c r="II277" s="212"/>
      <c r="IJ277" s="212"/>
      <c r="IK277" s="212"/>
      <c r="IL277" s="212"/>
      <c r="IM277" s="212"/>
      <c r="IN277" s="212"/>
      <c r="IO277" s="212"/>
      <c r="IP277" s="212"/>
      <c r="IQ277" s="212"/>
      <c r="IR277" s="212"/>
    </row>
    <row r="278" spans="13:252" ht="16.5" hidden="1" thickTop="1" thickBot="1">
      <c r="M278" s="212"/>
      <c r="N278" s="212"/>
      <c r="O278" s="212"/>
      <c r="P278" s="212"/>
      <c r="Q278" s="212"/>
      <c r="R278" s="212"/>
      <c r="S278" s="212"/>
      <c r="T278" s="212"/>
      <c r="U278" s="212"/>
      <c r="V278" s="212"/>
      <c r="W278" s="212"/>
      <c r="X278" s="212"/>
      <c r="Y278" s="212"/>
      <c r="Z278" s="212"/>
      <c r="AA278" s="212"/>
      <c r="AB278" s="212"/>
      <c r="AC278" s="212"/>
      <c r="AD278" s="212"/>
      <c r="AE278" s="212"/>
      <c r="AF278" s="212"/>
      <c r="AG278" s="212"/>
      <c r="AH278" s="212"/>
      <c r="AI278" s="212"/>
      <c r="AJ278" s="212"/>
      <c r="AK278" s="212"/>
      <c r="AL278" s="212"/>
      <c r="AM278" s="212"/>
      <c r="AN278" s="212"/>
      <c r="AO278" s="212"/>
      <c r="AP278" s="212"/>
      <c r="AQ278" s="212"/>
      <c r="AR278" s="212"/>
      <c r="AS278" s="212"/>
      <c r="AT278" s="212"/>
      <c r="AU278" s="212"/>
      <c r="AV278" s="212"/>
      <c r="AW278" s="212"/>
      <c r="AX278" s="212"/>
      <c r="AY278" s="212"/>
      <c r="AZ278" s="212"/>
      <c r="BA278" s="212"/>
      <c r="BB278" s="212"/>
      <c r="BC278" s="212"/>
      <c r="BD278" s="212"/>
      <c r="BE278" s="212"/>
      <c r="BF278" s="212"/>
      <c r="BG278" s="212"/>
      <c r="BH278" s="212"/>
      <c r="BI278" s="212"/>
      <c r="BJ278" s="212"/>
      <c r="BK278" s="212"/>
      <c r="BL278" s="212"/>
      <c r="BM278" s="212"/>
      <c r="BN278" s="212"/>
      <c r="BO278" s="212"/>
      <c r="BP278" s="212"/>
      <c r="BQ278" s="212"/>
      <c r="BR278" s="212"/>
      <c r="BS278" s="212"/>
      <c r="BT278" s="212"/>
      <c r="BU278" s="212"/>
      <c r="BV278" s="212"/>
      <c r="BW278" s="212"/>
      <c r="BX278" s="212"/>
      <c r="BY278" s="212"/>
      <c r="BZ278" s="212"/>
      <c r="CA278" s="212"/>
      <c r="CB278" s="212"/>
      <c r="CC278" s="212"/>
      <c r="CD278" s="212"/>
      <c r="CE278" s="212"/>
      <c r="CF278" s="212"/>
      <c r="CG278" s="212"/>
      <c r="CH278" s="212"/>
      <c r="CI278" s="212"/>
      <c r="CJ278" s="212"/>
      <c r="CK278" s="212"/>
      <c r="CL278" s="212"/>
      <c r="CM278" s="212"/>
      <c r="CN278" s="212"/>
      <c r="CO278" s="212"/>
      <c r="CP278" s="212"/>
      <c r="CQ278" s="212"/>
      <c r="CR278" s="212"/>
      <c r="CS278" s="212"/>
      <c r="CT278" s="212"/>
      <c r="CU278" s="212"/>
      <c r="CV278" s="212"/>
      <c r="CW278" s="212"/>
      <c r="CX278" s="212"/>
      <c r="CY278" s="212"/>
      <c r="CZ278" s="212"/>
      <c r="DA278" s="212"/>
      <c r="DB278" s="212"/>
      <c r="DC278" s="212"/>
      <c r="DD278" s="212"/>
      <c r="DE278" s="212"/>
      <c r="DF278" s="212"/>
      <c r="DG278" s="212"/>
      <c r="DH278" s="212"/>
      <c r="DI278" s="212"/>
      <c r="DJ278" s="212"/>
      <c r="DK278" s="212"/>
      <c r="DL278" s="212"/>
      <c r="DM278" s="212"/>
      <c r="DN278" s="212"/>
      <c r="DO278" s="212"/>
      <c r="DP278" s="212"/>
      <c r="DQ278" s="212"/>
      <c r="DR278" s="212"/>
      <c r="DS278" s="212"/>
      <c r="DT278" s="212"/>
      <c r="DU278" s="212"/>
      <c r="DV278" s="212"/>
      <c r="DW278" s="212"/>
      <c r="DX278" s="212"/>
      <c r="DY278" s="212"/>
      <c r="DZ278" s="212"/>
      <c r="EA278" s="212"/>
      <c r="EB278" s="212"/>
      <c r="EC278" s="212"/>
      <c r="ED278" s="212"/>
      <c r="EE278" s="212"/>
      <c r="EF278" s="212"/>
      <c r="EG278" s="212"/>
      <c r="EH278" s="212"/>
      <c r="EI278" s="212"/>
      <c r="EJ278" s="212"/>
      <c r="EK278" s="212"/>
      <c r="EL278" s="212"/>
      <c r="EM278" s="212"/>
      <c r="EN278" s="212"/>
      <c r="EO278" s="212"/>
      <c r="EP278" s="212"/>
      <c r="EQ278" s="212"/>
      <c r="ER278" s="212"/>
      <c r="ES278" s="212"/>
      <c r="ET278" s="212"/>
      <c r="EU278" s="212"/>
      <c r="EV278" s="212"/>
      <c r="EW278" s="212"/>
      <c r="EX278" s="212"/>
      <c r="EY278" s="212"/>
      <c r="EZ278" s="212"/>
      <c r="FA278" s="212"/>
      <c r="FB278" s="212"/>
      <c r="FC278" s="212"/>
      <c r="FD278" s="212"/>
      <c r="FE278" s="212"/>
      <c r="FF278" s="212"/>
      <c r="FG278" s="212"/>
      <c r="FH278" s="212"/>
      <c r="FI278" s="212"/>
      <c r="FJ278" s="212"/>
      <c r="FK278" s="212"/>
      <c r="FL278" s="212"/>
      <c r="FM278" s="212"/>
      <c r="FN278" s="212"/>
      <c r="FO278" s="212"/>
      <c r="FP278" s="212"/>
      <c r="FQ278" s="212"/>
      <c r="FR278" s="212"/>
      <c r="FS278" s="212"/>
      <c r="FT278" s="212"/>
      <c r="FU278" s="212"/>
      <c r="FV278" s="212"/>
      <c r="FW278" s="212"/>
      <c r="FX278" s="212"/>
      <c r="FY278" s="212"/>
      <c r="FZ278" s="212"/>
      <c r="GA278" s="212"/>
      <c r="GB278" s="212"/>
      <c r="GC278" s="212"/>
      <c r="GD278" s="212"/>
      <c r="GE278" s="212"/>
      <c r="GF278" s="212"/>
      <c r="GG278" s="212"/>
      <c r="GH278" s="212"/>
      <c r="GI278" s="212"/>
      <c r="GJ278" s="212"/>
      <c r="GK278" s="212"/>
      <c r="GL278" s="212"/>
      <c r="GM278" s="212"/>
      <c r="GN278" s="212"/>
      <c r="GO278" s="212"/>
      <c r="GP278" s="212"/>
      <c r="GQ278" s="212"/>
      <c r="GR278" s="212"/>
      <c r="GS278" s="212"/>
      <c r="GT278" s="212"/>
      <c r="GU278" s="212"/>
      <c r="GV278" s="212"/>
      <c r="GW278" s="212"/>
      <c r="GX278" s="212"/>
      <c r="GY278" s="212"/>
      <c r="GZ278" s="212"/>
      <c r="HA278" s="212"/>
      <c r="HB278" s="212"/>
      <c r="HC278" s="212"/>
      <c r="HD278" s="212"/>
      <c r="HE278" s="212"/>
      <c r="HF278" s="212"/>
      <c r="HG278" s="212"/>
      <c r="HH278" s="212"/>
      <c r="HI278" s="212"/>
      <c r="HJ278" s="212"/>
      <c r="HK278" s="212"/>
      <c r="HL278" s="212"/>
      <c r="HM278" s="212"/>
      <c r="HN278" s="212"/>
      <c r="HO278" s="212"/>
      <c r="HP278" s="212"/>
      <c r="HQ278" s="212"/>
      <c r="HR278" s="212"/>
      <c r="HS278" s="212"/>
      <c r="HT278" s="212"/>
      <c r="HU278" s="212"/>
      <c r="HV278" s="212"/>
      <c r="HW278" s="212"/>
      <c r="HX278" s="212"/>
      <c r="HY278" s="212"/>
      <c r="HZ278" s="212"/>
      <c r="IA278" s="212"/>
      <c r="IB278" s="212"/>
      <c r="IC278" s="212"/>
      <c r="ID278" s="212"/>
      <c r="IE278" s="212"/>
      <c r="IF278" s="212"/>
      <c r="IG278" s="212"/>
      <c r="IH278" s="212"/>
      <c r="II278" s="212"/>
      <c r="IJ278" s="212"/>
      <c r="IK278" s="212"/>
      <c r="IL278" s="212"/>
      <c r="IM278" s="212"/>
      <c r="IN278" s="212"/>
      <c r="IO278" s="212"/>
      <c r="IP278" s="212"/>
      <c r="IQ278" s="212"/>
      <c r="IR278" s="212"/>
    </row>
    <row r="279" spans="13:252" ht="16.5" hidden="1" thickTop="1" thickBot="1">
      <c r="M279" s="212"/>
      <c r="N279" s="212"/>
      <c r="O279" s="212"/>
      <c r="P279" s="212"/>
      <c r="Q279" s="212"/>
      <c r="R279" s="212"/>
      <c r="S279" s="212"/>
      <c r="T279" s="212"/>
      <c r="U279" s="212"/>
      <c r="V279" s="212"/>
      <c r="W279" s="212"/>
      <c r="X279" s="212"/>
      <c r="Y279" s="212"/>
      <c r="Z279" s="212"/>
      <c r="AA279" s="212"/>
      <c r="AB279" s="212"/>
      <c r="AC279" s="212"/>
      <c r="AD279" s="212"/>
      <c r="AE279" s="212"/>
      <c r="AF279" s="212"/>
      <c r="AG279" s="212"/>
      <c r="AH279" s="212"/>
      <c r="AI279" s="212"/>
      <c r="AJ279" s="212"/>
      <c r="AK279" s="212"/>
      <c r="AL279" s="212"/>
      <c r="AM279" s="212"/>
      <c r="AN279" s="212"/>
      <c r="AO279" s="212"/>
      <c r="AP279" s="212"/>
      <c r="AQ279" s="212"/>
      <c r="AR279" s="212"/>
      <c r="AS279" s="212"/>
      <c r="AT279" s="212"/>
      <c r="AU279" s="212"/>
      <c r="AV279" s="212"/>
      <c r="AW279" s="212"/>
      <c r="AX279" s="212"/>
      <c r="AY279" s="212"/>
      <c r="AZ279" s="212"/>
      <c r="BA279" s="212"/>
      <c r="BB279" s="212"/>
      <c r="BC279" s="212"/>
      <c r="BD279" s="212"/>
      <c r="BE279" s="212"/>
      <c r="BF279" s="212"/>
      <c r="BG279" s="212"/>
      <c r="BH279" s="212"/>
      <c r="BI279" s="212"/>
      <c r="BJ279" s="212"/>
      <c r="BK279" s="212"/>
      <c r="BL279" s="212"/>
      <c r="BM279" s="212"/>
      <c r="BN279" s="212"/>
      <c r="BO279" s="212"/>
      <c r="BP279" s="212"/>
      <c r="BQ279" s="212"/>
      <c r="BR279" s="212"/>
      <c r="BS279" s="212"/>
      <c r="BT279" s="212"/>
      <c r="BU279" s="212"/>
      <c r="BV279" s="212"/>
      <c r="BW279" s="212"/>
      <c r="BX279" s="212"/>
      <c r="BY279" s="212"/>
      <c r="BZ279" s="212"/>
      <c r="CA279" s="212"/>
      <c r="CB279" s="212"/>
      <c r="CC279" s="212"/>
      <c r="CD279" s="212"/>
      <c r="CE279" s="212"/>
      <c r="CF279" s="212"/>
      <c r="CG279" s="212"/>
      <c r="CH279" s="212"/>
      <c r="CI279" s="212"/>
      <c r="CJ279" s="212"/>
      <c r="CK279" s="212"/>
      <c r="CL279" s="212"/>
      <c r="CM279" s="212"/>
      <c r="CN279" s="212"/>
      <c r="CO279" s="212"/>
      <c r="CP279" s="212"/>
      <c r="CQ279" s="212"/>
      <c r="CR279" s="212"/>
      <c r="CS279" s="212"/>
      <c r="CT279" s="212"/>
      <c r="CU279" s="212"/>
      <c r="CV279" s="212"/>
      <c r="CW279" s="212"/>
      <c r="CX279" s="212"/>
      <c r="CY279" s="212"/>
      <c r="CZ279" s="212"/>
      <c r="DA279" s="212"/>
      <c r="DB279" s="212"/>
      <c r="DC279" s="212"/>
      <c r="DD279" s="212"/>
      <c r="DE279" s="212"/>
      <c r="DF279" s="212"/>
      <c r="DG279" s="212"/>
      <c r="DH279" s="212"/>
      <c r="DI279" s="212"/>
      <c r="DJ279" s="212"/>
      <c r="DK279" s="212"/>
      <c r="DL279" s="212"/>
      <c r="DM279" s="212"/>
      <c r="DN279" s="212"/>
      <c r="DO279" s="212"/>
      <c r="DP279" s="212"/>
      <c r="DQ279" s="212"/>
      <c r="DR279" s="212"/>
      <c r="DS279" s="212"/>
      <c r="DT279" s="212"/>
      <c r="DU279" s="212"/>
      <c r="DV279" s="212"/>
      <c r="DW279" s="212"/>
      <c r="DX279" s="212"/>
      <c r="DY279" s="212"/>
      <c r="DZ279" s="212"/>
      <c r="EA279" s="212"/>
      <c r="EB279" s="212"/>
      <c r="EC279" s="212"/>
      <c r="ED279" s="212"/>
      <c r="EE279" s="212"/>
      <c r="EF279" s="212"/>
      <c r="EG279" s="212"/>
      <c r="EH279" s="212"/>
      <c r="EI279" s="212"/>
      <c r="EJ279" s="212"/>
      <c r="EK279" s="212"/>
      <c r="EL279" s="212"/>
      <c r="EM279" s="212"/>
      <c r="EN279" s="212"/>
      <c r="EO279" s="212"/>
      <c r="EP279" s="212"/>
      <c r="EQ279" s="212"/>
      <c r="ER279" s="212"/>
      <c r="ES279" s="212"/>
      <c r="ET279" s="212"/>
      <c r="EU279" s="212"/>
      <c r="EV279" s="212"/>
      <c r="EW279" s="212"/>
      <c r="EX279" s="212"/>
      <c r="EY279" s="212"/>
      <c r="EZ279" s="212"/>
      <c r="FA279" s="212"/>
      <c r="FB279" s="212"/>
      <c r="FC279" s="212"/>
      <c r="FD279" s="212"/>
      <c r="FE279" s="212"/>
      <c r="FF279" s="212"/>
      <c r="FG279" s="212"/>
      <c r="FH279" s="212"/>
      <c r="FI279" s="212"/>
      <c r="FJ279" s="212"/>
      <c r="FK279" s="212"/>
      <c r="FL279" s="212"/>
      <c r="FM279" s="212"/>
      <c r="FN279" s="212"/>
      <c r="FO279" s="212"/>
      <c r="FP279" s="212"/>
      <c r="FQ279" s="212"/>
      <c r="FR279" s="212"/>
      <c r="FS279" s="212"/>
      <c r="FT279" s="212"/>
      <c r="FU279" s="212"/>
      <c r="FV279" s="212"/>
      <c r="FW279" s="212"/>
      <c r="FX279" s="212"/>
      <c r="FY279" s="212"/>
      <c r="FZ279" s="212"/>
      <c r="GA279" s="212"/>
      <c r="GB279" s="212"/>
      <c r="GC279" s="212"/>
      <c r="GD279" s="212"/>
      <c r="GE279" s="212"/>
      <c r="GF279" s="212"/>
      <c r="GG279" s="212"/>
      <c r="GH279" s="212"/>
      <c r="GI279" s="212"/>
      <c r="GJ279" s="212"/>
      <c r="GK279" s="212"/>
      <c r="GL279" s="212"/>
      <c r="GM279" s="212"/>
      <c r="GN279" s="212"/>
      <c r="GO279" s="212"/>
      <c r="GP279" s="212"/>
      <c r="GQ279" s="212"/>
      <c r="GR279" s="212"/>
      <c r="GS279" s="212"/>
      <c r="GT279" s="212"/>
      <c r="GU279" s="212"/>
      <c r="GV279" s="212"/>
      <c r="GW279" s="212"/>
      <c r="GX279" s="212"/>
      <c r="GY279" s="212"/>
      <c r="GZ279" s="212"/>
      <c r="HA279" s="212"/>
      <c r="HB279" s="212"/>
      <c r="HC279" s="212"/>
      <c r="HD279" s="212"/>
      <c r="HE279" s="212"/>
      <c r="HF279" s="212"/>
      <c r="HG279" s="212"/>
      <c r="HH279" s="212"/>
      <c r="HI279" s="212"/>
      <c r="HJ279" s="212"/>
      <c r="HK279" s="212"/>
      <c r="HL279" s="212"/>
      <c r="HM279" s="212"/>
      <c r="HN279" s="212"/>
      <c r="HO279" s="212"/>
      <c r="HP279" s="212"/>
      <c r="HQ279" s="212"/>
      <c r="HR279" s="212"/>
      <c r="HS279" s="212"/>
      <c r="HT279" s="212"/>
      <c r="HU279" s="212"/>
      <c r="HV279" s="212"/>
      <c r="HW279" s="212"/>
      <c r="HX279" s="212"/>
      <c r="HY279" s="212"/>
      <c r="HZ279" s="212"/>
      <c r="IA279" s="212"/>
      <c r="IB279" s="212"/>
      <c r="IC279" s="212"/>
      <c r="ID279" s="212"/>
      <c r="IE279" s="212"/>
      <c r="IF279" s="212"/>
      <c r="IG279" s="212"/>
      <c r="IH279" s="212"/>
      <c r="II279" s="212"/>
      <c r="IJ279" s="212"/>
      <c r="IK279" s="212"/>
      <c r="IL279" s="212"/>
      <c r="IM279" s="212"/>
      <c r="IN279" s="212"/>
      <c r="IO279" s="212"/>
      <c r="IP279" s="212"/>
      <c r="IQ279" s="212"/>
      <c r="IR279" s="212"/>
    </row>
    <row r="280" spans="13:252" ht="16.5" hidden="1" thickTop="1" thickBot="1">
      <c r="M280" s="212"/>
      <c r="N280" s="212"/>
      <c r="O280" s="212"/>
      <c r="P280" s="212"/>
      <c r="Q280" s="212"/>
      <c r="R280" s="212"/>
      <c r="S280" s="212"/>
      <c r="T280" s="212"/>
      <c r="U280" s="212"/>
      <c r="V280" s="212"/>
      <c r="W280" s="212"/>
      <c r="X280" s="212"/>
      <c r="Y280" s="212"/>
      <c r="Z280" s="212"/>
      <c r="AA280" s="212"/>
      <c r="AB280" s="212"/>
      <c r="AC280" s="212"/>
      <c r="AD280" s="212"/>
      <c r="AE280" s="212"/>
      <c r="AF280" s="212"/>
      <c r="AG280" s="212"/>
      <c r="AH280" s="212"/>
      <c r="AI280" s="212"/>
      <c r="AJ280" s="212"/>
      <c r="AK280" s="212"/>
      <c r="AL280" s="212"/>
      <c r="AM280" s="212"/>
      <c r="AN280" s="212"/>
      <c r="AO280" s="212"/>
      <c r="AP280" s="212"/>
      <c r="AQ280" s="212"/>
      <c r="AR280" s="212"/>
      <c r="AS280" s="212"/>
      <c r="AT280" s="212"/>
      <c r="AU280" s="212"/>
      <c r="AV280" s="212"/>
      <c r="AW280" s="212"/>
      <c r="AX280" s="212"/>
      <c r="AY280" s="212"/>
      <c r="AZ280" s="212"/>
      <c r="BA280" s="212"/>
      <c r="BB280" s="212"/>
      <c r="BC280" s="212"/>
      <c r="BD280" s="212"/>
      <c r="BE280" s="212"/>
      <c r="BF280" s="212"/>
      <c r="BG280" s="212"/>
      <c r="BH280" s="212"/>
      <c r="BI280" s="212"/>
      <c r="BJ280" s="212"/>
      <c r="BK280" s="212"/>
      <c r="BL280" s="212"/>
      <c r="BM280" s="212"/>
      <c r="BN280" s="212"/>
      <c r="BO280" s="212"/>
      <c r="BP280" s="212"/>
      <c r="BQ280" s="212"/>
      <c r="BR280" s="212"/>
      <c r="BS280" s="212"/>
      <c r="BT280" s="212"/>
      <c r="BU280" s="212"/>
      <c r="BV280" s="212"/>
      <c r="BW280" s="212"/>
      <c r="BX280" s="212"/>
      <c r="BY280" s="212"/>
      <c r="BZ280" s="212"/>
      <c r="CA280" s="212"/>
      <c r="CB280" s="212"/>
      <c r="CC280" s="212"/>
      <c r="CD280" s="212"/>
      <c r="CE280" s="212"/>
      <c r="CF280" s="212"/>
      <c r="CG280" s="212"/>
      <c r="CH280" s="212"/>
      <c r="CI280" s="212"/>
      <c r="CJ280" s="212"/>
      <c r="CK280" s="212"/>
      <c r="CL280" s="212"/>
      <c r="CM280" s="212"/>
      <c r="CN280" s="212"/>
      <c r="CO280" s="212"/>
      <c r="CP280" s="212"/>
      <c r="CQ280" s="212"/>
      <c r="CR280" s="212"/>
      <c r="CS280" s="212"/>
      <c r="CT280" s="212"/>
      <c r="CU280" s="212"/>
      <c r="CV280" s="212"/>
      <c r="CW280" s="212"/>
      <c r="CX280" s="212"/>
      <c r="CY280" s="212"/>
      <c r="CZ280" s="212"/>
      <c r="DA280" s="212"/>
      <c r="DB280" s="212"/>
      <c r="DC280" s="212"/>
      <c r="DD280" s="212"/>
      <c r="DE280" s="212"/>
      <c r="DF280" s="212"/>
      <c r="DG280" s="212"/>
      <c r="DH280" s="212"/>
      <c r="DI280" s="212"/>
      <c r="DJ280" s="212"/>
      <c r="DK280" s="212"/>
      <c r="DL280" s="212"/>
      <c r="DM280" s="212"/>
      <c r="DN280" s="212"/>
      <c r="DO280" s="212"/>
      <c r="DP280" s="212"/>
      <c r="DQ280" s="212"/>
      <c r="DR280" s="212"/>
      <c r="DS280" s="212"/>
      <c r="DT280" s="212"/>
      <c r="DU280" s="212"/>
      <c r="DV280" s="212"/>
      <c r="DW280" s="212"/>
      <c r="DX280" s="212"/>
      <c r="DY280" s="212"/>
      <c r="DZ280" s="212"/>
      <c r="EA280" s="212"/>
      <c r="EB280" s="212"/>
      <c r="EC280" s="212"/>
      <c r="ED280" s="212"/>
      <c r="EE280" s="212"/>
      <c r="EF280" s="212"/>
      <c r="EG280" s="212"/>
      <c r="EH280" s="212"/>
      <c r="EI280" s="212"/>
      <c r="EJ280" s="212"/>
      <c r="EK280" s="212"/>
      <c r="EL280" s="212"/>
      <c r="EM280" s="212"/>
      <c r="EN280" s="212"/>
      <c r="EO280" s="212"/>
      <c r="EP280" s="212"/>
      <c r="EQ280" s="212"/>
      <c r="ER280" s="212"/>
      <c r="ES280" s="212"/>
      <c r="ET280" s="212"/>
      <c r="EU280" s="212"/>
      <c r="EV280" s="212"/>
      <c r="EW280" s="212"/>
      <c r="EX280" s="212"/>
      <c r="EY280" s="212"/>
      <c r="EZ280" s="212"/>
      <c r="FA280" s="212"/>
      <c r="FB280" s="212"/>
      <c r="FC280" s="212"/>
      <c r="FD280" s="212"/>
      <c r="FE280" s="212"/>
      <c r="FF280" s="212"/>
      <c r="FG280" s="212"/>
      <c r="FH280" s="212"/>
      <c r="FI280" s="212"/>
      <c r="FJ280" s="212"/>
      <c r="FK280" s="212"/>
      <c r="FL280" s="212"/>
      <c r="FM280" s="212"/>
      <c r="FN280" s="212"/>
      <c r="FO280" s="212"/>
      <c r="FP280" s="212"/>
      <c r="FQ280" s="212"/>
      <c r="FR280" s="212"/>
      <c r="FS280" s="212"/>
      <c r="FT280" s="212"/>
      <c r="FU280" s="212"/>
      <c r="FV280" s="212"/>
      <c r="FW280" s="212"/>
      <c r="FX280" s="212"/>
      <c r="FY280" s="212"/>
      <c r="FZ280" s="212"/>
      <c r="GA280" s="212"/>
      <c r="GB280" s="212"/>
      <c r="GC280" s="212"/>
      <c r="GD280" s="212"/>
      <c r="GE280" s="212"/>
      <c r="GF280" s="212"/>
      <c r="GG280" s="212"/>
      <c r="GH280" s="212"/>
      <c r="GI280" s="212"/>
      <c r="GJ280" s="212"/>
      <c r="GK280" s="212"/>
      <c r="GL280" s="212"/>
      <c r="GM280" s="212"/>
      <c r="GN280" s="212"/>
      <c r="GO280" s="212"/>
      <c r="GP280" s="212"/>
      <c r="GQ280" s="212"/>
      <c r="GR280" s="212"/>
      <c r="GS280" s="212"/>
      <c r="GT280" s="212"/>
      <c r="GU280" s="212"/>
      <c r="GV280" s="212"/>
      <c r="GW280" s="212"/>
      <c r="GX280" s="212"/>
      <c r="GY280" s="212"/>
      <c r="GZ280" s="212"/>
      <c r="HA280" s="212"/>
      <c r="HB280" s="212"/>
      <c r="HC280" s="212"/>
      <c r="HD280" s="212"/>
      <c r="HE280" s="212"/>
      <c r="HF280" s="212"/>
      <c r="HG280" s="212"/>
      <c r="HH280" s="212"/>
      <c r="HI280" s="212"/>
      <c r="HJ280" s="212"/>
      <c r="HK280" s="212"/>
      <c r="HL280" s="212"/>
      <c r="HM280" s="212"/>
      <c r="HN280" s="212"/>
      <c r="HO280" s="212"/>
      <c r="HP280" s="212"/>
      <c r="HQ280" s="212"/>
      <c r="HR280" s="212"/>
      <c r="HS280" s="212"/>
      <c r="HT280" s="212"/>
      <c r="HU280" s="212"/>
      <c r="HV280" s="212"/>
      <c r="HW280" s="212"/>
      <c r="HX280" s="212"/>
      <c r="HY280" s="212"/>
      <c r="HZ280" s="212"/>
      <c r="IA280" s="212"/>
      <c r="IB280" s="212"/>
      <c r="IC280" s="212"/>
      <c r="ID280" s="212"/>
      <c r="IE280" s="212"/>
      <c r="IF280" s="212"/>
      <c r="IG280" s="212"/>
      <c r="IH280" s="212"/>
      <c r="II280" s="212"/>
      <c r="IJ280" s="212"/>
      <c r="IK280" s="212"/>
      <c r="IL280" s="212"/>
      <c r="IM280" s="212"/>
      <c r="IN280" s="212"/>
      <c r="IO280" s="212"/>
      <c r="IP280" s="212"/>
      <c r="IQ280" s="212"/>
      <c r="IR280" s="212"/>
    </row>
    <row r="281" spans="13:252" ht="16.5" hidden="1" thickTop="1" thickBot="1">
      <c r="M281" s="212"/>
      <c r="N281" s="212"/>
      <c r="O281" s="212"/>
      <c r="P281" s="212"/>
      <c r="Q281" s="212"/>
      <c r="R281" s="212"/>
      <c r="S281" s="212"/>
      <c r="T281" s="212"/>
      <c r="U281" s="212"/>
      <c r="V281" s="212"/>
      <c r="W281" s="212"/>
      <c r="X281" s="212"/>
      <c r="Y281" s="212"/>
      <c r="Z281" s="212"/>
      <c r="AA281" s="212"/>
      <c r="AB281" s="212"/>
      <c r="AC281" s="212"/>
      <c r="AD281" s="212"/>
      <c r="AE281" s="212"/>
      <c r="AF281" s="212"/>
      <c r="AG281" s="212"/>
      <c r="AH281" s="212"/>
      <c r="AI281" s="212"/>
      <c r="AJ281" s="212"/>
      <c r="AK281" s="212"/>
      <c r="AL281" s="212"/>
      <c r="AM281" s="212"/>
      <c r="AN281" s="212"/>
      <c r="AO281" s="212"/>
      <c r="AP281" s="212"/>
      <c r="AQ281" s="212"/>
      <c r="AR281" s="212"/>
      <c r="AS281" s="212"/>
      <c r="AT281" s="212"/>
      <c r="AU281" s="212"/>
      <c r="AV281" s="212"/>
      <c r="AW281" s="212"/>
      <c r="AX281" s="212"/>
      <c r="AY281" s="212"/>
      <c r="AZ281" s="212"/>
      <c r="BA281" s="212"/>
      <c r="BB281" s="212"/>
      <c r="BC281" s="212"/>
      <c r="BD281" s="212"/>
      <c r="BE281" s="212"/>
      <c r="BF281" s="212"/>
      <c r="BG281" s="212"/>
      <c r="BH281" s="212"/>
      <c r="BI281" s="212"/>
      <c r="BJ281" s="212"/>
      <c r="BK281" s="212"/>
      <c r="BL281" s="212"/>
      <c r="BM281" s="212"/>
      <c r="BN281" s="212"/>
      <c r="BO281" s="212"/>
      <c r="BP281" s="212"/>
      <c r="BQ281" s="212"/>
      <c r="BR281" s="212"/>
      <c r="BS281" s="212"/>
      <c r="BT281" s="212"/>
      <c r="BU281" s="212"/>
      <c r="BV281" s="212"/>
      <c r="BW281" s="212"/>
      <c r="BX281" s="212"/>
      <c r="BY281" s="212"/>
      <c r="BZ281" s="212"/>
      <c r="CA281" s="212"/>
      <c r="CB281" s="212"/>
      <c r="CC281" s="212"/>
      <c r="CD281" s="212"/>
      <c r="CE281" s="212"/>
      <c r="CF281" s="212"/>
      <c r="CG281" s="212"/>
      <c r="CH281" s="212"/>
      <c r="CI281" s="212"/>
      <c r="CJ281" s="212"/>
      <c r="CK281" s="212"/>
      <c r="CL281" s="212"/>
      <c r="CM281" s="212"/>
      <c r="CN281" s="212"/>
      <c r="CO281" s="212"/>
      <c r="CP281" s="212"/>
      <c r="CQ281" s="212"/>
      <c r="CR281" s="212"/>
      <c r="CS281" s="212"/>
      <c r="CT281" s="212"/>
      <c r="CU281" s="212"/>
      <c r="CV281" s="212"/>
      <c r="CW281" s="212"/>
      <c r="CX281" s="212"/>
      <c r="CY281" s="212"/>
      <c r="CZ281" s="212"/>
      <c r="DA281" s="212"/>
      <c r="DB281" s="212"/>
      <c r="DC281" s="212"/>
      <c r="DD281" s="212"/>
      <c r="DE281" s="212"/>
      <c r="DF281" s="212"/>
      <c r="DG281" s="212"/>
      <c r="DH281" s="212"/>
      <c r="DI281" s="212"/>
      <c r="DJ281" s="212"/>
      <c r="DK281" s="212"/>
      <c r="DL281" s="212"/>
      <c r="DM281" s="212"/>
      <c r="DN281" s="212"/>
      <c r="DO281" s="212"/>
      <c r="DP281" s="212"/>
      <c r="DQ281" s="212"/>
      <c r="DR281" s="212"/>
      <c r="DS281" s="212"/>
      <c r="DT281" s="212"/>
      <c r="DU281" s="212"/>
      <c r="DV281" s="212"/>
      <c r="DW281" s="212"/>
      <c r="DX281" s="212"/>
      <c r="DY281" s="212"/>
      <c r="DZ281" s="212"/>
      <c r="EA281" s="212"/>
      <c r="EB281" s="212"/>
      <c r="EC281" s="212"/>
      <c r="ED281" s="212"/>
      <c r="EE281" s="212"/>
      <c r="EF281" s="212"/>
      <c r="EG281" s="212"/>
      <c r="EH281" s="212"/>
      <c r="EI281" s="212"/>
      <c r="EJ281" s="212"/>
      <c r="EK281" s="212"/>
      <c r="EL281" s="212"/>
      <c r="EM281" s="212"/>
      <c r="EN281" s="212"/>
      <c r="EO281" s="212"/>
      <c r="EP281" s="212"/>
      <c r="EQ281" s="212"/>
      <c r="ER281" s="212"/>
      <c r="ES281" s="212"/>
      <c r="ET281" s="212"/>
      <c r="EU281" s="212"/>
      <c r="EV281" s="212"/>
      <c r="EW281" s="212"/>
      <c r="EX281" s="212"/>
      <c r="EY281" s="212"/>
      <c r="EZ281" s="212"/>
      <c r="FA281" s="212"/>
      <c r="FB281" s="212"/>
      <c r="FC281" s="212"/>
      <c r="FD281" s="212"/>
      <c r="FE281" s="212"/>
      <c r="FF281" s="212"/>
      <c r="FG281" s="212"/>
      <c r="FH281" s="212"/>
      <c r="FI281" s="212"/>
      <c r="FJ281" s="212"/>
      <c r="FK281" s="212"/>
      <c r="FL281" s="212"/>
      <c r="FM281" s="212"/>
      <c r="FN281" s="212"/>
      <c r="FO281" s="212"/>
      <c r="FP281" s="212"/>
      <c r="FQ281" s="212"/>
      <c r="FR281" s="212"/>
      <c r="FS281" s="212"/>
      <c r="FT281" s="212"/>
      <c r="FU281" s="212"/>
      <c r="FV281" s="212"/>
      <c r="FW281" s="212"/>
      <c r="FX281" s="212"/>
      <c r="FY281" s="212"/>
      <c r="FZ281" s="212"/>
      <c r="GA281" s="212"/>
      <c r="GB281" s="212"/>
      <c r="GC281" s="212"/>
      <c r="GD281" s="212"/>
      <c r="GE281" s="212"/>
      <c r="GF281" s="212"/>
      <c r="GG281" s="212"/>
      <c r="GH281" s="212"/>
      <c r="GI281" s="212"/>
      <c r="GJ281" s="212"/>
      <c r="GK281" s="212"/>
      <c r="GL281" s="212"/>
      <c r="GM281" s="212"/>
      <c r="GN281" s="212"/>
      <c r="GO281" s="212"/>
      <c r="GP281" s="212"/>
      <c r="GQ281" s="212"/>
      <c r="GR281" s="212"/>
      <c r="GS281" s="212"/>
      <c r="GT281" s="212"/>
      <c r="GU281" s="212"/>
      <c r="GV281" s="212"/>
      <c r="GW281" s="212"/>
      <c r="GX281" s="212"/>
      <c r="GY281" s="212"/>
      <c r="GZ281" s="212"/>
      <c r="HA281" s="212"/>
      <c r="HB281" s="212"/>
      <c r="HC281" s="212"/>
      <c r="HD281" s="212"/>
      <c r="HE281" s="212"/>
      <c r="HF281" s="212"/>
      <c r="HG281" s="212"/>
      <c r="HH281" s="212"/>
      <c r="HI281" s="212"/>
      <c r="HJ281" s="212"/>
      <c r="HK281" s="212"/>
      <c r="HL281" s="212"/>
      <c r="HM281" s="212"/>
      <c r="HN281" s="212"/>
      <c r="HO281" s="212"/>
      <c r="HP281" s="212"/>
      <c r="HQ281" s="212"/>
      <c r="HR281" s="212"/>
      <c r="HS281" s="212"/>
      <c r="HT281" s="212"/>
      <c r="HU281" s="212"/>
      <c r="HV281" s="212"/>
      <c r="HW281" s="212"/>
      <c r="HX281" s="212"/>
      <c r="HY281" s="212"/>
      <c r="HZ281" s="212"/>
      <c r="IA281" s="212"/>
      <c r="IB281" s="212"/>
      <c r="IC281" s="212"/>
      <c r="ID281" s="212"/>
      <c r="IE281" s="212"/>
      <c r="IF281" s="212"/>
      <c r="IG281" s="212"/>
      <c r="IH281" s="212"/>
      <c r="II281" s="212"/>
      <c r="IJ281" s="212"/>
      <c r="IK281" s="212"/>
      <c r="IL281" s="212"/>
      <c r="IM281" s="212"/>
      <c r="IN281" s="212"/>
      <c r="IO281" s="212"/>
      <c r="IP281" s="212"/>
      <c r="IQ281" s="212"/>
      <c r="IR281" s="212"/>
    </row>
    <row r="282" spans="13:252" ht="16.5" hidden="1" thickTop="1" thickBot="1">
      <c r="M282" s="212"/>
      <c r="N282" s="212"/>
      <c r="O282" s="212"/>
      <c r="P282" s="212"/>
      <c r="Q282" s="212"/>
      <c r="R282" s="212"/>
      <c r="S282" s="212"/>
      <c r="T282" s="212"/>
      <c r="U282" s="212"/>
      <c r="V282" s="212"/>
      <c r="W282" s="212"/>
      <c r="X282" s="212"/>
      <c r="Y282" s="212"/>
      <c r="Z282" s="212"/>
      <c r="AA282" s="212"/>
      <c r="AB282" s="212"/>
      <c r="AC282" s="212"/>
      <c r="AD282" s="212"/>
      <c r="AE282" s="212"/>
      <c r="AF282" s="212"/>
      <c r="AG282" s="212"/>
      <c r="AH282" s="212"/>
      <c r="AI282" s="212"/>
      <c r="AJ282" s="212"/>
      <c r="AK282" s="212"/>
      <c r="AL282" s="212"/>
      <c r="AM282" s="212"/>
      <c r="AN282" s="212"/>
      <c r="AO282" s="212"/>
      <c r="AP282" s="212"/>
      <c r="AQ282" s="212"/>
      <c r="AR282" s="212"/>
      <c r="AS282" s="212"/>
      <c r="AT282" s="212"/>
      <c r="AU282" s="212"/>
      <c r="AV282" s="212"/>
      <c r="AW282" s="212"/>
      <c r="AX282" s="212"/>
      <c r="AY282" s="212"/>
      <c r="AZ282" s="212"/>
      <c r="BA282" s="212"/>
      <c r="BB282" s="212"/>
      <c r="BC282" s="212"/>
      <c r="BD282" s="212"/>
      <c r="BE282" s="212"/>
      <c r="BF282" s="212"/>
      <c r="BG282" s="212"/>
      <c r="BH282" s="212"/>
      <c r="BI282" s="212"/>
      <c r="BJ282" s="212"/>
      <c r="BK282" s="212"/>
      <c r="BL282" s="212"/>
      <c r="BM282" s="212"/>
      <c r="BN282" s="212"/>
      <c r="BO282" s="212"/>
      <c r="BP282" s="212"/>
      <c r="BQ282" s="212"/>
      <c r="BR282" s="212"/>
      <c r="BS282" s="212"/>
      <c r="BT282" s="212"/>
      <c r="BU282" s="212"/>
      <c r="BV282" s="212"/>
      <c r="BW282" s="212"/>
      <c r="BX282" s="212"/>
      <c r="BY282" s="212"/>
      <c r="BZ282" s="212"/>
      <c r="CA282" s="212"/>
      <c r="CB282" s="212"/>
      <c r="CC282" s="212"/>
      <c r="CD282" s="212"/>
      <c r="CE282" s="212"/>
      <c r="CF282" s="212"/>
      <c r="CG282" s="212"/>
      <c r="CH282" s="212"/>
      <c r="CI282" s="212"/>
      <c r="CJ282" s="212"/>
      <c r="CK282" s="212"/>
      <c r="CL282" s="212"/>
      <c r="CM282" s="212"/>
      <c r="CN282" s="212"/>
      <c r="CO282" s="212"/>
      <c r="CP282" s="212"/>
      <c r="CQ282" s="212"/>
      <c r="CR282" s="212"/>
      <c r="CS282" s="212"/>
      <c r="CT282" s="212"/>
      <c r="CU282" s="212"/>
      <c r="CV282" s="212"/>
      <c r="CW282" s="212"/>
      <c r="CX282" s="212"/>
      <c r="CY282" s="212"/>
      <c r="CZ282" s="212"/>
      <c r="DA282" s="212"/>
      <c r="DB282" s="212"/>
      <c r="DC282" s="212"/>
      <c r="DD282" s="212"/>
      <c r="DE282" s="212"/>
      <c r="DF282" s="212"/>
      <c r="DG282" s="212"/>
      <c r="DH282" s="212"/>
      <c r="DI282" s="212"/>
      <c r="DJ282" s="212"/>
      <c r="DK282" s="212"/>
      <c r="DL282" s="212"/>
      <c r="DM282" s="212"/>
      <c r="DN282" s="212"/>
      <c r="DO282" s="212"/>
      <c r="DP282" s="212"/>
      <c r="DQ282" s="212"/>
      <c r="DR282" s="212"/>
      <c r="DS282" s="212"/>
      <c r="DT282" s="212"/>
      <c r="DU282" s="212"/>
      <c r="DV282" s="212"/>
      <c r="DW282" s="212"/>
      <c r="DX282" s="212"/>
      <c r="DY282" s="212"/>
      <c r="DZ282" s="212"/>
      <c r="EA282" s="212"/>
      <c r="EB282" s="212"/>
      <c r="EC282" s="212"/>
      <c r="ED282" s="212"/>
      <c r="EE282" s="212"/>
      <c r="EF282" s="212"/>
      <c r="EG282" s="212"/>
      <c r="EH282" s="212"/>
      <c r="EI282" s="212"/>
      <c r="EJ282" s="212"/>
      <c r="EK282" s="212"/>
      <c r="EL282" s="212"/>
      <c r="EM282" s="212"/>
      <c r="EN282" s="212"/>
      <c r="EO282" s="212"/>
      <c r="EP282" s="212"/>
      <c r="EQ282" s="212"/>
      <c r="ER282" s="212"/>
      <c r="ES282" s="212"/>
      <c r="ET282" s="212"/>
      <c r="EU282" s="212"/>
      <c r="EV282" s="212"/>
      <c r="EW282" s="212"/>
      <c r="EX282" s="212"/>
      <c r="EY282" s="212"/>
      <c r="EZ282" s="212"/>
      <c r="FA282" s="212"/>
      <c r="FB282" s="212"/>
      <c r="FC282" s="212"/>
      <c r="FD282" s="212"/>
      <c r="FE282" s="212"/>
      <c r="FF282" s="212"/>
      <c r="FG282" s="212"/>
      <c r="FH282" s="212"/>
      <c r="FI282" s="212"/>
      <c r="FJ282" s="212"/>
      <c r="FK282" s="212"/>
      <c r="FL282" s="212"/>
      <c r="FM282" s="212"/>
      <c r="FN282" s="212"/>
      <c r="FO282" s="212"/>
      <c r="FP282" s="212"/>
      <c r="FQ282" s="212"/>
      <c r="FR282" s="212"/>
      <c r="FS282" s="212"/>
      <c r="FT282" s="212"/>
      <c r="FU282" s="212"/>
      <c r="FV282" s="212"/>
      <c r="FW282" s="212"/>
      <c r="FX282" s="212"/>
      <c r="FY282" s="212"/>
      <c r="FZ282" s="212"/>
      <c r="GA282" s="212"/>
      <c r="GB282" s="212"/>
      <c r="GC282" s="212"/>
      <c r="GD282" s="212"/>
      <c r="GE282" s="212"/>
      <c r="GF282" s="212"/>
      <c r="GG282" s="212"/>
      <c r="GH282" s="212"/>
      <c r="GI282" s="212"/>
      <c r="GJ282" s="212"/>
      <c r="GK282" s="212"/>
      <c r="GL282" s="212"/>
      <c r="GM282" s="212"/>
      <c r="GN282" s="212"/>
      <c r="GO282" s="212"/>
      <c r="GP282" s="212"/>
      <c r="GQ282" s="212"/>
      <c r="GR282" s="212"/>
      <c r="GS282" s="212"/>
      <c r="GT282" s="212"/>
      <c r="GU282" s="212"/>
      <c r="GV282" s="212"/>
      <c r="GW282" s="212"/>
      <c r="GX282" s="212"/>
      <c r="GY282" s="212"/>
      <c r="GZ282" s="212"/>
      <c r="HA282" s="212"/>
      <c r="HB282" s="212"/>
      <c r="HC282" s="212"/>
      <c r="HD282" s="212"/>
      <c r="HE282" s="212"/>
      <c r="HF282" s="212"/>
      <c r="HG282" s="212"/>
      <c r="HH282" s="212"/>
      <c r="HI282" s="212"/>
      <c r="HJ282" s="212"/>
      <c r="HK282" s="212"/>
      <c r="HL282" s="212"/>
      <c r="HM282" s="212"/>
      <c r="HN282" s="212"/>
      <c r="HO282" s="212"/>
      <c r="HP282" s="212"/>
      <c r="HQ282" s="212"/>
      <c r="HR282" s="212"/>
      <c r="HS282" s="212"/>
      <c r="HT282" s="212"/>
      <c r="HU282" s="212"/>
      <c r="HV282" s="212"/>
      <c r="HW282" s="212"/>
      <c r="HX282" s="212"/>
      <c r="HY282" s="212"/>
      <c r="HZ282" s="212"/>
      <c r="IA282" s="212"/>
      <c r="IB282" s="212"/>
      <c r="IC282" s="212"/>
      <c r="ID282" s="212"/>
      <c r="IE282" s="212"/>
      <c r="IF282" s="212"/>
      <c r="IG282" s="212"/>
      <c r="IH282" s="212"/>
      <c r="II282" s="212"/>
      <c r="IJ282" s="212"/>
      <c r="IK282" s="212"/>
      <c r="IL282" s="212"/>
      <c r="IM282" s="212"/>
      <c r="IN282" s="212"/>
      <c r="IO282" s="212"/>
      <c r="IP282" s="212"/>
      <c r="IQ282" s="212"/>
      <c r="IR282" s="212"/>
    </row>
    <row r="283" spans="13:252" ht="16.5" thickTop="1" thickBot="1">
      <c r="M283" s="212"/>
      <c r="N283" s="212"/>
      <c r="O283" s="212"/>
      <c r="P283" s="212"/>
      <c r="Q283" s="212"/>
      <c r="R283" s="212"/>
      <c r="S283" s="212"/>
      <c r="T283" s="212"/>
      <c r="U283" s="212"/>
      <c r="V283" s="212"/>
      <c r="W283" s="212"/>
      <c r="X283" s="212"/>
      <c r="Y283" s="212"/>
      <c r="Z283" s="212"/>
      <c r="AA283" s="212"/>
      <c r="AB283" s="212"/>
      <c r="AC283" s="212"/>
      <c r="AD283" s="212"/>
      <c r="AE283" s="212"/>
      <c r="AF283" s="212"/>
      <c r="AG283" s="212"/>
      <c r="AH283" s="212"/>
      <c r="AI283" s="212"/>
      <c r="AJ283" s="212"/>
      <c r="AK283" s="212"/>
      <c r="AL283" s="212"/>
      <c r="AM283" s="212"/>
      <c r="AN283" s="212"/>
      <c r="AO283" s="212"/>
      <c r="AP283" s="212"/>
      <c r="AQ283" s="212"/>
      <c r="AR283" s="212"/>
      <c r="AS283" s="212"/>
      <c r="AT283" s="212"/>
      <c r="AU283" s="212"/>
      <c r="AV283" s="212"/>
      <c r="AW283" s="212"/>
      <c r="AX283" s="212"/>
      <c r="AY283" s="212"/>
      <c r="AZ283" s="212"/>
      <c r="BA283" s="212"/>
      <c r="BB283" s="212"/>
      <c r="BC283" s="212"/>
      <c r="BD283" s="212"/>
      <c r="BE283" s="212"/>
      <c r="BF283" s="212"/>
      <c r="BG283" s="212"/>
      <c r="BH283" s="212"/>
      <c r="BI283" s="212"/>
      <c r="BJ283" s="212"/>
      <c r="BK283" s="212"/>
      <c r="BL283" s="212"/>
      <c r="BM283" s="212"/>
      <c r="BN283" s="212"/>
      <c r="BO283" s="212"/>
      <c r="BP283" s="212"/>
      <c r="BQ283" s="212"/>
      <c r="BR283" s="212"/>
      <c r="BS283" s="212"/>
      <c r="BT283" s="212"/>
      <c r="BU283" s="212"/>
      <c r="BV283" s="212"/>
      <c r="BW283" s="212"/>
      <c r="BX283" s="212"/>
      <c r="BY283" s="212"/>
      <c r="BZ283" s="212"/>
      <c r="CA283" s="212"/>
      <c r="CB283" s="212"/>
      <c r="CC283" s="212"/>
      <c r="CD283" s="212"/>
      <c r="CE283" s="212"/>
      <c r="CF283" s="212"/>
      <c r="CG283" s="212"/>
      <c r="CH283" s="212"/>
      <c r="CI283" s="212"/>
      <c r="CJ283" s="212"/>
      <c r="CK283" s="212"/>
      <c r="CL283" s="212"/>
      <c r="CM283" s="212"/>
      <c r="CN283" s="212"/>
      <c r="CO283" s="212"/>
      <c r="CP283" s="212"/>
      <c r="CQ283" s="212"/>
      <c r="CR283" s="212"/>
      <c r="CS283" s="212"/>
      <c r="CT283" s="212"/>
      <c r="CU283" s="212"/>
      <c r="CV283" s="212"/>
      <c r="CW283" s="212"/>
      <c r="CX283" s="212"/>
      <c r="CY283" s="212"/>
      <c r="CZ283" s="212"/>
      <c r="DA283" s="212"/>
      <c r="DB283" s="212"/>
      <c r="DC283" s="212"/>
      <c r="DD283" s="212"/>
      <c r="DE283" s="212"/>
      <c r="DF283" s="212"/>
      <c r="DG283" s="212"/>
      <c r="DH283" s="212"/>
      <c r="DI283" s="212"/>
      <c r="DJ283" s="212"/>
      <c r="DK283" s="212"/>
      <c r="DL283" s="212"/>
      <c r="DM283" s="212"/>
      <c r="DN283" s="212"/>
      <c r="DO283" s="212"/>
      <c r="DP283" s="212"/>
      <c r="DQ283" s="212"/>
      <c r="DR283" s="212"/>
      <c r="DS283" s="212"/>
      <c r="DT283" s="212"/>
      <c r="DU283" s="212"/>
      <c r="DV283" s="212"/>
      <c r="DW283" s="212"/>
      <c r="DX283" s="212"/>
      <c r="DY283" s="212"/>
      <c r="DZ283" s="212"/>
      <c r="EA283" s="212"/>
      <c r="EB283" s="212"/>
      <c r="EC283" s="212"/>
      <c r="ED283" s="212"/>
      <c r="EE283" s="212"/>
      <c r="EF283" s="212"/>
      <c r="EG283" s="212"/>
      <c r="EH283" s="212"/>
      <c r="EI283" s="212"/>
      <c r="EJ283" s="212"/>
      <c r="EK283" s="212"/>
      <c r="EL283" s="212"/>
      <c r="EM283" s="212"/>
      <c r="EN283" s="212"/>
      <c r="EO283" s="212"/>
      <c r="EP283" s="212"/>
      <c r="EQ283" s="212"/>
      <c r="ER283" s="212"/>
      <c r="ES283" s="212"/>
      <c r="ET283" s="212"/>
      <c r="EU283" s="212"/>
      <c r="EV283" s="212"/>
      <c r="EW283" s="212"/>
      <c r="EX283" s="212"/>
      <c r="EY283" s="212"/>
      <c r="EZ283" s="212"/>
      <c r="FA283" s="212"/>
      <c r="FB283" s="212"/>
      <c r="FC283" s="212"/>
      <c r="FD283" s="212"/>
      <c r="FE283" s="212"/>
      <c r="FF283" s="212"/>
      <c r="FG283" s="212"/>
      <c r="FH283" s="212"/>
      <c r="FI283" s="212"/>
      <c r="FJ283" s="212"/>
      <c r="FK283" s="212"/>
      <c r="FL283" s="212"/>
      <c r="FM283" s="212"/>
      <c r="FN283" s="212"/>
      <c r="FO283" s="212"/>
      <c r="FP283" s="212"/>
      <c r="FQ283" s="212"/>
      <c r="FR283" s="212"/>
      <c r="FS283" s="212"/>
      <c r="FT283" s="212"/>
      <c r="FU283" s="212"/>
      <c r="FV283" s="212"/>
      <c r="FW283" s="212"/>
      <c r="FX283" s="212"/>
      <c r="FY283" s="212"/>
      <c r="FZ283" s="212"/>
      <c r="GA283" s="212"/>
      <c r="GB283" s="212"/>
      <c r="GC283" s="212"/>
      <c r="GD283" s="212"/>
      <c r="GE283" s="212"/>
      <c r="GF283" s="212"/>
      <c r="GG283" s="212"/>
      <c r="GH283" s="212"/>
      <c r="GI283" s="212"/>
      <c r="GJ283" s="212"/>
      <c r="GK283" s="212"/>
      <c r="GL283" s="212"/>
      <c r="GM283" s="212"/>
      <c r="GN283" s="212"/>
      <c r="GO283" s="212"/>
      <c r="GP283" s="212"/>
      <c r="GQ283" s="212"/>
      <c r="GR283" s="212"/>
      <c r="GS283" s="212"/>
      <c r="GT283" s="212"/>
      <c r="GU283" s="212"/>
      <c r="GV283" s="212"/>
      <c r="GW283" s="212"/>
      <c r="GX283" s="212"/>
      <c r="GY283" s="212"/>
      <c r="GZ283" s="212"/>
      <c r="HA283" s="212"/>
      <c r="HB283" s="212"/>
      <c r="HC283" s="212"/>
      <c r="HD283" s="212"/>
      <c r="HE283" s="212"/>
      <c r="HF283" s="212"/>
      <c r="HG283" s="212"/>
      <c r="HH283" s="212"/>
      <c r="HI283" s="212"/>
      <c r="HJ283" s="212"/>
      <c r="HK283" s="212"/>
      <c r="HL283" s="212"/>
      <c r="HM283" s="212"/>
      <c r="HN283" s="212"/>
      <c r="HO283" s="212"/>
      <c r="HP283" s="212"/>
      <c r="HQ283" s="212"/>
      <c r="HR283" s="212"/>
      <c r="HS283" s="212"/>
      <c r="HT283" s="212"/>
      <c r="HU283" s="212"/>
      <c r="HV283" s="212"/>
      <c r="HW283" s="212"/>
      <c r="HX283" s="212"/>
      <c r="HY283" s="212"/>
      <c r="HZ283" s="212"/>
      <c r="IA283" s="212"/>
      <c r="IB283" s="212"/>
      <c r="IC283" s="212"/>
      <c r="ID283" s="212"/>
      <c r="IE283" s="212"/>
      <c r="IF283" s="212"/>
      <c r="IG283" s="212"/>
      <c r="IH283" s="212"/>
      <c r="II283" s="212"/>
      <c r="IJ283" s="212"/>
      <c r="IK283" s="212"/>
      <c r="IL283" s="212"/>
      <c r="IM283" s="212"/>
      <c r="IN283" s="212"/>
      <c r="IO283" s="212"/>
      <c r="IP283" s="212"/>
      <c r="IQ283" s="212"/>
      <c r="IR283" s="212"/>
    </row>
    <row r="284" spans="13:252" ht="16.5" thickTop="1" thickBot="1">
      <c r="M284" s="212"/>
      <c r="N284" s="212"/>
      <c r="O284" s="212"/>
      <c r="P284" s="212"/>
      <c r="Q284" s="212"/>
      <c r="R284" s="212"/>
      <c r="S284" s="212"/>
      <c r="T284" s="212"/>
      <c r="U284" s="212"/>
      <c r="V284" s="212"/>
      <c r="W284" s="212"/>
      <c r="X284" s="212"/>
      <c r="Y284" s="212"/>
      <c r="Z284" s="212"/>
      <c r="AA284" s="212"/>
      <c r="AB284" s="212"/>
      <c r="AC284" s="212"/>
      <c r="AD284" s="212"/>
      <c r="AE284" s="212"/>
      <c r="AF284" s="212"/>
      <c r="AG284" s="212"/>
      <c r="AH284" s="212"/>
      <c r="AI284" s="212"/>
      <c r="AJ284" s="212"/>
      <c r="AK284" s="212"/>
      <c r="AL284" s="212"/>
      <c r="AM284" s="212"/>
      <c r="AN284" s="212"/>
      <c r="AO284" s="212"/>
      <c r="AP284" s="212"/>
      <c r="AQ284" s="212"/>
      <c r="AR284" s="212"/>
      <c r="AS284" s="212"/>
      <c r="AT284" s="212"/>
      <c r="AU284" s="212"/>
      <c r="AV284" s="212"/>
      <c r="AW284" s="212"/>
      <c r="AX284" s="212"/>
      <c r="AY284" s="212"/>
      <c r="AZ284" s="212"/>
      <c r="BA284" s="212"/>
      <c r="BB284" s="212"/>
      <c r="BC284" s="212"/>
      <c r="BD284" s="212"/>
      <c r="BE284" s="212"/>
      <c r="BF284" s="212"/>
      <c r="BG284" s="212"/>
      <c r="BH284" s="212"/>
      <c r="BI284" s="212"/>
      <c r="BJ284" s="212"/>
      <c r="BK284" s="212"/>
      <c r="BL284" s="212"/>
      <c r="BM284" s="212"/>
      <c r="BN284" s="212"/>
      <c r="BO284" s="212"/>
      <c r="BP284" s="212"/>
      <c r="BQ284" s="212"/>
      <c r="BR284" s="212"/>
      <c r="BS284" s="212"/>
      <c r="BT284" s="212"/>
      <c r="BU284" s="212"/>
      <c r="BV284" s="212"/>
      <c r="BW284" s="212"/>
      <c r="BX284" s="212"/>
      <c r="BY284" s="212"/>
      <c r="BZ284" s="212"/>
      <c r="CA284" s="212"/>
      <c r="CB284" s="212"/>
      <c r="CC284" s="212"/>
      <c r="CD284" s="212"/>
      <c r="CE284" s="212"/>
      <c r="CF284" s="212"/>
      <c r="CG284" s="212"/>
      <c r="CH284" s="212"/>
      <c r="CI284" s="212"/>
      <c r="CJ284" s="212"/>
      <c r="CK284" s="212"/>
      <c r="CL284" s="212"/>
      <c r="CM284" s="212"/>
      <c r="CN284" s="212"/>
      <c r="CO284" s="212"/>
      <c r="CP284" s="212"/>
      <c r="CQ284" s="212"/>
      <c r="CR284" s="212"/>
      <c r="CS284" s="212"/>
      <c r="CT284" s="212"/>
      <c r="CU284" s="212"/>
      <c r="CV284" s="212"/>
      <c r="CW284" s="212"/>
      <c r="CX284" s="212"/>
      <c r="CY284" s="212"/>
      <c r="CZ284" s="212"/>
      <c r="DA284" s="212"/>
      <c r="DB284" s="212"/>
      <c r="DC284" s="212"/>
      <c r="DD284" s="212"/>
      <c r="DE284" s="212"/>
      <c r="DF284" s="212"/>
      <c r="DG284" s="212"/>
      <c r="DH284" s="212"/>
      <c r="DI284" s="212"/>
      <c r="DJ284" s="212"/>
      <c r="DK284" s="212"/>
      <c r="DL284" s="212"/>
      <c r="DM284" s="212"/>
      <c r="DN284" s="212"/>
      <c r="DO284" s="212"/>
      <c r="DP284" s="212"/>
      <c r="DQ284" s="212"/>
      <c r="DR284" s="212"/>
      <c r="DS284" s="212"/>
      <c r="DT284" s="212"/>
      <c r="DU284" s="212"/>
      <c r="DV284" s="212"/>
      <c r="DW284" s="212"/>
      <c r="DX284" s="212"/>
      <c r="DY284" s="212"/>
      <c r="DZ284" s="212"/>
      <c r="EA284" s="212"/>
      <c r="EB284" s="212"/>
      <c r="EC284" s="212"/>
      <c r="ED284" s="212"/>
      <c r="EE284" s="212"/>
      <c r="EF284" s="212"/>
      <c r="EG284" s="212"/>
      <c r="EH284" s="212"/>
      <c r="EI284" s="212"/>
      <c r="EJ284" s="212"/>
      <c r="EK284" s="212"/>
      <c r="EL284" s="212"/>
      <c r="EM284" s="212"/>
      <c r="EN284" s="212"/>
      <c r="EO284" s="212"/>
      <c r="EP284" s="212"/>
      <c r="EQ284" s="212"/>
      <c r="ER284" s="212"/>
      <c r="ES284" s="212"/>
      <c r="ET284" s="212"/>
      <c r="EU284" s="212"/>
      <c r="EV284" s="212"/>
      <c r="EW284" s="212"/>
      <c r="EX284" s="212"/>
      <c r="EY284" s="212"/>
      <c r="EZ284" s="212"/>
      <c r="FA284" s="212"/>
      <c r="FB284" s="212"/>
      <c r="FC284" s="212"/>
      <c r="FD284" s="212"/>
      <c r="FE284" s="212"/>
      <c r="FF284" s="212"/>
      <c r="FG284" s="212"/>
      <c r="FH284" s="212"/>
      <c r="FI284" s="212"/>
      <c r="FJ284" s="212"/>
      <c r="FK284" s="212"/>
      <c r="FL284" s="212"/>
      <c r="FM284" s="212"/>
      <c r="FN284" s="212"/>
      <c r="FO284" s="212"/>
      <c r="FP284" s="212"/>
      <c r="FQ284" s="212"/>
      <c r="FR284" s="212"/>
      <c r="FS284" s="212"/>
      <c r="FT284" s="212"/>
      <c r="FU284" s="212"/>
      <c r="FV284" s="212"/>
      <c r="FW284" s="212"/>
      <c r="FX284" s="212"/>
      <c r="FY284" s="212"/>
      <c r="FZ284" s="212"/>
      <c r="GA284" s="212"/>
      <c r="GB284" s="212"/>
      <c r="GC284" s="212"/>
      <c r="GD284" s="212"/>
      <c r="GE284" s="212"/>
      <c r="GF284" s="212"/>
      <c r="GG284" s="212"/>
      <c r="GH284" s="212"/>
      <c r="GI284" s="212"/>
      <c r="GJ284" s="212"/>
      <c r="GK284" s="212"/>
      <c r="GL284" s="212"/>
      <c r="GM284" s="212"/>
      <c r="GN284" s="212"/>
      <c r="GO284" s="212"/>
      <c r="GP284" s="212"/>
      <c r="GQ284" s="212"/>
      <c r="GR284" s="212"/>
      <c r="GS284" s="212"/>
      <c r="GT284" s="212"/>
      <c r="GU284" s="212"/>
      <c r="GV284" s="212"/>
      <c r="GW284" s="212"/>
      <c r="GX284" s="212"/>
      <c r="GY284" s="212"/>
      <c r="GZ284" s="212"/>
      <c r="HA284" s="212"/>
      <c r="HB284" s="212"/>
      <c r="HC284" s="212"/>
      <c r="HD284" s="212"/>
      <c r="HE284" s="212"/>
      <c r="HF284" s="212"/>
      <c r="HG284" s="212"/>
      <c r="HH284" s="212"/>
      <c r="HI284" s="212"/>
      <c r="HJ284" s="212"/>
      <c r="HK284" s="212"/>
      <c r="HL284" s="212"/>
      <c r="HM284" s="212"/>
      <c r="HN284" s="212"/>
      <c r="HO284" s="212"/>
      <c r="HP284" s="212"/>
      <c r="HQ284" s="212"/>
      <c r="HR284" s="212"/>
      <c r="HS284" s="212"/>
      <c r="HT284" s="212"/>
      <c r="HU284" s="212"/>
      <c r="HV284" s="212"/>
      <c r="HW284" s="212"/>
      <c r="HX284" s="212"/>
      <c r="HY284" s="212"/>
      <c r="HZ284" s="212"/>
      <c r="IA284" s="212"/>
      <c r="IB284" s="212"/>
      <c r="IC284" s="212"/>
      <c r="ID284" s="212"/>
      <c r="IE284" s="212"/>
      <c r="IF284" s="212"/>
      <c r="IG284" s="212"/>
      <c r="IH284" s="212"/>
      <c r="II284" s="212"/>
      <c r="IJ284" s="212"/>
      <c r="IK284" s="212"/>
      <c r="IL284" s="212"/>
      <c r="IM284" s="212"/>
      <c r="IN284" s="212"/>
      <c r="IO284" s="212"/>
      <c r="IP284" s="212"/>
      <c r="IQ284" s="212"/>
      <c r="IR284" s="212"/>
    </row>
    <row r="285" spans="13:252" ht="16.5" thickTop="1" thickBot="1">
      <c r="M285" s="212"/>
      <c r="N285" s="212"/>
      <c r="O285" s="212"/>
      <c r="P285" s="212"/>
      <c r="Q285" s="212"/>
      <c r="R285" s="212"/>
      <c r="S285" s="212"/>
      <c r="T285" s="212"/>
      <c r="U285" s="212"/>
      <c r="V285" s="212"/>
      <c r="W285" s="212"/>
      <c r="X285" s="212"/>
      <c r="Y285" s="212"/>
      <c r="Z285" s="212"/>
      <c r="AA285" s="212"/>
      <c r="AB285" s="212"/>
      <c r="AC285" s="212"/>
      <c r="AD285" s="212"/>
      <c r="AE285" s="212"/>
      <c r="AF285" s="212"/>
      <c r="AG285" s="212"/>
      <c r="AH285" s="212"/>
      <c r="AI285" s="212"/>
      <c r="AJ285" s="212"/>
      <c r="AK285" s="212"/>
      <c r="AL285" s="212"/>
      <c r="AM285" s="212"/>
      <c r="AN285" s="212"/>
      <c r="AO285" s="212"/>
      <c r="AP285" s="212"/>
      <c r="AQ285" s="212"/>
      <c r="AR285" s="212"/>
      <c r="AS285" s="212"/>
      <c r="AT285" s="212"/>
      <c r="AU285" s="212"/>
      <c r="AV285" s="212"/>
      <c r="AW285" s="212"/>
      <c r="AX285" s="212"/>
      <c r="AY285" s="212"/>
      <c r="AZ285" s="212"/>
      <c r="BA285" s="212"/>
      <c r="BB285" s="212"/>
      <c r="BC285" s="212"/>
      <c r="BD285" s="212"/>
      <c r="BE285" s="212"/>
      <c r="BF285" s="212"/>
      <c r="BG285" s="212"/>
      <c r="BH285" s="212"/>
      <c r="BI285" s="212"/>
      <c r="BJ285" s="212"/>
      <c r="BK285" s="212"/>
      <c r="BL285" s="212"/>
      <c r="BM285" s="212"/>
      <c r="BN285" s="212"/>
      <c r="BO285" s="212"/>
      <c r="BP285" s="212"/>
      <c r="BQ285" s="212"/>
      <c r="BR285" s="212"/>
      <c r="BS285" s="212"/>
      <c r="BT285" s="212"/>
      <c r="BU285" s="212"/>
      <c r="BV285" s="212"/>
      <c r="BW285" s="212"/>
      <c r="BX285" s="212"/>
      <c r="BY285" s="212"/>
      <c r="BZ285" s="212"/>
      <c r="CA285" s="212"/>
      <c r="CB285" s="212"/>
      <c r="CC285" s="212"/>
      <c r="CD285" s="212"/>
      <c r="CE285" s="212"/>
      <c r="CF285" s="212"/>
      <c r="CG285" s="212"/>
      <c r="CH285" s="212"/>
      <c r="CI285" s="212"/>
      <c r="CJ285" s="212"/>
      <c r="CK285" s="212"/>
      <c r="CL285" s="212"/>
      <c r="CM285" s="212"/>
      <c r="CN285" s="212"/>
      <c r="CO285" s="212"/>
      <c r="CP285" s="212"/>
      <c r="CQ285" s="212"/>
      <c r="CR285" s="212"/>
      <c r="CS285" s="212"/>
      <c r="CT285" s="212"/>
      <c r="CU285" s="212"/>
      <c r="CV285" s="212"/>
      <c r="CW285" s="212"/>
      <c r="CX285" s="212"/>
      <c r="CY285" s="212"/>
      <c r="CZ285" s="212"/>
      <c r="DA285" s="212"/>
      <c r="DB285" s="212"/>
      <c r="DC285" s="212"/>
      <c r="DD285" s="212"/>
      <c r="DE285" s="212"/>
      <c r="DF285" s="212"/>
      <c r="DG285" s="212"/>
      <c r="DH285" s="212"/>
      <c r="DI285" s="212"/>
      <c r="DJ285" s="212"/>
      <c r="DK285" s="212"/>
      <c r="DL285" s="212"/>
      <c r="DM285" s="212"/>
      <c r="DN285" s="212"/>
      <c r="DO285" s="212"/>
      <c r="DP285" s="212"/>
      <c r="DQ285" s="212"/>
      <c r="DR285" s="212"/>
      <c r="DS285" s="212"/>
      <c r="DT285" s="212"/>
      <c r="DU285" s="212"/>
      <c r="DV285" s="212"/>
      <c r="DW285" s="212"/>
      <c r="DX285" s="212"/>
      <c r="DY285" s="212"/>
      <c r="DZ285" s="212"/>
      <c r="EA285" s="212"/>
      <c r="EB285" s="212"/>
      <c r="EC285" s="212"/>
      <c r="ED285" s="212"/>
      <c r="EE285" s="212"/>
      <c r="EF285" s="212"/>
      <c r="EG285" s="212"/>
      <c r="EH285" s="212"/>
      <c r="EI285" s="212"/>
      <c r="EJ285" s="212"/>
      <c r="EK285" s="212"/>
      <c r="EL285" s="212"/>
      <c r="EM285" s="212"/>
      <c r="EN285" s="212"/>
      <c r="EO285" s="212"/>
      <c r="EP285" s="212"/>
      <c r="EQ285" s="212"/>
      <c r="ER285" s="212"/>
      <c r="ES285" s="212"/>
      <c r="ET285" s="212"/>
      <c r="EU285" s="212"/>
      <c r="EV285" s="212"/>
      <c r="EW285" s="212"/>
      <c r="EX285" s="212"/>
      <c r="EY285" s="212"/>
      <c r="EZ285" s="212"/>
      <c r="FA285" s="212"/>
      <c r="FB285" s="212"/>
      <c r="FC285" s="212"/>
      <c r="FD285" s="212"/>
      <c r="FE285" s="212"/>
      <c r="FF285" s="212"/>
      <c r="FG285" s="212"/>
      <c r="FH285" s="212"/>
      <c r="FI285" s="212"/>
      <c r="FJ285" s="212"/>
      <c r="FK285" s="212"/>
      <c r="FL285" s="212"/>
      <c r="FM285" s="212"/>
      <c r="FN285" s="212"/>
      <c r="FO285" s="212"/>
      <c r="FP285" s="212"/>
      <c r="FQ285" s="212"/>
      <c r="FR285" s="212"/>
      <c r="FS285" s="212"/>
      <c r="FT285" s="212"/>
      <c r="FU285" s="212"/>
      <c r="FV285" s="212"/>
      <c r="FW285" s="212"/>
      <c r="FX285" s="212"/>
      <c r="FY285" s="212"/>
      <c r="FZ285" s="212"/>
      <c r="GA285" s="212"/>
      <c r="GB285" s="212"/>
      <c r="GC285" s="212"/>
      <c r="GD285" s="212"/>
      <c r="GE285" s="212"/>
      <c r="GF285" s="212"/>
      <c r="GG285" s="212"/>
      <c r="GH285" s="212"/>
      <c r="GI285" s="212"/>
      <c r="GJ285" s="212"/>
      <c r="GK285" s="212"/>
      <c r="GL285" s="212"/>
      <c r="GM285" s="212"/>
      <c r="GN285" s="212"/>
      <c r="GO285" s="212"/>
      <c r="GP285" s="212"/>
      <c r="GQ285" s="212"/>
      <c r="GR285" s="212"/>
      <c r="GS285" s="212"/>
      <c r="GT285" s="212"/>
      <c r="GU285" s="212"/>
      <c r="GV285" s="212"/>
      <c r="GW285" s="212"/>
      <c r="GX285" s="212"/>
      <c r="GY285" s="212"/>
      <c r="GZ285" s="212"/>
      <c r="HA285" s="212"/>
      <c r="HB285" s="212"/>
      <c r="HC285" s="212"/>
      <c r="HD285" s="212"/>
      <c r="HE285" s="212"/>
      <c r="HF285" s="212"/>
      <c r="HG285" s="212"/>
      <c r="HH285" s="212"/>
      <c r="HI285" s="212"/>
      <c r="HJ285" s="212"/>
      <c r="HK285" s="212"/>
      <c r="HL285" s="212"/>
      <c r="HM285" s="212"/>
      <c r="HN285" s="212"/>
      <c r="HO285" s="212"/>
      <c r="HP285" s="212"/>
      <c r="HQ285" s="212"/>
      <c r="HR285" s="212"/>
      <c r="HS285" s="212"/>
      <c r="HT285" s="212"/>
      <c r="HU285" s="212"/>
      <c r="HV285" s="212"/>
      <c r="HW285" s="212"/>
      <c r="HX285" s="212"/>
      <c r="HY285" s="212"/>
      <c r="HZ285" s="212"/>
      <c r="IA285" s="212"/>
      <c r="IB285" s="212"/>
      <c r="IC285" s="212"/>
      <c r="ID285" s="212"/>
      <c r="IE285" s="212"/>
      <c r="IF285" s="212"/>
      <c r="IG285" s="212"/>
      <c r="IH285" s="212"/>
      <c r="II285" s="212"/>
      <c r="IJ285" s="212"/>
      <c r="IK285" s="212"/>
      <c r="IL285" s="212"/>
      <c r="IM285" s="212"/>
      <c r="IN285" s="212"/>
      <c r="IO285" s="212"/>
      <c r="IP285" s="212"/>
      <c r="IQ285" s="212"/>
      <c r="IR285" s="212"/>
    </row>
    <row r="286" spans="13:252" ht="16.5" thickTop="1" thickBot="1">
      <c r="M286" s="212"/>
      <c r="N286" s="212"/>
      <c r="O286" s="212"/>
      <c r="P286" s="212"/>
      <c r="Q286" s="212"/>
      <c r="R286" s="212"/>
      <c r="S286" s="212"/>
      <c r="T286" s="212"/>
      <c r="U286" s="212"/>
      <c r="V286" s="212"/>
      <c r="W286" s="212"/>
      <c r="X286" s="212"/>
      <c r="Y286" s="212"/>
      <c r="Z286" s="212"/>
      <c r="AA286" s="212"/>
      <c r="AB286" s="212"/>
      <c r="AC286" s="212"/>
      <c r="AD286" s="212"/>
      <c r="AE286" s="212"/>
      <c r="AF286" s="212"/>
      <c r="AG286" s="212"/>
      <c r="AH286" s="212"/>
      <c r="AI286" s="212"/>
      <c r="AJ286" s="212"/>
      <c r="AK286" s="212"/>
      <c r="AL286" s="212"/>
      <c r="AM286" s="212"/>
      <c r="AN286" s="212"/>
      <c r="AO286" s="212"/>
      <c r="AP286" s="212"/>
      <c r="AQ286" s="212"/>
      <c r="AR286" s="212"/>
      <c r="AS286" s="212"/>
      <c r="AT286" s="212"/>
      <c r="AU286" s="212"/>
      <c r="AV286" s="212"/>
      <c r="AW286" s="212"/>
      <c r="AX286" s="212"/>
      <c r="AY286" s="212"/>
      <c r="AZ286" s="212"/>
      <c r="BA286" s="212"/>
      <c r="BB286" s="212"/>
      <c r="BC286" s="212"/>
      <c r="BD286" s="212"/>
      <c r="BE286" s="212"/>
      <c r="BF286" s="212"/>
      <c r="BG286" s="212"/>
      <c r="BH286" s="212"/>
      <c r="BI286" s="212"/>
      <c r="BJ286" s="212"/>
      <c r="BK286" s="212"/>
      <c r="BL286" s="212"/>
      <c r="BM286" s="212"/>
      <c r="BN286" s="212"/>
      <c r="BO286" s="212"/>
      <c r="BP286" s="212"/>
      <c r="BQ286" s="212"/>
      <c r="BR286" s="212"/>
      <c r="BS286" s="212"/>
      <c r="BT286" s="212"/>
      <c r="BU286" s="212"/>
      <c r="BV286" s="212"/>
      <c r="BW286" s="212"/>
      <c r="BX286" s="212"/>
      <c r="BY286" s="212"/>
      <c r="BZ286" s="212"/>
      <c r="CA286" s="212"/>
      <c r="CB286" s="212"/>
      <c r="CC286" s="212"/>
      <c r="CD286" s="212"/>
      <c r="CE286" s="212"/>
      <c r="CF286" s="212"/>
      <c r="CG286" s="212"/>
      <c r="CH286" s="212"/>
      <c r="CI286" s="212"/>
      <c r="CJ286" s="212"/>
      <c r="CK286" s="212"/>
      <c r="CL286" s="212"/>
      <c r="CM286" s="212"/>
      <c r="CN286" s="212"/>
      <c r="CO286" s="212"/>
      <c r="CP286" s="212"/>
      <c r="CQ286" s="212"/>
      <c r="CR286" s="212"/>
      <c r="CS286" s="212"/>
      <c r="CT286" s="212"/>
      <c r="CU286" s="212"/>
      <c r="CV286" s="212"/>
      <c r="CW286" s="212"/>
      <c r="CX286" s="212"/>
      <c r="CY286" s="212"/>
      <c r="CZ286" s="212"/>
      <c r="DA286" s="212"/>
      <c r="DB286" s="212"/>
      <c r="DC286" s="212"/>
      <c r="DD286" s="212"/>
      <c r="DE286" s="212"/>
      <c r="DF286" s="212"/>
      <c r="DG286" s="212"/>
      <c r="DH286" s="212"/>
      <c r="DI286" s="212"/>
      <c r="DJ286" s="212"/>
      <c r="DK286" s="212"/>
      <c r="DL286" s="212"/>
      <c r="DM286" s="212"/>
      <c r="DN286" s="212"/>
      <c r="DO286" s="212"/>
      <c r="DP286" s="212"/>
      <c r="DQ286" s="212"/>
      <c r="DR286" s="212"/>
      <c r="DS286" s="212"/>
      <c r="DT286" s="212"/>
      <c r="DU286" s="212"/>
      <c r="DV286" s="212"/>
      <c r="DW286" s="212"/>
      <c r="DX286" s="212"/>
      <c r="DY286" s="212"/>
      <c r="DZ286" s="212"/>
      <c r="EA286" s="212"/>
      <c r="EB286" s="212"/>
      <c r="EC286" s="212"/>
      <c r="ED286" s="212"/>
      <c r="EE286" s="212"/>
      <c r="EF286" s="212"/>
      <c r="EG286" s="212"/>
      <c r="EH286" s="212"/>
      <c r="EI286" s="212"/>
      <c r="EJ286" s="212"/>
      <c r="EK286" s="212"/>
      <c r="EL286" s="212"/>
      <c r="EM286" s="212"/>
      <c r="EN286" s="212"/>
      <c r="EO286" s="212"/>
      <c r="EP286" s="212"/>
      <c r="EQ286" s="212"/>
      <c r="ER286" s="212"/>
      <c r="ES286" s="212"/>
      <c r="ET286" s="212"/>
      <c r="EU286" s="212"/>
      <c r="EV286" s="212"/>
      <c r="EW286" s="212"/>
      <c r="EX286" s="212"/>
      <c r="EY286" s="212"/>
      <c r="EZ286" s="212"/>
      <c r="FA286" s="212"/>
      <c r="FB286" s="212"/>
      <c r="FC286" s="212"/>
      <c r="FD286" s="212"/>
      <c r="FE286" s="212"/>
      <c r="FF286" s="212"/>
      <c r="FG286" s="212"/>
      <c r="FH286" s="212"/>
      <c r="FI286" s="212"/>
      <c r="FJ286" s="212"/>
      <c r="FK286" s="212"/>
      <c r="FL286" s="212"/>
      <c r="FM286" s="212"/>
      <c r="FN286" s="212"/>
      <c r="FO286" s="212"/>
      <c r="FP286" s="212"/>
      <c r="FQ286" s="212"/>
      <c r="FR286" s="212"/>
      <c r="FS286" s="212"/>
      <c r="FT286" s="212"/>
      <c r="FU286" s="212"/>
      <c r="FV286" s="212"/>
      <c r="FW286" s="212"/>
      <c r="FX286" s="212"/>
      <c r="FY286" s="212"/>
      <c r="FZ286" s="212"/>
      <c r="GA286" s="212"/>
      <c r="GB286" s="212"/>
      <c r="GC286" s="212"/>
      <c r="GD286" s="212"/>
      <c r="GE286" s="212"/>
      <c r="GF286" s="212"/>
      <c r="GG286" s="212"/>
      <c r="GH286" s="212"/>
      <c r="GI286" s="212"/>
      <c r="GJ286" s="212"/>
      <c r="GK286" s="212"/>
      <c r="GL286" s="212"/>
      <c r="GM286" s="212"/>
      <c r="GN286" s="212"/>
      <c r="GO286" s="212"/>
      <c r="GP286" s="212"/>
      <c r="GQ286" s="212"/>
      <c r="GR286" s="212"/>
      <c r="GS286" s="212"/>
      <c r="GT286" s="212"/>
      <c r="GU286" s="212"/>
      <c r="GV286" s="212"/>
      <c r="GW286" s="212"/>
      <c r="GX286" s="212"/>
      <c r="GY286" s="212"/>
      <c r="GZ286" s="212"/>
      <c r="HA286" s="212"/>
      <c r="HB286" s="212"/>
      <c r="HC286" s="212"/>
      <c r="HD286" s="212"/>
      <c r="HE286" s="212"/>
      <c r="HF286" s="212"/>
      <c r="HG286" s="212"/>
      <c r="HH286" s="212"/>
      <c r="HI286" s="212"/>
      <c r="HJ286" s="212"/>
      <c r="HK286" s="212"/>
      <c r="HL286" s="212"/>
      <c r="HM286" s="212"/>
      <c r="HN286" s="212"/>
      <c r="HO286" s="212"/>
      <c r="HP286" s="212"/>
      <c r="HQ286" s="212"/>
      <c r="HR286" s="212"/>
      <c r="HS286" s="212"/>
      <c r="HT286" s="212"/>
      <c r="HU286" s="212"/>
      <c r="HV286" s="212"/>
      <c r="HW286" s="212"/>
      <c r="HX286" s="212"/>
      <c r="HY286" s="212"/>
      <c r="HZ286" s="212"/>
      <c r="IA286" s="212"/>
      <c r="IB286" s="212"/>
      <c r="IC286" s="212"/>
      <c r="ID286" s="212"/>
      <c r="IE286" s="212"/>
      <c r="IF286" s="212"/>
      <c r="IG286" s="212"/>
      <c r="IH286" s="212"/>
      <c r="II286" s="212"/>
      <c r="IJ286" s="212"/>
      <c r="IK286" s="212"/>
      <c r="IL286" s="212"/>
      <c r="IM286" s="212"/>
      <c r="IN286" s="212"/>
      <c r="IO286" s="212"/>
      <c r="IP286" s="212"/>
      <c r="IQ286" s="212"/>
      <c r="IR286" s="212"/>
    </row>
    <row r="287" spans="13:252" ht="16.5" thickTop="1" thickBot="1">
      <c r="M287" s="212"/>
      <c r="N287" s="212"/>
      <c r="O287" s="212"/>
      <c r="P287" s="212"/>
      <c r="Q287" s="212"/>
      <c r="R287" s="212"/>
      <c r="S287" s="212"/>
      <c r="T287" s="212"/>
      <c r="U287" s="212"/>
      <c r="V287" s="212"/>
      <c r="W287" s="212"/>
      <c r="X287" s="212"/>
      <c r="Y287" s="212"/>
      <c r="Z287" s="212"/>
      <c r="AA287" s="212"/>
      <c r="AB287" s="212"/>
      <c r="AC287" s="212"/>
      <c r="AD287" s="212"/>
      <c r="AE287" s="212"/>
      <c r="AF287" s="212"/>
      <c r="AG287" s="212"/>
      <c r="AH287" s="212"/>
      <c r="AI287" s="212"/>
      <c r="AJ287" s="212"/>
      <c r="AK287" s="212"/>
      <c r="AL287" s="212"/>
      <c r="AM287" s="212"/>
      <c r="AN287" s="212"/>
      <c r="AO287" s="212"/>
      <c r="AP287" s="212"/>
      <c r="AQ287" s="212"/>
      <c r="AR287" s="212"/>
      <c r="AS287" s="212"/>
      <c r="AT287" s="212"/>
      <c r="AU287" s="212"/>
      <c r="AV287" s="212"/>
      <c r="AW287" s="212"/>
      <c r="AX287" s="212"/>
      <c r="AY287" s="212"/>
      <c r="AZ287" s="212"/>
      <c r="BA287" s="212"/>
      <c r="BB287" s="212"/>
      <c r="BC287" s="212"/>
      <c r="BD287" s="212"/>
      <c r="BE287" s="212"/>
      <c r="BF287" s="212"/>
      <c r="BG287" s="212"/>
      <c r="BH287" s="212"/>
      <c r="BI287" s="212"/>
      <c r="BJ287" s="212"/>
      <c r="BK287" s="212"/>
      <c r="BL287" s="212"/>
      <c r="BM287" s="212"/>
      <c r="BN287" s="212"/>
      <c r="BO287" s="212"/>
      <c r="BP287" s="212"/>
      <c r="BQ287" s="212"/>
      <c r="BR287" s="212"/>
      <c r="BS287" s="212"/>
      <c r="BT287" s="212"/>
      <c r="BU287" s="212"/>
      <c r="BV287" s="212"/>
      <c r="BW287" s="212"/>
      <c r="BX287" s="212"/>
      <c r="BY287" s="212"/>
      <c r="BZ287" s="212"/>
      <c r="CA287" s="212"/>
      <c r="CB287" s="212"/>
      <c r="CC287" s="212"/>
      <c r="CD287" s="212"/>
      <c r="CE287" s="212"/>
      <c r="CF287" s="212"/>
      <c r="CG287" s="212"/>
      <c r="CH287" s="212"/>
      <c r="CI287" s="212"/>
      <c r="CJ287" s="212"/>
      <c r="CK287" s="212"/>
      <c r="CL287" s="212"/>
      <c r="CM287" s="212"/>
      <c r="CN287" s="212"/>
      <c r="CO287" s="212"/>
      <c r="CP287" s="212"/>
      <c r="CQ287" s="212"/>
      <c r="CR287" s="212"/>
      <c r="CS287" s="212"/>
      <c r="CT287" s="212"/>
      <c r="CU287" s="212"/>
      <c r="CV287" s="212"/>
      <c r="CW287" s="212"/>
      <c r="CX287" s="212"/>
      <c r="CY287" s="212"/>
      <c r="CZ287" s="212"/>
      <c r="DA287" s="212"/>
      <c r="DB287" s="212"/>
      <c r="DC287" s="212"/>
      <c r="DD287" s="212"/>
      <c r="DE287" s="212"/>
      <c r="DF287" s="212"/>
      <c r="DG287" s="212"/>
      <c r="DH287" s="212"/>
      <c r="DI287" s="212"/>
      <c r="DJ287" s="212"/>
      <c r="DK287" s="212"/>
      <c r="DL287" s="212"/>
      <c r="DM287" s="212"/>
      <c r="DN287" s="212"/>
      <c r="DO287" s="212"/>
      <c r="DP287" s="212"/>
      <c r="DQ287" s="212"/>
      <c r="DR287" s="212"/>
      <c r="DS287" s="212"/>
      <c r="DT287" s="212"/>
      <c r="DU287" s="212"/>
      <c r="DV287" s="212"/>
      <c r="DW287" s="212"/>
      <c r="DX287" s="212"/>
      <c r="DY287" s="212"/>
      <c r="DZ287" s="212"/>
      <c r="EA287" s="212"/>
      <c r="EB287" s="212"/>
      <c r="EC287" s="212"/>
      <c r="ED287" s="212"/>
      <c r="EE287" s="212"/>
      <c r="EF287" s="212"/>
      <c r="EG287" s="212"/>
      <c r="EH287" s="212"/>
      <c r="EI287" s="212"/>
      <c r="EJ287" s="212"/>
      <c r="EK287" s="212"/>
      <c r="EL287" s="212"/>
      <c r="EM287" s="212"/>
      <c r="EN287" s="212"/>
      <c r="EO287" s="212"/>
      <c r="EP287" s="212"/>
      <c r="EQ287" s="212"/>
      <c r="ER287" s="212"/>
      <c r="ES287" s="212"/>
      <c r="ET287" s="212"/>
      <c r="EU287" s="212"/>
      <c r="EV287" s="212"/>
      <c r="EW287" s="212"/>
      <c r="EX287" s="212"/>
      <c r="EY287" s="212"/>
      <c r="EZ287" s="212"/>
      <c r="FA287" s="212"/>
      <c r="FB287" s="212"/>
      <c r="FC287" s="212"/>
      <c r="FD287" s="212"/>
      <c r="FE287" s="212"/>
      <c r="FF287" s="212"/>
      <c r="FG287" s="212"/>
      <c r="FH287" s="212"/>
      <c r="FI287" s="212"/>
      <c r="FJ287" s="212"/>
      <c r="FK287" s="212"/>
      <c r="FL287" s="212"/>
      <c r="FM287" s="212"/>
      <c r="FN287" s="212"/>
      <c r="FO287" s="212"/>
      <c r="FP287" s="212"/>
      <c r="FQ287" s="212"/>
      <c r="FR287" s="212"/>
      <c r="FS287" s="212"/>
      <c r="FT287" s="212"/>
      <c r="FU287" s="212"/>
      <c r="FV287" s="212"/>
      <c r="FW287" s="212"/>
      <c r="FX287" s="212"/>
      <c r="FY287" s="212"/>
      <c r="FZ287" s="212"/>
      <c r="GA287" s="212"/>
      <c r="GB287" s="212"/>
      <c r="GC287" s="212"/>
      <c r="GD287" s="212"/>
      <c r="GE287" s="212"/>
      <c r="GF287" s="212"/>
      <c r="GG287" s="212"/>
      <c r="GH287" s="212"/>
      <c r="GI287" s="212"/>
      <c r="GJ287" s="212"/>
      <c r="GK287" s="212"/>
      <c r="GL287" s="212"/>
      <c r="GM287" s="212"/>
      <c r="GN287" s="212"/>
      <c r="GO287" s="212"/>
      <c r="GP287" s="212"/>
      <c r="GQ287" s="212"/>
      <c r="GR287" s="212"/>
      <c r="GS287" s="212"/>
      <c r="GT287" s="212"/>
      <c r="GU287" s="212"/>
      <c r="GV287" s="212"/>
      <c r="GW287" s="212"/>
      <c r="GX287" s="212"/>
      <c r="GY287" s="212"/>
      <c r="GZ287" s="212"/>
      <c r="HA287" s="212"/>
      <c r="HB287" s="212"/>
      <c r="HC287" s="212"/>
      <c r="HD287" s="212"/>
      <c r="HE287" s="212"/>
      <c r="HF287" s="212"/>
      <c r="HG287" s="212"/>
      <c r="HH287" s="212"/>
      <c r="HI287" s="212"/>
      <c r="HJ287" s="212"/>
      <c r="HK287" s="212"/>
      <c r="HL287" s="212"/>
      <c r="HM287" s="212"/>
      <c r="HN287" s="212"/>
      <c r="HO287" s="212"/>
      <c r="HP287" s="212"/>
      <c r="HQ287" s="212"/>
      <c r="HR287" s="212"/>
      <c r="HS287" s="212"/>
      <c r="HT287" s="212"/>
      <c r="HU287" s="212"/>
      <c r="HV287" s="212"/>
      <c r="HW287" s="212"/>
      <c r="HX287" s="212"/>
      <c r="HY287" s="212"/>
      <c r="HZ287" s="212"/>
      <c r="IA287" s="212"/>
      <c r="IB287" s="212"/>
      <c r="IC287" s="212"/>
      <c r="ID287" s="212"/>
      <c r="IE287" s="212"/>
      <c r="IF287" s="212"/>
      <c r="IG287" s="212"/>
      <c r="IH287" s="212"/>
      <c r="II287" s="212"/>
      <c r="IJ287" s="212"/>
      <c r="IK287" s="212"/>
      <c r="IL287" s="212"/>
      <c r="IM287" s="212"/>
      <c r="IN287" s="212"/>
      <c r="IO287" s="212"/>
      <c r="IP287" s="212"/>
      <c r="IQ287" s="212"/>
      <c r="IR287" s="212"/>
    </row>
    <row r="288" spans="13:252" ht="16.5" thickTop="1" thickBot="1">
      <c r="M288" s="212"/>
      <c r="N288" s="212"/>
      <c r="O288" s="212"/>
      <c r="P288" s="212"/>
      <c r="Q288" s="212"/>
      <c r="R288" s="212"/>
      <c r="S288" s="212"/>
      <c r="T288" s="212"/>
      <c r="U288" s="212"/>
      <c r="V288" s="212"/>
      <c r="W288" s="212"/>
      <c r="X288" s="212"/>
      <c r="Y288" s="212"/>
      <c r="Z288" s="212"/>
      <c r="AA288" s="212"/>
      <c r="AB288" s="212"/>
      <c r="AC288" s="212"/>
      <c r="AD288" s="212"/>
      <c r="AE288" s="212"/>
      <c r="AF288" s="212"/>
      <c r="AG288" s="212"/>
      <c r="AH288" s="212"/>
      <c r="AI288" s="212"/>
      <c r="AJ288" s="212"/>
      <c r="AK288" s="212"/>
      <c r="AL288" s="212"/>
      <c r="AM288" s="212"/>
      <c r="AN288" s="212"/>
      <c r="AO288" s="212"/>
      <c r="AP288" s="212"/>
      <c r="AQ288" s="212"/>
      <c r="AR288" s="212"/>
      <c r="AS288" s="212"/>
      <c r="AT288" s="212"/>
      <c r="AU288" s="212"/>
      <c r="AV288" s="212"/>
      <c r="AW288" s="212"/>
      <c r="AX288" s="212"/>
      <c r="AY288" s="212"/>
      <c r="AZ288" s="212"/>
      <c r="BA288" s="212"/>
      <c r="BB288" s="212"/>
      <c r="BC288" s="212"/>
      <c r="BD288" s="212"/>
      <c r="BE288" s="212"/>
      <c r="BF288" s="212"/>
      <c r="BG288" s="212"/>
      <c r="BH288" s="212"/>
      <c r="BI288" s="212"/>
      <c r="BJ288" s="212"/>
      <c r="BK288" s="212"/>
      <c r="BL288" s="212"/>
      <c r="BM288" s="212"/>
      <c r="BN288" s="212"/>
      <c r="BO288" s="212"/>
      <c r="BP288" s="212"/>
      <c r="BQ288" s="212"/>
      <c r="BR288" s="212"/>
      <c r="BS288" s="212"/>
      <c r="BT288" s="212"/>
      <c r="BU288" s="212"/>
      <c r="BV288" s="212"/>
      <c r="BW288" s="212"/>
      <c r="BX288" s="212"/>
      <c r="BY288" s="212"/>
      <c r="BZ288" s="212"/>
      <c r="CA288" s="212"/>
      <c r="CB288" s="212"/>
      <c r="CC288" s="212"/>
      <c r="CD288" s="212"/>
      <c r="CE288" s="212"/>
      <c r="CF288" s="212"/>
      <c r="CG288" s="212"/>
      <c r="CH288" s="212"/>
      <c r="CI288" s="212"/>
      <c r="CJ288" s="212"/>
      <c r="CK288" s="212"/>
      <c r="CL288" s="212"/>
      <c r="CM288" s="212"/>
      <c r="CN288" s="212"/>
      <c r="CO288" s="212"/>
      <c r="CP288" s="212"/>
      <c r="CQ288" s="212"/>
      <c r="CR288" s="212"/>
      <c r="CS288" s="212"/>
      <c r="CT288" s="212"/>
      <c r="CU288" s="212"/>
      <c r="CV288" s="212"/>
      <c r="CW288" s="212"/>
      <c r="CX288" s="212"/>
      <c r="CY288" s="212"/>
      <c r="CZ288" s="212"/>
      <c r="DA288" s="212"/>
      <c r="DB288" s="212"/>
      <c r="DC288" s="212"/>
      <c r="DD288" s="212"/>
      <c r="DE288" s="212"/>
      <c r="DF288" s="212"/>
      <c r="DG288" s="212"/>
      <c r="DH288" s="212"/>
      <c r="DI288" s="212"/>
      <c r="DJ288" s="212"/>
      <c r="DK288" s="212"/>
      <c r="DL288" s="212"/>
      <c r="DM288" s="212"/>
      <c r="DN288" s="212"/>
      <c r="DO288" s="212"/>
      <c r="DP288" s="212"/>
      <c r="DQ288" s="212"/>
      <c r="DR288" s="212"/>
      <c r="DS288" s="212"/>
      <c r="DT288" s="212"/>
      <c r="DU288" s="212"/>
      <c r="DV288" s="212"/>
      <c r="DW288" s="212"/>
      <c r="DX288" s="212"/>
      <c r="DY288" s="212"/>
      <c r="DZ288" s="212"/>
      <c r="EA288" s="212"/>
      <c r="EB288" s="212"/>
      <c r="EC288" s="212"/>
      <c r="ED288" s="212"/>
      <c r="EE288" s="212"/>
      <c r="EF288" s="212"/>
      <c r="EG288" s="212"/>
      <c r="EH288" s="212"/>
      <c r="EI288" s="212"/>
      <c r="EJ288" s="212"/>
      <c r="EK288" s="212"/>
      <c r="EL288" s="212"/>
      <c r="EM288" s="212"/>
      <c r="EN288" s="212"/>
      <c r="EO288" s="212"/>
      <c r="EP288" s="212"/>
      <c r="EQ288" s="212"/>
      <c r="ER288" s="212"/>
      <c r="ES288" s="212"/>
      <c r="ET288" s="212"/>
      <c r="EU288" s="212"/>
      <c r="EV288" s="212"/>
      <c r="EW288" s="212"/>
      <c r="EX288" s="212"/>
      <c r="EY288" s="212"/>
      <c r="EZ288" s="212"/>
      <c r="FA288" s="212"/>
      <c r="FB288" s="212"/>
      <c r="FC288" s="212"/>
      <c r="FD288" s="212"/>
      <c r="FE288" s="212"/>
      <c r="FF288" s="212"/>
      <c r="FG288" s="212"/>
      <c r="FH288" s="212"/>
      <c r="FI288" s="212"/>
      <c r="FJ288" s="212"/>
      <c r="FK288" s="212"/>
      <c r="FL288" s="212"/>
      <c r="FM288" s="212"/>
      <c r="FN288" s="212"/>
      <c r="FO288" s="212"/>
      <c r="FP288" s="212"/>
      <c r="FQ288" s="212"/>
      <c r="FR288" s="212"/>
      <c r="FS288" s="212"/>
      <c r="FT288" s="212"/>
      <c r="FU288" s="212"/>
      <c r="FV288" s="212"/>
      <c r="FW288" s="212"/>
      <c r="FX288" s="212"/>
      <c r="FY288" s="212"/>
      <c r="FZ288" s="212"/>
      <c r="GA288" s="212"/>
      <c r="GB288" s="212"/>
      <c r="GC288" s="212"/>
      <c r="GD288" s="212"/>
      <c r="GE288" s="212"/>
      <c r="GF288" s="212"/>
      <c r="GG288" s="212"/>
      <c r="GH288" s="212"/>
      <c r="GI288" s="212"/>
      <c r="GJ288" s="212"/>
      <c r="GK288" s="212"/>
      <c r="GL288" s="212"/>
      <c r="GM288" s="212"/>
      <c r="GN288" s="212"/>
      <c r="GO288" s="212"/>
      <c r="GP288" s="212"/>
      <c r="GQ288" s="212"/>
      <c r="GR288" s="212"/>
      <c r="GS288" s="212"/>
      <c r="GT288" s="212"/>
      <c r="GU288" s="212"/>
      <c r="GV288" s="212"/>
      <c r="GW288" s="212"/>
      <c r="GX288" s="212"/>
      <c r="GY288" s="212"/>
      <c r="GZ288" s="212"/>
      <c r="HA288" s="212"/>
      <c r="HB288" s="212"/>
      <c r="HC288" s="212"/>
      <c r="HD288" s="212"/>
      <c r="HE288" s="212"/>
      <c r="HF288" s="212"/>
      <c r="HG288" s="212"/>
      <c r="HH288" s="212"/>
      <c r="HI288" s="212"/>
      <c r="HJ288" s="212"/>
      <c r="HK288" s="212"/>
      <c r="HL288" s="212"/>
      <c r="HM288" s="212"/>
      <c r="HN288" s="212"/>
      <c r="HO288" s="212"/>
      <c r="HP288" s="212"/>
      <c r="HQ288" s="212"/>
      <c r="HR288" s="212"/>
      <c r="HS288" s="212"/>
      <c r="HT288" s="212"/>
      <c r="HU288" s="212"/>
      <c r="HV288" s="212"/>
      <c r="HW288" s="212"/>
      <c r="HX288" s="212"/>
      <c r="HY288" s="212"/>
      <c r="HZ288" s="212"/>
      <c r="IA288" s="212"/>
      <c r="IB288" s="212"/>
      <c r="IC288" s="212"/>
      <c r="ID288" s="212"/>
      <c r="IE288" s="212"/>
      <c r="IF288" s="212"/>
      <c r="IG288" s="212"/>
      <c r="IH288" s="212"/>
      <c r="II288" s="212"/>
      <c r="IJ288" s="212"/>
      <c r="IK288" s="212"/>
      <c r="IL288" s="212"/>
      <c r="IM288" s="212"/>
      <c r="IN288" s="212"/>
      <c r="IO288" s="212"/>
      <c r="IP288" s="212"/>
      <c r="IQ288" s="212"/>
      <c r="IR288" s="212"/>
    </row>
    <row r="289" spans="13:252" ht="16.5" thickTop="1" thickBot="1">
      <c r="M289" s="212"/>
      <c r="N289" s="212"/>
      <c r="O289" s="212"/>
      <c r="P289" s="212"/>
      <c r="Q289" s="212"/>
      <c r="R289" s="212"/>
      <c r="S289" s="212"/>
      <c r="T289" s="212"/>
      <c r="U289" s="212"/>
      <c r="V289" s="212"/>
      <c r="W289" s="212"/>
      <c r="X289" s="212"/>
      <c r="Y289" s="212"/>
      <c r="Z289" s="212"/>
      <c r="AA289" s="212"/>
      <c r="AB289" s="212"/>
      <c r="AC289" s="212"/>
      <c r="AD289" s="212"/>
      <c r="AE289" s="212"/>
      <c r="AF289" s="212"/>
      <c r="AG289" s="212"/>
      <c r="AH289" s="212"/>
      <c r="AI289" s="212"/>
      <c r="AJ289" s="212"/>
      <c r="AK289" s="212"/>
      <c r="AL289" s="212"/>
      <c r="AM289" s="212"/>
      <c r="AN289" s="212"/>
      <c r="AO289" s="212"/>
      <c r="AP289" s="212"/>
      <c r="AQ289" s="212"/>
      <c r="AR289" s="212"/>
      <c r="AS289" s="212"/>
      <c r="AT289" s="212"/>
      <c r="AU289" s="212"/>
      <c r="AV289" s="212"/>
      <c r="AW289" s="212"/>
      <c r="AX289" s="212"/>
      <c r="AY289" s="212"/>
      <c r="AZ289" s="212"/>
      <c r="BA289" s="212"/>
      <c r="BB289" s="212"/>
      <c r="BC289" s="212"/>
      <c r="BD289" s="212"/>
      <c r="BE289" s="212"/>
      <c r="BF289" s="212"/>
      <c r="BG289" s="212"/>
      <c r="BH289" s="212"/>
      <c r="BI289" s="212"/>
      <c r="BJ289" s="212"/>
      <c r="BK289" s="212"/>
      <c r="BL289" s="212"/>
      <c r="BM289" s="212"/>
      <c r="BN289" s="212"/>
      <c r="BO289" s="212"/>
      <c r="BP289" s="212"/>
      <c r="BQ289" s="212"/>
      <c r="BR289" s="212"/>
      <c r="BS289" s="212"/>
      <c r="BT289" s="212"/>
      <c r="BU289" s="212"/>
      <c r="BV289" s="212"/>
      <c r="BW289" s="212"/>
      <c r="BX289" s="212"/>
      <c r="BY289" s="212"/>
      <c r="BZ289" s="212"/>
      <c r="CA289" s="212"/>
      <c r="CB289" s="212"/>
      <c r="CC289" s="212"/>
      <c r="CD289" s="212"/>
      <c r="CE289" s="212"/>
      <c r="CF289" s="212"/>
      <c r="CG289" s="212"/>
      <c r="CH289" s="212"/>
      <c r="CI289" s="212"/>
      <c r="CJ289" s="212"/>
      <c r="CK289" s="212"/>
      <c r="CL289" s="212"/>
      <c r="CM289" s="212"/>
      <c r="CN289" s="212"/>
      <c r="CO289" s="212"/>
      <c r="CP289" s="212"/>
      <c r="CQ289" s="212"/>
      <c r="CR289" s="212"/>
      <c r="CS289" s="212"/>
      <c r="CT289" s="212"/>
      <c r="CU289" s="212"/>
      <c r="CV289" s="212"/>
      <c r="CW289" s="212"/>
      <c r="CX289" s="212"/>
      <c r="CY289" s="212"/>
      <c r="CZ289" s="212"/>
      <c r="DA289" s="212"/>
      <c r="DB289" s="212"/>
      <c r="DC289" s="212"/>
      <c r="DD289" s="212"/>
      <c r="DE289" s="212"/>
      <c r="DF289" s="212"/>
      <c r="DG289" s="212"/>
      <c r="DH289" s="212"/>
      <c r="DI289" s="212"/>
      <c r="DJ289" s="212"/>
      <c r="DK289" s="212"/>
      <c r="DL289" s="212"/>
      <c r="DM289" s="212"/>
      <c r="DN289" s="212"/>
      <c r="DO289" s="212"/>
      <c r="DP289" s="212"/>
      <c r="DQ289" s="212"/>
      <c r="DR289" s="212"/>
      <c r="DS289" s="212"/>
      <c r="DT289" s="212"/>
      <c r="DU289" s="212"/>
      <c r="DV289" s="212"/>
      <c r="DW289" s="212"/>
      <c r="DX289" s="212"/>
      <c r="DY289" s="212"/>
      <c r="DZ289" s="212"/>
      <c r="EA289" s="212"/>
      <c r="EB289" s="212"/>
      <c r="EC289" s="212"/>
      <c r="ED289" s="212"/>
      <c r="EE289" s="212"/>
      <c r="EF289" s="212"/>
      <c r="EG289" s="212"/>
      <c r="EH289" s="212"/>
      <c r="EI289" s="212"/>
      <c r="EJ289" s="212"/>
      <c r="EK289" s="212"/>
      <c r="EL289" s="212"/>
      <c r="EM289" s="212"/>
      <c r="EN289" s="212"/>
      <c r="EO289" s="212"/>
      <c r="EP289" s="212"/>
      <c r="EQ289" s="212"/>
      <c r="ER289" s="212"/>
      <c r="ES289" s="212"/>
      <c r="ET289" s="212"/>
      <c r="EU289" s="212"/>
      <c r="EV289" s="212"/>
      <c r="EW289" s="212"/>
      <c r="EX289" s="212"/>
      <c r="EY289" s="212"/>
      <c r="EZ289" s="212"/>
      <c r="FA289" s="212"/>
      <c r="FB289" s="212"/>
      <c r="FC289" s="212"/>
      <c r="FD289" s="212"/>
      <c r="FE289" s="212"/>
      <c r="FF289" s="212"/>
      <c r="FG289" s="212"/>
      <c r="FH289" s="212"/>
      <c r="FI289" s="212"/>
      <c r="FJ289" s="212"/>
      <c r="FK289" s="212"/>
      <c r="FL289" s="212"/>
      <c r="FM289" s="212"/>
      <c r="FN289" s="212"/>
      <c r="FO289" s="212"/>
      <c r="FP289" s="212"/>
      <c r="FQ289" s="212"/>
      <c r="FR289" s="212"/>
      <c r="FS289" s="212"/>
      <c r="FT289" s="212"/>
      <c r="FU289" s="212"/>
      <c r="FV289" s="212"/>
      <c r="FW289" s="212"/>
      <c r="FX289" s="212"/>
      <c r="FY289" s="212"/>
      <c r="FZ289" s="212"/>
      <c r="GA289" s="212"/>
      <c r="GB289" s="212"/>
      <c r="GC289" s="212"/>
      <c r="GD289" s="212"/>
      <c r="GE289" s="212"/>
      <c r="GF289" s="212"/>
      <c r="GG289" s="212"/>
      <c r="GH289" s="212"/>
      <c r="GI289" s="212"/>
      <c r="GJ289" s="212"/>
      <c r="GK289" s="212"/>
      <c r="GL289" s="212"/>
      <c r="GM289" s="212"/>
      <c r="GN289" s="212"/>
      <c r="GO289" s="212"/>
      <c r="GP289" s="212"/>
      <c r="GQ289" s="212"/>
      <c r="GR289" s="212"/>
      <c r="GS289" s="212"/>
      <c r="GT289" s="212"/>
      <c r="GU289" s="212"/>
      <c r="GV289" s="212"/>
      <c r="GW289" s="212"/>
      <c r="GX289" s="212"/>
      <c r="GY289" s="212"/>
      <c r="GZ289" s="212"/>
      <c r="HA289" s="212"/>
      <c r="HB289" s="212"/>
      <c r="HC289" s="212"/>
      <c r="HD289" s="212"/>
      <c r="HE289" s="212"/>
      <c r="HF289" s="212"/>
      <c r="HG289" s="212"/>
      <c r="HH289" s="212"/>
      <c r="HI289" s="212"/>
      <c r="HJ289" s="212"/>
      <c r="HK289" s="212"/>
      <c r="HL289" s="212"/>
      <c r="HM289" s="212"/>
      <c r="HN289" s="212"/>
      <c r="HO289" s="212"/>
      <c r="HP289" s="212"/>
      <c r="HQ289" s="212"/>
      <c r="HR289" s="212"/>
      <c r="HS289" s="212"/>
      <c r="HT289" s="212"/>
      <c r="HU289" s="212"/>
      <c r="HV289" s="212"/>
      <c r="HW289" s="212"/>
      <c r="HX289" s="212"/>
      <c r="HY289" s="212"/>
      <c r="HZ289" s="212"/>
      <c r="IA289" s="212"/>
      <c r="IB289" s="212"/>
      <c r="IC289" s="212"/>
      <c r="ID289" s="212"/>
      <c r="IE289" s="212"/>
      <c r="IF289" s="212"/>
      <c r="IG289" s="212"/>
      <c r="IH289" s="212"/>
      <c r="II289" s="212"/>
      <c r="IJ289" s="212"/>
      <c r="IK289" s="212"/>
      <c r="IL289" s="212"/>
      <c r="IM289" s="212"/>
      <c r="IN289" s="212"/>
      <c r="IO289" s="212"/>
      <c r="IP289" s="212"/>
      <c r="IQ289" s="212"/>
      <c r="IR289" s="212"/>
    </row>
    <row r="290" spans="13:252" ht="16.5" thickTop="1" thickBot="1">
      <c r="M290" s="212"/>
      <c r="N290" s="212"/>
      <c r="O290" s="212"/>
      <c r="P290" s="212"/>
      <c r="Q290" s="212"/>
      <c r="R290" s="212"/>
      <c r="S290" s="212"/>
      <c r="T290" s="212"/>
      <c r="U290" s="212"/>
      <c r="V290" s="212"/>
      <c r="W290" s="212"/>
      <c r="X290" s="212"/>
      <c r="Y290" s="212"/>
      <c r="Z290" s="212"/>
      <c r="AA290" s="212"/>
      <c r="AB290" s="212"/>
      <c r="AC290" s="212"/>
      <c r="AD290" s="212"/>
      <c r="AE290" s="212"/>
      <c r="AF290" s="212"/>
      <c r="AG290" s="212"/>
      <c r="AH290" s="212"/>
      <c r="AI290" s="212"/>
      <c r="AJ290" s="212"/>
      <c r="AK290" s="212"/>
      <c r="AL290" s="212"/>
      <c r="AM290" s="212"/>
      <c r="AN290" s="212"/>
      <c r="AO290" s="212"/>
      <c r="AP290" s="212"/>
      <c r="AQ290" s="212"/>
      <c r="AR290" s="212"/>
      <c r="AS290" s="212"/>
      <c r="AT290" s="212"/>
      <c r="AU290" s="212"/>
      <c r="AV290" s="212"/>
      <c r="AW290" s="212"/>
      <c r="AX290" s="212"/>
      <c r="AY290" s="212"/>
      <c r="AZ290" s="212"/>
      <c r="BA290" s="212"/>
      <c r="BB290" s="212"/>
      <c r="BC290" s="212"/>
      <c r="BD290" s="212"/>
      <c r="BE290" s="212"/>
      <c r="BF290" s="212"/>
      <c r="BG290" s="212"/>
      <c r="BH290" s="212"/>
      <c r="BI290" s="212"/>
      <c r="BJ290" s="212"/>
      <c r="BK290" s="212"/>
      <c r="BL290" s="212"/>
      <c r="BM290" s="212"/>
      <c r="BN290" s="212"/>
      <c r="BO290" s="212"/>
      <c r="BP290" s="212"/>
      <c r="BQ290" s="212"/>
      <c r="BR290" s="212"/>
      <c r="BS290" s="212"/>
      <c r="BT290" s="212"/>
      <c r="BU290" s="212"/>
      <c r="BV290" s="212"/>
      <c r="BW290" s="212"/>
      <c r="BX290" s="212"/>
      <c r="BY290" s="212"/>
      <c r="BZ290" s="212"/>
      <c r="CA290" s="212"/>
      <c r="CB290" s="212"/>
      <c r="CC290" s="212"/>
      <c r="CD290" s="212"/>
      <c r="CE290" s="212"/>
      <c r="CF290" s="212"/>
      <c r="CG290" s="212"/>
      <c r="CH290" s="212"/>
      <c r="CI290" s="212"/>
      <c r="CJ290" s="212"/>
      <c r="CK290" s="212"/>
      <c r="CL290" s="212"/>
      <c r="CM290" s="212"/>
      <c r="CN290" s="212"/>
      <c r="CO290" s="212"/>
      <c r="CP290" s="212"/>
      <c r="CQ290" s="212"/>
      <c r="CR290" s="212"/>
      <c r="CS290" s="212"/>
      <c r="CT290" s="212"/>
      <c r="CU290" s="212"/>
      <c r="CV290" s="212"/>
      <c r="CW290" s="212"/>
      <c r="CX290" s="212"/>
      <c r="CY290" s="212"/>
      <c r="CZ290" s="212"/>
      <c r="DA290" s="212"/>
      <c r="DB290" s="212"/>
      <c r="DC290" s="212"/>
      <c r="DD290" s="212"/>
      <c r="DE290" s="212"/>
      <c r="DF290" s="212"/>
      <c r="DG290" s="212"/>
      <c r="DH290" s="212"/>
      <c r="DI290" s="212"/>
      <c r="DJ290" s="212"/>
      <c r="DK290" s="212"/>
      <c r="DL290" s="212"/>
      <c r="DM290" s="212"/>
      <c r="DN290" s="212"/>
      <c r="DO290" s="212"/>
      <c r="DP290" s="212"/>
      <c r="DQ290" s="212"/>
      <c r="DR290" s="212"/>
      <c r="DS290" s="212"/>
      <c r="DT290" s="212"/>
      <c r="DU290" s="212"/>
      <c r="DV290" s="212"/>
      <c r="DW290" s="212"/>
      <c r="DX290" s="212"/>
      <c r="DY290" s="212"/>
      <c r="DZ290" s="212"/>
      <c r="EA290" s="212"/>
      <c r="EB290" s="212"/>
      <c r="EC290" s="212"/>
      <c r="ED290" s="212"/>
      <c r="EE290" s="212"/>
      <c r="EF290" s="212"/>
      <c r="EG290" s="212"/>
      <c r="EH290" s="212"/>
      <c r="EI290" s="212"/>
      <c r="EJ290" s="212"/>
      <c r="EK290" s="212"/>
      <c r="EL290" s="212"/>
      <c r="EM290" s="212"/>
      <c r="EN290" s="212"/>
      <c r="EO290" s="212"/>
      <c r="EP290" s="212"/>
      <c r="EQ290" s="212"/>
      <c r="ER290" s="212"/>
      <c r="ES290" s="212"/>
      <c r="ET290" s="212"/>
      <c r="EU290" s="212"/>
      <c r="EV290" s="212"/>
      <c r="EW290" s="212"/>
      <c r="EX290" s="212"/>
      <c r="EY290" s="212"/>
      <c r="EZ290" s="212"/>
      <c r="FA290" s="212"/>
      <c r="FB290" s="212"/>
      <c r="FC290" s="212"/>
      <c r="FD290" s="212"/>
      <c r="FE290" s="212"/>
      <c r="FF290" s="212"/>
      <c r="FG290" s="212"/>
      <c r="FH290" s="212"/>
      <c r="FI290" s="212"/>
      <c r="FJ290" s="212"/>
      <c r="FK290" s="212"/>
      <c r="FL290" s="212"/>
      <c r="FM290" s="212"/>
      <c r="FN290" s="212"/>
      <c r="FO290" s="212"/>
      <c r="FP290" s="212"/>
      <c r="FQ290" s="212"/>
      <c r="FR290" s="212"/>
      <c r="FS290" s="212"/>
      <c r="FT290" s="212"/>
      <c r="FU290" s="212"/>
      <c r="FV290" s="212"/>
      <c r="FW290" s="212"/>
      <c r="FX290" s="212"/>
      <c r="FY290" s="212"/>
      <c r="FZ290" s="212"/>
      <c r="GA290" s="212"/>
      <c r="GB290" s="212"/>
      <c r="GC290" s="212"/>
      <c r="GD290" s="212"/>
      <c r="GE290" s="212"/>
      <c r="GF290" s="212"/>
      <c r="GG290" s="212"/>
      <c r="GH290" s="212"/>
      <c r="GI290" s="212"/>
      <c r="GJ290" s="212"/>
      <c r="GK290" s="212"/>
      <c r="GL290" s="212"/>
      <c r="GM290" s="212"/>
      <c r="GN290" s="212"/>
      <c r="GO290" s="212"/>
      <c r="GP290" s="212"/>
      <c r="GQ290" s="212"/>
      <c r="GR290" s="212"/>
      <c r="GS290" s="212"/>
      <c r="GT290" s="212"/>
      <c r="GU290" s="212"/>
      <c r="GV290" s="212"/>
      <c r="GW290" s="212"/>
      <c r="GX290" s="212"/>
      <c r="GY290" s="212"/>
      <c r="GZ290" s="212"/>
      <c r="HA290" s="212"/>
      <c r="HB290" s="212"/>
      <c r="HC290" s="212"/>
      <c r="HD290" s="212"/>
      <c r="HE290" s="212"/>
      <c r="HF290" s="212"/>
      <c r="HG290" s="212"/>
      <c r="HH290" s="212"/>
      <c r="HI290" s="212"/>
      <c r="HJ290" s="212"/>
      <c r="HK290" s="212"/>
      <c r="HL290" s="212"/>
      <c r="HM290" s="212"/>
      <c r="HN290" s="212"/>
      <c r="HO290" s="212"/>
      <c r="HP290" s="212"/>
      <c r="HQ290" s="212"/>
      <c r="HR290" s="212"/>
      <c r="HS290" s="212"/>
      <c r="HT290" s="212"/>
      <c r="HU290" s="212"/>
      <c r="HV290" s="212"/>
      <c r="HW290" s="212"/>
      <c r="HX290" s="212"/>
      <c r="HY290" s="212"/>
      <c r="HZ290" s="212"/>
      <c r="IA290" s="212"/>
      <c r="IB290" s="212"/>
      <c r="IC290" s="212"/>
      <c r="ID290" s="212"/>
      <c r="IE290" s="212"/>
      <c r="IF290" s="212"/>
      <c r="IG290" s="212"/>
      <c r="IH290" s="212"/>
      <c r="II290" s="212"/>
      <c r="IJ290" s="212"/>
      <c r="IK290" s="212"/>
      <c r="IL290" s="212"/>
      <c r="IM290" s="212"/>
      <c r="IN290" s="212"/>
      <c r="IO290" s="212"/>
      <c r="IP290" s="212"/>
      <c r="IQ290" s="212"/>
      <c r="IR290" s="212"/>
    </row>
    <row r="291" spans="13:252" ht="16.5" thickTop="1" thickBot="1">
      <c r="M291" s="212"/>
      <c r="N291" s="212"/>
      <c r="O291" s="212"/>
      <c r="P291" s="212"/>
      <c r="Q291" s="212"/>
      <c r="R291" s="212"/>
      <c r="S291" s="212"/>
      <c r="T291" s="212"/>
      <c r="U291" s="212"/>
      <c r="V291" s="212"/>
      <c r="W291" s="212"/>
      <c r="X291" s="212"/>
      <c r="Y291" s="212"/>
      <c r="Z291" s="212"/>
      <c r="AA291" s="212"/>
      <c r="AB291" s="212"/>
      <c r="AC291" s="212"/>
      <c r="AD291" s="212"/>
      <c r="AE291" s="212"/>
      <c r="AF291" s="212"/>
      <c r="AG291" s="212"/>
      <c r="AH291" s="212"/>
      <c r="AI291" s="212"/>
      <c r="AJ291" s="212"/>
      <c r="AK291" s="212"/>
      <c r="AL291" s="212"/>
      <c r="AM291" s="212"/>
      <c r="AN291" s="212"/>
      <c r="AO291" s="212"/>
      <c r="AP291" s="212"/>
      <c r="AQ291" s="212"/>
      <c r="AR291" s="212"/>
      <c r="AS291" s="212"/>
      <c r="AT291" s="212"/>
      <c r="AU291" s="212"/>
      <c r="AV291" s="212"/>
      <c r="AW291" s="212"/>
      <c r="AX291" s="212"/>
      <c r="AY291" s="212"/>
      <c r="AZ291" s="212"/>
      <c r="BA291" s="212"/>
      <c r="BB291" s="212"/>
      <c r="BC291" s="212"/>
      <c r="BD291" s="212"/>
      <c r="BE291" s="212"/>
      <c r="BF291" s="212"/>
      <c r="BG291" s="212"/>
      <c r="BH291" s="212"/>
      <c r="BI291" s="212"/>
      <c r="BJ291" s="212"/>
      <c r="BK291" s="212"/>
      <c r="BL291" s="212"/>
      <c r="BM291" s="212"/>
      <c r="BN291" s="212"/>
      <c r="BO291" s="212"/>
      <c r="BP291" s="212"/>
      <c r="BQ291" s="212"/>
      <c r="BR291" s="212"/>
      <c r="BS291" s="212"/>
      <c r="BT291" s="212"/>
      <c r="BU291" s="212"/>
      <c r="BV291" s="212"/>
      <c r="BW291" s="212"/>
      <c r="BX291" s="212"/>
      <c r="BY291" s="212"/>
      <c r="BZ291" s="212"/>
      <c r="CA291" s="212"/>
      <c r="CB291" s="212"/>
      <c r="CC291" s="212"/>
      <c r="CD291" s="212"/>
      <c r="CE291" s="212"/>
      <c r="CF291" s="212"/>
      <c r="CG291" s="212"/>
      <c r="CH291" s="212"/>
      <c r="CI291" s="212"/>
      <c r="CJ291" s="212"/>
      <c r="CK291" s="212"/>
      <c r="CL291" s="212"/>
      <c r="CM291" s="212"/>
      <c r="CN291" s="212"/>
      <c r="CO291" s="212"/>
      <c r="CP291" s="212"/>
      <c r="CQ291" s="212"/>
      <c r="CR291" s="212"/>
      <c r="CS291" s="212"/>
      <c r="CT291" s="212"/>
      <c r="CU291" s="212"/>
      <c r="CV291" s="212"/>
      <c r="CW291" s="212"/>
      <c r="CX291" s="212"/>
      <c r="CY291" s="212"/>
      <c r="CZ291" s="212"/>
      <c r="DA291" s="212"/>
      <c r="DB291" s="212"/>
      <c r="DC291" s="212"/>
      <c r="DD291" s="212"/>
      <c r="DE291" s="212"/>
      <c r="DF291" s="212"/>
      <c r="DG291" s="212"/>
      <c r="DH291" s="212"/>
      <c r="DI291" s="212"/>
      <c r="DJ291" s="212"/>
      <c r="DK291" s="212"/>
      <c r="DL291" s="212"/>
      <c r="DM291" s="212"/>
      <c r="DN291" s="212"/>
      <c r="DO291" s="212"/>
      <c r="DP291" s="212"/>
      <c r="DQ291" s="212"/>
      <c r="DR291" s="212"/>
      <c r="DS291" s="212"/>
      <c r="DT291" s="212"/>
      <c r="DU291" s="212"/>
      <c r="DV291" s="212"/>
      <c r="DW291" s="212"/>
      <c r="DX291" s="212"/>
      <c r="DY291" s="212"/>
      <c r="DZ291" s="212"/>
      <c r="EA291" s="212"/>
      <c r="EB291" s="212"/>
      <c r="EC291" s="212"/>
      <c r="ED291" s="212"/>
      <c r="EE291" s="212"/>
      <c r="EF291" s="212"/>
      <c r="EG291" s="212"/>
      <c r="EH291" s="212"/>
      <c r="EI291" s="212"/>
      <c r="EJ291" s="212"/>
      <c r="EK291" s="212"/>
      <c r="EL291" s="212"/>
      <c r="EM291" s="212"/>
      <c r="EN291" s="212"/>
      <c r="EO291" s="212"/>
      <c r="EP291" s="212"/>
      <c r="EQ291" s="212"/>
      <c r="ER291" s="212"/>
      <c r="ES291" s="212"/>
      <c r="ET291" s="212"/>
      <c r="EU291" s="212"/>
      <c r="EV291" s="212"/>
      <c r="EW291" s="212"/>
      <c r="EX291" s="212"/>
      <c r="EY291" s="212"/>
      <c r="EZ291" s="212"/>
      <c r="FA291" s="212"/>
      <c r="FB291" s="212"/>
      <c r="FC291" s="212"/>
      <c r="FD291" s="212"/>
      <c r="FE291" s="212"/>
      <c r="FF291" s="212"/>
      <c r="FG291" s="212"/>
      <c r="FH291" s="212"/>
      <c r="FI291" s="212"/>
      <c r="FJ291" s="212"/>
      <c r="FK291" s="212"/>
      <c r="FL291" s="212"/>
      <c r="FM291" s="212"/>
      <c r="FN291" s="212"/>
      <c r="FO291" s="212"/>
      <c r="FP291" s="212"/>
      <c r="FQ291" s="212"/>
      <c r="FR291" s="212"/>
      <c r="FS291" s="212"/>
      <c r="FT291" s="212"/>
      <c r="FU291" s="212"/>
      <c r="FV291" s="212"/>
      <c r="FW291" s="212"/>
      <c r="FX291" s="212"/>
      <c r="FY291" s="212"/>
      <c r="FZ291" s="212"/>
      <c r="GA291" s="212"/>
      <c r="GB291" s="212"/>
      <c r="GC291" s="212"/>
      <c r="GD291" s="212"/>
      <c r="GE291" s="212"/>
      <c r="GF291" s="212"/>
      <c r="GG291" s="212"/>
      <c r="GH291" s="212"/>
      <c r="GI291" s="212"/>
      <c r="GJ291" s="212"/>
      <c r="GK291" s="212"/>
      <c r="GL291" s="212"/>
      <c r="GM291" s="212"/>
      <c r="GN291" s="212"/>
      <c r="GO291" s="212"/>
      <c r="GP291" s="212"/>
      <c r="GQ291" s="212"/>
      <c r="GR291" s="212"/>
      <c r="GS291" s="212"/>
      <c r="GT291" s="212"/>
      <c r="GU291" s="212"/>
      <c r="GV291" s="212"/>
      <c r="GW291" s="212"/>
      <c r="GX291" s="212"/>
      <c r="GY291" s="212"/>
      <c r="GZ291" s="212"/>
      <c r="HA291" s="212"/>
      <c r="HB291" s="212"/>
      <c r="HC291" s="212"/>
      <c r="HD291" s="212"/>
      <c r="HE291" s="212"/>
      <c r="HF291" s="212"/>
      <c r="HG291" s="212"/>
      <c r="HH291" s="212"/>
      <c r="HI291" s="212"/>
      <c r="HJ291" s="212"/>
      <c r="HK291" s="212"/>
      <c r="HL291" s="212"/>
      <c r="HM291" s="212"/>
      <c r="HN291" s="212"/>
      <c r="HO291" s="212"/>
      <c r="HP291" s="212"/>
      <c r="HQ291" s="212"/>
      <c r="HR291" s="212"/>
      <c r="HS291" s="212"/>
      <c r="HT291" s="212"/>
      <c r="HU291" s="212"/>
      <c r="HV291" s="212"/>
      <c r="HW291" s="212"/>
      <c r="HX291" s="212"/>
      <c r="HY291" s="212"/>
      <c r="HZ291" s="212"/>
      <c r="IA291" s="212"/>
      <c r="IB291" s="212"/>
      <c r="IC291" s="212"/>
      <c r="ID291" s="212"/>
      <c r="IE291" s="212"/>
      <c r="IF291" s="212"/>
      <c r="IG291" s="212"/>
      <c r="IH291" s="212"/>
      <c r="II291" s="212"/>
      <c r="IJ291" s="212"/>
      <c r="IK291" s="212"/>
      <c r="IL291" s="212"/>
      <c r="IM291" s="212"/>
      <c r="IN291" s="212"/>
      <c r="IO291" s="212"/>
      <c r="IP291" s="212"/>
      <c r="IQ291" s="212"/>
      <c r="IR291" s="212"/>
    </row>
    <row r="292" spans="13:252" ht="16.5" thickTop="1" thickBot="1">
      <c r="M292" s="212"/>
      <c r="N292" s="212"/>
      <c r="O292" s="212"/>
      <c r="P292" s="212"/>
      <c r="Q292" s="212"/>
      <c r="R292" s="212"/>
      <c r="S292" s="212"/>
      <c r="T292" s="212"/>
      <c r="U292" s="212"/>
      <c r="V292" s="212"/>
      <c r="W292" s="212"/>
      <c r="X292" s="212"/>
      <c r="Y292" s="212"/>
      <c r="Z292" s="212"/>
      <c r="AA292" s="212"/>
      <c r="AB292" s="212"/>
      <c r="AC292" s="212"/>
      <c r="AD292" s="212"/>
      <c r="AE292" s="212"/>
      <c r="AF292" s="212"/>
      <c r="AG292" s="212"/>
      <c r="AH292" s="212"/>
      <c r="AI292" s="212"/>
      <c r="AJ292" s="212"/>
      <c r="AK292" s="212"/>
      <c r="AL292" s="212"/>
      <c r="AM292" s="212"/>
      <c r="AN292" s="212"/>
      <c r="AO292" s="212"/>
      <c r="AP292" s="212"/>
      <c r="AQ292" s="212"/>
      <c r="AR292" s="212"/>
      <c r="AS292" s="212"/>
      <c r="AT292" s="212"/>
      <c r="AU292" s="212"/>
      <c r="AV292" s="212"/>
      <c r="AW292" s="212"/>
      <c r="AX292" s="212"/>
      <c r="AY292" s="212"/>
      <c r="AZ292" s="212"/>
      <c r="BA292" s="212"/>
      <c r="BB292" s="212"/>
      <c r="BC292" s="212"/>
      <c r="BD292" s="212"/>
      <c r="BE292" s="212"/>
      <c r="BF292" s="212"/>
      <c r="BG292" s="212"/>
      <c r="BH292" s="212"/>
      <c r="BI292" s="212"/>
      <c r="BJ292" s="212"/>
      <c r="BK292" s="212"/>
      <c r="BL292" s="212"/>
      <c r="BM292" s="212"/>
      <c r="BN292" s="212"/>
      <c r="BO292" s="212"/>
      <c r="BP292" s="212"/>
      <c r="BQ292" s="212"/>
      <c r="BR292" s="212"/>
      <c r="BS292" s="212"/>
      <c r="BT292" s="212"/>
      <c r="BU292" s="212"/>
      <c r="BV292" s="212"/>
      <c r="BW292" s="212"/>
      <c r="BX292" s="212"/>
      <c r="BY292" s="212"/>
      <c r="BZ292" s="212"/>
      <c r="CA292" s="212"/>
      <c r="CB292" s="212"/>
      <c r="CC292" s="212"/>
      <c r="CD292" s="212"/>
      <c r="CE292" s="212"/>
      <c r="CF292" s="212"/>
      <c r="CG292" s="212"/>
      <c r="CH292" s="212"/>
      <c r="CI292" s="212"/>
      <c r="CJ292" s="212"/>
      <c r="CK292" s="212"/>
      <c r="CL292" s="212"/>
      <c r="CM292" s="212"/>
      <c r="CN292" s="212"/>
      <c r="CO292" s="212"/>
      <c r="CP292" s="212"/>
      <c r="CQ292" s="212"/>
      <c r="CR292" s="212"/>
      <c r="CS292" s="212"/>
      <c r="CT292" s="212"/>
      <c r="CU292" s="212"/>
      <c r="CV292" s="212"/>
      <c r="CW292" s="212"/>
      <c r="CX292" s="212"/>
      <c r="CY292" s="212"/>
      <c r="CZ292" s="212"/>
      <c r="DA292" s="212"/>
      <c r="DB292" s="212"/>
      <c r="DC292" s="212"/>
      <c r="DD292" s="212"/>
      <c r="DE292" s="212"/>
      <c r="DF292" s="212"/>
      <c r="DG292" s="212"/>
      <c r="DH292" s="212"/>
      <c r="DI292" s="212"/>
      <c r="DJ292" s="212"/>
      <c r="DK292" s="212"/>
      <c r="DL292" s="212"/>
      <c r="DM292" s="212"/>
      <c r="DN292" s="212"/>
      <c r="DO292" s="212"/>
      <c r="DP292" s="212"/>
      <c r="DQ292" s="212"/>
      <c r="DR292" s="212"/>
      <c r="DS292" s="212"/>
      <c r="DT292" s="212"/>
      <c r="DU292" s="212"/>
      <c r="DV292" s="212"/>
      <c r="DW292" s="212"/>
      <c r="DX292" s="212"/>
      <c r="DY292" s="212"/>
      <c r="DZ292" s="212"/>
      <c r="EA292" s="212"/>
      <c r="EB292" s="212"/>
      <c r="EC292" s="212"/>
      <c r="ED292" s="212"/>
      <c r="EE292" s="212"/>
      <c r="EF292" s="212"/>
      <c r="EG292" s="212"/>
      <c r="EH292" s="212"/>
      <c r="EI292" s="212"/>
      <c r="EJ292" s="212"/>
      <c r="EK292" s="212"/>
      <c r="EL292" s="212"/>
      <c r="EM292" s="212"/>
      <c r="EN292" s="212"/>
      <c r="EO292" s="212"/>
      <c r="EP292" s="212"/>
      <c r="EQ292" s="212"/>
      <c r="ER292" s="212"/>
      <c r="ES292" s="212"/>
      <c r="ET292" s="212"/>
      <c r="EU292" s="212"/>
      <c r="EV292" s="212"/>
      <c r="EW292" s="212"/>
      <c r="EX292" s="212"/>
      <c r="EY292" s="212"/>
      <c r="EZ292" s="212"/>
      <c r="FA292" s="212"/>
      <c r="FB292" s="212"/>
      <c r="FC292" s="212"/>
      <c r="FD292" s="212"/>
      <c r="FE292" s="212"/>
      <c r="FF292" s="212"/>
      <c r="FG292" s="212"/>
      <c r="FH292" s="212"/>
      <c r="FI292" s="212"/>
      <c r="FJ292" s="212"/>
      <c r="FK292" s="212"/>
      <c r="FL292" s="212"/>
      <c r="FM292" s="212"/>
      <c r="FN292" s="212"/>
      <c r="FO292" s="212"/>
      <c r="FP292" s="212"/>
      <c r="FQ292" s="212"/>
      <c r="FR292" s="212"/>
      <c r="FS292" s="212"/>
      <c r="FT292" s="212"/>
      <c r="FU292" s="212"/>
      <c r="FV292" s="212"/>
      <c r="FW292" s="212"/>
      <c r="FX292" s="212"/>
      <c r="FY292" s="212"/>
      <c r="FZ292" s="212"/>
      <c r="GA292" s="212"/>
      <c r="GB292" s="212"/>
      <c r="GC292" s="212"/>
      <c r="GD292" s="212"/>
      <c r="GE292" s="212"/>
      <c r="GF292" s="212"/>
      <c r="GG292" s="212"/>
      <c r="GH292" s="212"/>
      <c r="GI292" s="212"/>
      <c r="GJ292" s="212"/>
      <c r="GK292" s="212"/>
      <c r="GL292" s="212"/>
      <c r="GM292" s="212"/>
      <c r="GN292" s="212"/>
      <c r="GO292" s="212"/>
      <c r="GP292" s="212"/>
      <c r="GQ292" s="212"/>
      <c r="GR292" s="212"/>
      <c r="GS292" s="212"/>
      <c r="GT292" s="212"/>
      <c r="GU292" s="212"/>
      <c r="GV292" s="212"/>
      <c r="GW292" s="212"/>
      <c r="GX292" s="212"/>
      <c r="GY292" s="212"/>
      <c r="GZ292" s="212"/>
      <c r="HA292" s="212"/>
      <c r="HB292" s="212"/>
      <c r="HC292" s="212"/>
      <c r="HD292" s="212"/>
      <c r="HE292" s="212"/>
      <c r="HF292" s="212"/>
      <c r="HG292" s="212"/>
      <c r="HH292" s="212"/>
      <c r="HI292" s="212"/>
      <c r="HJ292" s="212"/>
      <c r="HK292" s="212"/>
      <c r="HL292" s="212"/>
      <c r="HM292" s="212"/>
      <c r="HN292" s="212"/>
      <c r="HO292" s="212"/>
      <c r="HP292" s="212"/>
      <c r="HQ292" s="212"/>
      <c r="HR292" s="212"/>
      <c r="HS292" s="212"/>
      <c r="HT292" s="212"/>
      <c r="HU292" s="212"/>
      <c r="HV292" s="212"/>
      <c r="HW292" s="212"/>
      <c r="HX292" s="212"/>
      <c r="HY292" s="212"/>
      <c r="HZ292" s="212"/>
      <c r="IA292" s="212"/>
      <c r="IB292" s="212"/>
      <c r="IC292" s="212"/>
      <c r="ID292" s="212"/>
      <c r="IE292" s="212"/>
      <c r="IF292" s="212"/>
      <c r="IG292" s="212"/>
      <c r="IH292" s="212"/>
      <c r="II292" s="212"/>
      <c r="IJ292" s="212"/>
      <c r="IK292" s="212"/>
      <c r="IL292" s="212"/>
      <c r="IM292" s="212"/>
      <c r="IN292" s="212"/>
      <c r="IO292" s="212"/>
      <c r="IP292" s="212"/>
      <c r="IQ292" s="212"/>
      <c r="IR292" s="212"/>
    </row>
    <row r="293" spans="13:252" ht="16.5" thickTop="1" thickBot="1">
      <c r="M293" s="212"/>
      <c r="N293" s="212"/>
      <c r="O293" s="212"/>
      <c r="P293" s="212"/>
      <c r="Q293" s="212"/>
      <c r="R293" s="212"/>
      <c r="S293" s="212"/>
      <c r="T293" s="212"/>
      <c r="U293" s="212"/>
      <c r="V293" s="212"/>
      <c r="W293" s="212"/>
      <c r="X293" s="212"/>
      <c r="Y293" s="212"/>
      <c r="Z293" s="212"/>
      <c r="AA293" s="212"/>
      <c r="AB293" s="212"/>
      <c r="AC293" s="212"/>
      <c r="AD293" s="212"/>
      <c r="AE293" s="212"/>
      <c r="AF293" s="212"/>
      <c r="AG293" s="212"/>
      <c r="AH293" s="212"/>
      <c r="AI293" s="212"/>
      <c r="AJ293" s="212"/>
      <c r="AK293" s="212"/>
      <c r="AL293" s="212"/>
      <c r="AM293" s="212"/>
      <c r="AN293" s="212"/>
      <c r="AO293" s="212"/>
      <c r="AP293" s="212"/>
      <c r="AQ293" s="212"/>
      <c r="AR293" s="212"/>
      <c r="AS293" s="212"/>
      <c r="AT293" s="212"/>
      <c r="AU293" s="212"/>
      <c r="AV293" s="212"/>
      <c r="AW293" s="212"/>
      <c r="AX293" s="212"/>
      <c r="AY293" s="212"/>
      <c r="AZ293" s="212"/>
      <c r="BA293" s="212"/>
      <c r="BB293" s="212"/>
      <c r="BC293" s="212"/>
      <c r="BD293" s="212"/>
      <c r="BE293" s="212"/>
      <c r="BF293" s="212"/>
      <c r="BG293" s="212"/>
      <c r="BH293" s="212"/>
      <c r="BI293" s="212"/>
      <c r="BJ293" s="212"/>
      <c r="BK293" s="212"/>
      <c r="BL293" s="212"/>
      <c r="BM293" s="212"/>
      <c r="BN293" s="212"/>
      <c r="BO293" s="212"/>
      <c r="BP293" s="212"/>
      <c r="BQ293" s="212"/>
      <c r="BR293" s="212"/>
      <c r="BS293" s="212"/>
      <c r="BT293" s="212"/>
      <c r="BU293" s="212"/>
      <c r="BV293" s="212"/>
      <c r="BW293" s="212"/>
      <c r="BX293" s="212"/>
      <c r="BY293" s="212"/>
      <c r="BZ293" s="212"/>
      <c r="CA293" s="212"/>
      <c r="CB293" s="212"/>
      <c r="CC293" s="212"/>
      <c r="CD293" s="212"/>
      <c r="CE293" s="212"/>
      <c r="CF293" s="212"/>
      <c r="CG293" s="212"/>
      <c r="CH293" s="212"/>
      <c r="CI293" s="212"/>
      <c r="CJ293" s="212"/>
      <c r="CK293" s="212"/>
      <c r="CL293" s="212"/>
      <c r="CM293" s="212"/>
      <c r="CN293" s="212"/>
      <c r="CO293" s="212"/>
      <c r="CP293" s="212"/>
      <c r="CQ293" s="212"/>
      <c r="CR293" s="212"/>
      <c r="CS293" s="212"/>
      <c r="CT293" s="212"/>
      <c r="CU293" s="212"/>
      <c r="CV293" s="212"/>
      <c r="CW293" s="212"/>
      <c r="CX293" s="212"/>
      <c r="CY293" s="212"/>
      <c r="CZ293" s="212"/>
      <c r="DA293" s="212"/>
      <c r="DB293" s="212"/>
      <c r="DC293" s="212"/>
      <c r="DD293" s="212"/>
      <c r="DE293" s="212"/>
      <c r="DF293" s="212"/>
      <c r="DG293" s="212"/>
      <c r="DH293" s="212"/>
      <c r="DI293" s="212"/>
      <c r="DJ293" s="212"/>
      <c r="DK293" s="212"/>
      <c r="DL293" s="212"/>
      <c r="DM293" s="212"/>
      <c r="DN293" s="212"/>
      <c r="DO293" s="212"/>
      <c r="DP293" s="212"/>
      <c r="DQ293" s="212"/>
      <c r="DR293" s="212"/>
      <c r="DS293" s="212"/>
      <c r="DT293" s="212"/>
      <c r="DU293" s="212"/>
      <c r="DV293" s="212"/>
      <c r="DW293" s="212"/>
      <c r="DX293" s="212"/>
      <c r="DY293" s="212"/>
      <c r="DZ293" s="212"/>
      <c r="EA293" s="212"/>
      <c r="EB293" s="212"/>
      <c r="EC293" s="212"/>
      <c r="ED293" s="212"/>
      <c r="EE293" s="212"/>
      <c r="EF293" s="212"/>
      <c r="EG293" s="212"/>
      <c r="EH293" s="212"/>
      <c r="EI293" s="212"/>
      <c r="EJ293" s="212"/>
      <c r="EK293" s="212"/>
      <c r="EL293" s="212"/>
      <c r="EM293" s="212"/>
      <c r="EN293" s="212"/>
      <c r="EO293" s="212"/>
      <c r="EP293" s="212"/>
      <c r="EQ293" s="212"/>
      <c r="ER293" s="212"/>
      <c r="ES293" s="212"/>
      <c r="ET293" s="212"/>
      <c r="EU293" s="212"/>
      <c r="EV293" s="212"/>
      <c r="EW293" s="212"/>
      <c r="EX293" s="212"/>
      <c r="EY293" s="212"/>
      <c r="EZ293" s="212"/>
      <c r="FA293" s="212"/>
      <c r="FB293" s="212"/>
      <c r="FC293" s="212"/>
      <c r="FD293" s="212"/>
      <c r="FE293" s="212"/>
      <c r="FF293" s="212"/>
      <c r="FG293" s="212"/>
      <c r="FH293" s="212"/>
      <c r="FI293" s="212"/>
      <c r="FJ293" s="212"/>
      <c r="FK293" s="212"/>
      <c r="FL293" s="212"/>
      <c r="FM293" s="212"/>
      <c r="FN293" s="212"/>
      <c r="FO293" s="212"/>
      <c r="FP293" s="212"/>
      <c r="FQ293" s="212"/>
      <c r="FR293" s="212"/>
      <c r="FS293" s="212"/>
      <c r="FT293" s="212"/>
      <c r="FU293" s="212"/>
      <c r="FV293" s="212"/>
      <c r="FW293" s="212"/>
      <c r="FX293" s="212"/>
      <c r="FY293" s="212"/>
      <c r="FZ293" s="212"/>
      <c r="GA293" s="212"/>
      <c r="GB293" s="212"/>
      <c r="GC293" s="212"/>
      <c r="GD293" s="212"/>
      <c r="GE293" s="212"/>
      <c r="GF293" s="212"/>
      <c r="GG293" s="212"/>
      <c r="GH293" s="212"/>
      <c r="GI293" s="212"/>
      <c r="GJ293" s="212"/>
      <c r="GK293" s="212"/>
      <c r="GL293" s="212"/>
      <c r="GM293" s="212"/>
      <c r="GN293" s="212"/>
      <c r="GO293" s="212"/>
      <c r="GP293" s="212"/>
      <c r="GQ293" s="212"/>
      <c r="GR293" s="212"/>
      <c r="GS293" s="212"/>
      <c r="GT293" s="212"/>
      <c r="GU293" s="212"/>
      <c r="GV293" s="212"/>
      <c r="GW293" s="212"/>
      <c r="GX293" s="212"/>
      <c r="GY293" s="212"/>
      <c r="GZ293" s="212"/>
      <c r="HA293" s="212"/>
      <c r="HB293" s="212"/>
      <c r="HC293" s="212"/>
      <c r="HD293" s="212"/>
      <c r="HE293" s="212"/>
      <c r="HF293" s="212"/>
      <c r="HG293" s="212"/>
      <c r="HH293" s="212"/>
      <c r="HI293" s="212"/>
      <c r="HJ293" s="212"/>
      <c r="HK293" s="212"/>
      <c r="HL293" s="212"/>
      <c r="HM293" s="212"/>
      <c r="HN293" s="212"/>
      <c r="HO293" s="212"/>
      <c r="HP293" s="212"/>
      <c r="HQ293" s="212"/>
      <c r="HR293" s="212"/>
      <c r="HS293" s="212"/>
      <c r="HT293" s="212"/>
      <c r="HU293" s="212"/>
      <c r="HV293" s="212"/>
      <c r="HW293" s="212"/>
      <c r="HX293" s="212"/>
      <c r="HY293" s="212"/>
      <c r="HZ293" s="212"/>
      <c r="IA293" s="212"/>
      <c r="IB293" s="212"/>
      <c r="IC293" s="212"/>
      <c r="ID293" s="212"/>
      <c r="IE293" s="212"/>
      <c r="IF293" s="212"/>
      <c r="IG293" s="212"/>
      <c r="IH293" s="212"/>
      <c r="II293" s="212"/>
      <c r="IJ293" s="212"/>
      <c r="IK293" s="212"/>
      <c r="IL293" s="212"/>
      <c r="IM293" s="212"/>
      <c r="IN293" s="212"/>
      <c r="IO293" s="212"/>
      <c r="IP293" s="212"/>
      <c r="IQ293" s="212"/>
      <c r="IR293" s="212"/>
    </row>
    <row r="294" spans="13:252" ht="16.5" thickTop="1" thickBot="1">
      <c r="M294" s="212"/>
      <c r="N294" s="212"/>
      <c r="O294" s="212"/>
      <c r="P294" s="212"/>
      <c r="Q294" s="212"/>
      <c r="R294" s="212"/>
      <c r="S294" s="212"/>
      <c r="T294" s="212"/>
      <c r="U294" s="212"/>
      <c r="V294" s="212"/>
      <c r="W294" s="212"/>
      <c r="X294" s="212"/>
      <c r="Y294" s="212"/>
      <c r="Z294" s="212"/>
      <c r="AA294" s="212"/>
      <c r="AB294" s="212"/>
      <c r="AC294" s="212"/>
      <c r="AD294" s="212"/>
      <c r="AE294" s="212"/>
      <c r="AF294" s="212"/>
      <c r="AG294" s="212"/>
      <c r="AH294" s="212"/>
      <c r="AI294" s="212"/>
      <c r="AJ294" s="212"/>
      <c r="AK294" s="212"/>
      <c r="AL294" s="212"/>
      <c r="AM294" s="212"/>
      <c r="AN294" s="212"/>
      <c r="AO294" s="212"/>
      <c r="AP294" s="212"/>
      <c r="AQ294" s="212"/>
      <c r="AR294" s="212"/>
      <c r="AS294" s="212"/>
      <c r="AT294" s="212"/>
      <c r="AU294" s="212"/>
      <c r="AV294" s="212"/>
      <c r="AW294" s="212"/>
      <c r="AX294" s="212"/>
      <c r="AY294" s="212"/>
      <c r="AZ294" s="212"/>
      <c r="BA294" s="212"/>
      <c r="BB294" s="212"/>
      <c r="BC294" s="212"/>
      <c r="BD294" s="212"/>
      <c r="BE294" s="212"/>
      <c r="BF294" s="212"/>
      <c r="BG294" s="212"/>
      <c r="BH294" s="212"/>
      <c r="BI294" s="212"/>
      <c r="BJ294" s="212"/>
      <c r="BK294" s="212"/>
      <c r="BL294" s="212"/>
      <c r="BM294" s="212"/>
      <c r="BN294" s="212"/>
      <c r="BO294" s="212"/>
      <c r="BP294" s="212"/>
      <c r="BQ294" s="212"/>
      <c r="BR294" s="212"/>
      <c r="BS294" s="212"/>
      <c r="BT294" s="212"/>
      <c r="BU294" s="212"/>
      <c r="BV294" s="212"/>
      <c r="BW294" s="212"/>
      <c r="BX294" s="212"/>
      <c r="BY294" s="212"/>
      <c r="BZ294" s="212"/>
      <c r="CA294" s="212"/>
      <c r="CB294" s="212"/>
      <c r="CC294" s="212"/>
      <c r="CD294" s="212"/>
      <c r="CE294" s="212"/>
      <c r="CF294" s="212"/>
      <c r="CG294" s="212"/>
      <c r="CH294" s="212"/>
      <c r="CI294" s="212"/>
      <c r="CJ294" s="212"/>
      <c r="CK294" s="212"/>
      <c r="CL294" s="212"/>
      <c r="CM294" s="212"/>
      <c r="CN294" s="212"/>
      <c r="CO294" s="212"/>
      <c r="CP294" s="212"/>
      <c r="CQ294" s="212"/>
      <c r="CR294" s="212"/>
      <c r="CS294" s="212"/>
      <c r="CT294" s="212"/>
      <c r="CU294" s="212"/>
      <c r="CV294" s="212"/>
      <c r="CW294" s="212"/>
      <c r="CX294" s="212"/>
      <c r="CY294" s="212"/>
      <c r="CZ294" s="212"/>
      <c r="DA294" s="212"/>
      <c r="DB294" s="212"/>
      <c r="DC294" s="212"/>
      <c r="DD294" s="212"/>
      <c r="DE294" s="212"/>
      <c r="DF294" s="212"/>
      <c r="DG294" s="212"/>
      <c r="DH294" s="212"/>
      <c r="DI294" s="212"/>
      <c r="DJ294" s="212"/>
      <c r="DK294" s="212"/>
      <c r="DL294" s="212"/>
      <c r="DM294" s="212"/>
      <c r="DN294" s="212"/>
      <c r="DO294" s="212"/>
      <c r="DP294" s="212"/>
      <c r="DQ294" s="212"/>
      <c r="DR294" s="212"/>
      <c r="DS294" s="212"/>
      <c r="DT294" s="212"/>
      <c r="DU294" s="212"/>
      <c r="DV294" s="212"/>
      <c r="DW294" s="212"/>
      <c r="DX294" s="212"/>
      <c r="DY294" s="212"/>
      <c r="DZ294" s="212"/>
      <c r="EA294" s="212"/>
      <c r="EB294" s="212"/>
      <c r="EC294" s="212"/>
      <c r="ED294" s="212"/>
      <c r="EE294" s="212"/>
      <c r="EF294" s="212"/>
      <c r="EG294" s="212"/>
      <c r="EH294" s="212"/>
      <c r="EI294" s="212"/>
      <c r="EJ294" s="212"/>
      <c r="EK294" s="212"/>
      <c r="EL294" s="212"/>
      <c r="EM294" s="212"/>
      <c r="EN294" s="212"/>
      <c r="EO294" s="212"/>
      <c r="EP294" s="212"/>
      <c r="EQ294" s="212"/>
      <c r="ER294" s="212"/>
      <c r="ES294" s="212"/>
      <c r="ET294" s="212"/>
      <c r="EU294" s="212"/>
      <c r="EV294" s="212"/>
      <c r="EW294" s="212"/>
      <c r="EX294" s="212"/>
      <c r="EY294" s="212"/>
      <c r="EZ294" s="212"/>
      <c r="FA294" s="212"/>
      <c r="FB294" s="212"/>
      <c r="FC294" s="212"/>
      <c r="FD294" s="212"/>
      <c r="FE294" s="212"/>
      <c r="FF294" s="212"/>
      <c r="FG294" s="212"/>
      <c r="FH294" s="212"/>
      <c r="FI294" s="212"/>
      <c r="FJ294" s="212"/>
      <c r="FK294" s="212"/>
      <c r="FL294" s="212"/>
      <c r="FM294" s="212"/>
      <c r="FN294" s="212"/>
      <c r="FO294" s="212"/>
      <c r="FP294" s="212"/>
      <c r="FQ294" s="212"/>
      <c r="FR294" s="212"/>
      <c r="FS294" s="212"/>
      <c r="FT294" s="212"/>
      <c r="FU294" s="212"/>
      <c r="FV294" s="212"/>
      <c r="FW294" s="212"/>
      <c r="FX294" s="212"/>
      <c r="FY294" s="212"/>
      <c r="FZ294" s="212"/>
      <c r="GA294" s="212"/>
      <c r="GB294" s="212"/>
      <c r="GC294" s="212"/>
      <c r="GD294" s="212"/>
      <c r="GE294" s="212"/>
      <c r="GF294" s="212"/>
      <c r="GG294" s="212"/>
      <c r="GH294" s="212"/>
      <c r="GI294" s="212"/>
      <c r="GJ294" s="212"/>
      <c r="GK294" s="212"/>
      <c r="GL294" s="212"/>
      <c r="GM294" s="212"/>
      <c r="GN294" s="212"/>
      <c r="GO294" s="212"/>
      <c r="GP294" s="212"/>
      <c r="GQ294" s="212"/>
      <c r="GR294" s="212"/>
      <c r="GS294" s="212"/>
      <c r="GT294" s="212"/>
      <c r="GU294" s="212"/>
      <c r="GV294" s="212"/>
      <c r="GW294" s="212"/>
      <c r="GX294" s="212"/>
      <c r="GY294" s="212"/>
      <c r="GZ294" s="212"/>
      <c r="HA294" s="212"/>
      <c r="HB294" s="212"/>
      <c r="HC294" s="212"/>
      <c r="HD294" s="212"/>
      <c r="HE294" s="212"/>
      <c r="HF294" s="212"/>
      <c r="HG294" s="212"/>
      <c r="HH294" s="212"/>
      <c r="HI294" s="212"/>
      <c r="HJ294" s="212"/>
      <c r="HK294" s="212"/>
      <c r="HL294" s="212"/>
      <c r="HM294" s="212"/>
      <c r="HN294" s="212"/>
      <c r="HO294" s="212"/>
      <c r="HP294" s="212"/>
      <c r="HQ294" s="212"/>
      <c r="HR294" s="212"/>
      <c r="HS294" s="212"/>
      <c r="HT294" s="212"/>
      <c r="HU294" s="212"/>
      <c r="HV294" s="212"/>
      <c r="HW294" s="212"/>
      <c r="HX294" s="212"/>
      <c r="HY294" s="212"/>
      <c r="HZ294" s="212"/>
      <c r="IA294" s="212"/>
      <c r="IB294" s="212"/>
      <c r="IC294" s="212"/>
      <c r="ID294" s="212"/>
      <c r="IE294" s="212"/>
      <c r="IF294" s="212"/>
      <c r="IG294" s="212"/>
      <c r="IH294" s="212"/>
      <c r="II294" s="212"/>
      <c r="IJ294" s="212"/>
      <c r="IK294" s="212"/>
      <c r="IL294" s="212"/>
      <c r="IM294" s="212"/>
      <c r="IN294" s="212"/>
      <c r="IO294" s="212"/>
      <c r="IP294" s="212"/>
      <c r="IQ294" s="212"/>
      <c r="IR294" s="212"/>
    </row>
    <row r="295" spans="13:252" ht="16.5" thickTop="1" thickBot="1">
      <c r="M295" s="212"/>
      <c r="N295" s="212"/>
      <c r="O295" s="212"/>
      <c r="P295" s="212"/>
      <c r="Q295" s="212"/>
      <c r="R295" s="212"/>
      <c r="S295" s="212"/>
      <c r="T295" s="212"/>
      <c r="U295" s="212"/>
      <c r="V295" s="212"/>
      <c r="W295" s="212"/>
      <c r="X295" s="212"/>
      <c r="Y295" s="212"/>
      <c r="Z295" s="212"/>
      <c r="AA295" s="212"/>
      <c r="AB295" s="212"/>
      <c r="AC295" s="212"/>
      <c r="AD295" s="212"/>
      <c r="AE295" s="212"/>
      <c r="AF295" s="212"/>
      <c r="AG295" s="212"/>
      <c r="AH295" s="212"/>
      <c r="AI295" s="212"/>
      <c r="AJ295" s="212"/>
      <c r="AK295" s="212"/>
      <c r="AL295" s="212"/>
      <c r="AM295" s="212"/>
      <c r="AN295" s="212"/>
      <c r="AO295" s="212"/>
      <c r="AP295" s="212"/>
      <c r="AQ295" s="212"/>
      <c r="AR295" s="212"/>
      <c r="AS295" s="212"/>
      <c r="AT295" s="212"/>
      <c r="AU295" s="212"/>
      <c r="AV295" s="212"/>
      <c r="AW295" s="212"/>
      <c r="AX295" s="212"/>
      <c r="AY295" s="212"/>
      <c r="AZ295" s="212"/>
      <c r="BA295" s="212"/>
      <c r="BB295" s="212"/>
      <c r="BC295" s="212"/>
      <c r="BD295" s="212"/>
      <c r="BE295" s="212"/>
      <c r="BF295" s="212"/>
      <c r="BG295" s="212"/>
      <c r="BH295" s="212"/>
      <c r="BI295" s="212"/>
      <c r="BJ295" s="212"/>
      <c r="BK295" s="212"/>
      <c r="BL295" s="212"/>
      <c r="BM295" s="212"/>
      <c r="BN295" s="212"/>
      <c r="BO295" s="212"/>
      <c r="BP295" s="212"/>
      <c r="BQ295" s="212"/>
      <c r="BR295" s="212"/>
      <c r="BS295" s="212"/>
      <c r="BT295" s="212"/>
      <c r="BU295" s="212"/>
      <c r="BV295" s="212"/>
      <c r="BW295" s="212"/>
      <c r="BX295" s="212"/>
      <c r="BY295" s="212"/>
      <c r="BZ295" s="212"/>
      <c r="CA295" s="212"/>
      <c r="CB295" s="212"/>
      <c r="CC295" s="212"/>
      <c r="CD295" s="212"/>
      <c r="CE295" s="212"/>
      <c r="CF295" s="212"/>
      <c r="CG295" s="212"/>
      <c r="CH295" s="212"/>
      <c r="CI295" s="212"/>
      <c r="CJ295" s="212"/>
      <c r="CK295" s="212"/>
      <c r="CL295" s="212"/>
      <c r="CM295" s="212"/>
      <c r="CN295" s="212"/>
      <c r="CO295" s="212"/>
      <c r="CP295" s="212"/>
      <c r="CQ295" s="212"/>
      <c r="CR295" s="212"/>
      <c r="CS295" s="212"/>
      <c r="CT295" s="212"/>
      <c r="CU295" s="212"/>
      <c r="CV295" s="212"/>
      <c r="CW295" s="212"/>
      <c r="CX295" s="212"/>
      <c r="CY295" s="212"/>
      <c r="CZ295" s="212"/>
      <c r="DA295" s="212"/>
      <c r="DB295" s="212"/>
      <c r="DC295" s="212"/>
      <c r="DD295" s="212"/>
      <c r="DE295" s="212"/>
      <c r="DF295" s="212"/>
      <c r="DG295" s="212"/>
      <c r="DH295" s="212"/>
      <c r="DI295" s="212"/>
      <c r="DJ295" s="212"/>
      <c r="DK295" s="212"/>
      <c r="DL295" s="212"/>
      <c r="DM295" s="212"/>
      <c r="DN295" s="212"/>
      <c r="DO295" s="212"/>
      <c r="DP295" s="212"/>
      <c r="DQ295" s="212"/>
      <c r="DR295" s="212"/>
      <c r="DS295" s="212"/>
      <c r="DT295" s="212"/>
      <c r="DU295" s="212"/>
      <c r="DV295" s="212"/>
      <c r="DW295" s="212"/>
      <c r="DX295" s="212"/>
      <c r="DY295" s="212"/>
      <c r="DZ295" s="212"/>
      <c r="EA295" s="212"/>
      <c r="EB295" s="212"/>
      <c r="EC295" s="212"/>
      <c r="ED295" s="212"/>
      <c r="EE295" s="212"/>
      <c r="EF295" s="212"/>
      <c r="EG295" s="212"/>
      <c r="EH295" s="212"/>
      <c r="EI295" s="212"/>
      <c r="EJ295" s="212"/>
      <c r="EK295" s="212"/>
      <c r="EL295" s="212"/>
      <c r="EM295" s="212"/>
      <c r="EN295" s="212"/>
      <c r="EO295" s="212"/>
      <c r="EP295" s="212"/>
      <c r="EQ295" s="212"/>
      <c r="ER295" s="212"/>
      <c r="ES295" s="212"/>
      <c r="ET295" s="212"/>
      <c r="EU295" s="212"/>
      <c r="EV295" s="212"/>
      <c r="EW295" s="212"/>
      <c r="EX295" s="212"/>
      <c r="EY295" s="212"/>
      <c r="EZ295" s="212"/>
      <c r="FA295" s="212"/>
      <c r="FB295" s="212"/>
      <c r="FC295" s="212"/>
      <c r="FD295" s="212"/>
      <c r="FE295" s="212"/>
      <c r="FF295" s="212"/>
      <c r="FG295" s="212"/>
      <c r="FH295" s="212"/>
      <c r="FI295" s="212"/>
      <c r="FJ295" s="212"/>
      <c r="FK295" s="212"/>
      <c r="FL295" s="212"/>
      <c r="FM295" s="212"/>
      <c r="FN295" s="212"/>
      <c r="FO295" s="212"/>
      <c r="FP295" s="212"/>
      <c r="FQ295" s="212"/>
      <c r="FR295" s="212"/>
      <c r="FS295" s="212"/>
      <c r="FT295" s="212"/>
      <c r="FU295" s="212"/>
      <c r="FV295" s="212"/>
      <c r="FW295" s="212"/>
      <c r="FX295" s="212"/>
      <c r="FY295" s="212"/>
      <c r="FZ295" s="212"/>
      <c r="GA295" s="212"/>
      <c r="GB295" s="212"/>
      <c r="GC295" s="212"/>
      <c r="GD295" s="212"/>
      <c r="GE295" s="212"/>
      <c r="GF295" s="212"/>
      <c r="GG295" s="212"/>
      <c r="GH295" s="212"/>
      <c r="GI295" s="212"/>
      <c r="GJ295" s="212"/>
      <c r="GK295" s="212"/>
      <c r="GL295" s="212"/>
      <c r="GM295" s="212"/>
      <c r="GN295" s="212"/>
      <c r="GO295" s="212"/>
      <c r="GP295" s="212"/>
      <c r="GQ295" s="212"/>
      <c r="GR295" s="212"/>
      <c r="GS295" s="212"/>
      <c r="GT295" s="212"/>
      <c r="GU295" s="212"/>
      <c r="GV295" s="212"/>
      <c r="GW295" s="212"/>
      <c r="GX295" s="212"/>
      <c r="GY295" s="212"/>
      <c r="GZ295" s="212"/>
      <c r="HA295" s="212"/>
      <c r="HB295" s="212"/>
      <c r="HC295" s="212"/>
      <c r="HD295" s="212"/>
      <c r="HE295" s="212"/>
      <c r="HF295" s="212"/>
      <c r="HG295" s="212"/>
      <c r="HH295" s="212"/>
      <c r="HI295" s="212"/>
      <c r="HJ295" s="212"/>
      <c r="HK295" s="212"/>
      <c r="HL295" s="212"/>
      <c r="HM295" s="212"/>
      <c r="HN295" s="212"/>
      <c r="HO295" s="212"/>
      <c r="HP295" s="212"/>
      <c r="HQ295" s="212"/>
      <c r="HR295" s="212"/>
      <c r="HS295" s="212"/>
      <c r="HT295" s="212"/>
      <c r="HU295" s="212"/>
      <c r="HV295" s="212"/>
      <c r="HW295" s="212"/>
      <c r="HX295" s="212"/>
      <c r="HY295" s="212"/>
      <c r="HZ295" s="212"/>
      <c r="IA295" s="212"/>
      <c r="IB295" s="212"/>
      <c r="IC295" s="212"/>
      <c r="ID295" s="212"/>
      <c r="IE295" s="212"/>
      <c r="IF295" s="212"/>
      <c r="IG295" s="212"/>
      <c r="IH295" s="212"/>
      <c r="II295" s="212"/>
      <c r="IJ295" s="212"/>
      <c r="IK295" s="212"/>
      <c r="IL295" s="212"/>
      <c r="IM295" s="212"/>
      <c r="IN295" s="212"/>
      <c r="IO295" s="212"/>
      <c r="IP295" s="212"/>
      <c r="IQ295" s="212"/>
      <c r="IR295" s="212"/>
    </row>
    <row r="296" spans="13:252" ht="16.5" thickTop="1" thickBot="1">
      <c r="M296" s="212"/>
      <c r="N296" s="212"/>
      <c r="O296" s="212"/>
      <c r="P296" s="212"/>
      <c r="Q296" s="212"/>
      <c r="R296" s="212"/>
      <c r="S296" s="212"/>
      <c r="T296" s="212"/>
      <c r="U296" s="212"/>
      <c r="V296" s="212"/>
      <c r="W296" s="212"/>
      <c r="X296" s="212"/>
      <c r="Y296" s="212"/>
      <c r="Z296" s="212"/>
      <c r="AA296" s="212"/>
      <c r="AB296" s="212"/>
      <c r="AC296" s="212"/>
      <c r="AD296" s="212"/>
      <c r="AE296" s="212"/>
      <c r="AF296" s="212"/>
      <c r="AG296" s="212"/>
      <c r="AH296" s="212"/>
      <c r="AI296" s="212"/>
      <c r="AJ296" s="212"/>
      <c r="AK296" s="212"/>
      <c r="AL296" s="212"/>
      <c r="AM296" s="212"/>
      <c r="AN296" s="212"/>
      <c r="AO296" s="212"/>
      <c r="AP296" s="212"/>
      <c r="AQ296" s="212"/>
      <c r="AR296" s="212"/>
      <c r="AS296" s="212"/>
      <c r="AT296" s="212"/>
      <c r="AU296" s="212"/>
      <c r="AV296" s="212"/>
      <c r="AW296" s="212"/>
      <c r="AX296" s="212"/>
      <c r="AY296" s="212"/>
      <c r="AZ296" s="212"/>
      <c r="BA296" s="212"/>
      <c r="BB296" s="212"/>
      <c r="BC296" s="212"/>
      <c r="BD296" s="212"/>
      <c r="BE296" s="212"/>
      <c r="BF296" s="212"/>
      <c r="BG296" s="212"/>
      <c r="BH296" s="212"/>
      <c r="BI296" s="212"/>
      <c r="BJ296" s="212"/>
      <c r="BK296" s="212"/>
      <c r="BL296" s="212"/>
      <c r="BM296" s="212"/>
      <c r="BN296" s="212"/>
      <c r="BO296" s="212"/>
      <c r="BP296" s="212"/>
      <c r="BQ296" s="212"/>
      <c r="BR296" s="212"/>
      <c r="BS296" s="212"/>
      <c r="BT296" s="212"/>
      <c r="BU296" s="212"/>
      <c r="BV296" s="212"/>
      <c r="BW296" s="212"/>
      <c r="BX296" s="212"/>
      <c r="BY296" s="212"/>
      <c r="BZ296" s="212"/>
      <c r="CA296" s="212"/>
      <c r="CB296" s="212"/>
      <c r="CC296" s="212"/>
      <c r="CD296" s="212"/>
      <c r="CE296" s="212"/>
      <c r="CF296" s="212"/>
      <c r="CG296" s="212"/>
      <c r="CH296" s="212"/>
      <c r="CI296" s="212"/>
      <c r="CJ296" s="212"/>
      <c r="CK296" s="212"/>
      <c r="CL296" s="212"/>
      <c r="CM296" s="212"/>
      <c r="CN296" s="212"/>
      <c r="CO296" s="212"/>
      <c r="CP296" s="212"/>
      <c r="CQ296" s="212"/>
      <c r="CR296" s="212"/>
      <c r="CS296" s="212"/>
      <c r="CT296" s="212"/>
      <c r="CU296" s="212"/>
      <c r="CV296" s="212"/>
      <c r="CW296" s="212"/>
      <c r="CX296" s="212"/>
      <c r="CY296" s="212"/>
      <c r="CZ296" s="212"/>
      <c r="DA296" s="212"/>
      <c r="DB296" s="212"/>
      <c r="DC296" s="212"/>
      <c r="DD296" s="212"/>
      <c r="DE296" s="212"/>
      <c r="DF296" s="212"/>
      <c r="DG296" s="212"/>
      <c r="DH296" s="212"/>
      <c r="DI296" s="212"/>
      <c r="DJ296" s="212"/>
      <c r="DK296" s="212"/>
      <c r="DL296" s="212"/>
      <c r="DM296" s="212"/>
      <c r="DN296" s="212"/>
      <c r="DO296" s="212"/>
      <c r="DP296" s="212"/>
      <c r="DQ296" s="212"/>
      <c r="DR296" s="212"/>
      <c r="DS296" s="212"/>
      <c r="DT296" s="212"/>
      <c r="DU296" s="212"/>
      <c r="DV296" s="212"/>
      <c r="DW296" s="212"/>
      <c r="DX296" s="212"/>
      <c r="DY296" s="212"/>
      <c r="DZ296" s="212"/>
      <c r="EA296" s="212"/>
      <c r="EB296" s="212"/>
      <c r="EC296" s="212"/>
      <c r="ED296" s="212"/>
      <c r="EE296" s="212"/>
      <c r="EF296" s="212"/>
      <c r="EG296" s="212"/>
      <c r="EH296" s="212"/>
      <c r="EI296" s="212"/>
      <c r="EJ296" s="212"/>
      <c r="EK296" s="212"/>
      <c r="EL296" s="212"/>
      <c r="EM296" s="212"/>
      <c r="EN296" s="212"/>
      <c r="EO296" s="212"/>
      <c r="EP296" s="212"/>
      <c r="EQ296" s="212"/>
      <c r="ER296" s="212"/>
      <c r="ES296" s="212"/>
      <c r="ET296" s="212"/>
      <c r="EU296" s="212"/>
      <c r="EV296" s="212"/>
      <c r="EW296" s="212"/>
      <c r="EX296" s="212"/>
      <c r="EY296" s="212"/>
      <c r="EZ296" s="212"/>
      <c r="FA296" s="212"/>
      <c r="FB296" s="212"/>
      <c r="FC296" s="212"/>
      <c r="FD296" s="212"/>
      <c r="FE296" s="212"/>
      <c r="FF296" s="212"/>
      <c r="FG296" s="212"/>
      <c r="FH296" s="212"/>
      <c r="FI296" s="212"/>
      <c r="FJ296" s="212"/>
      <c r="FK296" s="212"/>
      <c r="FL296" s="212"/>
      <c r="FM296" s="212"/>
      <c r="FN296" s="212"/>
      <c r="FO296" s="212"/>
      <c r="FP296" s="212"/>
      <c r="FQ296" s="212"/>
      <c r="FR296" s="212"/>
      <c r="FS296" s="212"/>
      <c r="FT296" s="212"/>
      <c r="FU296" s="212"/>
      <c r="FV296" s="212"/>
      <c r="FW296" s="212"/>
      <c r="FX296" s="212"/>
      <c r="FY296" s="212"/>
      <c r="FZ296" s="212"/>
      <c r="GA296" s="212"/>
      <c r="GB296" s="212"/>
      <c r="GC296" s="212"/>
      <c r="GD296" s="212"/>
      <c r="GE296" s="212"/>
      <c r="GF296" s="212"/>
      <c r="GG296" s="212"/>
      <c r="GH296" s="212"/>
      <c r="GI296" s="212"/>
      <c r="GJ296" s="212"/>
      <c r="GK296" s="212"/>
      <c r="GL296" s="212"/>
      <c r="GM296" s="212"/>
      <c r="GN296" s="212"/>
      <c r="GO296" s="212"/>
      <c r="GP296" s="212"/>
      <c r="GQ296" s="212"/>
      <c r="GR296" s="212"/>
      <c r="GS296" s="212"/>
      <c r="GT296" s="212"/>
      <c r="GU296" s="212"/>
      <c r="GV296" s="212"/>
      <c r="GW296" s="212"/>
      <c r="GX296" s="212"/>
      <c r="GY296" s="212"/>
      <c r="GZ296" s="212"/>
      <c r="HA296" s="212"/>
      <c r="HB296" s="212"/>
      <c r="HC296" s="212"/>
      <c r="HD296" s="212"/>
      <c r="HE296" s="212"/>
      <c r="HF296" s="212"/>
      <c r="HG296" s="212"/>
      <c r="HH296" s="212"/>
      <c r="HI296" s="212"/>
      <c r="HJ296" s="212"/>
      <c r="HK296" s="212"/>
      <c r="HL296" s="212"/>
      <c r="HM296" s="212"/>
      <c r="HN296" s="212"/>
      <c r="HO296" s="212"/>
      <c r="HP296" s="212"/>
      <c r="HQ296" s="212"/>
      <c r="HR296" s="212"/>
      <c r="HS296" s="212"/>
      <c r="HT296" s="212"/>
      <c r="HU296" s="212"/>
      <c r="HV296" s="212"/>
      <c r="HW296" s="212"/>
      <c r="HX296" s="212"/>
      <c r="HY296" s="212"/>
      <c r="HZ296" s="212"/>
      <c r="IA296" s="212"/>
      <c r="IB296" s="212"/>
      <c r="IC296" s="212"/>
      <c r="ID296" s="212"/>
      <c r="IE296" s="212"/>
      <c r="IF296" s="212"/>
      <c r="IG296" s="212"/>
      <c r="IH296" s="212"/>
      <c r="II296" s="212"/>
      <c r="IJ296" s="212"/>
      <c r="IK296" s="212"/>
      <c r="IL296" s="212"/>
      <c r="IM296" s="212"/>
      <c r="IN296" s="212"/>
      <c r="IO296" s="212"/>
      <c r="IP296" s="212"/>
      <c r="IQ296" s="212"/>
      <c r="IR296" s="212"/>
    </row>
    <row r="297" spans="13:252" ht="16.5" thickTop="1" thickBot="1">
      <c r="M297" s="212"/>
      <c r="N297" s="212"/>
      <c r="O297" s="212"/>
      <c r="P297" s="212"/>
      <c r="Q297" s="212"/>
      <c r="R297" s="212"/>
      <c r="S297" s="212"/>
      <c r="T297" s="212"/>
      <c r="U297" s="212"/>
      <c r="V297" s="212"/>
      <c r="W297" s="212"/>
      <c r="X297" s="212"/>
      <c r="Y297" s="212"/>
      <c r="Z297" s="212"/>
      <c r="AA297" s="212"/>
      <c r="AB297" s="212"/>
      <c r="AC297" s="212"/>
      <c r="AD297" s="212"/>
      <c r="AE297" s="212"/>
      <c r="AF297" s="212"/>
      <c r="AG297" s="212"/>
      <c r="AH297" s="212"/>
      <c r="AI297" s="212"/>
      <c r="AJ297" s="212"/>
      <c r="AK297" s="212"/>
      <c r="AL297" s="212"/>
      <c r="AM297" s="212"/>
      <c r="AN297" s="212"/>
      <c r="AO297" s="212"/>
      <c r="AP297" s="212"/>
      <c r="AQ297" s="212"/>
      <c r="AR297" s="212"/>
      <c r="AS297" s="212"/>
      <c r="AT297" s="212"/>
      <c r="AU297" s="212"/>
      <c r="AV297" s="212"/>
      <c r="AW297" s="212"/>
      <c r="AX297" s="212"/>
      <c r="AY297" s="212"/>
      <c r="AZ297" s="212"/>
      <c r="BA297" s="212"/>
      <c r="BB297" s="212"/>
      <c r="BC297" s="212"/>
      <c r="BD297" s="212"/>
      <c r="BE297" s="212"/>
      <c r="BF297" s="212"/>
      <c r="BG297" s="212"/>
      <c r="BH297" s="212"/>
      <c r="BI297" s="212"/>
      <c r="BJ297" s="212"/>
      <c r="BK297" s="212"/>
      <c r="BL297" s="212"/>
      <c r="BM297" s="212"/>
      <c r="BN297" s="212"/>
      <c r="BO297" s="212"/>
      <c r="BP297" s="212"/>
      <c r="BQ297" s="212"/>
      <c r="BR297" s="212"/>
      <c r="BS297" s="212"/>
      <c r="BT297" s="212"/>
      <c r="BU297" s="212"/>
      <c r="BV297" s="212"/>
      <c r="BW297" s="212"/>
      <c r="BX297" s="212"/>
      <c r="BY297" s="212"/>
      <c r="BZ297" s="212"/>
      <c r="CA297" s="212"/>
      <c r="CB297" s="212"/>
      <c r="CC297" s="212"/>
      <c r="CD297" s="212"/>
      <c r="CE297" s="212"/>
      <c r="CF297" s="212"/>
      <c r="CG297" s="212"/>
      <c r="CH297" s="212"/>
      <c r="CI297" s="212"/>
      <c r="CJ297" s="212"/>
      <c r="CK297" s="212"/>
      <c r="CL297" s="212"/>
      <c r="CM297" s="212"/>
      <c r="CN297" s="212"/>
      <c r="CO297" s="212"/>
      <c r="CP297" s="212"/>
      <c r="CQ297" s="212"/>
      <c r="CR297" s="212"/>
      <c r="CS297" s="212"/>
      <c r="CT297" s="212"/>
      <c r="CU297" s="212"/>
      <c r="CV297" s="212"/>
      <c r="CW297" s="212"/>
      <c r="CX297" s="212"/>
      <c r="CY297" s="212"/>
      <c r="CZ297" s="212"/>
      <c r="DA297" s="212"/>
      <c r="DB297" s="212"/>
      <c r="DC297" s="212"/>
      <c r="DD297" s="212"/>
      <c r="DE297" s="212"/>
      <c r="DF297" s="212"/>
      <c r="DG297" s="212"/>
      <c r="DH297" s="212"/>
      <c r="DI297" s="212"/>
      <c r="DJ297" s="212"/>
      <c r="DK297" s="212"/>
      <c r="DL297" s="212"/>
      <c r="DM297" s="212"/>
      <c r="DN297" s="212"/>
      <c r="DO297" s="212"/>
      <c r="DP297" s="212"/>
      <c r="DQ297" s="212"/>
      <c r="DR297" s="212"/>
      <c r="DS297" s="212"/>
      <c r="DT297" s="212"/>
      <c r="DU297" s="212"/>
      <c r="DV297" s="212"/>
      <c r="DW297" s="212"/>
      <c r="DX297" s="212"/>
      <c r="DY297" s="212"/>
      <c r="DZ297" s="212"/>
      <c r="EA297" s="212"/>
      <c r="EB297" s="212"/>
      <c r="EC297" s="212"/>
      <c r="ED297" s="212"/>
      <c r="EE297" s="212"/>
      <c r="EF297" s="212"/>
      <c r="EG297" s="212"/>
      <c r="EH297" s="212"/>
      <c r="EI297" s="212"/>
      <c r="EJ297" s="212"/>
      <c r="EK297" s="212"/>
      <c r="EL297" s="212"/>
      <c r="EM297" s="212"/>
      <c r="EN297" s="212"/>
      <c r="EO297" s="212"/>
      <c r="EP297" s="212"/>
      <c r="EQ297" s="212"/>
      <c r="ER297" s="212"/>
      <c r="ES297" s="212"/>
      <c r="ET297" s="212"/>
      <c r="EU297" s="212"/>
      <c r="EV297" s="212"/>
      <c r="EW297" s="212"/>
      <c r="EX297" s="212"/>
      <c r="EY297" s="212"/>
      <c r="EZ297" s="212"/>
      <c r="FA297" s="212"/>
      <c r="FB297" s="212"/>
      <c r="FC297" s="212"/>
      <c r="FD297" s="212"/>
      <c r="FE297" s="212"/>
      <c r="FF297" s="212"/>
      <c r="FG297" s="212"/>
      <c r="FH297" s="212"/>
      <c r="FI297" s="212"/>
      <c r="FJ297" s="212"/>
      <c r="FK297" s="212"/>
      <c r="FL297" s="212"/>
      <c r="FM297" s="212"/>
      <c r="FN297" s="212"/>
      <c r="FO297" s="212"/>
      <c r="FP297" s="212"/>
      <c r="FQ297" s="212"/>
      <c r="FR297" s="212"/>
      <c r="FS297" s="212"/>
      <c r="FT297" s="212"/>
      <c r="FU297" s="212"/>
      <c r="FV297" s="212"/>
      <c r="FW297" s="212"/>
      <c r="FX297" s="212"/>
      <c r="FY297" s="212"/>
      <c r="FZ297" s="212"/>
      <c r="GA297" s="212"/>
      <c r="GB297" s="212"/>
      <c r="GC297" s="212"/>
      <c r="GD297" s="212"/>
      <c r="GE297" s="212"/>
      <c r="GF297" s="212"/>
      <c r="GG297" s="212"/>
      <c r="GH297" s="212"/>
      <c r="GI297" s="212"/>
      <c r="GJ297" s="212"/>
      <c r="GK297" s="212"/>
      <c r="GL297" s="212"/>
      <c r="GM297" s="212"/>
      <c r="GN297" s="212"/>
      <c r="GO297" s="212"/>
      <c r="GP297" s="212"/>
      <c r="GQ297" s="212"/>
      <c r="GR297" s="212"/>
      <c r="GS297" s="212"/>
      <c r="GT297" s="212"/>
      <c r="GU297" s="212"/>
      <c r="GV297" s="212"/>
      <c r="GW297" s="212"/>
      <c r="GX297" s="212"/>
      <c r="GY297" s="212"/>
      <c r="GZ297" s="212"/>
      <c r="HA297" s="212"/>
      <c r="HB297" s="212"/>
      <c r="HC297" s="212"/>
      <c r="HD297" s="212"/>
      <c r="HE297" s="212"/>
      <c r="HF297" s="212"/>
      <c r="HG297" s="212"/>
      <c r="HH297" s="212"/>
      <c r="HI297" s="212"/>
      <c r="HJ297" s="212"/>
      <c r="HK297" s="212"/>
      <c r="HL297" s="212"/>
      <c r="HM297" s="212"/>
      <c r="HN297" s="212"/>
      <c r="HO297" s="212"/>
      <c r="HP297" s="212"/>
      <c r="HQ297" s="212"/>
      <c r="HR297" s="212"/>
      <c r="HS297" s="212"/>
      <c r="HT297" s="212"/>
      <c r="HU297" s="212"/>
      <c r="HV297" s="212"/>
      <c r="HW297" s="212"/>
      <c r="HX297" s="212"/>
      <c r="HY297" s="212"/>
      <c r="HZ297" s="212"/>
      <c r="IA297" s="212"/>
      <c r="IB297" s="212"/>
      <c r="IC297" s="212"/>
      <c r="ID297" s="212"/>
      <c r="IE297" s="212"/>
      <c r="IF297" s="212"/>
      <c r="IG297" s="212"/>
      <c r="IH297" s="212"/>
      <c r="II297" s="212"/>
      <c r="IJ297" s="212"/>
      <c r="IK297" s="212"/>
      <c r="IL297" s="212"/>
      <c r="IM297" s="212"/>
      <c r="IN297" s="212"/>
      <c r="IO297" s="212"/>
      <c r="IP297" s="212"/>
      <c r="IQ297" s="212"/>
      <c r="IR297" s="212"/>
    </row>
    <row r="298" spans="13:252" ht="16.5" thickTop="1" thickBot="1">
      <c r="M298" s="212"/>
      <c r="N298" s="212"/>
      <c r="O298" s="212"/>
      <c r="P298" s="212"/>
      <c r="Q298" s="212"/>
      <c r="R298" s="212"/>
      <c r="S298" s="212"/>
      <c r="T298" s="212"/>
      <c r="U298" s="212"/>
      <c r="V298" s="212"/>
      <c r="W298" s="212"/>
      <c r="X298" s="212"/>
      <c r="Y298" s="212"/>
      <c r="Z298" s="212"/>
      <c r="AA298" s="212"/>
      <c r="AB298" s="212"/>
      <c r="AC298" s="212"/>
      <c r="AD298" s="212"/>
      <c r="AE298" s="212"/>
      <c r="AF298" s="212"/>
      <c r="AG298" s="212"/>
      <c r="AH298" s="212"/>
      <c r="AI298" s="212"/>
      <c r="AJ298" s="212"/>
      <c r="AK298" s="212"/>
      <c r="AL298" s="212"/>
      <c r="AM298" s="212"/>
      <c r="AN298" s="212"/>
      <c r="AO298" s="212"/>
      <c r="AP298" s="212"/>
      <c r="AQ298" s="212"/>
      <c r="AR298" s="212"/>
      <c r="AS298" s="212"/>
      <c r="AT298" s="212"/>
      <c r="AU298" s="212"/>
      <c r="AV298" s="212"/>
      <c r="AW298" s="212"/>
      <c r="AX298" s="212"/>
      <c r="AY298" s="212"/>
      <c r="AZ298" s="212"/>
      <c r="BA298" s="212"/>
      <c r="BB298" s="212"/>
      <c r="BC298" s="212"/>
      <c r="BD298" s="212"/>
      <c r="BE298" s="212"/>
      <c r="BF298" s="212"/>
      <c r="BG298" s="212"/>
      <c r="BH298" s="212"/>
      <c r="BI298" s="212"/>
      <c r="BJ298" s="212"/>
      <c r="BK298" s="212"/>
      <c r="BL298" s="212"/>
      <c r="BM298" s="212"/>
      <c r="BN298" s="212"/>
      <c r="BO298" s="212"/>
      <c r="BP298" s="212"/>
      <c r="BQ298" s="212"/>
      <c r="BR298" s="212"/>
      <c r="BS298" s="212"/>
      <c r="BT298" s="212"/>
      <c r="BU298" s="212"/>
      <c r="BV298" s="212"/>
      <c r="BW298" s="212"/>
      <c r="BX298" s="212"/>
      <c r="BY298" s="212"/>
      <c r="BZ298" s="212"/>
      <c r="CA298" s="212"/>
      <c r="CB298" s="212"/>
      <c r="CC298" s="212"/>
      <c r="CD298" s="212"/>
      <c r="CE298" s="212"/>
      <c r="CF298" s="212"/>
      <c r="CG298" s="212"/>
      <c r="CH298" s="212"/>
      <c r="CI298" s="212"/>
      <c r="CJ298" s="212"/>
      <c r="CK298" s="212"/>
      <c r="CL298" s="212"/>
      <c r="CM298" s="212"/>
      <c r="CN298" s="212"/>
      <c r="CO298" s="212"/>
      <c r="CP298" s="212"/>
      <c r="CQ298" s="212"/>
      <c r="CR298" s="212"/>
      <c r="CS298" s="212"/>
      <c r="CT298" s="212"/>
      <c r="CU298" s="212"/>
      <c r="CV298" s="212"/>
      <c r="CW298" s="212"/>
      <c r="CX298" s="212"/>
      <c r="CY298" s="212"/>
      <c r="CZ298" s="212"/>
      <c r="DA298" s="212"/>
      <c r="DB298" s="212"/>
      <c r="DC298" s="212"/>
      <c r="DD298" s="212"/>
      <c r="DE298" s="212"/>
      <c r="DF298" s="212"/>
      <c r="DG298" s="212"/>
      <c r="DH298" s="212"/>
      <c r="DI298" s="212"/>
      <c r="DJ298" s="212"/>
      <c r="DK298" s="212"/>
      <c r="DL298" s="212"/>
      <c r="DM298" s="212"/>
      <c r="DN298" s="212"/>
      <c r="DO298" s="212"/>
      <c r="DP298" s="212"/>
      <c r="DQ298" s="212"/>
      <c r="DR298" s="212"/>
      <c r="DS298" s="212"/>
      <c r="DT298" s="212"/>
      <c r="DU298" s="212"/>
      <c r="DV298" s="212"/>
      <c r="DW298" s="212"/>
      <c r="DX298" s="212"/>
      <c r="DY298" s="212"/>
      <c r="DZ298" s="212"/>
      <c r="EA298" s="212"/>
      <c r="EB298" s="212"/>
      <c r="EC298" s="212"/>
      <c r="ED298" s="212"/>
      <c r="EE298" s="212"/>
      <c r="EF298" s="212"/>
      <c r="EG298" s="212"/>
      <c r="EH298" s="212"/>
      <c r="EI298" s="212"/>
      <c r="EJ298" s="212"/>
      <c r="EK298" s="212"/>
      <c r="EL298" s="212"/>
      <c r="EM298" s="212"/>
      <c r="EN298" s="212"/>
      <c r="EO298" s="212"/>
      <c r="EP298" s="212"/>
      <c r="EQ298" s="212"/>
      <c r="ER298" s="212"/>
      <c r="ES298" s="212"/>
      <c r="ET298" s="212"/>
      <c r="EU298" s="212"/>
      <c r="EV298" s="212"/>
      <c r="EW298" s="212"/>
      <c r="EX298" s="212"/>
      <c r="EY298" s="212"/>
      <c r="EZ298" s="212"/>
      <c r="FA298" s="212"/>
      <c r="FB298" s="212"/>
      <c r="FC298" s="212"/>
      <c r="FD298" s="212"/>
      <c r="FE298" s="212"/>
      <c r="FF298" s="212"/>
      <c r="FG298" s="212"/>
      <c r="FH298" s="212"/>
      <c r="FI298" s="212"/>
      <c r="FJ298" s="212"/>
      <c r="FK298" s="212"/>
      <c r="FL298" s="212"/>
      <c r="FM298" s="212"/>
      <c r="FN298" s="212"/>
      <c r="FO298" s="212"/>
      <c r="FP298" s="212"/>
      <c r="FQ298" s="212"/>
      <c r="FR298" s="212"/>
      <c r="FS298" s="212"/>
      <c r="FT298" s="212"/>
      <c r="FU298" s="212"/>
      <c r="FV298" s="212"/>
      <c r="FW298" s="212"/>
      <c r="FX298" s="212"/>
      <c r="FY298" s="212"/>
      <c r="FZ298" s="212"/>
      <c r="GA298" s="212"/>
      <c r="GB298" s="212"/>
      <c r="GC298" s="212"/>
      <c r="GD298" s="212"/>
      <c r="GE298" s="212"/>
      <c r="GF298" s="212"/>
      <c r="GG298" s="212"/>
      <c r="GH298" s="212"/>
      <c r="GI298" s="212"/>
      <c r="GJ298" s="212"/>
      <c r="GK298" s="212"/>
      <c r="GL298" s="212"/>
      <c r="GM298" s="212"/>
      <c r="GN298" s="212"/>
      <c r="GO298" s="212"/>
      <c r="GP298" s="212"/>
      <c r="GQ298" s="212"/>
      <c r="GR298" s="212"/>
      <c r="GS298" s="212"/>
      <c r="GT298" s="212"/>
      <c r="GU298" s="212"/>
      <c r="GV298" s="212"/>
      <c r="GW298" s="212"/>
      <c r="GX298" s="212"/>
      <c r="GY298" s="212"/>
      <c r="GZ298" s="212"/>
      <c r="HA298" s="212"/>
      <c r="HB298" s="212"/>
      <c r="HC298" s="212"/>
      <c r="HD298" s="212"/>
      <c r="HE298" s="212"/>
      <c r="HF298" s="212"/>
      <c r="HG298" s="212"/>
      <c r="HH298" s="212"/>
      <c r="HI298" s="212"/>
      <c r="HJ298" s="212"/>
      <c r="HK298" s="212"/>
      <c r="HL298" s="212"/>
      <c r="HM298" s="212"/>
      <c r="HN298" s="212"/>
      <c r="HO298" s="212"/>
      <c r="HP298" s="212"/>
      <c r="HQ298" s="212"/>
      <c r="HR298" s="212"/>
      <c r="HS298" s="212"/>
      <c r="HT298" s="212"/>
      <c r="HU298" s="212"/>
      <c r="HV298" s="212"/>
      <c r="HW298" s="212"/>
      <c r="HX298" s="212"/>
      <c r="HY298" s="212"/>
      <c r="HZ298" s="212"/>
      <c r="IA298" s="212"/>
      <c r="IB298" s="212"/>
      <c r="IC298" s="212"/>
      <c r="ID298" s="212"/>
      <c r="IE298" s="212"/>
      <c r="IF298" s="212"/>
      <c r="IG298" s="212"/>
      <c r="IH298" s="212"/>
      <c r="II298" s="212"/>
      <c r="IJ298" s="212"/>
      <c r="IK298" s="212"/>
      <c r="IL298" s="212"/>
      <c r="IM298" s="212"/>
      <c r="IN298" s="212"/>
      <c r="IO298" s="212"/>
      <c r="IP298" s="212"/>
      <c r="IQ298" s="212"/>
      <c r="IR298" s="212"/>
    </row>
    <row r="299" spans="13:252" ht="16.5" thickTop="1" thickBot="1">
      <c r="M299" s="212"/>
      <c r="N299" s="212"/>
      <c r="O299" s="212"/>
      <c r="P299" s="212"/>
      <c r="Q299" s="212"/>
      <c r="R299" s="212"/>
      <c r="S299" s="212"/>
      <c r="T299" s="212"/>
      <c r="U299" s="212"/>
      <c r="V299" s="212"/>
      <c r="W299" s="212"/>
      <c r="X299" s="212"/>
      <c r="Y299" s="212"/>
      <c r="Z299" s="212"/>
      <c r="AA299" s="212"/>
      <c r="AB299" s="212"/>
      <c r="AC299" s="212"/>
      <c r="AD299" s="212"/>
      <c r="AE299" s="212"/>
      <c r="AF299" s="212"/>
      <c r="AG299" s="212"/>
      <c r="AH299" s="212"/>
      <c r="AI299" s="212"/>
      <c r="AJ299" s="212"/>
      <c r="AK299" s="212"/>
      <c r="AL299" s="212"/>
      <c r="AM299" s="212"/>
      <c r="AN299" s="212"/>
      <c r="AO299" s="212"/>
      <c r="AP299" s="212"/>
      <c r="AQ299" s="212"/>
      <c r="AR299" s="212"/>
      <c r="AS299" s="212"/>
      <c r="AT299" s="212"/>
      <c r="AU299" s="212"/>
      <c r="AV299" s="212"/>
      <c r="AW299" s="212"/>
      <c r="AX299" s="212"/>
      <c r="AY299" s="212"/>
      <c r="AZ299" s="212"/>
      <c r="BA299" s="212"/>
      <c r="BB299" s="212"/>
      <c r="BC299" s="212"/>
      <c r="BD299" s="212"/>
      <c r="BE299" s="212"/>
      <c r="BF299" s="212"/>
      <c r="BG299" s="212"/>
      <c r="BH299" s="212"/>
      <c r="BI299" s="212"/>
      <c r="BJ299" s="212"/>
      <c r="BK299" s="212"/>
      <c r="BL299" s="212"/>
      <c r="BM299" s="212"/>
      <c r="BN299" s="212"/>
      <c r="BO299" s="212"/>
      <c r="BP299" s="212"/>
      <c r="BQ299" s="212"/>
      <c r="BR299" s="212"/>
      <c r="BS299" s="212"/>
      <c r="BT299" s="212"/>
      <c r="BU299" s="212"/>
      <c r="BV299" s="212"/>
      <c r="BW299" s="212"/>
      <c r="BX299" s="212"/>
      <c r="BY299" s="212"/>
      <c r="BZ299" s="212"/>
      <c r="CA299" s="212"/>
      <c r="CB299" s="212"/>
      <c r="CC299" s="212"/>
      <c r="CD299" s="212"/>
      <c r="CE299" s="212"/>
      <c r="CF299" s="212"/>
      <c r="CG299" s="212"/>
      <c r="CH299" s="212"/>
      <c r="CI299" s="212"/>
      <c r="CJ299" s="212"/>
      <c r="CK299" s="212"/>
      <c r="CL299" s="212"/>
      <c r="CM299" s="212"/>
      <c r="CN299" s="212"/>
      <c r="CO299" s="212"/>
      <c r="CP299" s="212"/>
      <c r="CQ299" s="212"/>
      <c r="CR299" s="212"/>
      <c r="CS299" s="212"/>
      <c r="CT299" s="212"/>
      <c r="CU299" s="212"/>
      <c r="CV299" s="212"/>
      <c r="CW299" s="212"/>
      <c r="CX299" s="212"/>
      <c r="CY299" s="212"/>
      <c r="CZ299" s="212"/>
      <c r="DA299" s="212"/>
      <c r="DB299" s="212"/>
      <c r="DC299" s="212"/>
      <c r="DD299" s="212"/>
      <c r="DE299" s="212"/>
      <c r="DF299" s="212"/>
      <c r="DG299" s="212"/>
      <c r="DH299" s="212"/>
      <c r="DI299" s="212"/>
      <c r="DJ299" s="212"/>
      <c r="DK299" s="212"/>
      <c r="DL299" s="212"/>
      <c r="DM299" s="212"/>
      <c r="DN299" s="212"/>
      <c r="DO299" s="212"/>
      <c r="DP299" s="212"/>
      <c r="DQ299" s="212"/>
      <c r="DR299" s="212"/>
      <c r="DS299" s="212"/>
      <c r="DT299" s="212"/>
      <c r="DU299" s="212"/>
      <c r="DV299" s="212"/>
      <c r="DW299" s="212"/>
      <c r="DX299" s="212"/>
      <c r="DY299" s="212"/>
      <c r="DZ299" s="212"/>
      <c r="EA299" s="212"/>
      <c r="EB299" s="212"/>
      <c r="EC299" s="212"/>
      <c r="ED299" s="212"/>
      <c r="EE299" s="212"/>
      <c r="EF299" s="212"/>
      <c r="EG299" s="212"/>
      <c r="EH299" s="212"/>
      <c r="EI299" s="212"/>
      <c r="EJ299" s="212"/>
      <c r="EK299" s="212"/>
      <c r="EL299" s="212"/>
      <c r="EM299" s="212"/>
      <c r="EN299" s="212"/>
      <c r="EO299" s="212"/>
      <c r="EP299" s="212"/>
      <c r="EQ299" s="212"/>
      <c r="ER299" s="212"/>
      <c r="ES299" s="212"/>
      <c r="ET299" s="212"/>
      <c r="EU299" s="212"/>
      <c r="EV299" s="212"/>
      <c r="EW299" s="212"/>
      <c r="EX299" s="212"/>
      <c r="EY299" s="212"/>
      <c r="EZ299" s="212"/>
      <c r="FA299" s="212"/>
      <c r="FB299" s="212"/>
      <c r="FC299" s="212"/>
      <c r="FD299" s="212"/>
      <c r="FE299" s="212"/>
      <c r="FF299" s="212"/>
      <c r="FG299" s="212"/>
      <c r="FH299" s="212"/>
      <c r="FI299" s="212"/>
      <c r="FJ299" s="212"/>
      <c r="FK299" s="212"/>
      <c r="FL299" s="212"/>
      <c r="FM299" s="212"/>
      <c r="FN299" s="212"/>
      <c r="FO299" s="212"/>
      <c r="FP299" s="212"/>
      <c r="FQ299" s="212"/>
      <c r="FR299" s="212"/>
      <c r="FS299" s="212"/>
      <c r="FT299" s="212"/>
      <c r="FU299" s="212"/>
      <c r="FV299" s="212"/>
      <c r="FW299" s="212"/>
      <c r="FX299" s="212"/>
      <c r="FY299" s="212"/>
      <c r="FZ299" s="212"/>
      <c r="GA299" s="212"/>
      <c r="GB299" s="212"/>
      <c r="GC299" s="212"/>
      <c r="GD299" s="212"/>
      <c r="GE299" s="212"/>
      <c r="GF299" s="212"/>
      <c r="GG299" s="212"/>
      <c r="GH299" s="212"/>
      <c r="GI299" s="212"/>
      <c r="GJ299" s="212"/>
      <c r="GK299" s="212"/>
      <c r="GL299" s="212"/>
      <c r="GM299" s="212"/>
      <c r="GN299" s="212"/>
      <c r="GO299" s="212"/>
      <c r="GP299" s="212"/>
      <c r="GQ299" s="212"/>
      <c r="GR299" s="212"/>
      <c r="GS299" s="212"/>
      <c r="GT299" s="212"/>
      <c r="GU299" s="212"/>
      <c r="GV299" s="212"/>
      <c r="GW299" s="212"/>
      <c r="GX299" s="212"/>
      <c r="GY299" s="212"/>
      <c r="GZ299" s="212"/>
      <c r="HA299" s="212"/>
      <c r="HB299" s="212"/>
      <c r="HC299" s="212"/>
      <c r="HD299" s="212"/>
      <c r="HE299" s="212"/>
      <c r="HF299" s="212"/>
      <c r="HG299" s="212"/>
      <c r="HH299" s="212"/>
      <c r="HI299" s="212"/>
      <c r="HJ299" s="212"/>
      <c r="HK299" s="212"/>
      <c r="HL299" s="212"/>
      <c r="HM299" s="212"/>
      <c r="HN299" s="212"/>
      <c r="HO299" s="212"/>
      <c r="HP299" s="212"/>
      <c r="HQ299" s="212"/>
      <c r="HR299" s="212"/>
      <c r="HS299" s="212"/>
      <c r="HT299" s="212"/>
      <c r="HU299" s="212"/>
      <c r="HV299" s="212"/>
      <c r="HW299" s="212"/>
      <c r="HX299" s="212"/>
      <c r="HY299" s="212"/>
      <c r="HZ299" s="212"/>
      <c r="IA299" s="212"/>
      <c r="IB299" s="212"/>
      <c r="IC299" s="212"/>
      <c r="ID299" s="212"/>
      <c r="IE299" s="212"/>
      <c r="IF299" s="212"/>
      <c r="IG299" s="212"/>
      <c r="IH299" s="212"/>
      <c r="II299" s="212"/>
      <c r="IJ299" s="212"/>
      <c r="IK299" s="212"/>
      <c r="IL299" s="212"/>
      <c r="IM299" s="212"/>
      <c r="IN299" s="212"/>
      <c r="IO299" s="212"/>
      <c r="IP299" s="212"/>
      <c r="IQ299" s="212"/>
      <c r="IR299" s="212"/>
    </row>
    <row r="300" spans="13:252" ht="16.5" thickTop="1" thickBot="1">
      <c r="M300" s="212"/>
      <c r="N300" s="212"/>
      <c r="O300" s="212"/>
      <c r="P300" s="212"/>
      <c r="Q300" s="212"/>
      <c r="R300" s="212"/>
      <c r="S300" s="212"/>
      <c r="T300" s="212"/>
      <c r="U300" s="212"/>
      <c r="V300" s="212"/>
      <c r="W300" s="212"/>
      <c r="X300" s="212"/>
      <c r="Y300" s="212"/>
      <c r="Z300" s="212"/>
      <c r="AA300" s="212"/>
      <c r="AB300" s="212"/>
      <c r="AC300" s="212"/>
      <c r="AD300" s="212"/>
      <c r="AE300" s="212"/>
      <c r="AF300" s="212"/>
      <c r="AG300" s="212"/>
      <c r="AH300" s="212"/>
      <c r="AI300" s="212"/>
      <c r="AJ300" s="212"/>
      <c r="AK300" s="212"/>
      <c r="AL300" s="212"/>
      <c r="AM300" s="212"/>
      <c r="AN300" s="212"/>
      <c r="AO300" s="212"/>
      <c r="AP300" s="212"/>
      <c r="AQ300" s="212"/>
      <c r="AR300" s="212"/>
      <c r="AS300" s="212"/>
      <c r="AT300" s="212"/>
      <c r="AU300" s="212"/>
      <c r="AV300" s="212"/>
      <c r="AW300" s="212"/>
      <c r="AX300" s="212"/>
      <c r="AY300" s="212"/>
      <c r="AZ300" s="212"/>
      <c r="BA300" s="212"/>
      <c r="BB300" s="212"/>
      <c r="BC300" s="212"/>
      <c r="BD300" s="212"/>
      <c r="BE300" s="212"/>
      <c r="BF300" s="212"/>
      <c r="BG300" s="212"/>
      <c r="BH300" s="212"/>
      <c r="BI300" s="212"/>
      <c r="BJ300" s="212"/>
      <c r="BK300" s="212"/>
      <c r="BL300" s="212"/>
      <c r="BM300" s="212"/>
      <c r="BN300" s="212"/>
      <c r="BO300" s="212"/>
      <c r="BP300" s="212"/>
      <c r="BQ300" s="212"/>
      <c r="BR300" s="212"/>
      <c r="BS300" s="212"/>
      <c r="BT300" s="212"/>
      <c r="BU300" s="212"/>
      <c r="BV300" s="212"/>
      <c r="BW300" s="212"/>
      <c r="BX300" s="212"/>
      <c r="BY300" s="212"/>
      <c r="BZ300" s="212"/>
      <c r="CA300" s="212"/>
      <c r="CB300" s="212"/>
      <c r="CC300" s="212"/>
      <c r="CD300" s="212"/>
      <c r="CE300" s="212"/>
      <c r="CF300" s="212"/>
      <c r="CG300" s="212"/>
      <c r="CH300" s="212"/>
      <c r="CI300" s="212"/>
      <c r="CJ300" s="212"/>
      <c r="CK300" s="212"/>
      <c r="CL300" s="212"/>
      <c r="CM300" s="212"/>
      <c r="CN300" s="212"/>
      <c r="CO300" s="212"/>
      <c r="CP300" s="212"/>
      <c r="CQ300" s="212"/>
      <c r="CR300" s="212"/>
      <c r="CS300" s="212"/>
      <c r="CT300" s="212"/>
      <c r="CU300" s="212"/>
      <c r="CV300" s="212"/>
      <c r="CW300" s="212"/>
      <c r="CX300" s="212"/>
      <c r="CY300" s="212"/>
      <c r="CZ300" s="212"/>
      <c r="DA300" s="212"/>
      <c r="DB300" s="212"/>
      <c r="DC300" s="212"/>
      <c r="DD300" s="212"/>
      <c r="DE300" s="212"/>
      <c r="DF300" s="212"/>
      <c r="DG300" s="212"/>
      <c r="DH300" s="212"/>
      <c r="DI300" s="212"/>
      <c r="DJ300" s="212"/>
      <c r="DK300" s="212"/>
      <c r="DL300" s="212"/>
      <c r="DM300" s="212"/>
      <c r="DN300" s="212"/>
      <c r="DO300" s="212"/>
      <c r="DP300" s="212"/>
      <c r="DQ300" s="212"/>
      <c r="DR300" s="212"/>
      <c r="DS300" s="212"/>
      <c r="DT300" s="212"/>
      <c r="DU300" s="212"/>
      <c r="DV300" s="212"/>
      <c r="DW300" s="212"/>
      <c r="DX300" s="212"/>
      <c r="DY300" s="212"/>
      <c r="DZ300" s="212"/>
      <c r="EA300" s="212"/>
      <c r="EB300" s="212"/>
      <c r="EC300" s="212"/>
      <c r="ED300" s="212"/>
      <c r="EE300" s="212"/>
      <c r="EF300" s="212"/>
      <c r="EG300" s="212"/>
      <c r="EH300" s="212"/>
      <c r="EI300" s="212"/>
      <c r="EJ300" s="212"/>
      <c r="EK300" s="212"/>
      <c r="EL300" s="212"/>
      <c r="EM300" s="212"/>
      <c r="EN300" s="212"/>
      <c r="EO300" s="212"/>
      <c r="EP300" s="212"/>
      <c r="EQ300" s="212"/>
      <c r="ER300" s="212"/>
      <c r="ES300" s="212"/>
      <c r="ET300" s="212"/>
      <c r="EU300" s="212"/>
      <c r="EV300" s="212"/>
      <c r="EW300" s="212"/>
      <c r="EX300" s="212"/>
      <c r="EY300" s="212"/>
      <c r="EZ300" s="212"/>
      <c r="FA300" s="212"/>
      <c r="FB300" s="212"/>
      <c r="FC300" s="212"/>
      <c r="FD300" s="212"/>
      <c r="FE300" s="212"/>
      <c r="FF300" s="212"/>
      <c r="FG300" s="212"/>
      <c r="FH300" s="212"/>
      <c r="FI300" s="212"/>
      <c r="FJ300" s="212"/>
      <c r="FK300" s="212"/>
      <c r="FL300" s="212"/>
      <c r="FM300" s="212"/>
      <c r="FN300" s="212"/>
      <c r="FO300" s="212"/>
      <c r="FP300" s="212"/>
      <c r="FQ300" s="212"/>
      <c r="FR300" s="212"/>
      <c r="FS300" s="212"/>
      <c r="FT300" s="212"/>
      <c r="FU300" s="212"/>
      <c r="FV300" s="212"/>
      <c r="FW300" s="212"/>
      <c r="FX300" s="212"/>
      <c r="FY300" s="212"/>
      <c r="FZ300" s="212"/>
      <c r="GA300" s="212"/>
      <c r="GB300" s="212"/>
      <c r="GC300" s="212"/>
      <c r="GD300" s="212"/>
      <c r="GE300" s="212"/>
      <c r="GF300" s="212"/>
      <c r="GG300" s="212"/>
      <c r="GH300" s="212"/>
      <c r="GI300" s="212"/>
      <c r="GJ300" s="212"/>
      <c r="GK300" s="212"/>
      <c r="GL300" s="212"/>
      <c r="GM300" s="212"/>
      <c r="GN300" s="212"/>
      <c r="GO300" s="212"/>
      <c r="GP300" s="212"/>
      <c r="GQ300" s="212"/>
      <c r="GR300" s="212"/>
      <c r="GS300" s="212"/>
      <c r="GT300" s="212"/>
      <c r="GU300" s="212"/>
      <c r="GV300" s="212"/>
      <c r="GW300" s="212"/>
      <c r="GX300" s="212"/>
      <c r="GY300" s="212"/>
      <c r="GZ300" s="212"/>
      <c r="HA300" s="212"/>
      <c r="HB300" s="212"/>
      <c r="HC300" s="212"/>
      <c r="HD300" s="212"/>
      <c r="HE300" s="212"/>
      <c r="HF300" s="212"/>
      <c r="HG300" s="212"/>
      <c r="HH300" s="212"/>
      <c r="HI300" s="212"/>
      <c r="HJ300" s="212"/>
      <c r="HK300" s="212"/>
      <c r="HL300" s="212"/>
      <c r="HM300" s="212"/>
      <c r="HN300" s="212"/>
      <c r="HO300" s="212"/>
      <c r="HP300" s="212"/>
      <c r="HQ300" s="212"/>
      <c r="HR300" s="212"/>
      <c r="HS300" s="212"/>
      <c r="HT300" s="212"/>
      <c r="HU300" s="212"/>
      <c r="HV300" s="212"/>
      <c r="HW300" s="212"/>
      <c r="HX300" s="212"/>
      <c r="HY300" s="212"/>
      <c r="HZ300" s="212"/>
      <c r="IA300" s="212"/>
      <c r="IB300" s="212"/>
      <c r="IC300" s="212"/>
      <c r="ID300" s="212"/>
      <c r="IE300" s="212"/>
      <c r="IF300" s="212"/>
      <c r="IG300" s="212"/>
      <c r="IH300" s="212"/>
      <c r="II300" s="212"/>
      <c r="IJ300" s="212"/>
      <c r="IK300" s="212"/>
      <c r="IL300" s="212"/>
      <c r="IM300" s="212"/>
      <c r="IN300" s="212"/>
      <c r="IO300" s="212"/>
      <c r="IP300" s="212"/>
      <c r="IQ300" s="212"/>
      <c r="IR300" s="212"/>
    </row>
    <row r="301" spans="13:252" ht="16.5" thickTop="1" thickBot="1">
      <c r="M301" s="212"/>
      <c r="N301" s="212"/>
      <c r="O301" s="212"/>
      <c r="P301" s="212"/>
      <c r="Q301" s="212"/>
      <c r="R301" s="212"/>
      <c r="S301" s="212"/>
      <c r="T301" s="212"/>
      <c r="U301" s="212"/>
      <c r="V301" s="212"/>
      <c r="W301" s="212"/>
      <c r="X301" s="212"/>
      <c r="Y301" s="212"/>
      <c r="Z301" s="212"/>
      <c r="AA301" s="212"/>
      <c r="AB301" s="212"/>
      <c r="AC301" s="212"/>
      <c r="AD301" s="212"/>
      <c r="AE301" s="212"/>
      <c r="AF301" s="212"/>
      <c r="AG301" s="212"/>
      <c r="AH301" s="212"/>
      <c r="AI301" s="212"/>
      <c r="AJ301" s="212"/>
      <c r="AK301" s="212"/>
      <c r="AL301" s="212"/>
      <c r="AM301" s="212"/>
      <c r="AN301" s="212"/>
      <c r="AO301" s="212"/>
      <c r="AP301" s="212"/>
      <c r="AQ301" s="212"/>
      <c r="AR301" s="212"/>
      <c r="AS301" s="212"/>
      <c r="AT301" s="212"/>
      <c r="AU301" s="212"/>
      <c r="AV301" s="212"/>
      <c r="AW301" s="212"/>
      <c r="AX301" s="212"/>
      <c r="AY301" s="212"/>
      <c r="AZ301" s="212"/>
      <c r="BA301" s="212"/>
      <c r="BB301" s="212"/>
      <c r="BC301" s="212"/>
      <c r="BD301" s="212"/>
      <c r="BE301" s="212"/>
      <c r="BF301" s="212"/>
      <c r="BG301" s="212"/>
      <c r="BH301" s="212"/>
      <c r="BI301" s="212"/>
      <c r="BJ301" s="212"/>
      <c r="BK301" s="212"/>
      <c r="BL301" s="212"/>
      <c r="BM301" s="212"/>
      <c r="BN301" s="212"/>
      <c r="BO301" s="212"/>
      <c r="BP301" s="212"/>
      <c r="BQ301" s="212"/>
      <c r="BR301" s="212"/>
      <c r="BS301" s="212"/>
      <c r="BT301" s="212"/>
      <c r="BU301" s="212"/>
      <c r="BV301" s="212"/>
      <c r="BW301" s="212"/>
      <c r="BX301" s="212"/>
      <c r="BY301" s="212"/>
      <c r="BZ301" s="212"/>
      <c r="CA301" s="212"/>
      <c r="CB301" s="212"/>
      <c r="CC301" s="212"/>
      <c r="CD301" s="212"/>
      <c r="CE301" s="212"/>
      <c r="CF301" s="212"/>
      <c r="CG301" s="212"/>
      <c r="CH301" s="212"/>
      <c r="CI301" s="212"/>
      <c r="CJ301" s="212"/>
      <c r="CK301" s="212"/>
      <c r="CL301" s="212"/>
      <c r="CM301" s="212"/>
      <c r="CN301" s="212"/>
      <c r="CO301" s="212"/>
      <c r="CP301" s="212"/>
      <c r="CQ301" s="212"/>
      <c r="CR301" s="212"/>
      <c r="CS301" s="212"/>
      <c r="CT301" s="212"/>
      <c r="CU301" s="212"/>
      <c r="CV301" s="212"/>
      <c r="CW301" s="212"/>
      <c r="CX301" s="212"/>
      <c r="CY301" s="212"/>
      <c r="CZ301" s="212"/>
      <c r="DA301" s="212"/>
      <c r="DB301" s="212"/>
      <c r="DC301" s="212"/>
      <c r="DD301" s="212"/>
      <c r="DE301" s="212"/>
      <c r="DF301" s="212"/>
      <c r="DG301" s="212"/>
      <c r="DH301" s="212"/>
      <c r="DI301" s="212"/>
      <c r="DJ301" s="212"/>
      <c r="DK301" s="212"/>
      <c r="DL301" s="212"/>
      <c r="DM301" s="212"/>
      <c r="DN301" s="212"/>
      <c r="DO301" s="212"/>
      <c r="DP301" s="212"/>
      <c r="DQ301" s="212"/>
      <c r="DR301" s="212"/>
      <c r="DS301" s="212"/>
      <c r="DT301" s="212"/>
      <c r="DU301" s="212"/>
      <c r="DV301" s="212"/>
      <c r="DW301" s="212"/>
      <c r="DX301" s="212"/>
      <c r="DY301" s="212"/>
      <c r="DZ301" s="212"/>
      <c r="EA301" s="212"/>
      <c r="EB301" s="212"/>
      <c r="EC301" s="212"/>
      <c r="ED301" s="212"/>
      <c r="EE301" s="212"/>
      <c r="EF301" s="212"/>
      <c r="EG301" s="212"/>
      <c r="EH301" s="212"/>
      <c r="EI301" s="212"/>
      <c r="EJ301" s="212"/>
      <c r="EK301" s="212"/>
      <c r="EL301" s="212"/>
      <c r="EM301" s="212"/>
      <c r="EN301" s="212"/>
      <c r="EO301" s="212"/>
      <c r="EP301" s="212"/>
      <c r="EQ301" s="212"/>
      <c r="ER301" s="212"/>
      <c r="ES301" s="212"/>
      <c r="ET301" s="212"/>
      <c r="EU301" s="212"/>
      <c r="EV301" s="212"/>
      <c r="EW301" s="212"/>
      <c r="EX301" s="212"/>
      <c r="EY301" s="212"/>
      <c r="EZ301" s="212"/>
      <c r="FA301" s="212"/>
      <c r="FB301" s="212"/>
      <c r="FC301" s="212"/>
      <c r="FD301" s="212"/>
      <c r="FE301" s="212"/>
      <c r="FF301" s="212"/>
      <c r="FG301" s="212"/>
      <c r="FH301" s="212"/>
      <c r="FI301" s="212"/>
      <c r="FJ301" s="212"/>
      <c r="FK301" s="212"/>
      <c r="FL301" s="212"/>
      <c r="FM301" s="212"/>
      <c r="FN301" s="212"/>
      <c r="FO301" s="212"/>
      <c r="FP301" s="212"/>
      <c r="FQ301" s="212"/>
      <c r="FR301" s="212"/>
      <c r="FS301" s="212"/>
      <c r="FT301" s="212"/>
      <c r="FU301" s="212"/>
      <c r="FV301" s="212"/>
      <c r="FW301" s="212"/>
      <c r="FX301" s="212"/>
      <c r="FY301" s="212"/>
      <c r="FZ301" s="212"/>
      <c r="GA301" s="212"/>
      <c r="GB301" s="212"/>
      <c r="GC301" s="212"/>
      <c r="GD301" s="212"/>
      <c r="GE301" s="212"/>
      <c r="GF301" s="212"/>
      <c r="GG301" s="212"/>
      <c r="GH301" s="212"/>
      <c r="GI301" s="212"/>
      <c r="GJ301" s="212"/>
      <c r="GK301" s="212"/>
      <c r="GL301" s="212"/>
      <c r="GM301" s="212"/>
      <c r="GN301" s="212"/>
      <c r="GO301" s="212"/>
      <c r="GP301" s="212"/>
      <c r="GQ301" s="212"/>
      <c r="GR301" s="212"/>
      <c r="GS301" s="212"/>
      <c r="GT301" s="212"/>
      <c r="GU301" s="212"/>
      <c r="GV301" s="212"/>
      <c r="GW301" s="212"/>
      <c r="GX301" s="212"/>
      <c r="GY301" s="212"/>
      <c r="GZ301" s="212"/>
      <c r="HA301" s="212"/>
      <c r="HB301" s="212"/>
      <c r="HC301" s="212"/>
      <c r="HD301" s="212"/>
      <c r="HE301" s="212"/>
      <c r="HF301" s="212"/>
      <c r="HG301" s="212"/>
      <c r="HH301" s="212"/>
      <c r="HI301" s="212"/>
      <c r="HJ301" s="212"/>
      <c r="HK301" s="212"/>
      <c r="HL301" s="212"/>
      <c r="HM301" s="212"/>
      <c r="HN301" s="212"/>
      <c r="HO301" s="212"/>
      <c r="HP301" s="212"/>
      <c r="HQ301" s="212"/>
      <c r="HR301" s="212"/>
      <c r="HS301" s="212"/>
      <c r="HT301" s="212"/>
      <c r="HU301" s="212"/>
      <c r="HV301" s="212"/>
      <c r="HW301" s="212"/>
      <c r="HX301" s="212"/>
      <c r="HY301" s="212"/>
      <c r="HZ301" s="212"/>
      <c r="IA301" s="212"/>
      <c r="IB301" s="212"/>
      <c r="IC301" s="212"/>
      <c r="ID301" s="212"/>
      <c r="IE301" s="212"/>
      <c r="IF301" s="212"/>
      <c r="IG301" s="212"/>
      <c r="IH301" s="212"/>
      <c r="II301" s="212"/>
      <c r="IJ301" s="212"/>
      <c r="IK301" s="212"/>
      <c r="IL301" s="212"/>
      <c r="IM301" s="212"/>
      <c r="IN301" s="212"/>
      <c r="IO301" s="212"/>
      <c r="IP301" s="212"/>
      <c r="IQ301" s="212"/>
      <c r="IR301" s="212"/>
    </row>
    <row r="302" spans="13:252" ht="16.5" thickTop="1" thickBot="1">
      <c r="M302" s="212"/>
      <c r="N302" s="212"/>
      <c r="O302" s="212"/>
      <c r="P302" s="212"/>
      <c r="Q302" s="212"/>
      <c r="R302" s="212"/>
      <c r="S302" s="212"/>
      <c r="T302" s="212"/>
      <c r="U302" s="212"/>
      <c r="V302" s="212"/>
      <c r="W302" s="212"/>
      <c r="X302" s="212"/>
      <c r="Y302" s="212"/>
      <c r="Z302" s="212"/>
      <c r="AA302" s="212"/>
      <c r="AB302" s="212"/>
      <c r="AC302" s="212"/>
      <c r="AD302" s="212"/>
      <c r="AE302" s="212"/>
      <c r="AF302" s="212"/>
      <c r="AG302" s="212"/>
      <c r="AH302" s="212"/>
      <c r="AI302" s="212"/>
      <c r="AJ302" s="212"/>
      <c r="AK302" s="212"/>
      <c r="AL302" s="212"/>
      <c r="AM302" s="212"/>
      <c r="AN302" s="212"/>
      <c r="AO302" s="212"/>
      <c r="AP302" s="212"/>
      <c r="AQ302" s="212"/>
      <c r="AR302" s="212"/>
      <c r="AS302" s="212"/>
      <c r="AT302" s="212"/>
      <c r="AU302" s="212"/>
      <c r="AV302" s="212"/>
      <c r="AW302" s="212"/>
      <c r="AX302" s="212"/>
      <c r="AY302" s="212"/>
      <c r="AZ302" s="212"/>
      <c r="BA302" s="212"/>
      <c r="BB302" s="212"/>
      <c r="BC302" s="212"/>
      <c r="BD302" s="212"/>
      <c r="BE302" s="212"/>
      <c r="BF302" s="212"/>
      <c r="BG302" s="212"/>
      <c r="BH302" s="212"/>
      <c r="BI302" s="212"/>
      <c r="BJ302" s="212"/>
      <c r="BK302" s="212"/>
      <c r="BL302" s="212"/>
      <c r="BM302" s="212"/>
      <c r="BN302" s="212"/>
      <c r="BO302" s="212"/>
      <c r="BP302" s="212"/>
      <c r="BQ302" s="212"/>
      <c r="BR302" s="212"/>
      <c r="BS302" s="212"/>
      <c r="BT302" s="212"/>
      <c r="BU302" s="212"/>
      <c r="BV302" s="212"/>
      <c r="BW302" s="212"/>
      <c r="BX302" s="212"/>
      <c r="BY302" s="212"/>
      <c r="BZ302" s="212"/>
      <c r="CA302" s="212"/>
      <c r="CB302" s="212"/>
      <c r="CC302" s="212"/>
      <c r="CD302" s="212"/>
      <c r="CE302" s="212"/>
      <c r="CF302" s="212"/>
      <c r="CG302" s="212"/>
      <c r="CH302" s="212"/>
      <c r="CI302" s="212"/>
      <c r="CJ302" s="212"/>
      <c r="CK302" s="212"/>
      <c r="CL302" s="212"/>
      <c r="CM302" s="212"/>
      <c r="CN302" s="212"/>
      <c r="CO302" s="212"/>
      <c r="CP302" s="212"/>
      <c r="CQ302" s="212"/>
      <c r="CR302" s="212"/>
      <c r="CS302" s="212"/>
      <c r="CT302" s="212"/>
      <c r="CU302" s="212"/>
      <c r="CV302" s="212"/>
      <c r="CW302" s="212"/>
      <c r="CX302" s="212"/>
      <c r="CY302" s="212"/>
      <c r="CZ302" s="212"/>
      <c r="DA302" s="212"/>
      <c r="DB302" s="212"/>
      <c r="DC302" s="212"/>
      <c r="DD302" s="212"/>
      <c r="DE302" s="212"/>
      <c r="DF302" s="212"/>
      <c r="DG302" s="212"/>
      <c r="DH302" s="212"/>
      <c r="DI302" s="212"/>
      <c r="DJ302" s="212"/>
      <c r="DK302" s="212"/>
      <c r="DL302" s="212"/>
      <c r="DM302" s="212"/>
      <c r="DN302" s="212"/>
      <c r="DO302" s="212"/>
      <c r="DP302" s="212"/>
      <c r="DQ302" s="212"/>
      <c r="DR302" s="212"/>
      <c r="DS302" s="212"/>
      <c r="DT302" s="212"/>
      <c r="DU302" s="212"/>
      <c r="DV302" s="212"/>
      <c r="DW302" s="212"/>
      <c r="DX302" s="212"/>
      <c r="DY302" s="212"/>
      <c r="DZ302" s="212"/>
      <c r="EA302" s="212"/>
      <c r="EB302" s="212"/>
      <c r="EC302" s="212"/>
      <c r="ED302" s="212"/>
      <c r="EE302" s="212"/>
      <c r="EF302" s="212"/>
      <c r="EG302" s="212"/>
      <c r="EH302" s="212"/>
      <c r="EI302" s="212"/>
      <c r="EJ302" s="212"/>
      <c r="EK302" s="212"/>
      <c r="EL302" s="212"/>
      <c r="EM302" s="212"/>
      <c r="EN302" s="212"/>
      <c r="EO302" s="212"/>
      <c r="EP302" s="212"/>
      <c r="EQ302" s="212"/>
      <c r="ER302" s="212"/>
      <c r="ES302" s="212"/>
      <c r="ET302" s="212"/>
      <c r="EU302" s="212"/>
      <c r="EV302" s="212"/>
      <c r="EW302" s="212"/>
      <c r="EX302" s="212"/>
      <c r="EY302" s="212"/>
      <c r="EZ302" s="212"/>
      <c r="FA302" s="212"/>
      <c r="FB302" s="212"/>
      <c r="FC302" s="212"/>
      <c r="FD302" s="212"/>
      <c r="FE302" s="212"/>
      <c r="FF302" s="212"/>
      <c r="FG302" s="212"/>
      <c r="FH302" s="212"/>
      <c r="FI302" s="212"/>
      <c r="FJ302" s="212"/>
      <c r="FK302" s="212"/>
      <c r="FL302" s="212"/>
      <c r="FM302" s="212"/>
      <c r="FN302" s="212"/>
      <c r="FO302" s="212"/>
      <c r="FP302" s="212"/>
      <c r="FQ302" s="212"/>
      <c r="FR302" s="212"/>
      <c r="FS302" s="212"/>
      <c r="FT302" s="212"/>
      <c r="FU302" s="212"/>
      <c r="FV302" s="212"/>
      <c r="FW302" s="212"/>
      <c r="FX302" s="212"/>
      <c r="FY302" s="212"/>
      <c r="FZ302" s="212"/>
      <c r="GA302" s="212"/>
      <c r="GB302" s="212"/>
      <c r="GC302" s="212"/>
      <c r="GD302" s="212"/>
      <c r="GE302" s="212"/>
      <c r="GF302" s="212"/>
      <c r="GG302" s="212"/>
      <c r="GH302" s="212"/>
      <c r="GI302" s="212"/>
      <c r="GJ302" s="212"/>
      <c r="GK302" s="212"/>
      <c r="GL302" s="212"/>
      <c r="GM302" s="212"/>
      <c r="GN302" s="212"/>
      <c r="GO302" s="212"/>
      <c r="GP302" s="212"/>
      <c r="GQ302" s="212"/>
      <c r="GR302" s="212"/>
      <c r="GS302" s="212"/>
      <c r="GT302" s="212"/>
      <c r="GU302" s="212"/>
      <c r="GV302" s="212"/>
      <c r="GW302" s="212"/>
      <c r="GX302" s="212"/>
      <c r="GY302" s="212"/>
      <c r="GZ302" s="212"/>
      <c r="HA302" s="212"/>
      <c r="HB302" s="212"/>
      <c r="HC302" s="212"/>
      <c r="HD302" s="212"/>
      <c r="HE302" s="212"/>
      <c r="HF302" s="212"/>
      <c r="HG302" s="212"/>
      <c r="HH302" s="212"/>
      <c r="HI302" s="212"/>
      <c r="HJ302" s="212"/>
      <c r="HK302" s="212"/>
      <c r="HL302" s="212"/>
      <c r="HM302" s="212"/>
      <c r="HN302" s="212"/>
      <c r="HO302" s="212"/>
      <c r="HP302" s="212"/>
      <c r="HQ302" s="212"/>
      <c r="HR302" s="212"/>
      <c r="HS302" s="212"/>
      <c r="HT302" s="212"/>
      <c r="HU302" s="212"/>
      <c r="HV302" s="212"/>
      <c r="HW302" s="212"/>
      <c r="HX302" s="212"/>
      <c r="HY302" s="212"/>
      <c r="HZ302" s="212"/>
      <c r="IA302" s="212"/>
      <c r="IB302" s="212"/>
      <c r="IC302" s="212"/>
      <c r="ID302" s="212"/>
      <c r="IE302" s="212"/>
      <c r="IF302" s="212"/>
      <c r="IG302" s="212"/>
      <c r="IH302" s="212"/>
      <c r="II302" s="212"/>
      <c r="IJ302" s="212"/>
      <c r="IK302" s="212"/>
      <c r="IL302" s="212"/>
      <c r="IM302" s="212"/>
      <c r="IN302" s="212"/>
      <c r="IO302" s="212"/>
      <c r="IP302" s="212"/>
      <c r="IQ302" s="212"/>
      <c r="IR302" s="212"/>
    </row>
    <row r="303" spans="13:252" ht="16.5" thickTop="1" thickBot="1">
      <c r="M303" s="212"/>
      <c r="N303" s="212"/>
      <c r="O303" s="212"/>
      <c r="P303" s="212"/>
      <c r="Q303" s="212"/>
      <c r="R303" s="212"/>
      <c r="S303" s="212"/>
      <c r="T303" s="212"/>
      <c r="U303" s="212"/>
      <c r="V303" s="212"/>
      <c r="W303" s="212"/>
      <c r="X303" s="212"/>
      <c r="Y303" s="212"/>
      <c r="Z303" s="212"/>
      <c r="AA303" s="212"/>
      <c r="AB303" s="212"/>
      <c r="AC303" s="212"/>
      <c r="AD303" s="212"/>
      <c r="AE303" s="212"/>
      <c r="AF303" s="212"/>
      <c r="AG303" s="212"/>
      <c r="AH303" s="212"/>
      <c r="AI303" s="212"/>
      <c r="AJ303" s="212"/>
      <c r="AK303" s="212"/>
      <c r="AL303" s="212"/>
      <c r="AM303" s="212"/>
      <c r="AN303" s="212"/>
      <c r="AO303" s="212"/>
      <c r="AP303" s="212"/>
      <c r="AQ303" s="212"/>
      <c r="AR303" s="212"/>
      <c r="AS303" s="212"/>
      <c r="AT303" s="212"/>
      <c r="AU303" s="212"/>
      <c r="AV303" s="212"/>
      <c r="AW303" s="212"/>
      <c r="AX303" s="212"/>
      <c r="AY303" s="212"/>
      <c r="AZ303" s="212"/>
      <c r="BA303" s="212"/>
      <c r="BB303" s="212"/>
      <c r="BC303" s="212"/>
      <c r="BD303" s="212"/>
      <c r="BE303" s="212"/>
      <c r="BF303" s="212"/>
      <c r="BG303" s="212"/>
      <c r="BH303" s="212"/>
      <c r="BI303" s="212"/>
      <c r="BJ303" s="212"/>
      <c r="BK303" s="212"/>
      <c r="BL303" s="212"/>
      <c r="BM303" s="212"/>
      <c r="BN303" s="212"/>
      <c r="BO303" s="212"/>
      <c r="BP303" s="212"/>
      <c r="BQ303" s="212"/>
      <c r="BR303" s="212"/>
      <c r="BS303" s="212"/>
      <c r="BT303" s="212"/>
      <c r="BU303" s="212"/>
      <c r="BV303" s="212"/>
      <c r="BW303" s="212"/>
      <c r="BX303" s="212"/>
      <c r="BY303" s="212"/>
      <c r="BZ303" s="212"/>
      <c r="CA303" s="212"/>
      <c r="CB303" s="212"/>
      <c r="CC303" s="212"/>
      <c r="CD303" s="212"/>
      <c r="CE303" s="212"/>
      <c r="CF303" s="212"/>
      <c r="CG303" s="212"/>
      <c r="CH303" s="212"/>
      <c r="CI303" s="212"/>
      <c r="CJ303" s="212"/>
      <c r="CK303" s="212"/>
      <c r="CL303" s="212"/>
      <c r="CM303" s="212"/>
      <c r="CN303" s="212"/>
      <c r="CO303" s="212"/>
      <c r="CP303" s="212"/>
      <c r="CQ303" s="212"/>
      <c r="CR303" s="212"/>
      <c r="CS303" s="212"/>
      <c r="CT303" s="212"/>
      <c r="CU303" s="212"/>
      <c r="CV303" s="212"/>
      <c r="CW303" s="212"/>
      <c r="CX303" s="212"/>
      <c r="CY303" s="212"/>
      <c r="CZ303" s="212"/>
      <c r="DA303" s="212"/>
      <c r="DB303" s="212"/>
      <c r="DC303" s="212"/>
      <c r="DD303" s="212"/>
      <c r="DE303" s="212"/>
      <c r="DF303" s="212"/>
      <c r="DG303" s="212"/>
      <c r="DH303" s="212"/>
      <c r="DI303" s="212"/>
      <c r="DJ303" s="212"/>
      <c r="DK303" s="212"/>
      <c r="DL303" s="212"/>
      <c r="DM303" s="212"/>
      <c r="DN303" s="212"/>
      <c r="DO303" s="212"/>
      <c r="DP303" s="212"/>
      <c r="DQ303" s="212"/>
      <c r="DR303" s="212"/>
      <c r="DS303" s="212"/>
      <c r="DT303" s="212"/>
      <c r="DU303" s="212"/>
      <c r="DV303" s="212"/>
      <c r="DW303" s="212"/>
      <c r="DX303" s="212"/>
      <c r="DY303" s="212"/>
      <c r="DZ303" s="212"/>
      <c r="EA303" s="212"/>
      <c r="EB303" s="212"/>
      <c r="EC303" s="212"/>
      <c r="ED303" s="212"/>
      <c r="EE303" s="212"/>
      <c r="EF303" s="212"/>
      <c r="EG303" s="212"/>
      <c r="EH303" s="212"/>
      <c r="EI303" s="212"/>
      <c r="EJ303" s="212"/>
      <c r="EK303" s="212"/>
      <c r="EL303" s="212"/>
      <c r="EM303" s="212"/>
      <c r="EN303" s="212"/>
      <c r="EO303" s="212"/>
      <c r="EP303" s="212"/>
      <c r="EQ303" s="212"/>
      <c r="ER303" s="212"/>
      <c r="ES303" s="212"/>
      <c r="ET303" s="212"/>
      <c r="EU303" s="212"/>
      <c r="EV303" s="212"/>
      <c r="EW303" s="212"/>
      <c r="EX303" s="212"/>
      <c r="EY303" s="212"/>
      <c r="EZ303" s="212"/>
      <c r="FA303" s="212"/>
      <c r="FB303" s="212"/>
      <c r="FC303" s="212"/>
      <c r="FD303" s="212"/>
      <c r="FE303" s="212"/>
      <c r="FF303" s="212"/>
      <c r="FG303" s="212"/>
      <c r="FH303" s="212"/>
      <c r="FI303" s="212"/>
      <c r="FJ303" s="212"/>
      <c r="FK303" s="212"/>
      <c r="FL303" s="212"/>
      <c r="FM303" s="212"/>
      <c r="FN303" s="212"/>
      <c r="FO303" s="212"/>
      <c r="FP303" s="212"/>
      <c r="FQ303" s="212"/>
      <c r="FR303" s="212"/>
      <c r="FS303" s="212"/>
      <c r="FT303" s="212"/>
      <c r="FU303" s="212"/>
      <c r="FV303" s="212"/>
      <c r="FW303" s="212"/>
      <c r="FX303" s="212"/>
      <c r="FY303" s="212"/>
      <c r="FZ303" s="212"/>
      <c r="GA303" s="212"/>
      <c r="GB303" s="212"/>
      <c r="GC303" s="212"/>
      <c r="GD303" s="212"/>
      <c r="GE303" s="212"/>
      <c r="GF303" s="212"/>
      <c r="GG303" s="212"/>
      <c r="GH303" s="212"/>
      <c r="GI303" s="212"/>
      <c r="GJ303" s="212"/>
      <c r="GK303" s="212"/>
      <c r="GL303" s="212"/>
      <c r="GM303" s="212"/>
      <c r="GN303" s="212"/>
      <c r="GO303" s="212"/>
      <c r="GP303" s="212"/>
      <c r="GQ303" s="212"/>
      <c r="GR303" s="212"/>
      <c r="GS303" s="212"/>
      <c r="GT303" s="212"/>
      <c r="GU303" s="212"/>
      <c r="GV303" s="212"/>
      <c r="GW303" s="212"/>
      <c r="GX303" s="212"/>
      <c r="GY303" s="212"/>
      <c r="GZ303" s="212"/>
      <c r="HA303" s="212"/>
      <c r="HB303" s="212"/>
      <c r="HC303" s="212"/>
      <c r="HD303" s="212"/>
      <c r="HE303" s="212"/>
      <c r="HF303" s="212"/>
      <c r="HG303" s="212"/>
      <c r="HH303" s="212"/>
      <c r="HI303" s="212"/>
      <c r="HJ303" s="212"/>
      <c r="HK303" s="212"/>
      <c r="HL303" s="212"/>
      <c r="HM303" s="212"/>
      <c r="HN303" s="212"/>
      <c r="HO303" s="212"/>
      <c r="HP303" s="212"/>
      <c r="HQ303" s="212"/>
      <c r="HR303" s="212"/>
      <c r="HS303" s="212"/>
      <c r="HT303" s="212"/>
      <c r="HU303" s="212"/>
      <c r="HV303" s="212"/>
      <c r="HW303" s="212"/>
      <c r="HX303" s="212"/>
      <c r="HY303" s="212"/>
      <c r="HZ303" s="212"/>
      <c r="IA303" s="212"/>
      <c r="IB303" s="212"/>
      <c r="IC303" s="212"/>
      <c r="ID303" s="212"/>
      <c r="IE303" s="212"/>
      <c r="IF303" s="212"/>
      <c r="IG303" s="212"/>
      <c r="IH303" s="212"/>
      <c r="II303" s="212"/>
      <c r="IJ303" s="212"/>
      <c r="IK303" s="212"/>
      <c r="IL303" s="212"/>
      <c r="IM303" s="212"/>
      <c r="IN303" s="212"/>
      <c r="IO303" s="212"/>
      <c r="IP303" s="212"/>
      <c r="IQ303" s="212"/>
      <c r="IR303" s="212"/>
    </row>
    <row r="304" spans="13:252" ht="16.5" thickTop="1" thickBot="1">
      <c r="M304" s="212"/>
      <c r="N304" s="212"/>
      <c r="O304" s="212"/>
      <c r="P304" s="212"/>
      <c r="Q304" s="212"/>
      <c r="R304" s="212"/>
      <c r="S304" s="212"/>
      <c r="T304" s="212"/>
      <c r="U304" s="212"/>
      <c r="V304" s="212"/>
      <c r="W304" s="212"/>
      <c r="X304" s="212"/>
      <c r="Y304" s="212"/>
      <c r="Z304" s="212"/>
      <c r="AA304" s="212"/>
      <c r="AB304" s="212"/>
      <c r="AC304" s="212"/>
      <c r="AD304" s="212"/>
      <c r="AE304" s="212"/>
      <c r="AF304" s="212"/>
      <c r="AG304" s="212"/>
      <c r="AH304" s="212"/>
      <c r="AI304" s="212"/>
      <c r="AJ304" s="212"/>
      <c r="AK304" s="212"/>
      <c r="AL304" s="212"/>
      <c r="AM304" s="212"/>
      <c r="AN304" s="212"/>
      <c r="AO304" s="212"/>
      <c r="AP304" s="212"/>
      <c r="AQ304" s="212"/>
      <c r="AR304" s="212"/>
      <c r="AS304" s="212"/>
      <c r="AT304" s="212"/>
      <c r="AU304" s="212"/>
      <c r="AV304" s="212"/>
      <c r="AW304" s="212"/>
      <c r="AX304" s="212"/>
      <c r="AY304" s="212"/>
      <c r="AZ304" s="212"/>
      <c r="BA304" s="212"/>
      <c r="BB304" s="212"/>
      <c r="BC304" s="212"/>
      <c r="BD304" s="212"/>
      <c r="BE304" s="212"/>
      <c r="BF304" s="212"/>
      <c r="BG304" s="212"/>
      <c r="BH304" s="212"/>
      <c r="BI304" s="212"/>
      <c r="BJ304" s="212"/>
      <c r="BK304" s="212"/>
      <c r="BL304" s="212"/>
      <c r="BM304" s="212"/>
      <c r="BN304" s="212"/>
      <c r="BO304" s="212"/>
      <c r="BP304" s="212"/>
      <c r="BQ304" s="212"/>
      <c r="BR304" s="212"/>
      <c r="BS304" s="212"/>
      <c r="BT304" s="212"/>
      <c r="BU304" s="212"/>
      <c r="BV304" s="212"/>
      <c r="BW304" s="212"/>
      <c r="BX304" s="212"/>
      <c r="BY304" s="212"/>
      <c r="BZ304" s="212"/>
      <c r="CA304" s="212"/>
      <c r="CB304" s="212"/>
      <c r="CC304" s="212"/>
      <c r="CD304" s="212"/>
      <c r="CE304" s="212"/>
      <c r="CF304" s="212"/>
      <c r="CG304" s="212"/>
      <c r="CH304" s="212"/>
      <c r="CI304" s="212"/>
      <c r="CJ304" s="212"/>
      <c r="CK304" s="212"/>
      <c r="CL304" s="212"/>
      <c r="CM304" s="212"/>
      <c r="CN304" s="212"/>
      <c r="CO304" s="212"/>
      <c r="CP304" s="212"/>
      <c r="CQ304" s="212"/>
      <c r="CR304" s="212"/>
      <c r="CS304" s="212"/>
      <c r="CT304" s="212"/>
      <c r="CU304" s="212"/>
      <c r="CV304" s="212"/>
      <c r="CW304" s="212"/>
      <c r="CX304" s="212"/>
      <c r="CY304" s="212"/>
      <c r="CZ304" s="212"/>
      <c r="DA304" s="212"/>
      <c r="DB304" s="212"/>
      <c r="DC304" s="212"/>
      <c r="DD304" s="212"/>
      <c r="DE304" s="212"/>
      <c r="DF304" s="212"/>
      <c r="DG304" s="212"/>
      <c r="DH304" s="212"/>
      <c r="DI304" s="212"/>
      <c r="DJ304" s="212"/>
      <c r="DK304" s="212"/>
      <c r="DL304" s="212"/>
      <c r="DM304" s="212"/>
      <c r="DN304" s="212"/>
      <c r="DO304" s="212"/>
      <c r="DP304" s="212"/>
      <c r="DQ304" s="212"/>
      <c r="DR304" s="212"/>
      <c r="DS304" s="212"/>
      <c r="DT304" s="212"/>
      <c r="DU304" s="212"/>
      <c r="DV304" s="212"/>
      <c r="DW304" s="212"/>
      <c r="DX304" s="212"/>
      <c r="DY304" s="212"/>
      <c r="DZ304" s="212"/>
      <c r="EA304" s="212"/>
      <c r="EB304" s="212"/>
      <c r="EC304" s="212"/>
      <c r="ED304" s="212"/>
      <c r="EE304" s="212"/>
      <c r="EF304" s="212"/>
      <c r="EG304" s="212"/>
      <c r="EH304" s="212"/>
      <c r="EI304" s="212"/>
      <c r="EJ304" s="212"/>
      <c r="EK304" s="212"/>
      <c r="EL304" s="212"/>
      <c r="EM304" s="212"/>
      <c r="EN304" s="212"/>
      <c r="EO304" s="212"/>
      <c r="EP304" s="212"/>
      <c r="EQ304" s="212"/>
      <c r="ER304" s="212"/>
      <c r="ES304" s="212"/>
      <c r="ET304" s="212"/>
      <c r="EU304" s="212"/>
      <c r="EV304" s="212"/>
      <c r="EW304" s="212"/>
      <c r="EX304" s="212"/>
      <c r="EY304" s="212"/>
      <c r="EZ304" s="212"/>
      <c r="FA304" s="212"/>
      <c r="FB304" s="212"/>
      <c r="FC304" s="212"/>
      <c r="FD304" s="212"/>
      <c r="FE304" s="212"/>
      <c r="FF304" s="212"/>
      <c r="FG304" s="212"/>
      <c r="FH304" s="212"/>
      <c r="FI304" s="212"/>
      <c r="FJ304" s="212"/>
      <c r="FK304" s="212"/>
      <c r="FL304" s="212"/>
      <c r="FM304" s="212"/>
      <c r="FN304" s="212"/>
      <c r="FO304" s="212"/>
      <c r="FP304" s="212"/>
      <c r="FQ304" s="212"/>
      <c r="FR304" s="212"/>
      <c r="FS304" s="212"/>
      <c r="FT304" s="212"/>
      <c r="FU304" s="212"/>
      <c r="FV304" s="212"/>
      <c r="FW304" s="212"/>
      <c r="FX304" s="212"/>
      <c r="FY304" s="212"/>
      <c r="FZ304" s="212"/>
      <c r="GA304" s="212"/>
      <c r="GB304" s="212"/>
      <c r="GC304" s="212"/>
      <c r="GD304" s="212"/>
      <c r="GE304" s="212"/>
      <c r="GF304" s="212"/>
      <c r="GG304" s="212"/>
      <c r="GH304" s="212"/>
      <c r="GI304" s="212"/>
      <c r="GJ304" s="212"/>
      <c r="GK304" s="212"/>
      <c r="GL304" s="212"/>
      <c r="GM304" s="212"/>
      <c r="GN304" s="212"/>
      <c r="GO304" s="212"/>
      <c r="GP304" s="212"/>
      <c r="GQ304" s="212"/>
      <c r="GR304" s="212"/>
      <c r="GS304" s="212"/>
      <c r="GT304" s="212"/>
      <c r="GU304" s="212"/>
      <c r="GV304" s="212"/>
      <c r="GW304" s="212"/>
      <c r="GX304" s="212"/>
      <c r="GY304" s="212"/>
      <c r="GZ304" s="212"/>
      <c r="HA304" s="212"/>
      <c r="HB304" s="212"/>
      <c r="HC304" s="212"/>
      <c r="HD304" s="212"/>
      <c r="HE304" s="212"/>
      <c r="HF304" s="212"/>
      <c r="HG304" s="212"/>
      <c r="HH304" s="212"/>
      <c r="HI304" s="212"/>
      <c r="HJ304" s="212"/>
      <c r="HK304" s="212"/>
      <c r="HL304" s="212"/>
      <c r="HM304" s="212"/>
      <c r="HN304" s="212"/>
      <c r="HO304" s="212"/>
      <c r="HP304" s="212"/>
      <c r="HQ304" s="212"/>
      <c r="HR304" s="212"/>
      <c r="HS304" s="212"/>
      <c r="HT304" s="212"/>
      <c r="HU304" s="212"/>
      <c r="HV304" s="212"/>
      <c r="HW304" s="212"/>
      <c r="HX304" s="212"/>
      <c r="HY304" s="212"/>
      <c r="HZ304" s="212"/>
      <c r="IA304" s="212"/>
      <c r="IB304" s="212"/>
      <c r="IC304" s="212"/>
      <c r="ID304" s="212"/>
      <c r="IE304" s="212"/>
      <c r="IF304" s="212"/>
      <c r="IG304" s="212"/>
      <c r="IH304" s="212"/>
      <c r="II304" s="212"/>
      <c r="IJ304" s="212"/>
      <c r="IK304" s="212"/>
      <c r="IL304" s="212"/>
      <c r="IM304" s="212"/>
      <c r="IN304" s="212"/>
      <c r="IO304" s="212"/>
      <c r="IP304" s="212"/>
      <c r="IQ304" s="212"/>
      <c r="IR304" s="212"/>
    </row>
    <row r="305" spans="1:252" ht="16.5" thickTop="1" thickBot="1">
      <c r="M305" s="212"/>
      <c r="N305" s="212"/>
      <c r="O305" s="212"/>
      <c r="P305" s="212"/>
      <c r="Q305" s="212"/>
      <c r="R305" s="212"/>
      <c r="S305" s="212"/>
      <c r="T305" s="212"/>
      <c r="U305" s="212"/>
      <c r="V305" s="212"/>
      <c r="W305" s="212"/>
      <c r="X305" s="212"/>
      <c r="Y305" s="212"/>
      <c r="Z305" s="212"/>
      <c r="AA305" s="212"/>
      <c r="AB305" s="212"/>
      <c r="AC305" s="212"/>
      <c r="AD305" s="212"/>
      <c r="AE305" s="212"/>
      <c r="AF305" s="212"/>
      <c r="AG305" s="212"/>
      <c r="AH305" s="212"/>
      <c r="AI305" s="212"/>
      <c r="AJ305" s="212"/>
      <c r="AK305" s="212"/>
      <c r="AL305" s="212"/>
      <c r="AM305" s="212"/>
      <c r="AN305" s="212"/>
      <c r="AO305" s="212"/>
      <c r="AP305" s="212"/>
      <c r="AQ305" s="212"/>
      <c r="AR305" s="212"/>
      <c r="AS305" s="212"/>
      <c r="AT305" s="212"/>
      <c r="AU305" s="212"/>
      <c r="AV305" s="212"/>
      <c r="AW305" s="212"/>
      <c r="AX305" s="212"/>
      <c r="AY305" s="212"/>
      <c r="AZ305" s="212"/>
      <c r="BA305" s="212"/>
      <c r="BB305" s="212"/>
      <c r="BC305" s="212"/>
      <c r="BD305" s="212"/>
      <c r="BE305" s="212"/>
      <c r="BF305" s="212"/>
      <c r="BG305" s="212"/>
      <c r="BH305" s="212"/>
      <c r="BI305" s="212"/>
      <c r="BJ305" s="212"/>
      <c r="BK305" s="212"/>
      <c r="BL305" s="212"/>
      <c r="BM305" s="212"/>
      <c r="BN305" s="212"/>
      <c r="BO305" s="212"/>
      <c r="BP305" s="212"/>
      <c r="BQ305" s="212"/>
      <c r="BR305" s="212"/>
      <c r="BS305" s="212"/>
      <c r="BT305" s="212"/>
      <c r="BU305" s="212"/>
      <c r="BV305" s="212"/>
      <c r="BW305" s="212"/>
      <c r="BX305" s="212"/>
      <c r="BY305" s="212"/>
      <c r="BZ305" s="212"/>
      <c r="CA305" s="212"/>
      <c r="CB305" s="212"/>
      <c r="CC305" s="212"/>
      <c r="CD305" s="212"/>
      <c r="CE305" s="212"/>
      <c r="CF305" s="212"/>
      <c r="CG305" s="212"/>
      <c r="CH305" s="212"/>
      <c r="CI305" s="212"/>
      <c r="CJ305" s="212"/>
      <c r="CK305" s="212"/>
      <c r="CL305" s="212"/>
      <c r="CM305" s="212"/>
      <c r="CN305" s="212"/>
      <c r="CO305" s="212"/>
      <c r="CP305" s="212"/>
      <c r="CQ305" s="212"/>
      <c r="CR305" s="212"/>
      <c r="CS305" s="212"/>
      <c r="CT305" s="212"/>
      <c r="CU305" s="212"/>
      <c r="CV305" s="212"/>
      <c r="CW305" s="212"/>
      <c r="CX305" s="212"/>
      <c r="CY305" s="212"/>
      <c r="CZ305" s="212"/>
      <c r="DA305" s="212"/>
      <c r="DB305" s="212"/>
      <c r="DC305" s="212"/>
      <c r="DD305" s="212"/>
      <c r="DE305" s="212"/>
      <c r="DF305" s="212"/>
      <c r="DG305" s="212"/>
      <c r="DH305" s="212"/>
      <c r="DI305" s="212"/>
      <c r="DJ305" s="212"/>
      <c r="DK305" s="212"/>
      <c r="DL305" s="212"/>
      <c r="DM305" s="212"/>
      <c r="DN305" s="212"/>
      <c r="DO305" s="212"/>
      <c r="DP305" s="212"/>
      <c r="DQ305" s="212"/>
      <c r="DR305" s="212"/>
      <c r="DS305" s="212"/>
      <c r="DT305" s="212"/>
      <c r="DU305" s="212"/>
      <c r="DV305" s="212"/>
      <c r="DW305" s="212"/>
      <c r="DX305" s="212"/>
      <c r="DY305" s="212"/>
      <c r="DZ305" s="212"/>
      <c r="EA305" s="212"/>
      <c r="EB305" s="212"/>
      <c r="EC305" s="212"/>
      <c r="ED305" s="212"/>
      <c r="EE305" s="212"/>
      <c r="EF305" s="212"/>
      <c r="EG305" s="212"/>
      <c r="EH305" s="212"/>
      <c r="EI305" s="212"/>
      <c r="EJ305" s="212"/>
      <c r="EK305" s="212"/>
      <c r="EL305" s="212"/>
      <c r="EM305" s="212"/>
      <c r="EN305" s="212"/>
      <c r="EO305" s="212"/>
      <c r="EP305" s="212"/>
      <c r="EQ305" s="212"/>
      <c r="ER305" s="212"/>
      <c r="ES305" s="212"/>
      <c r="ET305" s="212"/>
      <c r="EU305" s="212"/>
      <c r="EV305" s="212"/>
      <c r="EW305" s="212"/>
      <c r="EX305" s="212"/>
      <c r="EY305" s="212"/>
      <c r="EZ305" s="212"/>
      <c r="FA305" s="212"/>
      <c r="FB305" s="212"/>
      <c r="FC305" s="212"/>
      <c r="FD305" s="212"/>
      <c r="FE305" s="212"/>
      <c r="FF305" s="212"/>
      <c r="FG305" s="212"/>
      <c r="FH305" s="212"/>
      <c r="FI305" s="212"/>
      <c r="FJ305" s="212"/>
      <c r="FK305" s="212"/>
      <c r="FL305" s="212"/>
      <c r="FM305" s="212"/>
      <c r="FN305" s="212"/>
      <c r="FO305" s="212"/>
      <c r="FP305" s="212"/>
      <c r="FQ305" s="212"/>
      <c r="FR305" s="212"/>
      <c r="FS305" s="212"/>
      <c r="FT305" s="212"/>
      <c r="FU305" s="212"/>
      <c r="FV305" s="212"/>
      <c r="FW305" s="212"/>
      <c r="FX305" s="212"/>
      <c r="FY305" s="212"/>
      <c r="FZ305" s="212"/>
      <c r="GA305" s="212"/>
      <c r="GB305" s="212"/>
      <c r="GC305" s="212"/>
      <c r="GD305" s="212"/>
      <c r="GE305" s="212"/>
      <c r="GF305" s="212"/>
      <c r="GG305" s="212"/>
      <c r="GH305" s="212"/>
      <c r="GI305" s="212"/>
      <c r="GJ305" s="212"/>
      <c r="GK305" s="212"/>
      <c r="GL305" s="212"/>
      <c r="GM305" s="212"/>
      <c r="GN305" s="212"/>
      <c r="GO305" s="212"/>
      <c r="GP305" s="212"/>
      <c r="GQ305" s="212"/>
      <c r="GR305" s="212"/>
      <c r="GS305" s="212"/>
      <c r="GT305" s="212"/>
      <c r="GU305" s="212"/>
      <c r="GV305" s="212"/>
      <c r="GW305" s="212"/>
      <c r="GX305" s="212"/>
      <c r="GY305" s="212"/>
      <c r="GZ305" s="212"/>
      <c r="HA305" s="212"/>
      <c r="HB305" s="212"/>
      <c r="HC305" s="212"/>
      <c r="HD305" s="212"/>
      <c r="HE305" s="212"/>
      <c r="HF305" s="212"/>
      <c r="HG305" s="212"/>
      <c r="HH305" s="212"/>
      <c r="HI305" s="212"/>
      <c r="HJ305" s="212"/>
      <c r="HK305" s="212"/>
      <c r="HL305" s="212"/>
      <c r="HM305" s="212"/>
      <c r="HN305" s="212"/>
      <c r="HO305" s="212"/>
      <c r="HP305" s="212"/>
      <c r="HQ305" s="212"/>
      <c r="HR305" s="212"/>
      <c r="HS305" s="212"/>
      <c r="HT305" s="212"/>
      <c r="HU305" s="212"/>
      <c r="HV305" s="212"/>
      <c r="HW305" s="212"/>
      <c r="HX305" s="212"/>
      <c r="HY305" s="212"/>
      <c r="HZ305" s="212"/>
      <c r="IA305" s="212"/>
      <c r="IB305" s="212"/>
      <c r="IC305" s="212"/>
      <c r="ID305" s="212"/>
      <c r="IE305" s="212"/>
      <c r="IF305" s="212"/>
      <c r="IG305" s="212"/>
      <c r="IH305" s="212"/>
      <c r="II305" s="212"/>
      <c r="IJ305" s="212"/>
      <c r="IK305" s="212"/>
      <c r="IL305" s="212"/>
      <c r="IM305" s="212"/>
      <c r="IN305" s="212"/>
      <c r="IO305" s="212"/>
      <c r="IP305" s="212"/>
      <c r="IQ305" s="212"/>
      <c r="IR305" s="212"/>
    </row>
    <row r="306" spans="1:252" ht="15" customHeight="1" thickTop="1">
      <c r="M306" s="212"/>
      <c r="N306" s="212"/>
      <c r="O306" s="212"/>
      <c r="P306" s="212"/>
      <c r="Q306" s="212"/>
      <c r="R306" s="212"/>
      <c r="S306" s="212"/>
      <c r="T306" s="212"/>
      <c r="U306" s="212"/>
      <c r="V306" s="212"/>
      <c r="W306" s="212"/>
      <c r="X306" s="212"/>
      <c r="Y306" s="212"/>
      <c r="Z306" s="212"/>
      <c r="AA306" s="212"/>
      <c r="AB306" s="212"/>
      <c r="AC306" s="212"/>
      <c r="AD306" s="212"/>
      <c r="AE306" s="212"/>
      <c r="AF306" s="212"/>
      <c r="AG306" s="212"/>
      <c r="AH306" s="212"/>
      <c r="AI306" s="212"/>
      <c r="AJ306" s="212"/>
      <c r="AK306" s="212"/>
      <c r="AL306" s="212"/>
      <c r="AM306" s="212"/>
      <c r="AN306" s="212"/>
      <c r="AO306" s="212"/>
      <c r="AP306" s="212"/>
      <c r="AQ306" s="212"/>
      <c r="AR306" s="212"/>
      <c r="AS306" s="212"/>
      <c r="AT306" s="212"/>
      <c r="AU306" s="212"/>
      <c r="AV306" s="212"/>
      <c r="AW306" s="212"/>
      <c r="AX306" s="212"/>
      <c r="AY306" s="212"/>
      <c r="AZ306" s="212"/>
      <c r="BA306" s="212"/>
      <c r="BB306" s="212"/>
      <c r="BC306" s="212"/>
      <c r="BD306" s="212"/>
      <c r="BE306" s="212"/>
      <c r="BF306" s="212"/>
      <c r="BG306" s="212"/>
      <c r="BH306" s="212"/>
      <c r="BI306" s="212"/>
      <c r="BJ306" s="212"/>
      <c r="BK306" s="212"/>
      <c r="BL306" s="212"/>
      <c r="BM306" s="212"/>
      <c r="BN306" s="212"/>
      <c r="BO306" s="212"/>
      <c r="BP306" s="212"/>
      <c r="BQ306" s="212"/>
      <c r="BR306" s="212"/>
      <c r="BS306" s="212"/>
      <c r="BT306" s="212"/>
      <c r="BU306" s="212"/>
      <c r="BV306" s="212"/>
      <c r="BW306" s="212"/>
      <c r="BX306" s="212"/>
      <c r="BY306" s="212"/>
      <c r="BZ306" s="212"/>
      <c r="CA306" s="212"/>
      <c r="CB306" s="212"/>
      <c r="CC306" s="212"/>
      <c r="CD306" s="212"/>
      <c r="CE306" s="212"/>
      <c r="CF306" s="212"/>
      <c r="CG306" s="212"/>
      <c r="CH306" s="212"/>
      <c r="CI306" s="212"/>
      <c r="CJ306" s="212"/>
      <c r="CK306" s="212"/>
      <c r="CL306" s="212"/>
      <c r="CM306" s="212"/>
      <c r="CN306" s="212"/>
      <c r="CO306" s="212"/>
      <c r="CP306" s="212"/>
      <c r="CQ306" s="212"/>
      <c r="CR306" s="212"/>
      <c r="CS306" s="212"/>
      <c r="CT306" s="212"/>
      <c r="CU306" s="212"/>
      <c r="CV306" s="212"/>
      <c r="CW306" s="212"/>
      <c r="CX306" s="212"/>
      <c r="CY306" s="212"/>
      <c r="CZ306" s="212"/>
      <c r="DA306" s="212"/>
      <c r="DB306" s="212"/>
      <c r="DC306" s="212"/>
      <c r="DD306" s="212"/>
      <c r="DE306" s="212"/>
      <c r="DF306" s="212"/>
      <c r="DG306" s="212"/>
      <c r="DH306" s="212"/>
      <c r="DI306" s="212"/>
      <c r="DJ306" s="212"/>
      <c r="DK306" s="212"/>
      <c r="DL306" s="212"/>
      <c r="DM306" s="212"/>
      <c r="DN306" s="212"/>
      <c r="DO306" s="212"/>
      <c r="DP306" s="212"/>
      <c r="DQ306" s="212"/>
      <c r="DR306" s="212"/>
      <c r="DS306" s="212"/>
      <c r="DT306" s="212"/>
      <c r="DU306" s="212"/>
      <c r="DV306" s="212"/>
      <c r="DW306" s="212"/>
      <c r="DX306" s="212"/>
      <c r="DY306" s="212"/>
      <c r="DZ306" s="212"/>
      <c r="EA306" s="212"/>
      <c r="EB306" s="212"/>
      <c r="EC306" s="212"/>
      <c r="ED306" s="212"/>
      <c r="EE306" s="212"/>
      <c r="EF306" s="212"/>
      <c r="EG306" s="212"/>
      <c r="EH306" s="212"/>
      <c r="EI306" s="212"/>
      <c r="EJ306" s="212"/>
      <c r="EK306" s="212"/>
      <c r="EL306" s="212"/>
      <c r="EM306" s="212"/>
      <c r="EN306" s="212"/>
      <c r="EO306" s="212"/>
      <c r="EP306" s="212"/>
      <c r="EQ306" s="212"/>
      <c r="ER306" s="212"/>
      <c r="ES306" s="212"/>
      <c r="ET306" s="212"/>
      <c r="EU306" s="212"/>
      <c r="EV306" s="212"/>
      <c r="EW306" s="212"/>
      <c r="EX306" s="212"/>
      <c r="EY306" s="212"/>
      <c r="EZ306" s="212"/>
      <c r="FA306" s="212"/>
      <c r="FB306" s="212"/>
      <c r="FC306" s="212"/>
      <c r="FD306" s="212"/>
      <c r="FE306" s="212"/>
      <c r="FF306" s="212"/>
      <c r="FG306" s="212"/>
      <c r="FH306" s="212"/>
      <c r="FI306" s="212"/>
      <c r="FJ306" s="212"/>
      <c r="FK306" s="212"/>
      <c r="FL306" s="212"/>
      <c r="FM306" s="212"/>
      <c r="FN306" s="212"/>
      <c r="FO306" s="212"/>
      <c r="FP306" s="212"/>
      <c r="FQ306" s="212"/>
      <c r="FR306" s="212"/>
      <c r="FS306" s="212"/>
      <c r="FT306" s="212"/>
      <c r="FU306" s="212"/>
      <c r="FV306" s="212"/>
      <c r="FW306" s="212"/>
      <c r="FX306" s="212"/>
      <c r="FY306" s="212"/>
      <c r="FZ306" s="212"/>
      <c r="GA306" s="212"/>
      <c r="GB306" s="212"/>
      <c r="GC306" s="212"/>
      <c r="GD306" s="212"/>
      <c r="GE306" s="212"/>
      <c r="GF306" s="212"/>
      <c r="GG306" s="212"/>
      <c r="GH306" s="212"/>
      <c r="GI306" s="212"/>
      <c r="GJ306" s="212"/>
      <c r="GK306" s="212"/>
      <c r="GL306" s="212"/>
      <c r="GM306" s="212"/>
      <c r="GN306" s="212"/>
      <c r="GO306" s="212"/>
      <c r="GP306" s="212"/>
      <c r="GQ306" s="212"/>
      <c r="GR306" s="212"/>
      <c r="GS306" s="212"/>
      <c r="GT306" s="212"/>
      <c r="GU306" s="212"/>
      <c r="GV306" s="212"/>
      <c r="GW306" s="212"/>
      <c r="GX306" s="212"/>
      <c r="GY306" s="212"/>
      <c r="GZ306" s="212"/>
      <c r="HA306" s="212"/>
      <c r="HB306" s="212"/>
      <c r="HC306" s="212"/>
      <c r="HD306" s="212"/>
      <c r="HE306" s="212"/>
      <c r="HF306" s="212"/>
      <c r="HG306" s="212"/>
      <c r="HH306" s="212"/>
      <c r="HI306" s="212"/>
      <c r="HJ306" s="212"/>
      <c r="HK306" s="212"/>
      <c r="HL306" s="212"/>
      <c r="HM306" s="212"/>
      <c r="HN306" s="212"/>
      <c r="HO306" s="212"/>
      <c r="HP306" s="212"/>
      <c r="HQ306" s="212"/>
      <c r="HR306" s="212"/>
      <c r="HS306" s="212"/>
      <c r="HT306" s="212"/>
      <c r="HU306" s="212"/>
      <c r="HV306" s="212"/>
      <c r="HW306" s="212"/>
      <c r="HX306" s="212"/>
      <c r="HY306" s="212"/>
      <c r="HZ306" s="212"/>
      <c r="IA306" s="212"/>
      <c r="IB306" s="212"/>
      <c r="IC306" s="212"/>
      <c r="ID306" s="212"/>
      <c r="IE306" s="212"/>
      <c r="IF306" s="212"/>
      <c r="IG306" s="212"/>
      <c r="IH306" s="212"/>
      <c r="II306" s="212"/>
      <c r="IJ306" s="212"/>
      <c r="IK306" s="212"/>
      <c r="IL306" s="212"/>
      <c r="IM306" s="212"/>
      <c r="IN306" s="212"/>
      <c r="IO306" s="212"/>
      <c r="IP306" s="212"/>
      <c r="IQ306" s="212"/>
      <c r="IR306" s="212"/>
    </row>
    <row r="307" spans="1:252" ht="13.15" customHeight="1"/>
    <row r="309" spans="1:252" ht="19.5" customHeight="1"/>
    <row r="310" spans="1:252" ht="19.5" customHeight="1">
      <c r="A310" s="209"/>
    </row>
    <row r="311" spans="1:252" ht="18" customHeight="1">
      <c r="A311" s="209"/>
    </row>
    <row r="336" spans="4:5">
      <c r="D336" s="165">
        <f>4920100299/1000</f>
        <v>4920100.2989999996</v>
      </c>
      <c r="E336" s="165">
        <v>725</v>
      </c>
    </row>
    <row r="337" spans="4:5">
      <c r="D337" s="165">
        <f>4698281252/1000</f>
        <v>4698281.2520000003</v>
      </c>
      <c r="E337" s="165">
        <v>20</v>
      </c>
    </row>
    <row r="338" spans="4:5">
      <c r="D338" s="165">
        <f>6895867959/1000</f>
        <v>6895867.9589999998</v>
      </c>
    </row>
    <row r="339" spans="4:5" hidden="1"/>
    <row r="340" spans="4:5" hidden="1"/>
    <row r="341" spans="4:5" hidden="1"/>
    <row r="342" spans="4:5" hidden="1"/>
    <row r="343" spans="4:5" hidden="1"/>
    <row r="344" spans="4:5" hidden="1"/>
    <row r="345" spans="4:5" hidden="1"/>
    <row r="346" spans="4:5" hidden="1"/>
    <row r="347" spans="4:5" hidden="1"/>
  </sheetData>
  <customSheetViews>
    <customSheetView guid="{705E0D18-9A83-42CA-8732-90923BE2EC7D}"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1"/>
      <headerFooter alignWithMargins="0"/>
    </customSheetView>
    <customSheetView guid="{D45E5F9E-4EA6-40A2-8A1D-3AC67FB8CE54}"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2"/>
      <headerFooter alignWithMargins="0"/>
    </customSheetView>
    <customSheetView guid="{098C004C-808F-436E-8F18-182F927479D1}"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3"/>
      <headerFooter alignWithMargins="0"/>
    </customSheetView>
    <customSheetView guid="{89CA84C2-78F5-4B05-8F1D-B7C5F97BCB4E}"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4"/>
      <headerFooter alignWithMargins="0"/>
    </customSheetView>
  </customSheetViews>
  <phoneticPr fontId="42" type="noConversion"/>
  <printOptions horizontalCentered="1"/>
  <pageMargins left="0.04" right="0.13" top="0.33" bottom="0.13" header="0.33" footer="0.16"/>
  <pageSetup paperSize="9" orientation="landscape" horizontalDpi="300" verticalDpi="300" r:id="rId5"/>
  <headerFooter alignWithMargins="0"/>
  <colBreaks count="1" manualBreakCount="1">
    <brk id="11" max="1152"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theme="9"/>
  </sheetPr>
  <dimension ref="B6:L179"/>
  <sheetViews>
    <sheetView showGridLines="0" zoomScaleNormal="100" zoomScaleSheetLayoutView="100" workbookViewId="0">
      <pane xSplit="3" ySplit="67" topLeftCell="D172" activePane="bottomRight" state="frozen"/>
      <selection activeCell="J193" sqref="J193"/>
      <selection pane="topRight" activeCell="J193" sqref="J193"/>
      <selection pane="bottomLeft" activeCell="J193" sqref="J193"/>
      <selection pane="bottomRight" activeCell="J193" sqref="J193"/>
    </sheetView>
  </sheetViews>
  <sheetFormatPr defaultRowHeight="15"/>
  <cols>
    <col min="3" max="3" width="14.5546875" customWidth="1"/>
    <col min="4" max="4" width="15.77734375" customWidth="1"/>
    <col min="5" max="6" width="13.21875" customWidth="1"/>
    <col min="7" max="7" width="13.44140625" hidden="1" customWidth="1"/>
    <col min="8" max="8" width="17.21875" hidden="1" customWidth="1"/>
    <col min="9" max="9" width="16.109375" hidden="1" customWidth="1"/>
    <col min="10" max="10" width="14.5546875" customWidth="1"/>
  </cols>
  <sheetData>
    <row r="6" spans="3:12" ht="16.5">
      <c r="C6" s="1901" t="s">
        <v>1738</v>
      </c>
      <c r="D6" s="1901"/>
      <c r="E6" s="1901"/>
      <c r="F6" s="1901"/>
      <c r="G6" s="1463"/>
      <c r="H6" s="1463"/>
      <c r="I6" s="1463"/>
    </row>
    <row r="7" spans="3:12" ht="17.25" thickBot="1">
      <c r="C7" s="1233"/>
      <c r="D7" s="1231"/>
      <c r="E7" s="1231"/>
      <c r="F7" s="1231"/>
      <c r="G7" s="1231"/>
      <c r="H7" s="1231"/>
      <c r="I7" s="1231"/>
    </row>
    <row r="8" spans="3:12" ht="16.5" hidden="1">
      <c r="C8" s="1908" t="s">
        <v>1155</v>
      </c>
      <c r="D8" s="1908"/>
      <c r="E8" s="1908"/>
      <c r="F8" s="1234"/>
      <c r="G8" s="1234"/>
      <c r="H8" s="1234"/>
      <c r="I8" s="1234"/>
      <c r="J8" s="39"/>
      <c r="K8" s="18"/>
      <c r="L8" s="18"/>
    </row>
    <row r="9" spans="3:12" ht="16.5" hidden="1">
      <c r="C9" s="1235"/>
      <c r="D9" s="1236"/>
      <c r="E9" s="1236"/>
      <c r="F9" s="1236"/>
      <c r="G9" s="1236"/>
      <c r="H9" s="1237"/>
      <c r="I9" s="1237"/>
      <c r="J9" s="18"/>
      <c r="K9" s="18"/>
      <c r="L9" s="18"/>
    </row>
    <row r="10" spans="3:12" ht="17.25" hidden="1" thickBot="1">
      <c r="C10" s="1238"/>
      <c r="D10" s="1239"/>
      <c r="E10" s="1239"/>
      <c r="F10" s="1239"/>
      <c r="G10" s="1240"/>
      <c r="H10" s="1241"/>
      <c r="I10" s="1239"/>
      <c r="J10" s="46"/>
      <c r="K10" s="18"/>
      <c r="L10" s="18"/>
    </row>
    <row r="11" spans="3:12" ht="17.25" hidden="1" thickTop="1">
      <c r="C11" s="1242"/>
      <c r="D11" s="1243"/>
      <c r="E11" s="1243"/>
      <c r="F11" s="1244"/>
      <c r="G11" s="1245"/>
      <c r="H11" s="1244"/>
      <c r="I11" s="1244"/>
      <c r="J11" s="42"/>
      <c r="K11" s="18"/>
      <c r="L11" s="18"/>
    </row>
    <row r="12" spans="3:12" ht="16.5" hidden="1">
      <c r="C12" s="1246"/>
      <c r="D12" s="1247" t="s">
        <v>695</v>
      </c>
      <c r="E12" s="1247" t="s">
        <v>696</v>
      </c>
      <c r="F12" s="1248" t="s">
        <v>275</v>
      </c>
      <c r="G12" s="1249"/>
      <c r="H12" s="1234" t="s">
        <v>697</v>
      </c>
      <c r="I12" s="1239"/>
      <c r="J12" s="41"/>
      <c r="K12" s="18"/>
      <c r="L12" s="18"/>
    </row>
    <row r="13" spans="3:12" ht="17.25" hidden="1" thickBot="1">
      <c r="C13" s="1246"/>
      <c r="D13" s="1247" t="s">
        <v>698</v>
      </c>
      <c r="E13" s="1247" t="s">
        <v>282</v>
      </c>
      <c r="F13" s="1248" t="s">
        <v>282</v>
      </c>
      <c r="G13" s="1249"/>
      <c r="H13" s="1239"/>
      <c r="I13" s="1239"/>
      <c r="J13" s="41"/>
      <c r="K13" s="18"/>
      <c r="L13" s="18"/>
    </row>
    <row r="14" spans="3:12" ht="17.25" hidden="1" thickTop="1">
      <c r="C14" s="1246"/>
      <c r="D14" s="1243"/>
      <c r="E14" s="1243"/>
      <c r="F14" s="1250"/>
      <c r="G14" s="1245"/>
      <c r="H14" s="1244"/>
      <c r="I14" s="1245"/>
      <c r="J14" s="43"/>
      <c r="K14" s="18"/>
      <c r="L14" s="18"/>
    </row>
    <row r="15" spans="3:12" ht="16.5" hidden="1">
      <c r="C15" s="1246"/>
      <c r="D15" s="1251"/>
      <c r="E15" s="1251"/>
      <c r="F15" s="1252"/>
      <c r="G15" s="1903" t="s">
        <v>699</v>
      </c>
      <c r="H15" s="1904"/>
      <c r="I15" s="1253" t="s">
        <v>695</v>
      </c>
      <c r="J15" s="44" t="s">
        <v>700</v>
      </c>
      <c r="K15" s="18"/>
      <c r="L15" s="18"/>
    </row>
    <row r="16" spans="3:12" ht="16.5" hidden="1">
      <c r="C16" s="1246"/>
      <c r="D16" s="1251"/>
      <c r="E16" s="1251"/>
      <c r="F16" s="1254" t="s">
        <v>701</v>
      </c>
      <c r="G16" s="1905" t="s">
        <v>702</v>
      </c>
      <c r="H16" s="1906"/>
      <c r="I16" s="1253" t="s">
        <v>703</v>
      </c>
      <c r="J16" s="44" t="s">
        <v>703</v>
      </c>
      <c r="K16" s="18"/>
      <c r="L16" s="18"/>
    </row>
    <row r="17" spans="3:12" ht="17.25" hidden="1" thickBot="1">
      <c r="C17" s="1255" t="s">
        <v>263</v>
      </c>
      <c r="D17" s="1247" t="s">
        <v>704</v>
      </c>
      <c r="E17" s="1247" t="s">
        <v>704</v>
      </c>
      <c r="F17" s="1254" t="s">
        <v>705</v>
      </c>
      <c r="G17" s="1249"/>
      <c r="H17" s="1239"/>
      <c r="I17" s="1253" t="s">
        <v>706</v>
      </c>
      <c r="J17" s="44" t="s">
        <v>706</v>
      </c>
      <c r="K17" s="18"/>
      <c r="L17" s="18"/>
    </row>
    <row r="18" spans="3:12" ht="17.25" hidden="1" thickTop="1">
      <c r="C18" s="1246"/>
      <c r="D18" s="1247" t="s">
        <v>749</v>
      </c>
      <c r="E18" s="1247" t="s">
        <v>749</v>
      </c>
      <c r="F18" s="1254" t="s">
        <v>707</v>
      </c>
      <c r="G18" s="1245"/>
      <c r="H18" s="1245"/>
      <c r="I18" s="1253" t="s">
        <v>708</v>
      </c>
      <c r="J18" s="44" t="s">
        <v>708</v>
      </c>
      <c r="K18" s="18"/>
      <c r="L18" s="18"/>
    </row>
    <row r="19" spans="3:12" ht="16.5" hidden="1">
      <c r="C19" s="1255"/>
      <c r="D19" s="1256"/>
      <c r="E19" s="1256"/>
      <c r="F19" s="1257"/>
      <c r="G19" s="1253" t="s">
        <v>709</v>
      </c>
      <c r="H19" s="1253" t="s">
        <v>390</v>
      </c>
      <c r="I19" s="1258"/>
      <c r="J19" s="45"/>
      <c r="K19" s="18"/>
      <c r="L19" s="18"/>
    </row>
    <row r="20" spans="3:12" ht="17.25" hidden="1" thickBot="1">
      <c r="C20" s="1259"/>
      <c r="D20" s="1260"/>
      <c r="E20" s="1260"/>
      <c r="F20" s="1261"/>
      <c r="G20" s="1262" t="s">
        <v>389</v>
      </c>
      <c r="H20" s="1263"/>
      <c r="I20" s="1263"/>
      <c r="J20" s="47"/>
      <c r="K20" s="18"/>
      <c r="L20" s="18"/>
    </row>
    <row r="21" spans="3:12" ht="17.25" hidden="1" thickTop="1">
      <c r="C21" s="1264"/>
      <c r="D21" s="1243"/>
      <c r="E21" s="1243"/>
      <c r="F21" s="1239"/>
      <c r="G21" s="1245"/>
      <c r="H21" s="1245"/>
      <c r="I21" s="1245"/>
      <c r="J21" s="43"/>
      <c r="K21" s="18"/>
      <c r="L21" s="18"/>
    </row>
    <row r="22" spans="3:12" ht="16.5" hidden="1">
      <c r="C22" s="1265"/>
      <c r="D22" s="1266"/>
      <c r="E22" s="1267"/>
      <c r="F22" s="1248"/>
      <c r="G22" s="1248"/>
      <c r="H22" s="1268"/>
      <c r="I22" s="1248"/>
      <c r="J22" s="40"/>
      <c r="K22" s="20"/>
      <c r="L22" s="18"/>
    </row>
    <row r="23" spans="3:12" ht="16.5" hidden="1">
      <c r="C23" s="1255">
        <v>2009</v>
      </c>
      <c r="D23" s="1266"/>
      <c r="E23" s="1267"/>
      <c r="F23" s="1248"/>
      <c r="G23" s="1248"/>
      <c r="H23" s="1268"/>
      <c r="I23" s="1248"/>
      <c r="J23" s="40"/>
      <c r="K23" s="20"/>
      <c r="L23" s="18"/>
    </row>
    <row r="24" spans="3:12" ht="16.5" hidden="1">
      <c r="C24" s="1265"/>
      <c r="D24" s="1266"/>
      <c r="E24" s="1267"/>
      <c r="F24" s="1248"/>
      <c r="G24" s="1248"/>
      <c r="H24" s="1268"/>
      <c r="I24" s="1248"/>
      <c r="J24" s="40"/>
      <c r="K24" s="20"/>
      <c r="L24" s="18"/>
    </row>
    <row r="25" spans="3:12" ht="16.5" hidden="1">
      <c r="C25" s="1265" t="s">
        <v>300</v>
      </c>
      <c r="D25" s="1266" t="s">
        <v>715</v>
      </c>
      <c r="E25" s="1267" t="s">
        <v>719</v>
      </c>
      <c r="F25" s="1248" t="s">
        <v>724</v>
      </c>
      <c r="G25" s="1248"/>
      <c r="H25" s="1268"/>
      <c r="I25" s="1248"/>
      <c r="J25" s="40"/>
      <c r="K25" s="20"/>
      <c r="L25" s="18"/>
    </row>
    <row r="26" spans="3:12" ht="16.5" hidden="1">
      <c r="C26" s="1265" t="s">
        <v>301</v>
      </c>
      <c r="D26" s="1266" t="s">
        <v>716</v>
      </c>
      <c r="E26" s="1267" t="s">
        <v>720</v>
      </c>
      <c r="F26" s="1248" t="s">
        <v>724</v>
      </c>
      <c r="G26" s="1248"/>
      <c r="H26" s="1268"/>
      <c r="I26" s="1248"/>
      <c r="J26" s="40"/>
      <c r="K26" s="20"/>
      <c r="L26" s="18"/>
    </row>
    <row r="27" spans="3:12" ht="16.5" hidden="1">
      <c r="C27" s="1265" t="s">
        <v>302</v>
      </c>
      <c r="D27" s="1266" t="s">
        <v>717</v>
      </c>
      <c r="E27" s="1267" t="s">
        <v>721</v>
      </c>
      <c r="F27" s="1248" t="s">
        <v>724</v>
      </c>
      <c r="G27" s="1248"/>
      <c r="H27" s="1268"/>
      <c r="I27" s="1248"/>
      <c r="J27" s="40"/>
      <c r="K27" s="20"/>
      <c r="L27" s="18"/>
    </row>
    <row r="28" spans="3:12" ht="16.5" hidden="1">
      <c r="C28" s="1265" t="s">
        <v>303</v>
      </c>
      <c r="D28" s="1266" t="s">
        <v>718</v>
      </c>
      <c r="E28" s="1267" t="s">
        <v>1070</v>
      </c>
      <c r="F28" s="1248" t="s">
        <v>724</v>
      </c>
      <c r="G28" s="1248"/>
      <c r="H28" s="1268"/>
      <c r="I28" s="1248"/>
      <c r="J28" s="40"/>
      <c r="K28" s="20"/>
      <c r="L28" s="18"/>
    </row>
    <row r="29" spans="3:12" ht="16.5" hidden="1">
      <c r="C29" s="1265" t="s">
        <v>304</v>
      </c>
      <c r="D29" s="1266" t="s">
        <v>675</v>
      </c>
      <c r="E29" s="1267" t="s">
        <v>1070</v>
      </c>
      <c r="F29" s="1248"/>
      <c r="G29" s="1248"/>
      <c r="H29" s="1268"/>
      <c r="I29" s="1248"/>
      <c r="J29" s="40"/>
      <c r="K29" s="20"/>
      <c r="L29" s="18"/>
    </row>
    <row r="30" spans="3:12" ht="16.5" hidden="1">
      <c r="C30" s="1265" t="s">
        <v>305</v>
      </c>
      <c r="D30" s="1266" t="s">
        <v>676</v>
      </c>
      <c r="E30" s="1267" t="s">
        <v>1070</v>
      </c>
      <c r="F30" s="1248"/>
      <c r="G30" s="1248"/>
      <c r="H30" s="1268"/>
      <c r="I30" s="1248"/>
      <c r="J30" s="40"/>
      <c r="K30" s="20"/>
      <c r="L30" s="18"/>
    </row>
    <row r="31" spans="3:12" ht="16.5" hidden="1">
      <c r="C31" s="1265" t="s">
        <v>306</v>
      </c>
      <c r="D31" s="1247" t="s">
        <v>361</v>
      </c>
      <c r="E31" s="1247" t="s">
        <v>362</v>
      </c>
      <c r="F31" s="1248"/>
      <c r="G31" s="1248"/>
      <c r="H31" s="1268"/>
      <c r="I31" s="1248"/>
      <c r="J31" s="40"/>
      <c r="K31" s="20"/>
      <c r="L31" s="18"/>
    </row>
    <row r="32" spans="3:12" ht="17.25" hidden="1" customHeight="1">
      <c r="C32" s="1265" t="s">
        <v>307</v>
      </c>
      <c r="D32" s="1247" t="s">
        <v>363</v>
      </c>
      <c r="E32" s="1247" t="s">
        <v>364</v>
      </c>
      <c r="F32" s="1248"/>
      <c r="G32" s="1248"/>
      <c r="H32" s="1268"/>
      <c r="I32" s="1248"/>
      <c r="J32" s="40"/>
      <c r="K32" s="20"/>
      <c r="L32" s="18"/>
    </row>
    <row r="33" spans="3:12" ht="17.25" hidden="1" customHeight="1">
      <c r="C33" s="1265" t="s">
        <v>308</v>
      </c>
      <c r="D33" s="1247" t="s">
        <v>366</v>
      </c>
      <c r="E33" s="1247" t="s">
        <v>365</v>
      </c>
      <c r="F33" s="1248"/>
      <c r="G33" s="1248"/>
      <c r="H33" s="1268"/>
      <c r="I33" s="1248"/>
      <c r="J33" s="40"/>
      <c r="K33" s="20"/>
      <c r="L33" s="18"/>
    </row>
    <row r="34" spans="3:12" ht="17.25" hidden="1" customHeight="1">
      <c r="C34" s="1265" t="s">
        <v>311</v>
      </c>
      <c r="D34" s="1247" t="s">
        <v>352</v>
      </c>
      <c r="E34" s="1247" t="s">
        <v>186</v>
      </c>
      <c r="F34" s="1248"/>
      <c r="G34" s="1248"/>
      <c r="H34" s="1268"/>
      <c r="I34" s="1248"/>
      <c r="J34" s="40"/>
      <c r="K34" s="20"/>
      <c r="L34" s="18"/>
    </row>
    <row r="35" spans="3:12" ht="17.25" hidden="1" customHeight="1">
      <c r="C35" s="1265"/>
      <c r="D35" s="1247"/>
      <c r="E35" s="1247"/>
      <c r="F35" s="1248"/>
      <c r="G35" s="1248"/>
      <c r="H35" s="1268"/>
      <c r="I35" s="1248"/>
      <c r="J35" s="40"/>
      <c r="K35" s="20"/>
      <c r="L35" s="18"/>
    </row>
    <row r="36" spans="3:12" ht="17.25" hidden="1" customHeight="1">
      <c r="C36" s="1265"/>
      <c r="D36" s="1247"/>
      <c r="E36" s="1247"/>
      <c r="F36" s="1248"/>
      <c r="G36" s="1248"/>
      <c r="H36" s="1268"/>
      <c r="I36" s="1248"/>
      <c r="J36" s="40"/>
      <c r="K36" s="20"/>
      <c r="L36" s="18"/>
    </row>
    <row r="37" spans="3:12" ht="17.25" hidden="1" customHeight="1">
      <c r="C37" s="1265">
        <v>2010</v>
      </c>
      <c r="D37" s="1247"/>
      <c r="E37" s="1247"/>
      <c r="F37" s="1248"/>
      <c r="G37" s="1248"/>
      <c r="H37" s="1268"/>
      <c r="I37" s="1248"/>
      <c r="J37" s="40"/>
      <c r="K37" s="20"/>
      <c r="L37" s="18"/>
    </row>
    <row r="38" spans="3:12" ht="17.25" hidden="1" customHeight="1">
      <c r="C38" s="1265"/>
      <c r="D38" s="1247"/>
      <c r="E38" s="1247"/>
      <c r="F38" s="1248"/>
      <c r="G38" s="1248"/>
      <c r="H38" s="1268"/>
      <c r="I38" s="1248"/>
      <c r="J38" s="40"/>
      <c r="K38" s="20"/>
      <c r="L38" s="18"/>
    </row>
    <row r="39" spans="3:12" ht="17.25" hidden="1" customHeight="1">
      <c r="C39" s="1265" t="s">
        <v>298</v>
      </c>
      <c r="D39" s="1247" t="s">
        <v>1124</v>
      </c>
      <c r="E39" s="1247" t="s">
        <v>1110</v>
      </c>
      <c r="F39" s="1248"/>
      <c r="G39" s="1248"/>
      <c r="H39" s="1268"/>
      <c r="I39" s="1248"/>
      <c r="J39" s="40"/>
      <c r="K39" s="20"/>
      <c r="L39" s="18"/>
    </row>
    <row r="40" spans="3:12" ht="17.25" hidden="1" customHeight="1">
      <c r="C40" s="1265" t="s">
        <v>299</v>
      </c>
      <c r="D40" s="1247" t="s">
        <v>1124</v>
      </c>
      <c r="E40" s="1247" t="s">
        <v>1110</v>
      </c>
      <c r="F40" s="1248"/>
      <c r="G40" s="1248"/>
      <c r="H40" s="1268"/>
      <c r="I40" s="1248"/>
      <c r="J40" s="40"/>
      <c r="K40" s="20"/>
      <c r="L40" s="18"/>
    </row>
    <row r="41" spans="3:12" ht="17.25" hidden="1" customHeight="1">
      <c r="C41" s="1265" t="s">
        <v>300</v>
      </c>
      <c r="D41" s="1247" t="s">
        <v>1124</v>
      </c>
      <c r="E41" s="1247" t="s">
        <v>526</v>
      </c>
      <c r="F41" s="1248"/>
      <c r="G41" s="1248"/>
      <c r="H41" s="1268"/>
      <c r="I41" s="1248"/>
      <c r="J41" s="40"/>
      <c r="K41" s="20"/>
      <c r="L41" s="18"/>
    </row>
    <row r="42" spans="3:12" ht="17.25" hidden="1" customHeight="1">
      <c r="C42" s="1265" t="s">
        <v>301</v>
      </c>
      <c r="D42" s="1247" t="s">
        <v>1125</v>
      </c>
      <c r="E42" s="1247" t="s">
        <v>782</v>
      </c>
      <c r="F42" s="1248"/>
      <c r="G42" s="1248"/>
      <c r="H42" s="1268"/>
      <c r="I42" s="1248"/>
      <c r="J42" s="40"/>
      <c r="K42" s="20"/>
      <c r="L42" s="18"/>
    </row>
    <row r="43" spans="3:12" ht="17.25" hidden="1" customHeight="1">
      <c r="C43" s="1265" t="s">
        <v>302</v>
      </c>
      <c r="D43" s="1247" t="s">
        <v>1126</v>
      </c>
      <c r="E43" s="1247" t="s">
        <v>775</v>
      </c>
      <c r="F43" s="1248"/>
      <c r="G43" s="1248"/>
      <c r="H43" s="1268"/>
      <c r="I43" s="1248"/>
      <c r="J43" s="40"/>
      <c r="K43" s="20"/>
      <c r="L43" s="18"/>
    </row>
    <row r="44" spans="3:12" ht="17.25" hidden="1" customHeight="1">
      <c r="C44" s="1265" t="s">
        <v>303</v>
      </c>
      <c r="D44" s="1247" t="s">
        <v>1126</v>
      </c>
      <c r="E44" s="1247" t="s">
        <v>775</v>
      </c>
      <c r="F44" s="1248"/>
      <c r="G44" s="1248"/>
      <c r="H44" s="1268"/>
      <c r="I44" s="1248"/>
      <c r="J44" s="40"/>
      <c r="K44" s="20"/>
      <c r="L44" s="18"/>
    </row>
    <row r="45" spans="3:12" ht="17.25" hidden="1" customHeight="1">
      <c r="C45" s="1265" t="s">
        <v>304</v>
      </c>
      <c r="D45" s="1247" t="s">
        <v>1127</v>
      </c>
      <c r="E45" s="1247" t="s">
        <v>896</v>
      </c>
      <c r="F45" s="1248"/>
      <c r="G45" s="1248"/>
      <c r="H45" s="1268"/>
      <c r="I45" s="1248"/>
      <c r="J45" s="40"/>
      <c r="K45" s="20"/>
      <c r="L45" s="18"/>
    </row>
    <row r="46" spans="3:12" ht="17.25" hidden="1" customHeight="1">
      <c r="C46" s="1265" t="s">
        <v>305</v>
      </c>
      <c r="D46" s="1247" t="s">
        <v>1127</v>
      </c>
      <c r="E46" s="1247" t="s">
        <v>1106</v>
      </c>
      <c r="F46" s="1248"/>
      <c r="G46" s="1248"/>
      <c r="H46" s="1268"/>
      <c r="I46" s="1248"/>
      <c r="J46" s="40"/>
      <c r="K46" s="20"/>
      <c r="L46" s="18"/>
    </row>
    <row r="47" spans="3:12" ht="17.25" hidden="1" customHeight="1">
      <c r="C47" s="1265" t="s">
        <v>306</v>
      </c>
      <c r="D47" s="1247" t="s">
        <v>1128</v>
      </c>
      <c r="E47" s="1247" t="s">
        <v>1107</v>
      </c>
      <c r="F47" s="1248"/>
      <c r="G47" s="1248"/>
      <c r="H47" s="1268"/>
      <c r="I47" s="1248"/>
      <c r="J47" s="40"/>
      <c r="K47" s="20"/>
      <c r="L47" s="18"/>
    </row>
    <row r="48" spans="3:12" ht="17.25" hidden="1" customHeight="1">
      <c r="C48" s="1265" t="s">
        <v>307</v>
      </c>
      <c r="D48" s="1247" t="s">
        <v>1129</v>
      </c>
      <c r="E48" s="1247" t="s">
        <v>1108</v>
      </c>
      <c r="F48" s="1248"/>
      <c r="G48" s="1248"/>
      <c r="H48" s="1268"/>
      <c r="I48" s="1248"/>
      <c r="J48" s="40"/>
      <c r="K48" s="20"/>
      <c r="L48" s="18"/>
    </row>
    <row r="49" spans="3:12" ht="17.25" hidden="1" customHeight="1">
      <c r="C49" s="1265" t="s">
        <v>308</v>
      </c>
      <c r="D49" s="1247" t="s">
        <v>1114</v>
      </c>
      <c r="E49" s="1247" t="s">
        <v>865</v>
      </c>
      <c r="F49" s="1248"/>
      <c r="G49" s="1248"/>
      <c r="H49" s="1268"/>
      <c r="I49" s="1248"/>
      <c r="J49" s="40"/>
      <c r="K49" s="20"/>
      <c r="L49" s="18"/>
    </row>
    <row r="50" spans="3:12" ht="17.25" hidden="1" customHeight="1">
      <c r="C50" s="1265" t="s">
        <v>311</v>
      </c>
      <c r="D50" s="1247" t="s">
        <v>1114</v>
      </c>
      <c r="E50" s="1247" t="s">
        <v>1109</v>
      </c>
      <c r="F50" s="1248"/>
      <c r="G50" s="1248"/>
      <c r="H50" s="1268"/>
      <c r="I50" s="1248"/>
      <c r="J50" s="40"/>
      <c r="K50" s="20"/>
      <c r="L50" s="18"/>
    </row>
    <row r="51" spans="3:12" ht="17.25" hidden="1" customHeight="1">
      <c r="C51" s="1265"/>
      <c r="D51" s="1247"/>
      <c r="E51" s="1247"/>
      <c r="F51" s="1248"/>
      <c r="G51" s="1248"/>
      <c r="H51" s="1268"/>
      <c r="I51" s="1248"/>
      <c r="J51" s="40"/>
      <c r="K51" s="20"/>
      <c r="L51" s="18"/>
    </row>
    <row r="52" spans="3:12" ht="17.25" hidden="1" customHeight="1">
      <c r="C52" s="1265">
        <v>2011</v>
      </c>
      <c r="D52" s="1247"/>
      <c r="E52" s="1247"/>
      <c r="F52" s="1248"/>
      <c r="G52" s="1248"/>
      <c r="H52" s="1268"/>
      <c r="I52" s="1248"/>
      <c r="J52" s="40"/>
      <c r="K52" s="20"/>
      <c r="L52" s="18"/>
    </row>
    <row r="53" spans="3:12" ht="17.25" hidden="1" customHeight="1">
      <c r="C53" s="1265"/>
      <c r="D53" s="1247"/>
      <c r="E53" s="1247"/>
      <c r="F53" s="1248"/>
      <c r="G53" s="1248"/>
      <c r="H53" s="1268"/>
      <c r="I53" s="1248"/>
      <c r="J53" s="40"/>
      <c r="K53" s="20"/>
      <c r="L53" s="18"/>
    </row>
    <row r="54" spans="3:12" ht="17.25" hidden="1" customHeight="1">
      <c r="C54" s="1265" t="s">
        <v>298</v>
      </c>
      <c r="D54" s="1247" t="s">
        <v>1114</v>
      </c>
      <c r="E54" s="1247" t="s">
        <v>1115</v>
      </c>
      <c r="F54" s="1248"/>
      <c r="G54" s="1248"/>
      <c r="H54" s="1268"/>
      <c r="I54" s="1248"/>
      <c r="J54" s="40"/>
      <c r="K54" s="20"/>
      <c r="L54" s="18"/>
    </row>
    <row r="55" spans="3:12" ht="17.25" hidden="1" customHeight="1">
      <c r="C55" s="1265" t="s">
        <v>299</v>
      </c>
      <c r="D55" s="1247" t="s">
        <v>1114</v>
      </c>
      <c r="E55" s="1247" t="s">
        <v>1192</v>
      </c>
      <c r="F55" s="1248"/>
      <c r="G55" s="1248"/>
      <c r="H55" s="1268"/>
      <c r="I55" s="1248"/>
      <c r="J55" s="40"/>
      <c r="K55" s="20"/>
      <c r="L55" s="18"/>
    </row>
    <row r="56" spans="3:12" ht="17.25" hidden="1" customHeight="1">
      <c r="C56" s="1265" t="s">
        <v>300</v>
      </c>
      <c r="D56" s="1247" t="s">
        <v>1114</v>
      </c>
      <c r="E56" s="1247" t="s">
        <v>1194</v>
      </c>
      <c r="F56" s="1248"/>
      <c r="G56" s="1248"/>
      <c r="H56" s="1268"/>
      <c r="I56" s="1248"/>
      <c r="J56" s="40"/>
      <c r="K56" s="20"/>
      <c r="L56" s="18"/>
    </row>
    <row r="57" spans="3:12" ht="17.25" hidden="1" customHeight="1">
      <c r="C57" s="1265" t="s">
        <v>301</v>
      </c>
      <c r="D57" s="1247" t="s">
        <v>1114</v>
      </c>
      <c r="E57" s="1247" t="s">
        <v>1196</v>
      </c>
      <c r="F57" s="1248"/>
      <c r="G57" s="1248"/>
      <c r="H57" s="1268"/>
      <c r="I57" s="1248"/>
      <c r="J57" s="40"/>
      <c r="K57" s="20"/>
      <c r="L57" s="18"/>
    </row>
    <row r="58" spans="3:12" ht="16.5" hidden="1">
      <c r="C58" s="1265" t="s">
        <v>302</v>
      </c>
      <c r="D58" s="1247" t="s">
        <v>1199</v>
      </c>
      <c r="E58" s="1247" t="s">
        <v>1200</v>
      </c>
      <c r="F58" s="1248"/>
      <c r="G58" s="1253"/>
      <c r="H58" s="1269"/>
      <c r="I58" s="1248"/>
      <c r="J58" s="40"/>
      <c r="K58" s="20"/>
      <c r="L58" s="18"/>
    </row>
    <row r="59" spans="3:12" ht="16.5" hidden="1">
      <c r="C59" s="1265" t="s">
        <v>303</v>
      </c>
      <c r="D59" s="1266" t="s">
        <v>1199</v>
      </c>
      <c r="E59" s="1248" t="s">
        <v>1196</v>
      </c>
      <c r="F59" s="1248"/>
      <c r="G59" s="1248"/>
      <c r="H59" s="1268"/>
      <c r="I59" s="1248"/>
      <c r="J59" s="40"/>
      <c r="K59" s="18"/>
      <c r="L59" s="18"/>
    </row>
    <row r="60" spans="3:12" ht="16.5" hidden="1">
      <c r="C60" s="1265" t="s">
        <v>304</v>
      </c>
      <c r="D60" s="1266" t="s">
        <v>1204</v>
      </c>
      <c r="E60" s="1248" t="s">
        <v>1196</v>
      </c>
      <c r="F60" s="1248"/>
      <c r="G60" s="1248"/>
      <c r="H60" s="1268"/>
      <c r="I60" s="1248"/>
      <c r="J60" s="40"/>
      <c r="K60" s="18"/>
      <c r="L60" s="18"/>
    </row>
    <row r="61" spans="3:12" ht="16.5" hidden="1">
      <c r="C61" s="1265" t="s">
        <v>305</v>
      </c>
      <c r="D61" s="1266" t="s">
        <v>1207</v>
      </c>
      <c r="E61" s="1248" t="s">
        <v>1196</v>
      </c>
      <c r="F61" s="1248"/>
      <c r="G61" s="1248"/>
      <c r="H61" s="1268"/>
      <c r="I61" s="1248"/>
      <c r="J61" s="40"/>
      <c r="K61" s="18"/>
      <c r="L61" s="18"/>
    </row>
    <row r="62" spans="3:12" ht="17.25" hidden="1" thickBot="1">
      <c r="C62" s="1265"/>
      <c r="D62" s="1248"/>
      <c r="E62" s="1248"/>
      <c r="F62" s="1248"/>
      <c r="G62" s="1248"/>
      <c r="H62" s="1268"/>
      <c r="I62" s="1248"/>
      <c r="J62" s="40"/>
      <c r="K62" s="18"/>
      <c r="L62" s="18"/>
    </row>
    <row r="63" spans="3:12" ht="17.25" hidden="1" thickTop="1">
      <c r="C63" s="1270"/>
      <c r="D63" s="1271"/>
      <c r="E63" s="1271"/>
      <c r="F63" s="1271"/>
      <c r="G63" s="1272"/>
      <c r="H63" s="1272"/>
      <c r="I63" s="1272"/>
      <c r="J63" s="21"/>
      <c r="K63" s="18"/>
      <c r="L63" s="18"/>
    </row>
    <row r="64" spans="3:12" ht="17.25" hidden="1" thickBot="1">
      <c r="C64" s="1273" t="s">
        <v>1156</v>
      </c>
      <c r="D64" s="1236"/>
      <c r="E64" s="1236"/>
      <c r="F64" s="1236" t="s">
        <v>296</v>
      </c>
      <c r="G64" s="1236" t="s">
        <v>296</v>
      </c>
      <c r="H64" s="1236"/>
      <c r="I64" s="1236"/>
      <c r="J64" s="18"/>
      <c r="K64" s="18"/>
      <c r="L64" s="18"/>
    </row>
    <row r="65" spans="3:12" ht="18" thickTop="1" thickBot="1">
      <c r="C65" s="1296"/>
      <c r="D65" s="1909" t="s">
        <v>88</v>
      </c>
      <c r="E65" s="1910"/>
      <c r="F65" s="1911"/>
      <c r="G65" s="1912" t="s">
        <v>1234</v>
      </c>
      <c r="H65" s="1912"/>
      <c r="I65" s="1913"/>
      <c r="J65" s="603"/>
      <c r="K65" s="604"/>
      <c r="L65" s="18"/>
    </row>
    <row r="66" spans="3:12" ht="18" thickTop="1" thickBot="1">
      <c r="C66" s="1297"/>
      <c r="D66" s="1349"/>
      <c r="E66" s="1909" t="s">
        <v>1775</v>
      </c>
      <c r="F66" s="1911"/>
      <c r="G66" s="1292"/>
      <c r="H66" s="1914" t="s">
        <v>1763</v>
      </c>
      <c r="I66" s="1913"/>
      <c r="J66" s="603"/>
      <c r="K66" s="604"/>
    </row>
    <row r="67" spans="3:12" ht="54" thickTop="1" thickBot="1">
      <c r="C67" s="1734" t="s">
        <v>32</v>
      </c>
      <c r="D67" s="1735" t="s">
        <v>1764</v>
      </c>
      <c r="E67" s="1352" t="s">
        <v>1765</v>
      </c>
      <c r="F67" s="1352" t="s">
        <v>1235</v>
      </c>
      <c r="G67" s="1293" t="s">
        <v>1766</v>
      </c>
      <c r="H67" s="1274" t="s">
        <v>1765</v>
      </c>
      <c r="I67" s="1274" t="s">
        <v>1235</v>
      </c>
      <c r="J67" s="603"/>
      <c r="K67" s="604"/>
    </row>
    <row r="68" spans="3:12" ht="17.25" thickTop="1">
      <c r="C68" s="1298"/>
      <c r="D68" s="1350"/>
      <c r="E68" s="1301"/>
      <c r="F68" s="1301"/>
      <c r="G68" s="1345"/>
      <c r="H68" s="1275"/>
      <c r="I68" s="1275"/>
      <c r="J68" s="606"/>
      <c r="K68" s="604"/>
    </row>
    <row r="69" spans="3:12" ht="16.5" hidden="1">
      <c r="C69" s="1299">
        <v>2012</v>
      </c>
      <c r="D69" s="1301"/>
      <c r="E69" s="1301"/>
      <c r="F69" s="1301"/>
      <c r="G69" s="1294"/>
      <c r="H69" s="1276"/>
      <c r="I69" s="1276"/>
      <c r="J69" s="606"/>
      <c r="K69" s="604"/>
    </row>
    <row r="70" spans="3:12" ht="16.5" hidden="1">
      <c r="C70" s="1300" t="s">
        <v>335</v>
      </c>
      <c r="D70" s="1301" t="s">
        <v>1207</v>
      </c>
      <c r="E70" s="1302">
        <v>16.04</v>
      </c>
      <c r="F70" s="1302" t="s">
        <v>1236</v>
      </c>
      <c r="G70" s="1346" t="s">
        <v>73</v>
      </c>
      <c r="H70" s="1277">
        <v>18.170000000000002</v>
      </c>
      <c r="I70" s="1277" t="s">
        <v>1237</v>
      </c>
      <c r="J70" s="606"/>
      <c r="K70" s="604"/>
    </row>
    <row r="71" spans="3:12" ht="16.5" hidden="1">
      <c r="C71" s="1300" t="s">
        <v>336</v>
      </c>
      <c r="D71" s="1301" t="s">
        <v>1207</v>
      </c>
      <c r="E71" s="1302">
        <v>15</v>
      </c>
      <c r="F71" s="1302" t="s">
        <v>1238</v>
      </c>
      <c r="G71" s="1346" t="s">
        <v>1239</v>
      </c>
      <c r="H71" s="1277">
        <v>18.37</v>
      </c>
      <c r="I71" s="1277" t="s">
        <v>1240</v>
      </c>
      <c r="J71" s="606"/>
      <c r="K71" s="604"/>
    </row>
    <row r="72" spans="3:12" ht="16.5" hidden="1">
      <c r="C72" s="1300" t="s">
        <v>337</v>
      </c>
      <c r="D72" s="1301" t="s">
        <v>1241</v>
      </c>
      <c r="E72" s="1302">
        <v>14.98</v>
      </c>
      <c r="F72" s="1302" t="s">
        <v>1242</v>
      </c>
      <c r="G72" s="1346" t="s">
        <v>785</v>
      </c>
      <c r="H72" s="1277">
        <v>15.78</v>
      </c>
      <c r="I72" s="1277" t="s">
        <v>1243</v>
      </c>
      <c r="J72" s="606"/>
      <c r="K72" s="604"/>
    </row>
    <row r="73" spans="3:12" ht="16.5" hidden="1">
      <c r="C73" s="1300" t="s">
        <v>338</v>
      </c>
      <c r="D73" s="1301" t="s">
        <v>1244</v>
      </c>
      <c r="E73" s="1353">
        <v>13.81</v>
      </c>
      <c r="F73" s="1353" t="s">
        <v>1245</v>
      </c>
      <c r="G73" s="1347" t="s">
        <v>785</v>
      </c>
      <c r="H73" s="1278">
        <v>17.86</v>
      </c>
      <c r="I73" s="1277" t="s">
        <v>1246</v>
      </c>
      <c r="J73" s="606"/>
      <c r="K73" s="604"/>
    </row>
    <row r="74" spans="3:12" ht="16.5" hidden="1">
      <c r="C74" s="1300" t="s">
        <v>339</v>
      </c>
      <c r="D74" s="1301" t="s">
        <v>1244</v>
      </c>
      <c r="E74" s="1353">
        <v>14.32</v>
      </c>
      <c r="F74" s="1353" t="s">
        <v>1247</v>
      </c>
      <c r="G74" s="1347" t="s">
        <v>785</v>
      </c>
      <c r="H74" s="1278">
        <v>17.920000000000002</v>
      </c>
      <c r="I74" s="1277" t="s">
        <v>1248</v>
      </c>
      <c r="J74" s="606"/>
      <c r="K74" s="604"/>
    </row>
    <row r="75" spans="3:12" ht="16.5" hidden="1">
      <c r="C75" s="1300" t="s">
        <v>340</v>
      </c>
      <c r="D75" s="1301" t="s">
        <v>1244</v>
      </c>
      <c r="E75" s="1353">
        <v>15.65</v>
      </c>
      <c r="F75" s="1353" t="s">
        <v>1249</v>
      </c>
      <c r="G75" s="1347" t="s">
        <v>785</v>
      </c>
      <c r="H75" s="1278">
        <v>17.940000000000001</v>
      </c>
      <c r="I75" s="1277" t="s">
        <v>1250</v>
      </c>
      <c r="J75" s="606"/>
      <c r="K75" s="604"/>
    </row>
    <row r="76" spans="3:12" ht="16.5" hidden="1">
      <c r="C76" s="1300" t="s">
        <v>341</v>
      </c>
      <c r="D76" s="1301" t="s">
        <v>1244</v>
      </c>
      <c r="E76" s="1353" t="s">
        <v>1251</v>
      </c>
      <c r="F76" s="1353" t="s">
        <v>1252</v>
      </c>
      <c r="G76" s="1347" t="s">
        <v>785</v>
      </c>
      <c r="H76" s="1278" t="s">
        <v>1253</v>
      </c>
      <c r="I76" s="1277" t="s">
        <v>1254</v>
      </c>
      <c r="J76" s="606"/>
      <c r="K76" s="604"/>
    </row>
    <row r="77" spans="3:12" ht="16.5" hidden="1">
      <c r="C77" s="1300" t="s">
        <v>342</v>
      </c>
      <c r="D77" s="1301" t="s">
        <v>1244</v>
      </c>
      <c r="E77" s="1353">
        <v>13.35</v>
      </c>
      <c r="F77" s="1353">
        <v>11.03</v>
      </c>
      <c r="G77" s="1347" t="s">
        <v>865</v>
      </c>
      <c r="H77" s="1278">
        <v>17.98</v>
      </c>
      <c r="I77" s="1277">
        <v>13.95</v>
      </c>
      <c r="J77" s="606"/>
      <c r="K77" s="604"/>
    </row>
    <row r="78" spans="3:12" ht="15" hidden="1" customHeight="1">
      <c r="C78" s="1300" t="s">
        <v>343</v>
      </c>
      <c r="D78" s="1301" t="s">
        <v>1244</v>
      </c>
      <c r="E78" s="1353">
        <v>15.25</v>
      </c>
      <c r="F78" s="1353">
        <v>10.88</v>
      </c>
      <c r="G78" s="1347" t="s">
        <v>1239</v>
      </c>
      <c r="H78" s="1278">
        <v>17.91</v>
      </c>
      <c r="I78" s="1277">
        <v>14.42</v>
      </c>
      <c r="J78" s="606"/>
      <c r="K78" s="604"/>
    </row>
    <row r="79" spans="3:12" ht="16.5" hidden="1">
      <c r="C79" s="1300" t="s">
        <v>344</v>
      </c>
      <c r="D79" s="1301" t="s">
        <v>227</v>
      </c>
      <c r="E79" s="1353">
        <v>15.08</v>
      </c>
      <c r="F79" s="1353">
        <v>10.4</v>
      </c>
      <c r="G79" s="1347" t="s">
        <v>1270</v>
      </c>
      <c r="H79" s="1278">
        <v>17.93</v>
      </c>
      <c r="I79" s="1277">
        <v>14.43</v>
      </c>
      <c r="J79" s="606"/>
      <c r="K79" s="604"/>
    </row>
    <row r="80" spans="3:12" ht="16.5" hidden="1">
      <c r="C80" s="1300"/>
      <c r="D80" s="1301"/>
      <c r="E80" s="1353"/>
      <c r="F80" s="1353"/>
      <c r="G80" s="1347"/>
      <c r="H80" s="1278"/>
      <c r="I80" s="1277"/>
      <c r="J80" s="606"/>
      <c r="K80" s="604"/>
    </row>
    <row r="81" spans="3:11" ht="16.5" hidden="1">
      <c r="C81" s="1299">
        <v>2013</v>
      </c>
      <c r="D81" s="1301"/>
      <c r="E81" s="1302"/>
      <c r="F81" s="1302"/>
      <c r="G81" s="1346"/>
      <c r="H81" s="1277"/>
      <c r="I81" s="1277"/>
      <c r="J81" s="606"/>
      <c r="K81" s="604"/>
    </row>
    <row r="82" spans="3:11" ht="16.5" hidden="1">
      <c r="C82" s="1301" t="s">
        <v>345</v>
      </c>
      <c r="D82" s="1301" t="s">
        <v>227</v>
      </c>
      <c r="E82" s="1302">
        <v>15.58</v>
      </c>
      <c r="F82" s="1302">
        <v>10.81</v>
      </c>
      <c r="G82" s="1346" t="s">
        <v>1239</v>
      </c>
      <c r="H82" s="1277">
        <v>17.96</v>
      </c>
      <c r="I82" s="1279">
        <v>14.42</v>
      </c>
      <c r="J82" s="606"/>
      <c r="K82" s="604"/>
    </row>
    <row r="83" spans="3:11" ht="16.5" hidden="1">
      <c r="C83" s="1301" t="s">
        <v>1278</v>
      </c>
      <c r="D83" s="1301" t="s">
        <v>227</v>
      </c>
      <c r="E83" s="1302">
        <v>14.83</v>
      </c>
      <c r="F83" s="1302" t="s">
        <v>1279</v>
      </c>
      <c r="G83" s="1346" t="s">
        <v>1280</v>
      </c>
      <c r="H83" s="1277" t="s">
        <v>1281</v>
      </c>
      <c r="I83" s="1279" t="s">
        <v>1282</v>
      </c>
      <c r="J83" s="606"/>
      <c r="K83" s="604"/>
    </row>
    <row r="84" spans="3:11" ht="16.5" hidden="1">
      <c r="C84" s="1301" t="s">
        <v>335</v>
      </c>
      <c r="D84" s="1301" t="s">
        <v>1244</v>
      </c>
      <c r="E84" s="1302">
        <v>14.32</v>
      </c>
      <c r="F84" s="1302">
        <v>10.19</v>
      </c>
      <c r="G84" s="1346" t="s">
        <v>1283</v>
      </c>
      <c r="H84" s="1277">
        <v>17.8</v>
      </c>
      <c r="I84" s="1279">
        <v>14.35</v>
      </c>
      <c r="J84" s="606"/>
      <c r="K84" s="604"/>
    </row>
    <row r="85" spans="3:11" ht="16.5" hidden="1">
      <c r="C85" s="1301" t="s">
        <v>336</v>
      </c>
      <c r="D85" s="1301" t="s">
        <v>240</v>
      </c>
      <c r="E85" s="1302">
        <v>14.58</v>
      </c>
      <c r="F85" s="1302">
        <v>9.66</v>
      </c>
      <c r="G85" s="1346" t="s">
        <v>1283</v>
      </c>
      <c r="H85" s="1277">
        <v>17.77</v>
      </c>
      <c r="I85" s="1279">
        <v>14.35</v>
      </c>
      <c r="J85" s="606"/>
      <c r="K85" s="604"/>
    </row>
    <row r="86" spans="3:11" ht="16.5" hidden="1">
      <c r="C86" s="1301" t="s">
        <v>337</v>
      </c>
      <c r="D86" s="1301" t="s">
        <v>1295</v>
      </c>
      <c r="E86" s="1302">
        <v>14.25</v>
      </c>
      <c r="F86" s="1302">
        <v>9.89</v>
      </c>
      <c r="G86" s="1346" t="s">
        <v>1296</v>
      </c>
      <c r="H86" s="1277">
        <v>17.66</v>
      </c>
      <c r="I86" s="1279">
        <v>17.02</v>
      </c>
      <c r="J86" s="606"/>
      <c r="K86" s="604"/>
    </row>
    <row r="87" spans="3:11" ht="16.5" hidden="1">
      <c r="C87" s="1301" t="s">
        <v>338</v>
      </c>
      <c r="D87" s="1351" t="s">
        <v>1295</v>
      </c>
      <c r="E87" s="1302">
        <v>14.29</v>
      </c>
      <c r="F87" s="1302" t="s">
        <v>1298</v>
      </c>
      <c r="G87" s="1295" t="s">
        <v>1299</v>
      </c>
      <c r="H87" s="1277">
        <v>17.78</v>
      </c>
      <c r="I87" s="1277" t="s">
        <v>1300</v>
      </c>
      <c r="J87" s="606"/>
      <c r="K87" s="604"/>
    </row>
    <row r="88" spans="3:11" ht="16.5" hidden="1">
      <c r="C88" s="1301" t="s">
        <v>339</v>
      </c>
      <c r="D88" s="1351" t="s">
        <v>1244</v>
      </c>
      <c r="E88" s="1302">
        <v>14.39</v>
      </c>
      <c r="F88" s="1302">
        <v>9.65</v>
      </c>
      <c r="G88" s="1295" t="s">
        <v>1204</v>
      </c>
      <c r="H88" s="1277">
        <v>17.7</v>
      </c>
      <c r="I88" s="1277">
        <v>16.97</v>
      </c>
      <c r="J88" s="606"/>
      <c r="K88" s="604"/>
    </row>
    <row r="89" spans="3:11" ht="16.5" hidden="1">
      <c r="C89" s="1301" t="s">
        <v>340</v>
      </c>
      <c r="D89" s="1351" t="s">
        <v>1244</v>
      </c>
      <c r="E89" s="1302">
        <v>13.82</v>
      </c>
      <c r="F89" s="1302">
        <v>9.32</v>
      </c>
      <c r="G89" s="1295" t="s">
        <v>1301</v>
      </c>
      <c r="H89" s="1277">
        <v>18.32</v>
      </c>
      <c r="I89" s="1277">
        <v>16.920000000000002</v>
      </c>
      <c r="J89" s="606"/>
      <c r="K89" s="604"/>
    </row>
    <row r="90" spans="3:11" ht="16.5" hidden="1">
      <c r="C90" s="1301" t="s">
        <v>341</v>
      </c>
      <c r="D90" s="1351" t="s">
        <v>1244</v>
      </c>
      <c r="E90" s="1302">
        <v>14.03</v>
      </c>
      <c r="F90" s="1302">
        <v>9.3699999999999992</v>
      </c>
      <c r="G90" s="1295" t="s">
        <v>1299</v>
      </c>
      <c r="H90" s="1277">
        <v>18.309999999999999</v>
      </c>
      <c r="I90" s="1277">
        <v>16.940000000000001</v>
      </c>
      <c r="J90" s="606"/>
      <c r="K90" s="604"/>
    </row>
    <row r="91" spans="3:11" ht="16.5" hidden="1">
      <c r="C91" s="1301" t="s">
        <v>342</v>
      </c>
      <c r="D91" s="1351" t="s">
        <v>1244</v>
      </c>
      <c r="E91" s="1302">
        <v>13.95</v>
      </c>
      <c r="F91" s="1302">
        <v>9.25</v>
      </c>
      <c r="G91" s="1295" t="s">
        <v>1301</v>
      </c>
      <c r="H91" s="1277">
        <v>18.670000000000002</v>
      </c>
      <c r="I91" s="1277">
        <v>17.66</v>
      </c>
      <c r="J91" s="608"/>
      <c r="K91" s="604"/>
    </row>
    <row r="92" spans="3:11" ht="16.5" hidden="1">
      <c r="C92" s="1301" t="s">
        <v>343</v>
      </c>
      <c r="D92" s="1351" t="s">
        <v>1244</v>
      </c>
      <c r="E92" s="1302">
        <v>14.18</v>
      </c>
      <c r="F92" s="1302">
        <v>9.4</v>
      </c>
      <c r="G92" s="1295" t="s">
        <v>1301</v>
      </c>
      <c r="H92" s="1277">
        <v>18.84</v>
      </c>
      <c r="I92" s="1277">
        <v>17.72</v>
      </c>
      <c r="J92" s="609"/>
      <c r="K92" s="609"/>
    </row>
    <row r="93" spans="3:11" ht="16.5" hidden="1">
      <c r="C93" s="1301" t="s">
        <v>344</v>
      </c>
      <c r="D93" s="1351" t="s">
        <v>1244</v>
      </c>
      <c r="E93" s="1302">
        <v>14.13</v>
      </c>
      <c r="F93" s="1302">
        <v>9.35</v>
      </c>
      <c r="G93" s="1295" t="s">
        <v>1301</v>
      </c>
      <c r="H93" s="1277">
        <v>18.84</v>
      </c>
      <c r="I93" s="1277">
        <v>17.760000000000002</v>
      </c>
      <c r="J93" s="609"/>
      <c r="K93" s="609"/>
    </row>
    <row r="94" spans="3:11" ht="16.5" hidden="1">
      <c r="C94" s="1301"/>
      <c r="D94" s="1351"/>
      <c r="E94" s="1351"/>
      <c r="F94" s="1351"/>
      <c r="G94" s="1295"/>
      <c r="H94" s="1280"/>
      <c r="I94" s="1280"/>
      <c r="J94" s="609"/>
      <c r="K94" s="609"/>
    </row>
    <row r="95" spans="3:11" ht="16.5" hidden="1">
      <c r="C95" s="1299">
        <v>2014</v>
      </c>
      <c r="D95" s="1351"/>
      <c r="E95" s="1351"/>
      <c r="F95" s="1351"/>
      <c r="G95" s="1295"/>
      <c r="H95" s="1280"/>
      <c r="I95" s="1280"/>
      <c r="J95" s="609"/>
      <c r="K95" s="609"/>
    </row>
    <row r="96" spans="3:11" ht="16.5" hidden="1">
      <c r="C96" s="1301" t="s">
        <v>345</v>
      </c>
      <c r="D96" s="1351" t="s">
        <v>1244</v>
      </c>
      <c r="E96" s="1302">
        <v>14.09</v>
      </c>
      <c r="F96" s="1302">
        <v>9.3000000000000007</v>
      </c>
      <c r="G96" s="1295" t="s">
        <v>1301</v>
      </c>
      <c r="H96" s="1277">
        <v>18.88</v>
      </c>
      <c r="I96" s="1277">
        <v>17.739999999999998</v>
      </c>
      <c r="J96" s="609"/>
      <c r="K96" s="609"/>
    </row>
    <row r="97" spans="2:11" ht="16.5" hidden="1">
      <c r="C97" s="1301" t="s">
        <v>1278</v>
      </c>
      <c r="D97" s="1351" t="s">
        <v>1244</v>
      </c>
      <c r="E97" s="1302">
        <v>14.08</v>
      </c>
      <c r="F97" s="1302">
        <v>9.32</v>
      </c>
      <c r="G97" s="1295" t="s">
        <v>1301</v>
      </c>
      <c r="H97" s="1277">
        <v>18.88</v>
      </c>
      <c r="I97" s="1277">
        <v>17.73</v>
      </c>
      <c r="J97" s="609"/>
      <c r="K97" s="609"/>
    </row>
    <row r="98" spans="2:11" ht="16.5" hidden="1">
      <c r="C98" s="1301" t="s">
        <v>335</v>
      </c>
      <c r="D98" s="1351" t="s">
        <v>1244</v>
      </c>
      <c r="E98" s="1302">
        <v>14.24</v>
      </c>
      <c r="F98" s="1302">
        <v>9.27</v>
      </c>
      <c r="G98" s="1295" t="s">
        <v>1301</v>
      </c>
      <c r="H98" s="1277">
        <v>18.88</v>
      </c>
      <c r="I98" s="1277">
        <v>17.73</v>
      </c>
      <c r="J98" s="609"/>
      <c r="K98" s="609"/>
    </row>
    <row r="99" spans="2:11" ht="16.5" hidden="1">
      <c r="C99" s="1301" t="s">
        <v>336</v>
      </c>
      <c r="D99" s="1351" t="s">
        <v>1244</v>
      </c>
      <c r="E99" s="1302">
        <v>14.22</v>
      </c>
      <c r="F99" s="1302">
        <v>9.1199999999999992</v>
      </c>
      <c r="G99" s="1295" t="s">
        <v>1301</v>
      </c>
      <c r="H99" s="1277">
        <v>18.88</v>
      </c>
      <c r="I99" s="1277">
        <v>17.73</v>
      </c>
      <c r="J99" s="609"/>
      <c r="K99" s="609"/>
    </row>
    <row r="100" spans="2:11" ht="16.5" hidden="1">
      <c r="C100" s="1301" t="s">
        <v>337</v>
      </c>
      <c r="D100" s="1351" t="s">
        <v>1244</v>
      </c>
      <c r="E100" s="1302">
        <v>14.39</v>
      </c>
      <c r="F100" s="1302">
        <v>9.25</v>
      </c>
      <c r="G100" s="1295" t="s">
        <v>1301</v>
      </c>
      <c r="H100" s="1277">
        <v>18.87</v>
      </c>
      <c r="I100" s="1277">
        <v>17.739999999999998</v>
      </c>
      <c r="J100" s="609"/>
      <c r="K100" s="609"/>
    </row>
    <row r="101" spans="2:11" ht="16.5" hidden="1">
      <c r="C101" s="1301" t="s">
        <v>338</v>
      </c>
      <c r="D101" s="1351" t="s">
        <v>1244</v>
      </c>
      <c r="E101" s="1302">
        <v>14.44</v>
      </c>
      <c r="F101" s="1302">
        <v>9.33</v>
      </c>
      <c r="G101" s="1295" t="s">
        <v>1301</v>
      </c>
      <c r="H101" s="1277">
        <v>19</v>
      </c>
      <c r="I101" s="1277">
        <v>18</v>
      </c>
      <c r="J101" s="609"/>
      <c r="K101" s="609"/>
    </row>
    <row r="102" spans="2:11" ht="16.5" hidden="1">
      <c r="C102" s="1301" t="s">
        <v>339</v>
      </c>
      <c r="D102" s="1351" t="s">
        <v>1244</v>
      </c>
      <c r="E102" s="1302">
        <v>14.33</v>
      </c>
      <c r="F102" s="1302">
        <v>9.4499999999999993</v>
      </c>
      <c r="G102" s="1281" t="s">
        <v>1301</v>
      </c>
      <c r="H102" s="1277">
        <v>19</v>
      </c>
      <c r="I102" s="1277">
        <v>18</v>
      </c>
      <c r="J102" s="609"/>
      <c r="K102" s="609"/>
    </row>
    <row r="103" spans="2:11" ht="16.5" hidden="1">
      <c r="C103" s="1301" t="s">
        <v>340</v>
      </c>
      <c r="D103" s="1351" t="s">
        <v>1244</v>
      </c>
      <c r="E103" s="1302">
        <v>14.28</v>
      </c>
      <c r="F103" s="1302">
        <v>9.4499999999999993</v>
      </c>
      <c r="G103" s="1281" t="s">
        <v>1301</v>
      </c>
      <c r="H103" s="1277">
        <v>19</v>
      </c>
      <c r="I103" s="1277">
        <v>18</v>
      </c>
      <c r="J103" s="609"/>
      <c r="K103" s="609"/>
    </row>
    <row r="104" spans="2:11" ht="16.5" hidden="1">
      <c r="C104" s="1301" t="s">
        <v>341</v>
      </c>
      <c r="D104" s="1351" t="s">
        <v>1244</v>
      </c>
      <c r="E104" s="1302">
        <v>14.45</v>
      </c>
      <c r="F104" s="1302">
        <v>9.57</v>
      </c>
      <c r="G104" s="1281" t="s">
        <v>1301</v>
      </c>
      <c r="H104" s="1277">
        <v>19</v>
      </c>
      <c r="I104" s="1277">
        <v>18</v>
      </c>
      <c r="J104" s="609"/>
      <c r="K104" s="609"/>
    </row>
    <row r="105" spans="2:11" ht="16.5" hidden="1">
      <c r="C105" s="1301" t="s">
        <v>342</v>
      </c>
      <c r="D105" s="1351" t="s">
        <v>1244</v>
      </c>
      <c r="E105" s="1302">
        <v>14.36</v>
      </c>
      <c r="F105" s="1302">
        <v>9.9</v>
      </c>
      <c r="G105" s="1281" t="s">
        <v>1301</v>
      </c>
      <c r="H105" s="1277">
        <v>19</v>
      </c>
      <c r="I105" s="1277">
        <v>18</v>
      </c>
      <c r="J105" s="609"/>
      <c r="K105" s="609"/>
    </row>
    <row r="106" spans="2:11" ht="16.5" hidden="1">
      <c r="C106" s="1301" t="s">
        <v>343</v>
      </c>
      <c r="D106" s="1351" t="s">
        <v>1244</v>
      </c>
      <c r="E106" s="1302">
        <v>14.26</v>
      </c>
      <c r="F106" s="1302">
        <v>9.9700000000000006</v>
      </c>
      <c r="G106" s="1281" t="s">
        <v>1301</v>
      </c>
      <c r="H106" s="1282">
        <v>19</v>
      </c>
      <c r="I106" s="1277">
        <v>18</v>
      </c>
      <c r="J106" s="609"/>
      <c r="K106" s="609"/>
    </row>
    <row r="107" spans="2:11" ht="16.5" hidden="1">
      <c r="C107" s="1301" t="s">
        <v>344</v>
      </c>
      <c r="D107" s="1351" t="s">
        <v>1244</v>
      </c>
      <c r="E107" s="1302">
        <v>14.19</v>
      </c>
      <c r="F107" s="1302">
        <v>9.68</v>
      </c>
      <c r="G107" s="1281" t="s">
        <v>1301</v>
      </c>
      <c r="H107" s="1282">
        <v>19</v>
      </c>
      <c r="I107" s="1277">
        <v>18</v>
      </c>
      <c r="J107" s="609"/>
      <c r="K107" s="609"/>
    </row>
    <row r="108" spans="2:11" ht="16.5" hidden="1">
      <c r="C108" s="1301"/>
      <c r="D108" s="1351"/>
      <c r="E108" s="1302"/>
      <c r="F108" s="1302"/>
      <c r="G108" s="1281"/>
      <c r="H108" s="1277"/>
      <c r="I108" s="1277"/>
      <c r="J108" s="609"/>
      <c r="K108" s="609"/>
    </row>
    <row r="109" spans="2:11" ht="17.25" hidden="1" thickTop="1">
      <c r="B109" s="907"/>
      <c r="C109" s="1299">
        <v>2015</v>
      </c>
      <c r="D109" s="1351"/>
      <c r="E109" s="1302"/>
      <c r="F109" s="1302"/>
      <c r="G109" s="1281"/>
      <c r="H109" s="1277"/>
      <c r="I109" s="1277"/>
      <c r="J109" s="609"/>
      <c r="K109" s="609"/>
    </row>
    <row r="110" spans="2:11" ht="16.5" hidden="1">
      <c r="B110" s="908"/>
      <c r="C110" s="1301" t="s">
        <v>345</v>
      </c>
      <c r="D110" s="1351" t="s">
        <v>1244</v>
      </c>
      <c r="E110" s="1302">
        <v>14.16</v>
      </c>
      <c r="F110" s="1302">
        <v>9.66</v>
      </c>
      <c r="G110" s="1281" t="s">
        <v>1301</v>
      </c>
      <c r="H110" s="1277">
        <v>19</v>
      </c>
      <c r="I110" s="1277">
        <v>18</v>
      </c>
      <c r="J110" s="609"/>
      <c r="K110" s="609"/>
    </row>
    <row r="111" spans="2:11" ht="16.5" hidden="1">
      <c r="B111" s="908"/>
      <c r="C111" s="1301" t="s">
        <v>334</v>
      </c>
      <c r="D111" s="1351" t="s">
        <v>1320</v>
      </c>
      <c r="E111" s="1302">
        <v>14</v>
      </c>
      <c r="F111" s="1302">
        <v>9.73</v>
      </c>
      <c r="G111" s="1281"/>
      <c r="H111" s="1277"/>
      <c r="I111" s="1277"/>
      <c r="J111" s="609"/>
      <c r="K111" s="609"/>
    </row>
    <row r="112" spans="2:11" ht="16.5" hidden="1">
      <c r="B112" s="908"/>
      <c r="C112" s="1301" t="s">
        <v>335</v>
      </c>
      <c r="D112" s="1351" t="s">
        <v>1320</v>
      </c>
      <c r="E112" s="1302">
        <v>13.24</v>
      </c>
      <c r="F112" s="1302">
        <v>8.75</v>
      </c>
      <c r="G112" s="1281"/>
      <c r="H112" s="1277"/>
      <c r="I112" s="1277"/>
      <c r="J112" s="609"/>
      <c r="K112" s="609"/>
    </row>
    <row r="113" spans="2:11" ht="17.25" hidden="1" thickBot="1">
      <c r="B113" s="909"/>
      <c r="C113" s="1301" t="s">
        <v>336</v>
      </c>
      <c r="D113" s="1351" t="s">
        <v>1323</v>
      </c>
      <c r="E113" s="1302">
        <v>12.71</v>
      </c>
      <c r="F113" s="1302">
        <v>8.84</v>
      </c>
      <c r="G113" s="1281"/>
      <c r="H113" s="1277"/>
      <c r="I113" s="1277"/>
      <c r="J113" s="609"/>
      <c r="K113" s="609"/>
    </row>
    <row r="114" spans="2:11" ht="16.5" hidden="1">
      <c r="C114" s="1301" t="s">
        <v>337</v>
      </c>
      <c r="D114" s="1351" t="s">
        <v>1325</v>
      </c>
      <c r="E114" s="1302">
        <v>12.74</v>
      </c>
      <c r="F114" s="1302">
        <v>8.7899999999999991</v>
      </c>
      <c r="G114" s="1281"/>
      <c r="H114" s="1277"/>
      <c r="I114" s="1277"/>
      <c r="J114" s="609"/>
      <c r="K114" s="609"/>
    </row>
    <row r="115" spans="2:11" ht="16.5" hidden="1">
      <c r="C115" s="1301" t="s">
        <v>338</v>
      </c>
      <c r="D115" s="1351" t="s">
        <v>1325</v>
      </c>
      <c r="E115" s="1302">
        <v>11.94</v>
      </c>
      <c r="F115" s="1302">
        <v>8.42</v>
      </c>
      <c r="G115" s="1281"/>
      <c r="H115" s="1277"/>
      <c r="I115" s="1277"/>
      <c r="J115" s="609"/>
      <c r="K115" s="609"/>
    </row>
    <row r="116" spans="2:11" ht="16.5" hidden="1">
      <c r="C116" s="1301" t="s">
        <v>339</v>
      </c>
      <c r="D116" s="1351" t="s">
        <v>1325</v>
      </c>
      <c r="E116" s="1302">
        <v>11.86</v>
      </c>
      <c r="F116" s="1302">
        <v>8.56</v>
      </c>
      <c r="G116" s="1281"/>
      <c r="H116" s="1277"/>
      <c r="I116" s="1277"/>
      <c r="J116" s="609"/>
      <c r="K116" s="609"/>
    </row>
    <row r="117" spans="2:11" ht="16.5" hidden="1">
      <c r="C117" s="1301" t="s">
        <v>340</v>
      </c>
      <c r="D117" s="1351" t="s">
        <v>1327</v>
      </c>
      <c r="E117" s="1302">
        <v>11.96</v>
      </c>
      <c r="F117" s="1302">
        <v>8.51</v>
      </c>
      <c r="G117" s="1281"/>
      <c r="H117" s="1277"/>
      <c r="I117" s="1277"/>
      <c r="J117" s="609"/>
      <c r="K117" s="609"/>
    </row>
    <row r="118" spans="2:11" ht="16.5" hidden="1">
      <c r="C118" s="1301" t="s">
        <v>341</v>
      </c>
      <c r="D118" s="1351" t="s">
        <v>1329</v>
      </c>
      <c r="E118" s="1302">
        <v>11.81</v>
      </c>
      <c r="F118" s="1302">
        <v>8.4700000000000006</v>
      </c>
      <c r="G118" s="1281"/>
      <c r="H118" s="1277"/>
      <c r="I118" s="1277"/>
      <c r="J118" s="609"/>
      <c r="K118" s="609"/>
    </row>
    <row r="119" spans="2:11" ht="16.5" hidden="1">
      <c r="C119" s="1301" t="s">
        <v>342</v>
      </c>
      <c r="D119" s="1351" t="s">
        <v>867</v>
      </c>
      <c r="E119" s="1302">
        <v>10.98</v>
      </c>
      <c r="F119" s="1302">
        <v>7.28</v>
      </c>
      <c r="G119" s="1281"/>
      <c r="H119" s="1277"/>
      <c r="I119" s="1277"/>
      <c r="J119" s="609"/>
      <c r="K119" s="609"/>
    </row>
    <row r="120" spans="2:11" ht="17.25" hidden="1" thickBot="1">
      <c r="C120" s="1302" t="s">
        <v>343</v>
      </c>
      <c r="D120" s="1351" t="s">
        <v>1332</v>
      </c>
      <c r="E120" s="1302">
        <v>12.2</v>
      </c>
      <c r="F120" s="1302">
        <v>7.67</v>
      </c>
      <c r="G120" s="1348"/>
      <c r="H120" s="1283"/>
      <c r="I120" s="1283"/>
      <c r="J120" s="609"/>
      <c r="K120" s="609"/>
    </row>
    <row r="121" spans="2:11" ht="16.5" hidden="1">
      <c r="C121" s="1301" t="s">
        <v>344</v>
      </c>
      <c r="D121" s="1351" t="s">
        <v>1334</v>
      </c>
      <c r="E121" s="1302">
        <v>11.99</v>
      </c>
      <c r="F121" s="1302">
        <v>7.57</v>
      </c>
      <c r="G121" s="1281"/>
      <c r="H121" s="1282"/>
      <c r="I121" s="1277"/>
      <c r="J121" s="609"/>
      <c r="K121" s="609"/>
    </row>
    <row r="122" spans="2:11" ht="16.5" hidden="1">
      <c r="C122" s="1301"/>
      <c r="D122" s="1351"/>
      <c r="E122" s="1302"/>
      <c r="F122" s="1302"/>
      <c r="G122" s="1284"/>
      <c r="H122" s="1282"/>
      <c r="I122" s="1282"/>
      <c r="J122" s="609"/>
      <c r="K122" s="609"/>
    </row>
    <row r="123" spans="2:11" ht="16.5" hidden="1">
      <c r="C123" s="1299">
        <v>2016</v>
      </c>
      <c r="D123" s="1351"/>
      <c r="E123" s="1302"/>
      <c r="F123" s="1302"/>
      <c r="G123" s="1284"/>
      <c r="H123" s="1282"/>
      <c r="I123" s="1282"/>
      <c r="J123" s="609"/>
      <c r="K123" s="609"/>
    </row>
    <row r="124" spans="2:11" ht="16.5" hidden="1">
      <c r="C124" s="1301" t="s">
        <v>345</v>
      </c>
      <c r="D124" s="1351" t="s">
        <v>1335</v>
      </c>
      <c r="E124" s="1302">
        <v>12.08</v>
      </c>
      <c r="F124" s="1302">
        <v>7.38</v>
      </c>
      <c r="G124" s="1284"/>
      <c r="H124" s="1282"/>
      <c r="I124" s="1282"/>
      <c r="J124" s="609"/>
      <c r="K124" s="609"/>
    </row>
    <row r="125" spans="2:11" ht="16.5" hidden="1">
      <c r="C125" s="1301" t="s">
        <v>334</v>
      </c>
      <c r="D125" s="1351" t="s">
        <v>1336</v>
      </c>
      <c r="E125" s="1302">
        <v>11.48</v>
      </c>
      <c r="F125" s="1302">
        <v>7.29</v>
      </c>
      <c r="G125" s="1284"/>
      <c r="H125" s="1282"/>
      <c r="I125" s="1282"/>
      <c r="J125" s="609"/>
      <c r="K125" s="609"/>
    </row>
    <row r="126" spans="2:11" ht="16.5" hidden="1">
      <c r="C126" s="1301" t="s">
        <v>335</v>
      </c>
      <c r="D126" s="1351" t="s">
        <v>1336</v>
      </c>
      <c r="E126" s="1302">
        <v>11.44</v>
      </c>
      <c r="F126" s="1302">
        <v>7.16</v>
      </c>
      <c r="G126" s="1284"/>
      <c r="H126" s="1282"/>
      <c r="I126" s="1282"/>
      <c r="J126" s="609"/>
      <c r="K126" s="609"/>
    </row>
    <row r="127" spans="2:11" ht="16.5" hidden="1">
      <c r="C127" s="1301" t="s">
        <v>336</v>
      </c>
      <c r="D127" s="1351" t="s">
        <v>1336</v>
      </c>
      <c r="E127" s="1302">
        <v>11.5</v>
      </c>
      <c r="F127" s="1302">
        <v>7.2</v>
      </c>
      <c r="G127" s="1284"/>
      <c r="H127" s="1282"/>
      <c r="I127" s="1282"/>
      <c r="J127" s="609"/>
      <c r="K127" s="609"/>
    </row>
    <row r="128" spans="2:11" ht="16.5" hidden="1">
      <c r="C128" s="1301" t="s">
        <v>337</v>
      </c>
      <c r="D128" s="1351" t="s">
        <v>867</v>
      </c>
      <c r="E128" s="1302">
        <v>11.43</v>
      </c>
      <c r="F128" s="1302">
        <v>7.35</v>
      </c>
      <c r="G128" s="1284"/>
      <c r="H128" s="1282"/>
      <c r="I128" s="1282"/>
      <c r="J128" s="609"/>
      <c r="K128" s="609"/>
    </row>
    <row r="129" spans="3:11" ht="16.5" hidden="1">
      <c r="C129" s="1301" t="s">
        <v>338</v>
      </c>
      <c r="D129" s="1351" t="s">
        <v>867</v>
      </c>
      <c r="E129" s="1302">
        <v>11.4</v>
      </c>
      <c r="F129" s="1302">
        <v>7.48</v>
      </c>
      <c r="G129" s="1284"/>
      <c r="H129" s="1282"/>
      <c r="I129" s="1282"/>
      <c r="J129" s="609"/>
      <c r="K129" s="609"/>
    </row>
    <row r="130" spans="3:11" ht="16.5" hidden="1">
      <c r="C130" s="1301" t="s">
        <v>339</v>
      </c>
      <c r="D130" s="1351" t="s">
        <v>867</v>
      </c>
      <c r="E130" s="1302">
        <v>10.69</v>
      </c>
      <c r="F130" s="1302">
        <v>6.79</v>
      </c>
      <c r="G130" s="1284"/>
      <c r="H130" s="1282"/>
      <c r="I130" s="1282"/>
      <c r="J130" s="609"/>
      <c r="K130" s="609"/>
    </row>
    <row r="131" spans="3:11" ht="16.5" hidden="1">
      <c r="C131" s="1301" t="s">
        <v>340</v>
      </c>
      <c r="D131" s="1351" t="s">
        <v>867</v>
      </c>
      <c r="E131" s="1302">
        <v>10.67</v>
      </c>
      <c r="F131" s="1302">
        <v>6.84</v>
      </c>
      <c r="G131" s="1284"/>
      <c r="H131" s="1282"/>
      <c r="I131" s="1282"/>
      <c r="J131" s="609"/>
      <c r="K131" s="609"/>
    </row>
    <row r="132" spans="3:11" ht="16.5" hidden="1">
      <c r="C132" s="1301" t="s">
        <v>341</v>
      </c>
      <c r="D132" s="1351" t="s">
        <v>867</v>
      </c>
      <c r="E132" s="1302">
        <v>10.66</v>
      </c>
      <c r="F132" s="1302">
        <v>6.95</v>
      </c>
      <c r="G132" s="1284"/>
      <c r="H132" s="1282"/>
      <c r="I132" s="1282"/>
      <c r="J132" s="609"/>
      <c r="K132" s="609"/>
    </row>
    <row r="133" spans="3:11" ht="16.5" hidden="1">
      <c r="C133" s="1301" t="s">
        <v>342</v>
      </c>
      <c r="D133" s="1351" t="s">
        <v>867</v>
      </c>
      <c r="E133" s="1302">
        <v>10.7</v>
      </c>
      <c r="F133" s="1302">
        <v>6.93</v>
      </c>
      <c r="G133" s="1284"/>
      <c r="H133" s="1282"/>
      <c r="I133" s="1282"/>
      <c r="J133" s="609"/>
      <c r="K133" s="609"/>
    </row>
    <row r="134" spans="3:11" ht="16.5" hidden="1">
      <c r="C134" s="1301" t="s">
        <v>343</v>
      </c>
      <c r="D134" s="1351" t="s">
        <v>867</v>
      </c>
      <c r="E134" s="1302">
        <v>10.69</v>
      </c>
      <c r="F134" s="1302">
        <v>6.99</v>
      </c>
      <c r="G134" s="1284"/>
      <c r="H134" s="1282"/>
      <c r="I134" s="1282"/>
      <c r="J134" s="609"/>
      <c r="K134" s="609"/>
    </row>
    <row r="135" spans="3:11" ht="16.5" hidden="1">
      <c r="C135" s="1301" t="s">
        <v>344</v>
      </c>
      <c r="D135" s="1351" t="s">
        <v>867</v>
      </c>
      <c r="E135" s="1302">
        <v>10.59</v>
      </c>
      <c r="F135" s="1302">
        <v>6.87</v>
      </c>
      <c r="G135" s="1284"/>
      <c r="H135" s="1282"/>
      <c r="I135" s="1282"/>
      <c r="J135" s="609"/>
      <c r="K135" s="609"/>
    </row>
    <row r="136" spans="3:11" ht="15" customHeight="1">
      <c r="C136" s="1301"/>
      <c r="D136" s="1351"/>
      <c r="E136" s="1302"/>
      <c r="F136" s="1302"/>
      <c r="G136" s="1284"/>
      <c r="H136" s="1282"/>
      <c r="I136" s="1282"/>
      <c r="J136" s="609"/>
      <c r="K136" s="609"/>
    </row>
    <row r="137" spans="3:11" ht="16.5">
      <c r="C137" s="1299">
        <v>2017</v>
      </c>
      <c r="D137" s="1351"/>
      <c r="E137" s="1302"/>
      <c r="F137" s="1302"/>
      <c r="G137" s="1284"/>
      <c r="H137" s="1282"/>
      <c r="I137" s="1282"/>
      <c r="J137" s="609"/>
      <c r="K137" s="609"/>
    </row>
    <row r="138" spans="3:11" ht="16.5">
      <c r="C138" s="1301" t="s">
        <v>345</v>
      </c>
      <c r="D138" s="1351" t="s">
        <v>867</v>
      </c>
      <c r="E138" s="1302">
        <v>10.61</v>
      </c>
      <c r="F138" s="1302">
        <v>6.68</v>
      </c>
      <c r="G138" s="1284"/>
      <c r="H138" s="1282"/>
      <c r="I138" s="1282"/>
      <c r="J138" s="609"/>
      <c r="K138" s="609"/>
    </row>
    <row r="139" spans="3:11" ht="16.5">
      <c r="C139" s="1301" t="s">
        <v>334</v>
      </c>
      <c r="D139" s="1351" t="s">
        <v>867</v>
      </c>
      <c r="E139" s="1302">
        <v>10.06</v>
      </c>
      <c r="F139" s="1302">
        <v>6.52</v>
      </c>
      <c r="G139" s="1284"/>
      <c r="H139" s="1282"/>
      <c r="I139" s="1282"/>
      <c r="J139" s="609"/>
      <c r="K139" s="609"/>
    </row>
    <row r="140" spans="3:11" ht="16.5">
      <c r="C140" s="1301" t="s">
        <v>335</v>
      </c>
      <c r="D140" s="1351" t="s">
        <v>867</v>
      </c>
      <c r="E140" s="1302">
        <v>9.1199999999999992</v>
      </c>
      <c r="F140" s="1302">
        <v>7.02</v>
      </c>
      <c r="G140" s="1284"/>
      <c r="H140" s="1282"/>
      <c r="I140" s="1282"/>
      <c r="J140" s="609"/>
      <c r="K140" s="609"/>
    </row>
    <row r="141" spans="3:11" ht="16.5">
      <c r="C141" s="1301" t="s">
        <v>336</v>
      </c>
      <c r="D141" s="1351" t="s">
        <v>867</v>
      </c>
      <c r="E141" s="1302">
        <v>9.25</v>
      </c>
      <c r="F141" s="1302">
        <v>7.02</v>
      </c>
      <c r="G141" s="1284"/>
      <c r="H141" s="1282"/>
      <c r="I141" s="1282"/>
      <c r="J141" s="609"/>
      <c r="K141" s="609"/>
    </row>
    <row r="142" spans="3:11" ht="16.5">
      <c r="C142" s="1301" t="s">
        <v>337</v>
      </c>
      <c r="D142" s="1351" t="s">
        <v>867</v>
      </c>
      <c r="E142" s="1302">
        <v>9.17</v>
      </c>
      <c r="F142" s="1302">
        <v>7.03</v>
      </c>
      <c r="G142" s="1284"/>
      <c r="H142" s="1282"/>
      <c r="I142" s="1282"/>
      <c r="J142" s="609"/>
      <c r="K142" s="609"/>
    </row>
    <row r="143" spans="3:11" ht="16.5">
      <c r="C143" s="1301" t="s">
        <v>338</v>
      </c>
      <c r="D143" s="1351" t="s">
        <v>867</v>
      </c>
      <c r="E143" s="1302">
        <v>9.01</v>
      </c>
      <c r="F143" s="1302">
        <v>7.05</v>
      </c>
      <c r="G143" s="1284"/>
      <c r="H143" s="1282"/>
      <c r="I143" s="1282"/>
      <c r="J143" s="609"/>
      <c r="K143" s="609"/>
    </row>
    <row r="144" spans="3:11" ht="16.5">
      <c r="C144" s="1301" t="s">
        <v>339</v>
      </c>
      <c r="D144" s="1351" t="s">
        <v>867</v>
      </c>
      <c r="E144" s="1302">
        <v>8.94</v>
      </c>
      <c r="F144" s="1302">
        <v>7.05</v>
      </c>
      <c r="G144" s="1284"/>
      <c r="H144" s="1282"/>
      <c r="I144" s="1282"/>
      <c r="J144" s="609"/>
      <c r="K144" s="609"/>
    </row>
    <row r="145" spans="3:11" ht="16.5">
      <c r="C145" s="1301" t="s">
        <v>340</v>
      </c>
      <c r="D145" s="1351" t="s">
        <v>867</v>
      </c>
      <c r="E145" s="1302">
        <v>8.8800000000000008</v>
      </c>
      <c r="F145" s="1302">
        <v>6.95</v>
      </c>
      <c r="G145" s="1284"/>
      <c r="H145" s="1282"/>
      <c r="I145" s="1282"/>
      <c r="J145" s="609"/>
      <c r="K145" s="609"/>
    </row>
    <row r="146" spans="3:11" ht="16.5">
      <c r="C146" s="1301" t="s">
        <v>341</v>
      </c>
      <c r="D146" s="1351" t="s">
        <v>1762</v>
      </c>
      <c r="E146" s="1302">
        <v>8.86</v>
      </c>
      <c r="F146" s="1302">
        <v>7.01</v>
      </c>
      <c r="G146" s="1284"/>
      <c r="H146" s="1282"/>
      <c r="I146" s="1282"/>
      <c r="J146" s="609"/>
      <c r="K146" s="609"/>
    </row>
    <row r="147" spans="3:11" ht="16.5">
      <c r="C147" s="1301" t="s">
        <v>342</v>
      </c>
      <c r="D147" s="1351" t="s">
        <v>1762</v>
      </c>
      <c r="E147" s="1302">
        <v>9.66</v>
      </c>
      <c r="F147" s="1302">
        <v>7.06</v>
      </c>
      <c r="G147" s="1284"/>
      <c r="H147" s="1282"/>
      <c r="I147" s="1282"/>
      <c r="J147" s="609"/>
      <c r="K147" s="609"/>
    </row>
    <row r="148" spans="3:11" ht="16.5">
      <c r="C148" s="1301" t="s">
        <v>343</v>
      </c>
      <c r="D148" s="1351" t="s">
        <v>1762</v>
      </c>
      <c r="E148" s="1302">
        <v>9.66</v>
      </c>
      <c r="F148" s="1302">
        <v>7.03</v>
      </c>
      <c r="G148" s="1284"/>
      <c r="H148" s="1282"/>
      <c r="I148" s="1282"/>
      <c r="J148" s="609"/>
      <c r="K148" s="609"/>
    </row>
    <row r="149" spans="3:11" ht="16.5">
      <c r="C149" s="1301" t="s">
        <v>344</v>
      </c>
      <c r="D149" s="1351" t="s">
        <v>1762</v>
      </c>
      <c r="E149" s="1302">
        <v>9.39</v>
      </c>
      <c r="F149" s="1302">
        <v>7</v>
      </c>
      <c r="G149" s="1284"/>
      <c r="H149" s="1282"/>
      <c r="I149" s="1282"/>
      <c r="J149" s="609"/>
      <c r="K149" s="609"/>
    </row>
    <row r="150" spans="3:11" ht="16.5">
      <c r="C150" s="1301"/>
      <c r="D150" s="1351"/>
      <c r="E150" s="1302"/>
      <c r="F150" s="1302"/>
      <c r="G150" s="1284"/>
      <c r="H150" s="1282"/>
      <c r="I150" s="1282"/>
      <c r="J150" s="609"/>
      <c r="K150" s="609"/>
    </row>
    <row r="151" spans="3:11" ht="16.5">
      <c r="C151" s="1303">
        <v>2018</v>
      </c>
      <c r="D151" s="1351"/>
      <c r="E151" s="1302"/>
      <c r="F151" s="1302"/>
      <c r="G151" s="1284"/>
      <c r="H151" s="1282"/>
      <c r="I151" s="1282"/>
      <c r="J151" s="609"/>
      <c r="K151" s="609"/>
    </row>
    <row r="152" spans="3:11" ht="16.5">
      <c r="C152" s="1304" t="s">
        <v>345</v>
      </c>
      <c r="D152" s="1351" t="s">
        <v>1762</v>
      </c>
      <c r="E152" s="1302">
        <v>9.33</v>
      </c>
      <c r="F152" s="1302">
        <v>6.99</v>
      </c>
      <c r="G152" s="1284"/>
      <c r="H152" s="1282"/>
      <c r="I152" s="1282"/>
      <c r="J152" s="609"/>
      <c r="K152" s="609"/>
    </row>
    <row r="153" spans="3:11" ht="16.5">
      <c r="C153" s="1304" t="s">
        <v>334</v>
      </c>
      <c r="D153" s="1351" t="s">
        <v>1762</v>
      </c>
      <c r="E153" s="1302">
        <v>9.57</v>
      </c>
      <c r="F153" s="1302">
        <v>6.93</v>
      </c>
      <c r="G153" s="1284"/>
      <c r="H153" s="1282"/>
      <c r="I153" s="1282"/>
      <c r="J153" s="609"/>
      <c r="K153" s="609"/>
    </row>
    <row r="154" spans="3:11" ht="16.5">
      <c r="C154" s="1304" t="s">
        <v>335</v>
      </c>
      <c r="D154" s="1351" t="s">
        <v>1762</v>
      </c>
      <c r="E154" s="1302">
        <v>9.64</v>
      </c>
      <c r="F154" s="1302">
        <v>6.98</v>
      </c>
      <c r="G154" s="1284"/>
      <c r="H154" s="1282"/>
      <c r="I154" s="1282"/>
      <c r="J154" s="609"/>
      <c r="K154" s="609"/>
    </row>
    <row r="155" spans="3:11" ht="16.5">
      <c r="C155" s="1304" t="s">
        <v>336</v>
      </c>
      <c r="D155" s="1351" t="s">
        <v>867</v>
      </c>
      <c r="E155" s="1302">
        <v>9.32</v>
      </c>
      <c r="F155" s="1302">
        <v>7.08</v>
      </c>
      <c r="G155" s="1284"/>
      <c r="H155" s="1282"/>
      <c r="I155" s="1282"/>
      <c r="J155" s="609"/>
      <c r="K155" s="609"/>
    </row>
    <row r="156" spans="3:11" ht="16.5">
      <c r="C156" s="1304" t="s">
        <v>337</v>
      </c>
      <c r="D156" s="1351" t="s">
        <v>867</v>
      </c>
      <c r="E156" s="1302">
        <v>9.2799999999999994</v>
      </c>
      <c r="F156" s="1302">
        <v>7.09</v>
      </c>
      <c r="G156" s="1284"/>
      <c r="H156" s="1282"/>
      <c r="I156" s="1282"/>
      <c r="J156" s="609"/>
      <c r="K156" s="609"/>
    </row>
    <row r="157" spans="3:11" ht="16.5">
      <c r="C157" s="1304" t="s">
        <v>338</v>
      </c>
      <c r="D157" s="1351" t="s">
        <v>867</v>
      </c>
      <c r="E157" s="1302">
        <v>9.32</v>
      </c>
      <c r="F157" s="1302">
        <v>7.14</v>
      </c>
      <c r="G157" s="1284"/>
      <c r="H157" s="1282"/>
      <c r="I157" s="1282"/>
      <c r="J157" s="609"/>
      <c r="K157" s="609"/>
    </row>
    <row r="158" spans="3:11" ht="16.5">
      <c r="C158" s="1304" t="s">
        <v>339</v>
      </c>
      <c r="D158" s="1351" t="s">
        <v>867</v>
      </c>
      <c r="E158" s="1302">
        <v>9.75</v>
      </c>
      <c r="F158" s="1302">
        <v>6.97</v>
      </c>
      <c r="G158" s="1284"/>
      <c r="H158" s="1282"/>
      <c r="I158" s="1282"/>
      <c r="J158" s="609"/>
      <c r="K158" s="609"/>
    </row>
    <row r="159" spans="3:11" ht="16.5">
      <c r="C159" s="1304" t="s">
        <v>340</v>
      </c>
      <c r="D159" s="1351" t="s">
        <v>867</v>
      </c>
      <c r="E159" s="1302">
        <v>9.8699999999999992</v>
      </c>
      <c r="F159" s="1302">
        <v>7.1</v>
      </c>
      <c r="G159" s="1284"/>
      <c r="H159" s="1282"/>
      <c r="I159" s="1282"/>
      <c r="J159" s="609"/>
      <c r="K159" s="609"/>
    </row>
    <row r="160" spans="3:11" ht="16.5">
      <c r="C160" s="1304" t="s">
        <v>341</v>
      </c>
      <c r="D160" s="1351" t="s">
        <v>867</v>
      </c>
      <c r="E160" s="1302">
        <v>9.56</v>
      </c>
      <c r="F160" s="1302">
        <v>7.11</v>
      </c>
      <c r="G160" s="1284"/>
      <c r="H160" s="1282"/>
      <c r="I160" s="1282"/>
      <c r="J160" s="609"/>
      <c r="K160" s="609"/>
    </row>
    <row r="161" spans="3:11" ht="16.5">
      <c r="C161" s="1304" t="s">
        <v>342</v>
      </c>
      <c r="D161" s="1351" t="s">
        <v>867</v>
      </c>
      <c r="E161" s="1302">
        <v>9.4700000000000006</v>
      </c>
      <c r="F161" s="1302">
        <v>7.38</v>
      </c>
      <c r="G161" s="1284"/>
      <c r="H161" s="1282"/>
      <c r="I161" s="1282"/>
      <c r="J161" s="609"/>
      <c r="K161" s="609"/>
    </row>
    <row r="162" spans="3:11" ht="16.5">
      <c r="C162" s="1304" t="s">
        <v>343</v>
      </c>
      <c r="D162" s="1351" t="s">
        <v>867</v>
      </c>
      <c r="E162" s="1302">
        <v>9.49</v>
      </c>
      <c r="F162" s="1302">
        <v>7.38</v>
      </c>
      <c r="G162" s="1284"/>
      <c r="H162" s="1282"/>
      <c r="I162" s="1282"/>
      <c r="J162" s="609"/>
      <c r="K162" s="609"/>
    </row>
    <row r="163" spans="3:11" ht="16.5">
      <c r="C163" s="1304" t="s">
        <v>344</v>
      </c>
      <c r="D163" s="1351" t="s">
        <v>867</v>
      </c>
      <c r="E163" s="1302">
        <v>9.48</v>
      </c>
      <c r="F163" s="1302">
        <v>7.39</v>
      </c>
      <c r="G163" s="1284"/>
      <c r="H163" s="1282"/>
      <c r="I163" s="1282"/>
      <c r="J163" s="609"/>
      <c r="K163" s="609"/>
    </row>
    <row r="164" spans="3:11" ht="16.5">
      <c r="C164" s="1304"/>
      <c r="D164" s="1351"/>
      <c r="E164" s="1302"/>
      <c r="F164" s="1302"/>
      <c r="G164" s="1284"/>
      <c r="H164" s="1282"/>
      <c r="I164" s="1282"/>
      <c r="J164" s="609"/>
      <c r="K164" s="609"/>
    </row>
    <row r="165" spans="3:11" ht="16.5">
      <c r="C165" s="1303">
        <v>2019</v>
      </c>
      <c r="D165" s="1351"/>
      <c r="E165" s="1302"/>
      <c r="F165" s="1302"/>
      <c r="G165" s="1284"/>
      <c r="H165" s="1282"/>
      <c r="I165" s="1282"/>
      <c r="J165" s="609"/>
      <c r="K165" s="609"/>
    </row>
    <row r="166" spans="3:11" ht="16.5">
      <c r="C166" s="1303" t="s">
        <v>345</v>
      </c>
      <c r="D166" s="1351" t="s">
        <v>867</v>
      </c>
      <c r="E166" s="1302">
        <v>9.4700000000000006</v>
      </c>
      <c r="F166" s="1302">
        <v>7.4</v>
      </c>
      <c r="G166" s="1284"/>
      <c r="H166" s="1282"/>
      <c r="I166" s="1282"/>
      <c r="J166" s="609"/>
      <c r="K166" s="609"/>
    </row>
    <row r="167" spans="3:11" ht="16.5">
      <c r="C167" s="1303" t="s">
        <v>334</v>
      </c>
      <c r="D167" s="1351" t="s">
        <v>867</v>
      </c>
      <c r="E167" s="1302">
        <v>9.23</v>
      </c>
      <c r="F167" s="1302">
        <v>7.3</v>
      </c>
      <c r="G167" s="1284"/>
      <c r="H167" s="1282"/>
      <c r="I167" s="1282"/>
      <c r="J167" s="609"/>
      <c r="K167" s="609"/>
    </row>
    <row r="168" spans="3:11" ht="16.5">
      <c r="C168" s="1303" t="s">
        <v>335</v>
      </c>
      <c r="D168" s="1351" t="s">
        <v>867</v>
      </c>
      <c r="E168" s="1302">
        <v>9.23</v>
      </c>
      <c r="F168" s="1302">
        <v>7.31</v>
      </c>
      <c r="G168" s="1284"/>
      <c r="H168" s="1282"/>
      <c r="I168" s="1282"/>
      <c r="J168" s="609"/>
      <c r="K168" s="609"/>
    </row>
    <row r="169" spans="3:11" ht="16.5">
      <c r="C169" s="1303" t="s">
        <v>336</v>
      </c>
      <c r="D169" s="1351" t="s">
        <v>867</v>
      </c>
      <c r="E169" s="1302">
        <v>9.3000000000000007</v>
      </c>
      <c r="F169" s="1302">
        <v>7.38</v>
      </c>
      <c r="G169" s="1284"/>
      <c r="H169" s="1282"/>
      <c r="I169" s="1282"/>
      <c r="J169" s="609"/>
      <c r="K169" s="609"/>
    </row>
    <row r="170" spans="3:11" ht="16.5">
      <c r="C170" s="1303" t="s">
        <v>337</v>
      </c>
      <c r="D170" s="1351" t="s">
        <v>1336</v>
      </c>
      <c r="E170" s="1302">
        <v>9.31</v>
      </c>
      <c r="F170" s="1302">
        <v>7.33</v>
      </c>
      <c r="G170" s="1284"/>
      <c r="H170" s="1282"/>
      <c r="I170" s="1282"/>
      <c r="J170" s="609"/>
      <c r="K170" s="609"/>
    </row>
    <row r="171" spans="3:11" ht="16.5">
      <c r="C171" s="1303" t="s">
        <v>338</v>
      </c>
      <c r="D171" s="1351" t="s">
        <v>1336</v>
      </c>
      <c r="E171" s="1302">
        <v>9.15</v>
      </c>
      <c r="F171" s="1302">
        <v>7.67</v>
      </c>
      <c r="G171" s="1284"/>
      <c r="H171" s="1282"/>
      <c r="I171" s="1282"/>
      <c r="J171" s="609"/>
      <c r="K171" s="609"/>
    </row>
    <row r="172" spans="3:11" ht="16.5">
      <c r="C172" s="1303" t="s">
        <v>339</v>
      </c>
      <c r="D172" s="1351" t="s">
        <v>946</v>
      </c>
      <c r="E172" s="1302">
        <v>9.5399999999999991</v>
      </c>
      <c r="F172" s="1302">
        <v>8.4</v>
      </c>
      <c r="G172" s="1284"/>
      <c r="H172" s="1282"/>
      <c r="I172" s="1282"/>
      <c r="J172" s="609"/>
      <c r="K172" s="609"/>
    </row>
    <row r="173" spans="3:11" ht="16.5">
      <c r="C173" s="1303" t="s">
        <v>340</v>
      </c>
      <c r="D173" s="1351" t="s">
        <v>946</v>
      </c>
      <c r="E173" s="1302">
        <v>14.37</v>
      </c>
      <c r="F173" s="1302">
        <v>18.43</v>
      </c>
      <c r="G173" s="1284"/>
      <c r="H173" s="1282"/>
      <c r="I173" s="1282"/>
      <c r="J173" s="609"/>
      <c r="K173" s="609"/>
    </row>
    <row r="174" spans="3:11" ht="17.25" thickBot="1">
      <c r="C174" s="1736" t="s">
        <v>341</v>
      </c>
      <c r="D174" s="1737" t="s">
        <v>946</v>
      </c>
      <c r="E174" s="1738">
        <v>14.64</v>
      </c>
      <c r="F174" s="1738">
        <v>19.809999999999999</v>
      </c>
      <c r="G174" s="1284"/>
      <c r="H174" s="1282"/>
      <c r="I174" s="1282"/>
      <c r="J174" s="609"/>
      <c r="K174" s="609"/>
    </row>
    <row r="175" spans="3:11" ht="20.25">
      <c r="C175" s="933" t="s">
        <v>1776</v>
      </c>
      <c r="D175" s="1430"/>
      <c r="E175" s="1282"/>
      <c r="F175" s="1282"/>
      <c r="G175" s="1284"/>
      <c r="H175" s="1282"/>
      <c r="I175" s="1282"/>
      <c r="J175" s="609"/>
      <c r="K175" s="609"/>
    </row>
    <row r="176" spans="3:11" ht="16.5">
      <c r="C176" s="1285" t="s">
        <v>998</v>
      </c>
      <c r="D176" s="1285"/>
      <c r="E176" s="1286"/>
      <c r="F176" s="1286"/>
      <c r="G176" s="1286"/>
      <c r="H176" s="1286"/>
      <c r="I176" s="1286"/>
      <c r="J176" s="609"/>
      <c r="K176" s="609"/>
    </row>
    <row r="177" spans="3:11" ht="15.75" customHeight="1">
      <c r="C177" s="1907" t="s">
        <v>1754</v>
      </c>
      <c r="D177" s="1907"/>
      <c r="E177" s="1907"/>
      <c r="F177" s="1907"/>
      <c r="G177" s="1286"/>
      <c r="H177" s="1286"/>
      <c r="I177" s="1286"/>
      <c r="J177" s="609"/>
      <c r="K177" s="609"/>
    </row>
    <row r="178" spans="3:11" ht="15.75" customHeight="1">
      <c r="C178" s="1231"/>
      <c r="D178" s="1231"/>
      <c r="E178" s="1231"/>
      <c r="F178" s="1231"/>
      <c r="G178" s="1287"/>
      <c r="H178" s="1287"/>
      <c r="I178" s="1287"/>
      <c r="J178" s="756"/>
      <c r="K178" s="756"/>
    </row>
    <row r="179" spans="3:11" ht="15.75" customHeight="1">
      <c r="C179" s="1902"/>
      <c r="D179" s="1902"/>
      <c r="E179" s="1902"/>
      <c r="F179" s="1902"/>
      <c r="G179" s="1902"/>
      <c r="H179" s="609"/>
      <c r="I179" s="609"/>
      <c r="J179" s="609"/>
      <c r="K179" s="609"/>
    </row>
  </sheetData>
  <customSheetViews>
    <customSheetView guid="{705E0D18-9A83-42CA-8732-90923BE2EC7D}" showPageBreaks="1" showGridLines="0" printArea="1" hiddenRows="1" hiddenColumns="1" topLeftCell="C4">
      <pane xSplit="1" ySplit="64" topLeftCell="D156" activePane="bottomRight" state="frozen"/>
      <selection pane="bottomRight" activeCell="C6" sqref="C6:I162"/>
      <pageMargins left="0.26" right="0.75" top="0.52" bottom="0.6" header="0.5" footer="0.5"/>
      <printOptions horizontalCentered="1"/>
      <pageSetup scale="65" orientation="landscape" horizontalDpi="300" verticalDpi="300" r:id="rId1"/>
      <headerFooter alignWithMargins="0"/>
    </customSheetView>
    <customSheetView guid="{D45E5F9E-4EA6-40A2-8A1D-3AC67FB8CE54}" showPageBreaks="1" showGridLines="0" printArea="1" hiddenRows="1" hiddenColumns="1" topLeftCell="C4">
      <pane xSplit="1" ySplit="64" topLeftCell="D155" activePane="bottomRight" state="frozen"/>
      <selection pane="bottomRight" activeCell="D158" sqref="D158"/>
      <pageMargins left="0.26" right="0.75" top="0.52" bottom="0.6" header="0.5" footer="0.5"/>
      <printOptions horizontalCentered="1"/>
      <pageSetup scale="65" orientation="landscape" horizontalDpi="300" verticalDpi="300" r:id="rId2"/>
      <headerFooter alignWithMargins="0"/>
    </customSheetView>
    <customSheetView guid="{098C004C-808F-436E-8F18-182F927479D1}" showPageBreaks="1" showGridLines="0" printArea="1" hiddenRows="1" hiddenColumns="1" topLeftCell="C4">
      <pane xSplit="1" ySplit="64" topLeftCell="D119" activePane="bottomRight" state="frozen"/>
      <selection pane="bottomRight" activeCell="F129" sqref="F129"/>
      <pageMargins left="0.26" right="0.75" top="0.52" bottom="0.6" header="0.5" footer="0.5"/>
      <printOptions horizontalCentered="1"/>
      <pageSetup scale="65" orientation="landscape" horizontalDpi="300" verticalDpi="300" r:id="rId3"/>
      <headerFooter alignWithMargins="0"/>
    </customSheetView>
    <customSheetView guid="{89CA84C2-78F5-4B05-8F1D-B7C5F97BCB4E}" showPageBreaks="1" showGridLines="0" printArea="1" hiddenRows="1" hiddenColumns="1" topLeftCell="C4">
      <pane xSplit="1" ySplit="64" topLeftCell="D144" activePane="bottomRight" state="frozen"/>
      <selection pane="bottomRight" activeCell="F149" sqref="F149"/>
      <pageMargins left="0.26" right="0.75" top="0.52" bottom="0.6" header="0.5" footer="0.5"/>
      <printOptions horizontalCentered="1"/>
      <pageSetup scale="65" orientation="landscape" horizontalDpi="300" verticalDpi="300" r:id="rId4"/>
      <headerFooter alignWithMargins="0"/>
    </customSheetView>
  </customSheetViews>
  <mergeCells count="10">
    <mergeCell ref="C6:F6"/>
    <mergeCell ref="C179:G179"/>
    <mergeCell ref="G15:H15"/>
    <mergeCell ref="G16:H16"/>
    <mergeCell ref="C177:F177"/>
    <mergeCell ref="C8:E8"/>
    <mergeCell ref="D65:F65"/>
    <mergeCell ref="G65:I65"/>
    <mergeCell ref="E66:F66"/>
    <mergeCell ref="H66:I66"/>
  </mergeCells>
  <phoneticPr fontId="52" type="noConversion"/>
  <printOptions horizontalCentered="1"/>
  <pageMargins left="0.26" right="0.75" top="0.52" bottom="0.6" header="0.5" footer="0.5"/>
  <pageSetup scale="65" orientation="landscape" horizontalDpi="300" verticalDpi="300" r:id="rId5"/>
  <headerFooter alignWithMargins="0"/>
  <drawing r:id="rId6"/>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theme="9"/>
    <pageSetUpPr autoPageBreaks="0"/>
  </sheetPr>
  <dimension ref="A1:K501"/>
  <sheetViews>
    <sheetView showGridLines="0" showOutlineSymbols="0" zoomScale="75" zoomScaleNormal="70" zoomScaleSheetLayoutView="75" workbookViewId="0">
      <pane xSplit="1" ySplit="9" topLeftCell="B305" activePane="bottomRight" state="frozen"/>
      <selection activeCell="J193" sqref="J193"/>
      <selection pane="topRight" activeCell="J193" sqref="J193"/>
      <selection pane="bottomLeft" activeCell="J193" sqref="J193"/>
      <selection pane="bottomRight" activeCell="J193" sqref="J193"/>
    </sheetView>
  </sheetViews>
  <sheetFormatPr defaultColWidth="9.77734375" defaultRowHeight="15.75"/>
  <cols>
    <col min="1" max="1" width="17.44140625" style="24" customWidth="1"/>
    <col min="2" max="2" width="18.21875" style="24" customWidth="1"/>
    <col min="3" max="3" width="17.44140625" style="24" customWidth="1"/>
    <col min="4" max="5" width="17.44140625" style="24" hidden="1" customWidth="1"/>
    <col min="6" max="6" width="29.44140625" style="24" hidden="1" customWidth="1"/>
    <col min="7" max="7" width="17.44140625" style="24" hidden="1" customWidth="1"/>
    <col min="8" max="8" width="17.77734375" style="24" hidden="1" customWidth="1"/>
    <col min="9" max="11" width="17.44140625" style="24" customWidth="1"/>
    <col min="12" max="12" width="1.77734375" style="24" customWidth="1"/>
    <col min="13" max="16384" width="9.77734375" style="24"/>
  </cols>
  <sheetData>
    <row r="1" spans="1:11" ht="18.75" customHeight="1">
      <c r="A1" s="1915" t="s">
        <v>1756</v>
      </c>
      <c r="B1" s="1915"/>
      <c r="C1" s="1915"/>
      <c r="D1" s="1915"/>
      <c r="E1" s="1915"/>
      <c r="F1" s="1915"/>
      <c r="G1" s="1915"/>
      <c r="H1" s="1915"/>
      <c r="I1" s="23"/>
      <c r="J1" s="23"/>
      <c r="K1" s="23"/>
    </row>
    <row r="2" spans="1:11" ht="18" customHeight="1" thickBot="1">
      <c r="A2" s="970"/>
      <c r="B2" s="970"/>
      <c r="C2" s="970"/>
      <c r="D2" s="970"/>
      <c r="E2" s="970"/>
      <c r="F2" s="970" t="s">
        <v>296</v>
      </c>
      <c r="G2" s="970"/>
      <c r="H2" s="970"/>
      <c r="I2" s="23"/>
      <c r="J2" s="23"/>
      <c r="K2" s="23"/>
    </row>
    <row r="3" spans="1:11" ht="12.75" customHeight="1" thickTop="1">
      <c r="A3" s="1453"/>
      <c r="B3" s="1453"/>
      <c r="C3" s="1443"/>
      <c r="D3" s="1443"/>
      <c r="E3" s="1444"/>
      <c r="F3" s="1436"/>
      <c r="G3" s="971"/>
      <c r="H3" s="973"/>
      <c r="I3" s="25"/>
      <c r="J3" s="23"/>
      <c r="K3" s="23"/>
    </row>
    <row r="4" spans="1:11" ht="12.75" customHeight="1">
      <c r="A4" s="1454"/>
      <c r="B4" s="1916" t="s">
        <v>1158</v>
      </c>
      <c r="C4" s="1915"/>
      <c r="D4" s="1915"/>
      <c r="E4" s="1917"/>
      <c r="F4" s="975" t="s">
        <v>1157</v>
      </c>
      <c r="G4" s="974"/>
      <c r="H4" s="975"/>
      <c r="I4" s="25"/>
      <c r="J4" s="23"/>
      <c r="K4" s="23"/>
    </row>
    <row r="5" spans="1:11" ht="12.75" customHeight="1">
      <c r="A5" s="1454"/>
      <c r="B5" s="1454"/>
      <c r="C5" s="970"/>
      <c r="D5" s="970"/>
      <c r="E5" s="1445"/>
      <c r="F5" s="977"/>
      <c r="G5" s="970"/>
      <c r="H5" s="977"/>
      <c r="I5" s="25"/>
      <c r="J5" s="23"/>
      <c r="K5" s="23"/>
    </row>
    <row r="6" spans="1:11" ht="12.75" customHeight="1" thickBot="1">
      <c r="A6" s="1454"/>
      <c r="B6" s="1454"/>
      <c r="C6" s="970"/>
      <c r="D6" s="970"/>
      <c r="E6" s="1445"/>
      <c r="F6" s="977"/>
      <c r="G6" s="970"/>
      <c r="H6" s="977"/>
      <c r="I6" s="25"/>
      <c r="J6" s="23"/>
      <c r="K6" s="23"/>
    </row>
    <row r="7" spans="1:11" ht="12.75" customHeight="1" thickTop="1" thickBot="1">
      <c r="A7" s="1713"/>
      <c r="B7" s="971"/>
      <c r="C7" s="1455"/>
      <c r="D7" s="1455"/>
      <c r="E7" s="1456"/>
      <c r="F7" s="1436"/>
      <c r="G7" s="971"/>
      <c r="H7" s="972"/>
      <c r="I7" s="25"/>
      <c r="J7" s="23"/>
      <c r="K7" s="23"/>
    </row>
    <row r="8" spans="1:11" ht="12.75" customHeight="1">
      <c r="A8" s="1714" t="s">
        <v>263</v>
      </c>
      <c r="B8" s="1725" t="s">
        <v>786</v>
      </c>
      <c r="C8" s="1725" t="s">
        <v>787</v>
      </c>
      <c r="D8" s="979" t="s">
        <v>421</v>
      </c>
      <c r="E8" s="1446" t="s">
        <v>422</v>
      </c>
      <c r="F8" s="1429" t="s">
        <v>787</v>
      </c>
      <c r="G8" s="979" t="s">
        <v>421</v>
      </c>
      <c r="H8" s="978" t="s">
        <v>422</v>
      </c>
      <c r="I8" s="25"/>
      <c r="J8" s="23"/>
      <c r="K8" s="23"/>
    </row>
    <row r="9" spans="1:11" ht="12.75" customHeight="1" thickBot="1">
      <c r="A9" s="1715"/>
      <c r="B9" s="1715"/>
      <c r="C9" s="1715"/>
      <c r="D9" s="970"/>
      <c r="E9" s="1457"/>
      <c r="F9" s="977"/>
      <c r="G9" s="970"/>
      <c r="H9" s="976"/>
      <c r="I9" s="25"/>
      <c r="J9" s="23"/>
      <c r="K9" s="23"/>
    </row>
    <row r="10" spans="1:11" ht="18" customHeight="1" thickTop="1">
      <c r="A10" s="1716"/>
      <c r="B10" s="1726"/>
      <c r="C10" s="1726"/>
      <c r="D10" s="971"/>
      <c r="E10" s="1456"/>
      <c r="F10" s="1436"/>
      <c r="G10" s="971"/>
      <c r="H10" s="972"/>
      <c r="I10" s="25"/>
      <c r="J10" s="23"/>
      <c r="K10" s="23"/>
    </row>
    <row r="11" spans="1:11" ht="12.75" hidden="1" customHeight="1">
      <c r="A11" s="1714">
        <v>1999</v>
      </c>
      <c r="B11" s="1715"/>
      <c r="C11" s="1715"/>
      <c r="D11" s="970"/>
      <c r="E11" s="1457"/>
      <c r="F11" s="977"/>
      <c r="G11" s="970"/>
      <c r="H11" s="976"/>
      <c r="I11" s="25"/>
      <c r="J11" s="23"/>
      <c r="K11" s="23"/>
    </row>
    <row r="12" spans="1:11" ht="12.75" hidden="1" customHeight="1">
      <c r="A12" s="1714"/>
      <c r="B12" s="1714"/>
      <c r="C12" s="1714"/>
      <c r="D12" s="979"/>
      <c r="E12" s="1446"/>
      <c r="F12" s="1429"/>
      <c r="G12" s="979"/>
      <c r="H12" s="978"/>
      <c r="I12" s="25"/>
      <c r="J12" s="23"/>
      <c r="K12" s="23"/>
    </row>
    <row r="13" spans="1:11" ht="12.75" hidden="1" customHeight="1">
      <c r="A13" s="1717" t="s">
        <v>307</v>
      </c>
      <c r="B13" s="1714" t="s">
        <v>788</v>
      </c>
      <c r="C13" s="1714" t="s">
        <v>789</v>
      </c>
      <c r="D13" s="979" t="s">
        <v>790</v>
      </c>
      <c r="E13" s="1446" t="s">
        <v>791</v>
      </c>
      <c r="F13" s="1429" t="s">
        <v>792</v>
      </c>
      <c r="G13" s="979" t="s">
        <v>793</v>
      </c>
      <c r="H13" s="978" t="s">
        <v>794</v>
      </c>
      <c r="I13" s="25"/>
      <c r="J13" s="23"/>
      <c r="K13" s="23"/>
    </row>
    <row r="14" spans="1:11" ht="12.75" hidden="1" customHeight="1">
      <c r="A14" s="1717" t="s">
        <v>308</v>
      </c>
      <c r="B14" s="1714" t="s">
        <v>788</v>
      </c>
      <c r="C14" s="1714" t="s">
        <v>789</v>
      </c>
      <c r="D14" s="979" t="s">
        <v>595</v>
      </c>
      <c r="E14" s="1446" t="s">
        <v>791</v>
      </c>
      <c r="F14" s="1429" t="s">
        <v>795</v>
      </c>
      <c r="G14" s="979" t="s">
        <v>612</v>
      </c>
      <c r="H14" s="978" t="s">
        <v>796</v>
      </c>
      <c r="I14" s="25"/>
      <c r="J14" s="23"/>
      <c r="K14" s="23"/>
    </row>
    <row r="15" spans="1:11" ht="12.75" hidden="1" customHeight="1">
      <c r="A15" s="1717" t="s">
        <v>311</v>
      </c>
      <c r="B15" s="1714" t="s">
        <v>788</v>
      </c>
      <c r="C15" s="1714" t="s">
        <v>797</v>
      </c>
      <c r="D15" s="979" t="s">
        <v>798</v>
      </c>
      <c r="E15" s="1446" t="s">
        <v>799</v>
      </c>
      <c r="F15" s="1429" t="s">
        <v>800</v>
      </c>
      <c r="G15" s="979" t="s">
        <v>801</v>
      </c>
      <c r="H15" s="978" t="s">
        <v>796</v>
      </c>
      <c r="I15" s="25"/>
      <c r="J15" s="23"/>
      <c r="K15" s="23"/>
    </row>
    <row r="16" spans="1:11" ht="12.75" hidden="1" customHeight="1">
      <c r="A16" s="1717"/>
      <c r="B16" s="1727"/>
      <c r="C16" s="1727"/>
      <c r="D16" s="981"/>
      <c r="E16" s="1458"/>
      <c r="F16" s="1437"/>
      <c r="G16" s="981"/>
      <c r="H16" s="980"/>
      <c r="I16" s="25"/>
      <c r="J16" s="23"/>
      <c r="K16" s="23"/>
    </row>
    <row r="17" spans="1:11" ht="12.75" hidden="1" customHeight="1">
      <c r="A17" s="1714" t="s">
        <v>710</v>
      </c>
      <c r="B17" s="1727"/>
      <c r="C17" s="1714"/>
      <c r="D17" s="981"/>
      <c r="E17" s="1458"/>
      <c r="F17" s="1437"/>
      <c r="G17" s="981"/>
      <c r="H17" s="980"/>
      <c r="I17" s="25"/>
      <c r="J17" s="23"/>
      <c r="K17" s="23"/>
    </row>
    <row r="18" spans="1:11" ht="12.75" hidden="1" customHeight="1">
      <c r="A18" s="1714"/>
      <c r="B18" s="1727"/>
      <c r="C18" s="1727"/>
      <c r="D18" s="981"/>
      <c r="E18" s="1458"/>
      <c r="F18" s="1437"/>
      <c r="G18" s="981"/>
      <c r="H18" s="980"/>
      <c r="I18" s="25"/>
      <c r="J18" s="23"/>
      <c r="K18" s="23"/>
    </row>
    <row r="19" spans="1:11" ht="12.75" hidden="1" customHeight="1">
      <c r="A19" s="1717" t="s">
        <v>298</v>
      </c>
      <c r="B19" s="1714" t="s">
        <v>788</v>
      </c>
      <c r="C19" s="1714" t="s">
        <v>803</v>
      </c>
      <c r="D19" s="979" t="s">
        <v>804</v>
      </c>
      <c r="E19" s="1446" t="s">
        <v>799</v>
      </c>
      <c r="F19" s="1429" t="s">
        <v>805</v>
      </c>
      <c r="G19" s="979" t="s">
        <v>806</v>
      </c>
      <c r="H19" s="978" t="s">
        <v>807</v>
      </c>
      <c r="I19" s="25"/>
      <c r="J19" s="23"/>
      <c r="K19" s="23"/>
    </row>
    <row r="20" spans="1:11" ht="12.75" hidden="1" customHeight="1">
      <c r="A20" s="1717" t="s">
        <v>299</v>
      </c>
      <c r="B20" s="1714" t="s">
        <v>788</v>
      </c>
      <c r="C20" s="1714" t="s">
        <v>803</v>
      </c>
      <c r="D20" s="979" t="s">
        <v>808</v>
      </c>
      <c r="E20" s="1446" t="s">
        <v>799</v>
      </c>
      <c r="F20" s="1429" t="s">
        <v>809</v>
      </c>
      <c r="G20" s="979" t="s">
        <v>810</v>
      </c>
      <c r="H20" s="978" t="s">
        <v>794</v>
      </c>
      <c r="I20" s="25"/>
      <c r="J20" s="23"/>
      <c r="K20" s="23"/>
    </row>
    <row r="21" spans="1:11" ht="12.75" hidden="1" customHeight="1">
      <c r="A21" s="1717" t="s">
        <v>300</v>
      </c>
      <c r="B21" s="1714" t="s">
        <v>788</v>
      </c>
      <c r="C21" s="1714" t="s">
        <v>811</v>
      </c>
      <c r="D21" s="979" t="s">
        <v>808</v>
      </c>
      <c r="E21" s="1446" t="s">
        <v>799</v>
      </c>
      <c r="F21" s="1429" t="s">
        <v>812</v>
      </c>
      <c r="G21" s="979" t="s">
        <v>813</v>
      </c>
      <c r="H21" s="978" t="s">
        <v>796</v>
      </c>
      <c r="I21" s="25"/>
      <c r="J21" s="23"/>
      <c r="K21" s="23"/>
    </row>
    <row r="22" spans="1:11" ht="12.75" hidden="1" customHeight="1">
      <c r="A22" s="1717" t="s">
        <v>301</v>
      </c>
      <c r="B22" s="1714" t="s">
        <v>788</v>
      </c>
      <c r="C22" s="1714" t="s">
        <v>814</v>
      </c>
      <c r="D22" s="979" t="s">
        <v>815</v>
      </c>
      <c r="E22" s="1446" t="s">
        <v>817</v>
      </c>
      <c r="F22" s="1429" t="s">
        <v>818</v>
      </c>
      <c r="G22" s="979" t="s">
        <v>819</v>
      </c>
      <c r="H22" s="978" t="s">
        <v>794</v>
      </c>
      <c r="I22" s="25"/>
      <c r="J22" s="23"/>
      <c r="K22" s="23"/>
    </row>
    <row r="23" spans="1:11" ht="12.75" hidden="1" customHeight="1">
      <c r="A23" s="1717" t="s">
        <v>302</v>
      </c>
      <c r="B23" s="1714" t="s">
        <v>788</v>
      </c>
      <c r="C23" s="1714" t="s">
        <v>820</v>
      </c>
      <c r="D23" s="979" t="s">
        <v>821</v>
      </c>
      <c r="E23" s="1446" t="s">
        <v>817</v>
      </c>
      <c r="F23" s="1429" t="s">
        <v>822</v>
      </c>
      <c r="G23" s="979" t="s">
        <v>823</v>
      </c>
      <c r="H23" s="978" t="s">
        <v>794</v>
      </c>
      <c r="I23" s="25"/>
      <c r="J23" s="23"/>
      <c r="K23" s="23"/>
    </row>
    <row r="24" spans="1:11" ht="12.75" hidden="1" customHeight="1">
      <c r="A24" s="1717" t="s">
        <v>303</v>
      </c>
      <c r="B24" s="1714" t="s">
        <v>788</v>
      </c>
      <c r="C24" s="1714" t="s">
        <v>820</v>
      </c>
      <c r="D24" s="979" t="s">
        <v>821</v>
      </c>
      <c r="E24" s="1446" t="s">
        <v>817</v>
      </c>
      <c r="F24" s="1429" t="s">
        <v>824</v>
      </c>
      <c r="G24" s="979" t="s">
        <v>825</v>
      </c>
      <c r="H24" s="978" t="s">
        <v>794</v>
      </c>
      <c r="I24" s="25"/>
      <c r="J24" s="23"/>
      <c r="K24" s="23"/>
    </row>
    <row r="25" spans="1:11" ht="12.75" hidden="1" customHeight="1">
      <c r="A25" s="1717" t="s">
        <v>304</v>
      </c>
      <c r="B25" s="1714" t="s">
        <v>788</v>
      </c>
      <c r="C25" s="1714" t="s">
        <v>826</v>
      </c>
      <c r="D25" s="979" t="s">
        <v>821</v>
      </c>
      <c r="E25" s="1446" t="s">
        <v>827</v>
      </c>
      <c r="F25" s="1429" t="s">
        <v>828</v>
      </c>
      <c r="G25" s="979" t="s">
        <v>825</v>
      </c>
      <c r="H25" s="978" t="s">
        <v>794</v>
      </c>
      <c r="I25" s="25"/>
      <c r="J25" s="23"/>
      <c r="K25" s="23"/>
    </row>
    <row r="26" spans="1:11" ht="12.75" hidden="1" customHeight="1">
      <c r="A26" s="1717" t="s">
        <v>305</v>
      </c>
      <c r="B26" s="1714" t="s">
        <v>788</v>
      </c>
      <c r="C26" s="1714" t="s">
        <v>829</v>
      </c>
      <c r="D26" s="979" t="s">
        <v>821</v>
      </c>
      <c r="E26" s="1446" t="s">
        <v>830</v>
      </c>
      <c r="F26" s="1429" t="s">
        <v>468</v>
      </c>
      <c r="G26" s="979" t="s">
        <v>582</v>
      </c>
      <c r="H26" s="978" t="s">
        <v>831</v>
      </c>
      <c r="I26" s="25"/>
      <c r="J26" s="23"/>
      <c r="K26" s="23"/>
    </row>
    <row r="27" spans="1:11" ht="12.75" hidden="1" customHeight="1">
      <c r="A27" s="1717" t="s">
        <v>306</v>
      </c>
      <c r="B27" s="1714" t="s">
        <v>832</v>
      </c>
      <c r="C27" s="1714" t="s">
        <v>833</v>
      </c>
      <c r="D27" s="979" t="s">
        <v>834</v>
      </c>
      <c r="E27" s="1446" t="s">
        <v>835</v>
      </c>
      <c r="F27" s="1429" t="s">
        <v>836</v>
      </c>
      <c r="G27" s="979" t="s">
        <v>794</v>
      </c>
      <c r="H27" s="978" t="s">
        <v>837</v>
      </c>
      <c r="I27" s="25"/>
      <c r="J27" s="23"/>
      <c r="K27" s="23"/>
    </row>
    <row r="28" spans="1:11" ht="12.75" hidden="1" customHeight="1">
      <c r="A28" s="1717" t="s">
        <v>307</v>
      </c>
      <c r="B28" s="1714" t="s">
        <v>838</v>
      </c>
      <c r="C28" s="1714" t="s">
        <v>839</v>
      </c>
      <c r="D28" s="979" t="s">
        <v>840</v>
      </c>
      <c r="E28" s="1446" t="s">
        <v>835</v>
      </c>
      <c r="F28" s="1429" t="s">
        <v>481</v>
      </c>
      <c r="G28" s="979" t="s">
        <v>841</v>
      </c>
      <c r="H28" s="978" t="s">
        <v>842</v>
      </c>
      <c r="I28" s="25"/>
      <c r="J28" s="23"/>
      <c r="K28" s="23"/>
    </row>
    <row r="29" spans="1:11" ht="12.75" hidden="1" customHeight="1">
      <c r="A29" s="1717" t="s">
        <v>308</v>
      </c>
      <c r="B29" s="1714" t="s">
        <v>843</v>
      </c>
      <c r="C29" s="1714" t="s">
        <v>839</v>
      </c>
      <c r="D29" s="979" t="s">
        <v>840</v>
      </c>
      <c r="E29" s="1446" t="s">
        <v>835</v>
      </c>
      <c r="F29" s="1429" t="s">
        <v>481</v>
      </c>
      <c r="G29" s="979" t="s">
        <v>841</v>
      </c>
      <c r="H29" s="978" t="s">
        <v>842</v>
      </c>
      <c r="I29" s="25"/>
      <c r="J29" s="23"/>
      <c r="K29" s="23"/>
    </row>
    <row r="30" spans="1:11" ht="12.75" hidden="1" customHeight="1">
      <c r="A30" s="1717" t="s">
        <v>311</v>
      </c>
      <c r="B30" s="1714" t="s">
        <v>832</v>
      </c>
      <c r="C30" s="1714" t="s">
        <v>839</v>
      </c>
      <c r="D30" s="979" t="s">
        <v>844</v>
      </c>
      <c r="E30" s="1446" t="s">
        <v>835</v>
      </c>
      <c r="F30" s="1429" t="s">
        <v>848</v>
      </c>
      <c r="G30" s="979" t="s">
        <v>841</v>
      </c>
      <c r="H30" s="978" t="s">
        <v>842</v>
      </c>
      <c r="I30" s="25"/>
      <c r="J30" s="23"/>
      <c r="K30" s="23"/>
    </row>
    <row r="31" spans="1:11" ht="12.75" hidden="1" customHeight="1">
      <c r="A31" s="1717"/>
      <c r="B31" s="1714"/>
      <c r="C31" s="1714"/>
      <c r="D31" s="979"/>
      <c r="E31" s="1446"/>
      <c r="F31" s="1429"/>
      <c r="G31" s="979"/>
      <c r="H31" s="978"/>
      <c r="I31" s="25"/>
      <c r="J31" s="23"/>
      <c r="K31" s="23"/>
    </row>
    <row r="32" spans="1:11" ht="12.75" hidden="1" customHeight="1">
      <c r="A32" s="1714">
        <v>2001</v>
      </c>
      <c r="B32" s="1714"/>
      <c r="C32" s="1714"/>
      <c r="D32" s="979"/>
      <c r="E32" s="1446"/>
      <c r="F32" s="1429"/>
      <c r="G32" s="979"/>
      <c r="H32" s="978"/>
      <c r="I32" s="25"/>
      <c r="J32" s="23"/>
      <c r="K32" s="23"/>
    </row>
    <row r="33" spans="1:11" ht="12.75" hidden="1" customHeight="1">
      <c r="A33" s="1717"/>
      <c r="B33" s="1714"/>
      <c r="C33" s="1714"/>
      <c r="D33" s="979"/>
      <c r="E33" s="1446"/>
      <c r="F33" s="1429"/>
      <c r="G33" s="979"/>
      <c r="H33" s="978"/>
      <c r="I33" s="25"/>
      <c r="J33" s="23"/>
      <c r="K33" s="23"/>
    </row>
    <row r="34" spans="1:11" ht="12.75" hidden="1" customHeight="1">
      <c r="A34" s="1717" t="s">
        <v>298</v>
      </c>
      <c r="B34" s="1714" t="s">
        <v>849</v>
      </c>
      <c r="C34" s="1714" t="s">
        <v>850</v>
      </c>
      <c r="D34" s="979" t="s">
        <v>851</v>
      </c>
      <c r="E34" s="1446" t="s">
        <v>852</v>
      </c>
      <c r="F34" s="1429" t="s">
        <v>853</v>
      </c>
      <c r="G34" s="979" t="s">
        <v>854</v>
      </c>
      <c r="H34" s="978" t="s">
        <v>785</v>
      </c>
      <c r="I34" s="25"/>
      <c r="J34" s="23"/>
      <c r="K34" s="23"/>
    </row>
    <row r="35" spans="1:11" ht="12.75" hidden="1" customHeight="1">
      <c r="A35" s="1717" t="s">
        <v>299</v>
      </c>
      <c r="B35" s="1714" t="s">
        <v>855</v>
      </c>
      <c r="C35" s="1714" t="s">
        <v>856</v>
      </c>
      <c r="D35" s="979" t="s">
        <v>857</v>
      </c>
      <c r="E35" s="1446" t="s">
        <v>858</v>
      </c>
      <c r="F35" s="1429" t="s">
        <v>859</v>
      </c>
      <c r="G35" s="979" t="s">
        <v>860</v>
      </c>
      <c r="H35" s="978" t="s">
        <v>861</v>
      </c>
      <c r="I35" s="25"/>
      <c r="J35" s="23"/>
      <c r="K35" s="23"/>
    </row>
    <row r="36" spans="1:11" ht="12.75" hidden="1" customHeight="1">
      <c r="A36" s="1717" t="s">
        <v>300</v>
      </c>
      <c r="B36" s="1714" t="s">
        <v>855</v>
      </c>
      <c r="C36" s="1714" t="s">
        <v>862</v>
      </c>
      <c r="D36" s="979" t="s">
        <v>863</v>
      </c>
      <c r="E36" s="1446" t="s">
        <v>858</v>
      </c>
      <c r="F36" s="1429" t="s">
        <v>864</v>
      </c>
      <c r="G36" s="979" t="s">
        <v>865</v>
      </c>
      <c r="H36" s="982">
        <v>15</v>
      </c>
      <c r="I36" s="25"/>
      <c r="J36" s="23"/>
      <c r="K36" s="23"/>
    </row>
    <row r="37" spans="1:11" ht="12.75" hidden="1" customHeight="1">
      <c r="A37" s="1717" t="s">
        <v>301</v>
      </c>
      <c r="B37" s="1714" t="s">
        <v>866</v>
      </c>
      <c r="C37" s="1714" t="s">
        <v>867</v>
      </c>
      <c r="D37" s="979" t="s">
        <v>868</v>
      </c>
      <c r="E37" s="1446" t="s">
        <v>869</v>
      </c>
      <c r="F37" s="1429" t="s">
        <v>870</v>
      </c>
      <c r="G37" s="979" t="s">
        <v>871</v>
      </c>
      <c r="H37" s="982" t="s">
        <v>861</v>
      </c>
      <c r="I37" s="25"/>
      <c r="J37" s="23"/>
      <c r="K37" s="23"/>
    </row>
    <row r="38" spans="1:11" ht="12.75" hidden="1" customHeight="1">
      <c r="A38" s="1717" t="s">
        <v>302</v>
      </c>
      <c r="B38" s="1714" t="s">
        <v>866</v>
      </c>
      <c r="C38" s="1714" t="s">
        <v>872</v>
      </c>
      <c r="D38" s="979" t="s">
        <v>873</v>
      </c>
      <c r="E38" s="1446" t="s">
        <v>873</v>
      </c>
      <c r="F38" s="1429" t="s">
        <v>874</v>
      </c>
      <c r="G38" s="979" t="s">
        <v>875</v>
      </c>
      <c r="H38" s="982">
        <v>15</v>
      </c>
      <c r="I38" s="25"/>
      <c r="J38" s="23"/>
      <c r="K38" s="23"/>
    </row>
    <row r="39" spans="1:11" ht="12.75" hidden="1" customHeight="1">
      <c r="A39" s="1717" t="s">
        <v>303</v>
      </c>
      <c r="B39" s="1714" t="s">
        <v>876</v>
      </c>
      <c r="C39" s="1714" t="s">
        <v>872</v>
      </c>
      <c r="D39" s="979" t="s">
        <v>873</v>
      </c>
      <c r="E39" s="1446" t="s">
        <v>873</v>
      </c>
      <c r="F39" s="1429" t="s">
        <v>877</v>
      </c>
      <c r="G39" s="979" t="s">
        <v>878</v>
      </c>
      <c r="H39" s="982" t="s">
        <v>879</v>
      </c>
      <c r="I39" s="25"/>
      <c r="J39" s="23"/>
      <c r="K39" s="23"/>
    </row>
    <row r="40" spans="1:11" ht="12.75" hidden="1" customHeight="1">
      <c r="A40" s="1717" t="s">
        <v>304</v>
      </c>
      <c r="B40" s="1714" t="s">
        <v>880</v>
      </c>
      <c r="C40" s="1714" t="s">
        <v>867</v>
      </c>
      <c r="D40" s="979" t="s">
        <v>881</v>
      </c>
      <c r="E40" s="1446" t="s">
        <v>882</v>
      </c>
      <c r="F40" s="1429" t="s">
        <v>883</v>
      </c>
      <c r="G40" s="979" t="s">
        <v>878</v>
      </c>
      <c r="H40" s="982" t="s">
        <v>879</v>
      </c>
      <c r="I40" s="25"/>
      <c r="J40" s="23"/>
      <c r="K40" s="23"/>
    </row>
    <row r="41" spans="1:11" ht="12.75" hidden="1" customHeight="1">
      <c r="A41" s="1717" t="s">
        <v>305</v>
      </c>
      <c r="B41" s="1714" t="s">
        <v>880</v>
      </c>
      <c r="C41" s="1714" t="s">
        <v>872</v>
      </c>
      <c r="D41" s="979" t="s">
        <v>881</v>
      </c>
      <c r="E41" s="1446" t="s">
        <v>882</v>
      </c>
      <c r="F41" s="1429" t="s">
        <v>884</v>
      </c>
      <c r="G41" s="979" t="s">
        <v>554</v>
      </c>
      <c r="H41" s="982" t="s">
        <v>861</v>
      </c>
      <c r="I41" s="25"/>
      <c r="J41" s="23"/>
      <c r="K41" s="23"/>
    </row>
    <row r="42" spans="1:11" ht="12.75" hidden="1" customHeight="1">
      <c r="A42" s="1717" t="s">
        <v>306</v>
      </c>
      <c r="B42" s="1714" t="s">
        <v>880</v>
      </c>
      <c r="C42" s="1714" t="s">
        <v>885</v>
      </c>
      <c r="D42" s="979" t="s">
        <v>886</v>
      </c>
      <c r="E42" s="1446" t="s">
        <v>882</v>
      </c>
      <c r="F42" s="1429" t="s">
        <v>887</v>
      </c>
      <c r="G42" s="979" t="s">
        <v>554</v>
      </c>
      <c r="H42" s="982">
        <v>15</v>
      </c>
      <c r="I42" s="25"/>
      <c r="J42" s="23"/>
      <c r="K42" s="23"/>
    </row>
    <row r="43" spans="1:11" ht="12.75" hidden="1" customHeight="1">
      <c r="A43" s="1717" t="s">
        <v>307</v>
      </c>
      <c r="B43" s="1714" t="s">
        <v>880</v>
      </c>
      <c r="C43" s="1714" t="s">
        <v>511</v>
      </c>
      <c r="D43" s="979" t="s">
        <v>888</v>
      </c>
      <c r="E43" s="1446" t="s">
        <v>882</v>
      </c>
      <c r="F43" s="1429" t="s">
        <v>889</v>
      </c>
      <c r="G43" s="979" t="s">
        <v>890</v>
      </c>
      <c r="H43" s="982">
        <v>15</v>
      </c>
      <c r="I43" s="25"/>
      <c r="J43" s="23"/>
      <c r="K43" s="23"/>
    </row>
    <row r="44" spans="1:11" ht="12.75" hidden="1" customHeight="1">
      <c r="A44" s="1717" t="s">
        <v>308</v>
      </c>
      <c r="B44" s="1714" t="s">
        <v>880</v>
      </c>
      <c r="C44" s="1714" t="s">
        <v>891</v>
      </c>
      <c r="D44" s="979" t="s">
        <v>892</v>
      </c>
      <c r="E44" s="1446" t="s">
        <v>893</v>
      </c>
      <c r="F44" s="1429" t="s">
        <v>894</v>
      </c>
      <c r="G44" s="979" t="s">
        <v>895</v>
      </c>
      <c r="H44" s="982" t="s">
        <v>896</v>
      </c>
      <c r="I44" s="25"/>
      <c r="J44" s="23"/>
      <c r="K44" s="23"/>
    </row>
    <row r="45" spans="1:11" ht="12.75" hidden="1" customHeight="1">
      <c r="A45" s="1717" t="s">
        <v>311</v>
      </c>
      <c r="B45" s="1714" t="s">
        <v>880</v>
      </c>
      <c r="C45" s="1714" t="s">
        <v>897</v>
      </c>
      <c r="D45" s="979" t="s">
        <v>898</v>
      </c>
      <c r="E45" s="1446" t="s">
        <v>924</v>
      </c>
      <c r="F45" s="1438" t="s">
        <v>925</v>
      </c>
      <c r="G45" s="979" t="s">
        <v>526</v>
      </c>
      <c r="H45" s="982" t="s">
        <v>895</v>
      </c>
      <c r="I45" s="25"/>
      <c r="J45" s="23"/>
      <c r="K45" s="23"/>
    </row>
    <row r="46" spans="1:11" ht="12.75" hidden="1" customHeight="1">
      <c r="A46" s="1717"/>
      <c r="B46" s="1714"/>
      <c r="C46" s="1714"/>
      <c r="D46" s="979"/>
      <c r="E46" s="1446"/>
      <c r="F46" s="1429"/>
      <c r="G46" s="979"/>
      <c r="H46" s="982"/>
      <c r="I46" s="25"/>
      <c r="J46" s="23"/>
      <c r="K46" s="23"/>
    </row>
    <row r="47" spans="1:11" ht="12.75" hidden="1" customHeight="1">
      <c r="A47" s="1714">
        <v>2002</v>
      </c>
      <c r="B47" s="1715"/>
      <c r="C47" s="1715"/>
      <c r="D47" s="970"/>
      <c r="E47" s="1457"/>
      <c r="F47" s="977"/>
      <c r="G47" s="970"/>
      <c r="H47" s="976"/>
      <c r="I47" s="25"/>
      <c r="J47" s="23"/>
      <c r="K47" s="23"/>
    </row>
    <row r="48" spans="1:11" ht="12.75" hidden="1" customHeight="1">
      <c r="A48" s="1717"/>
      <c r="B48" s="1715"/>
      <c r="C48" s="1715"/>
      <c r="D48" s="970"/>
      <c r="E48" s="1457"/>
      <c r="F48" s="977"/>
      <c r="G48" s="970"/>
      <c r="H48" s="976"/>
      <c r="I48" s="25"/>
      <c r="J48" s="23"/>
      <c r="K48" s="23"/>
    </row>
    <row r="49" spans="1:11" ht="12.75" hidden="1" customHeight="1">
      <c r="A49" s="1717" t="s">
        <v>298</v>
      </c>
      <c r="B49" s="1714" t="s">
        <v>880</v>
      </c>
      <c r="C49" s="1714" t="s">
        <v>926</v>
      </c>
      <c r="D49" s="979" t="s">
        <v>927</v>
      </c>
      <c r="E49" s="1446" t="s">
        <v>928</v>
      </c>
      <c r="F49" s="1429" t="s">
        <v>925</v>
      </c>
      <c r="G49" s="979" t="s">
        <v>560</v>
      </c>
      <c r="H49" s="982" t="s">
        <v>929</v>
      </c>
      <c r="I49" s="25"/>
      <c r="J49" s="23"/>
      <c r="K49" s="23"/>
    </row>
    <row r="50" spans="1:11" ht="12.75" hidden="1" customHeight="1">
      <c r="A50" s="1717" t="s">
        <v>299</v>
      </c>
      <c r="B50" s="1714" t="s">
        <v>880</v>
      </c>
      <c r="C50" s="1714" t="s">
        <v>930</v>
      </c>
      <c r="D50" s="979" t="s">
        <v>931</v>
      </c>
      <c r="E50" s="1446" t="s">
        <v>932</v>
      </c>
      <c r="F50" s="1429" t="s">
        <v>933</v>
      </c>
      <c r="G50" s="979" t="s">
        <v>605</v>
      </c>
      <c r="H50" s="982" t="s">
        <v>934</v>
      </c>
      <c r="I50" s="25"/>
      <c r="J50" s="23"/>
      <c r="K50" s="23"/>
    </row>
    <row r="51" spans="1:11" ht="12.75" hidden="1" customHeight="1">
      <c r="A51" s="1717" t="s">
        <v>300</v>
      </c>
      <c r="B51" s="1714" t="s">
        <v>880</v>
      </c>
      <c r="C51" s="1714" t="s">
        <v>935</v>
      </c>
      <c r="D51" s="979" t="s">
        <v>936</v>
      </c>
      <c r="E51" s="1446" t="s">
        <v>937</v>
      </c>
      <c r="F51" s="1429" t="s">
        <v>938</v>
      </c>
      <c r="G51" s="979" t="s">
        <v>939</v>
      </c>
      <c r="H51" s="982" t="s">
        <v>940</v>
      </c>
      <c r="I51" s="25"/>
      <c r="J51" s="23"/>
      <c r="K51" s="23"/>
    </row>
    <row r="52" spans="1:11" ht="12.75" hidden="1" customHeight="1">
      <c r="A52" s="1717" t="s">
        <v>410</v>
      </c>
      <c r="B52" s="1714" t="s">
        <v>880</v>
      </c>
      <c r="C52" s="1714" t="s">
        <v>930</v>
      </c>
      <c r="D52" s="979" t="s">
        <v>941</v>
      </c>
      <c r="E52" s="1446" t="s">
        <v>937</v>
      </c>
      <c r="F52" s="1429" t="s">
        <v>942</v>
      </c>
      <c r="G52" s="979" t="s">
        <v>605</v>
      </c>
      <c r="H52" s="982" t="s">
        <v>587</v>
      </c>
      <c r="I52" s="25"/>
      <c r="J52" s="23"/>
      <c r="K52" s="23"/>
    </row>
    <row r="53" spans="1:11" ht="12.75" hidden="1" customHeight="1">
      <c r="A53" s="1717" t="s">
        <v>411</v>
      </c>
      <c r="B53" s="1714" t="s">
        <v>880</v>
      </c>
      <c r="C53" s="1714" t="s">
        <v>930</v>
      </c>
      <c r="D53" s="979" t="s">
        <v>943</v>
      </c>
      <c r="E53" s="1446" t="s">
        <v>774</v>
      </c>
      <c r="F53" s="1429" t="s">
        <v>944</v>
      </c>
      <c r="G53" s="979" t="s">
        <v>605</v>
      </c>
      <c r="H53" s="982" t="s">
        <v>945</v>
      </c>
      <c r="I53" s="25"/>
      <c r="J53" s="23"/>
      <c r="K53" s="23"/>
    </row>
    <row r="54" spans="1:11" ht="12.75" hidden="1" customHeight="1">
      <c r="A54" s="1717" t="s">
        <v>303</v>
      </c>
      <c r="B54" s="1714" t="s">
        <v>880</v>
      </c>
      <c r="C54" s="1714" t="s">
        <v>946</v>
      </c>
      <c r="D54" s="979" t="s">
        <v>947</v>
      </c>
      <c r="E54" s="1446" t="s">
        <v>948</v>
      </c>
      <c r="F54" s="1429" t="s">
        <v>953</v>
      </c>
      <c r="G54" s="979" t="s">
        <v>605</v>
      </c>
      <c r="H54" s="982" t="s">
        <v>945</v>
      </c>
      <c r="I54" s="25"/>
      <c r="J54" s="23"/>
      <c r="K54" s="23"/>
    </row>
    <row r="55" spans="1:11" ht="12.75" hidden="1" customHeight="1">
      <c r="A55" s="1717" t="s">
        <v>304</v>
      </c>
      <c r="B55" s="1714" t="s">
        <v>880</v>
      </c>
      <c r="C55" s="1714" t="s">
        <v>954</v>
      </c>
      <c r="D55" s="979" t="s">
        <v>955</v>
      </c>
      <c r="E55" s="1446" t="s">
        <v>937</v>
      </c>
      <c r="F55" s="1429" t="s">
        <v>956</v>
      </c>
      <c r="G55" s="979" t="s">
        <v>957</v>
      </c>
      <c r="H55" s="982" t="s">
        <v>958</v>
      </c>
      <c r="I55" s="25"/>
      <c r="J55" s="23"/>
      <c r="K55" s="23"/>
    </row>
    <row r="56" spans="1:11" ht="12.75" hidden="1" customHeight="1">
      <c r="A56" s="1717" t="s">
        <v>305</v>
      </c>
      <c r="B56" s="1714" t="s">
        <v>880</v>
      </c>
      <c r="C56" s="1714" t="s">
        <v>935</v>
      </c>
      <c r="D56" s="979" t="s">
        <v>947</v>
      </c>
      <c r="E56" s="1446" t="s">
        <v>774</v>
      </c>
      <c r="F56" s="1429" t="s">
        <v>959</v>
      </c>
      <c r="G56" s="979" t="s">
        <v>960</v>
      </c>
      <c r="H56" s="982" t="s">
        <v>961</v>
      </c>
      <c r="I56" s="25"/>
      <c r="J56" s="23"/>
      <c r="K56" s="23"/>
    </row>
    <row r="57" spans="1:11" ht="12.75" hidden="1" customHeight="1">
      <c r="A57" s="1717" t="s">
        <v>306</v>
      </c>
      <c r="B57" s="1714" t="s">
        <v>880</v>
      </c>
      <c r="C57" s="1714" t="s">
        <v>946</v>
      </c>
      <c r="D57" s="979" t="s">
        <v>947</v>
      </c>
      <c r="E57" s="1446" t="s">
        <v>774</v>
      </c>
      <c r="F57" s="1439" t="s">
        <v>960</v>
      </c>
      <c r="G57" s="983" t="s">
        <v>962</v>
      </c>
      <c r="H57" s="984" t="s">
        <v>961</v>
      </c>
      <c r="I57" s="25"/>
      <c r="J57" s="23"/>
      <c r="K57" s="23"/>
    </row>
    <row r="58" spans="1:11" ht="12.75" hidden="1" customHeight="1">
      <c r="A58" s="1717" t="s">
        <v>307</v>
      </c>
      <c r="B58" s="1728" t="s">
        <v>880</v>
      </c>
      <c r="C58" s="1728" t="s">
        <v>926</v>
      </c>
      <c r="D58" s="983" t="s">
        <v>963</v>
      </c>
      <c r="E58" s="1459" t="s">
        <v>964</v>
      </c>
      <c r="F58" s="1439" t="s">
        <v>965</v>
      </c>
      <c r="G58" s="983" t="s">
        <v>598</v>
      </c>
      <c r="H58" s="984" t="s">
        <v>961</v>
      </c>
      <c r="I58" s="25"/>
      <c r="J58" s="23"/>
      <c r="K58" s="23"/>
    </row>
    <row r="59" spans="1:11" ht="12.75" hidden="1" customHeight="1">
      <c r="A59" s="1717" t="s">
        <v>308</v>
      </c>
      <c r="B59" s="1728" t="s">
        <v>880</v>
      </c>
      <c r="C59" s="1728" t="s">
        <v>966</v>
      </c>
      <c r="D59" s="983" t="s">
        <v>963</v>
      </c>
      <c r="E59" s="1459" t="s">
        <v>967</v>
      </c>
      <c r="F59" s="1439" t="s">
        <v>968</v>
      </c>
      <c r="G59" s="983" t="s">
        <v>971</v>
      </c>
      <c r="H59" s="984" t="s">
        <v>961</v>
      </c>
      <c r="I59" s="25"/>
      <c r="J59" s="23"/>
      <c r="K59" s="23"/>
    </row>
    <row r="60" spans="1:11" ht="12.75" hidden="1" customHeight="1">
      <c r="A60" s="1717" t="s">
        <v>311</v>
      </c>
      <c r="B60" s="1728" t="s">
        <v>880</v>
      </c>
      <c r="C60" s="1728" t="s">
        <v>946</v>
      </c>
      <c r="D60" s="983" t="s">
        <v>963</v>
      </c>
      <c r="E60" s="1459" t="s">
        <v>964</v>
      </c>
      <c r="F60" s="1439" t="s">
        <v>972</v>
      </c>
      <c r="G60" s="983" t="s">
        <v>598</v>
      </c>
      <c r="H60" s="984" t="s">
        <v>961</v>
      </c>
      <c r="I60" s="25"/>
      <c r="J60" s="23"/>
      <c r="K60" s="23"/>
    </row>
    <row r="61" spans="1:11" ht="12.75" hidden="1" customHeight="1">
      <c r="A61" s="1717"/>
      <c r="B61" s="1728"/>
      <c r="C61" s="1728"/>
      <c r="D61" s="983"/>
      <c r="E61" s="1459"/>
      <c r="F61" s="1439"/>
      <c r="G61" s="983"/>
      <c r="H61" s="984"/>
      <c r="I61" s="25"/>
      <c r="J61" s="23"/>
      <c r="K61" s="23"/>
    </row>
    <row r="62" spans="1:11" ht="12.75" hidden="1" customHeight="1">
      <c r="A62" s="1714">
        <v>2003</v>
      </c>
      <c r="B62" s="1728"/>
      <c r="C62" s="1728"/>
      <c r="D62" s="983"/>
      <c r="E62" s="1459"/>
      <c r="F62" s="1439"/>
      <c r="G62" s="983"/>
      <c r="H62" s="984"/>
      <c r="I62" s="25"/>
      <c r="J62" s="23"/>
      <c r="K62" s="23"/>
    </row>
    <row r="63" spans="1:11" ht="12.75" hidden="1" customHeight="1">
      <c r="A63" s="1717"/>
      <c r="B63" s="1728"/>
      <c r="C63" s="1728"/>
      <c r="D63" s="983"/>
      <c r="E63" s="1459"/>
      <c r="F63" s="1439"/>
      <c r="G63" s="983"/>
      <c r="H63" s="984"/>
      <c r="I63" s="25"/>
      <c r="J63" s="23"/>
      <c r="K63" s="23"/>
    </row>
    <row r="64" spans="1:11" ht="12.75" hidden="1" customHeight="1">
      <c r="A64" s="1717" t="s">
        <v>298</v>
      </c>
      <c r="B64" s="1728" t="s">
        <v>880</v>
      </c>
      <c r="C64" s="1728" t="s">
        <v>973</v>
      </c>
      <c r="D64" s="983" t="s">
        <v>974</v>
      </c>
      <c r="E64" s="1459" t="s">
        <v>975</v>
      </c>
      <c r="F64" s="1429" t="s">
        <v>976</v>
      </c>
      <c r="G64" s="979" t="s">
        <v>598</v>
      </c>
      <c r="H64" s="982" t="s">
        <v>961</v>
      </c>
      <c r="I64" s="25"/>
      <c r="J64" s="23"/>
      <c r="K64" s="23"/>
    </row>
    <row r="65" spans="1:11" ht="12.75" hidden="1" customHeight="1">
      <c r="A65" s="1717" t="s">
        <v>299</v>
      </c>
      <c r="B65" s="1728" t="s">
        <v>880</v>
      </c>
      <c r="C65" s="1728" t="s">
        <v>973</v>
      </c>
      <c r="D65" s="983" t="s">
        <v>977</v>
      </c>
      <c r="E65" s="1459" t="s">
        <v>932</v>
      </c>
      <c r="F65" s="1429" t="s">
        <v>976</v>
      </c>
      <c r="G65" s="979" t="s">
        <v>598</v>
      </c>
      <c r="H65" s="982" t="s">
        <v>978</v>
      </c>
      <c r="I65" s="25"/>
      <c r="J65" s="23"/>
      <c r="K65" s="23"/>
    </row>
    <row r="66" spans="1:11" s="27" customFormat="1" ht="12.75" hidden="1" customHeight="1">
      <c r="A66" s="1717" t="s">
        <v>300</v>
      </c>
      <c r="B66" s="1728" t="s">
        <v>979</v>
      </c>
      <c r="C66" s="1728" t="s">
        <v>980</v>
      </c>
      <c r="D66" s="1439" t="s">
        <v>977</v>
      </c>
      <c r="E66" s="1459" t="s">
        <v>932</v>
      </c>
      <c r="F66" s="1429" t="s">
        <v>985</v>
      </c>
      <c r="G66" s="979" t="s">
        <v>598</v>
      </c>
      <c r="H66" s="982" t="s">
        <v>978</v>
      </c>
      <c r="I66" s="26"/>
    </row>
    <row r="67" spans="1:11" ht="12.75" hidden="1" customHeight="1">
      <c r="A67" s="1717" t="s">
        <v>301</v>
      </c>
      <c r="B67" s="1714" t="s">
        <v>979</v>
      </c>
      <c r="C67" s="1714" t="s">
        <v>935</v>
      </c>
      <c r="D67" s="979" t="s">
        <v>963</v>
      </c>
      <c r="E67" s="1446" t="s">
        <v>967</v>
      </c>
      <c r="F67" s="1440" t="s">
        <v>986</v>
      </c>
      <c r="G67" s="985" t="s">
        <v>568</v>
      </c>
      <c r="H67" s="986" t="s">
        <v>987</v>
      </c>
      <c r="I67" s="25"/>
      <c r="J67" s="23"/>
      <c r="K67" s="23"/>
    </row>
    <row r="68" spans="1:11" ht="12.75" hidden="1" customHeight="1">
      <c r="A68" s="1717" t="s">
        <v>302</v>
      </c>
      <c r="B68" s="1728" t="s">
        <v>979</v>
      </c>
      <c r="C68" s="1728" t="s">
        <v>990</v>
      </c>
      <c r="D68" s="983" t="s">
        <v>991</v>
      </c>
      <c r="E68" s="1459" t="s">
        <v>992</v>
      </c>
      <c r="F68" s="1440" t="s">
        <v>792</v>
      </c>
      <c r="G68" s="985" t="s">
        <v>571</v>
      </c>
      <c r="H68" s="986" t="s">
        <v>582</v>
      </c>
      <c r="I68" s="25"/>
      <c r="J68" s="23"/>
      <c r="K68" s="23"/>
    </row>
    <row r="69" spans="1:11" ht="12.75" hidden="1" customHeight="1">
      <c r="A69" s="1717" t="s">
        <v>303</v>
      </c>
      <c r="B69" s="1728" t="s">
        <v>993</v>
      </c>
      <c r="C69" s="1728" t="s">
        <v>990</v>
      </c>
      <c r="D69" s="983" t="s">
        <v>994</v>
      </c>
      <c r="E69" s="1459" t="s">
        <v>995</v>
      </c>
      <c r="F69" s="1440" t="s">
        <v>1027</v>
      </c>
      <c r="G69" s="985" t="s">
        <v>740</v>
      </c>
      <c r="H69" s="986" t="s">
        <v>629</v>
      </c>
      <c r="I69" s="25"/>
      <c r="J69" s="23"/>
      <c r="K69" s="23"/>
    </row>
    <row r="70" spans="1:11" ht="12.75" hidden="1" customHeight="1">
      <c r="A70" s="1717" t="s">
        <v>304</v>
      </c>
      <c r="B70" s="1728" t="s">
        <v>993</v>
      </c>
      <c r="C70" s="1728" t="s">
        <v>935</v>
      </c>
      <c r="D70" s="983" t="s">
        <v>963</v>
      </c>
      <c r="E70" s="1459" t="s">
        <v>967</v>
      </c>
      <c r="F70" s="1440" t="s">
        <v>1028</v>
      </c>
      <c r="G70" s="985" t="s">
        <v>1029</v>
      </c>
      <c r="H70" s="986" t="s">
        <v>1030</v>
      </c>
      <c r="I70" s="25"/>
      <c r="J70" s="23"/>
      <c r="K70" s="23"/>
    </row>
    <row r="71" spans="1:11" ht="12.75" hidden="1" customHeight="1">
      <c r="A71" s="1717" t="s">
        <v>305</v>
      </c>
      <c r="B71" s="1728" t="s">
        <v>993</v>
      </c>
      <c r="C71" s="1714" t="s">
        <v>1031</v>
      </c>
      <c r="D71" s="979" t="s">
        <v>963</v>
      </c>
      <c r="E71" s="1446" t="s">
        <v>967</v>
      </c>
      <c r="F71" s="1440" t="s">
        <v>1032</v>
      </c>
      <c r="G71" s="985" t="s">
        <v>1033</v>
      </c>
      <c r="H71" s="986" t="s">
        <v>1034</v>
      </c>
      <c r="I71" s="25"/>
      <c r="J71" s="23"/>
      <c r="K71" s="23"/>
    </row>
    <row r="72" spans="1:11" ht="12.75" hidden="1" customHeight="1">
      <c r="A72" s="1717" t="s">
        <v>306</v>
      </c>
      <c r="B72" s="1728" t="s">
        <v>993</v>
      </c>
      <c r="C72" s="1714" t="s">
        <v>935</v>
      </c>
      <c r="D72" s="979" t="s">
        <v>963</v>
      </c>
      <c r="E72" s="1446" t="s">
        <v>967</v>
      </c>
      <c r="F72" s="1440" t="s">
        <v>1032</v>
      </c>
      <c r="G72" s="985" t="s">
        <v>1033</v>
      </c>
      <c r="H72" s="986" t="s">
        <v>1034</v>
      </c>
      <c r="I72" s="25"/>
      <c r="J72" s="23"/>
      <c r="K72" s="23"/>
    </row>
    <row r="73" spans="1:11" ht="12.75" hidden="1" customHeight="1">
      <c r="A73" s="1717" t="s">
        <v>307</v>
      </c>
      <c r="B73" s="1728" t="s">
        <v>993</v>
      </c>
      <c r="C73" s="1714" t="s">
        <v>935</v>
      </c>
      <c r="D73" s="979" t="s">
        <v>963</v>
      </c>
      <c r="E73" s="1446" t="s">
        <v>967</v>
      </c>
      <c r="F73" s="1440" t="s">
        <v>631</v>
      </c>
      <c r="G73" s="985" t="s">
        <v>1035</v>
      </c>
      <c r="H73" s="986" t="s">
        <v>1036</v>
      </c>
      <c r="I73" s="25"/>
      <c r="J73" s="23"/>
      <c r="K73" s="23"/>
    </row>
    <row r="74" spans="1:11" ht="12.75" hidden="1" customHeight="1">
      <c r="A74" s="1717" t="s">
        <v>308</v>
      </c>
      <c r="B74" s="1728" t="s">
        <v>993</v>
      </c>
      <c r="C74" s="1714" t="s">
        <v>1037</v>
      </c>
      <c r="D74" s="979" t="s">
        <v>1038</v>
      </c>
      <c r="E74" s="1446" t="s">
        <v>1040</v>
      </c>
      <c r="F74" s="1440" t="s">
        <v>1041</v>
      </c>
      <c r="G74" s="985" t="s">
        <v>1042</v>
      </c>
      <c r="H74" s="986" t="s">
        <v>1043</v>
      </c>
      <c r="I74" s="25"/>
      <c r="J74" s="23"/>
      <c r="K74" s="23"/>
    </row>
    <row r="75" spans="1:11" ht="12.75" hidden="1" customHeight="1">
      <c r="A75" s="1717" t="s">
        <v>311</v>
      </c>
      <c r="B75" s="1714" t="s">
        <v>993</v>
      </c>
      <c r="C75" s="1714" t="s">
        <v>1044</v>
      </c>
      <c r="D75" s="979" t="s">
        <v>1045</v>
      </c>
      <c r="E75" s="1446" t="s">
        <v>1046</v>
      </c>
      <c r="F75" s="1441" t="s">
        <v>1047</v>
      </c>
      <c r="G75" s="987" t="s">
        <v>1048</v>
      </c>
      <c r="H75" s="988" t="s">
        <v>1049</v>
      </c>
      <c r="I75" s="25"/>
      <c r="J75" s="23"/>
      <c r="K75" s="23"/>
    </row>
    <row r="76" spans="1:11" ht="12.75" hidden="1" customHeight="1">
      <c r="A76" s="1717"/>
      <c r="B76" s="1714"/>
      <c r="C76" s="1714"/>
      <c r="D76" s="979"/>
      <c r="E76" s="1446"/>
      <c r="F76" s="1440"/>
      <c r="G76" s="985"/>
      <c r="H76" s="986"/>
      <c r="I76" s="25"/>
      <c r="J76" s="23"/>
      <c r="K76" s="23"/>
    </row>
    <row r="77" spans="1:11" ht="12.75" hidden="1" customHeight="1">
      <c r="A77" s="1714">
        <v>2004</v>
      </c>
      <c r="B77" s="1714"/>
      <c r="C77" s="1714"/>
      <c r="D77" s="979"/>
      <c r="E77" s="1446"/>
      <c r="F77" s="1440"/>
      <c r="G77" s="985"/>
      <c r="H77" s="986"/>
      <c r="I77" s="25"/>
      <c r="J77" s="23"/>
      <c r="K77" s="23"/>
    </row>
    <row r="78" spans="1:11" ht="12.75" hidden="1" customHeight="1">
      <c r="A78" s="1717"/>
      <c r="B78" s="1714"/>
      <c r="C78" s="1714"/>
      <c r="D78" s="979"/>
      <c r="E78" s="1446"/>
      <c r="F78" s="1440"/>
      <c r="G78" s="985"/>
      <c r="H78" s="986"/>
      <c r="I78" s="25"/>
      <c r="J78" s="23"/>
      <c r="K78" s="23"/>
    </row>
    <row r="79" spans="1:11" ht="12.75" hidden="1" customHeight="1">
      <c r="A79" s="1717" t="s">
        <v>298</v>
      </c>
      <c r="B79" s="1714" t="s">
        <v>993</v>
      </c>
      <c r="C79" s="1714" t="s">
        <v>1050</v>
      </c>
      <c r="D79" s="979" t="s">
        <v>1051</v>
      </c>
      <c r="E79" s="1446" t="s">
        <v>1052</v>
      </c>
      <c r="F79" s="1441" t="s">
        <v>1053</v>
      </c>
      <c r="G79" s="987" t="s">
        <v>1054</v>
      </c>
      <c r="H79" s="988" t="s">
        <v>1054</v>
      </c>
      <c r="I79" s="25"/>
      <c r="J79" s="23"/>
      <c r="K79" s="23"/>
    </row>
    <row r="80" spans="1:11" ht="12.75" hidden="1" customHeight="1">
      <c r="A80" s="1717" t="s">
        <v>299</v>
      </c>
      <c r="B80" s="1714" t="s">
        <v>993</v>
      </c>
      <c r="C80" s="1714" t="s">
        <v>230</v>
      </c>
      <c r="D80" s="979" t="s">
        <v>1051</v>
      </c>
      <c r="E80" s="1446" t="s">
        <v>1050</v>
      </c>
      <c r="F80" s="1440" t="s">
        <v>645</v>
      </c>
      <c r="G80" s="985" t="s">
        <v>178</v>
      </c>
      <c r="H80" s="986" t="s">
        <v>181</v>
      </c>
      <c r="I80" s="25"/>
      <c r="J80" s="23"/>
      <c r="K80" s="23"/>
    </row>
    <row r="81" spans="1:11" ht="12.75" hidden="1" customHeight="1">
      <c r="A81" s="1717" t="s">
        <v>300</v>
      </c>
      <c r="B81" s="1714" t="s">
        <v>993</v>
      </c>
      <c r="C81" s="1714" t="s">
        <v>229</v>
      </c>
      <c r="D81" s="979" t="s">
        <v>231</v>
      </c>
      <c r="E81" s="1446" t="s">
        <v>1052</v>
      </c>
      <c r="F81" s="1440" t="s">
        <v>1029</v>
      </c>
      <c r="G81" s="985" t="s">
        <v>179</v>
      </c>
      <c r="H81" s="986" t="s">
        <v>179</v>
      </c>
      <c r="I81" s="25"/>
      <c r="J81" s="23"/>
      <c r="K81" s="23"/>
    </row>
    <row r="82" spans="1:11" ht="12.75" hidden="1" customHeight="1">
      <c r="A82" s="1717" t="s">
        <v>301</v>
      </c>
      <c r="B82" s="1714" t="s">
        <v>993</v>
      </c>
      <c r="C82" s="1714" t="s">
        <v>232</v>
      </c>
      <c r="D82" s="979" t="s">
        <v>229</v>
      </c>
      <c r="E82" s="1446" t="s">
        <v>233</v>
      </c>
      <c r="F82" s="1440" t="s">
        <v>642</v>
      </c>
      <c r="G82" s="985" t="s">
        <v>180</v>
      </c>
      <c r="H82" s="986" t="s">
        <v>178</v>
      </c>
      <c r="I82" s="25"/>
      <c r="J82" s="23"/>
      <c r="K82" s="23"/>
    </row>
    <row r="83" spans="1:11" ht="12.75" hidden="1" customHeight="1">
      <c r="A83" s="1717" t="s">
        <v>302</v>
      </c>
      <c r="B83" s="1714" t="s">
        <v>993</v>
      </c>
      <c r="C83" s="1714" t="s">
        <v>83</v>
      </c>
      <c r="D83" s="979" t="s">
        <v>84</v>
      </c>
      <c r="E83" s="1446" t="s">
        <v>85</v>
      </c>
      <c r="F83" s="1440" t="s">
        <v>657</v>
      </c>
      <c r="G83" s="985" t="s">
        <v>360</v>
      </c>
      <c r="H83" s="986">
        <v>55</v>
      </c>
      <c r="I83" s="25"/>
      <c r="J83" s="23"/>
      <c r="K83" s="23"/>
    </row>
    <row r="84" spans="1:11" ht="12.75" hidden="1" customHeight="1">
      <c r="A84" s="1717" t="s">
        <v>303</v>
      </c>
      <c r="B84" s="1714" t="s">
        <v>993</v>
      </c>
      <c r="C84" s="1714" t="s">
        <v>83</v>
      </c>
      <c r="D84" s="979" t="s">
        <v>84</v>
      </c>
      <c r="E84" s="1446" t="s">
        <v>85</v>
      </c>
      <c r="F84" s="1429" t="s">
        <v>642</v>
      </c>
      <c r="G84" s="979" t="s">
        <v>255</v>
      </c>
      <c r="H84" s="982">
        <v>55</v>
      </c>
      <c r="I84" s="25"/>
      <c r="J84" s="23"/>
      <c r="K84" s="23"/>
    </row>
    <row r="85" spans="1:11" ht="12.75" hidden="1" customHeight="1">
      <c r="A85" s="1717" t="s">
        <v>304</v>
      </c>
      <c r="B85" s="1714" t="s">
        <v>734</v>
      </c>
      <c r="C85" s="1714" t="s">
        <v>735</v>
      </c>
      <c r="D85" s="979" t="s">
        <v>84</v>
      </c>
      <c r="E85" s="1446" t="s">
        <v>85</v>
      </c>
      <c r="F85" s="1429" t="s">
        <v>984</v>
      </c>
      <c r="G85" s="979" t="s">
        <v>711</v>
      </c>
      <c r="H85" s="982">
        <v>75</v>
      </c>
      <c r="I85" s="25"/>
      <c r="J85" s="23"/>
      <c r="K85" s="23"/>
    </row>
    <row r="86" spans="1:11" ht="12.75" hidden="1" customHeight="1">
      <c r="A86" s="1717" t="s">
        <v>305</v>
      </c>
      <c r="B86" s="1714" t="s">
        <v>993</v>
      </c>
      <c r="C86" s="1714" t="s">
        <v>349</v>
      </c>
      <c r="D86" s="979" t="s">
        <v>350</v>
      </c>
      <c r="E86" s="1446" t="s">
        <v>351</v>
      </c>
      <c r="F86" s="1429" t="s">
        <v>630</v>
      </c>
      <c r="G86" s="979" t="s">
        <v>503</v>
      </c>
      <c r="H86" s="982" t="s">
        <v>503</v>
      </c>
      <c r="I86" s="25"/>
      <c r="J86" s="23"/>
      <c r="K86" s="23"/>
    </row>
    <row r="87" spans="1:11" ht="12.75" hidden="1" customHeight="1">
      <c r="A87" s="1717" t="s">
        <v>306</v>
      </c>
      <c r="B87" s="1714" t="s">
        <v>993</v>
      </c>
      <c r="C87" s="1714" t="s">
        <v>1092</v>
      </c>
      <c r="D87" s="979" t="s">
        <v>350</v>
      </c>
      <c r="E87" s="1446" t="s">
        <v>351</v>
      </c>
      <c r="F87" s="1429" t="s">
        <v>642</v>
      </c>
      <c r="G87" s="979" t="s">
        <v>503</v>
      </c>
      <c r="H87" s="982">
        <v>75</v>
      </c>
      <c r="I87" s="25"/>
      <c r="J87" s="23"/>
      <c r="K87" s="23"/>
    </row>
    <row r="88" spans="1:11" ht="12.75" hidden="1" customHeight="1">
      <c r="A88" s="1717" t="s">
        <v>307</v>
      </c>
      <c r="B88" s="1714" t="s">
        <v>993</v>
      </c>
      <c r="C88" s="1714" t="s">
        <v>1092</v>
      </c>
      <c r="D88" s="979" t="s">
        <v>350</v>
      </c>
      <c r="E88" s="1446" t="s">
        <v>351</v>
      </c>
      <c r="F88" s="1429" t="s">
        <v>168</v>
      </c>
      <c r="G88" s="979" t="s">
        <v>503</v>
      </c>
      <c r="H88" s="982">
        <v>75</v>
      </c>
      <c r="I88" s="25"/>
      <c r="J88" s="23"/>
      <c r="K88" s="23"/>
    </row>
    <row r="89" spans="1:11" ht="12.75" hidden="1" customHeight="1">
      <c r="A89" s="1717" t="s">
        <v>308</v>
      </c>
      <c r="B89" s="1714" t="s">
        <v>979</v>
      </c>
      <c r="C89" s="1714" t="s">
        <v>349</v>
      </c>
      <c r="D89" s="979" t="s">
        <v>350</v>
      </c>
      <c r="E89" s="1446" t="s">
        <v>351</v>
      </c>
      <c r="F89" s="1439" t="s">
        <v>167</v>
      </c>
      <c r="G89" s="983" t="s">
        <v>652</v>
      </c>
      <c r="H89" s="984" t="s">
        <v>653</v>
      </c>
      <c r="I89" s="25"/>
      <c r="J89" s="23"/>
      <c r="K89" s="23"/>
    </row>
    <row r="90" spans="1:11" ht="12.75" hidden="1" customHeight="1">
      <c r="A90" s="1717" t="s">
        <v>311</v>
      </c>
      <c r="B90" s="1714" t="s">
        <v>979</v>
      </c>
      <c r="C90" s="1714" t="s">
        <v>349</v>
      </c>
      <c r="D90" s="979" t="s">
        <v>350</v>
      </c>
      <c r="E90" s="1446" t="s">
        <v>351</v>
      </c>
      <c r="F90" s="1439" t="s">
        <v>651</v>
      </c>
      <c r="G90" s="983" t="s">
        <v>503</v>
      </c>
      <c r="H90" s="984" t="s">
        <v>653</v>
      </c>
      <c r="I90" s="25"/>
      <c r="J90" s="23"/>
      <c r="K90" s="23"/>
    </row>
    <row r="91" spans="1:11" ht="12.75" hidden="1" customHeight="1">
      <c r="A91" s="1717"/>
      <c r="B91" s="1714"/>
      <c r="C91" s="1714"/>
      <c r="D91" s="979"/>
      <c r="E91" s="1446"/>
      <c r="F91" s="1439"/>
      <c r="G91" s="983"/>
      <c r="H91" s="984"/>
      <c r="I91" s="25"/>
      <c r="J91" s="23"/>
      <c r="K91" s="23"/>
    </row>
    <row r="92" spans="1:11" ht="12.75" hidden="1" customHeight="1">
      <c r="A92" s="1714">
        <v>2005</v>
      </c>
      <c r="B92" s="1714"/>
      <c r="C92" s="1714"/>
      <c r="D92" s="979"/>
      <c r="E92" s="1446"/>
      <c r="F92" s="1439"/>
      <c r="G92" s="983"/>
      <c r="H92" s="984"/>
      <c r="I92" s="25"/>
      <c r="J92" s="23"/>
      <c r="K92" s="23"/>
    </row>
    <row r="93" spans="1:11" ht="12.75" hidden="1" customHeight="1">
      <c r="A93" s="1717"/>
      <c r="B93" s="1714"/>
      <c r="C93" s="1714"/>
      <c r="D93" s="979"/>
      <c r="E93" s="1446"/>
      <c r="F93" s="1439"/>
      <c r="G93" s="983"/>
      <c r="H93" s="984"/>
      <c r="I93" s="25"/>
      <c r="J93" s="23"/>
      <c r="K93" s="23"/>
    </row>
    <row r="94" spans="1:11" ht="12.75" hidden="1" customHeight="1">
      <c r="A94" s="1717" t="s">
        <v>298</v>
      </c>
      <c r="B94" s="1714" t="s">
        <v>223</v>
      </c>
      <c r="C94" s="1714" t="s">
        <v>755</v>
      </c>
      <c r="D94" s="979" t="s">
        <v>350</v>
      </c>
      <c r="E94" s="1446" t="s">
        <v>757</v>
      </c>
      <c r="F94" s="1439" t="s">
        <v>77</v>
      </c>
      <c r="G94" s="983" t="s">
        <v>78</v>
      </c>
      <c r="H94" s="984" t="s">
        <v>79</v>
      </c>
      <c r="I94" s="25"/>
      <c r="J94" s="23"/>
      <c r="K94" s="23"/>
    </row>
    <row r="95" spans="1:11" ht="12.75" hidden="1" customHeight="1">
      <c r="A95" s="1717" t="s">
        <v>299</v>
      </c>
      <c r="B95" s="1729" t="s">
        <v>223</v>
      </c>
      <c r="C95" s="1714" t="s">
        <v>756</v>
      </c>
      <c r="D95" s="1447" t="s">
        <v>225</v>
      </c>
      <c r="E95" s="1447" t="s">
        <v>226</v>
      </c>
      <c r="F95" s="1429" t="s">
        <v>632</v>
      </c>
      <c r="G95" s="983" t="s">
        <v>450</v>
      </c>
      <c r="H95" s="982">
        <v>40</v>
      </c>
      <c r="I95" s="25"/>
      <c r="J95" s="23"/>
      <c r="K95" s="23"/>
    </row>
    <row r="96" spans="1:11" ht="12.75" hidden="1" customHeight="1">
      <c r="A96" s="1717" t="s">
        <v>300</v>
      </c>
      <c r="B96" s="1729" t="s">
        <v>223</v>
      </c>
      <c r="C96" s="1714" t="s">
        <v>224</v>
      </c>
      <c r="D96" s="979" t="s">
        <v>225</v>
      </c>
      <c r="E96" s="1446" t="s">
        <v>226</v>
      </c>
      <c r="F96" s="1429" t="s">
        <v>712</v>
      </c>
      <c r="G96" s="979" t="s">
        <v>608</v>
      </c>
      <c r="H96" s="982" t="s">
        <v>608</v>
      </c>
      <c r="I96" s="25"/>
      <c r="J96" s="23"/>
      <c r="K96" s="23"/>
    </row>
    <row r="97" spans="1:11" ht="12.75" hidden="1" customHeight="1">
      <c r="A97" s="1717" t="s">
        <v>301</v>
      </c>
      <c r="B97" s="1714" t="s">
        <v>223</v>
      </c>
      <c r="C97" s="1714" t="s">
        <v>992</v>
      </c>
      <c r="D97" s="979" t="s">
        <v>72</v>
      </c>
      <c r="E97" s="1446" t="s">
        <v>73</v>
      </c>
      <c r="F97" s="1429" t="s">
        <v>429</v>
      </c>
      <c r="G97" s="979" t="s">
        <v>509</v>
      </c>
      <c r="H97" s="982" t="s">
        <v>608</v>
      </c>
      <c r="I97" s="25"/>
      <c r="J97" s="23"/>
      <c r="K97" s="23"/>
    </row>
    <row r="98" spans="1:11" ht="12.75" hidden="1" customHeight="1">
      <c r="A98" s="1717" t="s">
        <v>302</v>
      </c>
      <c r="B98" s="1714" t="s">
        <v>223</v>
      </c>
      <c r="C98" s="1714" t="s">
        <v>543</v>
      </c>
      <c r="D98" s="979" t="s">
        <v>544</v>
      </c>
      <c r="E98" s="1446" t="s">
        <v>757</v>
      </c>
      <c r="F98" s="1429" t="s">
        <v>3</v>
      </c>
      <c r="G98" s="979" t="s">
        <v>509</v>
      </c>
      <c r="H98" s="982" t="s">
        <v>608</v>
      </c>
      <c r="I98" s="25"/>
      <c r="J98" s="23"/>
      <c r="K98" s="23"/>
    </row>
    <row r="99" spans="1:11" ht="12.75" hidden="1" customHeight="1">
      <c r="A99" s="1717" t="s">
        <v>303</v>
      </c>
      <c r="B99" s="1714" t="s">
        <v>685</v>
      </c>
      <c r="C99" s="1714" t="s">
        <v>686</v>
      </c>
      <c r="D99" s="979" t="s">
        <v>571</v>
      </c>
      <c r="E99" s="1446" t="s">
        <v>687</v>
      </c>
      <c r="F99" s="1429" t="s">
        <v>688</v>
      </c>
      <c r="G99" s="983" t="s">
        <v>608</v>
      </c>
      <c r="H99" s="982" t="s">
        <v>608</v>
      </c>
      <c r="I99" s="25"/>
      <c r="J99" s="23"/>
      <c r="K99" s="23"/>
    </row>
    <row r="100" spans="1:11" ht="12.75" hidden="1" customHeight="1">
      <c r="A100" s="1717" t="s">
        <v>304</v>
      </c>
      <c r="B100" s="1714" t="s">
        <v>685</v>
      </c>
      <c r="C100" s="1714" t="s">
        <v>371</v>
      </c>
      <c r="D100" s="979" t="s">
        <v>372</v>
      </c>
      <c r="E100" s="1446" t="s">
        <v>373</v>
      </c>
      <c r="F100" s="1429" t="s">
        <v>4</v>
      </c>
      <c r="G100" s="983" t="s">
        <v>608</v>
      </c>
      <c r="H100" s="982" t="s">
        <v>608</v>
      </c>
      <c r="I100" s="25"/>
      <c r="J100" s="23"/>
      <c r="K100" s="23"/>
    </row>
    <row r="101" spans="1:11" ht="12.75" hidden="1" customHeight="1">
      <c r="A101" s="1717" t="s">
        <v>305</v>
      </c>
      <c r="B101" s="1714" t="s">
        <v>1076</v>
      </c>
      <c r="C101" s="1714" t="s">
        <v>1095</v>
      </c>
      <c r="D101" s="979" t="s">
        <v>1096</v>
      </c>
      <c r="E101" s="1446" t="s">
        <v>1097</v>
      </c>
      <c r="F101" s="1439" t="s">
        <v>249</v>
      </c>
      <c r="G101" s="983" t="s">
        <v>608</v>
      </c>
      <c r="H101" s="984" t="s">
        <v>608</v>
      </c>
      <c r="I101" s="25"/>
      <c r="J101" s="23"/>
      <c r="K101" s="23"/>
    </row>
    <row r="102" spans="1:11" ht="12.75" hidden="1" customHeight="1">
      <c r="A102" s="1717" t="s">
        <v>306</v>
      </c>
      <c r="B102" s="1714" t="s">
        <v>974</v>
      </c>
      <c r="C102" s="1714" t="s">
        <v>1095</v>
      </c>
      <c r="D102" s="979" t="s">
        <v>1096</v>
      </c>
      <c r="E102" s="1446" t="s">
        <v>816</v>
      </c>
      <c r="F102" s="1439" t="s">
        <v>143</v>
      </c>
      <c r="G102" s="983" t="s">
        <v>608</v>
      </c>
      <c r="H102" s="984" t="s">
        <v>608</v>
      </c>
      <c r="I102" s="25"/>
      <c r="J102" s="23"/>
      <c r="K102" s="23"/>
    </row>
    <row r="103" spans="1:11" ht="12.75" hidden="1" customHeight="1">
      <c r="A103" s="1717" t="s">
        <v>307</v>
      </c>
      <c r="B103" s="1714" t="s">
        <v>774</v>
      </c>
      <c r="C103" s="1714" t="s">
        <v>759</v>
      </c>
      <c r="D103" s="979" t="s">
        <v>1096</v>
      </c>
      <c r="E103" s="1446" t="s">
        <v>816</v>
      </c>
      <c r="F103" s="1439" t="s">
        <v>310</v>
      </c>
      <c r="G103" s="983" t="s">
        <v>608</v>
      </c>
      <c r="H103" s="984" t="s">
        <v>608</v>
      </c>
      <c r="I103" s="25"/>
      <c r="J103" s="23"/>
      <c r="K103" s="23"/>
    </row>
    <row r="104" spans="1:11" ht="12.75" hidden="1" customHeight="1">
      <c r="A104" s="1717" t="s">
        <v>308</v>
      </c>
      <c r="B104" s="1714" t="s">
        <v>774</v>
      </c>
      <c r="C104" s="1714" t="s">
        <v>759</v>
      </c>
      <c r="D104" s="1429" t="s">
        <v>969</v>
      </c>
      <c r="E104" s="1446" t="s">
        <v>970</v>
      </c>
      <c r="F104" s="1429" t="s">
        <v>95</v>
      </c>
      <c r="G104" s="979" t="s">
        <v>608</v>
      </c>
      <c r="H104" s="982" t="s">
        <v>608</v>
      </c>
      <c r="I104" s="25"/>
      <c r="J104" s="23"/>
      <c r="K104" s="23"/>
    </row>
    <row r="105" spans="1:11" ht="12.75" hidden="1" customHeight="1">
      <c r="A105" s="1717" t="s">
        <v>311</v>
      </c>
      <c r="B105" s="1714" t="s">
        <v>774</v>
      </c>
      <c r="C105" s="1714" t="s">
        <v>376</v>
      </c>
      <c r="D105" s="979" t="s">
        <v>377</v>
      </c>
      <c r="E105" s="1446" t="s">
        <v>378</v>
      </c>
      <c r="F105" s="1439" t="s">
        <v>713</v>
      </c>
      <c r="G105" s="983" t="s">
        <v>608</v>
      </c>
      <c r="H105" s="984" t="s">
        <v>608</v>
      </c>
      <c r="I105" s="25"/>
      <c r="J105" s="23"/>
      <c r="K105" s="23"/>
    </row>
    <row r="106" spans="1:11" ht="12.75" hidden="1" customHeight="1">
      <c r="A106" s="1717"/>
      <c r="B106" s="1714"/>
      <c r="C106" s="1714"/>
      <c r="D106" s="979"/>
      <c r="E106" s="1446"/>
      <c r="F106" s="1439"/>
      <c r="G106" s="983"/>
      <c r="H106" s="984"/>
      <c r="I106" s="25"/>
      <c r="J106" s="23"/>
      <c r="K106" s="23"/>
    </row>
    <row r="107" spans="1:11" ht="12.75" hidden="1" customHeight="1">
      <c r="A107" s="1714">
        <v>2006</v>
      </c>
      <c r="B107" s="1714"/>
      <c r="C107" s="1714"/>
      <c r="D107" s="979"/>
      <c r="E107" s="1446"/>
      <c r="F107" s="1439"/>
      <c r="G107" s="983"/>
      <c r="H107" s="984"/>
      <c r="I107" s="25"/>
      <c r="J107" s="23"/>
      <c r="K107" s="23"/>
    </row>
    <row r="108" spans="1:11" ht="12.75" hidden="1" customHeight="1">
      <c r="A108" s="1717"/>
      <c r="B108" s="1714"/>
      <c r="C108" s="1714"/>
      <c r="D108" s="979"/>
      <c r="E108" s="1446"/>
      <c r="F108" s="1439"/>
      <c r="G108" s="983"/>
      <c r="H108" s="984"/>
      <c r="I108" s="25"/>
      <c r="J108" s="23"/>
      <c r="K108" s="23"/>
    </row>
    <row r="109" spans="1:11" ht="12.75" hidden="1" customHeight="1">
      <c r="A109" s="1717" t="s">
        <v>298</v>
      </c>
      <c r="B109" s="1714" t="s">
        <v>774</v>
      </c>
      <c r="C109" s="1714" t="s">
        <v>379</v>
      </c>
      <c r="D109" s="979" t="s">
        <v>377</v>
      </c>
      <c r="E109" s="1446" t="s">
        <v>380</v>
      </c>
      <c r="F109" s="1439" t="s">
        <v>714</v>
      </c>
      <c r="G109" s="983" t="s">
        <v>608</v>
      </c>
      <c r="H109" s="984" t="s">
        <v>608</v>
      </c>
      <c r="I109" s="25"/>
      <c r="J109" s="23"/>
      <c r="K109" s="23"/>
    </row>
    <row r="110" spans="1:11" ht="12.75" hidden="1" customHeight="1">
      <c r="A110" s="1717" t="s">
        <v>299</v>
      </c>
      <c r="B110" s="1714" t="s">
        <v>774</v>
      </c>
      <c r="C110" s="1714" t="s">
        <v>452</v>
      </c>
      <c r="D110" s="979" t="s">
        <v>453</v>
      </c>
      <c r="E110" s="1446" t="s">
        <v>380</v>
      </c>
      <c r="F110" s="1429" t="s">
        <v>456</v>
      </c>
      <c r="G110" s="979" t="s">
        <v>608</v>
      </c>
      <c r="H110" s="982" t="s">
        <v>608</v>
      </c>
      <c r="I110" s="25"/>
      <c r="J110" s="23"/>
      <c r="K110" s="23"/>
    </row>
    <row r="111" spans="1:11" ht="12.75" hidden="1" customHeight="1">
      <c r="A111" s="1717" t="s">
        <v>300</v>
      </c>
      <c r="B111" s="1714" t="s">
        <v>774</v>
      </c>
      <c r="C111" s="1714" t="s">
        <v>454</v>
      </c>
      <c r="D111" s="979" t="s">
        <v>377</v>
      </c>
      <c r="E111" s="1446" t="s">
        <v>455</v>
      </c>
      <c r="F111" s="1429" t="s">
        <v>457</v>
      </c>
      <c r="G111" s="979" t="s">
        <v>608</v>
      </c>
      <c r="H111" s="982" t="s">
        <v>608</v>
      </c>
      <c r="I111" s="25"/>
      <c r="J111" s="23"/>
      <c r="K111" s="23"/>
    </row>
    <row r="112" spans="1:11" ht="12.75" hidden="1" customHeight="1">
      <c r="A112" s="1717" t="s">
        <v>301</v>
      </c>
      <c r="B112" s="1714" t="s">
        <v>774</v>
      </c>
      <c r="C112" s="1714" t="s">
        <v>426</v>
      </c>
      <c r="D112" s="979" t="s">
        <v>427</v>
      </c>
      <c r="E112" s="1446" t="s">
        <v>428</v>
      </c>
      <c r="F112" s="1429" t="s">
        <v>398</v>
      </c>
      <c r="G112" s="979" t="s">
        <v>608</v>
      </c>
      <c r="H112" s="982" t="s">
        <v>608</v>
      </c>
      <c r="I112" s="25"/>
      <c r="J112" s="23"/>
      <c r="K112" s="23"/>
    </row>
    <row r="113" spans="1:11" ht="12.75" hidden="1" customHeight="1">
      <c r="A113" s="1717" t="s">
        <v>302</v>
      </c>
      <c r="B113" s="1714" t="s">
        <v>774</v>
      </c>
      <c r="C113" s="1714" t="s">
        <v>426</v>
      </c>
      <c r="D113" s="979" t="s">
        <v>427</v>
      </c>
      <c r="E113" s="1446" t="s">
        <v>428</v>
      </c>
      <c r="F113" s="1429" t="s">
        <v>400</v>
      </c>
      <c r="G113" s="979" t="s">
        <v>608</v>
      </c>
      <c r="H113" s="982" t="s">
        <v>608</v>
      </c>
      <c r="I113" s="25"/>
      <c r="J113" s="23"/>
      <c r="K113" s="23"/>
    </row>
    <row r="114" spans="1:11" ht="12.75" hidden="1" customHeight="1">
      <c r="A114" s="1717" t="s">
        <v>303</v>
      </c>
      <c r="B114" s="1714" t="s">
        <v>774</v>
      </c>
      <c r="C114" s="1714" t="s">
        <v>454</v>
      </c>
      <c r="D114" s="979" t="s">
        <v>427</v>
      </c>
      <c r="E114" s="1446" t="s">
        <v>428</v>
      </c>
      <c r="F114" s="1429" t="s">
        <v>399</v>
      </c>
      <c r="G114" s="979" t="s">
        <v>608</v>
      </c>
      <c r="H114" s="982" t="s">
        <v>608</v>
      </c>
      <c r="I114" s="25"/>
      <c r="J114" s="23"/>
      <c r="K114" s="23"/>
    </row>
    <row r="115" spans="1:11" ht="12.75" hidden="1" customHeight="1">
      <c r="A115" s="1717" t="s">
        <v>304</v>
      </c>
      <c r="B115" s="1714" t="s">
        <v>774</v>
      </c>
      <c r="C115" s="1714" t="s">
        <v>1093</v>
      </c>
      <c r="D115" s="979" t="s">
        <v>1094</v>
      </c>
      <c r="E115" s="1446" t="s">
        <v>428</v>
      </c>
      <c r="F115" s="1429" t="s">
        <v>456</v>
      </c>
      <c r="G115" s="979" t="s">
        <v>608</v>
      </c>
      <c r="H115" s="982" t="s">
        <v>608</v>
      </c>
      <c r="I115" s="25"/>
      <c r="J115" s="23"/>
      <c r="K115" s="23"/>
    </row>
    <row r="116" spans="1:11" ht="12.75" hidden="1" customHeight="1">
      <c r="A116" s="1717" t="s">
        <v>305</v>
      </c>
      <c r="B116" s="1714" t="s">
        <v>774</v>
      </c>
      <c r="C116" s="1714" t="s">
        <v>382</v>
      </c>
      <c r="D116" s="979" t="s">
        <v>383</v>
      </c>
      <c r="E116" s="1446" t="s">
        <v>384</v>
      </c>
      <c r="F116" s="1429" t="s">
        <v>222</v>
      </c>
      <c r="G116" s="979" t="s">
        <v>608</v>
      </c>
      <c r="H116" s="982" t="s">
        <v>608</v>
      </c>
      <c r="I116" s="25"/>
      <c r="J116" s="23"/>
      <c r="K116" s="23"/>
    </row>
    <row r="117" spans="1:11" ht="12.75" hidden="1" customHeight="1">
      <c r="A117" s="1717" t="s">
        <v>306</v>
      </c>
      <c r="B117" s="1714" t="s">
        <v>774</v>
      </c>
      <c r="C117" s="1714" t="s">
        <v>382</v>
      </c>
      <c r="D117" s="979" t="s">
        <v>988</v>
      </c>
      <c r="E117" s="1446" t="s">
        <v>384</v>
      </c>
      <c r="F117" s="1429" t="s">
        <v>989</v>
      </c>
      <c r="G117" s="979" t="s">
        <v>608</v>
      </c>
      <c r="H117" s="982" t="s">
        <v>608</v>
      </c>
      <c r="I117" s="25"/>
      <c r="J117" s="23"/>
      <c r="K117" s="23"/>
    </row>
    <row r="118" spans="1:11" ht="12.75" hidden="1" customHeight="1">
      <c r="A118" s="1717" t="s">
        <v>307</v>
      </c>
      <c r="B118" s="1714" t="s">
        <v>774</v>
      </c>
      <c r="C118" s="1714" t="s">
        <v>90</v>
      </c>
      <c r="D118" s="979" t="s">
        <v>91</v>
      </c>
      <c r="E118" s="1446" t="s">
        <v>92</v>
      </c>
      <c r="F118" s="1429" t="s">
        <v>93</v>
      </c>
      <c r="G118" s="979" t="s">
        <v>608</v>
      </c>
      <c r="H118" s="982" t="s">
        <v>608</v>
      </c>
      <c r="I118" s="25"/>
      <c r="J118" s="23"/>
      <c r="K118" s="23"/>
    </row>
    <row r="119" spans="1:11" ht="12.75" hidden="1" customHeight="1">
      <c r="A119" s="1717" t="s">
        <v>308</v>
      </c>
      <c r="B119" s="1714" t="s">
        <v>240</v>
      </c>
      <c r="C119" s="1714" t="s">
        <v>90</v>
      </c>
      <c r="D119" s="979" t="s">
        <v>91</v>
      </c>
      <c r="E119" s="1446" t="s">
        <v>92</v>
      </c>
      <c r="F119" s="1429" t="s">
        <v>802</v>
      </c>
      <c r="G119" s="979" t="s">
        <v>608</v>
      </c>
      <c r="H119" s="982" t="s">
        <v>608</v>
      </c>
      <c r="I119" s="25"/>
      <c r="J119" s="23"/>
      <c r="K119" s="23"/>
    </row>
    <row r="120" spans="1:11" ht="12.75" hidden="1" customHeight="1">
      <c r="A120" s="1717" t="s">
        <v>311</v>
      </c>
      <c r="B120" s="1714" t="s">
        <v>240</v>
      </c>
      <c r="C120" s="1714" t="s">
        <v>426</v>
      </c>
      <c r="D120" s="979" t="s">
        <v>241</v>
      </c>
      <c r="E120" s="1446" t="s">
        <v>92</v>
      </c>
      <c r="F120" s="1429" t="s">
        <v>178</v>
      </c>
      <c r="G120" s="979" t="s">
        <v>608</v>
      </c>
      <c r="H120" s="982" t="s">
        <v>608</v>
      </c>
      <c r="I120" s="25"/>
      <c r="J120" s="23"/>
      <c r="K120" s="23"/>
    </row>
    <row r="121" spans="1:11" ht="12.75" hidden="1" customHeight="1">
      <c r="A121" s="1717"/>
      <c r="B121" s="1714"/>
      <c r="C121" s="1714"/>
      <c r="D121" s="979"/>
      <c r="E121" s="1446"/>
      <c r="F121" s="1429"/>
      <c r="G121" s="979"/>
      <c r="H121" s="982"/>
      <c r="I121" s="25"/>
      <c r="J121" s="23"/>
      <c r="K121" s="23"/>
    </row>
    <row r="122" spans="1:11" ht="12.75" hidden="1" customHeight="1">
      <c r="A122" s="1714">
        <v>2007</v>
      </c>
      <c r="B122" s="1714"/>
      <c r="C122" s="1714"/>
      <c r="D122" s="979"/>
      <c r="E122" s="1446"/>
      <c r="F122" s="1429"/>
      <c r="G122" s="979"/>
      <c r="H122" s="982"/>
      <c r="I122" s="25"/>
      <c r="J122" s="23"/>
      <c r="K122" s="23"/>
    </row>
    <row r="123" spans="1:11" ht="12.75" hidden="1" customHeight="1">
      <c r="A123" s="1717"/>
      <c r="B123" s="1714"/>
      <c r="C123" s="1714"/>
      <c r="D123" s="979"/>
      <c r="E123" s="1446"/>
      <c r="F123" s="1429"/>
      <c r="G123" s="979"/>
      <c r="H123" s="982"/>
      <c r="I123" s="25"/>
      <c r="J123" s="23"/>
      <c r="K123" s="23"/>
    </row>
    <row r="124" spans="1:11" ht="12.75" hidden="1" customHeight="1">
      <c r="A124" s="1717" t="s">
        <v>298</v>
      </c>
      <c r="B124" s="1714" t="s">
        <v>81</v>
      </c>
      <c r="C124" s="1714" t="s">
        <v>1095</v>
      </c>
      <c r="D124" s="979" t="s">
        <v>82</v>
      </c>
      <c r="E124" s="1446" t="s">
        <v>616</v>
      </c>
      <c r="F124" s="1429" t="s">
        <v>182</v>
      </c>
      <c r="G124" s="979" t="s">
        <v>608</v>
      </c>
      <c r="H124" s="982" t="s">
        <v>608</v>
      </c>
      <c r="I124" s="25"/>
      <c r="J124" s="23"/>
      <c r="K124" s="23"/>
    </row>
    <row r="125" spans="1:11" ht="12.75" hidden="1" customHeight="1">
      <c r="A125" s="1717" t="s">
        <v>299</v>
      </c>
      <c r="B125" s="1714" t="s">
        <v>81</v>
      </c>
      <c r="C125" s="1714" t="s">
        <v>217</v>
      </c>
      <c r="D125" s="979" t="s">
        <v>82</v>
      </c>
      <c r="E125" s="1446" t="s">
        <v>617</v>
      </c>
      <c r="F125" s="1429" t="s">
        <v>170</v>
      </c>
      <c r="G125" s="979" t="s">
        <v>608</v>
      </c>
      <c r="H125" s="982" t="s">
        <v>608</v>
      </c>
      <c r="I125" s="25"/>
      <c r="J125" s="23"/>
      <c r="K125" s="23"/>
    </row>
    <row r="126" spans="1:11" ht="12.75" hidden="1" customHeight="1">
      <c r="A126" s="1717" t="s">
        <v>300</v>
      </c>
      <c r="B126" s="1714" t="s">
        <v>81</v>
      </c>
      <c r="C126" s="1714" t="s">
        <v>1095</v>
      </c>
      <c r="D126" s="979" t="s">
        <v>82</v>
      </c>
      <c r="E126" s="1446" t="s">
        <v>617</v>
      </c>
      <c r="F126" s="1429" t="s">
        <v>982</v>
      </c>
      <c r="G126" s="979" t="s">
        <v>608</v>
      </c>
      <c r="H126" s="982" t="s">
        <v>608</v>
      </c>
      <c r="I126" s="25"/>
      <c r="J126" s="23"/>
      <c r="K126" s="23"/>
    </row>
    <row r="127" spans="1:11" ht="12.75" hidden="1" customHeight="1">
      <c r="A127" s="1717" t="s">
        <v>301</v>
      </c>
      <c r="B127" s="1714" t="s">
        <v>81</v>
      </c>
      <c r="C127" s="1714" t="s">
        <v>845</v>
      </c>
      <c r="D127" s="979" t="s">
        <v>846</v>
      </c>
      <c r="E127" s="1446" t="s">
        <v>617</v>
      </c>
      <c r="F127" s="1429" t="s">
        <v>847</v>
      </c>
      <c r="G127" s="979" t="s">
        <v>608</v>
      </c>
      <c r="H127" s="982" t="s">
        <v>608</v>
      </c>
      <c r="I127" s="25"/>
      <c r="J127" s="23"/>
      <c r="K127" s="23"/>
    </row>
    <row r="128" spans="1:11" ht="12.75" hidden="1" customHeight="1">
      <c r="A128" s="1717" t="s">
        <v>302</v>
      </c>
      <c r="B128" s="1714" t="s">
        <v>81</v>
      </c>
      <c r="C128" s="1714" t="s">
        <v>845</v>
      </c>
      <c r="D128" s="979" t="s">
        <v>846</v>
      </c>
      <c r="E128" s="1446" t="s">
        <v>617</v>
      </c>
      <c r="F128" s="1429" t="s">
        <v>71</v>
      </c>
      <c r="G128" s="979" t="s">
        <v>608</v>
      </c>
      <c r="H128" s="982" t="s">
        <v>608</v>
      </c>
      <c r="I128" s="25"/>
      <c r="J128" s="23"/>
      <c r="K128" s="23"/>
    </row>
    <row r="129" spans="1:11" ht="12.75" hidden="1" customHeight="1">
      <c r="A129" s="1717" t="s">
        <v>303</v>
      </c>
      <c r="B129" s="1714" t="s">
        <v>227</v>
      </c>
      <c r="C129" s="1714" t="s">
        <v>1095</v>
      </c>
      <c r="D129" s="979" t="s">
        <v>846</v>
      </c>
      <c r="E129" s="1446" t="s">
        <v>617</v>
      </c>
      <c r="F129" s="1429" t="s">
        <v>33</v>
      </c>
      <c r="G129" s="979" t="s">
        <v>608</v>
      </c>
      <c r="H129" s="982" t="s">
        <v>608</v>
      </c>
      <c r="I129" s="25"/>
      <c r="J129" s="23"/>
      <c r="K129" s="23"/>
    </row>
    <row r="130" spans="1:11" ht="12.75" hidden="1" customHeight="1">
      <c r="A130" s="1717" t="s">
        <v>304</v>
      </c>
      <c r="B130" s="1714" t="s">
        <v>227</v>
      </c>
      <c r="C130" s="1714" t="s">
        <v>1095</v>
      </c>
      <c r="D130" s="979" t="s">
        <v>846</v>
      </c>
      <c r="E130" s="1446" t="s">
        <v>617</v>
      </c>
      <c r="F130" s="1429" t="s">
        <v>1104</v>
      </c>
      <c r="G130" s="979" t="s">
        <v>608</v>
      </c>
      <c r="H130" s="982" t="s">
        <v>608</v>
      </c>
      <c r="I130" s="25"/>
      <c r="J130" s="23"/>
      <c r="K130" s="23"/>
    </row>
    <row r="131" spans="1:11" ht="12.75" hidden="1" customHeight="1">
      <c r="A131" s="1717" t="s">
        <v>305</v>
      </c>
      <c r="B131" s="1714" t="s">
        <v>227</v>
      </c>
      <c r="C131" s="1714" t="s">
        <v>1095</v>
      </c>
      <c r="D131" s="979" t="s">
        <v>846</v>
      </c>
      <c r="E131" s="1446" t="s">
        <v>617</v>
      </c>
      <c r="F131" s="1429" t="s">
        <v>177</v>
      </c>
      <c r="G131" s="979" t="s">
        <v>608</v>
      </c>
      <c r="H131" s="982" t="s">
        <v>608</v>
      </c>
      <c r="I131" s="25"/>
      <c r="J131" s="23"/>
      <c r="K131" s="23"/>
    </row>
    <row r="132" spans="1:11" ht="12.75" hidden="1" customHeight="1">
      <c r="A132" s="1717" t="s">
        <v>306</v>
      </c>
      <c r="B132" s="1714" t="s">
        <v>227</v>
      </c>
      <c r="C132" s="1714" t="s">
        <v>919</v>
      </c>
      <c r="D132" s="979" t="s">
        <v>918</v>
      </c>
      <c r="E132" s="1446" t="s">
        <v>92</v>
      </c>
      <c r="F132" s="1429" t="s">
        <v>71</v>
      </c>
      <c r="G132" s="979" t="s">
        <v>608</v>
      </c>
      <c r="H132" s="982" t="s">
        <v>608</v>
      </c>
      <c r="I132" s="25"/>
      <c r="J132" s="23"/>
      <c r="K132" s="23"/>
    </row>
    <row r="133" spans="1:11" ht="12.75" hidden="1" customHeight="1">
      <c r="A133" s="1717" t="s">
        <v>307</v>
      </c>
      <c r="B133" s="1714" t="s">
        <v>227</v>
      </c>
      <c r="C133" s="1714" t="s">
        <v>920</v>
      </c>
      <c r="D133" s="979" t="s">
        <v>921</v>
      </c>
      <c r="E133" s="1446" t="s">
        <v>617</v>
      </c>
      <c r="F133" s="1429" t="s">
        <v>922</v>
      </c>
      <c r="G133" s="979" t="s">
        <v>608</v>
      </c>
      <c r="H133" s="982" t="s">
        <v>608</v>
      </c>
      <c r="I133" s="25"/>
      <c r="J133" s="23"/>
      <c r="K133" s="23"/>
    </row>
    <row r="134" spans="1:11" ht="12.75" hidden="1" customHeight="1">
      <c r="A134" s="1717" t="s">
        <v>308</v>
      </c>
      <c r="B134" s="1714" t="s">
        <v>227</v>
      </c>
      <c r="C134" s="1714" t="s">
        <v>371</v>
      </c>
      <c r="D134" s="979" t="s">
        <v>846</v>
      </c>
      <c r="E134" s="1446" t="s">
        <v>617</v>
      </c>
      <c r="F134" s="1429" t="s">
        <v>923</v>
      </c>
      <c r="G134" s="979" t="s">
        <v>608</v>
      </c>
      <c r="H134" s="982" t="s">
        <v>608</v>
      </c>
      <c r="I134" s="25"/>
      <c r="J134" s="23"/>
      <c r="K134" s="23"/>
    </row>
    <row r="135" spans="1:11" ht="12.75" hidden="1" customHeight="1">
      <c r="A135" s="1717" t="s">
        <v>311</v>
      </c>
      <c r="B135" s="1714" t="s">
        <v>114</v>
      </c>
      <c r="C135" s="1714" t="s">
        <v>371</v>
      </c>
      <c r="D135" s="979" t="s">
        <v>846</v>
      </c>
      <c r="E135" s="1446" t="s">
        <v>617</v>
      </c>
      <c r="F135" s="1429" t="s">
        <v>922</v>
      </c>
      <c r="G135" s="979" t="s">
        <v>608</v>
      </c>
      <c r="H135" s="982" t="s">
        <v>608</v>
      </c>
      <c r="I135" s="25"/>
      <c r="J135" s="23"/>
      <c r="K135" s="23"/>
    </row>
    <row r="136" spans="1:11" ht="12.75" hidden="1" customHeight="1">
      <c r="A136" s="1717"/>
      <c r="B136" s="1714"/>
      <c r="C136" s="1714"/>
      <c r="D136" s="979"/>
      <c r="E136" s="1446"/>
      <c r="F136" s="1429"/>
      <c r="G136" s="979"/>
      <c r="H136" s="982"/>
      <c r="I136" s="25"/>
      <c r="J136" s="23"/>
      <c r="K136" s="23"/>
    </row>
    <row r="137" spans="1:11" ht="12.75" hidden="1" customHeight="1">
      <c r="A137" s="1714">
        <v>2008</v>
      </c>
      <c r="B137" s="1714"/>
      <c r="C137" s="1714"/>
      <c r="D137" s="979"/>
      <c r="E137" s="1446"/>
      <c r="F137" s="1429"/>
      <c r="G137" s="979"/>
      <c r="H137" s="982"/>
      <c r="I137" s="25"/>
      <c r="J137" s="23"/>
      <c r="K137" s="23"/>
    </row>
    <row r="138" spans="1:11" ht="12.75" hidden="1" customHeight="1">
      <c r="A138" s="1717"/>
      <c r="B138" s="1714"/>
      <c r="C138" s="1714"/>
      <c r="D138" s="979"/>
      <c r="E138" s="1446"/>
      <c r="F138" s="1429"/>
      <c r="G138" s="979"/>
      <c r="H138" s="982"/>
      <c r="I138" s="25"/>
      <c r="J138" s="23"/>
      <c r="K138" s="23"/>
    </row>
    <row r="139" spans="1:11" ht="12.75" hidden="1" customHeight="1">
      <c r="A139" s="1717" t="s">
        <v>298</v>
      </c>
      <c r="B139" s="1714" t="s">
        <v>114</v>
      </c>
      <c r="C139" s="1714" t="s">
        <v>1095</v>
      </c>
      <c r="D139" s="979" t="s">
        <v>846</v>
      </c>
      <c r="E139" s="1446" t="s">
        <v>617</v>
      </c>
      <c r="F139" s="1429" t="s">
        <v>115</v>
      </c>
      <c r="G139" s="979" t="s">
        <v>608</v>
      </c>
      <c r="H139" s="982" t="s">
        <v>608</v>
      </c>
      <c r="I139" s="25"/>
      <c r="J139" s="23"/>
      <c r="K139" s="23"/>
    </row>
    <row r="140" spans="1:11" ht="12.75" hidden="1" customHeight="1">
      <c r="A140" s="1717" t="s">
        <v>299</v>
      </c>
      <c r="B140" s="1714" t="s">
        <v>114</v>
      </c>
      <c r="C140" s="1714" t="s">
        <v>845</v>
      </c>
      <c r="D140" s="979" t="s">
        <v>93</v>
      </c>
      <c r="E140" s="1446" t="s">
        <v>617</v>
      </c>
      <c r="F140" s="1429" t="s">
        <v>394</v>
      </c>
      <c r="G140" s="979" t="s">
        <v>608</v>
      </c>
      <c r="H140" s="982" t="s">
        <v>608</v>
      </c>
      <c r="I140" s="25"/>
      <c r="J140" s="23"/>
      <c r="K140" s="23"/>
    </row>
    <row r="141" spans="1:11" ht="12.75" hidden="1" customHeight="1">
      <c r="A141" s="1717" t="s">
        <v>300</v>
      </c>
      <c r="B141" s="1714" t="s">
        <v>114</v>
      </c>
      <c r="C141" s="1714" t="s">
        <v>845</v>
      </c>
      <c r="D141" s="979" t="s">
        <v>918</v>
      </c>
      <c r="E141" s="1446" t="s">
        <v>617</v>
      </c>
      <c r="F141" s="1429" t="s">
        <v>71</v>
      </c>
      <c r="G141" s="979" t="s">
        <v>608</v>
      </c>
      <c r="H141" s="982" t="s">
        <v>608</v>
      </c>
      <c r="I141" s="25"/>
      <c r="J141" s="23"/>
      <c r="K141" s="23"/>
    </row>
    <row r="142" spans="1:11" ht="12.75" hidden="1" customHeight="1">
      <c r="A142" s="1717" t="s">
        <v>301</v>
      </c>
      <c r="B142" s="1714" t="s">
        <v>114</v>
      </c>
      <c r="C142" s="1714" t="s">
        <v>532</v>
      </c>
      <c r="D142" s="979" t="s">
        <v>918</v>
      </c>
      <c r="E142" s="1446" t="s">
        <v>617</v>
      </c>
      <c r="F142" s="1429" t="s">
        <v>533</v>
      </c>
      <c r="G142" s="979" t="s">
        <v>608</v>
      </c>
      <c r="H142" s="982" t="s">
        <v>608</v>
      </c>
      <c r="I142" s="25"/>
      <c r="J142" s="23"/>
      <c r="K142" s="23"/>
    </row>
    <row r="143" spans="1:11" ht="12.75" hidden="1" customHeight="1">
      <c r="A143" s="1717" t="s">
        <v>302</v>
      </c>
      <c r="B143" s="1714" t="s">
        <v>114</v>
      </c>
      <c r="C143" s="1714" t="s">
        <v>781</v>
      </c>
      <c r="D143" s="979" t="s">
        <v>918</v>
      </c>
      <c r="E143" s="1446" t="s">
        <v>617</v>
      </c>
      <c r="F143" s="1429" t="s">
        <v>776</v>
      </c>
      <c r="G143" s="979" t="s">
        <v>608</v>
      </c>
      <c r="H143" s="982" t="s">
        <v>608</v>
      </c>
      <c r="I143" s="25"/>
      <c r="J143" s="23"/>
      <c r="K143" s="23"/>
    </row>
    <row r="144" spans="1:11" ht="12.75" hidden="1" customHeight="1">
      <c r="A144" s="1717" t="s">
        <v>303</v>
      </c>
      <c r="B144" s="1714" t="s">
        <v>779</v>
      </c>
      <c r="C144" s="1714" t="s">
        <v>1095</v>
      </c>
      <c r="D144" s="979" t="s">
        <v>918</v>
      </c>
      <c r="E144" s="1446" t="s">
        <v>617</v>
      </c>
      <c r="F144" s="1429" t="s">
        <v>183</v>
      </c>
      <c r="G144" s="979" t="s">
        <v>608</v>
      </c>
      <c r="H144" s="982" t="s">
        <v>608</v>
      </c>
      <c r="I144" s="25"/>
      <c r="J144" s="23"/>
      <c r="K144" s="23"/>
    </row>
    <row r="145" spans="1:11" ht="12.75" hidden="1" customHeight="1">
      <c r="A145" s="1717" t="s">
        <v>304</v>
      </c>
      <c r="B145" s="1714" t="s">
        <v>779</v>
      </c>
      <c r="C145" s="1714" t="s">
        <v>1095</v>
      </c>
      <c r="D145" s="979" t="s">
        <v>918</v>
      </c>
      <c r="E145" s="1446" t="s">
        <v>617</v>
      </c>
      <c r="F145" s="1429" t="s">
        <v>183</v>
      </c>
      <c r="G145" s="979" t="s">
        <v>608</v>
      </c>
      <c r="H145" s="982" t="s">
        <v>608</v>
      </c>
      <c r="I145" s="25"/>
      <c r="J145" s="23"/>
      <c r="K145" s="23"/>
    </row>
    <row r="146" spans="1:11" ht="12.75" hidden="1" customHeight="1">
      <c r="A146" s="1717" t="s">
        <v>305</v>
      </c>
      <c r="B146" s="1714" t="s">
        <v>779</v>
      </c>
      <c r="C146" s="1714" t="s">
        <v>845</v>
      </c>
      <c r="D146" s="979" t="s">
        <v>780</v>
      </c>
      <c r="E146" s="1446" t="s">
        <v>617</v>
      </c>
      <c r="F146" s="1429" t="s">
        <v>777</v>
      </c>
      <c r="G146" s="979" t="s">
        <v>608</v>
      </c>
      <c r="H146" s="982" t="s">
        <v>608</v>
      </c>
      <c r="I146" s="25"/>
      <c r="J146" s="23"/>
      <c r="K146" s="23"/>
    </row>
    <row r="147" spans="1:11" ht="12.75" hidden="1" customHeight="1">
      <c r="A147" s="1717" t="s">
        <v>306</v>
      </c>
      <c r="B147" s="1714" t="s">
        <v>779</v>
      </c>
      <c r="C147" s="1714" t="s">
        <v>845</v>
      </c>
      <c r="D147" s="979" t="s">
        <v>780</v>
      </c>
      <c r="E147" s="1446" t="s">
        <v>782</v>
      </c>
      <c r="F147" s="1429" t="s">
        <v>439</v>
      </c>
      <c r="G147" s="979" t="s">
        <v>608</v>
      </c>
      <c r="H147" s="982" t="s">
        <v>608</v>
      </c>
      <c r="I147" s="25"/>
      <c r="J147" s="23"/>
      <c r="K147" s="23"/>
    </row>
    <row r="148" spans="1:11" ht="12.75" hidden="1" customHeight="1">
      <c r="A148" s="1717" t="s">
        <v>307</v>
      </c>
      <c r="B148" s="1714" t="s">
        <v>779</v>
      </c>
      <c r="C148" s="1714" t="s">
        <v>845</v>
      </c>
      <c r="D148" s="979" t="s">
        <v>780</v>
      </c>
      <c r="E148" s="1446" t="s">
        <v>617</v>
      </c>
      <c r="F148" s="1429" t="s">
        <v>778</v>
      </c>
      <c r="G148" s="979" t="s">
        <v>608</v>
      </c>
      <c r="H148" s="982" t="s">
        <v>608</v>
      </c>
      <c r="I148" s="25"/>
      <c r="J148" s="23"/>
      <c r="K148" s="23"/>
    </row>
    <row r="149" spans="1:11" ht="12.75" hidden="1" customHeight="1">
      <c r="A149" s="1717" t="s">
        <v>308</v>
      </c>
      <c r="B149" s="1714" t="s">
        <v>779</v>
      </c>
      <c r="C149" s="1714" t="s">
        <v>845</v>
      </c>
      <c r="D149" s="979" t="s">
        <v>732</v>
      </c>
      <c r="E149" s="1446" t="s">
        <v>731</v>
      </c>
      <c r="F149" s="1429" t="s">
        <v>730</v>
      </c>
      <c r="G149" s="979" t="s">
        <v>608</v>
      </c>
      <c r="H149" s="982" t="s">
        <v>608</v>
      </c>
      <c r="I149" s="25"/>
      <c r="J149" s="23"/>
      <c r="K149" s="23"/>
    </row>
    <row r="150" spans="1:11" ht="12.75" hidden="1" customHeight="1">
      <c r="A150" s="1717" t="s">
        <v>311</v>
      </c>
      <c r="B150" s="1714" t="s">
        <v>779</v>
      </c>
      <c r="C150" s="1714" t="s">
        <v>845</v>
      </c>
      <c r="D150" s="979" t="s">
        <v>732</v>
      </c>
      <c r="E150" s="1446" t="s">
        <v>733</v>
      </c>
      <c r="F150" s="1429" t="s">
        <v>730</v>
      </c>
      <c r="G150" s="979" t="s">
        <v>608</v>
      </c>
      <c r="H150" s="982" t="s">
        <v>608</v>
      </c>
      <c r="I150" s="25"/>
      <c r="J150" s="23"/>
      <c r="K150" s="23"/>
    </row>
    <row r="151" spans="1:11" ht="12.75" hidden="1" customHeight="1">
      <c r="A151" s="1717"/>
      <c r="B151" s="1714"/>
      <c r="C151" s="1714"/>
      <c r="D151" s="979"/>
      <c r="E151" s="1446"/>
      <c r="F151" s="1429"/>
      <c r="G151" s="979"/>
      <c r="H151" s="982"/>
      <c r="I151" s="25"/>
      <c r="J151" s="23"/>
      <c r="K151" s="23"/>
    </row>
    <row r="152" spans="1:11" ht="12.75" hidden="1" customHeight="1">
      <c r="A152" s="1717"/>
      <c r="B152" s="1714"/>
      <c r="C152" s="1714"/>
      <c r="D152" s="979"/>
      <c r="E152" s="1446"/>
      <c r="F152" s="1429"/>
      <c r="G152" s="979"/>
      <c r="H152" s="982"/>
      <c r="I152" s="25"/>
      <c r="J152" s="23"/>
      <c r="K152" s="23"/>
    </row>
    <row r="153" spans="1:11" ht="12.75" hidden="1" customHeight="1">
      <c r="A153" s="1717"/>
      <c r="B153" s="1714"/>
      <c r="C153" s="1714"/>
      <c r="D153" s="979"/>
      <c r="E153" s="1446"/>
      <c r="F153" s="1429"/>
      <c r="G153" s="979"/>
      <c r="H153" s="982"/>
      <c r="I153" s="25"/>
      <c r="J153" s="23"/>
      <c r="K153" s="23"/>
    </row>
    <row r="154" spans="1:11" ht="12.75" hidden="1" customHeight="1">
      <c r="A154" s="1718">
        <v>2009</v>
      </c>
      <c r="B154" s="1714"/>
      <c r="C154" s="1714"/>
      <c r="D154" s="979"/>
      <c r="E154" s="1446"/>
      <c r="F154" s="1429"/>
      <c r="G154" s="979"/>
      <c r="H154" s="982"/>
      <c r="I154" s="25"/>
      <c r="J154" s="23"/>
      <c r="K154" s="23"/>
    </row>
    <row r="155" spans="1:11" ht="12.75" hidden="1" customHeight="1">
      <c r="A155" s="1717"/>
      <c r="B155" s="1714"/>
      <c r="C155" s="1714"/>
      <c r="D155" s="979"/>
      <c r="E155" s="1446"/>
      <c r="F155" s="1429"/>
      <c r="G155" s="979"/>
      <c r="H155" s="982"/>
      <c r="I155" s="25"/>
      <c r="J155" s="23"/>
      <c r="K155" s="23"/>
    </row>
    <row r="156" spans="1:11" ht="12.75" hidden="1" customHeight="1">
      <c r="A156" s="1717"/>
      <c r="B156" s="1714"/>
      <c r="C156" s="1714"/>
      <c r="D156" s="979"/>
      <c r="E156" s="1446"/>
      <c r="F156" s="1429"/>
      <c r="G156" s="979"/>
      <c r="H156" s="982"/>
      <c r="I156" s="25"/>
      <c r="J156" s="23"/>
      <c r="K156" s="23"/>
    </row>
    <row r="157" spans="1:11" ht="12.75" hidden="1" customHeight="1">
      <c r="A157" s="1717"/>
      <c r="B157" s="1714"/>
      <c r="C157" s="1714"/>
      <c r="D157" s="979"/>
      <c r="E157" s="1446"/>
      <c r="F157" s="1429"/>
      <c r="G157" s="979"/>
      <c r="H157" s="982"/>
      <c r="I157" s="25"/>
      <c r="J157" s="23"/>
      <c r="K157" s="23"/>
    </row>
    <row r="158" spans="1:11" ht="12.75" hidden="1" customHeight="1">
      <c r="A158" s="1717" t="s">
        <v>300</v>
      </c>
      <c r="B158" s="1714" t="s">
        <v>722</v>
      </c>
      <c r="C158" s="1714" t="s">
        <v>723</v>
      </c>
      <c r="D158" s="979" t="s">
        <v>724</v>
      </c>
      <c r="E158" s="1446" t="s">
        <v>724</v>
      </c>
      <c r="F158" s="1429" t="s">
        <v>470</v>
      </c>
      <c r="G158" s="979" t="s">
        <v>724</v>
      </c>
      <c r="H158" s="978" t="s">
        <v>724</v>
      </c>
      <c r="I158" s="25"/>
      <c r="J158" s="23"/>
      <c r="K158" s="23"/>
    </row>
    <row r="159" spans="1:11" ht="12.75" hidden="1" customHeight="1">
      <c r="A159" s="1717" t="s">
        <v>301</v>
      </c>
      <c r="B159" s="1714" t="s">
        <v>722</v>
      </c>
      <c r="C159" s="1714" t="s">
        <v>725</v>
      </c>
      <c r="D159" s="979" t="s">
        <v>726</v>
      </c>
      <c r="E159" s="1446" t="s">
        <v>724</v>
      </c>
      <c r="F159" s="1429" t="s">
        <v>472</v>
      </c>
      <c r="G159" s="979" t="s">
        <v>724</v>
      </c>
      <c r="H159" s="978" t="s">
        <v>724</v>
      </c>
      <c r="I159" s="25"/>
      <c r="J159" s="23"/>
      <c r="K159" s="23"/>
    </row>
    <row r="160" spans="1:11" ht="12.75" hidden="1" customHeight="1">
      <c r="A160" s="1717" t="s">
        <v>302</v>
      </c>
      <c r="B160" s="1714" t="s">
        <v>722</v>
      </c>
      <c r="C160" s="1714" t="s">
        <v>727</v>
      </c>
      <c r="D160" s="979" t="s">
        <v>728</v>
      </c>
      <c r="E160" s="1446" t="s">
        <v>724</v>
      </c>
      <c r="F160" s="1429" t="s">
        <v>471</v>
      </c>
      <c r="G160" s="979" t="s">
        <v>724</v>
      </c>
      <c r="H160" s="978" t="s">
        <v>724</v>
      </c>
      <c r="I160" s="25"/>
      <c r="J160" s="23"/>
      <c r="K160" s="23"/>
    </row>
    <row r="161" spans="1:11" ht="12.75" hidden="1" customHeight="1">
      <c r="A161" s="1717" t="s">
        <v>303</v>
      </c>
      <c r="B161" s="1714" t="s">
        <v>722</v>
      </c>
      <c r="C161" s="1714" t="s">
        <v>729</v>
      </c>
      <c r="D161" s="979" t="s">
        <v>728</v>
      </c>
      <c r="E161" s="1446" t="s">
        <v>724</v>
      </c>
      <c r="F161" s="1429" t="s">
        <v>979</v>
      </c>
      <c r="G161" s="979" t="s">
        <v>724</v>
      </c>
      <c r="H161" s="978" t="s">
        <v>724</v>
      </c>
      <c r="I161" s="25"/>
      <c r="J161" s="23"/>
      <c r="K161" s="23"/>
    </row>
    <row r="162" spans="1:11" ht="12.75" hidden="1" customHeight="1">
      <c r="A162" s="1717" t="s">
        <v>304</v>
      </c>
      <c r="B162" s="1714" t="s">
        <v>722</v>
      </c>
      <c r="C162" s="1714" t="s">
        <v>900</v>
      </c>
      <c r="D162" s="979"/>
      <c r="E162" s="1446"/>
      <c r="F162" s="1429" t="s">
        <v>784</v>
      </c>
      <c r="G162" s="979"/>
      <c r="H162" s="982"/>
      <c r="I162" s="25"/>
      <c r="J162" s="23"/>
      <c r="K162" s="23"/>
    </row>
    <row r="163" spans="1:11" ht="12.75" hidden="1" customHeight="1" thickBot="1">
      <c r="A163" s="1717" t="s">
        <v>305</v>
      </c>
      <c r="B163" s="1714" t="s">
        <v>722</v>
      </c>
      <c r="C163" s="1714" t="s">
        <v>367</v>
      </c>
      <c r="D163" s="979"/>
      <c r="E163" s="1446"/>
      <c r="F163" s="1429" t="s">
        <v>368</v>
      </c>
      <c r="G163" s="989"/>
      <c r="H163" s="990"/>
      <c r="I163" s="25"/>
      <c r="J163" s="23"/>
      <c r="K163" s="23"/>
    </row>
    <row r="164" spans="1:11" ht="12.75" hidden="1" customHeight="1" thickTop="1">
      <c r="A164" s="1717" t="s">
        <v>306</v>
      </c>
      <c r="B164" s="1714" t="s">
        <v>722</v>
      </c>
      <c r="C164" s="1714" t="s">
        <v>367</v>
      </c>
      <c r="D164" s="979"/>
      <c r="E164" s="1446"/>
      <c r="F164" s="1429" t="s">
        <v>369</v>
      </c>
      <c r="G164" s="983"/>
      <c r="H164" s="991"/>
      <c r="I164" s="25"/>
      <c r="J164" s="23"/>
      <c r="K164" s="23"/>
    </row>
    <row r="165" spans="1:11" ht="12.75" hidden="1" customHeight="1">
      <c r="A165" s="1717" t="s">
        <v>307</v>
      </c>
      <c r="B165" s="1714" t="s">
        <v>722</v>
      </c>
      <c r="C165" s="1714" t="s">
        <v>367</v>
      </c>
      <c r="D165" s="979"/>
      <c r="E165" s="1446"/>
      <c r="F165" s="1429" t="s">
        <v>370</v>
      </c>
      <c r="G165" s="983"/>
      <c r="H165" s="991"/>
      <c r="I165" s="25"/>
      <c r="J165" s="23"/>
      <c r="K165" s="23"/>
    </row>
    <row r="166" spans="1:11" ht="12.75" hidden="1" customHeight="1">
      <c r="A166" s="1717" t="s">
        <v>308</v>
      </c>
      <c r="B166" s="1714" t="s">
        <v>722</v>
      </c>
      <c r="C166" s="1714" t="s">
        <v>367</v>
      </c>
      <c r="D166" s="979"/>
      <c r="E166" s="1446"/>
      <c r="F166" s="1429" t="s">
        <v>727</v>
      </c>
      <c r="G166" s="983"/>
      <c r="H166" s="991"/>
      <c r="I166" s="25"/>
      <c r="J166" s="23"/>
      <c r="K166" s="23"/>
    </row>
    <row r="167" spans="1:11" ht="12.75" hidden="1" customHeight="1">
      <c r="A167" s="1717" t="s">
        <v>311</v>
      </c>
      <c r="B167" s="1714" t="s">
        <v>722</v>
      </c>
      <c r="C167" s="1714" t="s">
        <v>353</v>
      </c>
      <c r="D167" s="979"/>
      <c r="E167" s="1446"/>
      <c r="F167" s="1429" t="s">
        <v>187</v>
      </c>
      <c r="G167" s="983"/>
      <c r="H167" s="991"/>
      <c r="I167" s="25"/>
      <c r="J167" s="23"/>
      <c r="K167" s="23"/>
    </row>
    <row r="168" spans="1:11" ht="12.75" hidden="1" customHeight="1">
      <c r="A168" s="1717"/>
      <c r="B168" s="1714"/>
      <c r="C168" s="1714"/>
      <c r="D168" s="979"/>
      <c r="E168" s="1446"/>
      <c r="F168" s="1429"/>
      <c r="G168" s="983"/>
      <c r="H168" s="991"/>
      <c r="I168" s="25"/>
      <c r="J168" s="23"/>
      <c r="K168" s="23"/>
    </row>
    <row r="169" spans="1:11" ht="12.75" hidden="1" customHeight="1">
      <c r="A169" s="1718">
        <v>2010</v>
      </c>
      <c r="B169" s="1714"/>
      <c r="C169" s="1714"/>
      <c r="D169" s="979"/>
      <c r="E169" s="1446"/>
      <c r="F169" s="1429"/>
      <c r="G169" s="983"/>
      <c r="H169" s="991"/>
      <c r="I169" s="25"/>
      <c r="J169" s="23"/>
      <c r="K169" s="23"/>
    </row>
    <row r="170" spans="1:11" ht="12.75" hidden="1" customHeight="1">
      <c r="A170" s="1717"/>
      <c r="B170" s="1714"/>
      <c r="C170" s="1714"/>
      <c r="D170" s="979"/>
      <c r="E170" s="1446"/>
      <c r="F170" s="1429"/>
      <c r="G170" s="983"/>
      <c r="H170" s="991"/>
      <c r="I170" s="25"/>
      <c r="J170" s="23"/>
      <c r="K170" s="23"/>
    </row>
    <row r="171" spans="1:11" ht="12.75" hidden="1" customHeight="1">
      <c r="A171" s="1717" t="s">
        <v>298</v>
      </c>
      <c r="B171" s="1714" t="s">
        <v>354</v>
      </c>
      <c r="C171" s="1714" t="s">
        <v>353</v>
      </c>
      <c r="D171" s="979"/>
      <c r="E171" s="1446"/>
      <c r="F171" s="1429" t="s">
        <v>187</v>
      </c>
      <c r="G171" s="983"/>
      <c r="H171" s="991"/>
      <c r="I171" s="25"/>
      <c r="J171" s="23"/>
      <c r="K171" s="23"/>
    </row>
    <row r="172" spans="1:11" ht="12.75" hidden="1" customHeight="1">
      <c r="A172" s="1717" t="s">
        <v>299</v>
      </c>
      <c r="B172" s="1714" t="s">
        <v>354</v>
      </c>
      <c r="C172" s="1714" t="s">
        <v>858</v>
      </c>
      <c r="D172" s="979"/>
      <c r="E172" s="1446"/>
      <c r="F172" s="1429" t="s">
        <v>924</v>
      </c>
      <c r="G172" s="983"/>
      <c r="H172" s="991"/>
      <c r="I172" s="25"/>
      <c r="J172" s="23"/>
      <c r="K172" s="23"/>
    </row>
    <row r="173" spans="1:11" ht="12.75" hidden="1" customHeight="1">
      <c r="A173" s="1717" t="s">
        <v>300</v>
      </c>
      <c r="B173" s="1714" t="s">
        <v>354</v>
      </c>
      <c r="C173" s="1714" t="s">
        <v>223</v>
      </c>
      <c r="D173" s="979"/>
      <c r="E173" s="1446"/>
      <c r="F173" s="1429" t="s">
        <v>539</v>
      </c>
      <c r="G173" s="983"/>
      <c r="H173" s="991"/>
      <c r="I173" s="25"/>
      <c r="J173" s="23"/>
      <c r="K173" s="23"/>
    </row>
    <row r="174" spans="1:11" ht="12.75" hidden="1" customHeight="1">
      <c r="A174" s="1717" t="s">
        <v>301</v>
      </c>
      <c r="B174" s="1714" t="s">
        <v>354</v>
      </c>
      <c r="C174" s="1714" t="s">
        <v>223</v>
      </c>
      <c r="D174" s="979"/>
      <c r="E174" s="1446"/>
      <c r="F174" s="1429" t="s">
        <v>539</v>
      </c>
      <c r="G174" s="983"/>
      <c r="H174" s="991"/>
      <c r="I174" s="25"/>
      <c r="J174" s="23"/>
      <c r="K174" s="23"/>
    </row>
    <row r="175" spans="1:11" ht="12.75" hidden="1" customHeight="1">
      <c r="A175" s="1717" t="s">
        <v>302</v>
      </c>
      <c r="B175" s="1714" t="s">
        <v>354</v>
      </c>
      <c r="C175" s="1714" t="s">
        <v>223</v>
      </c>
      <c r="D175" s="979"/>
      <c r="E175" s="1446"/>
      <c r="F175" s="1429" t="s">
        <v>539</v>
      </c>
      <c r="G175" s="983"/>
      <c r="H175" s="991"/>
      <c r="I175" s="25"/>
      <c r="J175" s="23"/>
      <c r="K175" s="23"/>
    </row>
    <row r="176" spans="1:11" ht="12.75" hidden="1" customHeight="1">
      <c r="A176" s="1717" t="s">
        <v>303</v>
      </c>
      <c r="B176" s="1714" t="s">
        <v>354</v>
      </c>
      <c r="C176" s="1714" t="s">
        <v>223</v>
      </c>
      <c r="D176" s="979"/>
      <c r="E176" s="1446"/>
      <c r="F176" s="1429" t="s">
        <v>539</v>
      </c>
      <c r="G176" s="983"/>
      <c r="H176" s="991"/>
      <c r="I176" s="25"/>
      <c r="J176" s="23"/>
      <c r="K176" s="23"/>
    </row>
    <row r="177" spans="1:11" ht="12.75" hidden="1" customHeight="1">
      <c r="A177" s="1717" t="s">
        <v>304</v>
      </c>
      <c r="B177" s="1714" t="s">
        <v>354</v>
      </c>
      <c r="C177" s="1714" t="s">
        <v>223</v>
      </c>
      <c r="D177" s="979"/>
      <c r="E177" s="1446"/>
      <c r="F177" s="1429" t="s">
        <v>539</v>
      </c>
      <c r="G177" s="983"/>
      <c r="H177" s="991"/>
      <c r="I177" s="25"/>
      <c r="J177" s="23"/>
      <c r="K177" s="23"/>
    </row>
    <row r="178" spans="1:11" ht="12.75" hidden="1" customHeight="1">
      <c r="A178" s="1717" t="s">
        <v>305</v>
      </c>
      <c r="B178" s="1714" t="s">
        <v>354</v>
      </c>
      <c r="C178" s="1714" t="s">
        <v>223</v>
      </c>
      <c r="D178" s="979"/>
      <c r="E178" s="1446"/>
      <c r="F178" s="1429" t="s">
        <v>539</v>
      </c>
      <c r="G178" s="983"/>
      <c r="H178" s="991"/>
      <c r="I178" s="25"/>
      <c r="J178" s="23"/>
      <c r="K178" s="23"/>
    </row>
    <row r="179" spans="1:11" ht="12.75" hidden="1" customHeight="1">
      <c r="A179" s="1717" t="s">
        <v>306</v>
      </c>
      <c r="B179" s="1714" t="s">
        <v>354</v>
      </c>
      <c r="C179" s="1714" t="s">
        <v>223</v>
      </c>
      <c r="D179" s="979"/>
      <c r="E179" s="1446"/>
      <c r="F179" s="1429" t="s">
        <v>539</v>
      </c>
      <c r="G179" s="983"/>
      <c r="H179" s="991"/>
      <c r="I179" s="25"/>
      <c r="J179" s="23"/>
      <c r="K179" s="23"/>
    </row>
    <row r="180" spans="1:11" ht="12.75" hidden="1" customHeight="1">
      <c r="A180" s="1717" t="s">
        <v>307</v>
      </c>
      <c r="B180" s="1714" t="s">
        <v>722</v>
      </c>
      <c r="C180" s="1714" t="s">
        <v>1111</v>
      </c>
      <c r="D180" s="979"/>
      <c r="E180" s="1446"/>
      <c r="F180" s="1429" t="s">
        <v>862</v>
      </c>
      <c r="G180" s="983"/>
      <c r="H180" s="991"/>
      <c r="I180" s="25"/>
      <c r="J180" s="23"/>
      <c r="K180" s="23"/>
    </row>
    <row r="181" spans="1:11" ht="12.75" hidden="1" customHeight="1">
      <c r="A181" s="1717" t="s">
        <v>308</v>
      </c>
      <c r="B181" s="1714" t="s">
        <v>722</v>
      </c>
      <c r="C181" s="1714" t="s">
        <v>1112</v>
      </c>
      <c r="D181" s="979"/>
      <c r="E181" s="1446"/>
      <c r="F181" s="1429" t="s">
        <v>1113</v>
      </c>
      <c r="G181" s="983"/>
      <c r="H181" s="991"/>
      <c r="I181" s="25"/>
      <c r="J181" s="23"/>
      <c r="K181" s="23"/>
    </row>
    <row r="182" spans="1:11" ht="12.75" hidden="1" customHeight="1">
      <c r="A182" s="1717" t="s">
        <v>311</v>
      </c>
      <c r="B182" s="1714" t="s">
        <v>722</v>
      </c>
      <c r="C182" s="1714" t="s">
        <v>1112</v>
      </c>
      <c r="D182" s="979"/>
      <c r="E182" s="1446"/>
      <c r="F182" s="1429" t="s">
        <v>869</v>
      </c>
      <c r="G182" s="983"/>
      <c r="H182" s="991"/>
      <c r="I182" s="25"/>
      <c r="J182" s="23"/>
      <c r="K182" s="23"/>
    </row>
    <row r="183" spans="1:11" ht="12.75" hidden="1" customHeight="1">
      <c r="A183" s="1717"/>
      <c r="B183" s="1714"/>
      <c r="C183" s="1714"/>
      <c r="D183" s="979"/>
      <c r="E183" s="1446"/>
      <c r="F183" s="1429"/>
      <c r="G183" s="983"/>
      <c r="H183" s="991"/>
      <c r="I183" s="25"/>
      <c r="J183" s="23"/>
      <c r="K183" s="23"/>
    </row>
    <row r="184" spans="1:11" ht="12.75" hidden="1" customHeight="1">
      <c r="A184" s="1717"/>
      <c r="B184" s="1714"/>
      <c r="C184" s="1714"/>
      <c r="D184" s="979"/>
      <c r="E184" s="1446"/>
      <c r="F184" s="1429"/>
      <c r="G184" s="983"/>
      <c r="H184" s="991"/>
      <c r="I184" s="25"/>
      <c r="J184" s="23"/>
      <c r="K184" s="23"/>
    </row>
    <row r="185" spans="1:11" ht="12.75" hidden="1" customHeight="1">
      <c r="A185" s="1718">
        <v>2011</v>
      </c>
      <c r="B185" s="1720"/>
      <c r="C185" s="1720"/>
      <c r="D185" s="979"/>
      <c r="E185" s="1446"/>
      <c r="F185" s="1429"/>
      <c r="G185" s="983"/>
      <c r="H185" s="991"/>
      <c r="I185" s="25"/>
      <c r="J185" s="23"/>
      <c r="K185" s="23"/>
    </row>
    <row r="186" spans="1:11" ht="12.75" hidden="1" customHeight="1">
      <c r="A186" s="1719"/>
      <c r="B186" s="1720"/>
      <c r="C186" s="1720"/>
      <c r="D186" s="979"/>
      <c r="E186" s="1446"/>
      <c r="F186" s="1429"/>
      <c r="G186" s="983"/>
      <c r="H186" s="991"/>
      <c r="I186" s="25"/>
      <c r="J186" s="23"/>
      <c r="K186" s="23"/>
    </row>
    <row r="187" spans="1:11" ht="12.75" hidden="1" customHeight="1">
      <c r="A187" s="1719" t="s">
        <v>298</v>
      </c>
      <c r="B187" s="1720" t="s">
        <v>722</v>
      </c>
      <c r="C187" s="1720" t="s">
        <v>1116</v>
      </c>
      <c r="D187" s="979"/>
      <c r="E187" s="1446"/>
      <c r="F187" s="1338" t="s">
        <v>1117</v>
      </c>
      <c r="G187" s="983"/>
      <c r="H187" s="991"/>
      <c r="I187" s="25"/>
      <c r="J187" s="23"/>
      <c r="K187" s="23"/>
    </row>
    <row r="188" spans="1:11" ht="12.75" hidden="1" customHeight="1">
      <c r="A188" s="1719" t="s">
        <v>299</v>
      </c>
      <c r="B188" s="1720" t="s">
        <v>722</v>
      </c>
      <c r="C188" s="1720" t="s">
        <v>1116</v>
      </c>
      <c r="D188" s="979"/>
      <c r="E188" s="1446"/>
      <c r="F188" s="1338" t="s">
        <v>1117</v>
      </c>
      <c r="G188" s="983"/>
      <c r="H188" s="991"/>
      <c r="I188" s="25"/>
      <c r="J188" s="23"/>
      <c r="K188" s="23"/>
    </row>
    <row r="189" spans="1:11" ht="12.75" hidden="1" customHeight="1">
      <c r="A189" s="1719" t="s">
        <v>300</v>
      </c>
      <c r="B189" s="1720" t="s">
        <v>722</v>
      </c>
      <c r="C189" s="1720" t="s">
        <v>1112</v>
      </c>
      <c r="D189" s="979"/>
      <c r="E189" s="1446"/>
      <c r="F189" s="1338" t="s">
        <v>1117</v>
      </c>
      <c r="G189" s="983"/>
      <c r="H189" s="991"/>
      <c r="I189" s="25"/>
      <c r="J189" s="23"/>
      <c r="K189" s="23"/>
    </row>
    <row r="190" spans="1:11" ht="12.75" hidden="1" customHeight="1">
      <c r="A190" s="1719" t="s">
        <v>301</v>
      </c>
      <c r="B190" s="1720" t="s">
        <v>1197</v>
      </c>
      <c r="C190" s="1720" t="s">
        <v>1198</v>
      </c>
      <c r="D190" s="979"/>
      <c r="E190" s="1446"/>
      <c r="F190" s="1338" t="s">
        <v>1117</v>
      </c>
      <c r="G190" s="983"/>
      <c r="H190" s="991"/>
      <c r="I190" s="25"/>
      <c r="J190" s="23"/>
      <c r="K190" s="23"/>
    </row>
    <row r="191" spans="1:11" ht="12.75" hidden="1" customHeight="1">
      <c r="A191" s="1719" t="s">
        <v>302</v>
      </c>
      <c r="B191" s="1720" t="s">
        <v>1201</v>
      </c>
      <c r="C191" s="1720" t="s">
        <v>1198</v>
      </c>
      <c r="D191" s="979"/>
      <c r="E191" s="1446"/>
      <c r="F191" s="1338" t="s">
        <v>1117</v>
      </c>
      <c r="G191" s="983"/>
      <c r="H191" s="991"/>
      <c r="I191" s="25"/>
      <c r="J191" s="23"/>
      <c r="K191" s="23"/>
    </row>
    <row r="192" spans="1:11" ht="12.75" hidden="1" customHeight="1">
      <c r="A192" s="1719" t="s">
        <v>303</v>
      </c>
      <c r="B192" s="1720" t="s">
        <v>1202</v>
      </c>
      <c r="C192" s="1720" t="s">
        <v>1198</v>
      </c>
      <c r="D192" s="979"/>
      <c r="E192" s="1446"/>
      <c r="F192" s="1338" t="s">
        <v>1117</v>
      </c>
      <c r="G192" s="983"/>
      <c r="H192" s="991"/>
      <c r="I192" s="25"/>
      <c r="J192" s="23"/>
      <c r="K192" s="23"/>
    </row>
    <row r="193" spans="1:11" ht="12.75" hidden="1" customHeight="1">
      <c r="A193" s="1719" t="s">
        <v>304</v>
      </c>
      <c r="B193" s="1720" t="s">
        <v>1202</v>
      </c>
      <c r="C193" s="1720" t="s">
        <v>1255</v>
      </c>
      <c r="D193" s="979"/>
      <c r="E193" s="1446"/>
      <c r="F193" s="1338" t="s">
        <v>1117</v>
      </c>
      <c r="G193" s="983"/>
      <c r="H193" s="991"/>
      <c r="I193" s="25"/>
      <c r="J193" s="23"/>
      <c r="K193" s="23"/>
    </row>
    <row r="194" spans="1:11" ht="12.75" hidden="1" customHeight="1">
      <c r="A194" s="1719" t="s">
        <v>305</v>
      </c>
      <c r="B194" s="1720" t="s">
        <v>1202</v>
      </c>
      <c r="C194" s="1720" t="s">
        <v>1255</v>
      </c>
      <c r="D194" s="979"/>
      <c r="E194" s="1446"/>
      <c r="F194" s="1338" t="s">
        <v>1262</v>
      </c>
      <c r="G194" s="983"/>
      <c r="H194" s="991"/>
      <c r="I194" s="25"/>
      <c r="J194" s="23"/>
      <c r="K194" s="23"/>
    </row>
    <row r="195" spans="1:11" ht="12.75" hidden="1" customHeight="1">
      <c r="A195" s="1719" t="s">
        <v>306</v>
      </c>
      <c r="B195" s="1720" t="s">
        <v>1202</v>
      </c>
      <c r="C195" s="1720" t="s">
        <v>1255</v>
      </c>
      <c r="D195" s="979"/>
      <c r="E195" s="1446"/>
      <c r="F195" s="1338" t="s">
        <v>1117</v>
      </c>
      <c r="G195" s="983"/>
      <c r="H195" s="991"/>
      <c r="I195" s="25"/>
      <c r="J195" s="23"/>
      <c r="K195" s="23"/>
    </row>
    <row r="196" spans="1:11" ht="12.75" hidden="1" customHeight="1">
      <c r="A196" s="1719" t="s">
        <v>307</v>
      </c>
      <c r="B196" s="1720" t="s">
        <v>1202</v>
      </c>
      <c r="C196" s="1720" t="s">
        <v>1255</v>
      </c>
      <c r="D196" s="979"/>
      <c r="E196" s="1446"/>
      <c r="F196" s="1338" t="s">
        <v>1117</v>
      </c>
      <c r="G196" s="983"/>
      <c r="H196" s="991"/>
      <c r="I196" s="25"/>
      <c r="J196" s="23"/>
      <c r="K196" s="23"/>
    </row>
    <row r="197" spans="1:11" ht="12.75" hidden="1" customHeight="1">
      <c r="A197" s="1719" t="s">
        <v>308</v>
      </c>
      <c r="B197" s="1720" t="s">
        <v>1202</v>
      </c>
      <c r="C197" s="1720" t="s">
        <v>1255</v>
      </c>
      <c r="D197" s="979"/>
      <c r="E197" s="1446"/>
      <c r="F197" s="1338" t="s">
        <v>1117</v>
      </c>
      <c r="G197" s="983"/>
      <c r="H197" s="991"/>
      <c r="I197" s="25"/>
      <c r="J197" s="23"/>
      <c r="K197" s="23"/>
    </row>
    <row r="198" spans="1:11" ht="12.75" hidden="1" customHeight="1">
      <c r="A198" s="1719" t="s">
        <v>311</v>
      </c>
      <c r="B198" s="1720" t="s">
        <v>1202</v>
      </c>
      <c r="C198" s="1720" t="s">
        <v>1256</v>
      </c>
      <c r="D198" s="979"/>
      <c r="E198" s="1446"/>
      <c r="F198" s="1338" t="s">
        <v>1117</v>
      </c>
      <c r="G198" s="983"/>
      <c r="H198" s="991"/>
      <c r="I198" s="25"/>
      <c r="J198" s="23"/>
      <c r="K198" s="23"/>
    </row>
    <row r="199" spans="1:11" ht="12.75" hidden="1" customHeight="1">
      <c r="A199" s="1719"/>
      <c r="B199" s="1720"/>
      <c r="C199" s="1720"/>
      <c r="D199" s="979"/>
      <c r="E199" s="1446"/>
      <c r="F199" s="1338"/>
      <c r="G199" s="983"/>
      <c r="H199" s="991"/>
      <c r="I199" s="25"/>
      <c r="J199" s="23"/>
      <c r="K199" s="23"/>
    </row>
    <row r="200" spans="1:11" ht="12.75" hidden="1" customHeight="1">
      <c r="A200" s="1718">
        <v>2012</v>
      </c>
      <c r="B200" s="1720"/>
      <c r="C200" s="1720"/>
      <c r="D200" s="979"/>
      <c r="E200" s="1446"/>
      <c r="F200" s="1338"/>
      <c r="G200" s="983"/>
      <c r="H200" s="991"/>
      <c r="I200" s="25"/>
      <c r="J200" s="23"/>
      <c r="K200" s="23"/>
    </row>
    <row r="201" spans="1:11" ht="12.75" hidden="1" customHeight="1">
      <c r="A201" s="1720"/>
      <c r="B201" s="1720"/>
      <c r="C201" s="1720"/>
      <c r="D201" s="979"/>
      <c r="E201" s="1446"/>
      <c r="F201" s="1338"/>
      <c r="G201" s="983"/>
      <c r="H201" s="991"/>
      <c r="I201" s="25"/>
      <c r="J201" s="23"/>
      <c r="K201" s="23"/>
    </row>
    <row r="202" spans="1:11" ht="12.75" hidden="1" customHeight="1">
      <c r="A202" s="1721" t="s">
        <v>298</v>
      </c>
      <c r="B202" s="1720" t="s">
        <v>1202</v>
      </c>
      <c r="C202" s="1720" t="s">
        <v>1257</v>
      </c>
      <c r="D202" s="979"/>
      <c r="E202" s="1446"/>
      <c r="F202" s="1338" t="s">
        <v>1117</v>
      </c>
      <c r="G202" s="983"/>
      <c r="H202" s="991"/>
      <c r="I202" s="25"/>
      <c r="J202" s="23"/>
      <c r="K202" s="23"/>
    </row>
    <row r="203" spans="1:11" ht="12.75" hidden="1" customHeight="1">
      <c r="A203" s="1721" t="s">
        <v>299</v>
      </c>
      <c r="B203" s="1720" t="s">
        <v>1202</v>
      </c>
      <c r="C203" s="1720" t="s">
        <v>1257</v>
      </c>
      <c r="D203" s="979"/>
      <c r="E203" s="1446"/>
      <c r="F203" s="1338" t="s">
        <v>1117</v>
      </c>
      <c r="G203" s="983"/>
      <c r="H203" s="991"/>
      <c r="I203" s="25"/>
      <c r="J203" s="23"/>
      <c r="K203" s="23"/>
    </row>
    <row r="204" spans="1:11" s="215" customFormat="1" ht="12.75" hidden="1" customHeight="1">
      <c r="A204" s="1721" t="s">
        <v>300</v>
      </c>
      <c r="B204" s="1730" t="s">
        <v>1258</v>
      </c>
      <c r="C204" s="1730" t="s">
        <v>1259</v>
      </c>
      <c r="D204" s="1712"/>
      <c r="E204" s="1449"/>
      <c r="F204" s="1339" t="s">
        <v>1263</v>
      </c>
      <c r="G204" s="992"/>
      <c r="H204" s="993"/>
      <c r="I204" s="221"/>
      <c r="J204" s="217"/>
      <c r="K204" s="217"/>
    </row>
    <row r="205" spans="1:11" ht="12.75" hidden="1" customHeight="1">
      <c r="A205" s="1721" t="s">
        <v>301</v>
      </c>
      <c r="B205" s="1720" t="s">
        <v>1260</v>
      </c>
      <c r="C205" s="1720" t="s">
        <v>1259</v>
      </c>
      <c r="D205" s="979"/>
      <c r="E205" s="1446"/>
      <c r="F205" s="1338" t="s">
        <v>1264</v>
      </c>
      <c r="G205" s="983"/>
      <c r="H205" s="991"/>
      <c r="I205" s="25"/>
      <c r="J205" s="23"/>
      <c r="K205" s="23"/>
    </row>
    <row r="206" spans="1:11" ht="12.75" hidden="1" customHeight="1">
      <c r="A206" s="1721" t="s">
        <v>302</v>
      </c>
      <c r="B206" s="1720" t="s">
        <v>1260</v>
      </c>
      <c r="C206" s="1720" t="s">
        <v>1259</v>
      </c>
      <c r="D206" s="979"/>
      <c r="E206" s="1446"/>
      <c r="F206" s="1338" t="s">
        <v>1265</v>
      </c>
      <c r="G206" s="983"/>
      <c r="H206" s="991"/>
      <c r="I206" s="25"/>
      <c r="J206" s="23"/>
      <c r="K206" s="23"/>
    </row>
    <row r="207" spans="1:11" s="215" customFormat="1" ht="12.75" hidden="1" customHeight="1">
      <c r="A207" s="1721" t="s">
        <v>303</v>
      </c>
      <c r="B207" s="1730" t="s">
        <v>1260</v>
      </c>
      <c r="C207" s="1730" t="s">
        <v>1259</v>
      </c>
      <c r="D207" s="1712"/>
      <c r="E207" s="1449"/>
      <c r="F207" s="1339" t="s">
        <v>1265</v>
      </c>
      <c r="G207" s="992"/>
      <c r="H207" s="993"/>
      <c r="I207" s="221"/>
      <c r="J207" s="217"/>
      <c r="K207" s="217"/>
    </row>
    <row r="208" spans="1:11" ht="12.75" hidden="1" customHeight="1">
      <c r="A208" s="1721" t="s">
        <v>304</v>
      </c>
      <c r="B208" s="1720" t="s">
        <v>1260</v>
      </c>
      <c r="C208" s="1720" t="s">
        <v>1259</v>
      </c>
      <c r="D208" s="979"/>
      <c r="E208" s="1446"/>
      <c r="F208" s="1338" t="s">
        <v>1265</v>
      </c>
      <c r="G208" s="983"/>
      <c r="H208" s="991"/>
      <c r="I208" s="25"/>
      <c r="J208" s="23"/>
      <c r="K208" s="23"/>
    </row>
    <row r="209" spans="1:11" ht="12.75" hidden="1" customHeight="1">
      <c r="A209" s="1721" t="s">
        <v>305</v>
      </c>
      <c r="B209" s="1720" t="s">
        <v>1260</v>
      </c>
      <c r="C209" s="1720" t="s">
        <v>1259</v>
      </c>
      <c r="D209" s="979"/>
      <c r="E209" s="1446"/>
      <c r="F209" s="1338" t="s">
        <v>1265</v>
      </c>
      <c r="G209" s="983"/>
      <c r="H209" s="991"/>
      <c r="I209" s="25"/>
      <c r="J209" s="23"/>
      <c r="K209" s="23"/>
    </row>
    <row r="210" spans="1:11" s="215" customFormat="1" ht="12.75" hidden="1" customHeight="1">
      <c r="A210" s="1721" t="s">
        <v>306</v>
      </c>
      <c r="B210" s="1730" t="s">
        <v>1260</v>
      </c>
      <c r="C210" s="1730" t="s">
        <v>1259</v>
      </c>
      <c r="D210" s="1712"/>
      <c r="E210" s="1449"/>
      <c r="F210" s="1339" t="s">
        <v>1265</v>
      </c>
      <c r="G210" s="992"/>
      <c r="H210" s="993"/>
      <c r="I210" s="221"/>
      <c r="J210" s="217"/>
      <c r="K210" s="217"/>
    </row>
    <row r="211" spans="1:11" ht="12.75" hidden="1" customHeight="1">
      <c r="A211" s="1721" t="s">
        <v>307</v>
      </c>
      <c r="B211" s="1720" t="s">
        <v>1260</v>
      </c>
      <c r="C211" s="1720" t="s">
        <v>1259</v>
      </c>
      <c r="D211" s="979"/>
      <c r="E211" s="1446"/>
      <c r="F211" s="1338" t="s">
        <v>1265</v>
      </c>
      <c r="G211" s="983"/>
      <c r="H211" s="991"/>
      <c r="I211" s="25"/>
      <c r="J211" s="23"/>
      <c r="K211" s="23"/>
    </row>
    <row r="212" spans="1:11" ht="12.75" hidden="1" customHeight="1">
      <c r="A212" s="1721" t="s">
        <v>308</v>
      </c>
      <c r="B212" s="1720" t="s">
        <v>1261</v>
      </c>
      <c r="C212" s="1720" t="s">
        <v>511</v>
      </c>
      <c r="D212" s="979"/>
      <c r="E212" s="1446"/>
      <c r="F212" s="1338" t="s">
        <v>1265</v>
      </c>
      <c r="G212" s="983"/>
      <c r="H212" s="991"/>
      <c r="I212" s="25"/>
      <c r="J212" s="23"/>
      <c r="K212" s="23"/>
    </row>
    <row r="213" spans="1:11" s="215" customFormat="1" ht="12.75" hidden="1" customHeight="1">
      <c r="A213" s="1721" t="s">
        <v>311</v>
      </c>
      <c r="B213" s="1731" t="s">
        <v>1261</v>
      </c>
      <c r="C213" s="1731" t="s">
        <v>511</v>
      </c>
      <c r="D213" s="1712"/>
      <c r="E213" s="1449"/>
      <c r="F213" s="1339" t="s">
        <v>1265</v>
      </c>
      <c r="G213" s="992"/>
      <c r="H213" s="993"/>
      <c r="I213" s="221"/>
      <c r="J213" s="217"/>
      <c r="K213" s="217"/>
    </row>
    <row r="214" spans="1:11" ht="12.75" hidden="1" customHeight="1">
      <c r="A214" s="1717"/>
      <c r="B214" s="1714"/>
      <c r="C214" s="1714"/>
      <c r="D214" s="979"/>
      <c r="E214" s="1446"/>
      <c r="F214" s="1429"/>
      <c r="G214" s="983"/>
      <c r="H214" s="991"/>
      <c r="I214" s="25"/>
      <c r="J214" s="23"/>
      <c r="K214" s="23"/>
    </row>
    <row r="215" spans="1:11" ht="12.75" hidden="1" customHeight="1">
      <c r="A215" s="1718">
        <v>2013</v>
      </c>
      <c r="B215" s="1714"/>
      <c r="C215" s="1714"/>
      <c r="D215" s="979"/>
      <c r="E215" s="1446"/>
      <c r="F215" s="1429"/>
      <c r="G215" s="983"/>
      <c r="H215" s="991"/>
      <c r="I215" s="25"/>
      <c r="J215" s="23"/>
      <c r="K215" s="23"/>
    </row>
    <row r="216" spans="1:11" ht="12.75" hidden="1" customHeight="1">
      <c r="A216" s="1721" t="s">
        <v>345</v>
      </c>
      <c r="B216" s="1723" t="s">
        <v>1261</v>
      </c>
      <c r="C216" s="1723" t="s">
        <v>511</v>
      </c>
      <c r="D216" s="979"/>
      <c r="E216" s="1446"/>
      <c r="F216" s="1340" t="s">
        <v>1265</v>
      </c>
      <c r="G216" s="983"/>
      <c r="H216" s="991"/>
      <c r="I216" s="25"/>
      <c r="J216" s="23"/>
      <c r="K216" s="23"/>
    </row>
    <row r="217" spans="1:11" ht="12.75" hidden="1" customHeight="1">
      <c r="A217" s="1721" t="s">
        <v>1278</v>
      </c>
      <c r="B217" s="1723" t="s">
        <v>1261</v>
      </c>
      <c r="C217" s="1723" t="s">
        <v>511</v>
      </c>
      <c r="D217" s="979"/>
      <c r="E217" s="1446"/>
      <c r="F217" s="1340" t="s">
        <v>1265</v>
      </c>
      <c r="G217" s="983"/>
      <c r="H217" s="991"/>
      <c r="I217" s="25"/>
      <c r="J217" s="23"/>
      <c r="K217" s="23"/>
    </row>
    <row r="218" spans="1:11" s="215" customFormat="1" ht="12.75" hidden="1" customHeight="1">
      <c r="A218" s="1721" t="s">
        <v>335</v>
      </c>
      <c r="B218" s="1723" t="s">
        <v>1261</v>
      </c>
      <c r="C218" s="1723" t="s">
        <v>511</v>
      </c>
      <c r="D218" s="1712"/>
      <c r="E218" s="1449"/>
      <c r="F218" s="1340" t="s">
        <v>1284</v>
      </c>
      <c r="G218" s="992"/>
      <c r="H218" s="993"/>
      <c r="I218" s="221"/>
      <c r="J218" s="217"/>
      <c r="K218" s="217"/>
    </row>
    <row r="219" spans="1:11" ht="12.75" hidden="1" customHeight="1">
      <c r="A219" s="1721" t="s">
        <v>336</v>
      </c>
      <c r="B219" s="1723" t="s">
        <v>1261</v>
      </c>
      <c r="C219" s="1723" t="s">
        <v>511</v>
      </c>
      <c r="D219" s="979"/>
      <c r="E219" s="1446"/>
      <c r="F219" s="1340" t="s">
        <v>1284</v>
      </c>
      <c r="G219" s="983"/>
      <c r="H219" s="991"/>
      <c r="I219" s="25"/>
      <c r="J219" s="23"/>
      <c r="K219" s="23"/>
    </row>
    <row r="220" spans="1:11" ht="12.75" hidden="1" customHeight="1">
      <c r="A220" s="1721" t="s">
        <v>337</v>
      </c>
      <c r="B220" s="1723" t="s">
        <v>1261</v>
      </c>
      <c r="C220" s="1723" t="s">
        <v>511</v>
      </c>
      <c r="D220" s="979"/>
      <c r="E220" s="1446"/>
      <c r="F220" s="1340" t="s">
        <v>1265</v>
      </c>
      <c r="G220" s="983"/>
      <c r="H220" s="991"/>
      <c r="I220" s="25"/>
      <c r="J220" s="23"/>
      <c r="K220" s="23"/>
    </row>
    <row r="221" spans="1:11" ht="12.75" hidden="1" customHeight="1">
      <c r="A221" s="1721" t="s">
        <v>338</v>
      </c>
      <c r="B221" s="1723" t="s">
        <v>1261</v>
      </c>
      <c r="C221" s="1723" t="s">
        <v>511</v>
      </c>
      <c r="D221" s="979"/>
      <c r="E221" s="1446"/>
      <c r="F221" s="1340" t="s">
        <v>1265</v>
      </c>
      <c r="G221" s="983"/>
      <c r="H221" s="991"/>
      <c r="I221" s="25"/>
      <c r="J221" s="23"/>
      <c r="K221" s="23"/>
    </row>
    <row r="222" spans="1:11" ht="12.75" hidden="1" customHeight="1">
      <c r="A222" s="1721" t="s">
        <v>339</v>
      </c>
      <c r="B222" s="1723" t="s">
        <v>1261</v>
      </c>
      <c r="C222" s="1723" t="s">
        <v>1302</v>
      </c>
      <c r="D222" s="979"/>
      <c r="E222" s="1446"/>
      <c r="F222" s="1340" t="s">
        <v>1265</v>
      </c>
      <c r="G222" s="983"/>
      <c r="H222" s="991"/>
      <c r="I222" s="25"/>
      <c r="J222" s="23"/>
      <c r="K222" s="23"/>
    </row>
    <row r="223" spans="1:11" ht="12.75" hidden="1" customHeight="1">
      <c r="A223" s="1721" t="s">
        <v>340</v>
      </c>
      <c r="B223" s="1723" t="s">
        <v>1261</v>
      </c>
      <c r="C223" s="1723" t="s">
        <v>1302</v>
      </c>
      <c r="D223" s="979"/>
      <c r="E223" s="1446"/>
      <c r="F223" s="1340" t="s">
        <v>1265</v>
      </c>
      <c r="G223" s="983"/>
      <c r="H223" s="991"/>
      <c r="I223" s="25"/>
      <c r="J223" s="23"/>
      <c r="K223" s="23"/>
    </row>
    <row r="224" spans="1:11" ht="12.75" hidden="1" customHeight="1">
      <c r="A224" s="1721" t="s">
        <v>341</v>
      </c>
      <c r="B224" s="1723" t="s">
        <v>1261</v>
      </c>
      <c r="C224" s="1723" t="s">
        <v>1302</v>
      </c>
      <c r="D224" s="979"/>
      <c r="E224" s="1446"/>
      <c r="F224" s="1340" t="s">
        <v>1303</v>
      </c>
      <c r="G224" s="983"/>
      <c r="H224" s="991"/>
      <c r="I224" s="25"/>
      <c r="J224" s="23"/>
      <c r="K224" s="23"/>
    </row>
    <row r="225" spans="1:11" ht="12.75" hidden="1" customHeight="1">
      <c r="A225" s="1721" t="s">
        <v>342</v>
      </c>
      <c r="B225" s="1723" t="s">
        <v>1261</v>
      </c>
      <c r="C225" s="1723" t="s">
        <v>1302</v>
      </c>
      <c r="D225" s="979"/>
      <c r="E225" s="1446"/>
      <c r="F225" s="1340" t="s">
        <v>1303</v>
      </c>
      <c r="G225" s="983"/>
      <c r="H225" s="991"/>
      <c r="I225" s="25"/>
      <c r="J225" s="23"/>
      <c r="K225" s="23"/>
    </row>
    <row r="226" spans="1:11" ht="12.75" hidden="1" customHeight="1">
      <c r="A226" s="1721" t="s">
        <v>343</v>
      </c>
      <c r="B226" s="1723" t="s">
        <v>1261</v>
      </c>
      <c r="C226" s="1723" t="s">
        <v>1302</v>
      </c>
      <c r="D226" s="979"/>
      <c r="E226" s="1446"/>
      <c r="F226" s="1340" t="s">
        <v>1303</v>
      </c>
      <c r="G226" s="983"/>
      <c r="H226" s="991"/>
      <c r="I226" s="25"/>
      <c r="J226" s="23"/>
      <c r="K226" s="23"/>
    </row>
    <row r="227" spans="1:11" ht="12.75" hidden="1" customHeight="1">
      <c r="A227" s="1721" t="s">
        <v>344</v>
      </c>
      <c r="B227" s="1723" t="s">
        <v>1261</v>
      </c>
      <c r="C227" s="1723" t="s">
        <v>1302</v>
      </c>
      <c r="D227" s="979"/>
      <c r="E227" s="1446"/>
      <c r="F227" s="1340" t="s">
        <v>1303</v>
      </c>
      <c r="G227" s="983"/>
      <c r="H227" s="991"/>
      <c r="I227" s="25"/>
      <c r="J227" s="23"/>
      <c r="K227" s="23"/>
    </row>
    <row r="228" spans="1:11" ht="12.75" hidden="1" customHeight="1">
      <c r="A228" s="1722"/>
      <c r="B228" s="1723"/>
      <c r="C228" s="1723"/>
      <c r="D228" s="1447"/>
      <c r="E228" s="1448"/>
      <c r="F228" s="1341"/>
      <c r="G228" s="983"/>
      <c r="H228" s="991"/>
      <c r="I228" s="25"/>
      <c r="J228" s="23"/>
      <c r="K228" s="23"/>
    </row>
    <row r="229" spans="1:11" ht="12.75" hidden="1" customHeight="1">
      <c r="A229" s="1718">
        <v>2014</v>
      </c>
      <c r="B229" s="1732"/>
      <c r="C229" s="1723"/>
      <c r="D229" s="1447"/>
      <c r="E229" s="1448"/>
      <c r="F229" s="1341"/>
      <c r="G229" s="983"/>
      <c r="H229" s="991"/>
      <c r="I229" s="25"/>
      <c r="J229" s="23"/>
      <c r="K229" s="23"/>
    </row>
    <row r="230" spans="1:11" ht="20.25" hidden="1" customHeight="1">
      <c r="A230" s="1721" t="s">
        <v>345</v>
      </c>
      <c r="B230" s="1723" t="s">
        <v>1261</v>
      </c>
      <c r="C230" s="1723" t="s">
        <v>1302</v>
      </c>
      <c r="D230" s="1447"/>
      <c r="E230" s="1448"/>
      <c r="F230" s="1341" t="s">
        <v>1303</v>
      </c>
      <c r="G230" s="983"/>
      <c r="H230" s="991"/>
      <c r="I230" s="25"/>
      <c r="J230" s="23"/>
      <c r="K230" s="23"/>
    </row>
    <row r="231" spans="1:11" ht="18.75" hidden="1" customHeight="1">
      <c r="A231" s="1721" t="s">
        <v>1278</v>
      </c>
      <c r="B231" s="1723" t="s">
        <v>1261</v>
      </c>
      <c r="C231" s="1723" t="s">
        <v>1302</v>
      </c>
      <c r="D231" s="1447"/>
      <c r="E231" s="1448"/>
      <c r="F231" s="1341" t="s">
        <v>1303</v>
      </c>
      <c r="G231" s="983"/>
      <c r="H231" s="991"/>
      <c r="I231" s="25"/>
      <c r="J231" s="23"/>
      <c r="K231" s="23"/>
    </row>
    <row r="232" spans="1:11" ht="18.75" hidden="1" customHeight="1">
      <c r="A232" s="1721" t="s">
        <v>335</v>
      </c>
      <c r="B232" s="1723" t="s">
        <v>1261</v>
      </c>
      <c r="C232" s="1723" t="s">
        <v>1302</v>
      </c>
      <c r="D232" s="1447"/>
      <c r="E232" s="1448"/>
      <c r="F232" s="1341" t="s">
        <v>1303</v>
      </c>
      <c r="G232" s="983"/>
      <c r="H232" s="991"/>
      <c r="I232" s="25"/>
      <c r="J232" s="23"/>
      <c r="K232" s="23"/>
    </row>
    <row r="233" spans="1:11" ht="19.5" hidden="1" customHeight="1" thickBot="1">
      <c r="A233" s="1721" t="s">
        <v>336</v>
      </c>
      <c r="B233" s="1723" t="s">
        <v>1261</v>
      </c>
      <c r="C233" s="1723" t="s">
        <v>1302</v>
      </c>
      <c r="D233" s="1447"/>
      <c r="E233" s="1450"/>
      <c r="F233" s="1341" t="s">
        <v>1303</v>
      </c>
      <c r="G233" s="995"/>
      <c r="H233" s="990"/>
      <c r="I233" s="25"/>
      <c r="J233" s="23"/>
      <c r="K233" s="23"/>
    </row>
    <row r="234" spans="1:11" ht="18.75" hidden="1" customHeight="1" thickTop="1">
      <c r="A234" s="1721" t="s">
        <v>337</v>
      </c>
      <c r="B234" s="1723" t="s">
        <v>1261</v>
      </c>
      <c r="C234" s="1723" t="s">
        <v>1302</v>
      </c>
      <c r="D234" s="1733"/>
      <c r="E234" s="1460"/>
      <c r="F234" s="1341" t="s">
        <v>1303</v>
      </c>
      <c r="G234" s="971"/>
      <c r="H234" s="971"/>
      <c r="I234" s="23"/>
      <c r="J234" s="23"/>
      <c r="K234" s="23"/>
    </row>
    <row r="235" spans="1:11" ht="18.75" hidden="1" customHeight="1">
      <c r="A235" s="1721" t="s">
        <v>338</v>
      </c>
      <c r="B235" s="1723" t="s">
        <v>1261</v>
      </c>
      <c r="C235" s="1723" t="s">
        <v>1302</v>
      </c>
      <c r="D235" s="1445"/>
      <c r="E235" s="1451"/>
      <c r="F235" s="1341" t="s">
        <v>1303</v>
      </c>
      <c r="G235" s="970"/>
      <c r="H235" s="970"/>
      <c r="I235" s="23"/>
      <c r="J235" s="23"/>
      <c r="K235" s="23"/>
    </row>
    <row r="236" spans="1:11" ht="18.75" hidden="1" customHeight="1">
      <c r="A236" s="1721" t="s">
        <v>339</v>
      </c>
      <c r="B236" s="1723" t="s">
        <v>1261</v>
      </c>
      <c r="C236" s="1723" t="s">
        <v>1302</v>
      </c>
      <c r="D236" s="1445"/>
      <c r="E236" s="1451"/>
      <c r="F236" s="1341" t="s">
        <v>1303</v>
      </c>
      <c r="G236" s="970"/>
      <c r="H236" s="970"/>
      <c r="I236" s="23"/>
      <c r="J236" s="23"/>
      <c r="K236" s="23"/>
    </row>
    <row r="237" spans="1:11" ht="20.25" hidden="1" customHeight="1">
      <c r="A237" s="1721" t="s">
        <v>340</v>
      </c>
      <c r="B237" s="1723" t="s">
        <v>1261</v>
      </c>
      <c r="C237" s="1723" t="s">
        <v>511</v>
      </c>
      <c r="D237" s="1445"/>
      <c r="E237" s="1451"/>
      <c r="F237" s="1341" t="s">
        <v>1303</v>
      </c>
      <c r="G237" s="970"/>
      <c r="H237" s="970"/>
      <c r="I237" s="23"/>
      <c r="J237" s="23"/>
      <c r="K237" s="23"/>
    </row>
    <row r="238" spans="1:11" ht="17.25" hidden="1" customHeight="1">
      <c r="A238" s="1721" t="s">
        <v>341</v>
      </c>
      <c r="B238" s="1723" t="s">
        <v>1261</v>
      </c>
      <c r="C238" s="1723" t="s">
        <v>511</v>
      </c>
      <c r="D238" s="1445"/>
      <c r="E238" s="1451"/>
      <c r="F238" s="1341" t="s">
        <v>1303</v>
      </c>
      <c r="G238" s="970"/>
      <c r="H238" s="970"/>
      <c r="I238" s="23"/>
      <c r="J238" s="23"/>
      <c r="K238" s="23"/>
    </row>
    <row r="239" spans="1:11" ht="19.5" hidden="1" customHeight="1">
      <c r="A239" s="1721" t="s">
        <v>342</v>
      </c>
      <c r="B239" s="1723" t="s">
        <v>1261</v>
      </c>
      <c r="C239" s="1723" t="s">
        <v>511</v>
      </c>
      <c r="D239" s="1445"/>
      <c r="E239" s="1451"/>
      <c r="F239" s="1341" t="s">
        <v>1303</v>
      </c>
      <c r="G239" s="970"/>
      <c r="H239" s="970"/>
      <c r="I239" s="23"/>
      <c r="J239" s="23"/>
      <c r="K239" s="23"/>
    </row>
    <row r="240" spans="1:11" ht="18.75" hidden="1" customHeight="1">
      <c r="A240" s="1721" t="s">
        <v>343</v>
      </c>
      <c r="B240" s="1723" t="s">
        <v>1261</v>
      </c>
      <c r="C240" s="1723" t="s">
        <v>511</v>
      </c>
      <c r="D240" s="1445"/>
      <c r="E240" s="1451"/>
      <c r="F240" s="1341" t="s">
        <v>1303</v>
      </c>
      <c r="G240" s="970"/>
      <c r="H240" s="970"/>
      <c r="I240" s="23"/>
      <c r="J240" s="23"/>
      <c r="K240" s="23"/>
    </row>
    <row r="241" spans="1:11" ht="22.5" hidden="1" customHeight="1" thickBot="1">
      <c r="A241" s="1721" t="s">
        <v>344</v>
      </c>
      <c r="B241" s="1723" t="s">
        <v>1261</v>
      </c>
      <c r="C241" s="1723" t="s">
        <v>1302</v>
      </c>
      <c r="D241" s="1711"/>
      <c r="E241" s="1452"/>
      <c r="F241" s="1341" t="s">
        <v>1316</v>
      </c>
      <c r="G241" s="970"/>
      <c r="H241" s="970"/>
      <c r="I241" s="23"/>
      <c r="J241" s="23"/>
      <c r="K241" s="23"/>
    </row>
    <row r="242" spans="1:11" ht="19.5" hidden="1" customHeight="1" thickTop="1">
      <c r="A242" s="1721"/>
      <c r="B242" s="1723"/>
      <c r="C242" s="1723"/>
      <c r="D242" s="1445"/>
      <c r="E242" s="1451"/>
      <c r="F242" s="1341"/>
      <c r="G242" s="970"/>
      <c r="H242" s="970"/>
      <c r="I242" s="23"/>
      <c r="J242" s="23"/>
      <c r="K242" s="23"/>
    </row>
    <row r="243" spans="1:11" ht="19.5" hidden="1" customHeight="1">
      <c r="A243" s="1718">
        <v>2015</v>
      </c>
      <c r="B243" s="1723"/>
      <c r="C243" s="1723"/>
      <c r="D243" s="1445"/>
      <c r="E243" s="1451"/>
      <c r="F243" s="1341"/>
      <c r="G243" s="970"/>
      <c r="H243" s="970"/>
      <c r="I243" s="23"/>
      <c r="J243" s="23"/>
      <c r="K243" s="23"/>
    </row>
    <row r="244" spans="1:11" ht="19.5" hidden="1" customHeight="1">
      <c r="A244" s="1721" t="s">
        <v>345</v>
      </c>
      <c r="B244" s="1723" t="s">
        <v>1261</v>
      </c>
      <c r="C244" s="1723" t="s">
        <v>1317</v>
      </c>
      <c r="D244" s="1445"/>
      <c r="E244" s="1451"/>
      <c r="F244" s="1341" t="s">
        <v>1316</v>
      </c>
      <c r="G244" s="970"/>
      <c r="H244" s="970"/>
      <c r="I244" s="23"/>
      <c r="J244" s="23"/>
      <c r="K244" s="23"/>
    </row>
    <row r="245" spans="1:11" ht="19.5" hidden="1" customHeight="1">
      <c r="A245" s="1721" t="s">
        <v>334</v>
      </c>
      <c r="B245" s="1723" t="s">
        <v>1321</v>
      </c>
      <c r="C245" s="1723" t="s">
        <v>1319</v>
      </c>
      <c r="D245" s="1445"/>
      <c r="E245" s="1451"/>
      <c r="F245" s="1341"/>
      <c r="G245" s="970"/>
      <c r="H245" s="970"/>
      <c r="I245" s="23"/>
      <c r="J245" s="23"/>
      <c r="K245" s="23"/>
    </row>
    <row r="246" spans="1:11" ht="19.5" hidden="1" customHeight="1">
      <c r="A246" s="1721" t="s">
        <v>335</v>
      </c>
      <c r="B246" s="1723" t="s">
        <v>1321</v>
      </c>
      <c r="C246" s="1723" t="s">
        <v>1319</v>
      </c>
      <c r="D246" s="1445"/>
      <c r="E246" s="1451"/>
      <c r="F246" s="1341"/>
      <c r="G246" s="970"/>
      <c r="H246" s="970"/>
      <c r="I246" s="23"/>
      <c r="J246" s="23"/>
      <c r="K246" s="23"/>
    </row>
    <row r="247" spans="1:11" ht="19.5" hidden="1" customHeight="1">
      <c r="A247" s="1721" t="s">
        <v>336</v>
      </c>
      <c r="B247" s="1723" t="s">
        <v>1322</v>
      </c>
      <c r="C247" s="1723" t="s">
        <v>1319</v>
      </c>
      <c r="D247" s="1445"/>
      <c r="E247" s="1451"/>
      <c r="F247" s="1341"/>
      <c r="G247" s="970"/>
      <c r="H247" s="970"/>
      <c r="I247" s="23"/>
      <c r="J247" s="23"/>
      <c r="K247" s="23"/>
    </row>
    <row r="248" spans="1:11" ht="19.5" hidden="1" customHeight="1">
      <c r="A248" s="1721" t="s">
        <v>337</v>
      </c>
      <c r="B248" s="1723" t="s">
        <v>1322</v>
      </c>
      <c r="C248" s="1723" t="s">
        <v>1319</v>
      </c>
      <c r="D248" s="1445"/>
      <c r="E248" s="1451"/>
      <c r="F248" s="1341"/>
      <c r="G248" s="970"/>
      <c r="H248" s="970"/>
      <c r="I248" s="23"/>
      <c r="J248" s="23"/>
      <c r="K248" s="23"/>
    </row>
    <row r="249" spans="1:11" ht="19.5" hidden="1" customHeight="1">
      <c r="A249" s="1721" t="s">
        <v>338</v>
      </c>
      <c r="B249" s="1723" t="s">
        <v>1322</v>
      </c>
      <c r="C249" s="1723" t="s">
        <v>1319</v>
      </c>
      <c r="D249" s="1445"/>
      <c r="E249" s="1451"/>
      <c r="F249" s="1341"/>
      <c r="G249" s="970"/>
      <c r="H249" s="970"/>
      <c r="I249" s="23"/>
      <c r="J249" s="23"/>
      <c r="K249" s="23"/>
    </row>
    <row r="250" spans="1:11" ht="19.5" hidden="1" customHeight="1">
      <c r="A250" s="1721" t="s">
        <v>339</v>
      </c>
      <c r="B250" s="1723" t="s">
        <v>1322</v>
      </c>
      <c r="C250" s="1723" t="s">
        <v>729</v>
      </c>
      <c r="D250" s="1445"/>
      <c r="E250" s="1451"/>
      <c r="F250" s="1341"/>
      <c r="G250" s="970"/>
      <c r="H250" s="970"/>
      <c r="I250" s="23"/>
      <c r="J250" s="23"/>
      <c r="K250" s="23"/>
    </row>
    <row r="251" spans="1:11" ht="19.5" hidden="1" customHeight="1">
      <c r="A251" s="1721" t="s">
        <v>340</v>
      </c>
      <c r="B251" s="1723" t="s">
        <v>1322</v>
      </c>
      <c r="C251" s="1723" t="s">
        <v>729</v>
      </c>
      <c r="D251" s="1445"/>
      <c r="E251" s="1451"/>
      <c r="F251" s="1341"/>
      <c r="G251" s="970"/>
      <c r="H251" s="970"/>
      <c r="I251" s="23"/>
      <c r="J251" s="23"/>
      <c r="K251" s="23"/>
    </row>
    <row r="252" spans="1:11" ht="19.5" hidden="1" customHeight="1">
      <c r="A252" s="1721" t="s">
        <v>341</v>
      </c>
      <c r="B252" s="1723" t="s">
        <v>1322</v>
      </c>
      <c r="C252" s="1723" t="s">
        <v>1328</v>
      </c>
      <c r="D252" s="1445"/>
      <c r="E252" s="1451"/>
      <c r="F252" s="1341"/>
      <c r="G252" s="970"/>
      <c r="H252" s="970"/>
      <c r="I252" s="23"/>
      <c r="J252" s="23"/>
      <c r="K252" s="23"/>
    </row>
    <row r="253" spans="1:11" ht="19.5" hidden="1" customHeight="1">
      <c r="A253" s="1721" t="s">
        <v>342</v>
      </c>
      <c r="B253" s="1723" t="s">
        <v>1330</v>
      </c>
      <c r="C253" s="1723" t="s">
        <v>1319</v>
      </c>
      <c r="D253" s="1445"/>
      <c r="E253" s="1451"/>
      <c r="F253" s="1341"/>
      <c r="G253" s="970"/>
      <c r="H253" s="970"/>
      <c r="I253" s="23"/>
      <c r="J253" s="23"/>
      <c r="K253" s="23"/>
    </row>
    <row r="254" spans="1:11" ht="19.5" hidden="1" customHeight="1">
      <c r="A254" s="1721" t="s">
        <v>343</v>
      </c>
      <c r="B254" s="1723" t="s">
        <v>1331</v>
      </c>
      <c r="C254" s="1723" t="s">
        <v>1319</v>
      </c>
      <c r="D254" s="1445"/>
      <c r="E254" s="1451"/>
      <c r="F254" s="1341"/>
      <c r="G254" s="970"/>
      <c r="H254" s="970"/>
      <c r="I254" s="23"/>
      <c r="J254" s="23"/>
      <c r="K254" s="23"/>
    </row>
    <row r="255" spans="1:11" ht="19.5" hidden="1" customHeight="1">
      <c r="A255" s="1721" t="s">
        <v>344</v>
      </c>
      <c r="B255" s="1723" t="s">
        <v>1330</v>
      </c>
      <c r="C255" s="1723" t="s">
        <v>1333</v>
      </c>
      <c r="D255" s="1445"/>
      <c r="E255" s="1451"/>
      <c r="F255" s="1341"/>
      <c r="G255" s="970"/>
      <c r="H255" s="970"/>
      <c r="I255" s="23"/>
      <c r="J255" s="23"/>
      <c r="K255" s="23"/>
    </row>
    <row r="256" spans="1:11" ht="19.5" customHeight="1">
      <c r="A256" s="1721"/>
      <c r="B256" s="1723"/>
      <c r="C256" s="1723"/>
      <c r="D256" s="1445"/>
      <c r="E256" s="1451"/>
      <c r="F256" s="1341"/>
      <c r="G256" s="970"/>
      <c r="H256" s="970"/>
      <c r="I256" s="23"/>
      <c r="J256" s="23"/>
      <c r="K256" s="23"/>
    </row>
    <row r="257" spans="1:11" ht="19.5" hidden="1" customHeight="1">
      <c r="A257" s="1718">
        <v>2016</v>
      </c>
      <c r="B257" s="1723"/>
      <c r="C257" s="1723"/>
      <c r="D257" s="1445"/>
      <c r="E257" s="1451"/>
      <c r="F257" s="1341"/>
      <c r="G257" s="970"/>
      <c r="H257" s="970"/>
      <c r="I257" s="23"/>
      <c r="J257" s="23"/>
      <c r="K257" s="23"/>
    </row>
    <row r="258" spans="1:11" ht="19.5" hidden="1" customHeight="1">
      <c r="A258" s="1721" t="s">
        <v>345</v>
      </c>
      <c r="B258" s="1723" t="s">
        <v>1330</v>
      </c>
      <c r="C258" s="1723" t="s">
        <v>1333</v>
      </c>
      <c r="D258" s="1445"/>
      <c r="E258" s="1451"/>
      <c r="F258" s="1341"/>
      <c r="G258" s="970"/>
      <c r="H258" s="970"/>
      <c r="I258" s="23"/>
      <c r="J258" s="23"/>
      <c r="K258" s="23"/>
    </row>
    <row r="259" spans="1:11" ht="19.5" hidden="1" customHeight="1">
      <c r="A259" s="1721" t="s">
        <v>334</v>
      </c>
      <c r="B259" s="1723" t="s">
        <v>1330</v>
      </c>
      <c r="C259" s="1723" t="s">
        <v>1333</v>
      </c>
      <c r="D259" s="1445"/>
      <c r="E259" s="1451"/>
      <c r="F259" s="1341"/>
      <c r="G259" s="970"/>
      <c r="H259" s="970"/>
      <c r="I259" s="23"/>
      <c r="J259" s="23"/>
      <c r="K259" s="23"/>
    </row>
    <row r="260" spans="1:11" ht="19.5" hidden="1" customHeight="1">
      <c r="A260" s="1721" t="s">
        <v>335</v>
      </c>
      <c r="B260" s="1723" t="s">
        <v>1330</v>
      </c>
      <c r="C260" s="1723" t="s">
        <v>1333</v>
      </c>
      <c r="D260" s="1445"/>
      <c r="E260" s="1451"/>
      <c r="F260" s="1341"/>
      <c r="G260" s="970"/>
      <c r="H260" s="970"/>
      <c r="I260" s="23"/>
      <c r="J260" s="23"/>
      <c r="K260" s="23"/>
    </row>
    <row r="261" spans="1:11" ht="19.5" hidden="1" customHeight="1">
      <c r="A261" s="1721" t="s">
        <v>336</v>
      </c>
      <c r="B261" s="1723" t="s">
        <v>1330</v>
      </c>
      <c r="C261" s="1723" t="s">
        <v>1333</v>
      </c>
      <c r="D261" s="1445"/>
      <c r="E261" s="1451"/>
      <c r="F261" s="1341"/>
      <c r="G261" s="970"/>
      <c r="H261" s="970"/>
      <c r="I261" s="23"/>
      <c r="J261" s="23"/>
      <c r="K261" s="23"/>
    </row>
    <row r="262" spans="1:11" ht="19.5" hidden="1" customHeight="1">
      <c r="A262" s="1721" t="s">
        <v>337</v>
      </c>
      <c r="B262" s="1723" t="s">
        <v>1330</v>
      </c>
      <c r="C262" s="1723" t="s">
        <v>1333</v>
      </c>
      <c r="D262" s="1445"/>
      <c r="E262" s="1451"/>
      <c r="F262" s="1341"/>
      <c r="G262" s="970"/>
      <c r="H262" s="970"/>
      <c r="I262" s="23"/>
      <c r="J262" s="23"/>
      <c r="K262" s="23"/>
    </row>
    <row r="263" spans="1:11" ht="19.5" hidden="1" customHeight="1">
      <c r="A263" s="1721" t="s">
        <v>338</v>
      </c>
      <c r="B263" s="1723" t="s">
        <v>1348</v>
      </c>
      <c r="C263" s="1723" t="s">
        <v>1333</v>
      </c>
      <c r="D263" s="1445"/>
      <c r="E263" s="1451"/>
      <c r="F263" s="1341"/>
      <c r="G263" s="970"/>
      <c r="H263" s="970"/>
      <c r="I263" s="23"/>
      <c r="J263" s="23"/>
      <c r="K263" s="23"/>
    </row>
    <row r="264" spans="1:11" ht="19.5" hidden="1" customHeight="1">
      <c r="A264" s="1721" t="s">
        <v>339</v>
      </c>
      <c r="B264" s="1723" t="s">
        <v>1348</v>
      </c>
      <c r="C264" s="1723" t="s">
        <v>1333</v>
      </c>
      <c r="D264" s="1445"/>
      <c r="E264" s="1451"/>
      <c r="F264" s="1341"/>
      <c r="G264" s="970"/>
      <c r="H264" s="970"/>
      <c r="I264" s="23"/>
      <c r="J264" s="23"/>
      <c r="K264" s="23"/>
    </row>
    <row r="265" spans="1:11" ht="19.5" hidden="1" customHeight="1">
      <c r="A265" s="1721" t="s">
        <v>340</v>
      </c>
      <c r="B265" s="1723" t="s">
        <v>1348</v>
      </c>
      <c r="C265" s="1723" t="s">
        <v>1319</v>
      </c>
      <c r="D265" s="1445"/>
      <c r="E265" s="1451"/>
      <c r="F265" s="1341"/>
      <c r="G265" s="970"/>
      <c r="H265" s="970"/>
      <c r="I265" s="23"/>
      <c r="J265" s="23"/>
      <c r="K265" s="23"/>
    </row>
    <row r="266" spans="1:11" ht="19.5" hidden="1" customHeight="1">
      <c r="A266" s="1721" t="s">
        <v>341</v>
      </c>
      <c r="B266" s="1723" t="s">
        <v>1348</v>
      </c>
      <c r="C266" s="1723" t="s">
        <v>1319</v>
      </c>
      <c r="D266" s="1445"/>
      <c r="E266" s="1451"/>
      <c r="F266" s="1341"/>
      <c r="G266" s="970"/>
      <c r="H266" s="970"/>
      <c r="I266" s="23"/>
      <c r="J266" s="23"/>
      <c r="K266" s="23"/>
    </row>
    <row r="267" spans="1:11" ht="19.5" hidden="1" customHeight="1">
      <c r="A267" s="1721" t="s">
        <v>342</v>
      </c>
      <c r="B267" s="1723" t="s">
        <v>1348</v>
      </c>
      <c r="C267" s="1723" t="s">
        <v>1319</v>
      </c>
      <c r="D267" s="1445"/>
      <c r="E267" s="1451"/>
      <c r="F267" s="1341"/>
      <c r="G267" s="970"/>
      <c r="H267" s="970"/>
      <c r="I267" s="23"/>
      <c r="J267" s="23"/>
      <c r="K267" s="23"/>
    </row>
    <row r="268" spans="1:11" ht="19.5" hidden="1" customHeight="1">
      <c r="A268" s="1721" t="s">
        <v>343</v>
      </c>
      <c r="B268" s="1723" t="s">
        <v>1348</v>
      </c>
      <c r="C268" s="1723" t="s">
        <v>1319</v>
      </c>
      <c r="D268" s="1445"/>
      <c r="E268" s="1451"/>
      <c r="F268" s="1341"/>
      <c r="G268" s="970"/>
      <c r="H268" s="970"/>
      <c r="I268" s="23"/>
      <c r="J268" s="23"/>
      <c r="K268" s="23"/>
    </row>
    <row r="269" spans="1:11" ht="19.5" hidden="1" customHeight="1">
      <c r="A269" s="1721" t="s">
        <v>344</v>
      </c>
      <c r="B269" s="1723" t="s">
        <v>1348</v>
      </c>
      <c r="C269" s="1723" t="s">
        <v>1319</v>
      </c>
      <c r="D269" s="1445"/>
      <c r="E269" s="1451"/>
      <c r="F269" s="1341"/>
      <c r="G269" s="970"/>
      <c r="H269" s="970"/>
      <c r="I269" s="23"/>
      <c r="J269" s="23"/>
      <c r="K269" s="23"/>
    </row>
    <row r="270" spans="1:11" ht="19.5" hidden="1" customHeight="1">
      <c r="A270" s="1721"/>
      <c r="B270" s="1723"/>
      <c r="C270" s="1723"/>
      <c r="D270" s="1445"/>
      <c r="E270" s="1451"/>
      <c r="F270" s="1341"/>
      <c r="G270" s="970"/>
      <c r="H270" s="970"/>
      <c r="I270" s="23"/>
      <c r="J270" s="23"/>
      <c r="K270" s="23"/>
    </row>
    <row r="271" spans="1:11" ht="19.5" customHeight="1">
      <c r="A271" s="1718">
        <v>2017</v>
      </c>
      <c r="B271" s="1723"/>
      <c r="C271" s="1723"/>
      <c r="D271" s="1445"/>
      <c r="E271" s="1451"/>
      <c r="F271" s="1341"/>
      <c r="G271" s="970"/>
      <c r="H271" s="970"/>
      <c r="I271" s="23"/>
      <c r="J271" s="23"/>
      <c r="K271" s="23"/>
    </row>
    <row r="272" spans="1:11" ht="19.5" customHeight="1">
      <c r="A272" s="1721" t="s">
        <v>345</v>
      </c>
      <c r="B272" s="1723" t="s">
        <v>1348</v>
      </c>
      <c r="C272" s="1723" t="s">
        <v>1319</v>
      </c>
      <c r="D272" s="1445"/>
      <c r="E272" s="1451"/>
      <c r="F272" s="1341"/>
      <c r="G272" s="970"/>
      <c r="H272" s="970"/>
      <c r="I272" s="23"/>
      <c r="J272" s="23"/>
      <c r="K272" s="23"/>
    </row>
    <row r="273" spans="1:11" ht="19.5" customHeight="1">
      <c r="A273" s="1721" t="s">
        <v>334</v>
      </c>
      <c r="B273" s="1723" t="s">
        <v>1348</v>
      </c>
      <c r="C273" s="1723" t="s">
        <v>1319</v>
      </c>
      <c r="D273" s="1445"/>
      <c r="E273" s="1451"/>
      <c r="F273" s="1341"/>
      <c r="G273" s="970"/>
      <c r="H273" s="970"/>
      <c r="I273" s="23"/>
      <c r="J273" s="23"/>
      <c r="K273" s="23"/>
    </row>
    <row r="274" spans="1:11" ht="19.5" customHeight="1">
      <c r="A274" s="1721" t="s">
        <v>335</v>
      </c>
      <c r="B274" s="1723" t="s">
        <v>1348</v>
      </c>
      <c r="C274" s="1723" t="s">
        <v>1319</v>
      </c>
      <c r="D274" s="1445"/>
      <c r="E274" s="1451"/>
      <c r="F274" s="1341"/>
      <c r="G274" s="970"/>
      <c r="H274" s="970"/>
      <c r="I274" s="23"/>
      <c r="J274" s="23"/>
      <c r="K274" s="23"/>
    </row>
    <row r="275" spans="1:11" ht="19.5" customHeight="1">
      <c r="A275" s="1721" t="s">
        <v>336</v>
      </c>
      <c r="B275" s="1723" t="s">
        <v>1348</v>
      </c>
      <c r="C275" s="1723" t="s">
        <v>1319</v>
      </c>
      <c r="D275" s="1445"/>
      <c r="E275" s="1451"/>
      <c r="F275" s="1341"/>
      <c r="G275" s="970"/>
      <c r="H275" s="970"/>
      <c r="I275" s="23"/>
      <c r="J275" s="23"/>
      <c r="K275" s="23"/>
    </row>
    <row r="276" spans="1:11" ht="19.5" customHeight="1">
      <c r="A276" s="1721" t="s">
        <v>337</v>
      </c>
      <c r="B276" s="1723" t="s">
        <v>1348</v>
      </c>
      <c r="C276" s="1723" t="s">
        <v>1745</v>
      </c>
      <c r="D276" s="1445"/>
      <c r="E276" s="1451"/>
      <c r="F276" s="1341"/>
      <c r="G276" s="970"/>
      <c r="H276" s="970"/>
      <c r="I276" s="23"/>
      <c r="J276" s="23"/>
      <c r="K276" s="23"/>
    </row>
    <row r="277" spans="1:11" ht="19.5" customHeight="1">
      <c r="A277" s="1721" t="s">
        <v>338</v>
      </c>
      <c r="B277" s="1723" t="s">
        <v>1348</v>
      </c>
      <c r="C277" s="1723" t="s">
        <v>715</v>
      </c>
      <c r="D277" s="1445"/>
      <c r="E277" s="1451"/>
      <c r="F277" s="1341"/>
      <c r="G277" s="970"/>
      <c r="H277" s="970"/>
      <c r="I277" s="23"/>
      <c r="J277" s="23"/>
      <c r="K277" s="23"/>
    </row>
    <row r="278" spans="1:11" ht="19.5" customHeight="1">
      <c r="A278" s="1721" t="s">
        <v>339</v>
      </c>
      <c r="B278" s="1723" t="s">
        <v>1348</v>
      </c>
      <c r="C278" s="1723" t="s">
        <v>715</v>
      </c>
      <c r="D278" s="1445"/>
      <c r="E278" s="1451"/>
      <c r="F278" s="1341"/>
      <c r="G278" s="970"/>
      <c r="H278" s="970"/>
      <c r="I278" s="23"/>
      <c r="J278" s="23"/>
      <c r="K278" s="23"/>
    </row>
    <row r="279" spans="1:11" ht="19.5" customHeight="1">
      <c r="A279" s="1721" t="s">
        <v>340</v>
      </c>
      <c r="B279" s="1723" t="s">
        <v>1348</v>
      </c>
      <c r="C279" s="1723" t="s">
        <v>715</v>
      </c>
      <c r="D279" s="1445"/>
      <c r="E279" s="1451"/>
      <c r="F279" s="1341"/>
      <c r="G279" s="970"/>
      <c r="H279" s="970"/>
      <c r="I279" s="23"/>
      <c r="J279" s="23"/>
      <c r="K279" s="23"/>
    </row>
    <row r="280" spans="1:11" ht="19.5" customHeight="1">
      <c r="A280" s="1721" t="s">
        <v>341</v>
      </c>
      <c r="B280" s="1723" t="s">
        <v>1321</v>
      </c>
      <c r="C280" s="1723" t="s">
        <v>1331</v>
      </c>
      <c r="D280" s="1445"/>
      <c r="E280" s="1451"/>
      <c r="F280" s="1341"/>
      <c r="G280" s="970"/>
      <c r="H280" s="970"/>
      <c r="I280" s="23"/>
      <c r="J280" s="23"/>
      <c r="K280" s="23"/>
    </row>
    <row r="281" spans="1:11" ht="19.5" customHeight="1">
      <c r="A281" s="1721" t="s">
        <v>342</v>
      </c>
      <c r="B281" s="1723" t="s">
        <v>1321</v>
      </c>
      <c r="C281" s="1723" t="s">
        <v>1331</v>
      </c>
      <c r="D281" s="1445"/>
      <c r="E281" s="1451"/>
      <c r="F281" s="1341"/>
      <c r="G281" s="970"/>
      <c r="H281" s="970"/>
      <c r="I281" s="23"/>
      <c r="J281" s="23"/>
      <c r="K281" s="23"/>
    </row>
    <row r="282" spans="1:11" ht="19.5" customHeight="1">
      <c r="A282" s="1721" t="s">
        <v>343</v>
      </c>
      <c r="B282" s="1723" t="s">
        <v>1321</v>
      </c>
      <c r="C282" s="1723" t="s">
        <v>1331</v>
      </c>
      <c r="D282" s="1445"/>
      <c r="E282" s="1451"/>
      <c r="F282" s="1341"/>
      <c r="G282" s="970"/>
      <c r="H282" s="970"/>
      <c r="I282" s="23"/>
      <c r="J282" s="23"/>
      <c r="K282" s="23"/>
    </row>
    <row r="283" spans="1:11" ht="19.5" customHeight="1">
      <c r="A283" s="1721" t="s">
        <v>344</v>
      </c>
      <c r="B283" s="1723" t="s">
        <v>1321</v>
      </c>
      <c r="C283" s="1723" t="s">
        <v>1331</v>
      </c>
      <c r="D283" s="1445"/>
      <c r="E283" s="1451"/>
      <c r="F283" s="1341"/>
      <c r="G283" s="970"/>
      <c r="H283" s="970"/>
      <c r="I283" s="23"/>
      <c r="J283" s="23"/>
      <c r="K283" s="23"/>
    </row>
    <row r="284" spans="1:11" ht="19.5" customHeight="1">
      <c r="A284" s="1721"/>
      <c r="B284" s="1723"/>
      <c r="C284" s="1723"/>
      <c r="D284" s="1445"/>
      <c r="E284" s="1451"/>
      <c r="F284" s="1341"/>
      <c r="G284" s="970"/>
      <c r="H284" s="970"/>
      <c r="I284" s="23"/>
      <c r="J284" s="23"/>
      <c r="K284" s="23"/>
    </row>
    <row r="285" spans="1:11" ht="19.5" customHeight="1">
      <c r="A285" s="1303">
        <v>2018</v>
      </c>
      <c r="B285" s="1723"/>
      <c r="C285" s="1723"/>
      <c r="D285" s="1445"/>
      <c r="E285" s="1451"/>
      <c r="F285" s="1341"/>
      <c r="G285" s="970"/>
      <c r="H285" s="970"/>
      <c r="I285" s="23"/>
      <c r="J285" s="23"/>
      <c r="K285" s="23"/>
    </row>
    <row r="286" spans="1:11" ht="19.5" customHeight="1">
      <c r="A286" s="1304" t="s">
        <v>345</v>
      </c>
      <c r="B286" s="1723" t="s">
        <v>1767</v>
      </c>
      <c r="C286" s="1723" t="s">
        <v>1331</v>
      </c>
      <c r="D286" s="1445"/>
      <c r="E286" s="1451"/>
      <c r="F286" s="1341"/>
      <c r="G286" s="970"/>
      <c r="H286" s="970"/>
      <c r="I286" s="23"/>
      <c r="J286" s="23"/>
      <c r="K286" s="23"/>
    </row>
    <row r="287" spans="1:11" ht="19.5" customHeight="1">
      <c r="A287" s="1304" t="s">
        <v>334</v>
      </c>
      <c r="B287" s="1723" t="s">
        <v>1767</v>
      </c>
      <c r="C287" s="1723" t="s">
        <v>1331</v>
      </c>
      <c r="D287" s="1445"/>
      <c r="E287" s="1451"/>
      <c r="F287" s="1341"/>
      <c r="G287" s="970"/>
      <c r="H287" s="970"/>
      <c r="I287" s="23"/>
      <c r="J287" s="23"/>
      <c r="K287" s="23"/>
    </row>
    <row r="288" spans="1:11" ht="18.75" customHeight="1">
      <c r="A288" s="1304" t="s">
        <v>335</v>
      </c>
      <c r="B288" s="1723" t="s">
        <v>1767</v>
      </c>
      <c r="C288" s="1723" t="s">
        <v>1331</v>
      </c>
      <c r="D288" s="1445"/>
      <c r="E288" s="1451"/>
      <c r="F288" s="1341"/>
      <c r="G288" s="970"/>
      <c r="H288" s="970"/>
      <c r="I288" s="23"/>
      <c r="J288" s="23"/>
      <c r="K288" s="23"/>
    </row>
    <row r="289" spans="1:11" ht="18.75" customHeight="1">
      <c r="A289" s="1304" t="s">
        <v>336</v>
      </c>
      <c r="B289" s="1723" t="s">
        <v>1767</v>
      </c>
      <c r="C289" s="1723" t="s">
        <v>1331</v>
      </c>
      <c r="D289" s="1445"/>
      <c r="E289" s="1451"/>
      <c r="F289" s="1341"/>
      <c r="G289" s="970"/>
      <c r="H289" s="970"/>
      <c r="I289" s="23"/>
      <c r="J289" s="23"/>
      <c r="K289" s="23"/>
    </row>
    <row r="290" spans="1:11" ht="18.75" customHeight="1">
      <c r="A290" s="1304" t="s">
        <v>337</v>
      </c>
      <c r="B290" s="1723" t="s">
        <v>1767</v>
      </c>
      <c r="C290" s="1723" t="s">
        <v>1331</v>
      </c>
      <c r="D290" s="1445"/>
      <c r="E290" s="1451"/>
      <c r="F290" s="1341"/>
      <c r="G290" s="970"/>
      <c r="H290" s="970"/>
      <c r="I290" s="23"/>
      <c r="J290" s="23"/>
      <c r="K290" s="23"/>
    </row>
    <row r="291" spans="1:11" ht="18.75" customHeight="1">
      <c r="A291" s="1304" t="s">
        <v>338</v>
      </c>
      <c r="B291" s="1723" t="s">
        <v>1767</v>
      </c>
      <c r="C291" s="1723" t="s">
        <v>1331</v>
      </c>
      <c r="D291" s="1445"/>
      <c r="E291" s="1451"/>
      <c r="F291" s="1341"/>
      <c r="G291" s="970"/>
      <c r="H291" s="970"/>
      <c r="I291" s="23"/>
      <c r="J291" s="23"/>
      <c r="K291" s="23"/>
    </row>
    <row r="292" spans="1:11" ht="18.75" customHeight="1">
      <c r="A292" s="1304" t="s">
        <v>339</v>
      </c>
      <c r="B292" s="1723" t="s">
        <v>1767</v>
      </c>
      <c r="C292" s="1723" t="s">
        <v>1331</v>
      </c>
      <c r="D292" s="1445"/>
      <c r="E292" s="1451"/>
      <c r="F292" s="1341"/>
      <c r="G292" s="970"/>
      <c r="H292" s="970"/>
      <c r="I292" s="23"/>
      <c r="J292" s="23"/>
      <c r="K292" s="23"/>
    </row>
    <row r="293" spans="1:11" ht="18.75" customHeight="1">
      <c r="A293" s="1304" t="s">
        <v>340</v>
      </c>
      <c r="B293" s="1723" t="s">
        <v>1767</v>
      </c>
      <c r="C293" s="1723" t="s">
        <v>1331</v>
      </c>
      <c r="D293" s="1445"/>
      <c r="E293" s="1451"/>
      <c r="F293" s="1341"/>
      <c r="G293" s="970"/>
      <c r="H293" s="970"/>
      <c r="I293" s="23"/>
      <c r="J293" s="23"/>
      <c r="K293" s="23"/>
    </row>
    <row r="294" spans="1:11" ht="18.75" customHeight="1">
      <c r="A294" s="1304" t="s">
        <v>341</v>
      </c>
      <c r="B294" s="1723" t="s">
        <v>1767</v>
      </c>
      <c r="C294" s="1723" t="s">
        <v>1331</v>
      </c>
      <c r="D294" s="1445"/>
      <c r="E294" s="1451"/>
      <c r="F294" s="1341"/>
      <c r="G294" s="970"/>
      <c r="H294" s="970"/>
      <c r="I294" s="23"/>
      <c r="J294" s="23"/>
      <c r="K294" s="23"/>
    </row>
    <row r="295" spans="1:11" ht="18.75" customHeight="1">
      <c r="A295" s="1304" t="s">
        <v>342</v>
      </c>
      <c r="B295" s="1723" t="s">
        <v>1767</v>
      </c>
      <c r="C295" s="1723" t="s">
        <v>1331</v>
      </c>
      <c r="D295" s="1445"/>
      <c r="E295" s="1451"/>
      <c r="F295" s="1341"/>
      <c r="G295" s="970"/>
      <c r="H295" s="970"/>
      <c r="I295" s="23"/>
      <c r="J295" s="23"/>
      <c r="K295" s="23"/>
    </row>
    <row r="296" spans="1:11" ht="18.75" customHeight="1">
      <c r="A296" s="1304" t="s">
        <v>343</v>
      </c>
      <c r="B296" s="1723" t="s">
        <v>1767</v>
      </c>
      <c r="C296" s="1723" t="s">
        <v>1773</v>
      </c>
      <c r="D296" s="1445"/>
      <c r="E296" s="1451"/>
      <c r="F296" s="1341"/>
      <c r="G296" s="970"/>
      <c r="H296" s="970"/>
      <c r="I296" s="23"/>
      <c r="J296" s="23"/>
      <c r="K296" s="23"/>
    </row>
    <row r="297" spans="1:11" ht="18.75" customHeight="1">
      <c r="A297" s="1304" t="s">
        <v>344</v>
      </c>
      <c r="B297" s="1723" t="s">
        <v>1767</v>
      </c>
      <c r="C297" s="1723" t="s">
        <v>1774</v>
      </c>
      <c r="D297" s="1445"/>
      <c r="E297" s="1451"/>
      <c r="F297" s="1341"/>
      <c r="G297" s="970"/>
      <c r="H297" s="970"/>
      <c r="I297" s="23"/>
      <c r="J297" s="23"/>
      <c r="K297" s="23"/>
    </row>
    <row r="298" spans="1:11" ht="18.75" customHeight="1">
      <c r="A298" s="1304"/>
      <c r="B298" s="1723"/>
      <c r="C298" s="1723"/>
      <c r="D298" s="1445"/>
      <c r="E298" s="1451"/>
      <c r="F298" s="1341"/>
      <c r="G298" s="970"/>
      <c r="H298" s="970"/>
      <c r="I298" s="23"/>
      <c r="J298" s="23"/>
      <c r="K298" s="23"/>
    </row>
    <row r="299" spans="1:11" ht="18.75" customHeight="1">
      <c r="A299" s="1303">
        <v>2019</v>
      </c>
      <c r="B299" s="1723"/>
      <c r="C299" s="1723"/>
      <c r="D299" s="1445"/>
      <c r="E299" s="1451"/>
      <c r="F299" s="1341"/>
      <c r="G299" s="970"/>
      <c r="H299" s="970"/>
      <c r="I299" s="23"/>
      <c r="J299" s="23"/>
      <c r="K299" s="23"/>
    </row>
    <row r="300" spans="1:11" ht="18.75" customHeight="1">
      <c r="A300" s="1303" t="s">
        <v>345</v>
      </c>
      <c r="B300" s="1723" t="s">
        <v>1767</v>
      </c>
      <c r="C300" s="1723" t="s">
        <v>1773</v>
      </c>
      <c r="D300" s="1445"/>
      <c r="E300" s="1451"/>
      <c r="F300" s="1341"/>
      <c r="G300" s="970"/>
      <c r="H300" s="970"/>
      <c r="I300" s="23"/>
      <c r="J300" s="23"/>
      <c r="K300" s="23"/>
    </row>
    <row r="301" spans="1:11" ht="18.75" customHeight="1">
      <c r="A301" s="1303" t="s">
        <v>334</v>
      </c>
      <c r="B301" s="1723" t="s">
        <v>1767</v>
      </c>
      <c r="C301" s="1723" t="s">
        <v>1774</v>
      </c>
      <c r="D301" s="1445"/>
      <c r="E301" s="1451"/>
      <c r="F301" s="1341"/>
      <c r="G301" s="970"/>
      <c r="H301" s="970"/>
      <c r="I301" s="23"/>
      <c r="J301" s="23"/>
      <c r="K301" s="23"/>
    </row>
    <row r="302" spans="1:11" ht="18.75" customHeight="1">
      <c r="A302" s="1303" t="s">
        <v>335</v>
      </c>
      <c r="B302" s="1723" t="s">
        <v>1767</v>
      </c>
      <c r="C302" s="1723" t="s">
        <v>1773</v>
      </c>
      <c r="D302" s="1445"/>
      <c r="E302" s="1451"/>
      <c r="F302" s="1341"/>
      <c r="G302" s="970"/>
      <c r="H302" s="970"/>
      <c r="I302" s="23"/>
      <c r="J302" s="23"/>
      <c r="K302" s="23"/>
    </row>
    <row r="303" spans="1:11" ht="18.75" customHeight="1">
      <c r="A303" s="1303" t="s">
        <v>336</v>
      </c>
      <c r="B303" s="1723" t="s">
        <v>1767</v>
      </c>
      <c r="C303" s="1723" t="s">
        <v>1773</v>
      </c>
      <c r="D303" s="1445"/>
      <c r="E303" s="1451"/>
      <c r="F303" s="1341"/>
      <c r="G303" s="970"/>
      <c r="H303" s="970"/>
      <c r="I303" s="23"/>
      <c r="J303" s="23"/>
      <c r="K303" s="23"/>
    </row>
    <row r="304" spans="1:11" ht="18.75" customHeight="1">
      <c r="A304" s="1303" t="s">
        <v>337</v>
      </c>
      <c r="B304" s="1723" t="s">
        <v>1767</v>
      </c>
      <c r="C304" s="1723" t="s">
        <v>1773</v>
      </c>
      <c r="D304" s="1445"/>
      <c r="E304" s="1451"/>
      <c r="F304" s="1341"/>
      <c r="G304" s="970"/>
      <c r="H304" s="970"/>
      <c r="I304" s="23"/>
      <c r="J304" s="23"/>
      <c r="K304" s="23"/>
    </row>
    <row r="305" spans="1:11" ht="18.75" customHeight="1">
      <c r="A305" s="1303" t="s">
        <v>338</v>
      </c>
      <c r="B305" s="1723" t="s">
        <v>1767</v>
      </c>
      <c r="C305" s="1723" t="s">
        <v>1773</v>
      </c>
      <c r="D305" s="1445"/>
      <c r="E305" s="1451"/>
      <c r="F305" s="1341"/>
      <c r="G305" s="970"/>
      <c r="H305" s="970"/>
      <c r="I305" s="23"/>
      <c r="J305" s="23"/>
      <c r="K305" s="23"/>
    </row>
    <row r="306" spans="1:11" ht="18.75" customHeight="1">
      <c r="A306" s="1303" t="s">
        <v>339</v>
      </c>
      <c r="B306" s="1723" t="s">
        <v>1767</v>
      </c>
      <c r="C306" s="1723" t="s">
        <v>1773</v>
      </c>
      <c r="D306" s="1445"/>
      <c r="E306" s="1451"/>
      <c r="F306" s="1341"/>
      <c r="G306" s="970"/>
      <c r="H306" s="970"/>
      <c r="I306" s="23"/>
      <c r="J306" s="23"/>
      <c r="K306" s="23"/>
    </row>
    <row r="307" spans="1:11" ht="19.5" customHeight="1" thickBot="1">
      <c r="A307" s="1723" t="s">
        <v>340</v>
      </c>
      <c r="B307" s="1723" t="s">
        <v>1767</v>
      </c>
      <c r="C307" s="1723" t="s">
        <v>1773</v>
      </c>
      <c r="D307" s="1711"/>
      <c r="E307" s="1452"/>
      <c r="F307" s="1442"/>
      <c r="G307" s="970"/>
      <c r="H307" s="970"/>
      <c r="I307" s="23"/>
      <c r="J307" s="23"/>
      <c r="K307" s="23"/>
    </row>
    <row r="308" spans="1:11" ht="19.5" customHeight="1" thickTop="1" thickBot="1">
      <c r="A308" s="1724" t="s">
        <v>341</v>
      </c>
      <c r="B308" s="1724" t="s">
        <v>1767</v>
      </c>
      <c r="C308" s="1724" t="s">
        <v>1773</v>
      </c>
      <c r="D308" s="970"/>
      <c r="E308" s="970"/>
      <c r="F308" s="998"/>
      <c r="G308" s="970"/>
      <c r="H308" s="970"/>
      <c r="I308" s="23"/>
      <c r="J308" s="23"/>
      <c r="K308" s="23"/>
    </row>
    <row r="309" spans="1:11" ht="19.5" customHeight="1" thickTop="1">
      <c r="A309" s="1342"/>
      <c r="B309" s="998"/>
      <c r="C309" s="998"/>
      <c r="D309" s="970"/>
      <c r="E309" s="970"/>
      <c r="F309" s="996"/>
      <c r="G309" s="970"/>
      <c r="H309" s="970"/>
      <c r="I309" s="23"/>
      <c r="J309" s="23"/>
      <c r="K309" s="23"/>
    </row>
    <row r="310" spans="1:11" ht="18.75" customHeight="1">
      <c r="A310" s="933" t="s">
        <v>1777</v>
      </c>
      <c r="B310" s="1431"/>
      <c r="C310" s="998"/>
      <c r="D310" s="970"/>
      <c r="E310" s="970"/>
      <c r="F310" s="998"/>
      <c r="G310" s="970"/>
      <c r="H310" s="970"/>
      <c r="I310" s="23"/>
      <c r="J310" s="23"/>
      <c r="K310" s="23"/>
    </row>
    <row r="311" spans="1:11" ht="18.75" customHeight="1">
      <c r="A311" s="970" t="s">
        <v>1755</v>
      </c>
      <c r="B311" s="994"/>
      <c r="C311" s="997"/>
      <c r="D311" s="970"/>
      <c r="E311" s="970"/>
      <c r="F311" s="998"/>
      <c r="G311" s="970"/>
      <c r="H311" s="970"/>
      <c r="I311" s="23"/>
      <c r="J311" s="23"/>
      <c r="K311" s="23"/>
    </row>
    <row r="312" spans="1:11" s="933" customFormat="1" ht="18.75" customHeight="1">
      <c r="A312" s="970" t="s">
        <v>1747</v>
      </c>
      <c r="B312" s="966"/>
      <c r="C312" s="966"/>
      <c r="D312" s="966"/>
      <c r="E312" s="966"/>
      <c r="F312" s="966"/>
      <c r="G312" s="966"/>
      <c r="H312" s="966"/>
    </row>
    <row r="313" spans="1:11" ht="12.75" customHeight="1">
      <c r="A313" s="913"/>
      <c r="B313" s="914"/>
      <c r="C313" s="913"/>
      <c r="D313" s="913"/>
      <c r="E313" s="913"/>
      <c r="F313" s="913"/>
      <c r="G313" s="913"/>
      <c r="H313" s="913"/>
      <c r="I313" s="23"/>
      <c r="J313" s="23"/>
      <c r="K313" s="23"/>
    </row>
    <row r="314" spans="1:11" ht="12.75" customHeight="1">
      <c r="A314" s="968"/>
      <c r="B314" s="914"/>
      <c r="C314" s="913"/>
      <c r="D314" s="913"/>
      <c r="E314" s="913"/>
      <c r="F314" s="913"/>
      <c r="G314" s="913"/>
      <c r="H314" s="913"/>
      <c r="I314" s="23"/>
      <c r="J314" s="23"/>
      <c r="K314" s="23"/>
    </row>
    <row r="315" spans="1:11" ht="12.75" customHeight="1">
      <c r="A315" s="968"/>
      <c r="B315" s="914"/>
      <c r="C315" s="913"/>
      <c r="D315" s="913"/>
      <c r="E315" s="913"/>
      <c r="F315" s="913"/>
      <c r="G315" s="913"/>
      <c r="H315" s="913"/>
      <c r="I315" s="23"/>
      <c r="J315" s="23"/>
      <c r="K315" s="23"/>
    </row>
    <row r="316" spans="1:11" ht="12.75" customHeight="1">
      <c r="A316" s="968"/>
      <c r="B316" s="914"/>
      <c r="C316" s="913"/>
      <c r="D316" s="913"/>
      <c r="E316" s="913"/>
      <c r="F316" s="913"/>
      <c r="G316" s="913"/>
      <c r="H316" s="913"/>
      <c r="I316" s="23"/>
      <c r="J316" s="23"/>
      <c r="K316" s="23"/>
    </row>
    <row r="317" spans="1:11" ht="12.75" customHeight="1">
      <c r="A317" s="968"/>
      <c r="B317" s="914"/>
      <c r="C317" s="913"/>
      <c r="D317" s="913"/>
      <c r="E317" s="913"/>
      <c r="F317" s="913"/>
      <c r="G317" s="913"/>
      <c r="H317" s="913"/>
      <c r="I317" s="23"/>
      <c r="J317" s="23"/>
      <c r="K317" s="23"/>
    </row>
    <row r="318" spans="1:11" ht="12.75" customHeight="1">
      <c r="A318" s="968"/>
      <c r="B318" s="914"/>
      <c r="C318" s="913"/>
      <c r="D318" s="913"/>
      <c r="E318" s="913"/>
      <c r="F318" s="913"/>
      <c r="G318" s="913"/>
      <c r="H318" s="913"/>
      <c r="I318" s="23"/>
      <c r="J318" s="23"/>
      <c r="K318" s="23"/>
    </row>
    <row r="319" spans="1:11" ht="12.75" customHeight="1">
      <c r="A319" s="968"/>
      <c r="B319" s="914"/>
      <c r="C319" s="913"/>
      <c r="D319" s="913"/>
      <c r="E319" s="913"/>
      <c r="F319" s="913"/>
      <c r="G319" s="913"/>
      <c r="H319" s="913"/>
      <c r="I319" s="23"/>
      <c r="J319" s="23"/>
      <c r="K319" s="23"/>
    </row>
    <row r="320" spans="1:11" ht="12.75" customHeight="1">
      <c r="A320" s="968"/>
      <c r="B320" s="914"/>
      <c r="C320" s="913"/>
      <c r="D320" s="913"/>
      <c r="E320" s="913"/>
      <c r="F320" s="913"/>
      <c r="G320" s="913"/>
      <c r="H320" s="913"/>
      <c r="I320" s="23"/>
      <c r="J320" s="23"/>
      <c r="K320" s="23"/>
    </row>
    <row r="321" spans="1:11" ht="12.75" customHeight="1">
      <c r="A321" s="968"/>
      <c r="B321" s="914"/>
      <c r="C321" s="913"/>
      <c r="D321" s="913"/>
      <c r="E321" s="913"/>
      <c r="F321" s="913"/>
      <c r="G321" s="913"/>
      <c r="H321" s="913"/>
      <c r="I321" s="23"/>
      <c r="J321" s="23"/>
      <c r="K321" s="23"/>
    </row>
    <row r="322" spans="1:11" ht="12.75" customHeight="1">
      <c r="A322" s="913"/>
      <c r="B322" s="914"/>
      <c r="C322" s="913"/>
      <c r="D322" s="913"/>
      <c r="E322" s="913"/>
      <c r="F322" s="913"/>
      <c r="G322" s="913"/>
      <c r="H322" s="913"/>
      <c r="I322" s="23"/>
      <c r="J322" s="23"/>
      <c r="K322" s="23"/>
    </row>
    <row r="323" spans="1:11" ht="12.75" customHeight="1">
      <c r="A323" s="23"/>
      <c r="B323" s="23"/>
      <c r="C323" s="23"/>
      <c r="D323" s="23"/>
      <c r="E323" s="23"/>
      <c r="F323" s="23"/>
      <c r="G323" s="23"/>
      <c r="H323" s="23"/>
      <c r="I323" s="23"/>
      <c r="J323" s="23"/>
      <c r="K323" s="23"/>
    </row>
    <row r="324" spans="1:11" ht="12.75" customHeight="1">
      <c r="A324" s="28"/>
      <c r="B324" s="23"/>
      <c r="C324" s="23"/>
      <c r="D324" s="23"/>
      <c r="E324" s="23"/>
      <c r="F324" s="23"/>
      <c r="G324" s="23"/>
      <c r="H324" s="23"/>
      <c r="I324" s="23"/>
      <c r="J324" s="23"/>
      <c r="K324" s="23"/>
    </row>
    <row r="325" spans="1:11" ht="12.75" customHeight="1">
      <c r="A325" s="23"/>
      <c r="B325" s="23"/>
      <c r="C325" s="23"/>
      <c r="D325" s="23"/>
      <c r="E325" s="23"/>
      <c r="F325" s="23"/>
      <c r="G325" s="23"/>
      <c r="H325" s="23"/>
      <c r="I325" s="23"/>
      <c r="J325" s="23"/>
      <c r="K325" s="23"/>
    </row>
    <row r="326" spans="1:11" ht="12.75" customHeight="1">
      <c r="A326" s="23"/>
      <c r="B326" s="23" t="s">
        <v>250</v>
      </c>
      <c r="C326" s="23"/>
      <c r="D326" s="23"/>
      <c r="E326" s="23"/>
      <c r="F326" s="23"/>
      <c r="G326" s="23"/>
      <c r="H326" s="23"/>
      <c r="I326" s="23"/>
      <c r="J326" s="23"/>
      <c r="K326" s="23"/>
    </row>
    <row r="327" spans="1:11" ht="12.75" customHeight="1"/>
    <row r="328" spans="1:11" ht="12.75" customHeight="1"/>
    <row r="329" spans="1:11" ht="12.75" customHeight="1"/>
    <row r="330" spans="1:11" ht="12.75" customHeight="1"/>
    <row r="331" spans="1:11" ht="12.75" customHeight="1"/>
    <row r="332" spans="1:11" ht="12.75" customHeight="1"/>
    <row r="333" spans="1:11" ht="12.75" customHeight="1"/>
    <row r="334" spans="1:11" ht="12.75" customHeight="1"/>
    <row r="335" spans="1:11" ht="12.75" customHeight="1"/>
    <row r="336" spans="1:11" ht="12.75" customHeight="1"/>
    <row r="337" ht="12.75" customHeight="1"/>
    <row r="338" ht="12.75" customHeight="1"/>
    <row r="339" ht="12.75" hidden="1" customHeight="1"/>
    <row r="340" ht="12.75" hidden="1" customHeight="1"/>
    <row r="341" ht="12.75" hidden="1" customHeight="1"/>
    <row r="342" ht="12.75" hidden="1" customHeight="1"/>
    <row r="343" ht="12.75" hidden="1" customHeight="1"/>
    <row r="344" ht="12.75" hidden="1" customHeight="1"/>
    <row r="345" ht="12.75" hidden="1" customHeight="1"/>
    <row r="346" ht="12.75" hidden="1" customHeight="1"/>
    <row r="347" ht="12.75" hidden="1" customHeight="1"/>
    <row r="348" ht="12.75" hidden="1" customHeight="1"/>
    <row r="349" ht="12.75" hidden="1" customHeight="1"/>
    <row r="350" ht="12.75" hidden="1" customHeight="1"/>
    <row r="351" ht="12.75" hidden="1" customHeight="1"/>
    <row r="352" ht="12.75" hidden="1" customHeight="1"/>
    <row r="353" ht="12.75" hidden="1" customHeight="1"/>
    <row r="354" ht="12.75" hidden="1" customHeight="1"/>
    <row r="355" ht="12.75" hidden="1" customHeight="1"/>
    <row r="356" ht="12.75" hidden="1" customHeight="1"/>
    <row r="357" ht="12.75" hidden="1" customHeight="1"/>
    <row r="358" ht="12.75" hidden="1" customHeight="1"/>
    <row r="359" ht="12.75" hidden="1" customHeight="1"/>
    <row r="360" ht="12.75" hidden="1" customHeight="1"/>
    <row r="361" ht="12.6" hidden="1" customHeight="1"/>
    <row r="362" ht="12.75" hidden="1" customHeight="1"/>
    <row r="363" ht="12.75" hidden="1" customHeight="1"/>
    <row r="364" ht="12.75" hidden="1" customHeight="1"/>
    <row r="365" ht="12.75" hidden="1" customHeight="1"/>
    <row r="366" ht="12.75" hidden="1" customHeight="1"/>
    <row r="367" ht="12.75" hidden="1" customHeight="1"/>
    <row r="368" ht="12.75" hidden="1" customHeight="1"/>
    <row r="369" ht="12.75" hidden="1" customHeight="1"/>
    <row r="370" ht="12.75" hidden="1" customHeight="1"/>
    <row r="371" ht="12.75" hidden="1" customHeight="1"/>
    <row r="372" ht="12.75" hidden="1" customHeight="1"/>
    <row r="373" ht="12.75" hidden="1" customHeight="1"/>
    <row r="374" ht="12.75" hidden="1" customHeight="1"/>
    <row r="375" ht="12.75" hidden="1" customHeight="1"/>
    <row r="376" ht="12.75" hidden="1" customHeight="1"/>
    <row r="377" ht="12.75" hidden="1" customHeight="1"/>
    <row r="378" ht="12.75" hidden="1" customHeight="1"/>
    <row r="379" ht="12.75" hidden="1" customHeight="1"/>
    <row r="380" ht="12.75" hidden="1" customHeight="1"/>
    <row r="381" ht="12.75" hidden="1" customHeight="1"/>
    <row r="382" ht="12.75" hidden="1" customHeight="1"/>
    <row r="383" ht="12.75" hidden="1" customHeight="1"/>
    <row r="384" ht="12.75" hidden="1" customHeight="1"/>
    <row r="385" ht="12.75" hidden="1" customHeight="1"/>
    <row r="386" ht="12.75" hidden="1" customHeight="1"/>
    <row r="387" ht="12.75" hidden="1" customHeight="1"/>
    <row r="388" ht="12.75" hidden="1" customHeight="1"/>
    <row r="389" ht="12.75" hidden="1" customHeight="1"/>
    <row r="390" ht="12.75" hidden="1" customHeight="1"/>
    <row r="391" ht="12.75" hidden="1" customHeight="1"/>
    <row r="392" ht="12.75" hidden="1" customHeight="1"/>
    <row r="393" ht="12.75" hidden="1" customHeight="1"/>
    <row r="394" ht="12.75" hidden="1" customHeight="1"/>
    <row r="395" ht="12.75" hidden="1" customHeight="1"/>
    <row r="396" ht="12.75" hidden="1" customHeight="1"/>
    <row r="397" ht="12.75" hidden="1" customHeight="1"/>
    <row r="398" ht="12.75" hidden="1" customHeight="1"/>
    <row r="399" ht="12.75" hidden="1" customHeight="1"/>
    <row r="400" ht="12.75" hidden="1" customHeight="1"/>
    <row r="401" ht="12.75" hidden="1" customHeight="1"/>
    <row r="402" ht="12.75" hidden="1" customHeight="1"/>
    <row r="403" ht="12.75" hidden="1" customHeight="1"/>
    <row r="404" ht="12.75" hidden="1" customHeight="1"/>
    <row r="405" ht="12.75" hidden="1" customHeight="1"/>
    <row r="406" ht="12.75" hidden="1" customHeight="1"/>
    <row r="407" ht="12.75" hidden="1" customHeight="1"/>
    <row r="408" ht="12.75" hidden="1" customHeight="1"/>
    <row r="409" ht="12.75" hidden="1" customHeight="1"/>
    <row r="410" ht="12.75" hidden="1" customHeight="1"/>
    <row r="411" ht="12.75" hidden="1" customHeight="1"/>
    <row r="412" ht="12.75" hidden="1" customHeight="1"/>
    <row r="413" ht="12.75" hidden="1" customHeight="1"/>
    <row r="414" ht="12.75" hidden="1" customHeight="1"/>
    <row r="415" ht="12.75" hidden="1" customHeight="1"/>
    <row r="416" ht="12.75" hidden="1" customHeight="1"/>
    <row r="417" ht="12.75" hidden="1" customHeight="1"/>
    <row r="418" ht="12.75" hidden="1" customHeight="1"/>
    <row r="419" ht="12.75" hidden="1" customHeight="1"/>
    <row r="420" ht="12.75" hidden="1" customHeight="1"/>
    <row r="421" ht="12.75" hidden="1" customHeight="1"/>
    <row r="422" ht="12.75" hidden="1" customHeight="1"/>
    <row r="423" ht="12.75" hidden="1" customHeight="1"/>
    <row r="424" ht="12.75" hidden="1" customHeight="1"/>
    <row r="425" ht="12.75" hidden="1" customHeight="1"/>
    <row r="426" ht="12.75" hidden="1" customHeight="1"/>
    <row r="427" ht="12.75" hidden="1" customHeight="1"/>
    <row r="428" ht="12.75" hidden="1" customHeight="1"/>
    <row r="429" ht="12.75" hidden="1" customHeight="1"/>
    <row r="430" ht="12.75" hidden="1" customHeight="1"/>
    <row r="431" ht="12.75" hidden="1" customHeight="1"/>
    <row r="432" ht="12.75" hidden="1" customHeight="1"/>
    <row r="433" ht="12.75" hidden="1" customHeight="1"/>
    <row r="434" ht="12.75" hidden="1" customHeight="1"/>
    <row r="435" ht="12.75" hidden="1"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90" spans="8:9">
      <c r="H490" s="24">
        <f>4920100299/1000</f>
        <v>4920100.2989999996</v>
      </c>
      <c r="I490" s="24">
        <v>725</v>
      </c>
    </row>
    <row r="491" spans="8:9">
      <c r="H491" s="24">
        <f>4698281252/1000</f>
        <v>4698281.2520000003</v>
      </c>
      <c r="I491" s="24">
        <v>20</v>
      </c>
    </row>
    <row r="492" spans="8:9">
      <c r="H492" s="24">
        <f>6895867959/1000</f>
        <v>6895867.9589999998</v>
      </c>
    </row>
    <row r="493" spans="8:9" hidden="1"/>
    <row r="494" spans="8:9" hidden="1"/>
    <row r="495" spans="8:9" hidden="1"/>
    <row r="496" spans="8:9" hidden="1"/>
    <row r="497" hidden="1"/>
    <row r="498" hidden="1"/>
    <row r="499" hidden="1"/>
    <row r="500" hidden="1"/>
    <row r="501" hidden="1"/>
  </sheetData>
  <customSheetViews>
    <customSheetView guid="{705E0D18-9A83-42CA-8732-90923BE2EC7D}" scale="75" showGridLines="0" outlineSymbols="0" printArea="1" hiddenRows="1" hiddenColumns="1">
      <pane xSplit="1" ySplit="9" topLeftCell="B287" activePane="bottomRight" state="frozen"/>
      <selection pane="bottomRight" sqref="A1:J296"/>
      <rowBreaks count="1" manualBreakCount="1">
        <brk id="345" max="11" man="1"/>
      </rowBreaks>
      <pageMargins left="0.2" right="0.2" top="0.43" bottom="0.55000000000000004" header="0.27" footer="0.5"/>
      <printOptions horizontalCentered="1"/>
      <pageSetup paperSize="9" scale="80" orientation="landscape" horizontalDpi="300" verticalDpi="300" r:id="rId1"/>
      <headerFooter alignWithMargins="0"/>
    </customSheetView>
    <customSheetView guid="{D45E5F9E-4EA6-40A2-8A1D-3AC67FB8CE54}" scale="75" showGridLines="0" outlineSymbols="0" printArea="1" hiddenRows="1" hiddenColumns="1">
      <pane xSplit="1" ySplit="9" topLeftCell="B282" activePane="bottomRight" state="frozen"/>
      <selection pane="bottomRight" activeCell="C292" sqref="C292"/>
      <rowBreaks count="1" manualBreakCount="1">
        <brk id="346" max="11" man="1"/>
      </rowBreaks>
      <pageMargins left="0.2" right="0.2" top="0.43" bottom="0.55000000000000004" header="0.27" footer="0.5"/>
      <printOptions horizontalCentered="1"/>
      <pageSetup paperSize="9" scale="80" orientation="landscape" horizontalDpi="300" verticalDpi="300" r:id="rId2"/>
      <headerFooter alignWithMargins="0"/>
    </customSheetView>
    <customSheetView guid="{098C004C-808F-436E-8F18-182F927479D1}" scale="75" showGridLines="0" outlineSymbols="0" printArea="1" hiddenRows="1" hiddenColumns="1">
      <pane xSplit="1" ySplit="9" topLeftCell="B252" activePane="bottomRight" state="frozen"/>
      <selection pane="bottomRight" activeCell="A262" sqref="A262"/>
      <rowBreaks count="1" manualBreakCount="1">
        <brk id="318" max="11" man="1"/>
      </rowBreaks>
      <pageMargins left="0.2" right="0.2" top="0.43" bottom="0.55000000000000004" header="0.27" footer="0.5"/>
      <printOptions horizontalCentered="1"/>
      <pageSetup paperSize="9" scale="80" orientation="landscape" horizontalDpi="300" verticalDpi="300" r:id="rId3"/>
      <headerFooter alignWithMargins="0"/>
    </customSheetView>
    <customSheetView guid="{89CA84C2-78F5-4B05-8F1D-B7C5F97BCB4E}" scale="75" showGridLines="0" outlineSymbols="0" printArea="1" hiddenRows="1" hiddenColumns="1">
      <pane xSplit="1" ySplit="9" topLeftCell="B271" activePane="bottomRight" state="frozen"/>
      <selection pane="bottomRight" activeCell="I275" sqref="I275"/>
      <rowBreaks count="1" manualBreakCount="1">
        <brk id="338" max="11" man="1"/>
      </rowBreaks>
      <pageMargins left="0.2" right="0.2" top="0.43" bottom="0.55000000000000004" header="0.27" footer="0.5"/>
      <printOptions horizontalCentered="1"/>
      <pageSetup paperSize="9" scale="80" orientation="landscape" horizontalDpi="300" verticalDpi="300" r:id="rId4"/>
      <headerFooter alignWithMargins="0"/>
    </customSheetView>
  </customSheetViews>
  <mergeCells count="2">
    <mergeCell ref="A1:H1"/>
    <mergeCell ref="B4:E4"/>
  </mergeCells>
  <phoneticPr fontId="42" type="noConversion"/>
  <printOptions horizontalCentered="1"/>
  <pageMargins left="0.2" right="0.2" top="0.43" bottom="0.55000000000000004" header="0.27" footer="0.5"/>
  <pageSetup paperSize="9" scale="80" orientation="landscape" horizontalDpi="300" verticalDpi="300" r:id="rId5"/>
  <headerFooter alignWithMargins="0"/>
  <rowBreaks count="1" manualBreakCount="1">
    <brk id="361" max="11"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C4:K181"/>
  <sheetViews>
    <sheetView topLeftCell="A3" zoomScale="60" zoomScaleNormal="60" workbookViewId="0">
      <pane xSplit="3" ySplit="12" topLeftCell="D143" activePane="bottomRight" state="frozen"/>
      <selection activeCell="A3" sqref="A3"/>
      <selection pane="topRight" activeCell="D3" sqref="D3"/>
      <selection pane="bottomLeft" activeCell="A15" sqref="A15"/>
      <selection pane="bottomRight" activeCell="D162" sqref="D162"/>
    </sheetView>
  </sheetViews>
  <sheetFormatPr defaultColWidth="8.77734375" defaultRowHeight="15"/>
  <cols>
    <col min="1" max="2" width="8.77734375" style="216"/>
    <col min="3" max="3" width="14.109375" style="216" customWidth="1"/>
    <col min="4" max="4" width="13.109375" style="216" customWidth="1"/>
    <col min="5" max="5" width="11.21875" style="216" customWidth="1"/>
    <col min="6" max="6" width="12.21875" style="216" customWidth="1"/>
    <col min="7" max="7" width="11.21875" style="216" customWidth="1"/>
    <col min="8" max="8" width="13.109375" style="216" customWidth="1"/>
    <col min="9" max="9" width="13" style="216" customWidth="1"/>
    <col min="10" max="10" width="16.6640625" style="216" customWidth="1"/>
    <col min="11" max="16384" width="8.77734375" style="216"/>
  </cols>
  <sheetData>
    <row r="4" spans="3:11" ht="15.75">
      <c r="C4" s="213" t="s">
        <v>1056</v>
      </c>
      <c r="D4" s="213"/>
      <c r="E4" s="213"/>
      <c r="F4" s="213"/>
      <c r="G4" s="213"/>
      <c r="H4" s="213"/>
      <c r="I4" s="213"/>
      <c r="J4" s="214"/>
      <c r="K4" s="215"/>
    </row>
    <row r="5" spans="3:11" ht="15.75">
      <c r="C5" s="213"/>
      <c r="D5" s="213"/>
      <c r="E5" s="213"/>
      <c r="F5" s="213"/>
      <c r="G5" s="213"/>
      <c r="H5" s="213"/>
      <c r="I5" s="213"/>
      <c r="J5" s="214"/>
      <c r="K5" s="215"/>
    </row>
    <row r="6" spans="3:11" ht="15.75">
      <c r="C6" s="217"/>
      <c r="D6" s="217"/>
      <c r="E6" s="217"/>
      <c r="F6" s="217"/>
      <c r="G6" s="217"/>
      <c r="H6" s="217"/>
      <c r="I6" s="217"/>
      <c r="J6" s="217"/>
      <c r="K6" s="215"/>
    </row>
    <row r="7" spans="3:11" ht="16.5" thickBot="1">
      <c r="C7" s="217"/>
      <c r="D7" s="217"/>
      <c r="E7" s="217"/>
      <c r="F7" s="217"/>
      <c r="G7" s="217"/>
      <c r="H7" s="217"/>
      <c r="I7" s="217"/>
      <c r="J7" s="217"/>
      <c r="K7" s="215"/>
    </row>
    <row r="8" spans="3:11" ht="16.5" thickTop="1">
      <c r="C8" s="218"/>
      <c r="D8" s="218"/>
      <c r="E8" s="219"/>
      <c r="F8" s="219"/>
      <c r="G8" s="219"/>
      <c r="H8" s="219"/>
      <c r="I8" s="218"/>
      <c r="J8" s="219"/>
      <c r="K8" s="220"/>
    </row>
    <row r="9" spans="3:11" ht="15.75">
      <c r="C9" s="221"/>
      <c r="D9" s="1918" t="s">
        <v>1057</v>
      </c>
      <c r="E9" s="1919"/>
      <c r="F9" s="1919"/>
      <c r="G9" s="1919"/>
      <c r="H9" s="1920"/>
      <c r="I9" s="222" t="s">
        <v>1058</v>
      </c>
      <c r="J9" s="223"/>
      <c r="K9" s="220"/>
    </row>
    <row r="10" spans="3:11" ht="16.5" thickBot="1">
      <c r="C10" s="221"/>
      <c r="D10" s="221"/>
      <c r="E10" s="217"/>
      <c r="F10" s="217"/>
      <c r="G10" s="217"/>
      <c r="H10" s="217"/>
      <c r="I10" s="221"/>
      <c r="J10" s="217"/>
      <c r="K10" s="220"/>
    </row>
    <row r="11" spans="3:11" ht="16.5" thickTop="1">
      <c r="C11" s="221"/>
      <c r="D11" s="218"/>
      <c r="E11" s="218"/>
      <c r="F11" s="218"/>
      <c r="G11" s="218"/>
      <c r="H11" s="218"/>
      <c r="I11" s="218"/>
      <c r="J11" s="218"/>
      <c r="K11" s="220"/>
    </row>
    <row r="12" spans="3:11" ht="15.75">
      <c r="C12" s="224" t="s">
        <v>263</v>
      </c>
      <c r="D12" s="222"/>
      <c r="E12" s="222"/>
      <c r="F12" s="222"/>
      <c r="G12" s="224" t="s">
        <v>294</v>
      </c>
      <c r="H12" s="222"/>
      <c r="I12" s="222"/>
      <c r="J12" s="222"/>
      <c r="K12" s="220"/>
    </row>
    <row r="13" spans="3:11" ht="15.75">
      <c r="C13" s="222"/>
      <c r="D13" s="224" t="s">
        <v>786</v>
      </c>
      <c r="E13" s="224" t="s">
        <v>421</v>
      </c>
      <c r="F13" s="224" t="s">
        <v>422</v>
      </c>
      <c r="G13" s="224" t="s">
        <v>1059</v>
      </c>
      <c r="H13" s="224" t="s">
        <v>1060</v>
      </c>
      <c r="I13" s="224" t="s">
        <v>786</v>
      </c>
      <c r="J13" s="224" t="s">
        <v>1061</v>
      </c>
      <c r="K13" s="220"/>
    </row>
    <row r="14" spans="3:11" ht="16.5" thickBot="1">
      <c r="C14" s="221"/>
      <c r="D14" s="221"/>
      <c r="E14" s="221"/>
      <c r="F14" s="221"/>
      <c r="G14" s="221"/>
      <c r="H14" s="221"/>
      <c r="I14" s="221"/>
      <c r="J14" s="221"/>
      <c r="K14" s="220"/>
    </row>
    <row r="15" spans="3:11" ht="16.5" thickTop="1">
      <c r="C15" s="225"/>
      <c r="D15" s="218"/>
      <c r="E15" s="218"/>
      <c r="F15" s="218"/>
      <c r="G15" s="218"/>
      <c r="H15" s="218"/>
      <c r="I15" s="218"/>
      <c r="J15" s="218"/>
      <c r="K15" s="220"/>
    </row>
    <row r="16" spans="3:11" ht="15.75" hidden="1">
      <c r="C16" s="226">
        <v>1999</v>
      </c>
      <c r="D16" s="221"/>
      <c r="E16" s="221"/>
      <c r="F16" s="221"/>
      <c r="G16" s="221"/>
      <c r="H16" s="221"/>
      <c r="I16" s="221"/>
      <c r="J16" s="221"/>
      <c r="K16" s="220"/>
    </row>
    <row r="17" spans="3:11" ht="15.75" hidden="1">
      <c r="C17" s="222"/>
      <c r="D17" s="227"/>
      <c r="E17" s="227"/>
      <c r="F17" s="227"/>
      <c r="G17" s="224"/>
      <c r="H17" s="224"/>
      <c r="I17" s="227"/>
      <c r="J17" s="227"/>
      <c r="K17" s="220"/>
    </row>
    <row r="18" spans="3:11" ht="15.75" hidden="1">
      <c r="C18" s="222" t="s">
        <v>307</v>
      </c>
      <c r="D18" s="227" t="s">
        <v>1062</v>
      </c>
      <c r="E18" s="227" t="s">
        <v>1063</v>
      </c>
      <c r="F18" s="227" t="s">
        <v>1064</v>
      </c>
      <c r="G18" s="224" t="s">
        <v>1065</v>
      </c>
      <c r="H18" s="224" t="s">
        <v>1066</v>
      </c>
      <c r="I18" s="227" t="s">
        <v>1067</v>
      </c>
      <c r="J18" s="227">
        <v>24</v>
      </c>
      <c r="K18" s="220"/>
    </row>
    <row r="19" spans="3:11" ht="15.75" hidden="1">
      <c r="C19" s="222" t="s">
        <v>308</v>
      </c>
      <c r="D19" s="227" t="s">
        <v>1062</v>
      </c>
      <c r="E19" s="227" t="s">
        <v>1063</v>
      </c>
      <c r="F19" s="227" t="s">
        <v>1064</v>
      </c>
      <c r="G19" s="224" t="s">
        <v>1065</v>
      </c>
      <c r="H19" s="224" t="s">
        <v>1066</v>
      </c>
      <c r="I19" s="227" t="s">
        <v>1067</v>
      </c>
      <c r="J19" s="227">
        <v>24</v>
      </c>
      <c r="K19" s="220"/>
    </row>
    <row r="20" spans="3:11" ht="15.75" hidden="1">
      <c r="C20" s="222" t="s">
        <v>311</v>
      </c>
      <c r="D20" s="227" t="s">
        <v>1062</v>
      </c>
      <c r="E20" s="227" t="s">
        <v>1063</v>
      </c>
      <c r="F20" s="227" t="s">
        <v>1064</v>
      </c>
      <c r="G20" s="224" t="s">
        <v>1065</v>
      </c>
      <c r="H20" s="224" t="s">
        <v>1066</v>
      </c>
      <c r="I20" s="227" t="s">
        <v>1067</v>
      </c>
      <c r="J20" s="227">
        <v>24</v>
      </c>
      <c r="K20" s="220"/>
    </row>
    <row r="21" spans="3:11" ht="15.75" hidden="1">
      <c r="C21" s="222"/>
      <c r="D21" s="227"/>
      <c r="E21" s="227"/>
      <c r="F21" s="227"/>
      <c r="G21" s="224"/>
      <c r="H21" s="224"/>
      <c r="I21" s="227"/>
      <c r="J21" s="227"/>
      <c r="K21" s="220"/>
    </row>
    <row r="22" spans="3:11" ht="15.75" hidden="1">
      <c r="C22" s="224" t="s">
        <v>710</v>
      </c>
      <c r="D22" s="227"/>
      <c r="E22" s="227"/>
      <c r="F22" s="227"/>
      <c r="G22" s="224"/>
      <c r="H22" s="224"/>
      <c r="I22" s="227"/>
      <c r="J22" s="227"/>
      <c r="K22" s="220"/>
    </row>
    <row r="23" spans="3:11" ht="15.75" hidden="1">
      <c r="C23" s="222"/>
      <c r="D23" s="227"/>
      <c r="E23" s="227"/>
      <c r="F23" s="227"/>
      <c r="G23" s="224"/>
      <c r="H23" s="224"/>
      <c r="I23" s="227"/>
      <c r="J23" s="227"/>
      <c r="K23" s="220"/>
    </row>
    <row r="24" spans="3:11" ht="15.75" hidden="1">
      <c r="C24" s="222" t="s">
        <v>298</v>
      </c>
      <c r="D24" s="227" t="s">
        <v>1062</v>
      </c>
      <c r="E24" s="227" t="s">
        <v>1063</v>
      </c>
      <c r="F24" s="227" t="s">
        <v>1064</v>
      </c>
      <c r="G24" s="224" t="s">
        <v>1065</v>
      </c>
      <c r="H24" s="224" t="s">
        <v>1066</v>
      </c>
      <c r="I24" s="227" t="s">
        <v>1067</v>
      </c>
      <c r="J24" s="227">
        <v>24</v>
      </c>
      <c r="K24" s="220"/>
    </row>
    <row r="25" spans="3:11" ht="15.75" hidden="1">
      <c r="C25" s="222" t="s">
        <v>299</v>
      </c>
      <c r="D25" s="227" t="s">
        <v>1062</v>
      </c>
      <c r="E25" s="227" t="s">
        <v>1063</v>
      </c>
      <c r="F25" s="227" t="s">
        <v>1064</v>
      </c>
      <c r="G25" s="224" t="s">
        <v>1065</v>
      </c>
      <c r="H25" s="224" t="s">
        <v>1066</v>
      </c>
      <c r="I25" s="227" t="s">
        <v>1067</v>
      </c>
      <c r="J25" s="227">
        <v>24</v>
      </c>
      <c r="K25" s="220"/>
    </row>
    <row r="26" spans="3:11" ht="15.75" hidden="1">
      <c r="C26" s="222" t="s">
        <v>300</v>
      </c>
      <c r="D26" s="227" t="s">
        <v>1062</v>
      </c>
      <c r="E26" s="227" t="s">
        <v>1063</v>
      </c>
      <c r="F26" s="227" t="s">
        <v>1064</v>
      </c>
      <c r="G26" s="224" t="s">
        <v>1065</v>
      </c>
      <c r="H26" s="224" t="s">
        <v>1066</v>
      </c>
      <c r="I26" s="227" t="s">
        <v>1067</v>
      </c>
      <c r="J26" s="227">
        <v>24</v>
      </c>
      <c r="K26" s="220"/>
    </row>
    <row r="27" spans="3:11" ht="15.75" hidden="1">
      <c r="C27" s="222" t="s">
        <v>301</v>
      </c>
      <c r="D27" s="227" t="s">
        <v>1062</v>
      </c>
      <c r="E27" s="227" t="s">
        <v>1063</v>
      </c>
      <c r="F27" s="227" t="s">
        <v>1064</v>
      </c>
      <c r="G27" s="224" t="s">
        <v>1065</v>
      </c>
      <c r="H27" s="224" t="s">
        <v>1066</v>
      </c>
      <c r="I27" s="227" t="s">
        <v>1067</v>
      </c>
      <c r="J27" s="227">
        <v>24</v>
      </c>
      <c r="K27" s="220"/>
    </row>
    <row r="28" spans="3:11" ht="15.75" hidden="1">
      <c r="C28" s="222" t="s">
        <v>302</v>
      </c>
      <c r="D28" s="227" t="s">
        <v>1062</v>
      </c>
      <c r="E28" s="227" t="s">
        <v>1063</v>
      </c>
      <c r="F28" s="227" t="s">
        <v>1064</v>
      </c>
      <c r="G28" s="224" t="s">
        <v>1065</v>
      </c>
      <c r="H28" s="224" t="s">
        <v>1066</v>
      </c>
      <c r="I28" s="227" t="s">
        <v>1067</v>
      </c>
      <c r="J28" s="227">
        <v>24</v>
      </c>
      <c r="K28" s="220"/>
    </row>
    <row r="29" spans="3:11" ht="15.75" hidden="1">
      <c r="C29" s="222" t="s">
        <v>303</v>
      </c>
      <c r="D29" s="227" t="s">
        <v>1062</v>
      </c>
      <c r="E29" s="227" t="s">
        <v>1063</v>
      </c>
      <c r="F29" s="227" t="s">
        <v>1064</v>
      </c>
      <c r="G29" s="224" t="s">
        <v>1065</v>
      </c>
      <c r="H29" s="224" t="s">
        <v>1066</v>
      </c>
      <c r="I29" s="227" t="s">
        <v>1067</v>
      </c>
      <c r="J29" s="227">
        <v>24</v>
      </c>
      <c r="K29" s="220"/>
    </row>
    <row r="30" spans="3:11" ht="15.75" hidden="1">
      <c r="C30" s="222" t="s">
        <v>304</v>
      </c>
      <c r="D30" s="227" t="s">
        <v>1062</v>
      </c>
      <c r="E30" s="227" t="s">
        <v>1063</v>
      </c>
      <c r="F30" s="227" t="s">
        <v>1064</v>
      </c>
      <c r="G30" s="224" t="s">
        <v>1065</v>
      </c>
      <c r="H30" s="224" t="s">
        <v>1066</v>
      </c>
      <c r="I30" s="227" t="s">
        <v>1067</v>
      </c>
      <c r="J30" s="227">
        <v>24</v>
      </c>
      <c r="K30" s="220"/>
    </row>
    <row r="31" spans="3:11" ht="15.75" hidden="1">
      <c r="C31" s="222" t="s">
        <v>305</v>
      </c>
      <c r="D31" s="227" t="s">
        <v>1062</v>
      </c>
      <c r="E31" s="227" t="s">
        <v>1063</v>
      </c>
      <c r="F31" s="227" t="s">
        <v>1064</v>
      </c>
      <c r="G31" s="224" t="s">
        <v>1065</v>
      </c>
      <c r="H31" s="224" t="s">
        <v>1066</v>
      </c>
      <c r="I31" s="227" t="s">
        <v>1067</v>
      </c>
      <c r="J31" s="227">
        <v>24</v>
      </c>
      <c r="K31" s="220"/>
    </row>
    <row r="32" spans="3:11" ht="15.75" hidden="1">
      <c r="C32" s="222" t="s">
        <v>306</v>
      </c>
      <c r="D32" s="227" t="s">
        <v>1062</v>
      </c>
      <c r="E32" s="227" t="s">
        <v>1063</v>
      </c>
      <c r="F32" s="227" t="s">
        <v>1064</v>
      </c>
      <c r="G32" s="224" t="s">
        <v>1065</v>
      </c>
      <c r="H32" s="224" t="s">
        <v>1066</v>
      </c>
      <c r="I32" s="227" t="s">
        <v>1067</v>
      </c>
      <c r="J32" s="227">
        <v>24</v>
      </c>
      <c r="K32" s="220"/>
    </row>
    <row r="33" spans="3:11" ht="15.75" hidden="1">
      <c r="C33" s="222" t="s">
        <v>1068</v>
      </c>
      <c r="D33" s="227" t="s">
        <v>1062</v>
      </c>
      <c r="E33" s="227" t="s">
        <v>1063</v>
      </c>
      <c r="F33" s="227" t="s">
        <v>1064</v>
      </c>
      <c r="G33" s="224" t="s">
        <v>1065</v>
      </c>
      <c r="H33" s="224" t="s">
        <v>1066</v>
      </c>
      <c r="I33" s="227" t="s">
        <v>1067</v>
      </c>
      <c r="J33" s="227">
        <v>24</v>
      </c>
      <c r="K33" s="220"/>
    </row>
    <row r="34" spans="3:11" ht="15.75" hidden="1">
      <c r="C34" s="222" t="s">
        <v>308</v>
      </c>
      <c r="D34" s="227" t="s">
        <v>1062</v>
      </c>
      <c r="E34" s="227" t="s">
        <v>1063</v>
      </c>
      <c r="F34" s="227" t="s">
        <v>1064</v>
      </c>
      <c r="G34" s="224" t="s">
        <v>1065</v>
      </c>
      <c r="H34" s="224" t="s">
        <v>1066</v>
      </c>
      <c r="I34" s="227" t="s">
        <v>1067</v>
      </c>
      <c r="J34" s="227">
        <v>24</v>
      </c>
      <c r="K34" s="220"/>
    </row>
    <row r="35" spans="3:11" ht="15.75" hidden="1">
      <c r="C35" s="222" t="s">
        <v>311</v>
      </c>
      <c r="D35" s="227" t="s">
        <v>1062</v>
      </c>
      <c r="E35" s="227" t="s">
        <v>1063</v>
      </c>
      <c r="F35" s="227" t="s">
        <v>1064</v>
      </c>
      <c r="G35" s="224" t="s">
        <v>1065</v>
      </c>
      <c r="H35" s="224" t="s">
        <v>1066</v>
      </c>
      <c r="I35" s="227" t="s">
        <v>1067</v>
      </c>
      <c r="J35" s="227">
        <v>24</v>
      </c>
      <c r="K35" s="220"/>
    </row>
    <row r="36" spans="3:11" ht="15.75" hidden="1">
      <c r="C36" s="222"/>
      <c r="D36" s="227"/>
      <c r="E36" s="227"/>
      <c r="F36" s="227"/>
      <c r="G36" s="224"/>
      <c r="H36" s="224"/>
      <c r="I36" s="227"/>
      <c r="J36" s="227"/>
      <c r="K36" s="220"/>
    </row>
    <row r="37" spans="3:11" ht="15.75" hidden="1">
      <c r="C37" s="224">
        <v>2001</v>
      </c>
      <c r="D37" s="227"/>
      <c r="E37" s="227"/>
      <c r="F37" s="227"/>
      <c r="G37" s="224"/>
      <c r="H37" s="224"/>
      <c r="I37" s="227"/>
      <c r="J37" s="227"/>
      <c r="K37" s="220"/>
    </row>
    <row r="38" spans="3:11" ht="15.75" hidden="1">
      <c r="C38" s="224"/>
      <c r="D38" s="227"/>
      <c r="E38" s="227"/>
      <c r="F38" s="227"/>
      <c r="G38" s="224"/>
      <c r="H38" s="224"/>
      <c r="I38" s="227"/>
      <c r="J38" s="227"/>
      <c r="K38" s="220"/>
    </row>
    <row r="39" spans="3:11" ht="15.75" hidden="1">
      <c r="C39" s="222" t="s">
        <v>298</v>
      </c>
      <c r="D39" s="227" t="s">
        <v>1062</v>
      </c>
      <c r="E39" s="227" t="s">
        <v>1063</v>
      </c>
      <c r="F39" s="227" t="s">
        <v>1064</v>
      </c>
      <c r="G39" s="224" t="s">
        <v>1065</v>
      </c>
      <c r="H39" s="224" t="s">
        <v>1066</v>
      </c>
      <c r="I39" s="227" t="s">
        <v>1067</v>
      </c>
      <c r="J39" s="227">
        <v>24</v>
      </c>
      <c r="K39" s="220"/>
    </row>
    <row r="40" spans="3:11" ht="15.75" hidden="1">
      <c r="C40" s="222" t="s">
        <v>299</v>
      </c>
      <c r="D40" s="227" t="s">
        <v>1062</v>
      </c>
      <c r="E40" s="227" t="s">
        <v>1063</v>
      </c>
      <c r="F40" s="227" t="s">
        <v>1064</v>
      </c>
      <c r="G40" s="224" t="s">
        <v>1065</v>
      </c>
      <c r="H40" s="224" t="s">
        <v>1066</v>
      </c>
      <c r="I40" s="227" t="s">
        <v>1067</v>
      </c>
      <c r="J40" s="227">
        <v>24</v>
      </c>
      <c r="K40" s="220"/>
    </row>
    <row r="41" spans="3:11" ht="15.75" hidden="1">
      <c r="C41" s="222" t="s">
        <v>300</v>
      </c>
      <c r="D41" s="227" t="s">
        <v>1062</v>
      </c>
      <c r="E41" s="227" t="s">
        <v>1063</v>
      </c>
      <c r="F41" s="227" t="s">
        <v>1064</v>
      </c>
      <c r="G41" s="224" t="s">
        <v>1065</v>
      </c>
      <c r="H41" s="224" t="s">
        <v>1066</v>
      </c>
      <c r="I41" s="227" t="s">
        <v>1067</v>
      </c>
      <c r="J41" s="227">
        <v>24</v>
      </c>
      <c r="K41" s="220"/>
    </row>
    <row r="42" spans="3:11" ht="15.75" hidden="1">
      <c r="C42" s="222" t="s">
        <v>301</v>
      </c>
      <c r="D42" s="227" t="s">
        <v>1062</v>
      </c>
      <c r="E42" s="227" t="s">
        <v>1063</v>
      </c>
      <c r="F42" s="227" t="s">
        <v>1064</v>
      </c>
      <c r="G42" s="224" t="s">
        <v>1065</v>
      </c>
      <c r="H42" s="224" t="s">
        <v>1066</v>
      </c>
      <c r="I42" s="227" t="s">
        <v>1067</v>
      </c>
      <c r="J42" s="227">
        <v>24</v>
      </c>
      <c r="K42" s="220"/>
    </row>
    <row r="43" spans="3:11" ht="15.75" hidden="1">
      <c r="C43" s="222" t="s">
        <v>302</v>
      </c>
      <c r="D43" s="227" t="s">
        <v>1062</v>
      </c>
      <c r="E43" s="227" t="s">
        <v>1063</v>
      </c>
      <c r="F43" s="227" t="s">
        <v>1064</v>
      </c>
      <c r="G43" s="224" t="s">
        <v>1065</v>
      </c>
      <c r="H43" s="224" t="s">
        <v>1066</v>
      </c>
      <c r="I43" s="227" t="s">
        <v>1067</v>
      </c>
      <c r="J43" s="227">
        <v>24</v>
      </c>
      <c r="K43" s="220"/>
    </row>
    <row r="44" spans="3:11" ht="15.75" hidden="1">
      <c r="C44" s="222" t="s">
        <v>303</v>
      </c>
      <c r="D44" s="227" t="s">
        <v>1062</v>
      </c>
      <c r="E44" s="227" t="s">
        <v>1063</v>
      </c>
      <c r="F44" s="227" t="s">
        <v>1064</v>
      </c>
      <c r="G44" s="224" t="s">
        <v>1065</v>
      </c>
      <c r="H44" s="224" t="s">
        <v>1066</v>
      </c>
      <c r="I44" s="227" t="s">
        <v>1067</v>
      </c>
      <c r="J44" s="227">
        <v>24</v>
      </c>
      <c r="K44" s="220"/>
    </row>
    <row r="45" spans="3:11" ht="15.75" hidden="1">
      <c r="C45" s="222" t="s">
        <v>304</v>
      </c>
      <c r="D45" s="227" t="s">
        <v>1062</v>
      </c>
      <c r="E45" s="227" t="s">
        <v>1063</v>
      </c>
      <c r="F45" s="227" t="s">
        <v>1064</v>
      </c>
      <c r="G45" s="224" t="s">
        <v>1065</v>
      </c>
      <c r="H45" s="224" t="s">
        <v>1066</v>
      </c>
      <c r="I45" s="227" t="s">
        <v>1069</v>
      </c>
      <c r="J45" s="227">
        <v>15</v>
      </c>
      <c r="K45" s="220"/>
    </row>
    <row r="46" spans="3:11" ht="15.75" hidden="1">
      <c r="C46" s="222" t="s">
        <v>305</v>
      </c>
      <c r="D46" s="227" t="s">
        <v>1062</v>
      </c>
      <c r="E46" s="227" t="s">
        <v>1063</v>
      </c>
      <c r="F46" s="227" t="s">
        <v>1064</v>
      </c>
      <c r="G46" s="224" t="s">
        <v>1065</v>
      </c>
      <c r="H46" s="224" t="s">
        <v>1066</v>
      </c>
      <c r="I46" s="227" t="s">
        <v>1069</v>
      </c>
      <c r="J46" s="227">
        <v>15</v>
      </c>
      <c r="K46" s="220"/>
    </row>
    <row r="47" spans="3:11" ht="15.75" hidden="1">
      <c r="C47" s="222" t="s">
        <v>306</v>
      </c>
      <c r="D47" s="227" t="s">
        <v>1062</v>
      </c>
      <c r="E47" s="227" t="s">
        <v>1063</v>
      </c>
      <c r="F47" s="227" t="s">
        <v>1064</v>
      </c>
      <c r="G47" s="224" t="s">
        <v>1065</v>
      </c>
      <c r="H47" s="224" t="s">
        <v>1066</v>
      </c>
      <c r="I47" s="227" t="s">
        <v>1069</v>
      </c>
      <c r="J47" s="227">
        <v>15</v>
      </c>
      <c r="K47" s="220"/>
    </row>
    <row r="48" spans="3:11" ht="15.75" hidden="1">
      <c r="C48" s="222" t="s">
        <v>307</v>
      </c>
      <c r="D48" s="227" t="s">
        <v>1062</v>
      </c>
      <c r="E48" s="227" t="s">
        <v>1063</v>
      </c>
      <c r="F48" s="227" t="s">
        <v>1064</v>
      </c>
      <c r="G48" s="224" t="s">
        <v>1065</v>
      </c>
      <c r="H48" s="224" t="s">
        <v>1066</v>
      </c>
      <c r="I48" s="227" t="s">
        <v>1069</v>
      </c>
      <c r="J48" s="227">
        <v>15</v>
      </c>
      <c r="K48" s="220"/>
    </row>
    <row r="49" spans="3:11" ht="15.75" hidden="1">
      <c r="C49" s="222" t="s">
        <v>308</v>
      </c>
      <c r="D49" s="227" t="s">
        <v>1062</v>
      </c>
      <c r="E49" s="227" t="s">
        <v>1063</v>
      </c>
      <c r="F49" s="227" t="s">
        <v>1064</v>
      </c>
      <c r="G49" s="224" t="s">
        <v>1065</v>
      </c>
      <c r="H49" s="224" t="s">
        <v>1066</v>
      </c>
      <c r="I49" s="227" t="s">
        <v>1069</v>
      </c>
      <c r="J49" s="227">
        <v>15</v>
      </c>
      <c r="K49" s="220"/>
    </row>
    <row r="50" spans="3:11" ht="15.75" hidden="1">
      <c r="C50" s="222" t="s">
        <v>311</v>
      </c>
      <c r="D50" s="227" t="s">
        <v>1062</v>
      </c>
      <c r="E50" s="227" t="s">
        <v>1063</v>
      </c>
      <c r="F50" s="227" t="s">
        <v>1064</v>
      </c>
      <c r="G50" s="224" t="s">
        <v>1065</v>
      </c>
      <c r="H50" s="224" t="s">
        <v>1066</v>
      </c>
      <c r="I50" s="227" t="s">
        <v>1069</v>
      </c>
      <c r="J50" s="227">
        <v>15</v>
      </c>
      <c r="K50" s="220"/>
    </row>
    <row r="51" spans="3:11" ht="15.75" hidden="1">
      <c r="C51" s="222"/>
      <c r="D51" s="227"/>
      <c r="E51" s="227"/>
      <c r="F51" s="227"/>
      <c r="G51" s="224"/>
      <c r="H51" s="224"/>
      <c r="I51" s="224"/>
      <c r="J51" s="224"/>
      <c r="K51" s="220"/>
    </row>
    <row r="52" spans="3:11" ht="15.75" hidden="1">
      <c r="C52" s="224">
        <v>2002</v>
      </c>
      <c r="D52" s="227"/>
      <c r="E52" s="227"/>
      <c r="F52" s="227"/>
      <c r="G52" s="224"/>
      <c r="H52" s="224"/>
      <c r="I52" s="224"/>
      <c r="J52" s="224"/>
      <c r="K52" s="220"/>
    </row>
    <row r="53" spans="3:11" ht="15.75" hidden="1">
      <c r="C53" s="224"/>
      <c r="D53" s="227"/>
      <c r="E53" s="227"/>
      <c r="F53" s="227"/>
      <c r="G53" s="224"/>
      <c r="H53" s="224"/>
      <c r="I53" s="224"/>
      <c r="J53" s="224"/>
      <c r="K53" s="220"/>
    </row>
    <row r="54" spans="3:11" ht="15.75" hidden="1">
      <c r="C54" s="222" t="s">
        <v>298</v>
      </c>
      <c r="D54" s="228" t="s">
        <v>1070</v>
      </c>
      <c r="E54" s="229" t="s">
        <v>1071</v>
      </c>
      <c r="F54" s="230" t="s">
        <v>1072</v>
      </c>
      <c r="G54" s="231" t="s">
        <v>1073</v>
      </c>
      <c r="H54" s="231" t="s">
        <v>1074</v>
      </c>
      <c r="I54" s="227" t="s">
        <v>1069</v>
      </c>
      <c r="J54" s="227">
        <v>15</v>
      </c>
      <c r="K54" s="220"/>
    </row>
    <row r="55" spans="3:11" ht="15.75" hidden="1">
      <c r="C55" s="222" t="s">
        <v>299</v>
      </c>
      <c r="D55" s="228" t="s">
        <v>1075</v>
      </c>
      <c r="E55" s="229" t="s">
        <v>1071</v>
      </c>
      <c r="F55" s="230" t="s">
        <v>1072</v>
      </c>
      <c r="G55" s="231" t="s">
        <v>1073</v>
      </c>
      <c r="H55" s="231" t="s">
        <v>1074</v>
      </c>
      <c r="I55" s="227" t="s">
        <v>1069</v>
      </c>
      <c r="J55" s="227">
        <v>15</v>
      </c>
      <c r="K55" s="220"/>
    </row>
    <row r="56" spans="3:11" ht="15.75" hidden="1">
      <c r="C56" s="222" t="s">
        <v>300</v>
      </c>
      <c r="D56" s="228" t="s">
        <v>1075</v>
      </c>
      <c r="E56" s="229" t="s">
        <v>1071</v>
      </c>
      <c r="F56" s="230" t="s">
        <v>1072</v>
      </c>
      <c r="G56" s="231" t="s">
        <v>1073</v>
      </c>
      <c r="H56" s="231" t="s">
        <v>1074</v>
      </c>
      <c r="I56" s="227" t="s">
        <v>1069</v>
      </c>
      <c r="J56" s="227">
        <v>15</v>
      </c>
      <c r="K56" s="220"/>
    </row>
    <row r="57" spans="3:11" ht="15.75" hidden="1">
      <c r="C57" s="222" t="s">
        <v>301</v>
      </c>
      <c r="D57" s="228" t="s">
        <v>1075</v>
      </c>
      <c r="E57" s="229" t="s">
        <v>1071</v>
      </c>
      <c r="F57" s="230" t="s">
        <v>1072</v>
      </c>
      <c r="G57" s="231" t="s">
        <v>1073</v>
      </c>
      <c r="H57" s="231" t="s">
        <v>1074</v>
      </c>
      <c r="I57" s="227" t="s">
        <v>1069</v>
      </c>
      <c r="J57" s="227">
        <v>15</v>
      </c>
      <c r="K57" s="220"/>
    </row>
    <row r="58" spans="3:11" ht="15.75" hidden="1">
      <c r="C58" s="222" t="s">
        <v>302</v>
      </c>
      <c r="D58" s="228" t="s">
        <v>1075</v>
      </c>
      <c r="E58" s="229" t="s">
        <v>1071</v>
      </c>
      <c r="F58" s="230" t="s">
        <v>1072</v>
      </c>
      <c r="G58" s="231" t="s">
        <v>1073</v>
      </c>
      <c r="H58" s="231" t="s">
        <v>1074</v>
      </c>
      <c r="I58" s="227" t="s">
        <v>1069</v>
      </c>
      <c r="J58" s="227">
        <v>15</v>
      </c>
      <c r="K58" s="220"/>
    </row>
    <row r="59" spans="3:11" ht="15.75" hidden="1">
      <c r="C59" s="222" t="s">
        <v>303</v>
      </c>
      <c r="D59" s="228" t="s">
        <v>1075</v>
      </c>
      <c r="E59" s="229" t="s">
        <v>1071</v>
      </c>
      <c r="F59" s="230" t="s">
        <v>1072</v>
      </c>
      <c r="G59" s="231" t="s">
        <v>1073</v>
      </c>
      <c r="H59" s="231" t="s">
        <v>1074</v>
      </c>
      <c r="I59" s="227" t="s">
        <v>1069</v>
      </c>
      <c r="J59" s="227">
        <v>15</v>
      </c>
      <c r="K59" s="220"/>
    </row>
    <row r="60" spans="3:11" ht="15.75" hidden="1">
      <c r="C60" s="222" t="s">
        <v>304</v>
      </c>
      <c r="D60" s="228" t="s">
        <v>1075</v>
      </c>
      <c r="E60" s="229" t="s">
        <v>1071</v>
      </c>
      <c r="F60" s="230" t="s">
        <v>1072</v>
      </c>
      <c r="G60" s="231" t="s">
        <v>1073</v>
      </c>
      <c r="H60" s="231" t="s">
        <v>1074</v>
      </c>
      <c r="I60" s="227" t="s">
        <v>1069</v>
      </c>
      <c r="J60" s="227">
        <v>15</v>
      </c>
      <c r="K60" s="220"/>
    </row>
    <row r="61" spans="3:11" ht="15.75" hidden="1">
      <c r="C61" s="222" t="s">
        <v>305</v>
      </c>
      <c r="D61" s="228" t="s">
        <v>1075</v>
      </c>
      <c r="E61" s="229" t="s">
        <v>1071</v>
      </c>
      <c r="F61" s="230" t="s">
        <v>1072</v>
      </c>
      <c r="G61" s="231" t="s">
        <v>1073</v>
      </c>
      <c r="H61" s="231" t="s">
        <v>1074</v>
      </c>
      <c r="I61" s="227" t="s">
        <v>1069</v>
      </c>
      <c r="J61" s="227">
        <v>15</v>
      </c>
      <c r="K61" s="220"/>
    </row>
    <row r="62" spans="3:11" ht="15.75" hidden="1">
      <c r="C62" s="222" t="s">
        <v>306</v>
      </c>
      <c r="D62" s="228" t="s">
        <v>1075</v>
      </c>
      <c r="E62" s="229" t="s">
        <v>1071</v>
      </c>
      <c r="F62" s="230" t="s">
        <v>1072</v>
      </c>
      <c r="G62" s="231" t="s">
        <v>1073</v>
      </c>
      <c r="H62" s="231" t="s">
        <v>1074</v>
      </c>
      <c r="I62" s="227" t="s">
        <v>1069</v>
      </c>
      <c r="J62" s="227">
        <v>15</v>
      </c>
      <c r="K62" s="220"/>
    </row>
    <row r="63" spans="3:11" ht="15.75" hidden="1">
      <c r="C63" s="232" t="s">
        <v>307</v>
      </c>
      <c r="D63" s="228" t="s">
        <v>1075</v>
      </c>
      <c r="E63" s="229" t="s">
        <v>1071</v>
      </c>
      <c r="F63" s="230" t="s">
        <v>1072</v>
      </c>
      <c r="G63" s="231" t="s">
        <v>1073</v>
      </c>
      <c r="H63" s="231" t="s">
        <v>1074</v>
      </c>
      <c r="I63" s="227" t="s">
        <v>1069</v>
      </c>
      <c r="J63" s="227">
        <v>15</v>
      </c>
      <c r="K63" s="220"/>
    </row>
    <row r="64" spans="3:11" ht="15.75" hidden="1">
      <c r="C64" s="222" t="s">
        <v>308</v>
      </c>
      <c r="D64" s="228" t="s">
        <v>1075</v>
      </c>
      <c r="E64" s="229" t="s">
        <v>1071</v>
      </c>
      <c r="F64" s="230" t="s">
        <v>1072</v>
      </c>
      <c r="G64" s="231" t="s">
        <v>1073</v>
      </c>
      <c r="H64" s="231" t="s">
        <v>1074</v>
      </c>
      <c r="I64" s="227" t="s">
        <v>1069</v>
      </c>
      <c r="J64" s="227">
        <v>15</v>
      </c>
      <c r="K64" s="220"/>
    </row>
    <row r="65" spans="3:11" ht="15.75" hidden="1">
      <c r="C65" s="222" t="s">
        <v>311</v>
      </c>
      <c r="D65" s="228" t="s">
        <v>1077</v>
      </c>
      <c r="E65" s="229" t="s">
        <v>1078</v>
      </c>
      <c r="F65" s="230" t="s">
        <v>1079</v>
      </c>
      <c r="G65" s="231" t="s">
        <v>1073</v>
      </c>
      <c r="H65" s="231" t="s">
        <v>1074</v>
      </c>
      <c r="I65" s="227" t="s">
        <v>1069</v>
      </c>
      <c r="J65" s="227">
        <v>15</v>
      </c>
      <c r="K65" s="220"/>
    </row>
    <row r="66" spans="3:11" ht="15.75" hidden="1">
      <c r="C66" s="222"/>
      <c r="D66" s="228"/>
      <c r="E66" s="229"/>
      <c r="F66" s="230"/>
      <c r="G66" s="231"/>
      <c r="H66" s="231"/>
      <c r="I66" s="227"/>
      <c r="J66" s="227"/>
      <c r="K66" s="220"/>
    </row>
    <row r="67" spans="3:11" ht="15.75" hidden="1">
      <c r="C67" s="224">
        <v>2003</v>
      </c>
      <c r="D67" s="228"/>
      <c r="E67" s="229"/>
      <c r="F67" s="230"/>
      <c r="G67" s="231"/>
      <c r="H67" s="231"/>
      <c r="I67" s="227"/>
      <c r="J67" s="227"/>
      <c r="K67" s="220"/>
    </row>
    <row r="68" spans="3:11" ht="15.75" hidden="1">
      <c r="C68" s="224"/>
      <c r="D68" s="228"/>
      <c r="E68" s="229"/>
      <c r="F68" s="230"/>
      <c r="G68" s="231"/>
      <c r="H68" s="231"/>
      <c r="I68" s="227"/>
      <c r="J68" s="227"/>
      <c r="K68" s="220"/>
    </row>
    <row r="69" spans="3:11" ht="15.75" hidden="1">
      <c r="C69" s="222" t="s">
        <v>298</v>
      </c>
      <c r="D69" s="228" t="s">
        <v>1080</v>
      </c>
      <c r="E69" s="229" t="s">
        <v>1078</v>
      </c>
      <c r="F69" s="230" t="s">
        <v>1079</v>
      </c>
      <c r="G69" s="231" t="s">
        <v>1073</v>
      </c>
      <c r="H69" s="231" t="s">
        <v>1074</v>
      </c>
      <c r="I69" s="227" t="s">
        <v>1069</v>
      </c>
      <c r="J69" s="227">
        <v>15</v>
      </c>
      <c r="K69" s="220"/>
    </row>
    <row r="70" spans="3:11" ht="15.75" hidden="1">
      <c r="C70" s="222" t="s">
        <v>299</v>
      </c>
      <c r="D70" s="227" t="s">
        <v>1081</v>
      </c>
      <c r="E70" s="229" t="s">
        <v>1078</v>
      </c>
      <c r="F70" s="230" t="s">
        <v>1079</v>
      </c>
      <c r="G70" s="231" t="s">
        <v>1073</v>
      </c>
      <c r="H70" s="231" t="s">
        <v>1074</v>
      </c>
      <c r="I70" s="227" t="s">
        <v>1069</v>
      </c>
      <c r="J70" s="227">
        <v>15</v>
      </c>
      <c r="K70" s="220"/>
    </row>
    <row r="71" spans="3:11" ht="15.75" hidden="1">
      <c r="C71" s="222" t="s">
        <v>300</v>
      </c>
      <c r="D71" s="228" t="s">
        <v>1082</v>
      </c>
      <c r="E71" s="229" t="s">
        <v>1078</v>
      </c>
      <c r="F71" s="230" t="s">
        <v>1079</v>
      </c>
      <c r="G71" s="231" t="s">
        <v>1073</v>
      </c>
      <c r="H71" s="231" t="s">
        <v>1074</v>
      </c>
      <c r="I71" s="227" t="s">
        <v>1069</v>
      </c>
      <c r="J71" s="227">
        <v>15</v>
      </c>
      <c r="K71" s="220"/>
    </row>
    <row r="72" spans="3:11" ht="15.75" hidden="1">
      <c r="C72" s="222" t="s">
        <v>301</v>
      </c>
      <c r="D72" s="228" t="s">
        <v>1083</v>
      </c>
      <c r="E72" s="229" t="s">
        <v>1078</v>
      </c>
      <c r="F72" s="230" t="s">
        <v>1079</v>
      </c>
      <c r="G72" s="231" t="s">
        <v>1073</v>
      </c>
      <c r="H72" s="231" t="s">
        <v>1074</v>
      </c>
      <c r="I72" s="227" t="s">
        <v>1069</v>
      </c>
      <c r="J72" s="227">
        <v>15</v>
      </c>
      <c r="K72" s="220"/>
    </row>
    <row r="73" spans="3:11" ht="15.75" hidden="1">
      <c r="C73" s="222" t="s">
        <v>302</v>
      </c>
      <c r="D73" s="227" t="s">
        <v>1084</v>
      </c>
      <c r="E73" s="229">
        <v>15.85</v>
      </c>
      <c r="F73" s="230">
        <v>16</v>
      </c>
      <c r="G73" s="231">
        <v>14</v>
      </c>
      <c r="H73" s="224" t="s">
        <v>1074</v>
      </c>
      <c r="I73" s="227"/>
      <c r="J73" s="227"/>
      <c r="K73" s="220"/>
    </row>
    <row r="74" spans="3:11" ht="15.75" hidden="1">
      <c r="C74" s="222" t="s">
        <v>302</v>
      </c>
      <c r="D74" s="228" t="s">
        <v>1084</v>
      </c>
      <c r="E74" s="229" t="s">
        <v>1078</v>
      </c>
      <c r="F74" s="230" t="s">
        <v>1079</v>
      </c>
      <c r="G74" s="231" t="s">
        <v>1073</v>
      </c>
      <c r="H74" s="231" t="s">
        <v>1074</v>
      </c>
      <c r="I74" s="227" t="s">
        <v>1069</v>
      </c>
      <c r="J74" s="227">
        <v>15</v>
      </c>
      <c r="K74" s="220"/>
    </row>
    <row r="75" spans="3:11" ht="15.75" hidden="1">
      <c r="C75" s="222" t="s">
        <v>303</v>
      </c>
      <c r="D75" s="228" t="s">
        <v>1083</v>
      </c>
      <c r="E75" s="229" t="s">
        <v>1078</v>
      </c>
      <c r="F75" s="230" t="s">
        <v>1079</v>
      </c>
      <c r="G75" s="231" t="s">
        <v>1073</v>
      </c>
      <c r="H75" s="231" t="s">
        <v>1074</v>
      </c>
      <c r="I75" s="227" t="s">
        <v>1069</v>
      </c>
      <c r="J75" s="227">
        <v>15</v>
      </c>
      <c r="K75" s="220"/>
    </row>
    <row r="76" spans="3:11" ht="15.75" hidden="1">
      <c r="C76" s="222" t="s">
        <v>304</v>
      </c>
      <c r="D76" s="228" t="s">
        <v>1085</v>
      </c>
      <c r="E76" s="229" t="s">
        <v>1078</v>
      </c>
      <c r="F76" s="230" t="s">
        <v>1079</v>
      </c>
      <c r="G76" s="231" t="s">
        <v>1073</v>
      </c>
      <c r="H76" s="231" t="s">
        <v>1074</v>
      </c>
      <c r="I76" s="227" t="s">
        <v>1069</v>
      </c>
      <c r="J76" s="227">
        <v>15</v>
      </c>
      <c r="K76" s="220"/>
    </row>
    <row r="77" spans="3:11" ht="15.75" hidden="1">
      <c r="C77" s="232" t="s">
        <v>305</v>
      </c>
      <c r="D77" s="227" t="s">
        <v>1086</v>
      </c>
      <c r="E77" s="229">
        <v>15.85</v>
      </c>
      <c r="F77" s="230">
        <v>16</v>
      </c>
      <c r="G77" s="228">
        <v>14</v>
      </c>
      <c r="H77" s="224" t="s">
        <v>1074</v>
      </c>
      <c r="I77" s="227" t="s">
        <v>1069</v>
      </c>
      <c r="J77" s="227">
        <v>15</v>
      </c>
      <c r="K77" s="220"/>
    </row>
    <row r="78" spans="3:11" ht="15.75" hidden="1">
      <c r="C78" s="232" t="s">
        <v>306</v>
      </c>
      <c r="D78" s="227" t="s">
        <v>1087</v>
      </c>
      <c r="E78" s="229">
        <v>15.85</v>
      </c>
      <c r="F78" s="230">
        <v>16</v>
      </c>
      <c r="G78" s="228">
        <v>14</v>
      </c>
      <c r="H78" s="224" t="s">
        <v>1074</v>
      </c>
      <c r="I78" s="227" t="s">
        <v>1069</v>
      </c>
      <c r="J78" s="227">
        <v>15</v>
      </c>
      <c r="K78" s="220"/>
    </row>
    <row r="79" spans="3:11" ht="15.75" hidden="1">
      <c r="C79" s="232" t="s">
        <v>307</v>
      </c>
      <c r="D79" s="227" t="s">
        <v>1088</v>
      </c>
      <c r="E79" s="229">
        <v>15.85</v>
      </c>
      <c r="F79" s="230">
        <v>16</v>
      </c>
      <c r="G79" s="228">
        <v>14</v>
      </c>
      <c r="H79" s="224" t="s">
        <v>1074</v>
      </c>
      <c r="I79" s="227" t="s">
        <v>1069</v>
      </c>
      <c r="J79" s="227">
        <v>15</v>
      </c>
      <c r="K79" s="220"/>
    </row>
    <row r="80" spans="3:11" ht="15.75" hidden="1">
      <c r="C80" s="232" t="s">
        <v>308</v>
      </c>
      <c r="D80" s="227" t="s">
        <v>1089</v>
      </c>
      <c r="E80" s="229">
        <v>15.85</v>
      </c>
      <c r="F80" s="230">
        <v>16</v>
      </c>
      <c r="G80" s="228">
        <v>14</v>
      </c>
      <c r="H80" s="224" t="s">
        <v>1074</v>
      </c>
      <c r="I80" s="227" t="s">
        <v>1069</v>
      </c>
      <c r="J80" s="227">
        <v>15</v>
      </c>
      <c r="K80" s="220"/>
    </row>
    <row r="81" spans="3:11" ht="15.75" hidden="1">
      <c r="C81" s="232" t="s">
        <v>311</v>
      </c>
      <c r="D81" s="227" t="s">
        <v>1089</v>
      </c>
      <c r="E81" s="229">
        <v>15.85</v>
      </c>
      <c r="F81" s="230">
        <v>16</v>
      </c>
      <c r="G81" s="228">
        <v>14</v>
      </c>
      <c r="H81" s="224" t="s">
        <v>1074</v>
      </c>
      <c r="I81" s="227" t="s">
        <v>1069</v>
      </c>
      <c r="J81" s="227">
        <v>15</v>
      </c>
      <c r="K81" s="220"/>
    </row>
    <row r="82" spans="3:11" ht="15.75" hidden="1">
      <c r="C82" s="232"/>
      <c r="D82" s="227"/>
      <c r="E82" s="229"/>
      <c r="F82" s="230"/>
      <c r="G82" s="228"/>
      <c r="H82" s="224"/>
      <c r="I82" s="227"/>
      <c r="J82" s="227"/>
      <c r="K82" s="220"/>
    </row>
    <row r="83" spans="3:11" ht="15.75" hidden="1">
      <c r="C83" s="231">
        <v>2004</v>
      </c>
      <c r="D83" s="227"/>
      <c r="E83" s="229"/>
      <c r="F83" s="230"/>
      <c r="G83" s="228"/>
      <c r="H83" s="224"/>
      <c r="I83" s="227"/>
      <c r="J83" s="227"/>
      <c r="K83" s="220"/>
    </row>
    <row r="84" spans="3:11" ht="15.75" hidden="1">
      <c r="C84" s="231"/>
      <c r="D84" s="227"/>
      <c r="E84" s="229"/>
      <c r="F84" s="230"/>
      <c r="G84" s="228"/>
      <c r="H84" s="224"/>
      <c r="I84" s="227"/>
      <c r="J84" s="227"/>
      <c r="K84" s="220"/>
    </row>
    <row r="85" spans="3:11" ht="15.75" hidden="1">
      <c r="C85" s="233" t="s">
        <v>298</v>
      </c>
      <c r="D85" s="227" t="s">
        <v>1090</v>
      </c>
      <c r="E85" s="229">
        <v>10</v>
      </c>
      <c r="F85" s="230">
        <v>12</v>
      </c>
      <c r="G85" s="228">
        <v>14</v>
      </c>
      <c r="H85" s="224" t="s">
        <v>1074</v>
      </c>
      <c r="I85" s="227" t="s">
        <v>1069</v>
      </c>
      <c r="J85" s="227">
        <v>15</v>
      </c>
      <c r="K85" s="220"/>
    </row>
    <row r="86" spans="3:11" ht="15.75" hidden="1">
      <c r="C86" s="222" t="s">
        <v>299</v>
      </c>
      <c r="D86" s="227" t="s">
        <v>1090</v>
      </c>
      <c r="E86" s="229">
        <v>10</v>
      </c>
      <c r="F86" s="230">
        <v>12</v>
      </c>
      <c r="G86" s="228">
        <v>14</v>
      </c>
      <c r="H86" s="224" t="s">
        <v>1074</v>
      </c>
      <c r="I86" s="227" t="s">
        <v>1069</v>
      </c>
      <c r="J86" s="227">
        <v>15</v>
      </c>
      <c r="K86" s="220"/>
    </row>
    <row r="87" spans="3:11" ht="15.75" hidden="1">
      <c r="C87" s="222" t="s">
        <v>300</v>
      </c>
      <c r="D87" s="227" t="s">
        <v>119</v>
      </c>
      <c r="E87" s="234" t="s">
        <v>121</v>
      </c>
      <c r="F87" s="230">
        <v>0</v>
      </c>
      <c r="G87" s="228">
        <v>14</v>
      </c>
      <c r="H87" s="224" t="s">
        <v>120</v>
      </c>
      <c r="I87" s="227" t="s">
        <v>1069</v>
      </c>
      <c r="J87" s="227">
        <v>15</v>
      </c>
      <c r="K87" s="220"/>
    </row>
    <row r="88" spans="3:11" ht="15.75" hidden="1">
      <c r="C88" s="222" t="s">
        <v>301</v>
      </c>
      <c r="D88" s="227" t="s">
        <v>119</v>
      </c>
      <c r="E88" s="234" t="s">
        <v>121</v>
      </c>
      <c r="F88" s="230">
        <v>0</v>
      </c>
      <c r="G88" s="228">
        <v>14</v>
      </c>
      <c r="H88" s="224" t="s">
        <v>120</v>
      </c>
      <c r="I88" s="227" t="s">
        <v>1069</v>
      </c>
      <c r="J88" s="227">
        <v>15</v>
      </c>
      <c r="K88" s="220"/>
    </row>
    <row r="89" spans="3:11" ht="15.75" hidden="1">
      <c r="C89" s="222" t="s">
        <v>302</v>
      </c>
      <c r="D89" s="227" t="s">
        <v>86</v>
      </c>
      <c r="E89" s="234" t="s">
        <v>87</v>
      </c>
      <c r="F89" s="235">
        <v>0</v>
      </c>
      <c r="G89" s="228">
        <v>14</v>
      </c>
      <c r="H89" s="224">
        <v>14.5</v>
      </c>
      <c r="I89" s="227" t="s">
        <v>1069</v>
      </c>
      <c r="J89" s="227">
        <v>15</v>
      </c>
      <c r="K89" s="220"/>
    </row>
    <row r="90" spans="3:11" ht="15.75" hidden="1">
      <c r="C90" s="222" t="s">
        <v>303</v>
      </c>
      <c r="D90" s="227" t="s">
        <v>254</v>
      </c>
      <c r="E90" s="227" t="s">
        <v>121</v>
      </c>
      <c r="F90" s="227">
        <v>12</v>
      </c>
      <c r="G90" s="227">
        <v>14</v>
      </c>
      <c r="H90" s="224" t="s">
        <v>1074</v>
      </c>
      <c r="I90" s="227" t="s">
        <v>1069</v>
      </c>
      <c r="J90" s="227">
        <v>15</v>
      </c>
      <c r="K90" s="220"/>
    </row>
    <row r="91" spans="3:11" ht="15.75" hidden="1">
      <c r="C91" s="222" t="s">
        <v>304</v>
      </c>
      <c r="D91" s="227" t="s">
        <v>254</v>
      </c>
      <c r="E91" s="227" t="s">
        <v>121</v>
      </c>
      <c r="F91" s="227">
        <v>12</v>
      </c>
      <c r="G91" s="227">
        <v>14</v>
      </c>
      <c r="H91" s="224" t="s">
        <v>1074</v>
      </c>
      <c r="I91" s="227" t="s">
        <v>1069</v>
      </c>
      <c r="J91" s="227">
        <v>15</v>
      </c>
      <c r="K91" s="220"/>
    </row>
    <row r="92" spans="3:11" ht="15.75" hidden="1">
      <c r="C92" s="222" t="s">
        <v>305</v>
      </c>
      <c r="D92" s="227" t="s">
        <v>254</v>
      </c>
      <c r="E92" s="227" t="s">
        <v>121</v>
      </c>
      <c r="F92" s="227">
        <v>12</v>
      </c>
      <c r="G92" s="227">
        <v>14</v>
      </c>
      <c r="H92" s="224" t="s">
        <v>1074</v>
      </c>
      <c r="I92" s="227" t="s">
        <v>1069</v>
      </c>
      <c r="J92" s="227">
        <v>15</v>
      </c>
      <c r="K92" s="220"/>
    </row>
    <row r="93" spans="3:11" ht="15.75" hidden="1">
      <c r="C93" s="222" t="s">
        <v>306</v>
      </c>
      <c r="D93" s="227" t="s">
        <v>254</v>
      </c>
      <c r="E93" s="227" t="s">
        <v>121</v>
      </c>
      <c r="F93" s="227">
        <v>12</v>
      </c>
      <c r="G93" s="227">
        <v>14</v>
      </c>
      <c r="H93" s="224" t="s">
        <v>1074</v>
      </c>
      <c r="I93" s="227" t="s">
        <v>1069</v>
      </c>
      <c r="J93" s="227">
        <v>15</v>
      </c>
      <c r="K93" s="220"/>
    </row>
    <row r="94" spans="3:11" ht="15.75" hidden="1">
      <c r="C94" s="222" t="s">
        <v>307</v>
      </c>
      <c r="D94" s="227" t="s">
        <v>254</v>
      </c>
      <c r="E94" s="227" t="s">
        <v>121</v>
      </c>
      <c r="F94" s="227">
        <v>12</v>
      </c>
      <c r="G94" s="227">
        <v>14</v>
      </c>
      <c r="H94" s="224" t="s">
        <v>1074</v>
      </c>
      <c r="I94" s="227" t="s">
        <v>1069</v>
      </c>
      <c r="J94" s="227">
        <v>15</v>
      </c>
      <c r="K94" s="220"/>
    </row>
    <row r="95" spans="3:11" ht="15.75" hidden="1">
      <c r="C95" s="222" t="s">
        <v>308</v>
      </c>
      <c r="D95" s="228" t="s">
        <v>254</v>
      </c>
      <c r="E95" s="228" t="s">
        <v>121</v>
      </c>
      <c r="F95" s="228" t="s">
        <v>221</v>
      </c>
      <c r="G95" s="228" t="s">
        <v>1073</v>
      </c>
      <c r="H95" s="231" t="s">
        <v>1074</v>
      </c>
      <c r="I95" s="228" t="s">
        <v>1069</v>
      </c>
      <c r="J95" s="228" t="s">
        <v>861</v>
      </c>
      <c r="K95" s="220"/>
    </row>
    <row r="96" spans="3:11" ht="15.75" hidden="1">
      <c r="C96" s="222" t="s">
        <v>311</v>
      </c>
      <c r="D96" s="228" t="s">
        <v>254</v>
      </c>
      <c r="E96" s="228" t="s">
        <v>121</v>
      </c>
      <c r="F96" s="228" t="s">
        <v>221</v>
      </c>
      <c r="G96" s="228" t="s">
        <v>1073</v>
      </c>
      <c r="H96" s="231" t="s">
        <v>1074</v>
      </c>
      <c r="I96" s="228" t="s">
        <v>1069</v>
      </c>
      <c r="J96" s="228" t="s">
        <v>861</v>
      </c>
      <c r="K96" s="220"/>
    </row>
    <row r="97" spans="3:11" ht="15.75" hidden="1">
      <c r="C97" s="222"/>
      <c r="D97" s="228"/>
      <c r="E97" s="228"/>
      <c r="F97" s="228"/>
      <c r="G97" s="228"/>
      <c r="H97" s="231"/>
      <c r="I97" s="228"/>
      <c r="J97" s="228"/>
      <c r="K97" s="220"/>
    </row>
    <row r="98" spans="3:11" ht="15.75" hidden="1">
      <c r="C98" s="231">
        <v>2005</v>
      </c>
      <c r="D98" s="228"/>
      <c r="E98" s="228"/>
      <c r="F98" s="228"/>
      <c r="G98" s="228"/>
      <c r="H98" s="231"/>
      <c r="I98" s="228"/>
      <c r="J98" s="228"/>
      <c r="K98" s="220"/>
    </row>
    <row r="99" spans="3:11" ht="15.75" hidden="1">
      <c r="C99" s="231"/>
      <c r="D99" s="228"/>
      <c r="E99" s="228"/>
      <c r="F99" s="228"/>
      <c r="G99" s="228"/>
      <c r="H99" s="231"/>
      <c r="I99" s="228"/>
      <c r="J99" s="228"/>
      <c r="K99" s="220"/>
    </row>
    <row r="100" spans="3:11" ht="15.75" hidden="1">
      <c r="C100" s="233" t="s">
        <v>298</v>
      </c>
      <c r="D100" s="228" t="s">
        <v>254</v>
      </c>
      <c r="E100" s="228" t="s">
        <v>121</v>
      </c>
      <c r="F100" s="228" t="s">
        <v>221</v>
      </c>
      <c r="G100" s="228" t="s">
        <v>1073</v>
      </c>
      <c r="H100" s="231" t="s">
        <v>1074</v>
      </c>
      <c r="I100" s="228" t="s">
        <v>1069</v>
      </c>
      <c r="J100" s="228" t="s">
        <v>861</v>
      </c>
      <c r="K100" s="220"/>
    </row>
    <row r="101" spans="3:11" ht="15.75" hidden="1">
      <c r="C101" s="222" t="s">
        <v>299</v>
      </c>
      <c r="D101" s="228" t="s">
        <v>254</v>
      </c>
      <c r="E101" s="227" t="s">
        <v>633</v>
      </c>
      <c r="F101" s="228" t="s">
        <v>221</v>
      </c>
      <c r="G101" s="228" t="s">
        <v>1073</v>
      </c>
      <c r="H101" s="231" t="s">
        <v>1074</v>
      </c>
      <c r="I101" s="228" t="s">
        <v>1069</v>
      </c>
      <c r="J101" s="228" t="s">
        <v>861</v>
      </c>
      <c r="K101" s="220"/>
    </row>
    <row r="102" spans="3:11" hidden="1">
      <c r="C102" s="222" t="s">
        <v>300</v>
      </c>
      <c r="D102" s="228" t="s">
        <v>254</v>
      </c>
      <c r="E102" s="228" t="s">
        <v>254</v>
      </c>
      <c r="F102" s="228" t="s">
        <v>633</v>
      </c>
      <c r="G102" s="228" t="s">
        <v>221</v>
      </c>
      <c r="H102" s="228" t="s">
        <v>1073</v>
      </c>
      <c r="I102" s="231" t="s">
        <v>1074</v>
      </c>
      <c r="J102" s="228" t="s">
        <v>1069</v>
      </c>
      <c r="K102" s="228"/>
    </row>
    <row r="103" spans="3:11" ht="15.75" hidden="1">
      <c r="C103" s="222" t="s">
        <v>301</v>
      </c>
      <c r="D103" s="227" t="s">
        <v>254</v>
      </c>
      <c r="E103" s="227" t="s">
        <v>633</v>
      </c>
      <c r="F103" s="228">
        <v>12</v>
      </c>
      <c r="G103" s="228">
        <v>14</v>
      </c>
      <c r="H103" s="224" t="s">
        <v>1074</v>
      </c>
      <c r="I103" s="227" t="s">
        <v>1069</v>
      </c>
      <c r="J103" s="228">
        <v>15</v>
      </c>
      <c r="K103" s="220"/>
    </row>
    <row r="104" spans="3:11" ht="15.75" hidden="1">
      <c r="C104" s="222" t="s">
        <v>302</v>
      </c>
      <c r="D104" s="227" t="s">
        <v>254</v>
      </c>
      <c r="E104" s="227" t="s">
        <v>633</v>
      </c>
      <c r="F104" s="228">
        <v>12</v>
      </c>
      <c r="G104" s="228">
        <v>14</v>
      </c>
      <c r="H104" s="224" t="s">
        <v>1074</v>
      </c>
      <c r="I104" s="227" t="s">
        <v>1069</v>
      </c>
      <c r="J104" s="228">
        <v>15</v>
      </c>
      <c r="K104" s="220"/>
    </row>
    <row r="105" spans="3:11" ht="15.75" hidden="1">
      <c r="C105" s="222" t="s">
        <v>303</v>
      </c>
      <c r="D105" s="228" t="s">
        <v>254</v>
      </c>
      <c r="E105" s="228" t="s">
        <v>633</v>
      </c>
      <c r="F105" s="228" t="s">
        <v>221</v>
      </c>
      <c r="G105" s="228" t="s">
        <v>1073</v>
      </c>
      <c r="H105" s="231" t="s">
        <v>1074</v>
      </c>
      <c r="I105" s="228" t="s">
        <v>1069</v>
      </c>
      <c r="J105" s="228" t="s">
        <v>861</v>
      </c>
      <c r="K105" s="220"/>
    </row>
    <row r="106" spans="3:11" ht="15.75" hidden="1">
      <c r="C106" s="222" t="s">
        <v>304</v>
      </c>
      <c r="D106" s="228" t="s">
        <v>254</v>
      </c>
      <c r="E106" s="228" t="s">
        <v>633</v>
      </c>
      <c r="F106" s="228" t="s">
        <v>221</v>
      </c>
      <c r="G106" s="228" t="s">
        <v>1073</v>
      </c>
      <c r="H106" s="231" t="s">
        <v>1074</v>
      </c>
      <c r="I106" s="228" t="s">
        <v>1069</v>
      </c>
      <c r="J106" s="228" t="s">
        <v>861</v>
      </c>
      <c r="K106" s="220"/>
    </row>
    <row r="107" spans="3:11" ht="15.75" hidden="1">
      <c r="C107" s="222" t="s">
        <v>305</v>
      </c>
      <c r="D107" s="228" t="s">
        <v>254</v>
      </c>
      <c r="E107" s="228" t="s">
        <v>633</v>
      </c>
      <c r="F107" s="228" t="s">
        <v>221</v>
      </c>
      <c r="G107" s="228" t="s">
        <v>1073</v>
      </c>
      <c r="H107" s="231" t="s">
        <v>1074</v>
      </c>
      <c r="I107" s="228" t="s">
        <v>1069</v>
      </c>
      <c r="J107" s="228" t="s">
        <v>861</v>
      </c>
      <c r="K107" s="220"/>
    </row>
    <row r="108" spans="3:11" ht="15.75" hidden="1">
      <c r="C108" s="222" t="s">
        <v>306</v>
      </c>
      <c r="D108" s="228" t="s">
        <v>254</v>
      </c>
      <c r="E108" s="228" t="s">
        <v>633</v>
      </c>
      <c r="F108" s="228" t="s">
        <v>221</v>
      </c>
      <c r="G108" s="228" t="s">
        <v>1073</v>
      </c>
      <c r="H108" s="231" t="s">
        <v>1074</v>
      </c>
      <c r="I108" s="228" t="s">
        <v>1069</v>
      </c>
      <c r="J108" s="228" t="s">
        <v>861</v>
      </c>
      <c r="K108" s="220"/>
    </row>
    <row r="109" spans="3:11" hidden="1">
      <c r="C109" s="222" t="s">
        <v>307</v>
      </c>
      <c r="D109" s="228" t="s">
        <v>254</v>
      </c>
      <c r="E109" s="228" t="s">
        <v>633</v>
      </c>
      <c r="F109" s="228" t="s">
        <v>221</v>
      </c>
      <c r="G109" s="228" t="s">
        <v>1073</v>
      </c>
      <c r="H109" s="231" t="s">
        <v>1074</v>
      </c>
      <c r="I109" s="228" t="s">
        <v>1069</v>
      </c>
      <c r="J109" s="228" t="s">
        <v>861</v>
      </c>
      <c r="K109" s="228"/>
    </row>
    <row r="110" spans="3:11" ht="15.75" hidden="1">
      <c r="C110" s="222" t="s">
        <v>308</v>
      </c>
      <c r="D110" s="228" t="s">
        <v>254</v>
      </c>
      <c r="E110" s="228" t="s">
        <v>633</v>
      </c>
      <c r="F110" s="228" t="s">
        <v>221</v>
      </c>
      <c r="G110" s="228" t="s">
        <v>1073</v>
      </c>
      <c r="H110" s="231" t="s">
        <v>1074</v>
      </c>
      <c r="I110" s="228" t="s">
        <v>1069</v>
      </c>
      <c r="J110" s="228" t="s">
        <v>861</v>
      </c>
      <c r="K110" s="220"/>
    </row>
    <row r="111" spans="3:11" ht="15.75" hidden="1">
      <c r="C111" s="222" t="s">
        <v>311</v>
      </c>
      <c r="D111" s="228" t="s">
        <v>254</v>
      </c>
      <c r="E111" s="228" t="s">
        <v>633</v>
      </c>
      <c r="F111" s="228" t="s">
        <v>221</v>
      </c>
      <c r="G111" s="228" t="s">
        <v>1073</v>
      </c>
      <c r="H111" s="231" t="s">
        <v>1074</v>
      </c>
      <c r="I111" s="228" t="s">
        <v>1069</v>
      </c>
      <c r="J111" s="228" t="s">
        <v>861</v>
      </c>
      <c r="K111" s="220"/>
    </row>
    <row r="112" spans="3:11" ht="15.75" hidden="1">
      <c r="C112" s="222"/>
      <c r="D112" s="228"/>
      <c r="E112" s="228"/>
      <c r="F112" s="228"/>
      <c r="G112" s="228"/>
      <c r="H112" s="231"/>
      <c r="I112" s="228"/>
      <c r="J112" s="228"/>
      <c r="K112" s="220"/>
    </row>
    <row r="113" spans="3:11" ht="15.75" hidden="1">
      <c r="C113" s="231">
        <v>2006</v>
      </c>
      <c r="D113" s="228"/>
      <c r="E113" s="228"/>
      <c r="F113" s="228"/>
      <c r="G113" s="228"/>
      <c r="H113" s="231"/>
      <c r="I113" s="228"/>
      <c r="J113" s="228"/>
      <c r="K113" s="220"/>
    </row>
    <row r="114" spans="3:11" ht="15.75" hidden="1">
      <c r="C114" s="222"/>
      <c r="D114" s="228"/>
      <c r="E114" s="228"/>
      <c r="F114" s="228"/>
      <c r="G114" s="228"/>
      <c r="H114" s="231"/>
      <c r="I114" s="228"/>
      <c r="J114" s="228"/>
      <c r="K114" s="220"/>
    </row>
    <row r="115" spans="3:11" ht="15.75" hidden="1">
      <c r="C115" s="222" t="s">
        <v>298</v>
      </c>
      <c r="D115" s="228" t="s">
        <v>254</v>
      </c>
      <c r="E115" s="228" t="s">
        <v>633</v>
      </c>
      <c r="F115" s="228" t="s">
        <v>221</v>
      </c>
      <c r="G115" s="228" t="s">
        <v>1073</v>
      </c>
      <c r="H115" s="231" t="s">
        <v>1074</v>
      </c>
      <c r="I115" s="228" t="s">
        <v>1069</v>
      </c>
      <c r="J115" s="228" t="s">
        <v>861</v>
      </c>
      <c r="K115" s="220"/>
    </row>
    <row r="116" spans="3:11" ht="15.75" hidden="1">
      <c r="C116" s="222" t="s">
        <v>299</v>
      </c>
      <c r="D116" s="228" t="s">
        <v>254</v>
      </c>
      <c r="E116" s="228" t="s">
        <v>633</v>
      </c>
      <c r="F116" s="228" t="s">
        <v>221</v>
      </c>
      <c r="G116" s="228" t="s">
        <v>1073</v>
      </c>
      <c r="H116" s="231" t="s">
        <v>1074</v>
      </c>
      <c r="I116" s="228" t="s">
        <v>1069</v>
      </c>
      <c r="J116" s="228" t="s">
        <v>861</v>
      </c>
      <c r="K116" s="220"/>
    </row>
    <row r="117" spans="3:11" ht="15.75" hidden="1">
      <c r="C117" s="222" t="s">
        <v>300</v>
      </c>
      <c r="D117" s="228" t="s">
        <v>254</v>
      </c>
      <c r="E117" s="228" t="s">
        <v>633</v>
      </c>
      <c r="F117" s="228" t="s">
        <v>221</v>
      </c>
      <c r="G117" s="228" t="s">
        <v>1073</v>
      </c>
      <c r="H117" s="231" t="s">
        <v>1074</v>
      </c>
      <c r="I117" s="228" t="s">
        <v>1069</v>
      </c>
      <c r="J117" s="228" t="s">
        <v>861</v>
      </c>
      <c r="K117" s="220"/>
    </row>
    <row r="118" spans="3:11" ht="15.75" hidden="1">
      <c r="C118" s="222" t="s">
        <v>301</v>
      </c>
      <c r="D118" s="228" t="s">
        <v>254</v>
      </c>
      <c r="E118" s="228" t="s">
        <v>633</v>
      </c>
      <c r="F118" s="228" t="s">
        <v>221</v>
      </c>
      <c r="G118" s="228" t="s">
        <v>1073</v>
      </c>
      <c r="H118" s="231" t="s">
        <v>1074</v>
      </c>
      <c r="I118" s="228" t="s">
        <v>1069</v>
      </c>
      <c r="J118" s="228" t="s">
        <v>861</v>
      </c>
      <c r="K118" s="220"/>
    </row>
    <row r="119" spans="3:11" ht="15.75" hidden="1">
      <c r="C119" s="222" t="s">
        <v>302</v>
      </c>
      <c r="D119" s="228" t="s">
        <v>254</v>
      </c>
      <c r="E119" s="228" t="s">
        <v>633</v>
      </c>
      <c r="F119" s="228" t="s">
        <v>221</v>
      </c>
      <c r="G119" s="228" t="s">
        <v>1073</v>
      </c>
      <c r="H119" s="231" t="s">
        <v>1074</v>
      </c>
      <c r="I119" s="228" t="s">
        <v>1069</v>
      </c>
      <c r="J119" s="228" t="s">
        <v>861</v>
      </c>
      <c r="K119" s="220"/>
    </row>
    <row r="120" spans="3:11" ht="15.75" hidden="1">
      <c r="C120" s="222" t="s">
        <v>303</v>
      </c>
      <c r="D120" s="228" t="s">
        <v>254</v>
      </c>
      <c r="E120" s="228" t="s">
        <v>633</v>
      </c>
      <c r="F120" s="228" t="s">
        <v>221</v>
      </c>
      <c r="G120" s="228" t="s">
        <v>1073</v>
      </c>
      <c r="H120" s="231" t="s">
        <v>1074</v>
      </c>
      <c r="I120" s="228" t="s">
        <v>1069</v>
      </c>
      <c r="J120" s="228" t="s">
        <v>861</v>
      </c>
      <c r="K120" s="220"/>
    </row>
    <row r="121" spans="3:11" ht="15.75" hidden="1">
      <c r="C121" s="222" t="s">
        <v>304</v>
      </c>
      <c r="D121" s="228" t="s">
        <v>254</v>
      </c>
      <c r="E121" s="228" t="s">
        <v>633</v>
      </c>
      <c r="F121" s="228" t="s">
        <v>221</v>
      </c>
      <c r="G121" s="228" t="s">
        <v>1073</v>
      </c>
      <c r="H121" s="231" t="s">
        <v>1074</v>
      </c>
      <c r="I121" s="228" t="s">
        <v>1069</v>
      </c>
      <c r="J121" s="228" t="s">
        <v>861</v>
      </c>
      <c r="K121" s="220"/>
    </row>
    <row r="122" spans="3:11" ht="15.75" hidden="1">
      <c r="C122" s="222" t="s">
        <v>305</v>
      </c>
      <c r="D122" s="228" t="s">
        <v>254</v>
      </c>
      <c r="E122" s="228" t="s">
        <v>633</v>
      </c>
      <c r="F122" s="228" t="s">
        <v>221</v>
      </c>
      <c r="G122" s="228" t="s">
        <v>1073</v>
      </c>
      <c r="H122" s="231" t="s">
        <v>1074</v>
      </c>
      <c r="I122" s="228" t="s">
        <v>1069</v>
      </c>
      <c r="J122" s="228" t="s">
        <v>861</v>
      </c>
      <c r="K122" s="220"/>
    </row>
    <row r="123" spans="3:11" ht="15.75" hidden="1">
      <c r="C123" s="222" t="s">
        <v>306</v>
      </c>
      <c r="D123" s="228" t="s">
        <v>254</v>
      </c>
      <c r="E123" s="228" t="s">
        <v>633</v>
      </c>
      <c r="F123" s="228" t="s">
        <v>221</v>
      </c>
      <c r="G123" s="228" t="s">
        <v>1073</v>
      </c>
      <c r="H123" s="231" t="s">
        <v>1074</v>
      </c>
      <c r="I123" s="228" t="s">
        <v>1069</v>
      </c>
      <c r="J123" s="228" t="s">
        <v>861</v>
      </c>
      <c r="K123" s="220"/>
    </row>
    <row r="124" spans="3:11" ht="15.75" hidden="1">
      <c r="C124" s="222" t="s">
        <v>307</v>
      </c>
      <c r="D124" s="228" t="s">
        <v>254</v>
      </c>
      <c r="E124" s="228" t="s">
        <v>633</v>
      </c>
      <c r="F124" s="228" t="s">
        <v>221</v>
      </c>
      <c r="G124" s="228" t="s">
        <v>1073</v>
      </c>
      <c r="H124" s="231" t="s">
        <v>1074</v>
      </c>
      <c r="I124" s="228" t="s">
        <v>1069</v>
      </c>
      <c r="J124" s="228" t="s">
        <v>861</v>
      </c>
      <c r="K124" s="220"/>
    </row>
    <row r="125" spans="3:11" ht="15.75" hidden="1">
      <c r="C125" s="222" t="s">
        <v>308</v>
      </c>
      <c r="D125" s="228" t="s">
        <v>254</v>
      </c>
      <c r="E125" s="228" t="s">
        <v>633</v>
      </c>
      <c r="F125" s="228" t="s">
        <v>221</v>
      </c>
      <c r="G125" s="228" t="s">
        <v>1073</v>
      </c>
      <c r="H125" s="231" t="s">
        <v>1074</v>
      </c>
      <c r="I125" s="228" t="s">
        <v>1069</v>
      </c>
      <c r="J125" s="228" t="s">
        <v>861</v>
      </c>
      <c r="K125" s="220"/>
    </row>
    <row r="126" spans="3:11" ht="15.75" hidden="1">
      <c r="C126" s="222" t="s">
        <v>311</v>
      </c>
      <c r="D126" s="228" t="s">
        <v>254</v>
      </c>
      <c r="E126" s="228" t="s">
        <v>633</v>
      </c>
      <c r="F126" s="228" t="s">
        <v>221</v>
      </c>
      <c r="G126" s="228" t="s">
        <v>1073</v>
      </c>
      <c r="H126" s="231" t="s">
        <v>1074</v>
      </c>
      <c r="I126" s="228" t="s">
        <v>1069</v>
      </c>
      <c r="J126" s="228" t="s">
        <v>861</v>
      </c>
      <c r="K126" s="220"/>
    </row>
    <row r="127" spans="3:11" ht="15.75" hidden="1">
      <c r="C127" s="222"/>
      <c r="D127" s="228"/>
      <c r="E127" s="228"/>
      <c r="F127" s="228"/>
      <c r="G127" s="228"/>
      <c r="H127" s="231"/>
      <c r="I127" s="228"/>
      <c r="J127" s="228"/>
      <c r="K127" s="220"/>
    </row>
    <row r="128" spans="3:11" ht="15.75">
      <c r="C128" s="224">
        <v>2007</v>
      </c>
      <c r="D128" s="228"/>
      <c r="E128" s="228"/>
      <c r="F128" s="228"/>
      <c r="G128" s="228"/>
      <c r="H128" s="231"/>
      <c r="I128" s="228"/>
      <c r="J128" s="228"/>
      <c r="K128" s="220"/>
    </row>
    <row r="129" spans="3:11" ht="15.75">
      <c r="C129" s="222"/>
      <c r="D129" s="228"/>
      <c r="E129" s="228"/>
      <c r="F129" s="228"/>
      <c r="G129" s="228"/>
      <c r="H129" s="231"/>
      <c r="I129" s="228"/>
      <c r="J129" s="228"/>
      <c r="K129" s="220"/>
    </row>
    <row r="130" spans="3:11" ht="15.75">
      <c r="C130" s="222" t="s">
        <v>298</v>
      </c>
      <c r="D130" s="228" t="s">
        <v>254</v>
      </c>
      <c r="E130" s="228" t="s">
        <v>633</v>
      </c>
      <c r="F130" s="228" t="s">
        <v>221</v>
      </c>
      <c r="G130" s="228" t="s">
        <v>1073</v>
      </c>
      <c r="H130" s="231" t="s">
        <v>1074</v>
      </c>
      <c r="I130" s="228" t="s">
        <v>1069</v>
      </c>
      <c r="J130" s="228" t="s">
        <v>861</v>
      </c>
      <c r="K130" s="220"/>
    </row>
    <row r="131" spans="3:11" ht="15.75">
      <c r="C131" s="222" t="s">
        <v>299</v>
      </c>
      <c r="D131" s="228" t="s">
        <v>254</v>
      </c>
      <c r="E131" s="228" t="s">
        <v>633</v>
      </c>
      <c r="F131" s="228" t="s">
        <v>221</v>
      </c>
      <c r="G131" s="228" t="s">
        <v>1073</v>
      </c>
      <c r="H131" s="231" t="s">
        <v>1074</v>
      </c>
      <c r="I131" s="228" t="s">
        <v>1069</v>
      </c>
      <c r="J131" s="228" t="s">
        <v>861</v>
      </c>
      <c r="K131" s="220"/>
    </row>
    <row r="132" spans="3:11" ht="15.75">
      <c r="C132" s="222" t="s">
        <v>300</v>
      </c>
      <c r="D132" s="228" t="s">
        <v>254</v>
      </c>
      <c r="E132" s="228" t="s">
        <v>633</v>
      </c>
      <c r="F132" s="228" t="s">
        <v>221</v>
      </c>
      <c r="G132" s="228" t="s">
        <v>1073</v>
      </c>
      <c r="H132" s="231" t="s">
        <v>1074</v>
      </c>
      <c r="I132" s="228" t="s">
        <v>1069</v>
      </c>
      <c r="J132" s="228" t="s">
        <v>861</v>
      </c>
      <c r="K132" s="220"/>
    </row>
    <row r="133" spans="3:11" ht="15.75">
      <c r="C133" s="222" t="s">
        <v>301</v>
      </c>
      <c r="D133" s="228" t="s">
        <v>254</v>
      </c>
      <c r="E133" s="228" t="s">
        <v>633</v>
      </c>
      <c r="F133" s="228" t="s">
        <v>221</v>
      </c>
      <c r="G133" s="228" t="s">
        <v>1073</v>
      </c>
      <c r="H133" s="231" t="s">
        <v>1074</v>
      </c>
      <c r="I133" s="228" t="s">
        <v>1069</v>
      </c>
      <c r="J133" s="228" t="s">
        <v>861</v>
      </c>
      <c r="K133" s="220"/>
    </row>
    <row r="134" spans="3:11" ht="15.75">
      <c r="C134" s="222" t="s">
        <v>302</v>
      </c>
      <c r="D134" s="228" t="s">
        <v>254</v>
      </c>
      <c r="E134" s="228" t="s">
        <v>633</v>
      </c>
      <c r="F134" s="228" t="s">
        <v>221</v>
      </c>
      <c r="G134" s="228" t="s">
        <v>1073</v>
      </c>
      <c r="H134" s="231" t="s">
        <v>1074</v>
      </c>
      <c r="I134" s="228" t="s">
        <v>1069</v>
      </c>
      <c r="J134" s="228" t="s">
        <v>861</v>
      </c>
      <c r="K134" s="220"/>
    </row>
    <row r="135" spans="3:11" ht="15.75">
      <c r="C135" s="222" t="s">
        <v>303</v>
      </c>
      <c r="D135" s="228" t="s">
        <v>254</v>
      </c>
      <c r="E135" s="228" t="s">
        <v>633</v>
      </c>
      <c r="F135" s="228" t="s">
        <v>221</v>
      </c>
      <c r="G135" s="228" t="s">
        <v>1073</v>
      </c>
      <c r="H135" s="231" t="s">
        <v>1074</v>
      </c>
      <c r="I135" s="228" t="s">
        <v>1069</v>
      </c>
      <c r="J135" s="228" t="s">
        <v>861</v>
      </c>
      <c r="K135" s="220"/>
    </row>
    <row r="136" spans="3:11" ht="15.75">
      <c r="C136" s="222" t="s">
        <v>304</v>
      </c>
      <c r="D136" s="228" t="s">
        <v>254</v>
      </c>
      <c r="E136" s="228" t="s">
        <v>633</v>
      </c>
      <c r="F136" s="228" t="s">
        <v>221</v>
      </c>
      <c r="G136" s="228" t="s">
        <v>1073</v>
      </c>
      <c r="H136" s="231" t="s">
        <v>1074</v>
      </c>
      <c r="I136" s="228" t="s">
        <v>1069</v>
      </c>
      <c r="J136" s="228" t="s">
        <v>861</v>
      </c>
      <c r="K136" s="220"/>
    </row>
    <row r="137" spans="3:11" ht="15.75">
      <c r="C137" s="222" t="s">
        <v>305</v>
      </c>
      <c r="D137" s="228" t="s">
        <v>254</v>
      </c>
      <c r="E137" s="228" t="s">
        <v>633</v>
      </c>
      <c r="F137" s="228" t="s">
        <v>221</v>
      </c>
      <c r="G137" s="228" t="s">
        <v>1073</v>
      </c>
      <c r="H137" s="231" t="s">
        <v>1074</v>
      </c>
      <c r="I137" s="228" t="s">
        <v>1069</v>
      </c>
      <c r="J137" s="228" t="s">
        <v>861</v>
      </c>
      <c r="K137" s="220"/>
    </row>
    <row r="138" spans="3:11" ht="15.75">
      <c r="C138" s="222" t="s">
        <v>306</v>
      </c>
      <c r="D138" s="228" t="s">
        <v>254</v>
      </c>
      <c r="E138" s="228" t="s">
        <v>633</v>
      </c>
      <c r="F138" s="228" t="s">
        <v>221</v>
      </c>
      <c r="G138" s="228" t="s">
        <v>1073</v>
      </c>
      <c r="H138" s="231" t="s">
        <v>1074</v>
      </c>
      <c r="I138" s="228" t="s">
        <v>1069</v>
      </c>
      <c r="J138" s="228" t="s">
        <v>861</v>
      </c>
      <c r="K138" s="220"/>
    </row>
    <row r="139" spans="3:11" ht="15.75">
      <c r="C139" s="222" t="s">
        <v>307</v>
      </c>
      <c r="D139" s="228" t="s">
        <v>254</v>
      </c>
      <c r="E139" s="228" t="s">
        <v>633</v>
      </c>
      <c r="F139" s="228" t="s">
        <v>221</v>
      </c>
      <c r="G139" s="228" t="s">
        <v>1073</v>
      </c>
      <c r="H139" s="231" t="s">
        <v>1074</v>
      </c>
      <c r="I139" s="228" t="s">
        <v>1069</v>
      </c>
      <c r="J139" s="228" t="s">
        <v>861</v>
      </c>
      <c r="K139" s="220"/>
    </row>
    <row r="140" spans="3:11" ht="15.75">
      <c r="C140" s="222" t="s">
        <v>308</v>
      </c>
      <c r="D140" s="228" t="s">
        <v>254</v>
      </c>
      <c r="E140" s="228" t="s">
        <v>633</v>
      </c>
      <c r="F140" s="228" t="s">
        <v>221</v>
      </c>
      <c r="G140" s="228" t="s">
        <v>1073</v>
      </c>
      <c r="H140" s="231" t="s">
        <v>1074</v>
      </c>
      <c r="I140" s="228" t="s">
        <v>1069</v>
      </c>
      <c r="J140" s="228" t="s">
        <v>861</v>
      </c>
      <c r="K140" s="220"/>
    </row>
    <row r="141" spans="3:11" ht="15.75">
      <c r="C141" s="222" t="s">
        <v>311</v>
      </c>
      <c r="D141" s="228" t="s">
        <v>254</v>
      </c>
      <c r="E141" s="228" t="s">
        <v>633</v>
      </c>
      <c r="F141" s="228" t="s">
        <v>221</v>
      </c>
      <c r="G141" s="228" t="s">
        <v>1073</v>
      </c>
      <c r="H141" s="231" t="s">
        <v>1074</v>
      </c>
      <c r="I141" s="228" t="s">
        <v>1069</v>
      </c>
      <c r="J141" s="228" t="s">
        <v>861</v>
      </c>
      <c r="K141" s="220"/>
    </row>
    <row r="142" spans="3:11" ht="15.75">
      <c r="C142" s="222"/>
      <c r="D142" s="228"/>
      <c r="E142" s="228"/>
      <c r="F142" s="228"/>
      <c r="G142" s="228"/>
      <c r="H142" s="231"/>
      <c r="I142" s="228"/>
      <c r="J142" s="228"/>
      <c r="K142" s="220"/>
    </row>
    <row r="143" spans="3:11" ht="15.75">
      <c r="C143" s="224">
        <v>2008</v>
      </c>
      <c r="D143" s="228"/>
      <c r="E143" s="228"/>
      <c r="F143" s="228"/>
      <c r="G143" s="228"/>
      <c r="H143" s="231"/>
      <c r="I143" s="228"/>
      <c r="J143" s="228"/>
      <c r="K143" s="220"/>
    </row>
    <row r="144" spans="3:11" ht="15.75">
      <c r="C144" s="222"/>
      <c r="D144" s="228"/>
      <c r="E144" s="228"/>
      <c r="F144" s="228"/>
      <c r="G144" s="228"/>
      <c r="H144" s="231"/>
      <c r="I144" s="228"/>
      <c r="J144" s="228"/>
      <c r="K144" s="220"/>
    </row>
    <row r="145" spans="3:11" ht="15.75">
      <c r="C145" s="222" t="s">
        <v>298</v>
      </c>
      <c r="D145" s="228" t="s">
        <v>254</v>
      </c>
      <c r="E145" s="228" t="s">
        <v>633</v>
      </c>
      <c r="F145" s="228" t="s">
        <v>221</v>
      </c>
      <c r="G145" s="228" t="s">
        <v>1073</v>
      </c>
      <c r="H145" s="231" t="s">
        <v>1074</v>
      </c>
      <c r="I145" s="228" t="s">
        <v>1069</v>
      </c>
      <c r="J145" s="228" t="s">
        <v>861</v>
      </c>
      <c r="K145" s="220"/>
    </row>
    <row r="146" spans="3:11" ht="15.75">
      <c r="C146" s="222" t="s">
        <v>299</v>
      </c>
      <c r="D146" s="228" t="s">
        <v>254</v>
      </c>
      <c r="E146" s="228" t="s">
        <v>633</v>
      </c>
      <c r="F146" s="228" t="s">
        <v>221</v>
      </c>
      <c r="G146" s="228" t="s">
        <v>1073</v>
      </c>
      <c r="H146" s="231" t="s">
        <v>1074</v>
      </c>
      <c r="I146" s="228" t="s">
        <v>1069</v>
      </c>
      <c r="J146" s="228" t="s">
        <v>861</v>
      </c>
      <c r="K146" s="220"/>
    </row>
    <row r="147" spans="3:11" ht="15.75">
      <c r="C147" s="222" t="s">
        <v>300</v>
      </c>
      <c r="D147" s="228" t="s">
        <v>254</v>
      </c>
      <c r="E147" s="228" t="s">
        <v>633</v>
      </c>
      <c r="F147" s="228" t="s">
        <v>221</v>
      </c>
      <c r="G147" s="228" t="s">
        <v>1073</v>
      </c>
      <c r="H147" s="231" t="s">
        <v>1074</v>
      </c>
      <c r="I147" s="228" t="s">
        <v>1069</v>
      </c>
      <c r="J147" s="228" t="s">
        <v>861</v>
      </c>
      <c r="K147" s="220"/>
    </row>
    <row r="148" spans="3:11" ht="15.75">
      <c r="C148" s="222" t="s">
        <v>301</v>
      </c>
      <c r="D148" s="228" t="s">
        <v>254</v>
      </c>
      <c r="E148" s="228" t="s">
        <v>633</v>
      </c>
      <c r="F148" s="228" t="s">
        <v>221</v>
      </c>
      <c r="G148" s="228" t="s">
        <v>1073</v>
      </c>
      <c r="H148" s="231" t="s">
        <v>1074</v>
      </c>
      <c r="I148" s="228" t="s">
        <v>1069</v>
      </c>
      <c r="J148" s="228" t="s">
        <v>861</v>
      </c>
      <c r="K148" s="220"/>
    </row>
    <row r="149" spans="3:11" ht="15.75">
      <c r="C149" s="222" t="s">
        <v>302</v>
      </c>
      <c r="D149" s="228" t="s">
        <v>254</v>
      </c>
      <c r="E149" s="228" t="s">
        <v>633</v>
      </c>
      <c r="F149" s="228" t="s">
        <v>221</v>
      </c>
      <c r="G149" s="228" t="s">
        <v>1073</v>
      </c>
      <c r="H149" s="231" t="s">
        <v>1074</v>
      </c>
      <c r="I149" s="228" t="s">
        <v>1069</v>
      </c>
      <c r="J149" s="228" t="s">
        <v>861</v>
      </c>
      <c r="K149" s="220"/>
    </row>
    <row r="150" spans="3:11" ht="15.75">
      <c r="C150" s="222" t="s">
        <v>303</v>
      </c>
      <c r="D150" s="228" t="s">
        <v>254</v>
      </c>
      <c r="E150" s="228" t="s">
        <v>633</v>
      </c>
      <c r="F150" s="228" t="s">
        <v>221</v>
      </c>
      <c r="G150" s="228" t="s">
        <v>1073</v>
      </c>
      <c r="H150" s="231" t="s">
        <v>1074</v>
      </c>
      <c r="I150" s="228" t="s">
        <v>1069</v>
      </c>
      <c r="J150" s="228" t="s">
        <v>861</v>
      </c>
      <c r="K150" s="220"/>
    </row>
    <row r="151" spans="3:11" ht="15.75">
      <c r="C151" s="222" t="s">
        <v>304</v>
      </c>
      <c r="D151" s="228" t="s">
        <v>254</v>
      </c>
      <c r="E151" s="228" t="s">
        <v>633</v>
      </c>
      <c r="F151" s="228" t="s">
        <v>221</v>
      </c>
      <c r="G151" s="228" t="s">
        <v>1073</v>
      </c>
      <c r="H151" s="231" t="s">
        <v>1074</v>
      </c>
      <c r="I151" s="228" t="s">
        <v>1069</v>
      </c>
      <c r="J151" s="228" t="s">
        <v>861</v>
      </c>
      <c r="K151" s="220"/>
    </row>
    <row r="152" spans="3:11" ht="15.75">
      <c r="C152" s="222" t="s">
        <v>305</v>
      </c>
      <c r="D152" s="228" t="s">
        <v>254</v>
      </c>
      <c r="E152" s="228" t="s">
        <v>633</v>
      </c>
      <c r="F152" s="228" t="s">
        <v>221</v>
      </c>
      <c r="G152" s="228" t="s">
        <v>1073</v>
      </c>
      <c r="H152" s="231" t="s">
        <v>1074</v>
      </c>
      <c r="I152" s="228" t="s">
        <v>1069</v>
      </c>
      <c r="J152" s="228" t="s">
        <v>861</v>
      </c>
      <c r="K152" s="220"/>
    </row>
    <row r="153" spans="3:11" ht="15.75">
      <c r="C153" s="222" t="s">
        <v>306</v>
      </c>
      <c r="D153" s="228" t="s">
        <v>254</v>
      </c>
      <c r="E153" s="228" t="s">
        <v>633</v>
      </c>
      <c r="F153" s="228" t="s">
        <v>221</v>
      </c>
      <c r="G153" s="228" t="s">
        <v>1073</v>
      </c>
      <c r="H153" s="231" t="s">
        <v>1074</v>
      </c>
      <c r="I153" s="228" t="s">
        <v>1069</v>
      </c>
      <c r="J153" s="228" t="s">
        <v>861</v>
      </c>
      <c r="K153" s="220"/>
    </row>
    <row r="154" spans="3:11" ht="15.75">
      <c r="C154" s="222" t="s">
        <v>307</v>
      </c>
      <c r="D154" s="228" t="s">
        <v>254</v>
      </c>
      <c r="E154" s="228" t="s">
        <v>633</v>
      </c>
      <c r="F154" s="228" t="s">
        <v>221</v>
      </c>
      <c r="G154" s="228" t="s">
        <v>1073</v>
      </c>
      <c r="H154" s="231" t="s">
        <v>1074</v>
      </c>
      <c r="I154" s="228" t="s">
        <v>1069</v>
      </c>
      <c r="J154" s="228" t="s">
        <v>861</v>
      </c>
      <c r="K154" s="220"/>
    </row>
    <row r="155" spans="3:11" ht="15.75">
      <c r="C155" s="222" t="s">
        <v>308</v>
      </c>
      <c r="D155" s="228" t="s">
        <v>254</v>
      </c>
      <c r="E155" s="228" t="s">
        <v>633</v>
      </c>
      <c r="F155" s="228" t="s">
        <v>221</v>
      </c>
      <c r="G155" s="228" t="s">
        <v>1073</v>
      </c>
      <c r="H155" s="231" t="s">
        <v>1074</v>
      </c>
      <c r="I155" s="228" t="s">
        <v>1069</v>
      </c>
      <c r="J155" s="228" t="s">
        <v>861</v>
      </c>
      <c r="K155" s="220"/>
    </row>
    <row r="156" spans="3:11" ht="15.75">
      <c r="C156" s="222"/>
      <c r="D156" s="228"/>
      <c r="E156" s="228"/>
      <c r="F156" s="228"/>
      <c r="G156" s="228"/>
      <c r="H156" s="231"/>
      <c r="I156" s="228"/>
      <c r="J156" s="228"/>
      <c r="K156" s="220"/>
    </row>
    <row r="157" spans="3:11" ht="15.75">
      <c r="C157" s="222"/>
      <c r="D157" s="228"/>
      <c r="E157" s="228"/>
      <c r="F157" s="228"/>
      <c r="G157" s="228"/>
      <c r="H157" s="231"/>
      <c r="I157" s="228"/>
      <c r="J157" s="228"/>
      <c r="K157" s="220"/>
    </row>
    <row r="158" spans="3:11" ht="15.75">
      <c r="C158" s="222"/>
      <c r="D158" s="228"/>
      <c r="E158" s="228"/>
      <c r="F158" s="228"/>
      <c r="G158" s="228"/>
      <c r="H158" s="231"/>
      <c r="I158" s="228"/>
      <c r="J158" s="228"/>
      <c r="K158" s="220"/>
    </row>
    <row r="159" spans="3:11" ht="15.75">
      <c r="C159" s="224">
        <v>2011</v>
      </c>
      <c r="D159" s="228"/>
      <c r="E159" s="228"/>
      <c r="F159" s="228"/>
      <c r="G159" s="228"/>
      <c r="H159" s="231"/>
      <c r="I159" s="228"/>
      <c r="J159" s="228"/>
      <c r="K159" s="220"/>
    </row>
    <row r="160" spans="3:11" ht="15.75">
      <c r="C160" s="222"/>
      <c r="D160" s="228"/>
      <c r="E160" s="228"/>
      <c r="F160" s="228"/>
      <c r="G160" s="228"/>
      <c r="H160" s="231"/>
      <c r="I160" s="228"/>
      <c r="J160" s="228"/>
      <c r="K160" s="220"/>
    </row>
    <row r="161" spans="3:11" ht="15.75">
      <c r="C161" s="222" t="s">
        <v>298</v>
      </c>
      <c r="D161" s="228"/>
      <c r="E161" s="228"/>
      <c r="F161" s="228"/>
      <c r="G161" s="228"/>
      <c r="H161" s="231"/>
      <c r="I161" s="228"/>
      <c r="J161" s="228"/>
      <c r="K161" s="220"/>
    </row>
    <row r="162" spans="3:11" ht="15.75">
      <c r="C162" s="222" t="s">
        <v>299</v>
      </c>
      <c r="D162" s="228"/>
      <c r="E162" s="228"/>
      <c r="F162" s="228"/>
      <c r="G162" s="228"/>
      <c r="H162" s="231"/>
      <c r="I162" s="228"/>
      <c r="J162" s="228"/>
      <c r="K162" s="220"/>
    </row>
    <row r="163" spans="3:11" ht="15.75">
      <c r="C163" s="222" t="s">
        <v>300</v>
      </c>
      <c r="D163" s="228"/>
      <c r="E163" s="228"/>
      <c r="F163" s="228"/>
      <c r="G163" s="228"/>
      <c r="H163" s="231"/>
      <c r="I163" s="228"/>
      <c r="J163" s="224" t="s">
        <v>724</v>
      </c>
      <c r="K163" s="220"/>
    </row>
    <row r="164" spans="3:11" ht="15.75">
      <c r="C164" s="222" t="s">
        <v>301</v>
      </c>
      <c r="D164" s="228"/>
      <c r="E164" s="228"/>
      <c r="F164" s="228"/>
      <c r="G164" s="228"/>
      <c r="H164" s="231"/>
      <c r="I164" s="228"/>
      <c r="J164" s="224" t="s">
        <v>724</v>
      </c>
      <c r="K164" s="220"/>
    </row>
    <row r="165" spans="3:11" ht="15.75">
      <c r="C165" s="222" t="s">
        <v>302</v>
      </c>
      <c r="D165" s="228"/>
      <c r="E165" s="228"/>
      <c r="F165" s="228"/>
      <c r="G165" s="228"/>
      <c r="H165" s="231"/>
      <c r="I165" s="228"/>
      <c r="J165" s="224" t="s">
        <v>724</v>
      </c>
      <c r="K165" s="220"/>
    </row>
    <row r="166" spans="3:11" ht="15.75">
      <c r="C166" s="222" t="s">
        <v>303</v>
      </c>
      <c r="D166" s="228"/>
      <c r="E166" s="228"/>
      <c r="F166" s="228"/>
      <c r="G166" s="228"/>
      <c r="H166" s="231"/>
      <c r="I166" s="228"/>
      <c r="J166" s="224" t="s">
        <v>724</v>
      </c>
      <c r="K166" s="220"/>
    </row>
    <row r="167" spans="3:11" ht="15.75">
      <c r="C167" s="222" t="s">
        <v>304</v>
      </c>
      <c r="D167" s="228"/>
      <c r="E167" s="228"/>
      <c r="F167" s="228"/>
      <c r="G167" s="228"/>
      <c r="H167" s="231"/>
      <c r="I167" s="228"/>
      <c r="J167" s="228"/>
      <c r="K167" s="220"/>
    </row>
    <row r="168" spans="3:11" ht="15.75" hidden="1">
      <c r="C168" s="222" t="s">
        <v>305</v>
      </c>
      <c r="D168" s="228"/>
      <c r="E168" s="228"/>
      <c r="F168" s="228"/>
      <c r="G168" s="228"/>
      <c r="H168" s="231"/>
      <c r="I168" s="228"/>
      <c r="J168" s="228"/>
      <c r="K168" s="220"/>
    </row>
    <row r="169" spans="3:11" ht="15.75" hidden="1">
      <c r="C169" s="222" t="s">
        <v>306</v>
      </c>
      <c r="D169" s="228"/>
      <c r="E169" s="228"/>
      <c r="F169" s="228"/>
      <c r="G169" s="228"/>
      <c r="H169" s="231"/>
      <c r="I169" s="228"/>
      <c r="J169" s="228"/>
      <c r="K169" s="220"/>
    </row>
    <row r="170" spans="3:11" ht="15.75" hidden="1">
      <c r="C170" s="222" t="s">
        <v>307</v>
      </c>
      <c r="D170" s="228"/>
      <c r="E170" s="228"/>
      <c r="F170" s="228"/>
      <c r="G170" s="228"/>
      <c r="H170" s="231"/>
      <c r="I170" s="228"/>
      <c r="J170" s="228"/>
      <c r="K170" s="220"/>
    </row>
    <row r="171" spans="3:11" ht="15.75" hidden="1">
      <c r="C171" s="222" t="s">
        <v>308</v>
      </c>
      <c r="D171" s="228"/>
      <c r="E171" s="228"/>
      <c r="F171" s="228"/>
      <c r="G171" s="228"/>
      <c r="H171" s="231"/>
      <c r="I171" s="228"/>
      <c r="J171" s="228"/>
      <c r="K171" s="220"/>
    </row>
    <row r="172" spans="3:11" ht="15.75" hidden="1">
      <c r="C172" s="222"/>
      <c r="D172" s="228"/>
      <c r="E172" s="228"/>
      <c r="F172" s="228"/>
      <c r="G172" s="228"/>
      <c r="H172" s="231"/>
      <c r="I172" s="228"/>
      <c r="J172" s="228"/>
      <c r="K172" s="220"/>
    </row>
    <row r="173" spans="3:11" ht="15.75" hidden="1">
      <c r="C173" s="222"/>
      <c r="D173" s="228"/>
      <c r="E173" s="228"/>
      <c r="F173" s="228"/>
      <c r="G173" s="228"/>
      <c r="H173" s="231"/>
      <c r="I173" s="228"/>
      <c r="J173" s="228"/>
      <c r="K173" s="220"/>
    </row>
    <row r="174" spans="3:11" ht="16.5" thickBot="1">
      <c r="C174" s="236"/>
      <c r="D174" s="236"/>
      <c r="E174" s="236"/>
      <c r="F174" s="236"/>
      <c r="G174" s="236"/>
      <c r="H174" s="236"/>
      <c r="I174" s="236"/>
      <c r="J174" s="236"/>
      <c r="K174" s="220"/>
    </row>
    <row r="175" spans="3:11" ht="17.25" hidden="1" thickTop="1" thickBot="1">
      <c r="C175" s="215"/>
      <c r="D175" s="215"/>
      <c r="E175" s="215"/>
      <c r="F175" s="215"/>
      <c r="G175" s="215"/>
      <c r="H175" s="215"/>
      <c r="I175" s="215"/>
      <c r="J175" s="215"/>
      <c r="K175" s="220"/>
    </row>
    <row r="176" spans="3:11" ht="16.5" thickTop="1">
      <c r="C176" s="219"/>
      <c r="D176" s="219"/>
      <c r="E176" s="219"/>
      <c r="F176" s="219"/>
      <c r="G176" s="219"/>
      <c r="H176" s="219"/>
      <c r="I176" s="219"/>
      <c r="J176" s="219"/>
      <c r="K176" s="215"/>
    </row>
    <row r="177" spans="3:11" ht="15.75">
      <c r="C177" s="217" t="s">
        <v>1055</v>
      </c>
      <c r="D177" s="217"/>
      <c r="E177" s="217"/>
      <c r="F177" s="217"/>
      <c r="G177" s="217"/>
      <c r="H177" s="217"/>
      <c r="I177" s="217"/>
      <c r="J177" s="217"/>
      <c r="K177" s="215"/>
    </row>
    <row r="178" spans="3:11" ht="15.75">
      <c r="C178" s="217" t="s">
        <v>1091</v>
      </c>
      <c r="D178" s="217"/>
      <c r="E178" s="217"/>
      <c r="F178" s="217"/>
      <c r="G178" s="217"/>
      <c r="H178" s="217"/>
      <c r="I178" s="217"/>
      <c r="J178" s="217"/>
      <c r="K178" s="215"/>
    </row>
    <row r="179" spans="3:11" ht="15.75">
      <c r="C179" s="215"/>
      <c r="D179" s="215"/>
      <c r="E179" s="215" t="s">
        <v>296</v>
      </c>
      <c r="F179" s="215"/>
      <c r="G179" s="215"/>
      <c r="H179" s="215"/>
      <c r="I179" s="215"/>
      <c r="J179" s="215"/>
      <c r="K179" s="215"/>
    </row>
    <row r="180" spans="3:11" ht="15.75">
      <c r="C180" s="215"/>
      <c r="D180" s="215"/>
      <c r="E180" s="215"/>
      <c r="F180" s="215"/>
      <c r="G180" s="215"/>
      <c r="H180" s="215"/>
      <c r="I180" s="215"/>
      <c r="J180" s="215"/>
      <c r="K180" s="215"/>
    </row>
    <row r="181" spans="3:11" ht="15.75">
      <c r="C181" s="215"/>
      <c r="D181" s="215"/>
      <c r="E181" s="215"/>
      <c r="F181" s="215"/>
      <c r="G181" s="215"/>
      <c r="H181" s="215"/>
      <c r="I181" s="215"/>
      <c r="J181" s="215"/>
      <c r="K181" s="215"/>
    </row>
  </sheetData>
  <customSheetViews>
    <customSheetView guid="{705E0D18-9A83-42CA-8732-90923BE2EC7D}"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1"/>
      <headerFooter alignWithMargins="0"/>
    </customSheetView>
    <customSheetView guid="{D45E5F9E-4EA6-40A2-8A1D-3AC67FB8CE54}"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2"/>
      <headerFooter alignWithMargins="0"/>
    </customSheetView>
    <customSheetView guid="{098C004C-808F-436E-8F18-182F927479D1}"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3"/>
      <headerFooter alignWithMargins="0"/>
    </customSheetView>
    <customSheetView guid="{89CA84C2-78F5-4B05-8F1D-B7C5F97BCB4E}"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4"/>
      <headerFooter alignWithMargins="0"/>
    </customSheetView>
  </customSheetViews>
  <mergeCells count="1">
    <mergeCell ref="D9:H9"/>
  </mergeCells>
  <phoneticPr fontId="52" type="noConversion"/>
  <pageMargins left="7.0000000000000007E-2" right="7.0000000000000007E-2" top="0.59" bottom="0.56999999999999995" header="0.5" footer="0.5"/>
  <pageSetup scale="49" orientation="landscape" horizontalDpi="300" verticalDpi="300" r:id="rId5"/>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theme="9"/>
    <pageSetUpPr autoPageBreaks="0" fitToPage="1"/>
  </sheetPr>
  <dimension ref="A1:R244"/>
  <sheetViews>
    <sheetView showGridLines="0" showOutlineSymbols="0" view="pageBreakPreview" topLeftCell="A57" zoomScale="80" zoomScaleNormal="100" zoomScaleSheetLayoutView="80" workbookViewId="0">
      <pane xSplit="2" ySplit="30" topLeftCell="C231" activePane="bottomRight" state="frozen"/>
      <selection activeCell="J193" sqref="J193"/>
      <selection pane="topRight" activeCell="J193" sqref="J193"/>
      <selection pane="bottomLeft" activeCell="J193" sqref="J193"/>
      <selection pane="bottomRight" activeCell="J193" sqref="J193"/>
    </sheetView>
  </sheetViews>
  <sheetFormatPr defaultColWidth="9.77734375" defaultRowHeight="15"/>
  <cols>
    <col min="1" max="1" width="9.77734375" style="22"/>
    <col min="2" max="2" width="9.77734375" style="18"/>
    <col min="3" max="3" width="10.77734375" style="18" customWidth="1"/>
    <col min="4" max="4" width="10.44140625" style="18" customWidth="1"/>
    <col min="5" max="5" width="9.77734375" style="18"/>
    <col min="6" max="6" width="9.77734375" style="18" customWidth="1"/>
    <col min="7" max="7" width="8.21875" style="18" customWidth="1"/>
    <col min="8" max="8" width="11" style="18" customWidth="1"/>
    <col min="9" max="9" width="9.6640625" style="18" customWidth="1"/>
    <col min="10" max="10" width="10.109375" style="18" customWidth="1"/>
    <col min="11" max="11" width="9.5546875" style="18" customWidth="1"/>
    <col min="12" max="12" width="8.44140625" style="18" customWidth="1"/>
    <col min="13" max="15" width="9.77734375" style="18"/>
    <col min="16" max="16384" width="9.77734375" style="19"/>
  </cols>
  <sheetData>
    <row r="1" spans="2:16" hidden="1"/>
    <row r="2" spans="2:16" hidden="1"/>
    <row r="3" spans="2:16" ht="15.75" hidden="1" thickBot="1"/>
    <row r="4" spans="2:16" ht="18.75" hidden="1" thickTop="1" thickBot="1">
      <c r="B4" s="621"/>
      <c r="C4" s="1924" t="s">
        <v>1267</v>
      </c>
      <c r="D4" s="1925"/>
      <c r="E4" s="1925"/>
      <c r="F4" s="1925"/>
      <c r="G4" s="1925"/>
      <c r="H4" s="1925"/>
      <c r="I4" s="1925"/>
      <c r="J4" s="1925"/>
      <c r="K4" s="1925"/>
      <c r="L4" s="1925"/>
      <c r="M4" s="1925"/>
      <c r="N4" s="622"/>
      <c r="O4" s="623" t="s">
        <v>1268</v>
      </c>
      <c r="P4" s="610" t="s">
        <v>747</v>
      </c>
    </row>
    <row r="5" spans="2:16" ht="18" hidden="1" thickTop="1">
      <c r="B5" s="624"/>
      <c r="C5" s="610" t="s">
        <v>436</v>
      </c>
      <c r="D5" s="610" t="s">
        <v>743</v>
      </c>
      <c r="E5" s="610" t="s">
        <v>949</v>
      </c>
      <c r="F5" s="610" t="s">
        <v>744</v>
      </c>
      <c r="G5" s="610" t="s">
        <v>441</v>
      </c>
      <c r="H5" s="610" t="s">
        <v>406</v>
      </c>
      <c r="I5" s="610" t="s">
        <v>395</v>
      </c>
      <c r="J5" s="610" t="s">
        <v>442</v>
      </c>
      <c r="K5" s="610" t="s">
        <v>745</v>
      </c>
      <c r="L5" s="610" t="s">
        <v>443</v>
      </c>
      <c r="M5" s="610" t="s">
        <v>746</v>
      </c>
      <c r="N5" s="610" t="s">
        <v>1269</v>
      </c>
      <c r="O5" s="610" t="s">
        <v>438</v>
      </c>
      <c r="P5" s="601" t="s">
        <v>752</v>
      </c>
    </row>
    <row r="6" spans="2:16" ht="17.25" hidden="1">
      <c r="B6" s="625"/>
      <c r="C6" s="601" t="s">
        <v>437</v>
      </c>
      <c r="D6" s="601" t="s">
        <v>748</v>
      </c>
      <c r="E6" s="601" t="s">
        <v>950</v>
      </c>
      <c r="F6" s="601" t="s">
        <v>750</v>
      </c>
      <c r="G6" s="625"/>
      <c r="H6" s="625"/>
      <c r="I6" s="625"/>
      <c r="J6" s="601" t="s">
        <v>434</v>
      </c>
      <c r="K6" s="625"/>
      <c r="L6" s="601" t="s">
        <v>435</v>
      </c>
      <c r="M6" s="601" t="s">
        <v>751</v>
      </c>
      <c r="N6" s="626" t="s">
        <v>742</v>
      </c>
      <c r="O6" s="601" t="s">
        <v>440</v>
      </c>
      <c r="P6" s="601"/>
    </row>
    <row r="7" spans="2:16" hidden="1">
      <c r="B7" s="625"/>
      <c r="C7" s="625"/>
      <c r="D7" s="625"/>
      <c r="E7" s="601" t="s">
        <v>951</v>
      </c>
      <c r="F7" s="601" t="s">
        <v>753</v>
      </c>
      <c r="G7" s="625"/>
      <c r="H7" s="625"/>
      <c r="I7" s="625"/>
      <c r="J7" s="625"/>
      <c r="K7" s="625"/>
      <c r="L7" s="625"/>
      <c r="M7" s="601" t="s">
        <v>405</v>
      </c>
      <c r="N7" s="625"/>
      <c r="O7" s="625"/>
      <c r="P7" s="625"/>
    </row>
    <row r="8" spans="2:16" ht="15.75" hidden="1" thickBot="1">
      <c r="B8" s="627"/>
      <c r="C8" s="627"/>
      <c r="D8" s="627"/>
      <c r="E8" s="612" t="s">
        <v>952</v>
      </c>
      <c r="F8" s="627"/>
      <c r="G8" s="627"/>
      <c r="H8" s="627"/>
      <c r="I8" s="627"/>
      <c r="J8" s="627"/>
      <c r="K8" s="627"/>
      <c r="L8" s="627"/>
      <c r="M8" s="627"/>
      <c r="N8" s="627"/>
      <c r="O8" s="627"/>
      <c r="P8" s="627"/>
    </row>
    <row r="9" spans="2:16" ht="15.75" hidden="1" thickTop="1">
      <c r="B9" s="624"/>
      <c r="C9" s="624"/>
      <c r="D9" s="624"/>
      <c r="E9" s="624"/>
      <c r="F9" s="624"/>
      <c r="G9" s="624"/>
      <c r="H9" s="624"/>
      <c r="I9" s="624"/>
      <c r="J9" s="624"/>
      <c r="K9" s="624"/>
      <c r="L9" s="624"/>
      <c r="M9" s="624"/>
      <c r="N9" s="624"/>
      <c r="O9" s="624"/>
      <c r="P9" s="624"/>
    </row>
    <row r="10" spans="2:16" hidden="1">
      <c r="B10" s="602" t="s">
        <v>754</v>
      </c>
      <c r="C10" s="601">
        <v>4.91</v>
      </c>
      <c r="D10" s="601">
        <v>5.71</v>
      </c>
      <c r="E10" s="601">
        <v>16.23</v>
      </c>
      <c r="F10" s="601">
        <v>15.11</v>
      </c>
      <c r="G10" s="601">
        <v>1.31</v>
      </c>
      <c r="H10" s="601">
        <v>9.77</v>
      </c>
      <c r="I10" s="601">
        <v>0.99</v>
      </c>
      <c r="J10" s="601">
        <v>5.75</v>
      </c>
      <c r="K10" s="601">
        <v>2.85</v>
      </c>
      <c r="L10" s="601">
        <v>1.52</v>
      </c>
      <c r="M10" s="601">
        <v>3.94</v>
      </c>
      <c r="N10" s="601">
        <v>68.069999999999993</v>
      </c>
      <c r="O10" s="601">
        <v>31.93</v>
      </c>
      <c r="P10" s="601">
        <v>68.069999999999993</v>
      </c>
    </row>
    <row r="11" spans="2:16" ht="15.75" hidden="1" thickBot="1">
      <c r="B11" s="627"/>
      <c r="C11" s="627"/>
      <c r="D11" s="627"/>
      <c r="E11" s="627"/>
      <c r="F11" s="627"/>
      <c r="G11" s="627"/>
      <c r="H11" s="627"/>
      <c r="I11" s="627"/>
      <c r="J11" s="627"/>
      <c r="K11" s="627"/>
      <c r="L11" s="627"/>
      <c r="M11" s="627"/>
      <c r="N11" s="627"/>
      <c r="O11" s="627"/>
      <c r="P11" s="627"/>
    </row>
    <row r="12" spans="2:16" ht="15.75" hidden="1" thickTop="1">
      <c r="B12" s="624"/>
      <c r="C12" s="624"/>
      <c r="D12" s="624"/>
      <c r="E12" s="624"/>
      <c r="F12" s="624"/>
      <c r="G12" s="624"/>
      <c r="H12" s="624"/>
      <c r="I12" s="624"/>
      <c r="J12" s="624"/>
      <c r="K12" s="624"/>
      <c r="L12" s="624"/>
      <c r="M12" s="624"/>
      <c r="N12" s="624"/>
      <c r="O12" s="624"/>
      <c r="P12" s="624"/>
    </row>
    <row r="13" spans="2:16" hidden="1">
      <c r="B13" s="602">
        <v>2009</v>
      </c>
      <c r="C13" s="625"/>
      <c r="D13" s="625"/>
      <c r="E13" s="625"/>
      <c r="F13" s="625"/>
      <c r="G13" s="625"/>
      <c r="H13" s="625"/>
      <c r="I13" s="625"/>
      <c r="J13" s="625"/>
      <c r="K13" s="625"/>
      <c r="L13" s="625"/>
      <c r="M13" s="625"/>
      <c r="N13" s="625"/>
      <c r="O13" s="625"/>
      <c r="P13" s="625"/>
    </row>
    <row r="14" spans="2:16" hidden="1">
      <c r="B14" s="602" t="s">
        <v>298</v>
      </c>
      <c r="C14" s="601">
        <v>0</v>
      </c>
      <c r="D14" s="601">
        <v>0.1</v>
      </c>
      <c r="E14" s="601">
        <v>0</v>
      </c>
      <c r="F14" s="601">
        <v>0.4</v>
      </c>
      <c r="G14" s="601">
        <v>0</v>
      </c>
      <c r="H14" s="601">
        <v>-5.4</v>
      </c>
      <c r="I14" s="601" t="s">
        <v>608</v>
      </c>
      <c r="J14" s="601">
        <v>0.4</v>
      </c>
      <c r="K14" s="601"/>
      <c r="L14" s="601">
        <v>-7.8</v>
      </c>
      <c r="M14" s="601">
        <v>0</v>
      </c>
      <c r="N14" s="601">
        <v>-2.6</v>
      </c>
      <c r="O14" s="601">
        <v>-1.9</v>
      </c>
      <c r="P14" s="601">
        <v>-2.2999999999999998</v>
      </c>
    </row>
    <row r="15" spans="2:16" hidden="1">
      <c r="B15" s="602" t="s">
        <v>1211</v>
      </c>
      <c r="C15" s="601">
        <v>-5.0999999999999996</v>
      </c>
      <c r="D15" s="601">
        <v>-3.4</v>
      </c>
      <c r="E15" s="601">
        <v>-0.2</v>
      </c>
      <c r="F15" s="601">
        <v>-1.5</v>
      </c>
      <c r="G15" s="601">
        <v>-7.8</v>
      </c>
      <c r="H15" s="601">
        <v>-3.2</v>
      </c>
      <c r="I15" s="601" t="s">
        <v>608</v>
      </c>
      <c r="J15" s="601">
        <v>2.4</v>
      </c>
      <c r="K15" s="601"/>
      <c r="L15" s="601">
        <v>-3.9</v>
      </c>
      <c r="M15" s="601">
        <v>-0.2</v>
      </c>
      <c r="N15" s="601">
        <v>-2.8</v>
      </c>
      <c r="O15" s="601">
        <v>-3.8</v>
      </c>
      <c r="P15" s="601">
        <v>-3.2</v>
      </c>
    </row>
    <row r="16" spans="2:16" hidden="1">
      <c r="B16" s="602" t="s">
        <v>300</v>
      </c>
      <c r="C16" s="601">
        <v>-6.1</v>
      </c>
      <c r="D16" s="601">
        <v>-5.8</v>
      </c>
      <c r="E16" s="601">
        <v>-0.2</v>
      </c>
      <c r="F16" s="601">
        <v>-0.6</v>
      </c>
      <c r="G16" s="601">
        <v>-0.2</v>
      </c>
      <c r="H16" s="601">
        <v>0.1</v>
      </c>
      <c r="I16" s="601" t="s">
        <v>608</v>
      </c>
      <c r="J16" s="601">
        <v>-0.5</v>
      </c>
      <c r="K16" s="601"/>
      <c r="L16" s="601">
        <v>4.0999999999999996</v>
      </c>
      <c r="M16" s="601">
        <v>-2.2000000000000002</v>
      </c>
      <c r="N16" s="601">
        <v>-1.8</v>
      </c>
      <c r="O16" s="601">
        <v>-5.7</v>
      </c>
      <c r="P16" s="601">
        <v>-3.1</v>
      </c>
    </row>
    <row r="17" spans="2:16" hidden="1">
      <c r="B17" s="602" t="s">
        <v>301</v>
      </c>
      <c r="C17" s="601">
        <v>-2.6</v>
      </c>
      <c r="D17" s="601">
        <v>-3.3</v>
      </c>
      <c r="E17" s="601">
        <v>6.5</v>
      </c>
      <c r="F17" s="601">
        <v>-0.5</v>
      </c>
      <c r="G17" s="601">
        <v>-2.9</v>
      </c>
      <c r="H17" s="601">
        <v>1.3</v>
      </c>
      <c r="I17" s="601" t="s">
        <v>608</v>
      </c>
      <c r="J17" s="601">
        <v>0.1</v>
      </c>
      <c r="K17" s="601">
        <v>106.8</v>
      </c>
      <c r="L17" s="601">
        <v>-4.0999999999999996</v>
      </c>
      <c r="M17" s="601">
        <v>-0.7</v>
      </c>
      <c r="N17" s="601">
        <v>-0.2</v>
      </c>
      <c r="O17" s="601">
        <v>-2.9</v>
      </c>
      <c r="P17" s="601">
        <v>-1.1000000000000001</v>
      </c>
    </row>
    <row r="18" spans="2:16" hidden="1">
      <c r="B18" s="602" t="s">
        <v>302</v>
      </c>
      <c r="C18" s="601">
        <v>-0.2</v>
      </c>
      <c r="D18" s="601">
        <v>-6.6</v>
      </c>
      <c r="E18" s="601">
        <v>0.2</v>
      </c>
      <c r="F18" s="601">
        <v>-3.6</v>
      </c>
      <c r="G18" s="601">
        <v>1</v>
      </c>
      <c r="H18" s="601">
        <v>1.9</v>
      </c>
      <c r="I18" s="601">
        <v>-0.2</v>
      </c>
      <c r="J18" s="601">
        <v>0.6</v>
      </c>
      <c r="K18" s="601">
        <v>94.8</v>
      </c>
      <c r="L18" s="601">
        <v>-1.5</v>
      </c>
      <c r="M18" s="601">
        <v>1.4</v>
      </c>
      <c r="N18" s="601">
        <v>-1.1000000000000001</v>
      </c>
      <c r="O18" s="601">
        <v>-0.8</v>
      </c>
      <c r="P18" s="601">
        <v>-0.9</v>
      </c>
    </row>
    <row r="19" spans="2:16" hidden="1">
      <c r="B19" s="602" t="s">
        <v>303</v>
      </c>
      <c r="C19" s="601">
        <v>5.3</v>
      </c>
      <c r="D19" s="601">
        <v>-1.2</v>
      </c>
      <c r="E19" s="601">
        <v>-0.3</v>
      </c>
      <c r="F19" s="601">
        <v>1</v>
      </c>
      <c r="G19" s="601">
        <v>2.7</v>
      </c>
      <c r="H19" s="601">
        <v>7.2</v>
      </c>
      <c r="I19" s="601">
        <v>0.6</v>
      </c>
      <c r="J19" s="601">
        <v>-1.5</v>
      </c>
      <c r="K19" s="601">
        <v>103.6</v>
      </c>
      <c r="L19" s="601">
        <v>3.7</v>
      </c>
      <c r="M19" s="601">
        <v>0.6</v>
      </c>
      <c r="N19" s="601">
        <v>1.4</v>
      </c>
      <c r="O19" s="601">
        <v>-1.3</v>
      </c>
      <c r="P19" s="601">
        <v>0.6</v>
      </c>
    </row>
    <row r="20" spans="2:16" hidden="1">
      <c r="B20" s="602" t="s">
        <v>304</v>
      </c>
      <c r="C20" s="601">
        <v>-1.8</v>
      </c>
      <c r="D20" s="601">
        <v>0.6</v>
      </c>
      <c r="E20" s="601">
        <v>0.5</v>
      </c>
      <c r="F20" s="601">
        <v>1.6</v>
      </c>
      <c r="G20" s="601">
        <v>-0.9</v>
      </c>
      <c r="H20" s="601">
        <v>8.1999999999999993</v>
      </c>
      <c r="I20" s="601">
        <v>-3.1</v>
      </c>
      <c r="J20" s="601">
        <v>0.5</v>
      </c>
      <c r="K20" s="601">
        <v>-0.2</v>
      </c>
      <c r="L20" s="601">
        <v>-1.4</v>
      </c>
      <c r="M20" s="601">
        <v>0</v>
      </c>
      <c r="N20" s="601">
        <v>1.3</v>
      </c>
      <c r="O20" s="601">
        <v>0.2</v>
      </c>
      <c r="P20" s="601">
        <v>1</v>
      </c>
    </row>
    <row r="21" spans="2:16" hidden="1">
      <c r="B21" s="602" t="s">
        <v>305</v>
      </c>
      <c r="C21" s="601">
        <v>1</v>
      </c>
      <c r="D21" s="601">
        <v>-0.2</v>
      </c>
      <c r="E21" s="601">
        <v>3.1</v>
      </c>
      <c r="F21" s="601">
        <v>0.1</v>
      </c>
      <c r="G21" s="601">
        <v>1.6</v>
      </c>
      <c r="H21" s="601">
        <v>-0.7</v>
      </c>
      <c r="I21" s="601">
        <v>-0.2</v>
      </c>
      <c r="J21" s="601">
        <v>-0.3</v>
      </c>
      <c r="K21" s="601">
        <v>1.4</v>
      </c>
      <c r="L21" s="601">
        <v>-0.1</v>
      </c>
      <c r="M21" s="601">
        <v>-1.5</v>
      </c>
      <c r="N21" s="601">
        <v>0.5</v>
      </c>
      <c r="O21" s="601">
        <v>0.1</v>
      </c>
      <c r="P21" s="601">
        <v>0.4</v>
      </c>
    </row>
    <row r="22" spans="2:16" hidden="1">
      <c r="B22" s="602" t="s">
        <v>306</v>
      </c>
      <c r="C22" s="601">
        <v>-0.4</v>
      </c>
      <c r="D22" s="601">
        <v>-0.6</v>
      </c>
      <c r="E22" s="601">
        <v>0</v>
      </c>
      <c r="F22" s="601">
        <v>-0.2</v>
      </c>
      <c r="G22" s="601">
        <v>0.1</v>
      </c>
      <c r="H22" s="601">
        <v>-2.2999999999999998</v>
      </c>
      <c r="I22" s="601">
        <v>-0.9</v>
      </c>
      <c r="J22" s="601">
        <v>4</v>
      </c>
      <c r="K22" s="601">
        <v>0.6</v>
      </c>
      <c r="L22" s="601">
        <v>3</v>
      </c>
      <c r="M22" s="601">
        <v>0.1</v>
      </c>
      <c r="N22" s="601">
        <v>-0.2</v>
      </c>
      <c r="O22" s="601">
        <v>-1.2</v>
      </c>
      <c r="P22" s="601">
        <v>-0.5</v>
      </c>
    </row>
    <row r="23" spans="2:16" hidden="1">
      <c r="B23" s="602" t="s">
        <v>307</v>
      </c>
      <c r="C23" s="601">
        <v>3</v>
      </c>
      <c r="D23" s="601">
        <v>0.1</v>
      </c>
      <c r="E23" s="601">
        <v>3.5</v>
      </c>
      <c r="F23" s="601">
        <v>0.3</v>
      </c>
      <c r="G23" s="601">
        <v>0</v>
      </c>
      <c r="H23" s="601">
        <v>0.6</v>
      </c>
      <c r="I23" s="601">
        <v>-0.3</v>
      </c>
      <c r="J23" s="601">
        <v>-0.4</v>
      </c>
      <c r="K23" s="601">
        <v>0</v>
      </c>
      <c r="L23" s="601">
        <v>-0.1</v>
      </c>
      <c r="M23" s="601">
        <v>-0.7</v>
      </c>
      <c r="N23" s="601">
        <v>1</v>
      </c>
      <c r="O23" s="601">
        <v>0.2</v>
      </c>
      <c r="P23" s="601">
        <v>0.8</v>
      </c>
    </row>
    <row r="24" spans="2:16" hidden="1">
      <c r="B24" s="602" t="s">
        <v>308</v>
      </c>
      <c r="C24" s="601">
        <v>-1.4</v>
      </c>
      <c r="D24" s="601">
        <v>1.4</v>
      </c>
      <c r="E24" s="601">
        <v>0</v>
      </c>
      <c r="F24" s="601">
        <v>-0.1</v>
      </c>
      <c r="G24" s="601">
        <v>-2.8</v>
      </c>
      <c r="H24" s="601">
        <v>-0.2</v>
      </c>
      <c r="I24" s="601">
        <v>0.1</v>
      </c>
      <c r="J24" s="601">
        <v>-2.4</v>
      </c>
      <c r="K24" s="601">
        <v>0.4</v>
      </c>
      <c r="L24" s="601">
        <v>1</v>
      </c>
      <c r="M24" s="601">
        <v>-0.2</v>
      </c>
      <c r="N24" s="601">
        <v>-15</v>
      </c>
      <c r="O24" s="601">
        <v>0.2</v>
      </c>
      <c r="P24" s="601">
        <v>-0.1</v>
      </c>
    </row>
    <row r="25" spans="2:16" hidden="1">
      <c r="B25" s="602" t="s">
        <v>311</v>
      </c>
      <c r="C25" s="601">
        <v>1.3</v>
      </c>
      <c r="D25" s="601">
        <v>-0.5</v>
      </c>
      <c r="E25" s="601">
        <v>0.2</v>
      </c>
      <c r="F25" s="601">
        <v>-1</v>
      </c>
      <c r="G25" s="601">
        <v>0.8</v>
      </c>
      <c r="H25" s="601">
        <v>1.9</v>
      </c>
      <c r="I25" s="601">
        <v>-0.3</v>
      </c>
      <c r="J25" s="601">
        <v>-0.1</v>
      </c>
      <c r="K25" s="601">
        <v>4.5</v>
      </c>
      <c r="L25" s="601">
        <v>1.9</v>
      </c>
      <c r="M25" s="601">
        <v>-0.8</v>
      </c>
      <c r="N25" s="601">
        <v>3.9</v>
      </c>
      <c r="O25" s="601">
        <v>0.7</v>
      </c>
      <c r="P25" s="601">
        <v>0.5</v>
      </c>
    </row>
    <row r="26" spans="2:16" hidden="1">
      <c r="B26" s="602"/>
      <c r="C26" s="601"/>
      <c r="D26" s="601"/>
      <c r="E26" s="601"/>
      <c r="F26" s="601"/>
      <c r="G26" s="601"/>
      <c r="H26" s="601"/>
      <c r="I26" s="601"/>
      <c r="J26" s="601"/>
      <c r="K26" s="601"/>
      <c r="L26" s="601"/>
      <c r="M26" s="601"/>
      <c r="N26" s="601"/>
      <c r="O26" s="601"/>
      <c r="P26" s="601"/>
    </row>
    <row r="27" spans="2:16" hidden="1">
      <c r="B27" s="602">
        <v>2011</v>
      </c>
      <c r="C27" s="601"/>
      <c r="D27" s="601"/>
      <c r="E27" s="601"/>
      <c r="F27" s="601"/>
      <c r="G27" s="601"/>
      <c r="H27" s="601"/>
      <c r="I27" s="601"/>
      <c r="J27" s="601"/>
      <c r="K27" s="601"/>
      <c r="L27" s="601"/>
      <c r="M27" s="601"/>
      <c r="N27" s="601"/>
      <c r="O27" s="601"/>
      <c r="P27" s="601"/>
    </row>
    <row r="28" spans="2:16" hidden="1">
      <c r="B28" s="602" t="s">
        <v>298</v>
      </c>
      <c r="C28" s="601">
        <v>0.5</v>
      </c>
      <c r="D28" s="601">
        <v>0.5</v>
      </c>
      <c r="E28" s="601">
        <v>0.5</v>
      </c>
      <c r="F28" s="601">
        <v>0.4</v>
      </c>
      <c r="G28" s="601">
        <v>-0.2</v>
      </c>
      <c r="H28" s="601">
        <v>5.0999999999999996</v>
      </c>
      <c r="I28" s="601">
        <v>-0.9</v>
      </c>
      <c r="J28" s="601">
        <v>-0.3</v>
      </c>
      <c r="K28" s="601">
        <v>0.8</v>
      </c>
      <c r="L28" s="601">
        <v>0.5</v>
      </c>
      <c r="M28" s="601">
        <v>3.2</v>
      </c>
      <c r="N28" s="601">
        <v>0.9</v>
      </c>
      <c r="O28" s="601">
        <v>1.2</v>
      </c>
      <c r="P28" s="601">
        <v>1</v>
      </c>
    </row>
    <row r="29" spans="2:16" hidden="1">
      <c r="B29" s="602" t="s">
        <v>1211</v>
      </c>
      <c r="C29" s="601">
        <v>1.2</v>
      </c>
      <c r="D29" s="601">
        <v>0.6</v>
      </c>
      <c r="E29" s="601">
        <v>0.3</v>
      </c>
      <c r="F29" s="601">
        <v>0.8</v>
      </c>
      <c r="G29" s="601">
        <v>-0.3</v>
      </c>
      <c r="H29" s="601">
        <v>1.1000000000000001</v>
      </c>
      <c r="I29" s="601">
        <v>0</v>
      </c>
      <c r="J29" s="601">
        <v>0.2</v>
      </c>
      <c r="K29" s="601">
        <v>0.5</v>
      </c>
      <c r="L29" s="601">
        <v>0.4</v>
      </c>
      <c r="M29" s="601">
        <v>0.2</v>
      </c>
      <c r="N29" s="601">
        <v>0.5</v>
      </c>
      <c r="O29" s="601">
        <v>0.4</v>
      </c>
      <c r="P29" s="601">
        <v>0.5</v>
      </c>
    </row>
    <row r="30" spans="2:16" hidden="1">
      <c r="B30" s="602" t="s">
        <v>300</v>
      </c>
      <c r="C30" s="601">
        <v>1.3</v>
      </c>
      <c r="D30" s="601">
        <v>0.5</v>
      </c>
      <c r="E30" s="601">
        <v>1.3</v>
      </c>
      <c r="F30" s="601">
        <v>0.6</v>
      </c>
      <c r="G30" s="601">
        <v>0.1</v>
      </c>
      <c r="H30" s="601">
        <v>2.5</v>
      </c>
      <c r="I30" s="601">
        <v>-0.4</v>
      </c>
      <c r="J30" s="601">
        <v>0.5</v>
      </c>
      <c r="K30" s="601">
        <v>3.6</v>
      </c>
      <c r="L30" s="601">
        <v>1.4</v>
      </c>
      <c r="M30" s="601">
        <v>0</v>
      </c>
      <c r="N30" s="601">
        <v>0.8</v>
      </c>
      <c r="O30" s="601">
        <v>0.8</v>
      </c>
      <c r="P30" s="601">
        <v>0.8</v>
      </c>
    </row>
    <row r="31" spans="2:16" hidden="1">
      <c r="B31" s="602" t="s">
        <v>301</v>
      </c>
      <c r="C31" s="601">
        <v>0.23</v>
      </c>
      <c r="D31" s="601">
        <v>-0.7</v>
      </c>
      <c r="E31" s="601">
        <v>0.55000000000000004</v>
      </c>
      <c r="F31" s="601">
        <v>0.32</v>
      </c>
      <c r="G31" s="601">
        <v>-0.59</v>
      </c>
      <c r="H31" s="601">
        <v>0.21</v>
      </c>
      <c r="I31" s="601">
        <v>-0.28999999999999998</v>
      </c>
      <c r="J31" s="601">
        <v>0.22</v>
      </c>
      <c r="K31" s="601">
        <v>0</v>
      </c>
      <c r="L31" s="601">
        <v>0.37</v>
      </c>
      <c r="M31" s="601">
        <v>0.24</v>
      </c>
      <c r="N31" s="601">
        <v>-0.02</v>
      </c>
      <c r="O31" s="601">
        <v>0.52</v>
      </c>
      <c r="P31" s="601">
        <v>0.14000000000000001</v>
      </c>
    </row>
    <row r="32" spans="2:16" hidden="1">
      <c r="B32" s="602" t="s">
        <v>302</v>
      </c>
      <c r="C32" s="601">
        <v>0.25</v>
      </c>
      <c r="D32" s="601">
        <v>0.49</v>
      </c>
      <c r="E32" s="601">
        <v>-0.17</v>
      </c>
      <c r="F32" s="601">
        <v>0</v>
      </c>
      <c r="G32" s="601">
        <v>0.38</v>
      </c>
      <c r="H32" s="601">
        <v>-0.06</v>
      </c>
      <c r="I32" s="601">
        <v>-0.28999999999999998</v>
      </c>
      <c r="J32" s="601">
        <v>0.35</v>
      </c>
      <c r="K32" s="601">
        <v>0</v>
      </c>
      <c r="L32" s="601">
        <v>1.32</v>
      </c>
      <c r="M32" s="601">
        <v>-0.25</v>
      </c>
      <c r="N32" s="601">
        <v>0.14000000000000001</v>
      </c>
      <c r="O32" s="601">
        <v>-7.0000000000000007E-2</v>
      </c>
      <c r="P32" s="601">
        <v>0.08</v>
      </c>
    </row>
    <row r="33" spans="2:16" hidden="1">
      <c r="B33" s="602" t="s">
        <v>303</v>
      </c>
      <c r="C33" s="601">
        <v>0.28000000000000003</v>
      </c>
      <c r="D33" s="601">
        <v>0.12</v>
      </c>
      <c r="E33" s="601">
        <v>1.18</v>
      </c>
      <c r="F33" s="601">
        <v>0.41</v>
      </c>
      <c r="G33" s="601">
        <v>0.32</v>
      </c>
      <c r="H33" s="601">
        <v>-0.09</v>
      </c>
      <c r="I33" s="601">
        <v>0</v>
      </c>
      <c r="J33" s="601">
        <v>0.7</v>
      </c>
      <c r="K33" s="601">
        <v>0</v>
      </c>
      <c r="L33" s="601">
        <v>0</v>
      </c>
      <c r="M33" s="601">
        <v>0.3</v>
      </c>
      <c r="N33" s="601">
        <v>0.28999999999999998</v>
      </c>
      <c r="O33" s="601">
        <v>0.11</v>
      </c>
      <c r="P33" s="601">
        <v>0.25</v>
      </c>
    </row>
    <row r="34" spans="2:16" hidden="1">
      <c r="B34" s="602" t="s">
        <v>304</v>
      </c>
      <c r="C34" s="601">
        <v>-0.12</v>
      </c>
      <c r="D34" s="601">
        <v>0.56999999999999995</v>
      </c>
      <c r="E34" s="601">
        <v>0.31</v>
      </c>
      <c r="F34" s="601">
        <v>0.36</v>
      </c>
      <c r="G34" s="601">
        <v>-0.27</v>
      </c>
      <c r="H34" s="601">
        <v>0.02</v>
      </c>
      <c r="I34" s="601">
        <v>-0.41</v>
      </c>
      <c r="J34" s="601">
        <v>-0.05</v>
      </c>
      <c r="K34" s="601">
        <v>0</v>
      </c>
      <c r="L34" s="601">
        <v>0.88</v>
      </c>
      <c r="M34" s="601">
        <v>0.24</v>
      </c>
      <c r="N34" s="601">
        <v>0.17</v>
      </c>
      <c r="O34" s="601">
        <v>0.47</v>
      </c>
      <c r="P34" s="601">
        <v>0.26</v>
      </c>
    </row>
    <row r="35" spans="2:16" hidden="1">
      <c r="B35" s="602" t="s">
        <v>305</v>
      </c>
      <c r="C35" s="601">
        <v>0.04</v>
      </c>
      <c r="D35" s="601">
        <v>0.1</v>
      </c>
      <c r="E35" s="601">
        <v>0.55000000000000004</v>
      </c>
      <c r="F35" s="601">
        <v>0.17</v>
      </c>
      <c r="G35" s="601">
        <v>0.08</v>
      </c>
      <c r="H35" s="601">
        <v>0.27</v>
      </c>
      <c r="I35" s="601">
        <v>-0.11</v>
      </c>
      <c r="J35" s="601">
        <v>-0.06</v>
      </c>
      <c r="K35" s="601">
        <v>0.37</v>
      </c>
      <c r="L35" s="601">
        <v>0.98</v>
      </c>
      <c r="M35" s="601">
        <v>0.3</v>
      </c>
      <c r="N35" s="601">
        <v>0.19</v>
      </c>
      <c r="O35" s="601">
        <v>-0.02</v>
      </c>
      <c r="P35" s="601">
        <v>0.13</v>
      </c>
    </row>
    <row r="36" spans="2:16" hidden="1">
      <c r="B36" s="602" t="s">
        <v>306</v>
      </c>
      <c r="C36" s="601">
        <v>0.38</v>
      </c>
      <c r="D36" s="601">
        <v>0.12</v>
      </c>
      <c r="E36" s="601">
        <v>1.65</v>
      </c>
      <c r="F36" s="601">
        <v>0.3</v>
      </c>
      <c r="G36" s="601">
        <v>0</v>
      </c>
      <c r="H36" s="601">
        <v>-2.5099999999999998</v>
      </c>
      <c r="I36" s="601">
        <v>13.67</v>
      </c>
      <c r="J36" s="601">
        <v>0.2</v>
      </c>
      <c r="K36" s="601">
        <v>0.35</v>
      </c>
      <c r="L36" s="601">
        <v>0.19</v>
      </c>
      <c r="M36" s="601">
        <v>0.89</v>
      </c>
      <c r="N36" s="601">
        <v>0</v>
      </c>
      <c r="O36" s="601">
        <v>0.54</v>
      </c>
      <c r="P36" s="601">
        <v>0.9</v>
      </c>
    </row>
    <row r="37" spans="2:16" hidden="1">
      <c r="B37" s="602" t="s">
        <v>307</v>
      </c>
      <c r="C37" s="601">
        <v>0.12</v>
      </c>
      <c r="D37" s="601">
        <v>0.17</v>
      </c>
      <c r="E37" s="601">
        <v>0.13</v>
      </c>
      <c r="F37" s="601">
        <v>0.13</v>
      </c>
      <c r="G37" s="601">
        <v>0.32</v>
      </c>
      <c r="H37" s="601">
        <v>0.1</v>
      </c>
      <c r="I37" s="601">
        <v>-0.13</v>
      </c>
      <c r="J37" s="601">
        <v>0.05</v>
      </c>
      <c r="K37" s="601">
        <v>0</v>
      </c>
      <c r="L37" s="601">
        <v>-0.24</v>
      </c>
      <c r="M37" s="601">
        <v>0.48</v>
      </c>
      <c r="N37" s="601">
        <v>0.14000000000000001</v>
      </c>
      <c r="O37" s="601">
        <v>0.08</v>
      </c>
      <c r="P37" s="601">
        <v>0.12</v>
      </c>
    </row>
    <row r="38" spans="2:16" hidden="1">
      <c r="B38" s="602" t="s">
        <v>308</v>
      </c>
      <c r="C38" s="601">
        <v>-0.04</v>
      </c>
      <c r="D38" s="601">
        <v>0.37</v>
      </c>
      <c r="E38" s="601">
        <v>0.55000000000000004</v>
      </c>
      <c r="F38" s="601">
        <v>-0.09</v>
      </c>
      <c r="G38" s="601">
        <v>0.05</v>
      </c>
      <c r="H38" s="601">
        <v>-0.15</v>
      </c>
      <c r="I38" s="601">
        <v>-0.1</v>
      </c>
      <c r="J38" s="601">
        <v>0.1</v>
      </c>
      <c r="K38" s="601">
        <v>0</v>
      </c>
      <c r="L38" s="601">
        <v>1.22</v>
      </c>
      <c r="M38" s="601">
        <v>0.21</v>
      </c>
      <c r="N38" s="601">
        <v>0.09</v>
      </c>
      <c r="O38" s="601">
        <v>1.48</v>
      </c>
      <c r="P38" s="601">
        <v>0.5</v>
      </c>
    </row>
    <row r="39" spans="2:16" hidden="1">
      <c r="B39" s="602" t="s">
        <v>311</v>
      </c>
      <c r="C39" s="601">
        <v>3.12</v>
      </c>
      <c r="D39" s="601">
        <v>-0.22</v>
      </c>
      <c r="E39" s="601">
        <v>0.42</v>
      </c>
      <c r="F39" s="601">
        <v>0.26</v>
      </c>
      <c r="G39" s="601">
        <v>0.06</v>
      </c>
      <c r="H39" s="601">
        <v>-0.03</v>
      </c>
      <c r="I39" s="601">
        <v>-0.06</v>
      </c>
      <c r="J39" s="601">
        <v>-0.21</v>
      </c>
      <c r="K39" s="601">
        <v>0</v>
      </c>
      <c r="L39" s="601">
        <v>1.18</v>
      </c>
      <c r="M39" s="601">
        <v>-0.13</v>
      </c>
      <c r="N39" s="601">
        <v>0.15</v>
      </c>
      <c r="O39" s="601">
        <v>0.28000000000000003</v>
      </c>
      <c r="P39" s="601">
        <v>0.21</v>
      </c>
    </row>
    <row r="40" spans="2:16" hidden="1">
      <c r="B40" s="602"/>
      <c r="C40" s="601"/>
      <c r="D40" s="601"/>
      <c r="E40" s="601"/>
      <c r="F40" s="601"/>
      <c r="G40" s="601"/>
      <c r="H40" s="601"/>
      <c r="I40" s="601"/>
      <c r="J40" s="601"/>
      <c r="K40" s="601"/>
      <c r="L40" s="601"/>
      <c r="M40" s="601"/>
      <c r="N40" s="601"/>
      <c r="O40" s="601"/>
      <c r="P40" s="601"/>
    </row>
    <row r="41" spans="2:16" hidden="1">
      <c r="B41" s="602"/>
      <c r="C41" s="601"/>
      <c r="D41" s="601"/>
      <c r="E41" s="601"/>
      <c r="F41" s="601"/>
      <c r="G41" s="601"/>
      <c r="H41" s="601"/>
      <c r="I41" s="601"/>
      <c r="J41" s="601"/>
      <c r="K41" s="601"/>
      <c r="L41" s="601"/>
      <c r="M41" s="601"/>
      <c r="N41" s="601"/>
      <c r="O41" s="601"/>
      <c r="P41" s="601"/>
    </row>
    <row r="42" spans="2:16" hidden="1">
      <c r="B42" s="602">
        <v>2012</v>
      </c>
      <c r="C42" s="601"/>
      <c r="D42" s="601"/>
      <c r="E42" s="601"/>
      <c r="F42" s="601"/>
      <c r="G42" s="601"/>
      <c r="H42" s="601"/>
      <c r="I42" s="601"/>
      <c r="J42" s="601"/>
      <c r="K42" s="601"/>
      <c r="L42" s="601"/>
      <c r="M42" s="601"/>
      <c r="N42" s="601"/>
      <c r="O42" s="601"/>
      <c r="P42" s="601"/>
    </row>
    <row r="43" spans="2:16" hidden="1">
      <c r="B43" s="602" t="s">
        <v>298</v>
      </c>
      <c r="C43" s="601">
        <v>0.46</v>
      </c>
      <c r="D43" s="601">
        <v>0.24</v>
      </c>
      <c r="E43" s="601">
        <v>0</v>
      </c>
      <c r="F43" s="601">
        <v>0.5</v>
      </c>
      <c r="G43" s="601">
        <v>0.32</v>
      </c>
      <c r="H43" s="601">
        <v>0.44</v>
      </c>
      <c r="I43" s="601">
        <v>0.52</v>
      </c>
      <c r="J43" s="601">
        <v>0.3</v>
      </c>
      <c r="K43" s="601">
        <v>0.95</v>
      </c>
      <c r="L43" s="601">
        <v>1.29</v>
      </c>
      <c r="M43" s="601">
        <v>0.39</v>
      </c>
      <c r="N43" s="601">
        <v>0.48</v>
      </c>
      <c r="O43" s="601">
        <v>0.46</v>
      </c>
      <c r="P43" s="601">
        <v>0.41</v>
      </c>
    </row>
    <row r="44" spans="2:16" hidden="1">
      <c r="B44" s="602" t="s">
        <v>1211</v>
      </c>
      <c r="C44" s="601">
        <v>0.48</v>
      </c>
      <c r="D44" s="601">
        <v>0.87</v>
      </c>
      <c r="E44" s="601">
        <v>0.35</v>
      </c>
      <c r="F44" s="601">
        <v>3.81</v>
      </c>
      <c r="G44" s="601">
        <v>0.25</v>
      </c>
      <c r="H44" s="601">
        <v>-0.12</v>
      </c>
      <c r="I44" s="601">
        <v>-0.52</v>
      </c>
      <c r="J44" s="601">
        <v>-0.13</v>
      </c>
      <c r="K44" s="601">
        <v>0</v>
      </c>
      <c r="L44" s="601">
        <v>-0.31</v>
      </c>
      <c r="M44" s="601">
        <v>0.48</v>
      </c>
      <c r="N44" s="601">
        <v>0.48</v>
      </c>
      <c r="O44" s="601">
        <v>0.41</v>
      </c>
      <c r="P44" s="601">
        <v>0.49</v>
      </c>
    </row>
    <row r="45" spans="2:16" hidden="1">
      <c r="B45" s="602" t="s">
        <v>300</v>
      </c>
      <c r="C45" s="601">
        <v>0.02</v>
      </c>
      <c r="D45" s="601">
        <v>0.12</v>
      </c>
      <c r="E45" s="601">
        <v>1.56</v>
      </c>
      <c r="F45" s="601">
        <v>0.27</v>
      </c>
      <c r="G45" s="601">
        <v>0.01</v>
      </c>
      <c r="H45" s="601">
        <v>0.1</v>
      </c>
      <c r="I45" s="601">
        <v>-0.16</v>
      </c>
      <c r="J45" s="601">
        <v>0.13</v>
      </c>
      <c r="K45" s="601">
        <v>4.32</v>
      </c>
      <c r="L45" s="601">
        <v>-0.31</v>
      </c>
      <c r="M45" s="601">
        <v>0.48</v>
      </c>
      <c r="N45" s="601">
        <v>0.26</v>
      </c>
      <c r="O45" s="601">
        <v>0.8</v>
      </c>
      <c r="P45" s="601">
        <v>0.43</v>
      </c>
    </row>
    <row r="46" spans="2:16" hidden="1">
      <c r="B46" s="602" t="s">
        <v>301</v>
      </c>
      <c r="C46" s="601">
        <v>0.59</v>
      </c>
      <c r="D46" s="601">
        <v>0.53</v>
      </c>
      <c r="E46" s="601">
        <v>2.71</v>
      </c>
      <c r="F46" s="601">
        <v>-0.18</v>
      </c>
      <c r="G46" s="601">
        <v>-0.17</v>
      </c>
      <c r="H46" s="601">
        <v>0.87</v>
      </c>
      <c r="I46" s="601">
        <v>0.12</v>
      </c>
      <c r="J46" s="601">
        <v>-0.04</v>
      </c>
      <c r="K46" s="601">
        <v>0.15</v>
      </c>
      <c r="L46" s="601">
        <v>0.31</v>
      </c>
      <c r="M46" s="601">
        <v>0.15</v>
      </c>
      <c r="N46" s="601">
        <v>0.21</v>
      </c>
      <c r="O46" s="601">
        <v>0.14000000000000001</v>
      </c>
      <c r="P46" s="601">
        <v>0.19</v>
      </c>
    </row>
    <row r="47" spans="2:16" hidden="1">
      <c r="B47" s="602" t="s">
        <v>302</v>
      </c>
      <c r="C47" s="601">
        <v>-0.06</v>
      </c>
      <c r="D47" s="601">
        <v>0.2</v>
      </c>
      <c r="E47" s="601">
        <v>0.39</v>
      </c>
      <c r="F47" s="601">
        <v>-0.02</v>
      </c>
      <c r="G47" s="601">
        <v>0.12</v>
      </c>
      <c r="H47" s="601">
        <v>0.15</v>
      </c>
      <c r="I47" s="601">
        <v>-0.25</v>
      </c>
      <c r="J47" s="601">
        <v>0.25</v>
      </c>
      <c r="K47" s="601">
        <v>0</v>
      </c>
      <c r="L47" s="601">
        <v>0.28999999999999998</v>
      </c>
      <c r="M47" s="601">
        <v>-0.15</v>
      </c>
      <c r="N47" s="601">
        <v>0.21</v>
      </c>
      <c r="O47" s="601">
        <v>-0.25</v>
      </c>
      <c r="P47" s="601">
        <v>7.0000000000000007E-2</v>
      </c>
    </row>
    <row r="48" spans="2:16" hidden="1">
      <c r="B48" s="602" t="s">
        <v>303</v>
      </c>
      <c r="C48" s="601">
        <v>0.63</v>
      </c>
      <c r="D48" s="601">
        <v>0.09</v>
      </c>
      <c r="E48" s="601">
        <v>1.26</v>
      </c>
      <c r="F48" s="601">
        <v>0.48</v>
      </c>
      <c r="G48" s="601">
        <v>0.5</v>
      </c>
      <c r="H48" s="601">
        <v>-0.15</v>
      </c>
      <c r="I48" s="601">
        <v>-0.03</v>
      </c>
      <c r="J48" s="601">
        <v>-0.38</v>
      </c>
      <c r="K48" s="601">
        <v>4.46</v>
      </c>
      <c r="L48" s="601">
        <v>-7.0000000000000007E-2</v>
      </c>
      <c r="M48" s="601">
        <v>-0.12</v>
      </c>
      <c r="N48" s="601">
        <v>0.16</v>
      </c>
      <c r="O48" s="601">
        <v>0.28999999999999998</v>
      </c>
      <c r="P48" s="601">
        <v>0.2</v>
      </c>
    </row>
    <row r="49" spans="2:17" hidden="1">
      <c r="B49" s="602" t="s">
        <v>304</v>
      </c>
      <c r="C49" s="601">
        <v>0.38</v>
      </c>
      <c r="D49" s="601">
        <v>-0.53</v>
      </c>
      <c r="E49" s="601">
        <v>0.09</v>
      </c>
      <c r="F49" s="601">
        <v>0.01</v>
      </c>
      <c r="G49" s="601">
        <v>0.14000000000000001</v>
      </c>
      <c r="H49" s="601">
        <v>2.12</v>
      </c>
      <c r="I49" s="601">
        <v>0.05</v>
      </c>
      <c r="J49" s="601">
        <v>0.16</v>
      </c>
      <c r="K49" s="601">
        <v>-0.02</v>
      </c>
      <c r="L49" s="601">
        <v>0.65</v>
      </c>
      <c r="M49" s="601">
        <v>0.18</v>
      </c>
      <c r="N49" s="601">
        <v>0.34</v>
      </c>
      <c r="O49" s="601">
        <v>-0.02</v>
      </c>
      <c r="P49" s="601">
        <v>0.23</v>
      </c>
    </row>
    <row r="50" spans="2:17" hidden="1">
      <c r="B50" s="602" t="s">
        <v>305</v>
      </c>
      <c r="C50" s="601">
        <v>-0.04</v>
      </c>
      <c r="D50" s="601">
        <v>-0.49</v>
      </c>
      <c r="E50" s="601">
        <v>0.31</v>
      </c>
      <c r="F50" s="601">
        <v>7.0000000000000007E-2</v>
      </c>
      <c r="G50" s="601">
        <v>0.34</v>
      </c>
      <c r="H50" s="601">
        <v>-0.01</v>
      </c>
      <c r="I50" s="601">
        <v>-0.03</v>
      </c>
      <c r="J50" s="601">
        <v>-0.01</v>
      </c>
      <c r="K50" s="601">
        <v>0.25</v>
      </c>
      <c r="L50" s="601">
        <v>0.09</v>
      </c>
      <c r="M50" s="601">
        <v>-0.24</v>
      </c>
      <c r="N50" s="601">
        <v>-0.21</v>
      </c>
      <c r="O50" s="601">
        <v>-0.11</v>
      </c>
      <c r="P50" s="601">
        <v>-0.18</v>
      </c>
    </row>
    <row r="51" spans="2:17" hidden="1">
      <c r="B51" s="602" t="s">
        <v>306</v>
      </c>
      <c r="C51" s="601">
        <v>0.09</v>
      </c>
      <c r="D51" s="601">
        <v>-0.27</v>
      </c>
      <c r="E51" s="601">
        <v>-0.24</v>
      </c>
      <c r="F51" s="601">
        <v>0.09</v>
      </c>
      <c r="G51" s="601">
        <v>0.46</v>
      </c>
      <c r="H51" s="601">
        <v>0.13</v>
      </c>
      <c r="I51" s="601">
        <v>0.1</v>
      </c>
      <c r="J51" s="601">
        <v>0.25</v>
      </c>
      <c r="K51" s="601">
        <v>0.39</v>
      </c>
      <c r="L51" s="601">
        <v>0.56000000000000005</v>
      </c>
      <c r="M51" s="601">
        <v>0.3</v>
      </c>
      <c r="N51" s="601">
        <v>0.19</v>
      </c>
      <c r="O51" s="601">
        <v>1.08</v>
      </c>
      <c r="P51" s="601">
        <v>0.46</v>
      </c>
    </row>
    <row r="52" spans="2:17" hidden="1">
      <c r="B52" s="602" t="s">
        <v>307</v>
      </c>
      <c r="C52" s="601">
        <v>0.38</v>
      </c>
      <c r="D52" s="601">
        <v>0.35</v>
      </c>
      <c r="E52" s="601">
        <v>-0.13</v>
      </c>
      <c r="F52" s="601">
        <v>-0.03</v>
      </c>
      <c r="G52" s="601">
        <v>-0.05</v>
      </c>
      <c r="H52" s="601">
        <v>3.28</v>
      </c>
      <c r="I52" s="601">
        <v>0.04</v>
      </c>
      <c r="J52" s="601">
        <v>-0.44</v>
      </c>
      <c r="K52" s="601">
        <v>-0.56000000000000005</v>
      </c>
      <c r="L52" s="601">
        <v>0.32</v>
      </c>
      <c r="M52" s="601">
        <v>0.93</v>
      </c>
      <c r="N52" s="601">
        <v>0.17</v>
      </c>
      <c r="O52" s="601">
        <v>0.5</v>
      </c>
      <c r="P52" s="601">
        <v>0.26</v>
      </c>
    </row>
    <row r="53" spans="2:17" hidden="1">
      <c r="B53" s="602" t="s">
        <v>308</v>
      </c>
      <c r="C53" s="601">
        <v>-0.3</v>
      </c>
      <c r="D53" s="601">
        <v>0.13</v>
      </c>
      <c r="E53" s="601">
        <v>0.28000000000000003</v>
      </c>
      <c r="F53" s="601">
        <v>-0.04</v>
      </c>
      <c r="G53" s="601">
        <v>-0.11</v>
      </c>
      <c r="H53" s="601">
        <v>0.11</v>
      </c>
      <c r="I53" s="601">
        <v>7.0000000000000007E-2</v>
      </c>
      <c r="J53" s="601">
        <v>0.06</v>
      </c>
      <c r="K53" s="601">
        <v>3.54</v>
      </c>
      <c r="L53" s="601">
        <v>-0.13</v>
      </c>
      <c r="M53" s="601">
        <v>-0.13</v>
      </c>
      <c r="N53" s="601">
        <v>0.11</v>
      </c>
      <c r="O53" s="601">
        <v>0.18</v>
      </c>
      <c r="P53" s="601">
        <v>0.13</v>
      </c>
    </row>
    <row r="54" spans="2:17" hidden="1">
      <c r="B54" s="602" t="s">
        <v>311</v>
      </c>
      <c r="C54" s="631">
        <v>1.76</v>
      </c>
      <c r="D54" s="631">
        <v>-0.17</v>
      </c>
      <c r="E54" s="631">
        <v>0.26</v>
      </c>
      <c r="F54" s="631">
        <v>-0.24</v>
      </c>
      <c r="G54" s="631">
        <v>0.42</v>
      </c>
      <c r="H54" s="631">
        <v>-0.17</v>
      </c>
      <c r="I54" s="631">
        <v>0.24</v>
      </c>
      <c r="J54" s="631">
        <v>-0.1</v>
      </c>
      <c r="K54" s="631">
        <v>-0.09</v>
      </c>
      <c r="L54" s="631">
        <v>0.03</v>
      </c>
      <c r="M54" s="631">
        <v>7.0000000000000007E-2</v>
      </c>
      <c r="N54" s="631">
        <v>0.06</v>
      </c>
      <c r="O54" s="631">
        <v>0.28999999999999998</v>
      </c>
      <c r="P54" s="631">
        <v>0.13</v>
      </c>
    </row>
    <row r="55" spans="2:17" ht="15.75" hidden="1" thickBot="1">
      <c r="B55" s="611"/>
      <c r="C55" s="612"/>
      <c r="D55" s="612"/>
      <c r="E55" s="612"/>
      <c r="F55" s="612"/>
      <c r="G55" s="627"/>
      <c r="H55" s="627"/>
      <c r="I55" s="627"/>
      <c r="J55" s="627"/>
      <c r="K55" s="627"/>
      <c r="L55" s="627"/>
      <c r="M55" s="627"/>
      <c r="N55" s="627"/>
      <c r="O55" s="612"/>
      <c r="P55" s="627"/>
    </row>
    <row r="56" spans="2:17" ht="15.75" hidden="1" thickTop="1"/>
    <row r="57" spans="2:17">
      <c r="B57" s="1931" t="s">
        <v>1758</v>
      </c>
      <c r="C57" s="1931"/>
      <c r="D57" s="1931"/>
      <c r="E57" s="1931"/>
      <c r="F57" s="1931"/>
      <c r="G57" s="1931"/>
      <c r="H57" s="1931"/>
      <c r="I57" s="1931"/>
      <c r="J57" s="1931"/>
      <c r="K57" s="1931"/>
      <c r="L57" s="1931"/>
      <c r="M57" s="1931"/>
      <c r="N57" s="1931"/>
      <c r="O57" s="1931"/>
      <c r="P57" s="1931"/>
    </row>
    <row r="58" spans="2:17" ht="15.75" thickBot="1">
      <c r="B58" s="1931" t="s">
        <v>1785</v>
      </c>
      <c r="C58" s="1931"/>
      <c r="D58" s="1931"/>
      <c r="E58" s="1931"/>
      <c r="F58" s="1931"/>
      <c r="G58" s="1931"/>
      <c r="H58" s="1931"/>
      <c r="I58" s="1931"/>
      <c r="J58" s="1931"/>
      <c r="K58" s="1931"/>
      <c r="L58" s="1931"/>
      <c r="M58" s="1931"/>
      <c r="N58" s="1931"/>
      <c r="O58" s="1931"/>
      <c r="P58" s="1931"/>
    </row>
    <row r="59" spans="2:17" hidden="1">
      <c r="B59" s="736"/>
    </row>
    <row r="60" spans="2:17" ht="15.75" hidden="1" thickBot="1"/>
    <row r="61" spans="2:17" ht="18.75" hidden="1" thickTop="1" thickBot="1">
      <c r="B61" s="621"/>
      <c r="C61" s="1924" t="s">
        <v>1267</v>
      </c>
      <c r="D61" s="1925"/>
      <c r="E61" s="1925"/>
      <c r="F61" s="1925"/>
      <c r="G61" s="1925"/>
      <c r="H61" s="1925"/>
      <c r="I61" s="1925"/>
      <c r="J61" s="1925"/>
      <c r="K61" s="1925"/>
      <c r="L61" s="1925"/>
      <c r="M61" s="1925"/>
      <c r="N61" s="1925"/>
      <c r="O61" s="1926"/>
      <c r="P61" s="623" t="s">
        <v>1268</v>
      </c>
      <c r="Q61" s="610" t="s">
        <v>747</v>
      </c>
    </row>
    <row r="62" spans="2:17" ht="18" hidden="1" thickTop="1">
      <c r="B62" s="624"/>
      <c r="C62" s="610" t="s">
        <v>436</v>
      </c>
      <c r="D62" s="610" t="s">
        <v>743</v>
      </c>
      <c r="E62" s="610" t="s">
        <v>949</v>
      </c>
      <c r="F62" s="610" t="s">
        <v>744</v>
      </c>
      <c r="G62" s="610" t="s">
        <v>441</v>
      </c>
      <c r="H62" s="610" t="s">
        <v>406</v>
      </c>
      <c r="I62" s="610" t="s">
        <v>395</v>
      </c>
      <c r="J62" s="610" t="s">
        <v>442</v>
      </c>
      <c r="K62" s="610" t="s">
        <v>745</v>
      </c>
      <c r="L62" s="610" t="s">
        <v>443</v>
      </c>
      <c r="M62" s="610" t="s">
        <v>746</v>
      </c>
      <c r="N62" s="610" t="s">
        <v>1269</v>
      </c>
      <c r="O62" s="610" t="s">
        <v>438</v>
      </c>
      <c r="P62" s="601" t="s">
        <v>752</v>
      </c>
    </row>
    <row r="63" spans="2:17" ht="17.25" hidden="1">
      <c r="B63" s="625"/>
      <c r="C63" s="601" t="s">
        <v>437</v>
      </c>
      <c r="D63" s="601" t="s">
        <v>748</v>
      </c>
      <c r="E63" s="601" t="s">
        <v>950</v>
      </c>
      <c r="F63" s="601" t="s">
        <v>1271</v>
      </c>
      <c r="G63" s="625"/>
      <c r="H63" s="625"/>
      <c r="I63" s="625"/>
      <c r="J63" s="601" t="s">
        <v>434</v>
      </c>
      <c r="K63" s="625"/>
      <c r="L63" s="601" t="s">
        <v>435</v>
      </c>
      <c r="M63" s="601" t="s">
        <v>751</v>
      </c>
      <c r="N63" s="626" t="s">
        <v>742</v>
      </c>
      <c r="O63" s="601" t="s">
        <v>440</v>
      </c>
      <c r="P63" s="601"/>
    </row>
    <row r="64" spans="2:17" hidden="1">
      <c r="B64" s="625"/>
      <c r="C64" s="625"/>
      <c r="D64" s="625"/>
      <c r="E64" s="601" t="s">
        <v>951</v>
      </c>
      <c r="F64" s="601" t="s">
        <v>1272</v>
      </c>
      <c r="G64" s="625"/>
      <c r="H64" s="625"/>
      <c r="I64" s="625"/>
      <c r="J64" s="625"/>
      <c r="K64" s="625"/>
      <c r="L64" s="625"/>
      <c r="M64" s="601" t="s">
        <v>405</v>
      </c>
      <c r="N64" s="625"/>
      <c r="O64" s="625"/>
      <c r="P64" s="625"/>
    </row>
    <row r="65" spans="2:18" ht="15.75" hidden="1" thickBot="1">
      <c r="B65" s="627"/>
      <c r="C65" s="627"/>
      <c r="D65" s="627"/>
      <c r="E65" s="612" t="s">
        <v>952</v>
      </c>
      <c r="F65" s="627"/>
      <c r="G65" s="627"/>
      <c r="H65" s="627"/>
      <c r="I65" s="627"/>
      <c r="J65" s="627"/>
      <c r="K65" s="627"/>
      <c r="L65" s="627"/>
      <c r="M65" s="627"/>
      <c r="N65" s="627"/>
      <c r="O65" s="627"/>
      <c r="P65" s="627"/>
    </row>
    <row r="66" spans="2:18" ht="15.75" hidden="1" thickTop="1">
      <c r="B66" s="624"/>
      <c r="C66" s="624"/>
      <c r="D66" s="624"/>
      <c r="E66" s="624"/>
      <c r="F66" s="624"/>
      <c r="G66" s="624"/>
      <c r="H66" s="624"/>
      <c r="I66" s="624"/>
      <c r="J66" s="624"/>
      <c r="K66" s="624"/>
      <c r="L66" s="624"/>
      <c r="M66" s="624"/>
      <c r="N66" s="624"/>
      <c r="O66" s="624"/>
      <c r="P66" s="624"/>
    </row>
    <row r="67" spans="2:18" hidden="1">
      <c r="B67" s="602" t="s">
        <v>754</v>
      </c>
      <c r="C67" s="601">
        <v>4.38</v>
      </c>
      <c r="D67" s="601">
        <v>6.05</v>
      </c>
      <c r="E67" s="601">
        <v>17.739999999999998</v>
      </c>
      <c r="F67" s="601">
        <v>9.91</v>
      </c>
      <c r="G67" s="601">
        <v>2.16</v>
      </c>
      <c r="H67" s="601">
        <v>9.76</v>
      </c>
      <c r="I67" s="601">
        <v>3.41</v>
      </c>
      <c r="J67" s="601">
        <v>2.1</v>
      </c>
      <c r="K67" s="601">
        <v>5.67</v>
      </c>
      <c r="L67" s="601">
        <v>1.38</v>
      </c>
      <c r="M67" s="601">
        <v>3.91</v>
      </c>
      <c r="N67" s="601">
        <v>66.47</v>
      </c>
      <c r="O67" s="601">
        <v>33.53</v>
      </c>
      <c r="P67" s="601">
        <v>100</v>
      </c>
      <c r="Q67" s="670"/>
      <c r="R67" s="671">
        <f>+Q67-1.89</f>
        <v>-1.89</v>
      </c>
    </row>
    <row r="68" spans="2:18" ht="15.75" hidden="1" thickBot="1">
      <c r="B68" s="627"/>
      <c r="C68" s="627"/>
      <c r="D68" s="627"/>
      <c r="E68" s="627"/>
      <c r="F68" s="627"/>
      <c r="G68" s="627"/>
      <c r="H68" s="627"/>
      <c r="I68" s="627"/>
      <c r="J68" s="627"/>
      <c r="K68" s="627"/>
      <c r="L68" s="627"/>
      <c r="M68" s="627"/>
      <c r="N68" s="627"/>
      <c r="O68" s="627"/>
      <c r="P68" s="627"/>
    </row>
    <row r="69" spans="2:18" ht="15.75" hidden="1" thickTop="1">
      <c r="B69" s="641"/>
      <c r="C69" s="641"/>
      <c r="D69" s="641"/>
      <c r="E69" s="641"/>
      <c r="F69" s="641"/>
      <c r="G69" s="641"/>
      <c r="H69" s="641"/>
      <c r="I69" s="641"/>
      <c r="J69" s="641"/>
      <c r="K69" s="641"/>
      <c r="L69" s="641"/>
      <c r="M69" s="641"/>
      <c r="N69" s="641"/>
      <c r="O69" s="642"/>
      <c r="P69" s="642"/>
    </row>
    <row r="70" spans="2:18" hidden="1">
      <c r="B70" s="602">
        <v>2013</v>
      </c>
      <c r="C70" s="643"/>
      <c r="D70" s="643"/>
      <c r="E70" s="643"/>
      <c r="F70" s="643"/>
      <c r="G70" s="643"/>
      <c r="H70" s="643"/>
      <c r="I70" s="643"/>
      <c r="J70" s="643"/>
      <c r="K70" s="643"/>
      <c r="L70" s="643"/>
      <c r="M70" s="643"/>
      <c r="N70" s="643"/>
      <c r="O70" s="644"/>
      <c r="P70" s="644"/>
    </row>
    <row r="71" spans="2:18" ht="15.75" hidden="1" thickBot="1">
      <c r="B71" s="602" t="s">
        <v>298</v>
      </c>
      <c r="C71" s="631">
        <v>-0.54</v>
      </c>
      <c r="D71" s="631">
        <v>0</v>
      </c>
      <c r="E71" s="631">
        <v>0</v>
      </c>
      <c r="F71" s="631">
        <v>0</v>
      </c>
      <c r="G71" s="631">
        <v>0.01</v>
      </c>
      <c r="H71" s="631">
        <v>0</v>
      </c>
      <c r="I71" s="631">
        <v>0</v>
      </c>
      <c r="J71" s="631">
        <v>0.01</v>
      </c>
      <c r="K71" s="631">
        <v>0</v>
      </c>
      <c r="L71" s="631">
        <v>0.01</v>
      </c>
      <c r="M71" s="631">
        <v>-0.52</v>
      </c>
      <c r="N71" s="631">
        <v>-0.06</v>
      </c>
      <c r="O71" s="631">
        <v>0.32</v>
      </c>
      <c r="P71" s="631">
        <v>7.0000000000000007E-2</v>
      </c>
    </row>
    <row r="72" spans="2:18" ht="16.5" hidden="1" thickTop="1" thickBot="1">
      <c r="B72" s="602" t="s">
        <v>1211</v>
      </c>
      <c r="C72" s="623" t="s">
        <v>1285</v>
      </c>
      <c r="D72" s="623">
        <v>0.37</v>
      </c>
      <c r="E72" s="623">
        <v>0.41</v>
      </c>
      <c r="F72" s="623" t="s">
        <v>1286</v>
      </c>
      <c r="G72" s="623">
        <v>1.51</v>
      </c>
      <c r="H72" s="623" t="s">
        <v>1287</v>
      </c>
      <c r="I72" s="623" t="s">
        <v>1288</v>
      </c>
      <c r="J72" s="623" t="s">
        <v>1289</v>
      </c>
      <c r="K72" s="623" t="s">
        <v>1290</v>
      </c>
      <c r="L72" s="623" t="s">
        <v>1291</v>
      </c>
      <c r="M72" s="623" t="s">
        <v>1292</v>
      </c>
      <c r="N72" s="623">
        <v>0.72</v>
      </c>
      <c r="O72" s="623" t="s">
        <v>1293</v>
      </c>
      <c r="P72" s="623" t="s">
        <v>1294</v>
      </c>
    </row>
    <row r="73" spans="2:18" ht="15.75" hidden="1" thickTop="1">
      <c r="B73" s="602" t="s">
        <v>300</v>
      </c>
      <c r="C73" s="631">
        <v>0.47</v>
      </c>
      <c r="D73" s="631">
        <v>0.04</v>
      </c>
      <c r="E73" s="631">
        <v>0.03</v>
      </c>
      <c r="F73" s="631">
        <v>0.36</v>
      </c>
      <c r="G73" s="631">
        <v>0.06</v>
      </c>
      <c r="H73" s="631">
        <v>0.49</v>
      </c>
      <c r="I73" s="631">
        <v>-0.2</v>
      </c>
      <c r="J73" s="631">
        <v>0.13</v>
      </c>
      <c r="K73" s="631">
        <v>0</v>
      </c>
      <c r="L73" s="631">
        <v>-1.1100000000000001</v>
      </c>
      <c r="M73" s="631">
        <v>0.08</v>
      </c>
      <c r="N73" s="631">
        <v>0.15</v>
      </c>
      <c r="O73" s="631">
        <v>0.32</v>
      </c>
      <c r="P73" s="631">
        <v>0.21</v>
      </c>
    </row>
    <row r="74" spans="2:18" hidden="1">
      <c r="B74" s="602" t="s">
        <v>301</v>
      </c>
      <c r="C74" s="631">
        <v>0.19</v>
      </c>
      <c r="D74" s="631">
        <v>-0.1</v>
      </c>
      <c r="E74" s="631">
        <v>1.68</v>
      </c>
      <c r="F74" s="631">
        <v>0</v>
      </c>
      <c r="G74" s="631">
        <v>0.27</v>
      </c>
      <c r="H74" s="631">
        <v>0</v>
      </c>
      <c r="I74" s="631">
        <v>-13.15</v>
      </c>
      <c r="J74" s="631">
        <v>0</v>
      </c>
      <c r="K74" s="631">
        <v>4.01</v>
      </c>
      <c r="L74" s="631">
        <v>0.2</v>
      </c>
      <c r="M74" s="631">
        <v>-0.3</v>
      </c>
      <c r="N74" s="631">
        <v>0.11</v>
      </c>
      <c r="O74" s="631">
        <v>-0.49</v>
      </c>
      <c r="P74" s="631">
        <v>-0.03</v>
      </c>
    </row>
    <row r="75" spans="2:18" hidden="1">
      <c r="B75" s="602" t="s">
        <v>302</v>
      </c>
      <c r="C75" s="631">
        <v>-0.01</v>
      </c>
      <c r="D75" s="631">
        <v>0.17</v>
      </c>
      <c r="E75" s="631">
        <v>0.02</v>
      </c>
      <c r="F75" s="631">
        <v>-0.28000000000000003</v>
      </c>
      <c r="G75" s="631">
        <v>-0.08</v>
      </c>
      <c r="H75" s="631">
        <v>-0.73</v>
      </c>
      <c r="I75" s="631">
        <v>-0.06</v>
      </c>
      <c r="J75" s="631">
        <v>-0.49</v>
      </c>
      <c r="K75" s="631">
        <v>0</v>
      </c>
      <c r="L75" s="631">
        <v>0.05</v>
      </c>
      <c r="M75" s="631">
        <v>-0.3</v>
      </c>
      <c r="N75" s="631">
        <v>-0.17</v>
      </c>
      <c r="O75" s="631">
        <v>-0.28000000000000003</v>
      </c>
      <c r="P75" s="631">
        <v>-0.21</v>
      </c>
    </row>
    <row r="76" spans="2:18" hidden="1">
      <c r="B76" s="602" t="s">
        <v>303</v>
      </c>
      <c r="C76" s="631">
        <v>0.17</v>
      </c>
      <c r="D76" s="631">
        <v>-0.03</v>
      </c>
      <c r="E76" s="631">
        <v>-0.01</v>
      </c>
      <c r="F76" s="631">
        <v>-0.02</v>
      </c>
      <c r="G76" s="631">
        <v>-0.05</v>
      </c>
      <c r="H76" s="631">
        <v>-0.14000000000000001</v>
      </c>
      <c r="I76" s="631">
        <v>-0.33</v>
      </c>
      <c r="J76" s="631">
        <v>0.12</v>
      </c>
      <c r="K76" s="631">
        <v>0</v>
      </c>
      <c r="L76" s="631">
        <v>-0.15</v>
      </c>
      <c r="M76" s="631">
        <v>0.06</v>
      </c>
      <c r="N76" s="631">
        <v>-0.03</v>
      </c>
      <c r="O76" s="631">
        <v>-0.33</v>
      </c>
      <c r="P76" s="631">
        <v>-0.13</v>
      </c>
    </row>
    <row r="77" spans="2:18" hidden="1">
      <c r="B77" s="602" t="s">
        <v>304</v>
      </c>
      <c r="C77" s="631">
        <v>-0.16</v>
      </c>
      <c r="D77" s="631">
        <v>0.11</v>
      </c>
      <c r="E77" s="631">
        <v>-0.01</v>
      </c>
      <c r="F77" s="631">
        <v>-0.2</v>
      </c>
      <c r="G77" s="631">
        <v>-0.04</v>
      </c>
      <c r="H77" s="631">
        <v>0.31</v>
      </c>
      <c r="I77" s="631">
        <v>-0.04</v>
      </c>
      <c r="J77" s="631">
        <v>-0.11</v>
      </c>
      <c r="K77" s="631">
        <v>0</v>
      </c>
      <c r="L77" s="631">
        <v>0.02</v>
      </c>
      <c r="M77" s="631">
        <v>-0.04</v>
      </c>
      <c r="N77" s="631">
        <v>0</v>
      </c>
      <c r="O77" s="631">
        <v>-1.1399999999999999</v>
      </c>
      <c r="P77" s="631">
        <v>-0.38</v>
      </c>
    </row>
    <row r="78" spans="2:18" hidden="1">
      <c r="B78" s="602" t="s">
        <v>305</v>
      </c>
      <c r="C78" s="631">
        <v>-0.42</v>
      </c>
      <c r="D78" s="631">
        <v>-0.34</v>
      </c>
      <c r="E78" s="631">
        <v>0.79</v>
      </c>
      <c r="F78" s="631">
        <v>-0.27</v>
      </c>
      <c r="G78" s="631">
        <v>0.28999999999999998</v>
      </c>
      <c r="H78" s="631">
        <v>7.0000000000000007E-2</v>
      </c>
      <c r="I78" s="631">
        <v>-0.14000000000000001</v>
      </c>
      <c r="J78" s="631">
        <v>-0.1</v>
      </c>
      <c r="K78" s="631">
        <v>1.23</v>
      </c>
      <c r="L78" s="631">
        <v>0.97</v>
      </c>
      <c r="M78" s="631">
        <v>-0.43</v>
      </c>
      <c r="N78" s="631">
        <v>0.23</v>
      </c>
      <c r="O78" s="631">
        <v>-0.9</v>
      </c>
      <c r="P78" s="631">
        <v>-0.15</v>
      </c>
    </row>
    <row r="79" spans="2:18" hidden="1">
      <c r="B79" s="602" t="s">
        <v>306</v>
      </c>
      <c r="C79" s="631">
        <v>0.02</v>
      </c>
      <c r="D79" s="631">
        <v>0.04</v>
      </c>
      <c r="E79" s="631">
        <v>0.39</v>
      </c>
      <c r="F79" s="631">
        <v>0.11</v>
      </c>
      <c r="G79" s="631">
        <v>-0.22</v>
      </c>
      <c r="H79" s="631">
        <v>0.15</v>
      </c>
      <c r="I79" s="631">
        <v>-0.01</v>
      </c>
      <c r="J79" s="631">
        <v>-7.0000000000000007E-2</v>
      </c>
      <c r="K79" s="631">
        <v>0.01</v>
      </c>
      <c r="L79" s="631">
        <v>0.19</v>
      </c>
      <c r="M79" s="631">
        <v>0.42</v>
      </c>
      <c r="N79" s="631">
        <v>0.17</v>
      </c>
      <c r="O79" s="631">
        <v>-0.18</v>
      </c>
      <c r="P79" s="631">
        <v>0.05</v>
      </c>
    </row>
    <row r="80" spans="2:18" ht="15.75" hidden="1" thickBot="1">
      <c r="B80" s="645"/>
      <c r="C80" s="645"/>
      <c r="D80" s="644"/>
      <c r="E80" s="646"/>
      <c r="F80" s="646"/>
      <c r="G80" s="646"/>
      <c r="H80" s="646"/>
      <c r="I80" s="646"/>
      <c r="J80" s="646"/>
      <c r="K80" s="646"/>
      <c r="L80" s="646"/>
      <c r="M80" s="646"/>
      <c r="N80" s="646"/>
      <c r="O80" s="646"/>
      <c r="P80" s="646"/>
    </row>
    <row r="81" spans="2:16" ht="16.5" hidden="1" thickTop="1" thickBot="1">
      <c r="D81" s="934"/>
      <c r="O81" s="19"/>
    </row>
    <row r="82" spans="2:16" ht="27" hidden="1" thickTop="1" thickBot="1">
      <c r="B82" s="1399"/>
      <c r="C82" s="1927" t="s">
        <v>1267</v>
      </c>
      <c r="D82" s="1928"/>
      <c r="E82" s="1928"/>
      <c r="F82" s="1929"/>
      <c r="G82" s="1928"/>
      <c r="H82" s="1928"/>
      <c r="I82" s="1928"/>
      <c r="J82" s="1928"/>
      <c r="K82" s="1928"/>
      <c r="L82" s="1928"/>
      <c r="M82" s="1928"/>
      <c r="N82" s="1930"/>
      <c r="O82" s="1400" t="s">
        <v>1268</v>
      </c>
      <c r="P82" s="1400" t="s">
        <v>747</v>
      </c>
    </row>
    <row r="83" spans="2:16" ht="27" thickTop="1" thickBot="1">
      <c r="B83" s="1401"/>
      <c r="C83" s="1400" t="s">
        <v>436</v>
      </c>
      <c r="D83" s="1400" t="s">
        <v>1795</v>
      </c>
      <c r="E83" s="1685" t="s">
        <v>1347</v>
      </c>
      <c r="F83" s="1672" t="s">
        <v>744</v>
      </c>
      <c r="G83" s="1701" t="s">
        <v>441</v>
      </c>
      <c r="H83" s="1400" t="s">
        <v>406</v>
      </c>
      <c r="I83" s="1400" t="s">
        <v>395</v>
      </c>
      <c r="J83" s="1400" t="s">
        <v>442</v>
      </c>
      <c r="K83" s="1400" t="s">
        <v>745</v>
      </c>
      <c r="L83" s="1400" t="s">
        <v>443</v>
      </c>
      <c r="M83" s="1400" t="s">
        <v>746</v>
      </c>
      <c r="N83" s="1685" t="s">
        <v>1269</v>
      </c>
      <c r="O83" s="1921" t="s">
        <v>1771</v>
      </c>
      <c r="P83" s="1921" t="s">
        <v>1772</v>
      </c>
    </row>
    <row r="84" spans="2:16" ht="30.75" customHeight="1" thickBot="1">
      <c r="B84" s="1402"/>
      <c r="C84" s="1195" t="s">
        <v>437</v>
      </c>
      <c r="D84" s="1197" t="s">
        <v>748</v>
      </c>
      <c r="E84" s="1686" t="s">
        <v>950</v>
      </c>
      <c r="F84" s="1546" t="s">
        <v>1271</v>
      </c>
      <c r="G84" s="1702"/>
      <c r="H84" s="1702"/>
      <c r="I84" s="1702"/>
      <c r="J84" s="1704" t="s">
        <v>434</v>
      </c>
      <c r="K84" s="1702"/>
      <c r="L84" s="1672" t="s">
        <v>435</v>
      </c>
      <c r="M84" s="1671" t="s">
        <v>751</v>
      </c>
      <c r="N84" s="1197" t="s">
        <v>742</v>
      </c>
      <c r="O84" s="1922"/>
      <c r="P84" s="1922"/>
    </row>
    <row r="85" spans="2:16" ht="15.75" thickBot="1">
      <c r="B85" s="1402"/>
      <c r="C85" s="1403"/>
      <c r="D85" s="1660"/>
      <c r="E85" s="1687" t="s">
        <v>951</v>
      </c>
      <c r="F85" s="1546" t="s">
        <v>1272</v>
      </c>
      <c r="G85" s="1703"/>
      <c r="H85" s="1703"/>
      <c r="I85" s="1703"/>
      <c r="J85" s="1705"/>
      <c r="K85" s="1703"/>
      <c r="L85" s="1703"/>
      <c r="M85" s="1704" t="s">
        <v>405</v>
      </c>
      <c r="N85" s="1710"/>
      <c r="O85" s="1922"/>
      <c r="P85" s="1922"/>
    </row>
    <row r="86" spans="2:16" ht="15.75" thickBot="1">
      <c r="B86" s="1404"/>
      <c r="C86" s="1405"/>
      <c r="D86" s="1661"/>
      <c r="E86" s="1688" t="s">
        <v>952</v>
      </c>
      <c r="F86" s="1675"/>
      <c r="G86" s="1675"/>
      <c r="H86" s="1675"/>
      <c r="I86" s="1675"/>
      <c r="J86" s="1706"/>
      <c r="K86" s="1675"/>
      <c r="L86" s="1675"/>
      <c r="M86" s="1707"/>
      <c r="N86" s="1691"/>
      <c r="O86" s="1923"/>
      <c r="P86" s="1923"/>
    </row>
    <row r="87" spans="2:16" ht="15.75" thickTop="1">
      <c r="B87" s="1401"/>
      <c r="C87" s="1406"/>
      <c r="D87" s="1662"/>
      <c r="E87" s="1689"/>
      <c r="F87" s="1673"/>
      <c r="G87" s="1673"/>
      <c r="H87" s="1673"/>
      <c r="I87" s="1673"/>
      <c r="J87" s="1689"/>
      <c r="K87" s="1673"/>
      <c r="L87" s="1673"/>
      <c r="M87" s="1708"/>
      <c r="N87" s="1689"/>
      <c r="O87" s="1673"/>
      <c r="P87" s="1673"/>
    </row>
    <row r="88" spans="2:16" ht="15.75" thickBot="1">
      <c r="B88" s="1407" t="s">
        <v>754</v>
      </c>
      <c r="C88" s="1486">
        <v>4.900016548039428</v>
      </c>
      <c r="D88" s="1198">
        <v>4.3459495819976999</v>
      </c>
      <c r="E88" s="1690">
        <v>27.624259296337037</v>
      </c>
      <c r="F88" s="1674">
        <v>5.2886081197764376</v>
      </c>
      <c r="G88" s="1674">
        <v>1.4238415288433024</v>
      </c>
      <c r="H88" s="1674">
        <v>8.3947065365472273</v>
      </c>
      <c r="I88" s="1674">
        <v>2.6548579684021067</v>
      </c>
      <c r="J88" s="1690">
        <v>2.2688956368227204</v>
      </c>
      <c r="K88" s="1674">
        <v>4.2531929360277863</v>
      </c>
      <c r="L88" s="1674">
        <v>1.0808192579877245</v>
      </c>
      <c r="M88" s="1709">
        <v>6.460721818470498</v>
      </c>
      <c r="N88" s="1690">
        <f>P88-O88</f>
        <v>68.695869229251997</v>
      </c>
      <c r="O88" s="1674">
        <v>31.304130770747996</v>
      </c>
      <c r="P88" s="1545">
        <v>100</v>
      </c>
    </row>
    <row r="89" spans="2:16" ht="15.75" thickBot="1">
      <c r="B89" s="1404"/>
      <c r="C89" s="1405"/>
      <c r="D89" s="1661"/>
      <c r="E89" s="1691"/>
      <c r="F89" s="1675"/>
      <c r="G89" s="1675"/>
      <c r="H89" s="1675"/>
      <c r="I89" s="1675"/>
      <c r="J89" s="1691"/>
      <c r="K89" s="1675"/>
      <c r="L89" s="1675"/>
      <c r="M89" s="1706"/>
      <c r="N89" s="1691"/>
      <c r="O89" s="1675"/>
      <c r="P89" s="1675"/>
    </row>
    <row r="90" spans="2:16" ht="15.75" hidden="1" thickTop="1">
      <c r="B90" s="1385"/>
      <c r="C90" s="1386"/>
      <c r="D90" s="1663"/>
      <c r="E90" s="1692"/>
      <c r="F90" s="1676"/>
      <c r="G90" s="1676"/>
      <c r="H90" s="1676"/>
      <c r="I90" s="1676"/>
      <c r="J90" s="1692"/>
      <c r="K90" s="1676"/>
      <c r="L90" s="1676"/>
      <c r="M90" s="1692"/>
      <c r="N90" s="1692"/>
      <c r="O90" s="1676"/>
      <c r="P90" s="1676"/>
    </row>
    <row r="91" spans="2:16" ht="15.75" hidden="1" thickTop="1">
      <c r="B91" s="1390">
        <v>2009</v>
      </c>
      <c r="C91" s="1387"/>
      <c r="D91" s="1664"/>
      <c r="E91" s="1693"/>
      <c r="F91" s="1677"/>
      <c r="G91" s="1677"/>
      <c r="H91" s="1677"/>
      <c r="I91" s="1677"/>
      <c r="J91" s="1693"/>
      <c r="K91" s="1677"/>
      <c r="L91" s="1677"/>
      <c r="M91" s="1693"/>
      <c r="N91" s="1693"/>
      <c r="O91" s="1677"/>
      <c r="P91" s="1677"/>
    </row>
    <row r="92" spans="2:16" ht="15.75" hidden="1" thickTop="1">
      <c r="B92" s="1388" t="s">
        <v>345</v>
      </c>
      <c r="C92" s="1389">
        <v>-5.1075595527467215</v>
      </c>
      <c r="D92" s="1665">
        <v>-3.3788764160602391</v>
      </c>
      <c r="E92" s="1694">
        <v>-0.1679995112741417</v>
      </c>
      <c r="F92" s="1678">
        <v>0.91060378773673012</v>
      </c>
      <c r="G92" s="1678">
        <v>-7.8042310155642003</v>
      </c>
      <c r="H92" s="1678">
        <v>-3.1541187966129924</v>
      </c>
      <c r="I92" s="1678"/>
      <c r="J92" s="1694">
        <v>2.4155848772655419</v>
      </c>
      <c r="K92" s="1678"/>
      <c r="L92" s="1678">
        <v>-3.8898699429698258</v>
      </c>
      <c r="M92" s="1694">
        <v>-0.23535312614541004</v>
      </c>
      <c r="N92" s="1694">
        <v>-2.791600986874665</v>
      </c>
      <c r="O92" s="1678">
        <v>-3.852612813336842</v>
      </c>
      <c r="P92" s="1678">
        <v>-3.1363744696476847</v>
      </c>
    </row>
    <row r="93" spans="2:16" ht="15.75" hidden="1" thickTop="1">
      <c r="B93" s="1388" t="s">
        <v>334</v>
      </c>
      <c r="C93" s="1389">
        <v>-6.1495685879009336</v>
      </c>
      <c r="D93" s="1665">
        <v>-5.7842275768451028</v>
      </c>
      <c r="E93" s="1694">
        <v>-0.21762362838831928</v>
      </c>
      <c r="F93" s="1678">
        <v>1.2530416382153353</v>
      </c>
      <c r="G93" s="1678">
        <v>-0.25970528941372528</v>
      </c>
      <c r="H93" s="1678">
        <v>5.5836976151080187E-2</v>
      </c>
      <c r="I93" s="1678"/>
      <c r="J93" s="1694">
        <v>-0.53793684960146138</v>
      </c>
      <c r="K93" s="1678"/>
      <c r="L93" s="1678">
        <v>4.0829678025563032</v>
      </c>
      <c r="M93" s="1694">
        <v>-2.1489063463253855</v>
      </c>
      <c r="N93" s="1694">
        <v>-2.7563512174722082</v>
      </c>
      <c r="O93" s="1678">
        <v>-5.6339489910798406</v>
      </c>
      <c r="P93" s="1678">
        <v>-3.0280268345718397</v>
      </c>
    </row>
    <row r="94" spans="2:16" ht="15.75" hidden="1" thickTop="1">
      <c r="B94" s="1388" t="s">
        <v>335</v>
      </c>
      <c r="C94" s="1389">
        <v>-2.5748806291309156</v>
      </c>
      <c r="D94" s="1665">
        <v>-3.2972021032504406</v>
      </c>
      <c r="E94" s="1694">
        <v>6.4688086427888036</v>
      </c>
      <c r="F94" s="1678">
        <v>-0.31758791311723433</v>
      </c>
      <c r="G94" s="1678">
        <v>-2.9011883756049461</v>
      </c>
      <c r="H94" s="1678">
        <v>1.2899571122455544</v>
      </c>
      <c r="I94" s="1678"/>
      <c r="J94" s="1694">
        <v>0.17175215747606831</v>
      </c>
      <c r="K94" s="1678"/>
      <c r="L94" s="1678">
        <v>-4.1021231224667165</v>
      </c>
      <c r="M94" s="1694">
        <v>-0.7660073437434467</v>
      </c>
      <c r="N94" s="1694">
        <v>-1.660958316471095</v>
      </c>
      <c r="O94" s="1678">
        <v>-2.9124849047628576</v>
      </c>
      <c r="P94" s="1678">
        <v>-1.0580851381829182</v>
      </c>
    </row>
    <row r="95" spans="2:16" ht="15.75" hidden="1" thickTop="1">
      <c r="B95" s="1388" t="s">
        <v>336</v>
      </c>
      <c r="C95" s="1389">
        <v>0</v>
      </c>
      <c r="D95" s="1665">
        <v>0</v>
      </c>
      <c r="E95" s="1694">
        <v>0</v>
      </c>
      <c r="F95" s="1678">
        <v>0</v>
      </c>
      <c r="G95" s="1678">
        <v>0</v>
      </c>
      <c r="H95" s="1678">
        <v>0</v>
      </c>
      <c r="I95" s="1678"/>
      <c r="J95" s="1694">
        <v>0</v>
      </c>
      <c r="K95" s="1678"/>
      <c r="L95" s="1678">
        <v>0</v>
      </c>
      <c r="M95" s="1694">
        <v>0</v>
      </c>
      <c r="N95" s="1694">
        <v>-0.1245685981690392</v>
      </c>
      <c r="O95" s="1678">
        <v>0</v>
      </c>
      <c r="P95" s="1678">
        <v>0</v>
      </c>
    </row>
    <row r="96" spans="2:16" ht="15.75" hidden="1" thickTop="1">
      <c r="B96" s="1388" t="s">
        <v>337</v>
      </c>
      <c r="C96" s="1389">
        <v>-0.15753397455906537</v>
      </c>
      <c r="D96" s="1665">
        <v>-6.5595772000659691</v>
      </c>
      <c r="E96" s="1694">
        <v>0.193159257722475</v>
      </c>
      <c r="F96" s="1678">
        <v>-4.8340865565194013</v>
      </c>
      <c r="G96" s="1678">
        <v>1.0496069317643464</v>
      </c>
      <c r="H96" s="1678">
        <v>1.953982757411854</v>
      </c>
      <c r="I96" s="1678">
        <v>-0.13140052792799395</v>
      </c>
      <c r="J96" s="1694">
        <v>0.49552410899913468</v>
      </c>
      <c r="K96" s="1678">
        <v>-3.7078373126965714</v>
      </c>
      <c r="L96" s="1678">
        <v>-1.5189653940905878</v>
      </c>
      <c r="M96" s="1694">
        <v>1.5214471157317666</v>
      </c>
      <c r="N96" s="1694">
        <v>-1.0619296296301095</v>
      </c>
      <c r="O96" s="1678">
        <v>-0.83951545288213358</v>
      </c>
      <c r="P96" s="1678">
        <v>-0.98885143235395434</v>
      </c>
    </row>
    <row r="97" spans="2:16" ht="15.75" hidden="1" thickTop="1">
      <c r="B97" s="1388" t="s">
        <v>338</v>
      </c>
      <c r="C97" s="1389">
        <v>5.3021432586926265</v>
      </c>
      <c r="D97" s="1665">
        <v>-1.2664656388518658</v>
      </c>
      <c r="E97" s="1694">
        <v>-0.26527158168065945</v>
      </c>
      <c r="F97" s="1678">
        <v>-0.53610054589240397</v>
      </c>
      <c r="G97" s="1678">
        <v>2.6685298655176215</v>
      </c>
      <c r="H97" s="1678">
        <v>7.2100953400435763</v>
      </c>
      <c r="I97" s="1678">
        <v>0.53115475238310061</v>
      </c>
      <c r="J97" s="1694">
        <v>-1.4477159893956038</v>
      </c>
      <c r="K97" s="1678">
        <v>0.74852576031254614</v>
      </c>
      <c r="L97" s="1678">
        <v>3.7571786122968298</v>
      </c>
      <c r="M97" s="1694">
        <v>0.51629092753977535</v>
      </c>
      <c r="N97" s="1694">
        <v>1.5442300681670185</v>
      </c>
      <c r="O97" s="1678">
        <v>-1.2600824087151685</v>
      </c>
      <c r="P97" s="1678">
        <v>0.62143278849122741</v>
      </c>
    </row>
    <row r="98" spans="2:16" ht="15.75" hidden="1" thickTop="1">
      <c r="B98" s="1388" t="s">
        <v>339</v>
      </c>
      <c r="C98" s="1389">
        <v>-1.7510299999999979</v>
      </c>
      <c r="D98" s="1665">
        <v>0.64364000000001198</v>
      </c>
      <c r="E98" s="1694">
        <v>0.47898000000001772</v>
      </c>
      <c r="F98" s="1678">
        <v>2.4654500000000024</v>
      </c>
      <c r="G98" s="1678">
        <v>-0.90739000000000791</v>
      </c>
      <c r="H98" s="1678">
        <v>8.1390599999999971</v>
      </c>
      <c r="I98" s="1678">
        <v>-3.0499400000000065</v>
      </c>
      <c r="J98" s="1694">
        <v>0.55579000000001155</v>
      </c>
      <c r="K98" s="1678">
        <v>-0.14487999999998058</v>
      </c>
      <c r="L98" s="1678">
        <v>-1.5206800000000076</v>
      </c>
      <c r="M98" s="1694">
        <v>8.2620000000011018E-2</v>
      </c>
      <c r="N98" s="1694">
        <v>1.338417908998446</v>
      </c>
      <c r="O98" s="1678">
        <v>0.230779999999986</v>
      </c>
      <c r="P98" s="1678">
        <v>0.9807499999999969</v>
      </c>
    </row>
    <row r="99" spans="2:16" ht="15.75" hidden="1" thickTop="1">
      <c r="B99" s="1388" t="s">
        <v>340</v>
      </c>
      <c r="C99" s="1389">
        <v>0.94100999999999768</v>
      </c>
      <c r="D99" s="1665">
        <v>-0.28700999999998755</v>
      </c>
      <c r="E99" s="1694">
        <v>3.0710600000000143</v>
      </c>
      <c r="F99" s="1678">
        <v>0.21492999999999096</v>
      </c>
      <c r="G99" s="1678">
        <v>1.6916999999999849</v>
      </c>
      <c r="H99" s="1678">
        <v>-0.64989000000000852</v>
      </c>
      <c r="I99" s="1678">
        <v>-0.25736000000000647</v>
      </c>
      <c r="J99" s="1694">
        <v>-0.31143999999999616</v>
      </c>
      <c r="K99" s="1678">
        <v>1.3231499999999841</v>
      </c>
      <c r="L99" s="1678">
        <v>-9.464000000000139E-2</v>
      </c>
      <c r="M99" s="1694">
        <v>-1.5251800000000149</v>
      </c>
      <c r="N99" s="1694">
        <v>0.54014263034196652</v>
      </c>
      <c r="O99" s="1678">
        <v>4.5519999999998895E-2</v>
      </c>
      <c r="P99" s="1678">
        <v>0.38160999999998779</v>
      </c>
    </row>
    <row r="100" spans="2:16" ht="15.75" hidden="1" thickTop="1">
      <c r="B100" s="1388" t="s">
        <v>341</v>
      </c>
      <c r="C100" s="1389">
        <v>-0.35858000000000834</v>
      </c>
      <c r="D100" s="1665">
        <v>-0.61841999999999731</v>
      </c>
      <c r="E100" s="1694">
        <v>5.7050000000002932E-2</v>
      </c>
      <c r="F100" s="1678">
        <v>-5.4169999999997831E-2</v>
      </c>
      <c r="G100" s="1678">
        <v>8.93099999999869E-2</v>
      </c>
      <c r="H100" s="1678">
        <v>-2.346629999999994</v>
      </c>
      <c r="I100" s="1678">
        <v>-0.85134999999998406</v>
      </c>
      <c r="J100" s="1694">
        <v>4.00396999999999</v>
      </c>
      <c r="K100" s="1678">
        <v>0.58602999999997074</v>
      </c>
      <c r="L100" s="1678">
        <v>3.0160399999999976</v>
      </c>
      <c r="M100" s="1694">
        <v>5.6060000000002219E-2</v>
      </c>
      <c r="N100" s="1694">
        <v>-0.16373186794959027</v>
      </c>
      <c r="O100" s="1678">
        <v>-1.1688000000000254</v>
      </c>
      <c r="P100" s="1678">
        <v>-0.48479000000000161</v>
      </c>
    </row>
    <row r="101" spans="2:16" ht="15.75" hidden="1" thickTop="1">
      <c r="B101" s="1388" t="s">
        <v>342</v>
      </c>
      <c r="C101" s="1389">
        <v>2.9506299999999985</v>
      </c>
      <c r="D101" s="1665">
        <v>0.17475000000000129</v>
      </c>
      <c r="E101" s="1694">
        <v>3.4067499999999917</v>
      </c>
      <c r="F101" s="1678">
        <v>8.8269999999979198E-2</v>
      </c>
      <c r="G101" s="1678">
        <v>-5.8449999999987678E-2</v>
      </c>
      <c r="H101" s="1678">
        <v>0.61834999999998974</v>
      </c>
      <c r="I101" s="1678">
        <v>-0.30999999999998806</v>
      </c>
      <c r="J101" s="1694">
        <v>-0.38833999999998703</v>
      </c>
      <c r="K101" s="1678">
        <v>0</v>
      </c>
      <c r="L101" s="1678">
        <v>-0.11239999999996808</v>
      </c>
      <c r="M101" s="1694">
        <v>-0.71406999999999998</v>
      </c>
      <c r="N101" s="1694">
        <v>1.0510063539313386</v>
      </c>
      <c r="O101" s="1678">
        <v>0.31245155542076741</v>
      </c>
      <c r="P101" s="1678">
        <v>0.81670462106242514</v>
      </c>
    </row>
    <row r="102" spans="2:16" ht="15.75" hidden="1" thickTop="1">
      <c r="B102" s="1388" t="s">
        <v>343</v>
      </c>
      <c r="C102" s="1389">
        <v>-1.3683400000000012</v>
      </c>
      <c r="D102" s="1665">
        <v>1.3152099999999667</v>
      </c>
      <c r="E102" s="1694">
        <v>-7.3299999999831833E-3</v>
      </c>
      <c r="F102" s="1678">
        <v>0.9211200000000197</v>
      </c>
      <c r="G102" s="1678">
        <v>-2.7296399999999998</v>
      </c>
      <c r="H102" s="1678">
        <v>-0.26935000000000153</v>
      </c>
      <c r="I102" s="1678">
        <v>1.833999999998337E-2</v>
      </c>
      <c r="J102" s="1694">
        <v>-2.4085400000000146</v>
      </c>
      <c r="K102" s="1678">
        <v>0.37007999999998376</v>
      </c>
      <c r="L102" s="1678">
        <v>1.0685600000000184</v>
      </c>
      <c r="M102" s="1694">
        <v>-0.13650000000000606</v>
      </c>
      <c r="N102" s="1694">
        <v>-0.16232127104873761</v>
      </c>
      <c r="O102" s="1678">
        <v>0.12463999999998698</v>
      </c>
      <c r="P102" s="1678">
        <v>-7.1739999999986814E-2</v>
      </c>
    </row>
    <row r="103" spans="2:16" ht="15.75" hidden="1" thickTop="1">
      <c r="B103" s="1388" t="s">
        <v>344</v>
      </c>
      <c r="C103" s="1389">
        <v>1.2877400000000039</v>
      </c>
      <c r="D103" s="1665">
        <v>-0.51786999999999805</v>
      </c>
      <c r="E103" s="1694">
        <v>0.20471999999998047</v>
      </c>
      <c r="F103" s="1678">
        <v>-0.71837999999999624</v>
      </c>
      <c r="G103" s="1678">
        <v>0.79602999999999202</v>
      </c>
      <c r="H103" s="1678">
        <v>1.9329399999999719</v>
      </c>
      <c r="I103" s="1678">
        <v>-0.34661999999999749</v>
      </c>
      <c r="J103" s="1694">
        <v>-0.14232999999999052</v>
      </c>
      <c r="K103" s="1678">
        <v>4.5439999999999703</v>
      </c>
      <c r="L103" s="1678">
        <v>1.9386099999999962</v>
      </c>
      <c r="M103" s="1694">
        <v>-0.76448000000000071</v>
      </c>
      <c r="N103" s="1694">
        <v>0.38323746152568727</v>
      </c>
      <c r="O103" s="1678">
        <v>0.68468999999999891</v>
      </c>
      <c r="P103" s="1678">
        <v>0.47858000000000622</v>
      </c>
    </row>
    <row r="104" spans="2:16" ht="15.75" hidden="1" thickTop="1">
      <c r="B104" s="1388"/>
      <c r="C104" s="1389"/>
      <c r="D104" s="1665"/>
      <c r="E104" s="1694"/>
      <c r="F104" s="1678"/>
      <c r="G104" s="1678"/>
      <c r="H104" s="1678"/>
      <c r="I104" s="1678"/>
      <c r="J104" s="1694"/>
      <c r="K104" s="1678"/>
      <c r="L104" s="1678"/>
      <c r="M104" s="1694"/>
      <c r="N104" s="1694"/>
      <c r="O104" s="1678"/>
      <c r="P104" s="1678"/>
    </row>
    <row r="105" spans="2:16" ht="15.75" hidden="1" thickTop="1">
      <c r="B105" s="1410">
        <v>2010</v>
      </c>
      <c r="C105" s="1389"/>
      <c r="D105" s="1665"/>
      <c r="E105" s="1694"/>
      <c r="F105" s="1678"/>
      <c r="G105" s="1678"/>
      <c r="H105" s="1678"/>
      <c r="I105" s="1678"/>
      <c r="J105" s="1694"/>
      <c r="K105" s="1678"/>
      <c r="L105" s="1678"/>
      <c r="M105" s="1694"/>
      <c r="N105" s="1694"/>
      <c r="O105" s="1678"/>
      <c r="P105" s="1678"/>
    </row>
    <row r="106" spans="2:16" ht="15.75" hidden="1" thickTop="1">
      <c r="B106" s="1388" t="s">
        <v>345</v>
      </c>
      <c r="C106" s="1389">
        <v>0.77795999999998866</v>
      </c>
      <c r="D106" s="1665">
        <v>-0.74178999999997552</v>
      </c>
      <c r="E106" s="1694">
        <v>-6.5790000000021109E-2</v>
      </c>
      <c r="F106" s="1678">
        <v>-8.6748643793188798</v>
      </c>
      <c r="G106" s="1678">
        <v>1.0002207385176654</v>
      </c>
      <c r="H106" s="1678">
        <v>-1.1089177590140165</v>
      </c>
      <c r="I106" s="1678">
        <v>-3.8179787299197354E-2</v>
      </c>
      <c r="J106" s="1694">
        <v>1.7490620720370664</v>
      </c>
      <c r="K106" s="1678">
        <v>3.1697243607186509</v>
      </c>
      <c r="L106" s="1678">
        <v>1.1338782080351661</v>
      </c>
      <c r="M106" s="1694">
        <v>0.5935399999999813</v>
      </c>
      <c r="N106" s="1694">
        <v>0.24813912056902421</v>
      </c>
      <c r="O106" s="1678">
        <v>1.8089800000000711</v>
      </c>
      <c r="P106" s="1678">
        <v>0.74280999999996045</v>
      </c>
    </row>
    <row r="107" spans="2:16" ht="15.75" hidden="1" thickTop="1">
      <c r="B107" s="1388" t="s">
        <v>334</v>
      </c>
      <c r="C107" s="1389">
        <v>3.9222300000000043</v>
      </c>
      <c r="D107" s="1665">
        <v>0.51097000000002168</v>
      </c>
      <c r="E107" s="1694">
        <v>7.299999999998974E-3</v>
      </c>
      <c r="F107" s="1678">
        <v>-1.9369999999985232E-2</v>
      </c>
      <c r="G107" s="1678">
        <v>-0.36217999999998973</v>
      </c>
      <c r="H107" s="1678">
        <v>1.0950800000000038</v>
      </c>
      <c r="I107" s="1678">
        <v>-4.0900000000010373E-3</v>
      </c>
      <c r="J107" s="1694">
        <v>-1.2608300000000128</v>
      </c>
      <c r="K107" s="1678">
        <v>-1.8591900000000106</v>
      </c>
      <c r="L107" s="1678">
        <v>0.86212999999999429</v>
      </c>
      <c r="M107" s="1694">
        <v>0.21249999999999325</v>
      </c>
      <c r="N107" s="1694">
        <v>0.55106530863351377</v>
      </c>
      <c r="O107" s="1678">
        <v>1.8184399999999989</v>
      </c>
      <c r="P107" s="1678">
        <v>0.95697999999999617</v>
      </c>
    </row>
    <row r="108" spans="2:16" ht="15.75" hidden="1" thickTop="1">
      <c r="B108" s="1388" t="s">
        <v>335</v>
      </c>
      <c r="C108" s="1389">
        <v>4.0109799999999973</v>
      </c>
      <c r="D108" s="1665">
        <v>-0.53056999999998578</v>
      </c>
      <c r="E108" s="1694">
        <v>2.3723999999999856</v>
      </c>
      <c r="F108" s="1678">
        <v>4.1546294057346334</v>
      </c>
      <c r="G108" s="1678">
        <v>1.4176300000000142</v>
      </c>
      <c r="H108" s="1678">
        <v>-2.4516599999999888</v>
      </c>
      <c r="I108" s="1678">
        <v>-0.59922999999999504</v>
      </c>
      <c r="J108" s="1694">
        <v>-0.99078000000000221</v>
      </c>
      <c r="K108" s="1678">
        <v>-1.770079999999985</v>
      </c>
      <c r="L108" s="1678">
        <v>3.6148700000000034</v>
      </c>
      <c r="M108" s="1694">
        <v>1.0889199999999821</v>
      </c>
      <c r="N108" s="1694">
        <v>0.45788940708060277</v>
      </c>
      <c r="O108" s="1678">
        <v>2.5052400000000086</v>
      </c>
      <c r="P108" s="1678">
        <v>1.1192100000000149</v>
      </c>
    </row>
    <row r="109" spans="2:16" ht="15.75" hidden="1" thickTop="1">
      <c r="B109" s="1388" t="s">
        <v>336</v>
      </c>
      <c r="C109" s="1389">
        <v>0.87514000000001868</v>
      </c>
      <c r="D109" s="1665">
        <v>-1.9322700000000137</v>
      </c>
      <c r="E109" s="1694">
        <v>-0.53828000000001319</v>
      </c>
      <c r="F109" s="1678">
        <v>0.41366000000000458</v>
      </c>
      <c r="G109" s="1678">
        <v>-0.34741999999999829</v>
      </c>
      <c r="H109" s="1678">
        <v>-0.89234999999998621</v>
      </c>
      <c r="I109" s="1678">
        <v>-2.8781900000000027</v>
      </c>
      <c r="J109" s="1694">
        <v>-2.1836600000000095</v>
      </c>
      <c r="K109" s="1678">
        <v>0</v>
      </c>
      <c r="L109" s="1678">
        <v>-2.799999999991698E-3</v>
      </c>
      <c r="M109" s="1694">
        <v>-0.74290999999999663</v>
      </c>
      <c r="N109" s="1694">
        <v>-0.26161175285399629</v>
      </c>
      <c r="O109" s="1678">
        <v>0.897199999999998</v>
      </c>
      <c r="P109" s="1678">
        <v>0.11782999999998545</v>
      </c>
    </row>
    <row r="110" spans="2:16" ht="15.75" hidden="1" thickTop="1">
      <c r="B110" s="1388" t="s">
        <v>337</v>
      </c>
      <c r="C110" s="1389">
        <v>1.1651899999999937</v>
      </c>
      <c r="D110" s="1665">
        <v>4.1500000000005421E-2</v>
      </c>
      <c r="E110" s="1694">
        <v>-0.49639000000000211</v>
      </c>
      <c r="F110" s="1678">
        <v>0.21409000000001122</v>
      </c>
      <c r="G110" s="1678">
        <v>0.32013000000001846</v>
      </c>
      <c r="H110" s="1678">
        <v>0.38804000000001171</v>
      </c>
      <c r="I110" s="1678">
        <v>-3.9270000000002359E-2</v>
      </c>
      <c r="J110" s="1694">
        <v>0.27850000000000374</v>
      </c>
      <c r="K110" s="1678">
        <v>0</v>
      </c>
      <c r="L110" s="1678">
        <v>0.33870000000000289</v>
      </c>
      <c r="M110" s="1694">
        <v>-0.20153999999996675</v>
      </c>
      <c r="N110" s="1694">
        <v>0.11063119447987102</v>
      </c>
      <c r="O110" s="1678">
        <v>0.57040000000001534</v>
      </c>
      <c r="P110" s="1678">
        <v>0.26234999999998898</v>
      </c>
    </row>
    <row r="111" spans="2:16" ht="15.75" hidden="1" thickTop="1">
      <c r="B111" s="1388" t="s">
        <v>338</v>
      </c>
      <c r="C111" s="1389">
        <v>-0.35527276772028271</v>
      </c>
      <c r="D111" s="1665">
        <v>0.28013653604892497</v>
      </c>
      <c r="E111" s="1694">
        <v>1.1201000536034345</v>
      </c>
      <c r="F111" s="1678">
        <v>-0.31482544533306678</v>
      </c>
      <c r="G111" s="1678">
        <v>-0.25838603642925895</v>
      </c>
      <c r="H111" s="1678">
        <v>-0.41872244290481753</v>
      </c>
      <c r="I111" s="1678">
        <v>-6.9960852018202679E-2</v>
      </c>
      <c r="J111" s="1694">
        <v>-0.36277564048921018</v>
      </c>
      <c r="K111" s="1678">
        <v>0.73720361050693128</v>
      </c>
      <c r="L111" s="1678">
        <v>7.0844405201997418E-3</v>
      </c>
      <c r="M111" s="1694">
        <v>0.34822684903259571</v>
      </c>
      <c r="N111" s="1694">
        <v>0.14816582422736424</v>
      </c>
      <c r="O111" s="1678">
        <v>-0.61444862430364289</v>
      </c>
      <c r="P111" s="1678">
        <v>-0.10426200934587904</v>
      </c>
    </row>
    <row r="112" spans="2:16" ht="15.75" hidden="1" thickTop="1">
      <c r="B112" s="1388" t="s">
        <v>339</v>
      </c>
      <c r="C112" s="1389">
        <v>-1.1732535428482849</v>
      </c>
      <c r="D112" s="1665">
        <v>-0.21858355554077447</v>
      </c>
      <c r="E112" s="1694">
        <v>-0.5299766486173807</v>
      </c>
      <c r="F112" s="1678">
        <v>0.14631729407028615</v>
      </c>
      <c r="G112" s="1678">
        <v>-8.2539396998726478E-2</v>
      </c>
      <c r="H112" s="1678">
        <v>0.12995579393613177</v>
      </c>
      <c r="I112" s="1678">
        <v>0.213692556046996</v>
      </c>
      <c r="J112" s="1694">
        <v>0.22226959200921659</v>
      </c>
      <c r="K112" s="1678">
        <v>-0.5934478955419098</v>
      </c>
      <c r="L112" s="1678">
        <v>-0.62083135362451802</v>
      </c>
      <c r="M112" s="1694">
        <v>-0.25324843481041581</v>
      </c>
      <c r="N112" s="1694">
        <v>-0.17729544724461865</v>
      </c>
      <c r="O112" s="1678">
        <v>-3.1482751902400796E-2</v>
      </c>
      <c r="P112" s="1678">
        <v>-0.12927747230301323</v>
      </c>
    </row>
    <row r="113" spans="2:16" ht="15.75" hidden="1" thickTop="1">
      <c r="B113" s="1388" t="s">
        <v>340</v>
      </c>
      <c r="C113" s="1389">
        <v>0.19717069754343619</v>
      </c>
      <c r="D113" s="1665">
        <v>-0.19580456405055013</v>
      </c>
      <c r="E113" s="1694">
        <v>-1.63862905338652E-2</v>
      </c>
      <c r="F113" s="1678">
        <v>2.7670002257496051E-2</v>
      </c>
      <c r="G113" s="1678">
        <v>-0.41175958121715261</v>
      </c>
      <c r="H113" s="1678">
        <v>-0.17041143857602359</v>
      </c>
      <c r="I113" s="1678">
        <v>-0.18050518510674962</v>
      </c>
      <c r="J113" s="1694">
        <v>-0.48539191619162425</v>
      </c>
      <c r="K113" s="1678">
        <v>-0.13385694665261072</v>
      </c>
      <c r="L113" s="1678">
        <v>0.71289814169996912</v>
      </c>
      <c r="M113" s="1694">
        <v>-0.16387114389200264</v>
      </c>
      <c r="N113" s="1694">
        <v>-0.21170330056102804</v>
      </c>
      <c r="O113" s="1678">
        <v>-5.3202271077412711E-3</v>
      </c>
      <c r="P113" s="1678">
        <v>-0.1436721780083916</v>
      </c>
    </row>
    <row r="114" spans="2:16" ht="15.75" hidden="1" thickTop="1">
      <c r="B114" s="1388" t="s">
        <v>341</v>
      </c>
      <c r="C114" s="1389">
        <v>-0.21582079410290556</v>
      </c>
      <c r="D114" s="1665">
        <v>0.16221968487448724</v>
      </c>
      <c r="E114" s="1694">
        <v>-0.59873702183391719</v>
      </c>
      <c r="F114" s="1678">
        <v>-4.6328896354574933E-2</v>
      </c>
      <c r="G114" s="1678">
        <v>0.49585027821936745</v>
      </c>
      <c r="H114" s="1678">
        <v>4.3222158185884929E-2</v>
      </c>
      <c r="I114" s="1678">
        <v>-3.248909659416821E-2</v>
      </c>
      <c r="J114" s="1694">
        <v>0.11839445944461513</v>
      </c>
      <c r="K114" s="1678">
        <v>0</v>
      </c>
      <c r="L114" s="1678">
        <v>-4.4381966864004418E-2</v>
      </c>
      <c r="M114" s="1694">
        <v>0.17876503704805646</v>
      </c>
      <c r="N114" s="1694">
        <v>0.1417802840808724</v>
      </c>
      <c r="O114" s="1678">
        <v>3.7023715404571611E-2</v>
      </c>
      <c r="P114" s="1678">
        <v>0.1072009895346282</v>
      </c>
    </row>
    <row r="115" spans="2:16" ht="15.75" hidden="1" thickTop="1">
      <c r="B115" s="1388" t="s">
        <v>342</v>
      </c>
      <c r="C115" s="1389">
        <v>1.3715098779577106</v>
      </c>
      <c r="D115" s="1665">
        <v>-0.15010461418673016</v>
      </c>
      <c r="E115" s="1694">
        <v>1.0128427762498227</v>
      </c>
      <c r="F115" s="1678">
        <v>-0.28608929700003616</v>
      </c>
      <c r="G115" s="1678">
        <v>-0.11949495911163233</v>
      </c>
      <c r="H115" s="1678">
        <v>-2.2366616010816021E-2</v>
      </c>
      <c r="I115" s="1678">
        <v>-0.5038085207153209</v>
      </c>
      <c r="J115" s="1694">
        <v>-0.18445407382475798</v>
      </c>
      <c r="K115" s="1678">
        <v>0</v>
      </c>
      <c r="L115" s="1678">
        <v>0.4496482125150747</v>
      </c>
      <c r="M115" s="1694">
        <v>0.6432249210374108</v>
      </c>
      <c r="N115" s="1694">
        <v>0.12679733762857026</v>
      </c>
      <c r="O115" s="1678">
        <v>0.3975499547264727</v>
      </c>
      <c r="P115" s="1678">
        <v>0.21610793025848007</v>
      </c>
    </row>
    <row r="116" spans="2:16" ht="15.75" hidden="1" thickTop="1">
      <c r="B116" s="1388" t="s">
        <v>343</v>
      </c>
      <c r="C116" s="1389">
        <v>-0.17479548296586156</v>
      </c>
      <c r="D116" s="1665">
        <v>9.4144832057940775E-2</v>
      </c>
      <c r="E116" s="1694">
        <v>0.23768436482458632</v>
      </c>
      <c r="F116" s="1678">
        <v>-1.9419418360237084</v>
      </c>
      <c r="G116" s="1678">
        <v>-3.6042898141308566E-2</v>
      </c>
      <c r="H116" s="1678">
        <v>0.64011913790384956</v>
      </c>
      <c r="I116" s="1678">
        <v>0.60537922179799697</v>
      </c>
      <c r="J116" s="1694">
        <v>-0.14771936496552618</v>
      </c>
      <c r="K116" s="1678">
        <v>0.13750000000001261</v>
      </c>
      <c r="L116" s="1678">
        <v>0.30471034394030649</v>
      </c>
      <c r="M116" s="1694">
        <v>0.7432768991946892</v>
      </c>
      <c r="N116" s="1694">
        <v>6.628675869244649E-2</v>
      </c>
      <c r="O116" s="1678">
        <v>1.3520506614298933</v>
      </c>
      <c r="P116" s="1678">
        <v>0.49117735508017457</v>
      </c>
    </row>
    <row r="117" spans="2:16" ht="15.75" hidden="1" thickTop="1">
      <c r="B117" s="1388" t="s">
        <v>344</v>
      </c>
      <c r="C117" s="1389">
        <v>-0.41656250331724154</v>
      </c>
      <c r="D117" s="1665">
        <v>0.43541972631941928</v>
      </c>
      <c r="E117" s="1694">
        <v>-0.42971225322607776</v>
      </c>
      <c r="F117" s="1678">
        <v>2.0786069703279342</v>
      </c>
      <c r="G117" s="1678">
        <v>9.0720240665032037E-2</v>
      </c>
      <c r="H117" s="1678">
        <v>-0.12506592543731765</v>
      </c>
      <c r="I117" s="1678">
        <v>-0.12035888662925709</v>
      </c>
      <c r="J117" s="1694">
        <v>0.37917515915553146</v>
      </c>
      <c r="K117" s="1678">
        <v>-0.13731119710398421</v>
      </c>
      <c r="L117" s="1678">
        <v>-1.0073638994993028</v>
      </c>
      <c r="M117" s="1694">
        <v>-0.98812332884623544</v>
      </c>
      <c r="N117" s="1694">
        <v>0.12187578126754417</v>
      </c>
      <c r="O117" s="1678">
        <v>-1.5593933744977195</v>
      </c>
      <c r="P117" s="1678">
        <v>-0.43847210989189644</v>
      </c>
    </row>
    <row r="118" spans="2:16" ht="15.75" hidden="1" thickTop="1">
      <c r="B118" s="1388"/>
      <c r="C118" s="1389"/>
      <c r="D118" s="1665"/>
      <c r="E118" s="1694"/>
      <c r="F118" s="1678"/>
      <c r="G118" s="1678"/>
      <c r="H118" s="1678"/>
      <c r="I118" s="1678"/>
      <c r="J118" s="1694"/>
      <c r="K118" s="1678"/>
      <c r="L118" s="1678"/>
      <c r="M118" s="1694"/>
      <c r="N118" s="1694"/>
      <c r="O118" s="1678"/>
      <c r="P118" s="1678"/>
    </row>
    <row r="119" spans="2:16" ht="15.75" hidden="1" thickTop="1">
      <c r="B119" s="1390">
        <v>2011</v>
      </c>
      <c r="C119" s="1389"/>
      <c r="D119" s="1665"/>
      <c r="E119" s="1694"/>
      <c r="F119" s="1678"/>
      <c r="G119" s="1678"/>
      <c r="H119" s="1678"/>
      <c r="I119" s="1678"/>
      <c r="J119" s="1694"/>
      <c r="K119" s="1678"/>
      <c r="L119" s="1678"/>
      <c r="M119" s="1694"/>
      <c r="N119" s="1694"/>
      <c r="O119" s="1678"/>
      <c r="P119" s="1678"/>
    </row>
    <row r="120" spans="2:16" ht="15.75" hidden="1" thickTop="1">
      <c r="B120" s="1388" t="s">
        <v>345</v>
      </c>
      <c r="C120" s="1389">
        <v>0.53189299395348666</v>
      </c>
      <c r="D120" s="1665">
        <v>0.40649329716506699</v>
      </c>
      <c r="E120" s="1694">
        <v>0.49243546069253075</v>
      </c>
      <c r="F120" s="1678">
        <v>0.10907211952562168</v>
      </c>
      <c r="G120" s="1678">
        <v>-0.22591302037245908</v>
      </c>
      <c r="H120" s="1678">
        <v>5.1563055040334538</v>
      </c>
      <c r="I120" s="1678">
        <v>-0.98785112330189717</v>
      </c>
      <c r="J120" s="1694">
        <v>-0.37993879827796784</v>
      </c>
      <c r="K120" s="1678">
        <v>0.81162727272727775</v>
      </c>
      <c r="L120" s="1678">
        <v>0.45958196864588352</v>
      </c>
      <c r="M120" s="1694">
        <v>3.1670008458106746</v>
      </c>
      <c r="N120" s="1694">
        <v>0.90233062206754866</v>
      </c>
      <c r="O120" s="1678">
        <v>1.2766758509746179</v>
      </c>
      <c r="P120" s="1678">
        <v>1.0256909533965519</v>
      </c>
    </row>
    <row r="121" spans="2:16" ht="15.75" hidden="1" thickTop="1">
      <c r="B121" s="1388" t="s">
        <v>334</v>
      </c>
      <c r="C121" s="1389">
        <v>1.2079445584420645</v>
      </c>
      <c r="D121" s="1665">
        <v>0.70813800583706676</v>
      </c>
      <c r="E121" s="1694">
        <v>0.32430209876410654</v>
      </c>
      <c r="F121" s="1678">
        <v>0.10683081534184069</v>
      </c>
      <c r="G121" s="1678">
        <v>-0.27486565932824947</v>
      </c>
      <c r="H121" s="1678">
        <v>1.0498555034782919</v>
      </c>
      <c r="I121" s="1678">
        <v>5.9551115724243431E-2</v>
      </c>
      <c r="J121" s="1694">
        <v>0.27603336114401245</v>
      </c>
      <c r="K121" s="1678">
        <v>0.46277129468921263</v>
      </c>
      <c r="L121" s="1678">
        <v>0.39006596601074417</v>
      </c>
      <c r="M121" s="1694">
        <v>0.22202588860911199</v>
      </c>
      <c r="N121" s="1694">
        <v>0.54642194433400793</v>
      </c>
      <c r="O121" s="1678">
        <v>0.36998788118274284</v>
      </c>
      <c r="P121" s="1678">
        <v>0.48813607620010746</v>
      </c>
    </row>
    <row r="122" spans="2:16" ht="15.75" hidden="1" thickTop="1">
      <c r="B122" s="1388" t="s">
        <v>335</v>
      </c>
      <c r="C122" s="1389">
        <v>1.1750731777552037</v>
      </c>
      <c r="D122" s="1665">
        <v>0.40357019996126731</v>
      </c>
      <c r="E122" s="1694">
        <v>1.3089971462131533</v>
      </c>
      <c r="F122" s="1678">
        <v>-0.20921431133903434</v>
      </c>
      <c r="G122" s="1678">
        <v>1.9170787864331018E-2</v>
      </c>
      <c r="H122" s="1678">
        <v>2.5070287511223643</v>
      </c>
      <c r="I122" s="1678">
        <v>-0.33432873893123327</v>
      </c>
      <c r="J122" s="1694">
        <v>0.4738490663194872</v>
      </c>
      <c r="K122" s="1678">
        <v>3.5684173837362776</v>
      </c>
      <c r="L122" s="1678">
        <v>1.4391100392846301</v>
      </c>
      <c r="M122" s="1694">
        <v>2.5683952012744982E-2</v>
      </c>
      <c r="N122" s="1694">
        <v>0.81222207601439056</v>
      </c>
      <c r="O122" s="1678">
        <v>0.62779507323538208</v>
      </c>
      <c r="P122" s="1678">
        <v>0.75136733436040881</v>
      </c>
    </row>
    <row r="123" spans="2:16" ht="15.75" hidden="1" thickTop="1">
      <c r="B123" s="1388" t="s">
        <v>336</v>
      </c>
      <c r="C123" s="1389">
        <v>0.23043072571808931</v>
      </c>
      <c r="D123" s="1665">
        <v>-0.69890472231124434</v>
      </c>
      <c r="E123" s="1694">
        <v>0.54839131801436292</v>
      </c>
      <c r="F123" s="1678">
        <v>-0.37524852286855426</v>
      </c>
      <c r="G123" s="1678">
        <v>-0.58911892902459018</v>
      </c>
      <c r="H123" s="1678">
        <v>0.20795582728998507</v>
      </c>
      <c r="I123" s="1678">
        <v>-0.29086076862332444</v>
      </c>
      <c r="J123" s="1694">
        <v>0.22070675313512478</v>
      </c>
      <c r="K123" s="1678">
        <v>0</v>
      </c>
      <c r="L123" s="1678">
        <v>0.37383311329117763</v>
      </c>
      <c r="M123" s="1694">
        <v>0.24490872365350302</v>
      </c>
      <c r="N123" s="1694">
        <v>-4.0248483973637228E-2</v>
      </c>
      <c r="O123" s="1678">
        <v>0.52066369284486935</v>
      </c>
      <c r="P123" s="1678">
        <v>0.14460676662839678</v>
      </c>
    </row>
    <row r="124" spans="2:16" ht="15.75" hidden="1" thickTop="1">
      <c r="B124" s="1388" t="s">
        <v>337</v>
      </c>
      <c r="C124" s="1389">
        <v>0.25380474910028372</v>
      </c>
      <c r="D124" s="1665">
        <v>0.48750477001140435</v>
      </c>
      <c r="E124" s="1694">
        <v>-0.17138519623680626</v>
      </c>
      <c r="F124" s="1678">
        <v>-0.1669302062399125</v>
      </c>
      <c r="G124" s="1678">
        <v>0.3836490113647395</v>
      </c>
      <c r="H124" s="1678">
        <v>-5.8202427679654445E-2</v>
      </c>
      <c r="I124" s="1678">
        <v>-0.29006955889253616</v>
      </c>
      <c r="J124" s="1694">
        <v>0.35093563897201641</v>
      </c>
      <c r="K124" s="1678">
        <v>0</v>
      </c>
      <c r="L124" s="1678">
        <v>1.3197501252782073</v>
      </c>
      <c r="M124" s="1694">
        <v>-0.25404473657629767</v>
      </c>
      <c r="N124" s="1694">
        <v>0.14932743589599617</v>
      </c>
      <c r="O124" s="1678">
        <v>-6.8101307175927328E-2</v>
      </c>
      <c r="P124" s="1678">
        <v>7.7402139605320386E-2</v>
      </c>
    </row>
    <row r="125" spans="2:16" ht="15.75" hidden="1" thickTop="1">
      <c r="B125" s="1388" t="s">
        <v>338</v>
      </c>
      <c r="C125" s="1389">
        <v>0.28117474526838659</v>
      </c>
      <c r="D125" s="1665">
        <v>0.13057515971313105</v>
      </c>
      <c r="E125" s="1694">
        <v>1.0952606632682382</v>
      </c>
      <c r="F125" s="1678">
        <v>0.43095220786883992</v>
      </c>
      <c r="G125" s="1678">
        <v>0.40465584029976132</v>
      </c>
      <c r="H125" s="1678">
        <v>-4.4091110765764885E-2</v>
      </c>
      <c r="I125" s="1678">
        <v>1.4906502512346265E-3</v>
      </c>
      <c r="J125" s="1694">
        <v>0.69641686233152811</v>
      </c>
      <c r="K125" s="1678">
        <v>0</v>
      </c>
      <c r="L125" s="1678">
        <v>-2.0608533957300335E-2</v>
      </c>
      <c r="M125" s="1694">
        <v>0.23664430974883466</v>
      </c>
      <c r="N125" s="1694">
        <v>0.30404117946247755</v>
      </c>
      <c r="O125" s="1678">
        <v>0.11626643184192709</v>
      </c>
      <c r="P125" s="1678">
        <v>0.24201571756323759</v>
      </c>
    </row>
    <row r="126" spans="2:16" ht="15.75" hidden="1" thickTop="1">
      <c r="B126" s="1388" t="s">
        <v>339</v>
      </c>
      <c r="C126" s="1389">
        <v>-0.12002282611471848</v>
      </c>
      <c r="D126" s="1665">
        <v>0.56645506512791322</v>
      </c>
      <c r="E126" s="1694">
        <v>0.31315812520242847</v>
      </c>
      <c r="F126" s="1678">
        <v>0.17925412126273965</v>
      </c>
      <c r="G126" s="1678">
        <v>-0.26806217982687786</v>
      </c>
      <c r="H126" s="1678">
        <v>1.6726807444711334E-2</v>
      </c>
      <c r="I126" s="1678">
        <v>-0.41471401295639643</v>
      </c>
      <c r="J126" s="1694">
        <v>-4.501302003824259E-2</v>
      </c>
      <c r="K126" s="1678">
        <v>0</v>
      </c>
      <c r="L126" s="1678">
        <v>0.8756575867908678</v>
      </c>
      <c r="M126" s="1694">
        <v>0.23511399915785436</v>
      </c>
      <c r="N126" s="1694">
        <v>0.15501124777801412</v>
      </c>
      <c r="O126" s="1678">
        <v>0.46697836948514926</v>
      </c>
      <c r="P126" s="1678">
        <v>0.25793047118281009</v>
      </c>
    </row>
    <row r="127" spans="2:16" ht="15.75" hidden="1" thickTop="1">
      <c r="B127" s="1388" t="s">
        <v>340</v>
      </c>
      <c r="C127" s="1389">
        <v>3.9143254494966584E-2</v>
      </c>
      <c r="D127" s="1665">
        <v>9.8119320491552031E-2</v>
      </c>
      <c r="E127" s="1694">
        <v>0.54876146200437681</v>
      </c>
      <c r="F127" s="1678">
        <v>0.41919783256001431</v>
      </c>
      <c r="G127" s="1678">
        <v>8.305295311568095E-2</v>
      </c>
      <c r="H127" s="1678">
        <v>0.27225717348624556</v>
      </c>
      <c r="I127" s="1678">
        <v>-0.10594269875663365</v>
      </c>
      <c r="J127" s="1694">
        <v>-6.4880309941162118E-2</v>
      </c>
      <c r="K127" s="1678">
        <v>0.36904561740453978</v>
      </c>
      <c r="L127" s="1678">
        <v>0.97574985448765084</v>
      </c>
      <c r="M127" s="1694">
        <v>0.29576993210109759</v>
      </c>
      <c r="N127" s="1694">
        <v>0.19995360605769008</v>
      </c>
      <c r="O127" s="1678">
        <v>-2.4668037632136208E-2</v>
      </c>
      <c r="P127" s="1678">
        <v>0.12569549794634316</v>
      </c>
    </row>
    <row r="128" spans="2:16" ht="15.75" hidden="1" thickTop="1">
      <c r="B128" s="1388" t="s">
        <v>341</v>
      </c>
      <c r="C128" s="1389">
        <v>0.39128882070356141</v>
      </c>
      <c r="D128" s="1665">
        <v>0.13572246639974583</v>
      </c>
      <c r="E128" s="1694">
        <v>1.6941407557116817</v>
      </c>
      <c r="F128" s="1678">
        <v>0.12505343804383173</v>
      </c>
      <c r="G128" s="1678">
        <v>3.0744019295481095E-2</v>
      </c>
      <c r="H128" s="1678">
        <v>-2.4760071099779624</v>
      </c>
      <c r="I128" s="1678">
        <v>13.664607722349341</v>
      </c>
      <c r="J128" s="1694">
        <v>0.19813488736344365</v>
      </c>
      <c r="K128" s="1678">
        <v>0.33457329642947453</v>
      </c>
      <c r="L128" s="1678">
        <v>0.24300710933511382</v>
      </c>
      <c r="M128" s="1694">
        <v>0.91358921050315178</v>
      </c>
      <c r="N128" s="1694">
        <v>1.0196714461012224</v>
      </c>
      <c r="O128" s="1678">
        <v>0.49580762846628268</v>
      </c>
      <c r="P128" s="1678">
        <v>0.84674636339354681</v>
      </c>
    </row>
    <row r="129" spans="2:16" ht="15.75" hidden="1" thickTop="1">
      <c r="B129" s="1388" t="s">
        <v>342</v>
      </c>
      <c r="C129" s="1389">
        <v>0.11790373641593632</v>
      </c>
      <c r="D129" s="1665">
        <v>0.17194035132481744</v>
      </c>
      <c r="E129" s="1694">
        <v>0.13166755328002377</v>
      </c>
      <c r="F129" s="1678">
        <v>-0.64565411372820014</v>
      </c>
      <c r="G129" s="1678">
        <v>0.31978408775610312</v>
      </c>
      <c r="H129" s="1678">
        <v>9.6033902662839843E-2</v>
      </c>
      <c r="I129" s="1678">
        <v>-0.1</v>
      </c>
      <c r="J129" s="1694">
        <v>0.1</v>
      </c>
      <c r="K129" s="1678">
        <v>0</v>
      </c>
      <c r="L129" s="1678">
        <v>-0.24181371807994179</v>
      </c>
      <c r="M129" s="1694">
        <v>0.47993520205331652</v>
      </c>
      <c r="N129" s="1694">
        <v>0.14356995904196701</v>
      </c>
      <c r="O129" s="1678">
        <v>8.0059390587239321E-2</v>
      </c>
      <c r="P129" s="1678">
        <v>0.1226783619231453</v>
      </c>
    </row>
    <row r="130" spans="2:16" ht="15.75" hidden="1" thickTop="1">
      <c r="B130" s="1388" t="s">
        <v>343</v>
      </c>
      <c r="C130" s="1389">
        <v>-4.719044145266027E-2</v>
      </c>
      <c r="D130" s="1665">
        <v>0.37495777790979012</v>
      </c>
      <c r="E130" s="1694">
        <v>0.54301515389434396</v>
      </c>
      <c r="F130" s="1678">
        <v>-9.1297278679303151E-2</v>
      </c>
      <c r="G130" s="1678">
        <v>4.6325893195575674E-2</v>
      </c>
      <c r="H130" s="1678">
        <v>-0.15597622784114806</v>
      </c>
      <c r="I130" s="1678">
        <v>-0.1</v>
      </c>
      <c r="J130" s="1694">
        <v>0.1</v>
      </c>
      <c r="K130" s="1678">
        <v>0</v>
      </c>
      <c r="L130" s="1678">
        <v>1.2160409465539868</v>
      </c>
      <c r="M130" s="1694">
        <v>0.2086362226952243</v>
      </c>
      <c r="N130" s="1694">
        <v>3.852379595492561E-2</v>
      </c>
      <c r="O130" s="1678">
        <v>1.4791221962174639</v>
      </c>
      <c r="P130" s="1678">
        <v>0.51220228852657534</v>
      </c>
    </row>
    <row r="131" spans="2:16" ht="15.75" hidden="1" thickTop="1">
      <c r="B131" s="1388" t="s">
        <v>344</v>
      </c>
      <c r="C131" s="1389">
        <v>3.1449946156647979</v>
      </c>
      <c r="D131" s="1665">
        <v>-0.18999907759179591</v>
      </c>
      <c r="E131" s="1694">
        <v>0.41234772515159612</v>
      </c>
      <c r="F131" s="1678">
        <v>0.29753678562718378</v>
      </c>
      <c r="G131" s="1678">
        <v>5.4333555146079959E-2</v>
      </c>
      <c r="H131" s="1678">
        <v>-3.8207784345922757E-2</v>
      </c>
      <c r="I131" s="1678">
        <v>-3.6965704006319822E-2</v>
      </c>
      <c r="J131" s="1694">
        <v>-0.18440464164973802</v>
      </c>
      <c r="K131" s="1678">
        <v>2.2204460492503131E-14</v>
      </c>
      <c r="L131" s="1678">
        <v>1.1401611271870893</v>
      </c>
      <c r="M131" s="1694">
        <v>-0.16438928415198895</v>
      </c>
      <c r="N131" s="1694">
        <v>-3.2783166086255866</v>
      </c>
      <c r="O131" s="1678">
        <v>0.32864292721785926</v>
      </c>
      <c r="P131" s="1678">
        <v>0.20520381481066163</v>
      </c>
    </row>
    <row r="132" spans="2:16" ht="15.75" hidden="1" thickTop="1">
      <c r="B132" s="1388"/>
      <c r="C132" s="1389"/>
      <c r="D132" s="1665"/>
      <c r="E132" s="1694"/>
      <c r="F132" s="1678"/>
      <c r="G132" s="1678"/>
      <c r="H132" s="1678"/>
      <c r="I132" s="1678"/>
      <c r="J132" s="1694"/>
      <c r="K132" s="1678"/>
      <c r="L132" s="1678"/>
      <c r="M132" s="1694"/>
      <c r="N132" s="1694"/>
      <c r="O132" s="1678"/>
      <c r="P132" s="1678"/>
    </row>
    <row r="133" spans="2:16" ht="15.75" hidden="1" thickTop="1">
      <c r="B133" s="1390">
        <v>2012</v>
      </c>
      <c r="C133" s="1389"/>
      <c r="D133" s="1665"/>
      <c r="E133" s="1694"/>
      <c r="F133" s="1678"/>
      <c r="G133" s="1678"/>
      <c r="H133" s="1678"/>
      <c r="I133" s="1678"/>
      <c r="J133" s="1694"/>
      <c r="K133" s="1678"/>
      <c r="L133" s="1678"/>
      <c r="M133" s="1694"/>
      <c r="N133" s="1694"/>
      <c r="O133" s="1678"/>
      <c r="P133" s="1678"/>
    </row>
    <row r="134" spans="2:16" ht="15.75" hidden="1" thickTop="1">
      <c r="B134" s="1388" t="s">
        <v>345</v>
      </c>
      <c r="C134" s="1389">
        <v>0.46432393446287357</v>
      </c>
      <c r="D134" s="1665">
        <v>0.19737418065666201</v>
      </c>
      <c r="E134" s="1694">
        <v>-5.064366333162873E-3</v>
      </c>
      <c r="F134" s="1678">
        <v>0.445811739202151</v>
      </c>
      <c r="G134" s="1678">
        <v>0.32606063705151733</v>
      </c>
      <c r="H134" s="1678">
        <v>0.4584112993437639</v>
      </c>
      <c r="I134" s="1678">
        <v>0.44831589637843727</v>
      </c>
      <c r="J134" s="1694">
        <v>-1.8992604408183511</v>
      </c>
      <c r="K134" s="1678">
        <v>0.97048341374004199</v>
      </c>
      <c r="L134" s="1678">
        <v>1.3296363240134168</v>
      </c>
      <c r="M134" s="1694">
        <v>0.41952952572834601</v>
      </c>
      <c r="N134" s="1694">
        <v>4.0379006362410097</v>
      </c>
      <c r="O134" s="1678">
        <v>0.41125950023441771</v>
      </c>
      <c r="P134" s="1678">
        <v>0.45892286791437975</v>
      </c>
    </row>
    <row r="135" spans="2:16" ht="15.75" hidden="1" thickTop="1">
      <c r="B135" s="1388" t="s">
        <v>334</v>
      </c>
      <c r="C135" s="1389">
        <v>0.86843481704166336</v>
      </c>
      <c r="D135" s="1665">
        <v>0.35040552132650227</v>
      </c>
      <c r="E135" s="1694">
        <v>3.8088608140675939</v>
      </c>
      <c r="F135" s="1678">
        <v>0.24512831629541765</v>
      </c>
      <c r="G135" s="1678">
        <v>0.24536756950652716</v>
      </c>
      <c r="H135" s="1678">
        <v>-0.12145845553678258</v>
      </c>
      <c r="I135" s="1678">
        <v>-0.52314989458047689</v>
      </c>
      <c r="J135" s="1694">
        <v>2.0307802673427577</v>
      </c>
      <c r="K135" s="1678">
        <v>0</v>
      </c>
      <c r="L135" s="1678">
        <v>-0.30539088966300421</v>
      </c>
      <c r="M135" s="1694">
        <v>0.48088917640176643</v>
      </c>
      <c r="N135" s="1694">
        <v>0.44580746942404215</v>
      </c>
      <c r="O135" s="1678">
        <v>0.47640402472959309</v>
      </c>
      <c r="P135" s="1678">
        <v>0.58905222487205522</v>
      </c>
    </row>
    <row r="136" spans="2:16" ht="15.75" hidden="1" thickTop="1">
      <c r="B136" s="1388" t="s">
        <v>335</v>
      </c>
      <c r="C136" s="1389">
        <v>2.1106579601060105E-2</v>
      </c>
      <c r="D136" s="1665">
        <v>0.12492322477268836</v>
      </c>
      <c r="E136" s="1694">
        <v>1.5587599674695252</v>
      </c>
      <c r="F136" s="1678">
        <v>0.27441179796818815</v>
      </c>
      <c r="G136" s="1678">
        <v>8.1072723514763467E-3</v>
      </c>
      <c r="H136" s="1678">
        <v>9.9326288272116869E-2</v>
      </c>
      <c r="I136" s="1678">
        <v>-0.15786903159102916</v>
      </c>
      <c r="J136" s="1694">
        <v>0.12913951198734175</v>
      </c>
      <c r="K136" s="1678">
        <v>4.319689552678474</v>
      </c>
      <c r="L136" s="1678">
        <v>0.15095285270048109</v>
      </c>
      <c r="M136" s="1694">
        <v>0.38357736597747216</v>
      </c>
      <c r="N136" s="1694">
        <v>0.29124127544604139</v>
      </c>
      <c r="O136" s="1678">
        <v>0.80392051272670795</v>
      </c>
      <c r="P136" s="1678">
        <v>0.5285278801695158</v>
      </c>
    </row>
    <row r="137" spans="2:16" ht="15.75" hidden="1" thickTop="1">
      <c r="B137" s="1388" t="s">
        <v>336</v>
      </c>
      <c r="C137" s="1389">
        <v>0.59249450661991165</v>
      </c>
      <c r="D137" s="1665">
        <v>-0.53101114778717484</v>
      </c>
      <c r="E137" s="1694">
        <v>2.7094155285176669</v>
      </c>
      <c r="F137" s="1678">
        <v>-0.17904453487518346</v>
      </c>
      <c r="G137" s="1678">
        <v>-0.17068750504660724</v>
      </c>
      <c r="H137" s="1678">
        <v>0.87006725307339217</v>
      </c>
      <c r="I137" s="1678">
        <v>0.11677246992018997</v>
      </c>
      <c r="J137" s="1694">
        <v>1.1507509475616295</v>
      </c>
      <c r="K137" s="1678">
        <v>0.14753622591596738</v>
      </c>
      <c r="L137" s="1678">
        <v>0.31471097666595504</v>
      </c>
      <c r="M137" s="1694">
        <v>0.14548865201950978</v>
      </c>
      <c r="N137" s="1694">
        <v>0.21436002778618679</v>
      </c>
      <c r="O137" s="1678">
        <v>0.1407513057166021</v>
      </c>
      <c r="P137" s="1678">
        <v>0.18981733854428473</v>
      </c>
    </row>
    <row r="138" spans="2:16" ht="15.75" hidden="1" thickTop="1">
      <c r="B138" s="1388" t="s">
        <v>337</v>
      </c>
      <c r="C138" s="1389">
        <v>-6.304959645578867E-2</v>
      </c>
      <c r="D138" s="1665">
        <v>0.19844891037916756</v>
      </c>
      <c r="E138" s="1694">
        <v>0.38688207989319157</v>
      </c>
      <c r="F138" s="1678">
        <v>-1.7027130523428191E-2</v>
      </c>
      <c r="G138" s="1678">
        <v>0.12386132795136895</v>
      </c>
      <c r="H138" s="1678">
        <v>0.15051853253409408</v>
      </c>
      <c r="I138" s="1678">
        <v>-0.24615977310069592</v>
      </c>
      <c r="J138" s="1694">
        <v>-0.92994295385159242</v>
      </c>
      <c r="K138" s="1678">
        <v>0</v>
      </c>
      <c r="L138" s="1678">
        <v>0.29214188613899683</v>
      </c>
      <c r="M138" s="1694">
        <v>-0.153280096302022</v>
      </c>
      <c r="N138" s="1694">
        <v>0.22589469319684863</v>
      </c>
      <c r="O138" s="1678">
        <v>-0.24574969794135537</v>
      </c>
      <c r="P138" s="1678">
        <v>6.8715590512957725E-2</v>
      </c>
    </row>
    <row r="139" spans="2:16" ht="15.75" hidden="1" thickTop="1">
      <c r="B139" s="1388" t="s">
        <v>338</v>
      </c>
      <c r="C139" s="1389">
        <v>0.62750693134177027</v>
      </c>
      <c r="D139" s="1665">
        <v>8.8937655540788363E-2</v>
      </c>
      <c r="E139" s="1694">
        <v>1.2629064208967256</v>
      </c>
      <c r="F139" s="1678">
        <v>0.4795418196969603</v>
      </c>
      <c r="G139" s="1678">
        <v>0.49963027551951367</v>
      </c>
      <c r="H139" s="1678">
        <v>-0.15165677968955737</v>
      </c>
      <c r="I139" s="1678">
        <v>-2.8723000458552583E-2</v>
      </c>
      <c r="J139" s="1694">
        <v>-0.37882592069440335</v>
      </c>
      <c r="K139" s="1678">
        <v>4.4622436737609128</v>
      </c>
      <c r="L139" s="1678">
        <v>-6.7009261393891073E-2</v>
      </c>
      <c r="M139" s="1694">
        <v>-0.12445949724544381</v>
      </c>
      <c r="N139" s="1694">
        <v>0.15742602455881549</v>
      </c>
      <c r="O139" s="1678">
        <v>0.28902509854356051</v>
      </c>
      <c r="P139" s="1678">
        <v>0.201144604600767</v>
      </c>
    </row>
    <row r="140" spans="2:16" ht="15.75" hidden="1" thickTop="1">
      <c r="B140" s="1388" t="s">
        <v>339</v>
      </c>
      <c r="C140" s="1389">
        <v>0.38146846176014826</v>
      </c>
      <c r="D140" s="1665">
        <v>-0.52759885416141517</v>
      </c>
      <c r="E140" s="1694">
        <v>9.4343523705475718E-2</v>
      </c>
      <c r="F140" s="1678">
        <v>7.0759812142551226E-3</v>
      </c>
      <c r="G140" s="1678">
        <v>0.13992442592443144</v>
      </c>
      <c r="H140" s="1678">
        <v>2.1233713458483683</v>
      </c>
      <c r="I140" s="1678">
        <v>4.6856797769145864E-2</v>
      </c>
      <c r="J140" s="1694">
        <v>0.16236539750720258</v>
      </c>
      <c r="K140" s="1678">
        <v>-2.2297674184657001E-2</v>
      </c>
      <c r="L140" s="1678">
        <v>0.6520899920547496</v>
      </c>
      <c r="M140" s="1694">
        <v>0.18329858842209834</v>
      </c>
      <c r="N140" s="1694">
        <v>0.35055848351908114</v>
      </c>
      <c r="O140" s="1678">
        <v>-1.8775230169565393E-2</v>
      </c>
      <c r="P140" s="1678">
        <v>0.2277543756354472</v>
      </c>
    </row>
    <row r="141" spans="2:16" ht="15.75" hidden="1" thickTop="1">
      <c r="B141" s="1388" t="s">
        <v>340</v>
      </c>
      <c r="C141" s="1389">
        <v>-4.2658783432003577E-2</v>
      </c>
      <c r="D141" s="1665">
        <v>-0.49034562723956343</v>
      </c>
      <c r="E141" s="1694">
        <v>0.30719479208964895</v>
      </c>
      <c r="F141" s="1678">
        <v>7.1278549218178888E-2</v>
      </c>
      <c r="G141" s="1678">
        <v>0.34027599857595625</v>
      </c>
      <c r="H141" s="1678">
        <v>-1.1554186475482009E-2</v>
      </c>
      <c r="I141" s="1678">
        <v>-2.8770431954383557E-2</v>
      </c>
      <c r="J141" s="1694">
        <v>-7.1498297040673009E-3</v>
      </c>
      <c r="K141" s="1678">
        <v>0.24603217939984656</v>
      </c>
      <c r="L141" s="1678">
        <v>8.5394682645767439E-2</v>
      </c>
      <c r="M141" s="1694">
        <v>-0.23698303321205705</v>
      </c>
      <c r="N141" s="1694">
        <v>-0.20898266958524481</v>
      </c>
      <c r="O141" s="1678">
        <v>-0.11095242185900078</v>
      </c>
      <c r="P141" s="1678">
        <v>-0.17646761448939507</v>
      </c>
    </row>
    <row r="142" spans="2:16" ht="15.75" hidden="1" thickTop="1">
      <c r="B142" s="1388" t="s">
        <v>341</v>
      </c>
      <c r="C142" s="1389">
        <v>9.4992144761185671E-2</v>
      </c>
      <c r="D142" s="1665">
        <v>-0.26885714401200245</v>
      </c>
      <c r="E142" s="1694">
        <v>-0.24450432657366905</v>
      </c>
      <c r="F142" s="1678">
        <v>8.574390764501949E-2</v>
      </c>
      <c r="G142" s="1678">
        <v>0.46065277396396542</v>
      </c>
      <c r="H142" s="1678">
        <v>0.12739383525359749</v>
      </c>
      <c r="I142" s="1678">
        <v>9.9930469874309757E-2</v>
      </c>
      <c r="J142" s="1694">
        <v>0.24631250220370493</v>
      </c>
      <c r="K142" s="1678">
        <v>0.3932775932919963</v>
      </c>
      <c r="L142" s="1678">
        <v>0.56016808110266325</v>
      </c>
      <c r="M142" s="1694">
        <v>0.29823304565232966</v>
      </c>
      <c r="N142" s="1694">
        <v>0.15932281725892228</v>
      </c>
      <c r="O142" s="1678">
        <v>1.0766829654399901</v>
      </c>
      <c r="P142" s="1678">
        <v>0.46379610872946397</v>
      </c>
    </row>
    <row r="143" spans="2:16" ht="15.75" hidden="1" thickTop="1">
      <c r="B143" s="1388" t="s">
        <v>342</v>
      </c>
      <c r="C143" s="1389">
        <v>0.37278189906913006</v>
      </c>
      <c r="D143" s="1665">
        <v>0.35446032828569951</v>
      </c>
      <c r="E143" s="1694">
        <v>-0.1273928222292775</v>
      </c>
      <c r="F143" s="1678">
        <v>-2.815886969863568E-2</v>
      </c>
      <c r="G143" s="1678">
        <v>-5.2865980788752154E-2</v>
      </c>
      <c r="H143" s="1678">
        <v>3.2792205705894029</v>
      </c>
      <c r="I143" s="1678">
        <v>4.3603612966958138E-2</v>
      </c>
      <c r="J143" s="1694">
        <v>-0.43228921405989995</v>
      </c>
      <c r="K143" s="1678">
        <v>-0.55712375575696083</v>
      </c>
      <c r="L143" s="1678">
        <v>0.3125575659451707</v>
      </c>
      <c r="M143" s="1694">
        <v>0.92282419697142792</v>
      </c>
      <c r="N143" s="1694">
        <v>0.16117644274262766</v>
      </c>
      <c r="O143" s="1678">
        <v>0.46264517958563012</v>
      </c>
      <c r="P143" s="1678">
        <v>0.26184480671371801</v>
      </c>
    </row>
    <row r="144" spans="2:16" ht="15.75" hidden="1" thickTop="1">
      <c r="B144" s="1388" t="s">
        <v>343</v>
      </c>
      <c r="C144" s="1389">
        <v>-0.29301281338636187</v>
      </c>
      <c r="D144" s="1665">
        <v>0.13490231055848234</v>
      </c>
      <c r="E144" s="1694">
        <v>0.2795139797383106</v>
      </c>
      <c r="F144" s="1678">
        <v>-3.9615115564806125E-2</v>
      </c>
      <c r="G144" s="1678">
        <v>-0.10319535696773352</v>
      </c>
      <c r="H144" s="1678">
        <v>0.10599490491112196</v>
      </c>
      <c r="I144" s="1678">
        <v>7.363643265290154E-2</v>
      </c>
      <c r="J144" s="1694">
        <v>5.733952309423529E-2</v>
      </c>
      <c r="K144" s="1678">
        <v>3.5341918058810151</v>
      </c>
      <c r="L144" s="1678">
        <v>-0.13251743500988233</v>
      </c>
      <c r="M144" s="1694">
        <v>-0.1239631304447486</v>
      </c>
      <c r="N144" s="1694">
        <v>0.11051062087645835</v>
      </c>
      <c r="O144" s="1678">
        <v>0.18035058636769463</v>
      </c>
      <c r="P144" s="1678">
        <v>0.1338787349024706</v>
      </c>
    </row>
    <row r="145" spans="2:16" ht="15.75" hidden="1" thickTop="1">
      <c r="B145" s="1388" t="s">
        <v>344</v>
      </c>
      <c r="C145" s="1389">
        <v>1.7599479081076286</v>
      </c>
      <c r="D145" s="1665">
        <v>-0.17026147621135301</v>
      </c>
      <c r="E145" s="1694">
        <v>0.26186780600196968</v>
      </c>
      <c r="F145" s="1678">
        <v>-0.24439990118954036</v>
      </c>
      <c r="G145" s="1678">
        <v>0.41938992132826147</v>
      </c>
      <c r="H145" s="1678">
        <v>-0.16752119186584924</v>
      </c>
      <c r="I145" s="1678">
        <v>0.23714856017622576</v>
      </c>
      <c r="J145" s="1694">
        <v>-0.10393304577769324</v>
      </c>
      <c r="K145" s="1678">
        <v>-8.5516306111721452E-2</v>
      </c>
      <c r="L145" s="1678">
        <v>3.3757742829587656E-2</v>
      </c>
      <c r="M145" s="1694">
        <v>6.6695404408889658E-2</v>
      </c>
      <c r="N145" s="1694">
        <v>5.1746491152648844E-2</v>
      </c>
      <c r="O145" s="1678">
        <v>0.28819370399124633</v>
      </c>
      <c r="P145" s="1678">
        <v>0.13089729943067674</v>
      </c>
    </row>
    <row r="146" spans="2:16" ht="15.75" hidden="1" thickTop="1">
      <c r="B146" s="1388"/>
      <c r="C146" s="1389"/>
      <c r="D146" s="1665"/>
      <c r="E146" s="1694"/>
      <c r="F146" s="1678"/>
      <c r="G146" s="1678"/>
      <c r="H146" s="1678"/>
      <c r="I146" s="1678"/>
      <c r="J146" s="1694"/>
      <c r="K146" s="1678"/>
      <c r="L146" s="1678"/>
      <c r="M146" s="1694"/>
      <c r="N146" s="1694"/>
      <c r="O146" s="1678"/>
      <c r="P146" s="1678"/>
    </row>
    <row r="147" spans="2:16" ht="15.75" hidden="1" thickTop="1">
      <c r="B147" s="1390">
        <v>2013</v>
      </c>
      <c r="C147" s="1389"/>
      <c r="D147" s="1665"/>
      <c r="E147" s="1694"/>
      <c r="F147" s="1678"/>
      <c r="G147" s="1678"/>
      <c r="H147" s="1678"/>
      <c r="I147" s="1678"/>
      <c r="J147" s="1694"/>
      <c r="K147" s="1678"/>
      <c r="L147" s="1678"/>
      <c r="M147" s="1694"/>
      <c r="N147" s="1694"/>
      <c r="O147" s="1678"/>
      <c r="P147" s="1678"/>
    </row>
    <row r="148" spans="2:16" ht="15.75" hidden="1" thickTop="1">
      <c r="B148" s="1388" t="s">
        <v>345</v>
      </c>
      <c r="C148" s="1389">
        <v>-0.53736582441759051</v>
      </c>
      <c r="D148" s="1665">
        <v>0</v>
      </c>
      <c r="E148" s="1694">
        <v>0</v>
      </c>
      <c r="F148" s="1678">
        <v>0</v>
      </c>
      <c r="G148" s="1678">
        <v>1.2590455877892204E-2</v>
      </c>
      <c r="H148" s="1678">
        <v>-3.3306690738754696E-14</v>
      </c>
      <c r="I148" s="1678">
        <v>4.4055514650587213E-3</v>
      </c>
      <c r="J148" s="1694">
        <v>1.1639115360084773E-2</v>
      </c>
      <c r="K148" s="1678">
        <v>2.0522112299303785E-3</v>
      </c>
      <c r="L148" s="1678">
        <v>8.062910946615709E-3</v>
      </c>
      <c r="M148" s="1694">
        <v>-0.52365119647050928</v>
      </c>
      <c r="N148" s="1694">
        <v>-6.0000000000004494E-2</v>
      </c>
      <c r="O148" s="1678">
        <v>0.32271778391372852</v>
      </c>
      <c r="P148" s="1678">
        <v>6.5043713383983182E-2</v>
      </c>
    </row>
    <row r="149" spans="2:16" ht="15.75" hidden="1" thickTop="1">
      <c r="B149" s="1388" t="s">
        <v>334</v>
      </c>
      <c r="C149" s="1389">
        <v>2.7511796169989111</v>
      </c>
      <c r="D149" s="1665">
        <v>0.37121173984087097</v>
      </c>
      <c r="E149" s="1694">
        <v>0.41419902159025579</v>
      </c>
      <c r="F149" s="1678">
        <v>0.19924299310576377</v>
      </c>
      <c r="G149" s="1678">
        <v>1.5134086637398347</v>
      </c>
      <c r="H149" s="1678">
        <v>1.6495283282551787</v>
      </c>
      <c r="I149" s="1678">
        <v>-0.16569232311232085</v>
      </c>
      <c r="J149" s="1694">
        <v>-7.9400979513399861E-2</v>
      </c>
      <c r="K149" s="1678">
        <v>7.977125299969412E-2</v>
      </c>
      <c r="L149" s="1678">
        <v>0.76642518229426138</v>
      </c>
      <c r="M149" s="1694">
        <v>1.1053045599706657</v>
      </c>
      <c r="N149" s="1694">
        <v>0.72043225935560784</v>
      </c>
      <c r="O149" s="1678">
        <v>1.4015153994637153</v>
      </c>
      <c r="P149" s="1678">
        <v>0.95081086370492063</v>
      </c>
    </row>
    <row r="150" spans="2:16" ht="15.75" hidden="1" thickTop="1">
      <c r="B150" s="1388" t="s">
        <v>335</v>
      </c>
      <c r="C150" s="1389">
        <v>0.47062100975885368</v>
      </c>
      <c r="D150" s="1665">
        <v>3.8644806102028362E-2</v>
      </c>
      <c r="E150" s="1694">
        <v>3.8675686645928131E-2</v>
      </c>
      <c r="F150" s="1678">
        <v>0.36988888226641148</v>
      </c>
      <c r="G150" s="1678">
        <v>5.3001432940535942E-2</v>
      </c>
      <c r="H150" s="1678">
        <v>0.49235021546649715</v>
      </c>
      <c r="I150" s="1678">
        <v>-0.19902694735856041</v>
      </c>
      <c r="J150" s="1694">
        <v>0.12785775634014396</v>
      </c>
      <c r="K150" s="1678">
        <v>-1.8236091342327398E-3</v>
      </c>
      <c r="L150" s="1678">
        <v>-1.1159066358071068</v>
      </c>
      <c r="M150" s="1694">
        <v>8.3652849218807113E-2</v>
      </c>
      <c r="N150" s="1694">
        <v>0.14901649115837134</v>
      </c>
      <c r="O150" s="1678">
        <v>0.32561479153867534</v>
      </c>
      <c r="P150" s="1678">
        <v>0.20241472337061417</v>
      </c>
    </row>
    <row r="151" spans="2:16" ht="15.75" hidden="1" thickTop="1">
      <c r="B151" s="1388" t="s">
        <v>336</v>
      </c>
      <c r="C151" s="1389">
        <v>0.20451889365016296</v>
      </c>
      <c r="D151" s="1665">
        <v>-8.3657006274273638E-2</v>
      </c>
      <c r="E151" s="1694">
        <v>1.5997178173930093</v>
      </c>
      <c r="F151" s="1678">
        <v>3.9903747917025001E-2</v>
      </c>
      <c r="G151" s="1678">
        <v>0.34455601496359289</v>
      </c>
      <c r="H151" s="1678">
        <v>0</v>
      </c>
      <c r="I151" s="1678">
        <v>-13.157366519470093</v>
      </c>
      <c r="J151" s="1694">
        <v>5.9964021587055605E-2</v>
      </c>
      <c r="K151" s="1678">
        <v>4.0167865707434025</v>
      </c>
      <c r="L151" s="1678">
        <v>0.29101856497741885</v>
      </c>
      <c r="M151" s="1694">
        <v>-0.30796741506060599</v>
      </c>
      <c r="N151" s="1694">
        <v>0.10911615911119998</v>
      </c>
      <c r="O151" s="1678">
        <v>-0.44091710758378255</v>
      </c>
      <c r="P151" s="1678">
        <v>-7.0089480037449636E-2</v>
      </c>
    </row>
    <row r="152" spans="2:16" ht="15.75" hidden="1" thickTop="1">
      <c r="B152" s="1388" t="s">
        <v>337</v>
      </c>
      <c r="C152" s="1389">
        <v>-1.5643026980483032E-2</v>
      </c>
      <c r="D152" s="1665">
        <v>0.17161829949157159</v>
      </c>
      <c r="E152" s="1694">
        <v>1.2898734211685969E-2</v>
      </c>
      <c r="F152" s="1678">
        <v>-0.28035346910997294</v>
      </c>
      <c r="G152" s="1678">
        <v>-7.4948327628254763E-2</v>
      </c>
      <c r="H152" s="1678">
        <v>-0.73237767618519189</v>
      </c>
      <c r="I152" s="1678">
        <v>-5.0226896637728391E-2</v>
      </c>
      <c r="J152" s="1694">
        <v>-0.49322968627102393</v>
      </c>
      <c r="K152" s="1678">
        <v>6.9771209183500105E-4</v>
      </c>
      <c r="L152" s="1678">
        <v>4.64821355883549E-2</v>
      </c>
      <c r="M152" s="1694">
        <v>-0.29614909663293609</v>
      </c>
      <c r="N152" s="1694">
        <v>-0.16726423639356058</v>
      </c>
      <c r="O152" s="1678">
        <v>-0.27759089232823886</v>
      </c>
      <c r="P152" s="1678">
        <v>-0.20309917999192795</v>
      </c>
    </row>
    <row r="153" spans="2:16" ht="15.75" hidden="1" thickTop="1">
      <c r="B153" s="1388" t="s">
        <v>338</v>
      </c>
      <c r="C153" s="1389">
        <v>0.17403684130334884</v>
      </c>
      <c r="D153" s="1665">
        <v>-2.9678726297266422E-2</v>
      </c>
      <c r="E153" s="1694">
        <v>-8.1731138725449348E-3</v>
      </c>
      <c r="F153" s="1678">
        <v>-2.2285821937939598E-2</v>
      </c>
      <c r="G153" s="1678">
        <v>-5.2481416412930582E-2</v>
      </c>
      <c r="H153" s="1678">
        <v>-0.14427808565488087</v>
      </c>
      <c r="I153" s="1678">
        <v>-0.33461378096607541</v>
      </c>
      <c r="J153" s="1694">
        <v>0.11791937456722135</v>
      </c>
      <c r="K153" s="1678">
        <v>0</v>
      </c>
      <c r="L153" s="1678">
        <v>-0.15383914682388644</v>
      </c>
      <c r="M153" s="1694">
        <v>5.9570218894799964E-2</v>
      </c>
      <c r="N153" s="1694">
        <v>-3.0264885051134449E-2</v>
      </c>
      <c r="O153" s="1678">
        <v>-0.33091415660388979</v>
      </c>
      <c r="P153" s="1678">
        <v>-0.13144828857071245</v>
      </c>
    </row>
    <row r="154" spans="2:16" ht="15.75" hidden="1" thickTop="1">
      <c r="B154" s="1388" t="s">
        <v>339</v>
      </c>
      <c r="C154" s="1409">
        <v>-0.16260974306480103</v>
      </c>
      <c r="D154" s="1666">
        <v>0.11436423177646482</v>
      </c>
      <c r="E154" s="1695">
        <v>-1.2606203075626876E-2</v>
      </c>
      <c r="F154" s="1679">
        <v>-0.19962756963580741</v>
      </c>
      <c r="G154" s="1679">
        <v>-4.1878086781232948E-2</v>
      </c>
      <c r="H154" s="1679">
        <v>0.31393007647628757</v>
      </c>
      <c r="I154" s="1679">
        <v>-3.5875847337552003E-2</v>
      </c>
      <c r="J154" s="1695">
        <v>-0.11198222094609411</v>
      </c>
      <c r="K154" s="1679">
        <v>0</v>
      </c>
      <c r="L154" s="1679">
        <v>2.1335093226348967E-2</v>
      </c>
      <c r="M154" s="1695">
        <v>-4.1170801906786902E-2</v>
      </c>
      <c r="N154" s="1695">
        <v>4.2479743563639261E-3</v>
      </c>
      <c r="O154" s="1679">
        <v>-1.1431062283110083</v>
      </c>
      <c r="P154" s="1679">
        <v>-0.38112243270888024</v>
      </c>
    </row>
    <row r="155" spans="2:16" ht="15.75" hidden="1" thickTop="1">
      <c r="B155" s="1388" t="s">
        <v>340</v>
      </c>
      <c r="C155" s="1409">
        <v>-0.42315954233191899</v>
      </c>
      <c r="D155" s="1666">
        <v>-0.33131863462737554</v>
      </c>
      <c r="E155" s="1695">
        <v>0.79179727956051327</v>
      </c>
      <c r="F155" s="1679">
        <v>0</v>
      </c>
      <c r="G155" s="1679">
        <v>0.2874293747021639</v>
      </c>
      <c r="H155" s="1679">
        <v>6.5521825031211733E-2</v>
      </c>
      <c r="I155" s="1679">
        <v>-0.14648296702921559</v>
      </c>
      <c r="J155" s="1695">
        <v>-9.2301547172035647E-2</v>
      </c>
      <c r="K155" s="1679">
        <v>1.2288806494981097</v>
      </c>
      <c r="L155" s="1679">
        <v>0.96747781923829379</v>
      </c>
      <c r="M155" s="1695">
        <v>-0.42089930156601341</v>
      </c>
      <c r="N155" s="1695">
        <v>0.23332514330394183</v>
      </c>
      <c r="O155" s="1679">
        <v>-0.89963413989658791</v>
      </c>
      <c r="P155" s="1679">
        <v>-0.1470298189209851</v>
      </c>
    </row>
    <row r="156" spans="2:16" ht="15.75" hidden="1" thickTop="1">
      <c r="B156" s="1388" t="s">
        <v>341</v>
      </c>
      <c r="C156" s="1389">
        <v>2.9282576866762611E-2</v>
      </c>
      <c r="D156" s="1665">
        <v>3.9900249376567665E-2</v>
      </c>
      <c r="E156" s="1694">
        <v>0.39860003888780859</v>
      </c>
      <c r="F156" s="1678">
        <v>-0.1651658973994885</v>
      </c>
      <c r="G156" s="1678">
        <v>-0.21558059774620109</v>
      </c>
      <c r="H156" s="1678">
        <v>0.14757969303424989</v>
      </c>
      <c r="I156" s="1678">
        <v>0</v>
      </c>
      <c r="J156" s="1694">
        <v>-8.0369700622873186E-2</v>
      </c>
      <c r="K156" s="1678">
        <v>1.8978933383961838E-2</v>
      </c>
      <c r="L156" s="1678">
        <v>0.18845467169212871</v>
      </c>
      <c r="M156" s="1694">
        <v>0.41144004014048718</v>
      </c>
      <c r="N156" s="1694">
        <v>0.16838351822503483</v>
      </c>
      <c r="O156" s="1678">
        <v>-0.18192844147967291</v>
      </c>
      <c r="P156" s="1678">
        <v>4.9860390905465124E-2</v>
      </c>
    </row>
    <row r="157" spans="2:16" ht="15.75" hidden="1" thickTop="1">
      <c r="B157" s="1388" t="s">
        <v>342</v>
      </c>
      <c r="C157" s="1389">
        <v>1.2002341920374526</v>
      </c>
      <c r="D157" s="1665">
        <v>0</v>
      </c>
      <c r="E157" s="1694">
        <v>-1.9366708627865936E-2</v>
      </c>
      <c r="F157" s="1678">
        <v>-0.36021612967780392</v>
      </c>
      <c r="G157" s="1678">
        <v>5.8921732298933271E-2</v>
      </c>
      <c r="H157" s="1678">
        <v>-0.32419687592102342</v>
      </c>
      <c r="I157" s="1678">
        <v>-8.1357508135759815E-2</v>
      </c>
      <c r="J157" s="1694">
        <v>-0.14076010456465227</v>
      </c>
      <c r="K157" s="1678">
        <v>1.8975332068316142E-2</v>
      </c>
      <c r="L157" s="1678">
        <v>-7.9200079200081319E-2</v>
      </c>
      <c r="M157" s="1694">
        <v>-0.19988007195682611</v>
      </c>
      <c r="N157" s="1694">
        <v>-3.9553050529017586E-2</v>
      </c>
      <c r="O157" s="1678">
        <v>4.0502227622507547E-2</v>
      </c>
      <c r="P157" s="1678">
        <v>-9.9671085418195915E-3</v>
      </c>
    </row>
    <row r="158" spans="2:16" ht="15.75" hidden="1" thickTop="1">
      <c r="B158" s="1388" t="s">
        <v>343</v>
      </c>
      <c r="C158" s="1389">
        <v>0.38569086876869552</v>
      </c>
      <c r="D158" s="1665">
        <v>-0.18945059327950542</v>
      </c>
      <c r="E158" s="1694">
        <v>-9.6852300242145084E-3</v>
      </c>
      <c r="F158" s="1678">
        <v>-0.37156055432818746</v>
      </c>
      <c r="G158" s="1678">
        <v>9.8145058396315044E-2</v>
      </c>
      <c r="H158" s="1678">
        <v>-0.12812931204415623</v>
      </c>
      <c r="I158" s="1678">
        <v>-1.1631964638836312E-2</v>
      </c>
      <c r="J158" s="1694">
        <v>-0.14095851792185199</v>
      </c>
      <c r="K158" s="1678">
        <v>5.5682033769683281</v>
      </c>
      <c r="L158" s="1678">
        <v>1.0799564054295052</v>
      </c>
      <c r="M158" s="1694">
        <v>-0.27037852994191702</v>
      </c>
      <c r="N158" s="1694">
        <v>0.42536353744186961</v>
      </c>
      <c r="O158" s="1678">
        <v>-0.59716599190283715</v>
      </c>
      <c r="P158" s="1678">
        <v>8.9712918660289631E-2</v>
      </c>
    </row>
    <row r="159" spans="2:16" ht="15.75" hidden="1" thickTop="1">
      <c r="B159" s="1388" t="s">
        <v>344</v>
      </c>
      <c r="C159" s="1389">
        <v>0.14040310026457448</v>
      </c>
      <c r="D159" s="1665">
        <v>-5.4685656776465308E-3</v>
      </c>
      <c r="E159" s="1694">
        <v>0.37860382606842435</v>
      </c>
      <c r="F159" s="1678">
        <v>-0.29136255437766101</v>
      </c>
      <c r="G159" s="1678">
        <v>0.11640946107907002</v>
      </c>
      <c r="H159" s="1678">
        <v>0.27561737605064085</v>
      </c>
      <c r="I159" s="1678">
        <v>5.5666497675321835E-2</v>
      </c>
      <c r="J159" s="1694">
        <v>-0.21675453529717004</v>
      </c>
      <c r="K159" s="1678">
        <v>-2.9010693226583228E-3</v>
      </c>
      <c r="L159" s="1678">
        <v>5.9076100286548083E-3</v>
      </c>
      <c r="M159" s="1694">
        <v>-0.46153367613988028</v>
      </c>
      <c r="N159" s="1694">
        <v>8.5124362924537955E-2</v>
      </c>
      <c r="O159" s="1678">
        <v>-0.40343282639649924</v>
      </c>
      <c r="P159" s="1678">
        <v>-7.8192753501149515E-2</v>
      </c>
    </row>
    <row r="160" spans="2:16" ht="15.75" hidden="1" thickTop="1">
      <c r="B160" s="1392"/>
      <c r="C160" s="1391"/>
      <c r="D160" s="1667"/>
      <c r="E160" s="1696"/>
      <c r="F160" s="1680"/>
      <c r="G160" s="1680"/>
      <c r="H160" s="1680"/>
      <c r="I160" s="1680"/>
      <c r="J160" s="1696"/>
      <c r="K160" s="1680"/>
      <c r="L160" s="1680"/>
      <c r="M160" s="1696"/>
      <c r="N160" s="1696"/>
      <c r="O160" s="1680"/>
      <c r="P160" s="1680"/>
    </row>
    <row r="161" spans="2:16" ht="15.75" hidden="1" thickTop="1">
      <c r="B161" s="1393">
        <v>2014</v>
      </c>
      <c r="C161" s="1391"/>
      <c r="D161" s="1667"/>
      <c r="E161" s="1696"/>
      <c r="F161" s="1680"/>
      <c r="G161" s="1680"/>
      <c r="H161" s="1680"/>
      <c r="I161" s="1680"/>
      <c r="J161" s="1696"/>
      <c r="K161" s="1680"/>
      <c r="L161" s="1680"/>
      <c r="M161" s="1696"/>
      <c r="N161" s="1696"/>
      <c r="O161" s="1680"/>
      <c r="P161" s="1680"/>
    </row>
    <row r="162" spans="2:16" ht="15.75" hidden="1" thickTop="1">
      <c r="B162" s="1388" t="s">
        <v>345</v>
      </c>
      <c r="C162" s="1391">
        <v>0.2</v>
      </c>
      <c r="D162" s="1667">
        <v>-7.0000000000000007E-2</v>
      </c>
      <c r="E162" s="1696">
        <v>0</v>
      </c>
      <c r="F162" s="1680">
        <v>0.01</v>
      </c>
      <c r="G162" s="1680">
        <v>-0.23</v>
      </c>
      <c r="H162" s="1680">
        <v>0.01</v>
      </c>
      <c r="I162" s="1680">
        <v>0</v>
      </c>
      <c r="J162" s="1696">
        <v>-7.0000000000000007E-2</v>
      </c>
      <c r="K162" s="1680">
        <v>0.02</v>
      </c>
      <c r="L162" s="1680">
        <v>0.16</v>
      </c>
      <c r="M162" s="1696">
        <v>-0.09</v>
      </c>
      <c r="N162" s="1696">
        <v>0</v>
      </c>
      <c r="O162" s="1680">
        <v>0.44</v>
      </c>
      <c r="P162" s="1680">
        <v>0.14000000000000001</v>
      </c>
    </row>
    <row r="163" spans="2:16" ht="15.75" hidden="1" thickTop="1">
      <c r="B163" s="1388" t="s">
        <v>334</v>
      </c>
      <c r="C163" s="1391">
        <v>-0.01</v>
      </c>
      <c r="D163" s="1667">
        <v>-0.09</v>
      </c>
      <c r="E163" s="1696">
        <v>-0.11</v>
      </c>
      <c r="F163" s="1680">
        <v>-0.08</v>
      </c>
      <c r="G163" s="1680">
        <v>0.09</v>
      </c>
      <c r="H163" s="1680">
        <v>0.08</v>
      </c>
      <c r="I163" s="1680">
        <v>0</v>
      </c>
      <c r="J163" s="1696">
        <v>-0.04</v>
      </c>
      <c r="K163" s="1680">
        <v>0.23</v>
      </c>
      <c r="L163" s="1680">
        <v>-0.08</v>
      </c>
      <c r="M163" s="1696">
        <v>7.0000000000000007E-2</v>
      </c>
      <c r="N163" s="1696">
        <v>-0.01</v>
      </c>
      <c r="O163" s="1680">
        <v>0.18</v>
      </c>
      <c r="P163" s="1680">
        <v>0.05</v>
      </c>
    </row>
    <row r="164" spans="2:16" ht="15.75" hidden="1" thickTop="1">
      <c r="B164" s="1388" t="s">
        <v>335</v>
      </c>
      <c r="C164" s="1391">
        <v>-0.05</v>
      </c>
      <c r="D164" s="1667">
        <v>-0.06</v>
      </c>
      <c r="E164" s="1696">
        <v>-0.82</v>
      </c>
      <c r="F164" s="1680">
        <v>-0.12</v>
      </c>
      <c r="G164" s="1680">
        <v>0.02</v>
      </c>
      <c r="H164" s="1680">
        <v>0</v>
      </c>
      <c r="I164" s="1680">
        <v>0.01</v>
      </c>
      <c r="J164" s="1696">
        <v>0</v>
      </c>
      <c r="K164" s="1680">
        <v>0</v>
      </c>
      <c r="L164" s="1680">
        <v>0.01</v>
      </c>
      <c r="M164" s="1696">
        <v>-0.3</v>
      </c>
      <c r="N164" s="1696">
        <v>-0.26</v>
      </c>
      <c r="O164" s="1680">
        <v>-0.14000000000000001</v>
      </c>
      <c r="P164" s="1680">
        <v>-0.22</v>
      </c>
    </row>
    <row r="165" spans="2:16" ht="15.75" hidden="1" thickTop="1">
      <c r="B165" s="1388" t="s">
        <v>336</v>
      </c>
      <c r="C165" s="1391">
        <v>0.3</v>
      </c>
      <c r="D165" s="1667">
        <v>-0.1</v>
      </c>
      <c r="E165" s="1696">
        <v>-0.13</v>
      </c>
      <c r="F165" s="1680">
        <v>-0.75</v>
      </c>
      <c r="G165" s="1680">
        <v>0.16</v>
      </c>
      <c r="H165" s="1680">
        <v>0.33</v>
      </c>
      <c r="I165" s="1680">
        <v>-0.02</v>
      </c>
      <c r="J165" s="1696">
        <v>0.34</v>
      </c>
      <c r="K165" s="1680">
        <v>12.64</v>
      </c>
      <c r="L165" s="1680">
        <v>-1.02</v>
      </c>
      <c r="M165" s="1696">
        <v>-0.03</v>
      </c>
      <c r="N165" s="1696">
        <v>1.0900000000000001</v>
      </c>
      <c r="O165" s="1680">
        <v>-0.46</v>
      </c>
      <c r="P165" s="1680">
        <v>0.57999999999999996</v>
      </c>
    </row>
    <row r="166" spans="2:16" ht="15.75" hidden="1" thickTop="1">
      <c r="B166" s="1388" t="s">
        <v>337</v>
      </c>
      <c r="C166" s="1391">
        <v>0.11</v>
      </c>
      <c r="D166" s="1667">
        <v>-0.11</v>
      </c>
      <c r="E166" s="1696">
        <v>-0.06</v>
      </c>
      <c r="F166" s="1680">
        <v>-0.28999999999999998</v>
      </c>
      <c r="G166" s="1680">
        <v>0</v>
      </c>
      <c r="H166" s="1680">
        <v>0.23</v>
      </c>
      <c r="I166" s="1680">
        <v>-0.03</v>
      </c>
      <c r="J166" s="1696">
        <v>-0.2</v>
      </c>
      <c r="K166" s="1680">
        <v>7.0000000000000007E-2</v>
      </c>
      <c r="L166" s="1680">
        <v>-0.13</v>
      </c>
      <c r="M166" s="1696">
        <v>-0.43</v>
      </c>
      <c r="N166" s="1696">
        <v>-0.05</v>
      </c>
      <c r="O166" s="1680">
        <v>-0.3</v>
      </c>
      <c r="P166" s="1680">
        <v>-0.13</v>
      </c>
    </row>
    <row r="167" spans="2:16" ht="15.75" hidden="1" thickTop="1">
      <c r="B167" s="1388" t="s">
        <v>338</v>
      </c>
      <c r="C167" s="1391">
        <v>-0.05</v>
      </c>
      <c r="D167" s="1667">
        <v>0.12</v>
      </c>
      <c r="E167" s="1696">
        <v>0</v>
      </c>
      <c r="F167" s="1680">
        <v>0.06</v>
      </c>
      <c r="G167" s="1680">
        <v>0.3</v>
      </c>
      <c r="H167" s="1680">
        <v>-0.03</v>
      </c>
      <c r="I167" s="1680">
        <v>0</v>
      </c>
      <c r="J167" s="1696">
        <v>-0.09</v>
      </c>
      <c r="K167" s="1680">
        <v>0</v>
      </c>
      <c r="L167" s="1680">
        <v>-0.11</v>
      </c>
      <c r="M167" s="1696">
        <v>0.15</v>
      </c>
      <c r="N167" s="1696">
        <v>0.02</v>
      </c>
      <c r="O167" s="1680">
        <v>-0.12</v>
      </c>
      <c r="P167" s="1680">
        <v>-0.03</v>
      </c>
    </row>
    <row r="168" spans="2:16" ht="15.75" hidden="1" thickTop="1">
      <c r="B168" s="1388" t="s">
        <v>339</v>
      </c>
      <c r="C168" s="1391">
        <v>-0.47</v>
      </c>
      <c r="D168" s="1667">
        <v>-0.21</v>
      </c>
      <c r="E168" s="1696">
        <v>0.12</v>
      </c>
      <c r="F168" s="1680">
        <v>0.3</v>
      </c>
      <c r="G168" s="1680">
        <v>-0.01</v>
      </c>
      <c r="H168" s="1680">
        <v>0.11</v>
      </c>
      <c r="I168" s="1680">
        <v>-0.12</v>
      </c>
      <c r="J168" s="1696">
        <v>-0.13</v>
      </c>
      <c r="K168" s="1680">
        <v>-0.08</v>
      </c>
      <c r="L168" s="1680">
        <v>1.79</v>
      </c>
      <c r="M168" s="1696">
        <v>0.85</v>
      </c>
      <c r="N168" s="1696">
        <v>-0.37</v>
      </c>
      <c r="O168" s="1680">
        <v>0.25</v>
      </c>
      <c r="P168" s="1680">
        <v>0.01</v>
      </c>
    </row>
    <row r="169" spans="2:16" ht="15.75" hidden="1" thickTop="1">
      <c r="B169" s="1388" t="s">
        <v>340</v>
      </c>
      <c r="C169" s="1391">
        <v>-0.81</v>
      </c>
      <c r="D169" s="1667">
        <v>-0.05</v>
      </c>
      <c r="E169" s="1696">
        <v>-0.09</v>
      </c>
      <c r="F169" s="1680">
        <v>0</v>
      </c>
      <c r="G169" s="1680">
        <v>-0.14000000000000001</v>
      </c>
      <c r="H169" s="1680">
        <v>0.04</v>
      </c>
      <c r="I169" s="1680">
        <v>0.28000000000000003</v>
      </c>
      <c r="J169" s="1696">
        <v>-0.06</v>
      </c>
      <c r="K169" s="1680">
        <v>-0.08</v>
      </c>
      <c r="L169" s="1680">
        <v>-0.02</v>
      </c>
      <c r="M169" s="1696">
        <v>0.02</v>
      </c>
      <c r="N169" s="1696">
        <v>-1.21</v>
      </c>
      <c r="O169" s="1680">
        <v>-7.0000000000000007E-2</v>
      </c>
      <c r="P169" s="1680">
        <v>-0.31</v>
      </c>
    </row>
    <row r="170" spans="2:16" ht="15.75" hidden="1" thickTop="1">
      <c r="B170" s="1388" t="s">
        <v>341</v>
      </c>
      <c r="C170" s="1391">
        <v>0.1</v>
      </c>
      <c r="D170" s="1667">
        <v>0.14000000000000001</v>
      </c>
      <c r="E170" s="1696">
        <v>0.45</v>
      </c>
      <c r="F170" s="1680">
        <v>-0.27262841889697143</v>
      </c>
      <c r="G170" s="1680">
        <v>0.20821940522519355</v>
      </c>
      <c r="H170" s="1680">
        <v>0.38290786383221587</v>
      </c>
      <c r="I170" s="1680">
        <v>-5.5572697120581438E-2</v>
      </c>
      <c r="J170" s="1696">
        <v>-0.1364659641691901</v>
      </c>
      <c r="K170" s="1680">
        <v>-2.4178336688009949E-3</v>
      </c>
      <c r="L170" s="1680">
        <v>-0.40368142540951624</v>
      </c>
      <c r="M170" s="1696">
        <v>0.11321079457601968</v>
      </c>
      <c r="N170" s="1696">
        <v>0.15400249867481364</v>
      </c>
      <c r="O170" s="1680">
        <v>-0.34227984424059343</v>
      </c>
      <c r="P170" s="1680">
        <v>-5.3404887379855381E-3</v>
      </c>
    </row>
    <row r="171" spans="2:16" ht="15.75" hidden="1" thickTop="1">
      <c r="B171" s="1388" t="s">
        <v>342</v>
      </c>
      <c r="C171" s="1391">
        <v>0.16</v>
      </c>
      <c r="D171" s="1667">
        <v>7.0000000000000007E-2</v>
      </c>
      <c r="E171" s="1696">
        <v>0</v>
      </c>
      <c r="F171" s="1680">
        <v>-0.14000000000000001</v>
      </c>
      <c r="G171" s="1680">
        <v>-0.01</v>
      </c>
      <c r="H171" s="1680">
        <v>-0.27</v>
      </c>
      <c r="I171" s="1680">
        <v>-0.06</v>
      </c>
      <c r="J171" s="1696">
        <v>-0.04</v>
      </c>
      <c r="K171" s="1680">
        <v>0.01</v>
      </c>
      <c r="L171" s="1680">
        <v>0.02</v>
      </c>
      <c r="M171" s="1696">
        <v>0.03</v>
      </c>
      <c r="N171" s="1696">
        <v>-0.04</v>
      </c>
      <c r="O171" s="1680">
        <v>-0.24</v>
      </c>
      <c r="P171" s="1680">
        <v>-0.11</v>
      </c>
    </row>
    <row r="172" spans="2:16" ht="15.75" hidden="1" thickTop="1">
      <c r="B172" s="1388" t="s">
        <v>343</v>
      </c>
      <c r="C172" s="1391">
        <v>0.19</v>
      </c>
      <c r="D172" s="1667">
        <v>0.12</v>
      </c>
      <c r="E172" s="1696">
        <v>-0.03</v>
      </c>
      <c r="F172" s="1680">
        <v>-0.09</v>
      </c>
      <c r="G172" s="1680">
        <v>0.09</v>
      </c>
      <c r="H172" s="1680">
        <v>0.1</v>
      </c>
      <c r="I172" s="1680">
        <v>0.02</v>
      </c>
      <c r="J172" s="1696">
        <v>0.02</v>
      </c>
      <c r="K172" s="1680">
        <v>-9.18</v>
      </c>
      <c r="L172" s="1680">
        <v>-0.62</v>
      </c>
      <c r="M172" s="1696">
        <v>0.06</v>
      </c>
      <c r="N172" s="1696">
        <v>-0.96</v>
      </c>
      <c r="O172" s="1680">
        <v>-0.11</v>
      </c>
      <c r="P172" s="1680">
        <v>-0.69</v>
      </c>
    </row>
    <row r="173" spans="2:16" ht="15.75" hidden="1" thickTop="1">
      <c r="B173" s="1388" t="s">
        <v>344</v>
      </c>
      <c r="C173" s="1391">
        <v>0.01</v>
      </c>
      <c r="D173" s="1667">
        <v>-0.1</v>
      </c>
      <c r="E173" s="1696">
        <v>0.16</v>
      </c>
      <c r="F173" s="1680">
        <v>-0.1</v>
      </c>
      <c r="G173" s="1680">
        <v>0.13</v>
      </c>
      <c r="H173" s="1680">
        <v>0.19</v>
      </c>
      <c r="I173" s="1680">
        <v>0</v>
      </c>
      <c r="J173" s="1696">
        <v>-0.16</v>
      </c>
      <c r="K173" s="1680">
        <v>0</v>
      </c>
      <c r="L173" s="1680">
        <v>-0.23</v>
      </c>
      <c r="M173" s="1696">
        <v>-0.15</v>
      </c>
      <c r="N173" s="1696">
        <v>0.04</v>
      </c>
      <c r="O173" s="1680">
        <v>-0.36</v>
      </c>
      <c r="P173" s="1680">
        <v>-0.09</v>
      </c>
    </row>
    <row r="174" spans="2:16" ht="15.75" hidden="1" thickTop="1">
      <c r="B174" s="1394"/>
      <c r="C174" s="1391"/>
      <c r="D174" s="1667"/>
      <c r="E174" s="1696"/>
      <c r="F174" s="1680"/>
      <c r="G174" s="1680"/>
      <c r="H174" s="1680"/>
      <c r="I174" s="1680"/>
      <c r="J174" s="1696"/>
      <c r="K174" s="1680"/>
      <c r="L174" s="1680"/>
      <c r="M174" s="1696"/>
      <c r="N174" s="1696"/>
      <c r="O174" s="1680"/>
      <c r="P174" s="1680"/>
    </row>
    <row r="175" spans="2:16" ht="15.75" hidden="1" thickTop="1">
      <c r="B175" s="1395">
        <v>2015</v>
      </c>
      <c r="C175" s="1391"/>
      <c r="D175" s="1667"/>
      <c r="E175" s="1696"/>
      <c r="F175" s="1680"/>
      <c r="G175" s="1680"/>
      <c r="H175" s="1680"/>
      <c r="I175" s="1680"/>
      <c r="J175" s="1696"/>
      <c r="K175" s="1680"/>
      <c r="L175" s="1680"/>
      <c r="M175" s="1696"/>
      <c r="N175" s="1696"/>
      <c r="O175" s="1680"/>
      <c r="P175" s="1680"/>
    </row>
    <row r="176" spans="2:16" ht="15.75" hidden="1" thickTop="1">
      <c r="B176" s="1396" t="s">
        <v>345</v>
      </c>
      <c r="C176" s="1391">
        <v>-4.1497382126621574E-2</v>
      </c>
      <c r="D176" s="1667">
        <v>-0.01</v>
      </c>
      <c r="E176" s="1696">
        <v>0.08</v>
      </c>
      <c r="F176" s="1680">
        <v>7.0000000000000007E-2</v>
      </c>
      <c r="G176" s="1680">
        <v>0.06</v>
      </c>
      <c r="H176" s="1680">
        <v>-0.97</v>
      </c>
      <c r="I176" s="1680">
        <v>-13.41</v>
      </c>
      <c r="J176" s="1696">
        <v>0.02</v>
      </c>
      <c r="K176" s="1680">
        <v>-0.08</v>
      </c>
      <c r="L176" s="1680">
        <v>-0.48</v>
      </c>
      <c r="M176" s="1696">
        <v>0.3</v>
      </c>
      <c r="N176" s="1696">
        <v>-0.69</v>
      </c>
      <c r="O176" s="1680">
        <v>0.4</v>
      </c>
      <c r="P176" s="1680">
        <v>-0.34</v>
      </c>
    </row>
    <row r="177" spans="2:16" ht="15.75" hidden="1" thickTop="1">
      <c r="B177" s="1396" t="s">
        <v>334</v>
      </c>
      <c r="C177" s="1391">
        <v>0.25</v>
      </c>
      <c r="D177" s="1667">
        <v>-0.35</v>
      </c>
      <c r="E177" s="1696">
        <v>-0.09</v>
      </c>
      <c r="F177" s="1680">
        <v>-0.11</v>
      </c>
      <c r="G177" s="1680">
        <v>-0.02</v>
      </c>
      <c r="H177" s="1680">
        <v>-0.41</v>
      </c>
      <c r="I177" s="1680">
        <v>-0.1</v>
      </c>
      <c r="J177" s="1696">
        <v>-0.17</v>
      </c>
      <c r="K177" s="1680">
        <v>0</v>
      </c>
      <c r="L177" s="1680">
        <v>-0.28000000000000003</v>
      </c>
      <c r="M177" s="1696">
        <v>0.1</v>
      </c>
      <c r="N177" s="1696">
        <v>-0.13</v>
      </c>
      <c r="O177" s="1680">
        <v>0.05</v>
      </c>
      <c r="P177" s="1680">
        <v>-7.0000000000000007E-2</v>
      </c>
    </row>
    <row r="178" spans="2:16" ht="15.75" hidden="1" thickTop="1">
      <c r="B178" s="1396" t="s">
        <v>335</v>
      </c>
      <c r="C178" s="1391">
        <v>0.12</v>
      </c>
      <c r="D178" s="1667">
        <v>-0.27</v>
      </c>
      <c r="E178" s="1696">
        <v>-0.06</v>
      </c>
      <c r="F178" s="1680">
        <v>-0.02</v>
      </c>
      <c r="G178" s="1680">
        <v>-0.05</v>
      </c>
      <c r="H178" s="1680">
        <v>0.02</v>
      </c>
      <c r="I178" s="1680">
        <v>0</v>
      </c>
      <c r="J178" s="1696">
        <v>0.03</v>
      </c>
      <c r="K178" s="1680">
        <v>0</v>
      </c>
      <c r="L178" s="1680">
        <v>0.12</v>
      </c>
      <c r="M178" s="1696">
        <v>0.1</v>
      </c>
      <c r="N178" s="1696">
        <v>-0.03</v>
      </c>
      <c r="O178" s="1680">
        <v>-0.03</v>
      </c>
      <c r="P178" s="1680">
        <v>-0.03</v>
      </c>
    </row>
    <row r="179" spans="2:16" ht="15.75" hidden="1" thickTop="1">
      <c r="B179" s="1396" t="s">
        <v>336</v>
      </c>
      <c r="C179" s="1389">
        <v>-0.6276812592201364</v>
      </c>
      <c r="D179" s="1665">
        <v>-5.8447638833891702E-3</v>
      </c>
      <c r="E179" s="1694">
        <v>-0.71487005807603365</v>
      </c>
      <c r="F179" s="1678">
        <v>-3.3485371603938052</v>
      </c>
      <c r="G179" s="1678">
        <v>-0.46304619945436443</v>
      </c>
      <c r="H179" s="1678">
        <v>-5.4043278001492112E-2</v>
      </c>
      <c r="I179" s="1678">
        <v>-0.14789660517323666</v>
      </c>
      <c r="J179" s="1694">
        <v>-0.12687130936021029</v>
      </c>
      <c r="K179" s="1678">
        <v>-7.4423256937528048E-2</v>
      </c>
      <c r="L179" s="1678">
        <v>0.59453464762282415</v>
      </c>
      <c r="M179" s="1694">
        <v>0.40544220793510277</v>
      </c>
      <c r="N179" s="1694">
        <v>-3.5941494147062603E-2</v>
      </c>
      <c r="O179" s="1678">
        <v>-1.0120967585524054</v>
      </c>
      <c r="P179" s="1678">
        <v>-0.88781416486978237</v>
      </c>
    </row>
    <row r="180" spans="2:16" ht="15.75" hidden="1" thickTop="1">
      <c r="B180" s="1396" t="s">
        <v>337</v>
      </c>
      <c r="C180" s="1389">
        <v>-0.17</v>
      </c>
      <c r="D180" s="1665">
        <v>-0.41</v>
      </c>
      <c r="E180" s="1694">
        <v>0.18</v>
      </c>
      <c r="F180" s="1678">
        <v>-0.25</v>
      </c>
      <c r="G180" s="1678">
        <v>0.1</v>
      </c>
      <c r="H180" s="1678">
        <v>-0.25</v>
      </c>
      <c r="I180" s="1678">
        <v>-0.02</v>
      </c>
      <c r="J180" s="1694">
        <v>-0.11</v>
      </c>
      <c r="K180" s="1678">
        <v>0</v>
      </c>
      <c r="L180" s="1678">
        <v>-0.08</v>
      </c>
      <c r="M180" s="1694">
        <v>-0.44</v>
      </c>
      <c r="N180" s="1694">
        <v>-0.1</v>
      </c>
      <c r="O180" s="1678">
        <v>-0.37</v>
      </c>
      <c r="P180" s="1678">
        <v>-0.19</v>
      </c>
    </row>
    <row r="181" spans="2:16" ht="15.75" hidden="1" thickTop="1">
      <c r="B181" s="1396" t="s">
        <v>338</v>
      </c>
      <c r="C181" s="1389">
        <v>0.35965298460747874</v>
      </c>
      <c r="D181" s="1665">
        <v>-6.0890910286275357E-2</v>
      </c>
      <c r="E181" s="1694">
        <v>-1.9948108630941874E-2</v>
      </c>
      <c r="F181" s="1678">
        <v>-6.7580266255291122E-2</v>
      </c>
      <c r="G181" s="1678">
        <v>-0.16676821314844403</v>
      </c>
      <c r="H181" s="1678">
        <v>6.1188525004382655E-2</v>
      </c>
      <c r="I181" s="1678">
        <v>6.0538061532895426E-3</v>
      </c>
      <c r="J181" s="1694">
        <v>-9.4026256435824962E-2</v>
      </c>
      <c r="K181" s="1678">
        <v>0</v>
      </c>
      <c r="L181" s="1678">
        <v>-7.306314175382056E-2</v>
      </c>
      <c r="M181" s="1694">
        <v>0.1139948699081117</v>
      </c>
      <c r="N181" s="1694">
        <v>1.0259487601800288E-2</v>
      </c>
      <c r="O181" s="1678">
        <v>-0.45051778657345665</v>
      </c>
      <c r="P181" s="1678">
        <v>-0.1388327055798726</v>
      </c>
    </row>
    <row r="182" spans="2:16" ht="15.75" hidden="1" thickTop="1">
      <c r="B182" s="1396" t="s">
        <v>339</v>
      </c>
      <c r="C182" s="1389">
        <v>-0.08</v>
      </c>
      <c r="D182" s="1665">
        <v>0.05</v>
      </c>
      <c r="E182" s="1694">
        <v>-0.56000000000000005</v>
      </c>
      <c r="F182" s="1678">
        <v>-0.82</v>
      </c>
      <c r="G182" s="1678">
        <v>0.15</v>
      </c>
      <c r="H182" s="1678">
        <v>-0.09</v>
      </c>
      <c r="I182" s="1678">
        <v>-0.02</v>
      </c>
      <c r="J182" s="1694">
        <v>-0.14000000000000001</v>
      </c>
      <c r="K182" s="1678">
        <v>7.48</v>
      </c>
      <c r="L182" s="1678">
        <v>-0.02</v>
      </c>
      <c r="M182" s="1694">
        <v>0.03</v>
      </c>
      <c r="N182" s="1694">
        <v>0.47</v>
      </c>
      <c r="O182" s="1678">
        <v>-0.81</v>
      </c>
      <c r="P182" s="1678">
        <v>0.06</v>
      </c>
    </row>
    <row r="183" spans="2:16" ht="15.75" hidden="1" thickTop="1">
      <c r="B183" s="1396" t="s">
        <v>340</v>
      </c>
      <c r="C183" s="1397">
        <v>-0.272213662484244</v>
      </c>
      <c r="D183" s="1668">
        <v>-7.083328007229106E-3</v>
      </c>
      <c r="E183" s="1697">
        <v>2.4756281166493643E-2</v>
      </c>
      <c r="F183" s="1681">
        <v>-0.14094262323592899</v>
      </c>
      <c r="G183" s="1681">
        <v>-3.513098981725582E-2</v>
      </c>
      <c r="H183" s="1681">
        <v>-0.28842127459077771</v>
      </c>
      <c r="I183" s="1681">
        <v>-6.1593138038606998E-2</v>
      </c>
      <c r="J183" s="1697">
        <v>-0.25547681090416496</v>
      </c>
      <c r="K183" s="1681">
        <v>-1.1898930449838474E-4</v>
      </c>
      <c r="L183" s="1681">
        <v>-0.14204653894314134</v>
      </c>
      <c r="M183" s="1697">
        <v>-9.2702458065052618E-2</v>
      </c>
      <c r="N183" s="1697">
        <v>-9.5246871275789236E-2</v>
      </c>
      <c r="O183" s="1681">
        <v>-0.75140710578649461</v>
      </c>
      <c r="P183" s="1681">
        <v>-0.35933595650086136</v>
      </c>
    </row>
    <row r="184" spans="2:16" ht="15.75" hidden="1" thickTop="1">
      <c r="B184" s="1396" t="s">
        <v>341</v>
      </c>
      <c r="C184" s="1398">
        <v>-4.5220342858565132E-2</v>
      </c>
      <c r="D184" s="1668">
        <v>-3.985797150485304E-3</v>
      </c>
      <c r="E184" s="1697">
        <v>-0.6157210363614829</v>
      </c>
      <c r="F184" s="1681">
        <v>-0.52396086104237183</v>
      </c>
      <c r="G184" s="1681">
        <v>3.6737938644315626E-2</v>
      </c>
      <c r="H184" s="1681">
        <v>-0.41623685882292705</v>
      </c>
      <c r="I184" s="1681">
        <v>-0.38021696326886456</v>
      </c>
      <c r="J184" s="1697">
        <v>-1.3553985690217818E-2</v>
      </c>
      <c r="K184" s="1681">
        <v>0</v>
      </c>
      <c r="L184" s="1681">
        <v>1.2778849865380248</v>
      </c>
      <c r="M184" s="1697">
        <v>-0.29682213892621157</v>
      </c>
      <c r="N184" s="1697">
        <v>-0.30654743122832118</v>
      </c>
      <c r="O184" s="1681">
        <v>-0.47236820341396424</v>
      </c>
      <c r="P184" s="1681">
        <v>-0.35933595650086136</v>
      </c>
    </row>
    <row r="185" spans="2:16" ht="15.75" hidden="1" thickTop="1">
      <c r="B185" s="1185" t="s">
        <v>342</v>
      </c>
      <c r="C185" s="1184">
        <v>-0.43</v>
      </c>
      <c r="D185" s="1398">
        <v>-0.31</v>
      </c>
      <c r="E185" s="1697">
        <v>-0.08</v>
      </c>
      <c r="F185" s="1681">
        <v>-0.32</v>
      </c>
      <c r="G185" s="1681">
        <v>0.61</v>
      </c>
      <c r="H185" s="1681">
        <v>-0.47</v>
      </c>
      <c r="I185" s="1681">
        <v>0.02</v>
      </c>
      <c r="J185" s="1697">
        <v>-0.14000000000000001</v>
      </c>
      <c r="K185" s="1681">
        <v>0</v>
      </c>
      <c r="L185" s="1681">
        <v>-0.18</v>
      </c>
      <c r="M185" s="1697">
        <v>0.12</v>
      </c>
      <c r="N185" s="1697">
        <v>-0.17</v>
      </c>
      <c r="O185" s="1681">
        <v>-0.53</v>
      </c>
      <c r="P185" s="1681">
        <v>-0.28999999999999998</v>
      </c>
    </row>
    <row r="186" spans="2:16" ht="15.75" hidden="1" thickTop="1">
      <c r="B186" s="1185" t="s">
        <v>343</v>
      </c>
      <c r="C186" s="1184">
        <v>-0.14575868826649518</v>
      </c>
      <c r="D186" s="1398">
        <v>-0.18877153252403467</v>
      </c>
      <c r="E186" s="1697">
        <v>-1.2919365150898532E-2</v>
      </c>
      <c r="F186" s="1681">
        <v>-0.23740520713445568</v>
      </c>
      <c r="G186" s="1681">
        <v>2.3196627665145186E-3</v>
      </c>
      <c r="H186" s="1681">
        <v>-7.8990901636166733E-2</v>
      </c>
      <c r="I186" s="1681">
        <v>-0.22655708014720499</v>
      </c>
      <c r="J186" s="1697">
        <v>-2.3975965100020424E-2</v>
      </c>
      <c r="K186" s="1681">
        <v>2.8252021068403188</v>
      </c>
      <c r="L186" s="1681">
        <v>-2.9019612653113924E-2</v>
      </c>
      <c r="M186" s="1697">
        <v>-1.733207605679743E-2</v>
      </c>
      <c r="N186" s="1697">
        <v>0.2174417851561028</v>
      </c>
      <c r="O186" s="1681">
        <v>3.7928792672570211E-2</v>
      </c>
      <c r="P186" s="1681">
        <v>0.16049910816811064</v>
      </c>
    </row>
    <row r="187" spans="2:16" ht="15.75" hidden="1" thickTop="1">
      <c r="B187" s="1185" t="s">
        <v>344</v>
      </c>
      <c r="C187" s="1184">
        <v>-0.41</v>
      </c>
      <c r="D187" s="1398">
        <v>-0.15</v>
      </c>
      <c r="E187" s="1697">
        <v>0.18</v>
      </c>
      <c r="F187" s="1681">
        <v>-7.0000000000000007E-2</v>
      </c>
      <c r="G187" s="1681">
        <v>-0.06</v>
      </c>
      <c r="H187" s="1681">
        <v>-0.25</v>
      </c>
      <c r="I187" s="1681">
        <v>-0.03</v>
      </c>
      <c r="J187" s="1697">
        <v>0.09</v>
      </c>
      <c r="K187" s="1681">
        <v>0</v>
      </c>
      <c r="L187" s="1681">
        <v>-7.0000000000000007E-2</v>
      </c>
      <c r="M187" s="1697">
        <v>-0.3</v>
      </c>
      <c r="N187" s="1697">
        <v>-0.06</v>
      </c>
      <c r="O187" s="1681">
        <v>-0.21</v>
      </c>
      <c r="P187" s="1681">
        <v>-0.11</v>
      </c>
    </row>
    <row r="188" spans="2:16" ht="15.75" hidden="1" thickTop="1">
      <c r="B188" s="946"/>
      <c r="C188" s="923"/>
      <c r="D188" s="1669"/>
      <c r="E188" s="1698"/>
      <c r="F188" s="1682"/>
      <c r="G188" s="1682"/>
      <c r="H188" s="1682"/>
      <c r="I188" s="1682"/>
      <c r="J188" s="1698"/>
      <c r="K188" s="1682"/>
      <c r="L188" s="1682"/>
      <c r="M188" s="1698"/>
      <c r="N188" s="1698"/>
      <c r="O188" s="1682"/>
      <c r="P188" s="1682"/>
    </row>
    <row r="189" spans="2:16" ht="15.75" hidden="1" thickTop="1">
      <c r="B189" s="1183">
        <v>2016</v>
      </c>
      <c r="C189" s="1184"/>
      <c r="D189" s="1398"/>
      <c r="E189" s="1697"/>
      <c r="F189" s="1681"/>
      <c r="G189" s="1681"/>
      <c r="H189" s="1681"/>
      <c r="I189" s="1681"/>
      <c r="J189" s="1697"/>
      <c r="K189" s="1681"/>
      <c r="L189" s="1681"/>
      <c r="M189" s="1697"/>
      <c r="N189" s="1697"/>
      <c r="O189" s="1681"/>
      <c r="P189" s="1681"/>
    </row>
    <row r="190" spans="2:16" ht="15.75" hidden="1" thickTop="1">
      <c r="B190" s="1185" t="s">
        <v>345</v>
      </c>
      <c r="C190" s="1184">
        <v>0.05</v>
      </c>
      <c r="D190" s="1398">
        <v>-0.02</v>
      </c>
      <c r="E190" s="1697">
        <v>-0.04</v>
      </c>
      <c r="F190" s="1681">
        <v>-0.3</v>
      </c>
      <c r="G190" s="1681">
        <v>-0.15</v>
      </c>
      <c r="H190" s="1681">
        <v>-0.37</v>
      </c>
      <c r="I190" s="1681">
        <v>0</v>
      </c>
      <c r="J190" s="1697">
        <v>-0.18</v>
      </c>
      <c r="K190" s="1681">
        <v>0</v>
      </c>
      <c r="L190" s="1681">
        <v>-0.16</v>
      </c>
      <c r="M190" s="1697">
        <v>-0.28999999999999998</v>
      </c>
      <c r="N190" s="1697">
        <v>-0.13</v>
      </c>
      <c r="O190" s="1681">
        <v>0.13</v>
      </c>
      <c r="P190" s="1681">
        <v>-0.05</v>
      </c>
    </row>
    <row r="191" spans="2:16" ht="15.75" hidden="1" thickTop="1">
      <c r="B191" s="1185" t="s">
        <v>334</v>
      </c>
      <c r="C191" s="1184">
        <v>-0.14000000000000001</v>
      </c>
      <c r="D191" s="1398">
        <v>0</v>
      </c>
      <c r="E191" s="1697">
        <v>-0.12</v>
      </c>
      <c r="F191" s="1681">
        <v>-0.19</v>
      </c>
      <c r="G191" s="1681">
        <v>-0.17</v>
      </c>
      <c r="H191" s="1681">
        <v>-0.37</v>
      </c>
      <c r="I191" s="1681">
        <v>-0.13</v>
      </c>
      <c r="J191" s="1697">
        <v>-0.01</v>
      </c>
      <c r="K191" s="1681">
        <v>0</v>
      </c>
      <c r="L191" s="1681">
        <v>-0.17</v>
      </c>
      <c r="M191" s="1697">
        <v>0.06</v>
      </c>
      <c r="N191" s="1697">
        <v>-0.14000000000000001</v>
      </c>
      <c r="O191" s="1681">
        <v>-0.03</v>
      </c>
      <c r="P191" s="1681">
        <v>-0.1</v>
      </c>
    </row>
    <row r="192" spans="2:16" ht="15.75" hidden="1" thickTop="1">
      <c r="B192" s="1185" t="s">
        <v>335</v>
      </c>
      <c r="C192" s="1184">
        <v>-0.1452037104729631</v>
      </c>
      <c r="D192" s="1398">
        <v>-0.17357853356986253</v>
      </c>
      <c r="E192" s="1697">
        <v>-1.0347223219900115</v>
      </c>
      <c r="F192" s="1681">
        <v>-0.72862919095217915</v>
      </c>
      <c r="G192" s="1681">
        <v>-0.12597538904176586</v>
      </c>
      <c r="H192" s="1681">
        <v>-0.29757643568916192</v>
      </c>
      <c r="I192" s="1681">
        <v>0.41832165959179157</v>
      </c>
      <c r="J192" s="1697">
        <v>-4.0135870125712625E-2</v>
      </c>
      <c r="K192" s="1681">
        <v>3.363162325203195</v>
      </c>
      <c r="L192" s="1681">
        <v>-0.62203943438742249</v>
      </c>
      <c r="M192" s="1697">
        <v>-0.60383725427171075</v>
      </c>
      <c r="N192" s="1697">
        <v>-0.10984460969247767</v>
      </c>
      <c r="O192" s="1681">
        <v>-0.13339203008780887</v>
      </c>
      <c r="P192" s="1681">
        <v>-0.11731636740707208</v>
      </c>
    </row>
    <row r="193" spans="2:16" ht="15.75" hidden="1" thickTop="1">
      <c r="B193" s="1185" t="s">
        <v>336</v>
      </c>
      <c r="C193" s="1184">
        <v>2.5539133061580621E-2</v>
      </c>
      <c r="D193" s="1398">
        <v>-0.14370025521585061</v>
      </c>
      <c r="E193" s="1697">
        <v>-2.4078329058929704E-2</v>
      </c>
      <c r="F193" s="1681">
        <v>-0.32485851268504451</v>
      </c>
      <c r="G193" s="1681">
        <v>-4.1807288165163214E-3</v>
      </c>
      <c r="H193" s="1681">
        <v>7.330816433370746E-2</v>
      </c>
      <c r="I193" s="1681">
        <v>-7.9915645435724159E-2</v>
      </c>
      <c r="J193" s="1697">
        <v>-2.3437216541677408E-2</v>
      </c>
      <c r="K193" s="1681">
        <v>-1.3891041574154439E-2</v>
      </c>
      <c r="L193" s="1681">
        <v>-8.804608933186131E-2</v>
      </c>
      <c r="M193" s="1697">
        <v>-0.35484840599306899</v>
      </c>
      <c r="N193" s="1697">
        <v>-7.9445153206114671E-2</v>
      </c>
      <c r="O193" s="1681">
        <v>-0.50545202523969435</v>
      </c>
      <c r="P193" s="1681">
        <v>-0.21459829467898039</v>
      </c>
    </row>
    <row r="194" spans="2:16" ht="15.75" hidden="1" thickTop="1">
      <c r="B194" s="1185" t="s">
        <v>337</v>
      </c>
      <c r="C194" s="1184">
        <v>-0.28774136792316662</v>
      </c>
      <c r="D194" s="1398">
        <v>-0.21926308630029201</v>
      </c>
      <c r="E194" s="1697">
        <v>0.12215755635458514</v>
      </c>
      <c r="F194" s="1681">
        <v>-0.10941204788691428</v>
      </c>
      <c r="G194" s="1681">
        <v>-0.18392025226198205</v>
      </c>
      <c r="H194" s="1681">
        <v>-0.10841716679572677</v>
      </c>
      <c r="I194" s="1681">
        <v>-1.6084540838749217</v>
      </c>
      <c r="J194" s="1697">
        <v>6.2793966098073639E-2</v>
      </c>
      <c r="K194" s="1681">
        <v>1.5184575417936941E-3</v>
      </c>
      <c r="L194" s="1681">
        <v>2.4715251915807812E-2</v>
      </c>
      <c r="M194" s="1697">
        <v>-0.33275398569235781</v>
      </c>
      <c r="N194" s="1697">
        <v>-0.12179873490071325</v>
      </c>
      <c r="O194" s="1681">
        <v>-0.48839384537515684</v>
      </c>
      <c r="P194" s="1681">
        <v>-0.23776414852796357</v>
      </c>
    </row>
    <row r="195" spans="2:16" ht="15.75" hidden="1" thickTop="1">
      <c r="B195" s="1185" t="s">
        <v>338</v>
      </c>
      <c r="C195" s="1184">
        <v>6.986640140853595E-2</v>
      </c>
      <c r="D195" s="1398">
        <v>-0.21010847821572032</v>
      </c>
      <c r="E195" s="1697">
        <v>0.57919202563947447</v>
      </c>
      <c r="F195" s="1681">
        <v>3.4024556858036625E-2</v>
      </c>
      <c r="G195" s="1681">
        <v>0.14574772823323645</v>
      </c>
      <c r="H195" s="1681">
        <v>-8.4331854258290484E-2</v>
      </c>
      <c r="I195" s="1681">
        <v>-5.0866719841446972E-3</v>
      </c>
      <c r="J195" s="1697">
        <v>-0.23494566261447192</v>
      </c>
      <c r="K195" s="1681">
        <v>2.6522915407413583</v>
      </c>
      <c r="L195" s="1681">
        <v>0.30680626757091378</v>
      </c>
      <c r="M195" s="1697">
        <v>9.0680879224036559E-2</v>
      </c>
      <c r="N195" s="1697">
        <v>0.44442400613575739</v>
      </c>
      <c r="O195" s="1681">
        <v>-0.35049258315357212</v>
      </c>
      <c r="P195" s="1681">
        <v>0.19359893982937582</v>
      </c>
    </row>
    <row r="196" spans="2:16" ht="19.5" hidden="1" customHeight="1">
      <c r="B196" s="1185" t="s">
        <v>339</v>
      </c>
      <c r="C196" s="1186">
        <v>0.01</v>
      </c>
      <c r="D196" s="1670">
        <v>-0.15116881695471651</v>
      </c>
      <c r="E196" s="1699">
        <v>4.3829385535243404E-2</v>
      </c>
      <c r="F196" s="1683">
        <v>4.9405962600723718E-2</v>
      </c>
      <c r="G196" s="1683">
        <v>-0.14779477239865724</v>
      </c>
      <c r="H196" s="1683">
        <v>-3.0465652337285931E-2</v>
      </c>
      <c r="I196" s="1683">
        <v>-0.36487628373269576</v>
      </c>
      <c r="J196" s="1699">
        <v>8.6803367886090221E-2</v>
      </c>
      <c r="K196" s="1683">
        <v>4.300952272773273E-4</v>
      </c>
      <c r="L196" s="1683">
        <v>4.0604559518997441E-2</v>
      </c>
      <c r="M196" s="1699">
        <v>-0.3</v>
      </c>
      <c r="N196" s="1699">
        <v>-0.03</v>
      </c>
      <c r="O196" s="1683">
        <v>-0.52</v>
      </c>
      <c r="P196" s="1683">
        <v>-0.18547053508086719</v>
      </c>
    </row>
    <row r="197" spans="2:16" ht="15" hidden="1" customHeight="1">
      <c r="B197" s="1185" t="s">
        <v>340</v>
      </c>
      <c r="C197" s="1186">
        <v>-6.2864628779266241E-2</v>
      </c>
      <c r="D197" s="1670">
        <v>-0.21648457342146799</v>
      </c>
      <c r="E197" s="1699">
        <v>1.9561102886314075E-3</v>
      </c>
      <c r="F197" s="1683">
        <v>-3.1267592495879626E-2</v>
      </c>
      <c r="G197" s="1683">
        <v>-2.2690478454094887E-2</v>
      </c>
      <c r="H197" s="1683">
        <v>-0.12741091072896893</v>
      </c>
      <c r="I197" s="1683">
        <v>-1.9276641431403618E-2</v>
      </c>
      <c r="J197" s="1699">
        <v>-0.101981008331677</v>
      </c>
      <c r="K197" s="1683">
        <v>0</v>
      </c>
      <c r="L197" s="1683">
        <v>8.8947302420763208E-3</v>
      </c>
      <c r="M197" s="1699">
        <v>0.12546641762898503</v>
      </c>
      <c r="N197" s="1699">
        <v>-4.3133483312971066E-2</v>
      </c>
      <c r="O197" s="1683">
        <v>-0.31093935790984517</v>
      </c>
      <c r="P197" s="1683">
        <v>-0.12689208254056439</v>
      </c>
    </row>
    <row r="198" spans="2:16" ht="15" hidden="1" customHeight="1">
      <c r="B198" s="1185" t="s">
        <v>341</v>
      </c>
      <c r="C198" s="1186">
        <v>0.103576458275767</v>
      </c>
      <c r="D198" s="1670">
        <v>-3.2555824489632901E-2</v>
      </c>
      <c r="E198" s="1699">
        <v>-1.1084461284253999</v>
      </c>
      <c r="F198" s="1683">
        <v>-0.27213197927112853</v>
      </c>
      <c r="G198" s="1683">
        <v>-2.6265714496154224E-2</v>
      </c>
      <c r="H198" s="1683">
        <v>-8.0577512431290188E-2</v>
      </c>
      <c r="I198" s="1683">
        <v>-8.5703451573149181E-2</v>
      </c>
      <c r="J198" s="1699">
        <v>-0.25901187587000774</v>
      </c>
      <c r="K198" s="1683">
        <v>0</v>
      </c>
      <c r="L198" s="1683">
        <v>6.4181463374168857E-3</v>
      </c>
      <c r="M198" s="1699">
        <v>9.6019042531247933E-2</v>
      </c>
      <c r="N198" s="1699">
        <v>-0.34424657370594192</v>
      </c>
      <c r="O198" s="1683">
        <v>-6.0374865650325599E-2</v>
      </c>
      <c r="P198" s="1683">
        <v>-0.25562685727327228</v>
      </c>
    </row>
    <row r="199" spans="2:16" ht="15" hidden="1" customHeight="1">
      <c r="B199" s="1185" t="s">
        <v>342</v>
      </c>
      <c r="C199" s="1186">
        <v>-4.5856603779426131E-2</v>
      </c>
      <c r="D199" s="1670">
        <v>-0.23915165795017623</v>
      </c>
      <c r="E199" s="1699">
        <v>-0.12861267928078179</v>
      </c>
      <c r="F199" s="1683">
        <v>6.3405742695121781E-2</v>
      </c>
      <c r="G199" s="1683">
        <v>-2.755309775345216E-2</v>
      </c>
      <c r="H199" s="1683">
        <v>-6.2675926454280884E-2</v>
      </c>
      <c r="I199" s="1683">
        <v>0</v>
      </c>
      <c r="J199" s="1699">
        <v>-1.3287178712051428E-2</v>
      </c>
      <c r="K199" s="1683">
        <v>0</v>
      </c>
      <c r="L199" s="1683">
        <v>-6.3894007987264079E-2</v>
      </c>
      <c r="M199" s="1699">
        <v>0.16651409335928236</v>
      </c>
      <c r="N199" s="1699">
        <v>-5.1593879526390385E-2</v>
      </c>
      <c r="O199" s="1683">
        <v>0.39950869617260132</v>
      </c>
      <c r="P199" s="1683">
        <v>8.9508020797324228E-2</v>
      </c>
    </row>
    <row r="200" spans="2:16" ht="15" hidden="1" customHeight="1">
      <c r="B200" s="1185" t="s">
        <v>343</v>
      </c>
      <c r="C200" s="1186">
        <v>0.06</v>
      </c>
      <c r="D200" s="1670">
        <v>-8.6256904636954346E-2</v>
      </c>
      <c r="E200" s="1699">
        <v>4.7471815230437642E-4</v>
      </c>
      <c r="F200" s="1683">
        <v>9.6491801639771779E-2</v>
      </c>
      <c r="G200" s="1683">
        <v>-6.5506299571367776E-2</v>
      </c>
      <c r="H200" s="1683">
        <v>0.33117518149387593</v>
      </c>
      <c r="I200" s="1683">
        <v>0</v>
      </c>
      <c r="J200" s="1699">
        <v>0.18480802443959021</v>
      </c>
      <c r="K200" s="1683">
        <v>-2.4606685566994031</v>
      </c>
      <c r="L200" s="1683">
        <v>-6.9174315520781349E-3</v>
      </c>
      <c r="M200" s="1699">
        <v>0.13682668263195197</v>
      </c>
      <c r="N200" s="1699">
        <v>-0.22107766017623476</v>
      </c>
      <c r="O200" s="1683">
        <v>0.537991525273668</v>
      </c>
      <c r="P200" s="1683">
        <v>1.7089539595872338E-2</v>
      </c>
    </row>
    <row r="201" spans="2:16" ht="15" hidden="1" customHeight="1">
      <c r="B201" s="1185" t="s">
        <v>344</v>
      </c>
      <c r="C201" s="1186">
        <v>-5.5155701011611047E-2</v>
      </c>
      <c r="D201" s="1670">
        <v>8.7680175491566814E-2</v>
      </c>
      <c r="E201" s="1699">
        <v>-0.59466788406613569</v>
      </c>
      <c r="F201" s="1683">
        <v>0.45843326923238337</v>
      </c>
      <c r="G201" s="1683">
        <v>9.4953347572124258E-2</v>
      </c>
      <c r="H201" s="1683">
        <v>-0.27129849886291524</v>
      </c>
      <c r="I201" s="1683">
        <v>0</v>
      </c>
      <c r="J201" s="1699">
        <v>0.28848346753309606</v>
      </c>
      <c r="K201" s="1683">
        <v>4.7645700668397239E-3</v>
      </c>
      <c r="L201" s="1683">
        <v>0.15901851006911993</v>
      </c>
      <c r="M201" s="1699">
        <v>0.34261473215020377</v>
      </c>
      <c r="N201" s="1699">
        <v>-9.2204748943436332E-2</v>
      </c>
      <c r="O201" s="1683">
        <v>0.38100461425645271</v>
      </c>
      <c r="P201" s="1683">
        <v>5.7043728927941295E-2</v>
      </c>
    </row>
    <row r="202" spans="2:16" ht="15" customHeight="1" thickTop="1">
      <c r="B202" s="1187"/>
      <c r="C202" s="1186"/>
      <c r="D202" s="1670"/>
      <c r="E202" s="1699"/>
      <c r="F202" s="1683"/>
      <c r="G202" s="1683"/>
      <c r="H202" s="1683"/>
      <c r="I202" s="1683"/>
      <c r="J202" s="1699"/>
      <c r="K202" s="1683"/>
      <c r="L202" s="1683"/>
      <c r="M202" s="1699"/>
      <c r="N202" s="1699"/>
      <c r="O202" s="1683"/>
      <c r="P202" s="1683"/>
    </row>
    <row r="203" spans="2:16" ht="15" customHeight="1">
      <c r="B203" s="1183">
        <v>2017</v>
      </c>
      <c r="C203" s="1186"/>
      <c r="D203" s="1670"/>
      <c r="E203" s="1699"/>
      <c r="F203" s="1683"/>
      <c r="G203" s="1683"/>
      <c r="H203" s="1683"/>
      <c r="I203" s="1683"/>
      <c r="J203" s="1699"/>
      <c r="K203" s="1683"/>
      <c r="L203" s="1683"/>
      <c r="M203" s="1699"/>
      <c r="N203" s="1699"/>
      <c r="O203" s="1683"/>
      <c r="P203" s="1683"/>
    </row>
    <row r="204" spans="2:16">
      <c r="B204" s="1187" t="s">
        <v>345</v>
      </c>
      <c r="C204" s="1186">
        <v>-0.14395699733885658</v>
      </c>
      <c r="D204" s="1670">
        <v>-0.14519912561157255</v>
      </c>
      <c r="E204" s="1699">
        <v>9.6778981249800999E-2</v>
      </c>
      <c r="F204" s="1683">
        <v>0.33723384170307735</v>
      </c>
      <c r="G204" s="1683">
        <v>-0.1466428277484777</v>
      </c>
      <c r="H204" s="1683">
        <v>-0.74629185797573383</v>
      </c>
      <c r="I204" s="1683">
        <v>0.43726443050133845</v>
      </c>
      <c r="J204" s="1699">
        <v>0.26773485741575787</v>
      </c>
      <c r="K204" s="1683">
        <v>3.9438429433324984E-5</v>
      </c>
      <c r="L204" s="1683">
        <v>0.29371371495956478</v>
      </c>
      <c r="M204" s="1699">
        <v>7.9437862911047041E-2</v>
      </c>
      <c r="N204" s="1699">
        <v>7.1084034325874512E-3</v>
      </c>
      <c r="O204" s="1683">
        <v>0.79606344286153874</v>
      </c>
      <c r="P204" s="1683">
        <v>0.23243531654664196</v>
      </c>
    </row>
    <row r="205" spans="2:16">
      <c r="B205" s="1187" t="s">
        <v>334</v>
      </c>
      <c r="C205" s="1186">
        <v>4.9185642596372148E-2</v>
      </c>
      <c r="D205" s="1670">
        <v>-0.13991496323225716</v>
      </c>
      <c r="E205" s="1699">
        <v>0.13435504202914395</v>
      </c>
      <c r="F205" s="1683">
        <v>0.69748811855021575</v>
      </c>
      <c r="G205" s="1683">
        <v>-2.5912676037276317E-2</v>
      </c>
      <c r="H205" s="1683">
        <v>0.10694149514709483</v>
      </c>
      <c r="I205" s="1683">
        <v>2.5296000245367267E-3</v>
      </c>
      <c r="J205" s="1699">
        <v>-3.7355531393723496E-2</v>
      </c>
      <c r="K205" s="1683">
        <v>0</v>
      </c>
      <c r="L205" s="1683">
        <v>0.17892984593532724</v>
      </c>
      <c r="M205" s="1699">
        <v>0.5175567960908678</v>
      </c>
      <c r="N205" s="1699">
        <v>0.23150082639258329</v>
      </c>
      <c r="O205" s="1683">
        <v>1.56209280663544</v>
      </c>
      <c r="P205" s="1683">
        <v>0.61365710823693131</v>
      </c>
    </row>
    <row r="206" spans="2:16">
      <c r="B206" s="1187" t="s">
        <v>335</v>
      </c>
      <c r="C206" s="1186">
        <v>0.15481245504314067</v>
      </c>
      <c r="D206" s="1670">
        <v>3.3813402974969264E-2</v>
      </c>
      <c r="E206" s="1699">
        <v>-6.5371876881448188E-2</v>
      </c>
      <c r="F206" s="1683">
        <v>0.63560986498480965</v>
      </c>
      <c r="G206" s="1683">
        <v>0.11465486117392398</v>
      </c>
      <c r="H206" s="1683">
        <v>0.21335493060932187</v>
      </c>
      <c r="I206" s="1683">
        <v>-1.7394084729738246E-2</v>
      </c>
      <c r="J206" s="1699">
        <v>0.18087095069707626</v>
      </c>
      <c r="K206" s="1683">
        <v>0</v>
      </c>
      <c r="L206" s="1683">
        <v>8.4341831797285494E-3</v>
      </c>
      <c r="M206" s="1699">
        <v>0.3592053623065361</v>
      </c>
      <c r="N206" s="1699">
        <v>0.1309698324961861</v>
      </c>
      <c r="O206" s="1683">
        <v>-0.21394473405654812</v>
      </c>
      <c r="P206" s="1683">
        <v>3.0973897910446802E-2</v>
      </c>
    </row>
    <row r="207" spans="2:16">
      <c r="B207" s="1187" t="s">
        <v>336</v>
      </c>
      <c r="C207" s="1186">
        <v>-0.1140898058741624</v>
      </c>
      <c r="D207" s="1670">
        <v>2.2539226657913858E-2</v>
      </c>
      <c r="E207" s="1699">
        <v>3.7273509686253092E-2</v>
      </c>
      <c r="F207" s="1683">
        <v>6.1276709580027067E-2</v>
      </c>
      <c r="G207" s="1683">
        <v>-4.082799681933702E-2</v>
      </c>
      <c r="H207" s="1683">
        <v>3.8058141227370612E-3</v>
      </c>
      <c r="I207" s="1683">
        <v>5.0730198761850254E-2</v>
      </c>
      <c r="J207" s="1699">
        <v>2.0591744059705874E-2</v>
      </c>
      <c r="K207" s="1683">
        <v>2.0215136956984958</v>
      </c>
      <c r="L207" s="1683">
        <v>0.33904277227867485</v>
      </c>
      <c r="M207" s="1699">
        <v>-6.7380858327426019E-2</v>
      </c>
      <c r="N207" s="1699">
        <v>0.22325987328701835</v>
      </c>
      <c r="O207" s="1683">
        <v>-0.3600415835995352</v>
      </c>
      <c r="P207" s="1683">
        <v>5.4566032503644557E-2</v>
      </c>
    </row>
    <row r="208" spans="2:16">
      <c r="B208" s="1187" t="s">
        <v>337</v>
      </c>
      <c r="C208" s="1186">
        <v>0.12628402014167595</v>
      </c>
      <c r="D208" s="1670">
        <v>9.430034530448772E-2</v>
      </c>
      <c r="E208" s="1699">
        <v>-6.7036224933203492E-3</v>
      </c>
      <c r="F208" s="1683">
        <v>1.7569109717063824E-2</v>
      </c>
      <c r="G208" s="1683">
        <v>0.13378164057702424</v>
      </c>
      <c r="H208" s="1683">
        <v>3.9135094650943891E-2</v>
      </c>
      <c r="I208" s="1683">
        <v>0</v>
      </c>
      <c r="J208" s="1699">
        <v>-0.20757677688492127</v>
      </c>
      <c r="K208" s="1683">
        <v>2.9759974633059016E-3</v>
      </c>
      <c r="L208" s="1683">
        <v>-0.38952049646682196</v>
      </c>
      <c r="M208" s="1699">
        <v>-9.1016830068291199E-2</v>
      </c>
      <c r="N208" s="1699">
        <v>1.081369536857224E-2</v>
      </c>
      <c r="O208" s="1683">
        <v>6.533346042156829E-2</v>
      </c>
      <c r="P208" s="1683">
        <v>2.6515760183709602E-2</v>
      </c>
    </row>
    <row r="209" spans="2:16">
      <c r="B209" s="1187" t="s">
        <v>338</v>
      </c>
      <c r="C209" s="1186">
        <v>0.21089998317589398</v>
      </c>
      <c r="D209" s="1670">
        <v>2.8809600192158946E-2</v>
      </c>
      <c r="E209" s="1699">
        <v>-0.82062489556931073</v>
      </c>
      <c r="F209" s="1683">
        <v>0.38345167441851125</v>
      </c>
      <c r="G209" s="1683">
        <v>-3.3994069110276914E-2</v>
      </c>
      <c r="H209" s="1683">
        <v>-0.18176557933743398</v>
      </c>
      <c r="I209" s="1683">
        <v>-3.2643690313527429E-3</v>
      </c>
      <c r="J209" s="1699">
        <v>0.17725727208042219</v>
      </c>
      <c r="K209" s="1683">
        <v>0</v>
      </c>
      <c r="L209" s="1683">
        <v>0.28858177669628393</v>
      </c>
      <c r="M209" s="1699">
        <v>0.33108322842563265</v>
      </c>
      <c r="N209" s="1699">
        <v>-0.15254468880143701</v>
      </c>
      <c r="O209" s="1683">
        <v>-0.45010869819855914</v>
      </c>
      <c r="P209" s="1683">
        <v>-0.23827841460168919</v>
      </c>
    </row>
    <row r="210" spans="2:16">
      <c r="B210" s="1187" t="s">
        <v>339</v>
      </c>
      <c r="C210" s="1186">
        <v>0.18946982379788313</v>
      </c>
      <c r="D210" s="1670">
        <v>7.9740698035069002E-3</v>
      </c>
      <c r="E210" s="1699">
        <v>7.3838384747393349E-3</v>
      </c>
      <c r="F210" s="1683">
        <v>-6.1639010009517659E-2</v>
      </c>
      <c r="G210" s="1683">
        <v>1.477627634363099E-2</v>
      </c>
      <c r="H210" s="1683">
        <v>-0.23313364816450743</v>
      </c>
      <c r="I210" s="1683">
        <v>-7.9124620369164234E-2</v>
      </c>
      <c r="J210" s="1699">
        <v>4.586326089515147E-2</v>
      </c>
      <c r="K210" s="1683">
        <v>-2.8093900613991751</v>
      </c>
      <c r="L210" s="1683">
        <v>1.0958504213940845</v>
      </c>
      <c r="M210" s="1699">
        <v>0.10565213894724312</v>
      </c>
      <c r="N210" s="1699">
        <v>-0.33181203841549101</v>
      </c>
      <c r="O210" s="1683">
        <v>-0.42060931858862727</v>
      </c>
      <c r="P210" s="1683">
        <v>-0.35734186204675611</v>
      </c>
    </row>
    <row r="211" spans="2:16">
      <c r="B211" s="1187" t="s">
        <v>340</v>
      </c>
      <c r="C211" s="1186">
        <v>-0.18162079120147556</v>
      </c>
      <c r="D211" s="1670">
        <v>0.10388131019873903</v>
      </c>
      <c r="E211" s="1699">
        <v>5.7605966426144128E-2</v>
      </c>
      <c r="F211" s="1683">
        <v>5.490493388631279E-2</v>
      </c>
      <c r="G211" s="1683">
        <v>3.0753806272931783E-2</v>
      </c>
      <c r="H211" s="1683">
        <v>-2.883244241103089E-3</v>
      </c>
      <c r="I211" s="1683">
        <v>2.9610425555715025E-2</v>
      </c>
      <c r="J211" s="1699">
        <v>0.12737528255311048</v>
      </c>
      <c r="K211" s="1683">
        <v>0</v>
      </c>
      <c r="L211" s="1683">
        <v>3.4540985667241841E-4</v>
      </c>
      <c r="M211" s="1699">
        <v>5.5133483164016006E-2</v>
      </c>
      <c r="N211" s="1699">
        <v>6.5871448875487459E-3</v>
      </c>
      <c r="O211" s="1683">
        <v>-0.4698771410876379</v>
      </c>
      <c r="P211" s="1683">
        <v>-0.13031260789845289</v>
      </c>
    </row>
    <row r="212" spans="2:16">
      <c r="B212" s="1187" t="s">
        <v>341</v>
      </c>
      <c r="C212" s="1186">
        <v>2.1563309941008413E-2</v>
      </c>
      <c r="D212" s="1670">
        <v>0.45048075833891144</v>
      </c>
      <c r="E212" s="1699">
        <v>0.23502458419280003</v>
      </c>
      <c r="F212" s="1683">
        <v>1.0993584978537427</v>
      </c>
      <c r="G212" s="1683">
        <v>7.167385924384817E-2</v>
      </c>
      <c r="H212" s="1683">
        <v>-0.30641976582208574</v>
      </c>
      <c r="I212" s="1683">
        <v>0.1442621503936703</v>
      </c>
      <c r="J212" s="1699">
        <v>0.64456710395477401</v>
      </c>
      <c r="K212" s="1683">
        <v>0</v>
      </c>
      <c r="L212" s="1683">
        <v>5.1193646715064212E-2</v>
      </c>
      <c r="M212" s="1699">
        <v>0.11902700421717594</v>
      </c>
      <c r="N212" s="1699">
        <v>0.2689140860558048</v>
      </c>
      <c r="O212" s="1683">
        <v>0.65770031233862714</v>
      </c>
      <c r="P212" s="1683">
        <v>0.38024198967359091</v>
      </c>
    </row>
    <row r="213" spans="2:16">
      <c r="B213" s="1187" t="s">
        <v>342</v>
      </c>
      <c r="C213" s="1186">
        <v>0.63153391201622444</v>
      </c>
      <c r="D213" s="1670">
        <v>1.4433931344024264</v>
      </c>
      <c r="E213" s="1699">
        <v>0.24321491961687425</v>
      </c>
      <c r="F213" s="1683">
        <v>3.4939779159946394</v>
      </c>
      <c r="G213" s="1683">
        <v>1.0669075724422328</v>
      </c>
      <c r="H213" s="1683">
        <v>1.0765781032526567</v>
      </c>
      <c r="I213" s="1683">
        <v>0.36930128711900601</v>
      </c>
      <c r="J213" s="1699">
        <v>3.0803054341849379</v>
      </c>
      <c r="K213" s="1683">
        <v>0</v>
      </c>
      <c r="L213" s="1683">
        <v>0.45239846130591399</v>
      </c>
      <c r="M213" s="1699">
        <v>2.656132602435135</v>
      </c>
      <c r="N213" s="1699">
        <v>1.2481986732169492</v>
      </c>
      <c r="O213" s="1683">
        <v>2.2656029547107437</v>
      </c>
      <c r="P213" s="1683">
        <v>1.5403349480904716</v>
      </c>
    </row>
    <row r="214" spans="2:16">
      <c r="B214" s="1187" t="s">
        <v>343</v>
      </c>
      <c r="C214" s="1186">
        <v>0.27701677149156723</v>
      </c>
      <c r="D214" s="1670">
        <v>0.61577708705375933</v>
      </c>
      <c r="E214" s="1699">
        <v>6.3544665937365075E-2</v>
      </c>
      <c r="F214" s="1683">
        <v>1.3179667138828677</v>
      </c>
      <c r="G214" s="1683">
        <v>0.37853597357011548</v>
      </c>
      <c r="H214" s="1683">
        <v>0.29470124200134951</v>
      </c>
      <c r="I214" s="1683">
        <v>-4.2459165787112063E-2</v>
      </c>
      <c r="J214" s="1699">
        <v>1.1369092066000785</v>
      </c>
      <c r="K214" s="1683">
        <v>-1.4287040609325508</v>
      </c>
      <c r="L214" s="1683">
        <v>-0.72219020117625377</v>
      </c>
      <c r="M214" s="1699">
        <v>1.1034357181655574</v>
      </c>
      <c r="N214" s="1699">
        <v>0.32736383628990673</v>
      </c>
      <c r="O214" s="1683">
        <v>1.7430671314525581</v>
      </c>
      <c r="P214" s="1683">
        <v>0.73677073903639645</v>
      </c>
    </row>
    <row r="215" spans="2:16">
      <c r="B215" s="1289" t="s">
        <v>344</v>
      </c>
      <c r="C215" s="1186">
        <v>0.28087393340565647</v>
      </c>
      <c r="D215" s="1670">
        <v>0.71844499795163941</v>
      </c>
      <c r="E215" s="1699">
        <v>-0.4259653476778702</v>
      </c>
      <c r="F215" s="1683">
        <v>0.45080948722098224</v>
      </c>
      <c r="G215" s="1683">
        <v>5.2214220405577549E-3</v>
      </c>
      <c r="H215" s="1683">
        <v>0.29330466571699798</v>
      </c>
      <c r="I215" s="1683">
        <v>-5.1435201068206204E-3</v>
      </c>
      <c r="J215" s="1699">
        <v>0.77830680922059692</v>
      </c>
      <c r="K215" s="1683">
        <v>2.5625910028637122E-3</v>
      </c>
      <c r="L215" s="1683">
        <v>0.48687091288193152</v>
      </c>
      <c r="M215" s="1699">
        <v>0.74284056951428035</v>
      </c>
      <c r="N215" s="1699">
        <v>0.21293732487357442</v>
      </c>
      <c r="O215" s="1683">
        <v>1.2903912175466381</v>
      </c>
      <c r="P215" s="1683">
        <v>0.52763853521511361</v>
      </c>
    </row>
    <row r="216" spans="2:16">
      <c r="B216" s="1289"/>
      <c r="C216" s="1186"/>
      <c r="D216" s="1670"/>
      <c r="E216" s="1699"/>
      <c r="F216" s="1683"/>
      <c r="G216" s="1683"/>
      <c r="H216" s="1683"/>
      <c r="I216" s="1683"/>
      <c r="J216" s="1699"/>
      <c r="K216" s="1683"/>
      <c r="L216" s="1683"/>
      <c r="M216" s="1699"/>
      <c r="N216" s="1699"/>
      <c r="O216" s="1683"/>
      <c r="P216" s="1683"/>
    </row>
    <row r="217" spans="2:16">
      <c r="B217" s="930">
        <v>2018</v>
      </c>
      <c r="C217" s="1186"/>
      <c r="D217" s="1670"/>
      <c r="E217" s="1699"/>
      <c r="F217" s="1683"/>
      <c r="G217" s="1683"/>
      <c r="H217" s="1683"/>
      <c r="I217" s="1683"/>
      <c r="J217" s="1699"/>
      <c r="K217" s="1683"/>
      <c r="L217" s="1683"/>
      <c r="M217" s="1699"/>
      <c r="N217" s="1699"/>
      <c r="O217" s="1683"/>
      <c r="P217" s="1683"/>
    </row>
    <row r="218" spans="2:16">
      <c r="B218" s="1187" t="s">
        <v>345</v>
      </c>
      <c r="C218" s="1186">
        <v>0.1682821798916434</v>
      </c>
      <c r="D218" s="1670">
        <v>0.67424414831185331</v>
      </c>
      <c r="E218" s="1699">
        <v>1.8971641169063247E-2</v>
      </c>
      <c r="F218" s="1683">
        <v>0.54807816829831602</v>
      </c>
      <c r="G218" s="1683">
        <v>9.6855677330220935E-2</v>
      </c>
      <c r="H218" s="1683">
        <v>-1.8353471622489792E-3</v>
      </c>
      <c r="I218" s="1683">
        <v>-3.9878091041500863E-2</v>
      </c>
      <c r="J218" s="1699">
        <v>1.7773439578479433</v>
      </c>
      <c r="K218" s="1683">
        <v>3.9941556268852096E-3</v>
      </c>
      <c r="L218" s="1683">
        <v>-0.16432918277693442</v>
      </c>
      <c r="M218" s="1699">
        <v>0.64262327987727463</v>
      </c>
      <c r="N218" s="1699">
        <v>0.25903018257762422</v>
      </c>
      <c r="O218" s="1683">
        <v>0.38762213449037297</v>
      </c>
      <c r="P218" s="1683">
        <v>0.2968741164554034</v>
      </c>
    </row>
    <row r="219" spans="2:16">
      <c r="B219" s="1289" t="s">
        <v>334</v>
      </c>
      <c r="C219" s="1186">
        <v>0.25893866986252956</v>
      </c>
      <c r="D219" s="1670">
        <v>0.9062867841018285</v>
      </c>
      <c r="E219" s="1699">
        <v>5.0684508555942642E-3</v>
      </c>
      <c r="F219" s="1683">
        <v>0.42876026991591765</v>
      </c>
      <c r="G219" s="1683">
        <v>-4.0855040649656615E-3</v>
      </c>
      <c r="H219" s="1683">
        <v>-2.1609738641736875E-2</v>
      </c>
      <c r="I219" s="1683">
        <v>0.15282142522723419</v>
      </c>
      <c r="J219" s="1699">
        <v>0.89861427295261365</v>
      </c>
      <c r="K219" s="1683">
        <v>1.9953725899135577E-3</v>
      </c>
      <c r="L219" s="1683">
        <v>6.3032640478466462E-3</v>
      </c>
      <c r="M219" s="1699">
        <v>0.21302836044028162</v>
      </c>
      <c r="N219" s="1699">
        <v>0.1923232955503007</v>
      </c>
      <c r="O219" s="1683">
        <v>-0.18249685035028884</v>
      </c>
      <c r="P219" s="1683">
        <v>8.1915895936823802E-2</v>
      </c>
    </row>
    <row r="220" spans="2:16">
      <c r="B220" s="1289" t="s">
        <v>335</v>
      </c>
      <c r="C220" s="1186">
        <v>0.13083960504534087</v>
      </c>
      <c r="D220" s="1670">
        <v>-0.34287435503801422</v>
      </c>
      <c r="E220" s="1699">
        <v>-0.7366123268735536</v>
      </c>
      <c r="F220" s="1683">
        <v>0.45922918956742276</v>
      </c>
      <c r="G220" s="1683">
        <v>0.18364206754224455</v>
      </c>
      <c r="H220" s="1683">
        <v>-1.2947567249321557</v>
      </c>
      <c r="I220" s="1683">
        <v>-1.5954253465455648</v>
      </c>
      <c r="J220" s="1699">
        <v>1.5812568821448547</v>
      </c>
      <c r="K220" s="1683">
        <v>5.2525749925980136E-3</v>
      </c>
      <c r="L220" s="1683">
        <v>-0.13527949794835958</v>
      </c>
      <c r="M220" s="1699">
        <v>-0.54792815225742642</v>
      </c>
      <c r="N220" s="1699">
        <v>8.9161100774992619E-2</v>
      </c>
      <c r="O220" s="1683">
        <v>-3.2385113552602096E-2</v>
      </c>
      <c r="P220" s="1683">
        <v>-0.25315490114864447</v>
      </c>
    </row>
    <row r="221" spans="2:16">
      <c r="B221" s="1289" t="s">
        <v>336</v>
      </c>
      <c r="C221" s="1186">
        <v>0.20072425381001402</v>
      </c>
      <c r="D221" s="1670">
        <v>0.33791266066822701</v>
      </c>
      <c r="E221" s="1699">
        <v>-5.9134826141837848E-3</v>
      </c>
      <c r="F221" s="1683">
        <v>-1.7859563491984254E-3</v>
      </c>
      <c r="G221" s="1683">
        <v>0.10474604904113782</v>
      </c>
      <c r="H221" s="1683">
        <v>-0.31998748802980481</v>
      </c>
      <c r="I221" s="1683">
        <v>-0.20981929689480872</v>
      </c>
      <c r="J221" s="1699">
        <v>-9.5662487486236625E-2</v>
      </c>
      <c r="K221" s="1683">
        <v>0.62641042065023633</v>
      </c>
      <c r="L221" s="1683">
        <v>1.8549147993761173</v>
      </c>
      <c r="M221" s="1699">
        <v>0.26069839116187321</v>
      </c>
      <c r="N221" s="1699">
        <v>0.11371045456183282</v>
      </c>
      <c r="O221" s="1683">
        <v>2.0279656311483762E-2</v>
      </c>
      <c r="P221" s="1683">
        <v>8.323317431611077E-2</v>
      </c>
    </row>
    <row r="222" spans="2:16">
      <c r="B222" s="1289" t="s">
        <v>337</v>
      </c>
      <c r="C222" s="1186">
        <v>-2.6283351942490984E-2</v>
      </c>
      <c r="D222" s="1670">
        <v>0.10276855961703912</v>
      </c>
      <c r="E222" s="1699">
        <v>-4.7198205998189025E-3</v>
      </c>
      <c r="F222" s="1683">
        <v>-0.12357412492083331</v>
      </c>
      <c r="G222" s="1683">
        <v>3.1624227092397206E-2</v>
      </c>
      <c r="H222" s="1683">
        <v>0.13500337261875828</v>
      </c>
      <c r="I222" s="1683">
        <v>-1.0619856599403121E-2</v>
      </c>
      <c r="J222" s="1699">
        <v>7.7847712455381135E-2</v>
      </c>
      <c r="K222" s="1683">
        <v>0</v>
      </c>
      <c r="L222" s="1683">
        <v>5.2717568256133163E-2</v>
      </c>
      <c r="M222" s="1699">
        <v>0.32640098466434342</v>
      </c>
      <c r="N222" s="1699">
        <v>3.041830018886138E-2</v>
      </c>
      <c r="O222" s="1683">
        <v>1.7200980196463433E-2</v>
      </c>
      <c r="P222" s="1683">
        <v>2.6109500632709448E-2</v>
      </c>
    </row>
    <row r="223" spans="2:16">
      <c r="B223" s="1289" t="s">
        <v>338</v>
      </c>
      <c r="C223" s="1186">
        <v>0.59958652060545514</v>
      </c>
      <c r="D223" s="1670">
        <v>0.13781234132275166</v>
      </c>
      <c r="E223" s="1699">
        <v>-0.15752860776603317</v>
      </c>
      <c r="F223" s="1683">
        <v>-0.48021570667591273</v>
      </c>
      <c r="G223" s="1683">
        <v>0.37763318623944553</v>
      </c>
      <c r="H223" s="1683">
        <v>0.1930623449265978</v>
      </c>
      <c r="I223" s="1683">
        <v>9.7487826945275025E-2</v>
      </c>
      <c r="J223" s="1699">
        <v>-0.25104473730893639</v>
      </c>
      <c r="K223" s="1683">
        <v>0</v>
      </c>
      <c r="L223" s="1683">
        <v>0.26216131105289975</v>
      </c>
      <c r="M223" s="1699">
        <v>0.99823354554602339</v>
      </c>
      <c r="N223" s="1699">
        <v>4.1607626649864393E-2</v>
      </c>
      <c r="O223" s="1683">
        <v>-0.23043041028247835</v>
      </c>
      <c r="P223" s="1683">
        <v>-4.7067912629961128E-2</v>
      </c>
    </row>
    <row r="224" spans="2:16" ht="18" customHeight="1">
      <c r="B224" s="1289" t="s">
        <v>339</v>
      </c>
      <c r="C224" s="1186">
        <v>0.43412445414636736</v>
      </c>
      <c r="D224" s="1670">
        <v>0.38092725970630958</v>
      </c>
      <c r="E224" s="1699">
        <v>-3.2859332940948782E-3</v>
      </c>
      <c r="F224" s="1683">
        <v>0.39715898983803122</v>
      </c>
      <c r="G224" s="1683">
        <v>0.30791280981785629</v>
      </c>
      <c r="H224" s="1683">
        <v>0.16729321034378852</v>
      </c>
      <c r="I224" s="1683">
        <v>8.1071827490242221E-2</v>
      </c>
      <c r="J224" s="1699">
        <v>0.65093473778161659</v>
      </c>
      <c r="K224" s="1683">
        <v>7.1627260432731266</v>
      </c>
      <c r="L224" s="1683">
        <v>3.20112835152353</v>
      </c>
      <c r="M224" s="1699">
        <v>0.74648041956719702</v>
      </c>
      <c r="N224" s="1699">
        <v>1.090444229118015</v>
      </c>
      <c r="O224" s="1683">
        <v>0.7414808654857552</v>
      </c>
      <c r="P224" s="1683">
        <v>0.976902213253239</v>
      </c>
    </row>
    <row r="225" spans="1:16" ht="18" customHeight="1">
      <c r="B225" s="1289" t="s">
        <v>340</v>
      </c>
      <c r="C225" s="1186">
        <v>0.13070869136895258</v>
      </c>
      <c r="D225" s="1670">
        <v>0.45263618204895995</v>
      </c>
      <c r="E225" s="1699">
        <v>3.7580589033359146E-3</v>
      </c>
      <c r="F225" s="1683">
        <v>0.9133380012934289</v>
      </c>
      <c r="G225" s="1683">
        <v>0.23979226185117941</v>
      </c>
      <c r="H225" s="1683">
        <v>0.46550837462357997</v>
      </c>
      <c r="I225" s="1683">
        <v>0</v>
      </c>
      <c r="J225" s="1699">
        <v>-0.23176942310009219</v>
      </c>
      <c r="K225" s="1683">
        <v>-7.0755133929623071E-4</v>
      </c>
      <c r="L225" s="1683">
        <v>0.11187446714067129</v>
      </c>
      <c r="M225" s="1699">
        <v>0.34203689098666334</v>
      </c>
      <c r="N225" s="1699">
        <v>0.27552393506216077</v>
      </c>
      <c r="O225" s="1683">
        <v>0.6249749409322769</v>
      </c>
      <c r="P225" s="1683">
        <v>0.38895952876982776</v>
      </c>
    </row>
    <row r="226" spans="1:16" ht="18" customHeight="1">
      <c r="B226" s="1289" t="s">
        <v>341</v>
      </c>
      <c r="C226" s="1186">
        <v>0.21821878351433455</v>
      </c>
      <c r="D226" s="1670">
        <v>1.3485552170224624</v>
      </c>
      <c r="E226" s="1699">
        <v>0.53463217380915751</v>
      </c>
      <c r="F226" s="1683">
        <v>2.7883495770519406</v>
      </c>
      <c r="G226" s="1683">
        <v>1.8979164079603983</v>
      </c>
      <c r="H226" s="1683">
        <v>0.50958761664208208</v>
      </c>
      <c r="I226" s="1683">
        <v>0.32303577432024611</v>
      </c>
      <c r="J226" s="1699">
        <v>0.22177716021385407</v>
      </c>
      <c r="K226" s="1683">
        <v>0</v>
      </c>
      <c r="L226" s="1683">
        <v>0.27594796769196961</v>
      </c>
      <c r="M226" s="1699">
        <v>6.9383344191087382E-2</v>
      </c>
      <c r="N226" s="1699">
        <v>0.85333555613524847</v>
      </c>
      <c r="O226" s="1683">
        <v>1.0517383216053444</v>
      </c>
      <c r="P226" s="1683">
        <v>0.91789066339438286</v>
      </c>
    </row>
    <row r="227" spans="1:16" ht="18" customHeight="1">
      <c r="B227" s="1289" t="s">
        <v>342</v>
      </c>
      <c r="C227" s="1186">
        <v>7.8919268080859029</v>
      </c>
      <c r="D227" s="1670">
        <v>45.878856774301454</v>
      </c>
      <c r="E227" s="1699">
        <v>2.9353303176533174</v>
      </c>
      <c r="F227" s="1683">
        <v>26.861747704917494</v>
      </c>
      <c r="G227" s="1683">
        <v>12.944060677337932</v>
      </c>
      <c r="H227" s="1683">
        <v>19.126979751152184</v>
      </c>
      <c r="I227" s="1683">
        <v>1.3869907370354984</v>
      </c>
      <c r="J227" s="1699">
        <v>27.663890622816645</v>
      </c>
      <c r="K227" s="1683">
        <v>0</v>
      </c>
      <c r="L227" s="1683">
        <v>9.8626916064579397</v>
      </c>
      <c r="M227" s="1699">
        <v>13.635725362715245</v>
      </c>
      <c r="N227" s="1699">
        <v>14.65901096592952</v>
      </c>
      <c r="O227" s="1683">
        <v>20.123124054313891</v>
      </c>
      <c r="P227" s="1683">
        <v>16.43924946645685</v>
      </c>
    </row>
    <row r="228" spans="1:16" ht="18" customHeight="1">
      <c r="B228" s="1289" t="s">
        <v>343</v>
      </c>
      <c r="C228" s="1186">
        <v>7.208539808189407</v>
      </c>
      <c r="D228" s="1670">
        <v>10.62860856823724</v>
      </c>
      <c r="E228" s="1699">
        <v>4.8031997365733936</v>
      </c>
      <c r="F228" s="1683">
        <v>9.1204946996404459</v>
      </c>
      <c r="G228" s="1683">
        <v>3.3612861315254206</v>
      </c>
      <c r="H228" s="1683">
        <v>2.310539731645922</v>
      </c>
      <c r="I228" s="1683">
        <v>0.17988414595655478</v>
      </c>
      <c r="J228" s="1699">
        <v>16.326451879068937</v>
      </c>
      <c r="K228" s="1683">
        <v>0.34986878558653789</v>
      </c>
      <c r="L228" s="1683">
        <v>9.2864865042198819</v>
      </c>
      <c r="M228" s="1699">
        <v>15.420580761670122</v>
      </c>
      <c r="N228" s="1699">
        <v>6.5004436340954541</v>
      </c>
      <c r="O228" s="1683">
        <v>14.52669282496486</v>
      </c>
      <c r="P228" s="1683">
        <v>9.1981729417809568</v>
      </c>
    </row>
    <row r="229" spans="1:16" ht="18" customHeight="1">
      <c r="B229" s="1289" t="s">
        <v>344</v>
      </c>
      <c r="C229" s="1186">
        <v>10.215166144522003</v>
      </c>
      <c r="D229" s="1670">
        <v>8.0654269958682523</v>
      </c>
      <c r="E229" s="1699">
        <v>2.7716205944582573</v>
      </c>
      <c r="F229" s="1683">
        <v>8.0660804290953116</v>
      </c>
      <c r="G229" s="1683">
        <v>8.4945743772952387</v>
      </c>
      <c r="H229" s="1683">
        <v>28.608050305273114</v>
      </c>
      <c r="I229" s="1683">
        <v>1.2649088749153492</v>
      </c>
      <c r="J229" s="1699">
        <v>3.1910352170540834</v>
      </c>
      <c r="K229" s="1683">
        <v>0</v>
      </c>
      <c r="L229" s="1683">
        <v>13.841514039214275</v>
      </c>
      <c r="M229" s="1699">
        <v>10.070196138270514</v>
      </c>
      <c r="N229" s="1699">
        <v>9.0084599055951777</v>
      </c>
      <c r="O229" s="1683">
        <v>9.0742370674128168</v>
      </c>
      <c r="P229" s="1683">
        <v>9.0316473138806188</v>
      </c>
    </row>
    <row r="230" spans="1:16" ht="18" customHeight="1">
      <c r="B230" s="1466"/>
      <c r="C230" s="1186"/>
      <c r="D230" s="1670"/>
      <c r="E230" s="1699"/>
      <c r="F230" s="1683"/>
      <c r="G230" s="1683"/>
      <c r="H230" s="1683"/>
      <c r="I230" s="1683"/>
      <c r="J230" s="1699"/>
      <c r="K230" s="1683"/>
      <c r="L230" s="1683"/>
      <c r="M230" s="1699"/>
      <c r="N230" s="1699"/>
      <c r="O230" s="1683"/>
      <c r="P230" s="1683"/>
    </row>
    <row r="231" spans="1:16" ht="18" customHeight="1">
      <c r="A231" s="19"/>
      <c r="B231" s="930">
        <v>2019</v>
      </c>
      <c r="C231" s="1186"/>
      <c r="D231" s="1670"/>
      <c r="E231" s="1699"/>
      <c r="F231" s="1683"/>
      <c r="G231" s="1683"/>
      <c r="H231" s="1683"/>
      <c r="I231" s="1683"/>
      <c r="J231" s="1699"/>
      <c r="K231" s="1683"/>
      <c r="L231" s="1683"/>
      <c r="M231" s="1699"/>
      <c r="N231" s="1699"/>
      <c r="O231" s="1683"/>
      <c r="P231" s="1683"/>
    </row>
    <row r="232" spans="1:16" ht="18" customHeight="1">
      <c r="A232" s="19"/>
      <c r="B232" s="930" t="s">
        <v>345</v>
      </c>
      <c r="C232" s="1186">
        <v>13.351937722063244</v>
      </c>
      <c r="D232" s="1670">
        <v>1.0353797207603543</v>
      </c>
      <c r="E232" s="1699">
        <v>4.3528078633444212</v>
      </c>
      <c r="F232" s="1683">
        <v>9.4553518804958223</v>
      </c>
      <c r="G232" s="1683">
        <v>11.642026613319011</v>
      </c>
      <c r="H232" s="1683">
        <v>47.254005057065029</v>
      </c>
      <c r="I232" s="1683">
        <v>1.1229588158575776</v>
      </c>
      <c r="J232" s="1699">
        <v>11.005633326361309</v>
      </c>
      <c r="K232" s="1683">
        <v>9.6656049681453915E-2</v>
      </c>
      <c r="L232" s="1683">
        <v>11.728755144173597</v>
      </c>
      <c r="M232" s="1699">
        <v>6.721199132532174</v>
      </c>
      <c r="N232" s="1699">
        <v>12.828270048031932</v>
      </c>
      <c r="O232" s="1683">
        <v>6.9365919411450649</v>
      </c>
      <c r="P232" s="1683">
        <v>10.750556364303998</v>
      </c>
    </row>
    <row r="233" spans="1:16" ht="18" customHeight="1">
      <c r="A233" s="19"/>
      <c r="B233" s="930" t="s">
        <v>334</v>
      </c>
      <c r="C233" s="1186">
        <v>2.9403403250890747</v>
      </c>
      <c r="D233" s="1670">
        <v>5.9421495241743116</v>
      </c>
      <c r="E233" s="1699">
        <v>2.7742311345289927</v>
      </c>
      <c r="F233" s="1683">
        <v>2.7320187867295953</v>
      </c>
      <c r="G233" s="1683">
        <v>2.9279839709319244</v>
      </c>
      <c r="H233" s="1683">
        <v>-7.700329029129815</v>
      </c>
      <c r="I233" s="1683">
        <v>0.14276304000595541</v>
      </c>
      <c r="J233" s="1699">
        <v>3.4249904106533391</v>
      </c>
      <c r="K233" s="1683">
        <v>2.1822398284387923E-2</v>
      </c>
      <c r="L233" s="1683">
        <v>2.2019836027068473</v>
      </c>
      <c r="M233" s="1699">
        <v>4.339731788262835</v>
      </c>
      <c r="N233" s="1699">
        <v>0.70040309231187425</v>
      </c>
      <c r="O233" s="1683">
        <v>3.5572803370693462</v>
      </c>
      <c r="P233" s="1683">
        <v>1.6731921824101104</v>
      </c>
    </row>
    <row r="234" spans="1:16" ht="18" customHeight="1">
      <c r="A234" s="19"/>
      <c r="B234" s="930" t="s">
        <v>335</v>
      </c>
      <c r="C234" s="1186">
        <v>14.285219797351068</v>
      </c>
      <c r="D234" s="1670">
        <v>5.5611640633258963</v>
      </c>
      <c r="E234" s="1699">
        <v>2.3444812657704261</v>
      </c>
      <c r="F234" s="1683">
        <v>5.2021665935544581</v>
      </c>
      <c r="G234" s="1683">
        <v>2.3017605099565852</v>
      </c>
      <c r="H234" s="1683">
        <v>3.0643345069120365</v>
      </c>
      <c r="I234" s="1683">
        <v>0.13832785915564028</v>
      </c>
      <c r="J234" s="1699">
        <v>3.9201033575517075</v>
      </c>
      <c r="K234" s="1683">
        <v>3.6562810864880557</v>
      </c>
      <c r="L234" s="1683">
        <v>4.5431653535911387</v>
      </c>
      <c r="M234" s="1699">
        <v>5.1649252732276718</v>
      </c>
      <c r="N234" s="1699">
        <v>4.0546333613652008</v>
      </c>
      <c r="O234" s="1683">
        <v>5.0960537909853887</v>
      </c>
      <c r="P234" s="1683">
        <v>4.3806409745267727</v>
      </c>
    </row>
    <row r="235" spans="1:16" ht="18" customHeight="1">
      <c r="A235" s="19"/>
      <c r="B235" s="930" t="s">
        <v>336</v>
      </c>
      <c r="C235" s="1186">
        <v>12.048027477557955</v>
      </c>
      <c r="D235" s="1670">
        <v>6.5676095734464868</v>
      </c>
      <c r="E235" s="1699">
        <v>0.65070391832464658</v>
      </c>
      <c r="F235" s="1683">
        <v>5.8424426916485084</v>
      </c>
      <c r="G235" s="1683">
        <v>19.89986807043622</v>
      </c>
      <c r="H235" s="1683">
        <v>3.4038723705080765</v>
      </c>
      <c r="I235" s="1683">
        <v>3.5033824682583647</v>
      </c>
      <c r="J235" s="1699">
        <v>5.3636989287007442</v>
      </c>
      <c r="K235" s="1683">
        <v>6.9269006269761846</v>
      </c>
      <c r="L235" s="1683">
        <v>19.742289548502683</v>
      </c>
      <c r="M235" s="1699">
        <v>5.350043266349469</v>
      </c>
      <c r="N235" s="1699">
        <v>4.4500429122146912</v>
      </c>
      <c r="O235" s="1683">
        <v>7.8455386617736877</v>
      </c>
      <c r="P235" s="1683">
        <v>5.5202585439532825</v>
      </c>
    </row>
    <row r="236" spans="1:16" ht="18" customHeight="1">
      <c r="A236" s="19"/>
      <c r="B236" s="930" t="s">
        <v>337</v>
      </c>
      <c r="C236" s="1186">
        <v>21.574193171524243</v>
      </c>
      <c r="D236" s="1670">
        <v>11.892854633497024</v>
      </c>
      <c r="E236" s="1699">
        <v>2.5433150969834486</v>
      </c>
      <c r="F236" s="1683">
        <v>11.51312929929</v>
      </c>
      <c r="G236" s="1683">
        <v>16.851878148587772</v>
      </c>
      <c r="H236" s="1683">
        <v>16.178713785905515</v>
      </c>
      <c r="I236" s="1683">
        <v>31.207758067169863</v>
      </c>
      <c r="J236" s="1699">
        <v>29.811998192770858</v>
      </c>
      <c r="K236" s="1683">
        <v>3.053373544157779</v>
      </c>
      <c r="L236" s="1683">
        <v>6.6695515060497996</v>
      </c>
      <c r="M236" s="1699">
        <v>8.9614590089658321</v>
      </c>
      <c r="N236" s="1699">
        <v>10.117001700703483</v>
      </c>
      <c r="O236" s="1683">
        <v>17.629842752103769</v>
      </c>
      <c r="P236" s="1683">
        <v>12.537131375373178</v>
      </c>
    </row>
    <row r="237" spans="1:16" ht="18" customHeight="1">
      <c r="A237" s="19"/>
      <c r="B237" s="930" t="s">
        <v>338</v>
      </c>
      <c r="C237" s="1186">
        <v>40.937589875079603</v>
      </c>
      <c r="D237" s="1670">
        <v>59.894066575732907</v>
      </c>
      <c r="E237" s="1699">
        <v>18.105443257755226</v>
      </c>
      <c r="F237" s="1683">
        <v>63.798762292392162</v>
      </c>
      <c r="G237" s="1683">
        <v>46.526595636368981</v>
      </c>
      <c r="H237" s="1683">
        <v>41.895826643995626</v>
      </c>
      <c r="I237" s="1683">
        <v>2.324381801976183</v>
      </c>
      <c r="J237" s="1699">
        <v>35.378139641795769</v>
      </c>
      <c r="K237" s="1683">
        <v>6.4001782719458333E-2</v>
      </c>
      <c r="L237" s="1683">
        <v>28.711585600120415</v>
      </c>
      <c r="M237" s="1699">
        <v>36.633917837502608</v>
      </c>
      <c r="N237" s="1699">
        <v>31.229499767705015</v>
      </c>
      <c r="O237" s="1683">
        <v>55.073874072782502</v>
      </c>
      <c r="P237" s="1683">
        <v>39.258140839656683</v>
      </c>
    </row>
    <row r="238" spans="1:16" ht="18" customHeight="1">
      <c r="A238" s="19"/>
      <c r="B238" s="930" t="s">
        <v>339</v>
      </c>
      <c r="C238" s="1186">
        <v>23.718374813573703</v>
      </c>
      <c r="D238" s="1670">
        <v>27.683814416815039</v>
      </c>
      <c r="E238" s="1699">
        <v>9.1923043375570899</v>
      </c>
      <c r="F238" s="1683">
        <v>27.014998814562958</v>
      </c>
      <c r="G238" s="1683">
        <v>43.316413107651954</v>
      </c>
      <c r="H238" s="1683">
        <v>26.393490203011737</v>
      </c>
      <c r="I238" s="1683">
        <v>7.4784705478600415</v>
      </c>
      <c r="J238" s="1699">
        <v>36.166869280370207</v>
      </c>
      <c r="K238" s="1683">
        <v>11.051492329201167</v>
      </c>
      <c r="L238" s="1683">
        <v>30.506019203260024</v>
      </c>
      <c r="M238" s="1699">
        <v>39.792211814529821</v>
      </c>
      <c r="N238" s="1699">
        <v>21.718892638265203</v>
      </c>
      <c r="O238" s="1683">
        <v>19.898472270899333</v>
      </c>
      <c r="P238" s="1683">
        <v>21.036324767424475</v>
      </c>
    </row>
    <row r="239" spans="1:16" ht="17.25" customHeight="1" thickBot="1">
      <c r="A239" s="19"/>
      <c r="B239" s="930" t="s">
        <v>340</v>
      </c>
      <c r="C239" s="1188">
        <v>18.0927275521632</v>
      </c>
      <c r="D239" s="1659">
        <v>10.81398007711396</v>
      </c>
      <c r="E239" s="1696">
        <v>13.648237886895576</v>
      </c>
      <c r="F239" s="1680">
        <v>11.18466072090607</v>
      </c>
      <c r="G239" s="1680">
        <v>7.4682273469655058</v>
      </c>
      <c r="H239" s="1680">
        <v>32.663080739655982</v>
      </c>
      <c r="I239" s="1680">
        <v>67.862896385975475</v>
      </c>
      <c r="J239" s="1696">
        <v>12.651679294991848</v>
      </c>
      <c r="K239" s="1680">
        <v>4.0851898040143775</v>
      </c>
      <c r="L239" s="1680">
        <v>8.6673735713992848</v>
      </c>
      <c r="M239" s="1696">
        <v>18.771461156735114</v>
      </c>
      <c r="N239" s="1696">
        <v>17.788683585948739</v>
      </c>
      <c r="O239" s="1680">
        <v>18.549773389103329</v>
      </c>
      <c r="P239" s="1680">
        <v>18.071371981376451</v>
      </c>
    </row>
    <row r="240" spans="1:16" ht="17.25" customHeight="1" thickTop="1" thickBot="1">
      <c r="A240" s="19"/>
      <c r="B240" s="1508" t="s">
        <v>341</v>
      </c>
      <c r="C240" s="1657">
        <v>11.01</v>
      </c>
      <c r="D240" s="1658">
        <v>17.47</v>
      </c>
      <c r="E240" s="1700">
        <v>15.52</v>
      </c>
      <c r="F240" s="1684">
        <v>14.73</v>
      </c>
      <c r="G240" s="1684">
        <v>18.68</v>
      </c>
      <c r="H240" s="1684">
        <v>16.829999999999998</v>
      </c>
      <c r="I240" s="1684">
        <v>1.29</v>
      </c>
      <c r="J240" s="1700">
        <v>18.03</v>
      </c>
      <c r="K240" s="1684">
        <v>4.0999999999999996</v>
      </c>
      <c r="L240" s="1684">
        <v>8.42</v>
      </c>
      <c r="M240" s="1700">
        <v>35.01</v>
      </c>
      <c r="N240" s="1700">
        <v>16.63</v>
      </c>
      <c r="O240" s="1684">
        <v>19.55</v>
      </c>
      <c r="P240" s="1684">
        <v>17.72</v>
      </c>
    </row>
    <row r="241" spans="1:18" ht="17.25" customHeight="1">
      <c r="A241" s="19"/>
      <c r="B241" s="1507"/>
      <c r="C241" s="1476"/>
      <c r="D241" s="1476"/>
      <c r="E241" s="1476"/>
      <c r="F241" s="1476"/>
      <c r="G241" s="1476"/>
      <c r="H241" s="1476"/>
      <c r="I241" s="1476"/>
      <c r="J241" s="1476"/>
      <c r="K241" s="1476"/>
      <c r="L241" s="1476"/>
      <c r="M241" s="1476"/>
      <c r="N241" s="1476"/>
      <c r="O241" s="1506"/>
      <c r="P241" s="1477"/>
    </row>
    <row r="242" spans="1:18" ht="15.75">
      <c r="A242" s="19"/>
      <c r="B242" s="964" t="s">
        <v>1780</v>
      </c>
      <c r="R242" s="910"/>
    </row>
    <row r="243" spans="1:18">
      <c r="A243" s="19"/>
      <c r="C243" s="910"/>
      <c r="D243" s="910"/>
      <c r="E243" s="910"/>
      <c r="F243" s="910"/>
      <c r="G243" s="910"/>
      <c r="H243" s="910"/>
      <c r="I243" s="910"/>
      <c r="J243" s="910"/>
      <c r="K243" s="910"/>
      <c r="L243" s="910"/>
      <c r="M243" s="910"/>
      <c r="N243" s="910"/>
      <c r="O243" s="910"/>
      <c r="P243" s="910"/>
    </row>
    <row r="244" spans="1:18">
      <c r="A244" s="19"/>
    </row>
  </sheetData>
  <customSheetViews>
    <customSheetView guid="{705E0D18-9A83-42CA-8732-90923BE2EC7D}" showGridLines="0" outlineSymbols="0" fitToPage="1" hiddenRows="1" view="pageBreakPreview">
      <selection activeCell="B57" sqref="B57:P160"/>
      <pageMargins left="0.17" right="0.17" top="0.68333333333333302" bottom="0.13" header="0.5" footer="0.16"/>
      <printOptions horizontalCentered="1"/>
      <pageSetup paperSize="9" scale="68" orientation="landscape" horizontalDpi="300" verticalDpi="300" r:id="rId1"/>
      <headerFooter alignWithMargins="0"/>
    </customSheetView>
    <customSheetView guid="{D45E5F9E-4EA6-40A2-8A1D-3AC67FB8CE54}" showGridLines="0" outlineSymbols="0" fitToPage="1" hiddenRows="1" view="pageBreakPreview">
      <selection activeCell="B57" sqref="B57:P159"/>
      <pageMargins left="0.17" right="0.17" top="0.68333333333333302" bottom="0.13" header="0.5" footer="0.16"/>
      <printOptions horizontalCentered="1"/>
      <pageSetup paperSize="9" scale="68" orientation="landscape" horizontalDpi="300" verticalDpi="300" r:id="rId2"/>
      <headerFooter alignWithMargins="0"/>
    </customSheetView>
    <customSheetView guid="{098C004C-808F-436E-8F18-182F927479D1}" showGridLines="0" outlineSymbols="0" fitToPage="1" hiddenRows="1" topLeftCell="B57">
      <pane xSplit="1" ySplit="33" topLeftCell="C127" activePane="bottomRight" state="frozen"/>
      <selection pane="bottomRight" activeCell="B130" sqref="B130"/>
      <pageMargins left="0.17" right="0.17" top="0.68333333333333302" bottom="0.13" header="0.5" footer="0.16"/>
      <printOptions horizontalCentered="1"/>
      <pageSetup paperSize="9" orientation="landscape" horizontalDpi="300" verticalDpi="300" r:id="rId3"/>
      <headerFooter alignWithMargins="0"/>
    </customSheetView>
    <customSheetView guid="{89CA84C2-78F5-4B05-8F1D-B7C5F97BCB4E}" showGridLines="0" outlineSymbols="0" fitToPage="1" hiddenRows="1" view="pageBreakPreview" topLeftCell="A136">
      <selection activeCell="B150" sqref="B150:P150"/>
      <pageMargins left="0.17" right="0.17" top="0.68333333333333302" bottom="0.13" header="0.5" footer="0.16"/>
      <printOptions horizontalCentered="1"/>
      <pageSetup paperSize="9" scale="68" orientation="landscape" horizontalDpi="300" verticalDpi="300" r:id="rId4"/>
      <headerFooter alignWithMargins="0"/>
    </customSheetView>
  </customSheetViews>
  <mergeCells count="7">
    <mergeCell ref="O83:O86"/>
    <mergeCell ref="P83:P86"/>
    <mergeCell ref="C4:M4"/>
    <mergeCell ref="C61:O61"/>
    <mergeCell ref="C82:N82"/>
    <mergeCell ref="B57:P57"/>
    <mergeCell ref="B58:P58"/>
  </mergeCells>
  <phoneticPr fontId="42" type="noConversion"/>
  <printOptions horizontalCentered="1"/>
  <pageMargins left="0.17" right="0.17" top="0.68333333333333302" bottom="0.13" header="0.5" footer="0.16"/>
  <pageSetup paperSize="9" scale="63" orientation="landscape" r:id="rId5"/>
  <headerFooter alignWithMargins="0"/>
  <ignoredErrors>
    <ignoredError sqref="N88" unlockedFormula="1"/>
  </ignoredErrors>
  <drawing r:id="rId6"/>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autoPageBreaks="0"/>
  </sheetPr>
  <dimension ref="C1:AA205"/>
  <sheetViews>
    <sheetView showOutlineSymbols="0" zoomScale="60" zoomScaleNormal="87" workbookViewId="0">
      <selection activeCell="G176" sqref="G176"/>
    </sheetView>
  </sheetViews>
  <sheetFormatPr defaultColWidth="12.6640625" defaultRowHeight="15"/>
  <cols>
    <col min="1" max="2" width="12.6640625" style="12"/>
    <col min="3" max="3" width="17.44140625" style="12" customWidth="1"/>
    <col min="4" max="5" width="12.6640625" style="12"/>
    <col min="6" max="6" width="13.44140625" style="12" bestFit="1" customWidth="1"/>
    <col min="7" max="16384" width="12.6640625" style="12"/>
  </cols>
  <sheetData>
    <row r="1" spans="3:27" ht="23.25">
      <c r="C1" s="4"/>
      <c r="D1" s="4"/>
      <c r="E1" s="11"/>
      <c r="F1" s="4" t="s">
        <v>17</v>
      </c>
      <c r="G1" s="4"/>
      <c r="H1" s="4"/>
      <c r="I1" s="4"/>
      <c r="J1" s="4"/>
      <c r="K1" s="7"/>
      <c r="L1" s="4"/>
      <c r="M1" s="1"/>
      <c r="N1" s="2"/>
      <c r="O1" s="2"/>
      <c r="P1" s="2"/>
      <c r="Q1" s="2"/>
      <c r="R1" s="2"/>
      <c r="S1" s="2"/>
      <c r="T1" s="2"/>
      <c r="U1" s="2"/>
      <c r="V1" s="2"/>
      <c r="W1" s="2"/>
      <c r="X1" s="2"/>
      <c r="Y1" s="2"/>
      <c r="Z1" s="2"/>
      <c r="AA1" s="2"/>
    </row>
    <row r="2" spans="3:27" ht="13.15" customHeight="1">
      <c r="C2" s="4"/>
      <c r="D2" s="4"/>
      <c r="E2" s="4"/>
      <c r="F2" s="4"/>
      <c r="G2" s="4"/>
      <c r="H2" s="4"/>
      <c r="I2" s="4"/>
      <c r="J2" s="4"/>
      <c r="K2" s="4"/>
      <c r="L2" s="4"/>
      <c r="M2" s="1"/>
      <c r="N2" s="2"/>
      <c r="O2" s="2"/>
      <c r="P2" s="2"/>
      <c r="Q2" s="2"/>
      <c r="R2" s="2"/>
      <c r="S2" s="2"/>
      <c r="T2" s="2"/>
      <c r="U2" s="2"/>
      <c r="V2" s="2"/>
      <c r="W2" s="2"/>
      <c r="X2" s="2"/>
      <c r="Y2" s="2"/>
      <c r="Z2" s="2"/>
      <c r="AA2" s="2"/>
    </row>
    <row r="3" spans="3:27" ht="13.15" customHeight="1">
      <c r="C3" s="6"/>
      <c r="D3" s="6"/>
      <c r="E3" s="3"/>
      <c r="F3" s="3"/>
      <c r="G3" s="3"/>
      <c r="H3" s="3"/>
      <c r="I3" s="3"/>
      <c r="J3" s="3"/>
      <c r="K3" s="3"/>
      <c r="L3" s="3"/>
      <c r="M3" s="17"/>
    </row>
    <row r="4" spans="3:27" ht="18.75">
      <c r="C4" s="13" t="s">
        <v>263</v>
      </c>
      <c r="D4" s="13" t="s">
        <v>18</v>
      </c>
      <c r="E4" s="14" t="s">
        <v>19</v>
      </c>
      <c r="F4" s="14" t="s">
        <v>20</v>
      </c>
      <c r="G4" s="14" t="s">
        <v>21</v>
      </c>
      <c r="H4" s="14" t="s">
        <v>22</v>
      </c>
      <c r="I4" s="14" t="s">
        <v>23</v>
      </c>
      <c r="J4" s="14" t="s">
        <v>24</v>
      </c>
      <c r="K4" s="14" t="s">
        <v>25</v>
      </c>
      <c r="L4" s="14" t="s">
        <v>26</v>
      </c>
      <c r="M4" s="17"/>
    </row>
    <row r="5" spans="3:27" ht="12.75" customHeight="1">
      <c r="C5" s="13"/>
      <c r="D5" s="5"/>
      <c r="E5" s="4"/>
      <c r="F5" s="4"/>
      <c r="G5" s="4"/>
      <c r="H5" s="4"/>
      <c r="I5" s="4"/>
      <c r="J5" s="4"/>
      <c r="K5" s="4"/>
      <c r="L5" s="4"/>
      <c r="M5" s="17"/>
    </row>
    <row r="6" spans="3:27" ht="13.15" customHeight="1">
      <c r="C6" s="5"/>
      <c r="D6" s="9"/>
      <c r="E6" s="7"/>
      <c r="F6" s="7"/>
      <c r="G6" s="7"/>
      <c r="H6" s="7"/>
      <c r="I6" s="7"/>
      <c r="J6" s="7"/>
      <c r="K6" s="7"/>
      <c r="L6" s="7"/>
      <c r="M6" s="17"/>
    </row>
    <row r="7" spans="3:27" ht="12.75" customHeight="1">
      <c r="C7" s="6"/>
      <c r="D7" s="10"/>
      <c r="E7" s="8"/>
      <c r="F7" s="8"/>
      <c r="G7" s="8"/>
      <c r="H7" s="8"/>
      <c r="I7" s="8"/>
      <c r="J7" s="8"/>
      <c r="K7" s="8"/>
      <c r="L7" s="8"/>
      <c r="M7" s="29"/>
    </row>
    <row r="8" spans="3:27" ht="12.75" hidden="1" customHeight="1">
      <c r="C8" s="13" t="s">
        <v>297</v>
      </c>
      <c r="D8" s="9"/>
      <c r="E8" s="7"/>
      <c r="F8" s="7"/>
      <c r="G8" s="7"/>
      <c r="H8" s="7"/>
      <c r="I8" s="7"/>
      <c r="J8" s="7"/>
      <c r="K8" s="7"/>
      <c r="L8" s="7"/>
      <c r="M8" s="29"/>
    </row>
    <row r="9" spans="3:27" ht="12.75" hidden="1" customHeight="1">
      <c r="C9" s="9" t="s">
        <v>298</v>
      </c>
      <c r="D9" s="9"/>
      <c r="E9" s="7"/>
      <c r="F9" s="7"/>
      <c r="G9" s="7"/>
      <c r="H9" s="7"/>
      <c r="I9" s="7"/>
      <c r="J9" s="7"/>
      <c r="K9" s="7"/>
      <c r="L9" s="7"/>
      <c r="M9" s="29"/>
    </row>
    <row r="10" spans="3:27" ht="12.75" hidden="1" customHeight="1">
      <c r="C10" s="30" t="s">
        <v>412</v>
      </c>
      <c r="D10" s="16">
        <v>8.0898000000000003</v>
      </c>
      <c r="E10" s="15">
        <v>12.0966</v>
      </c>
      <c r="F10" s="15">
        <v>2.3698000000000001</v>
      </c>
      <c r="G10" s="15">
        <v>4.6360999999999999</v>
      </c>
      <c r="H10" s="15">
        <v>7.3700000000000002E-2</v>
      </c>
      <c r="I10" s="15">
        <v>5.5050999999999997</v>
      </c>
      <c r="J10" s="15">
        <v>1.3655999999999999</v>
      </c>
      <c r="K10" s="15">
        <v>4.7000000000000002E-3</v>
      </c>
      <c r="L10" s="15">
        <v>3.1307</v>
      </c>
      <c r="M10" s="29"/>
    </row>
    <row r="11" spans="3:27" ht="12.75" hidden="1" customHeight="1">
      <c r="C11" s="30" t="s">
        <v>27</v>
      </c>
      <c r="D11" s="16">
        <v>8.4943000000000008</v>
      </c>
      <c r="E11" s="15">
        <v>12.701499999999999</v>
      </c>
      <c r="F11" s="15">
        <v>2.4882</v>
      </c>
      <c r="G11" s="15">
        <v>4.8678999999999997</v>
      </c>
      <c r="H11" s="15">
        <v>7.7399999999999997E-2</v>
      </c>
      <c r="I11" s="15">
        <v>5.7804000000000002</v>
      </c>
      <c r="J11" s="15">
        <v>1.4339</v>
      </c>
      <c r="K11" s="31">
        <v>5.0000000000000001E-3</v>
      </c>
      <c r="L11" s="15">
        <v>3.2873000000000001</v>
      </c>
      <c r="M11" s="29"/>
    </row>
    <row r="12" spans="3:27" ht="12.75" hidden="1" customHeight="1">
      <c r="C12" s="9"/>
      <c r="D12" s="16">
        <f>D11+D10</f>
        <v>16.584099999999999</v>
      </c>
      <c r="E12" s="15"/>
      <c r="F12" s="15"/>
      <c r="G12" s="15"/>
      <c r="H12" s="15"/>
      <c r="I12" s="15"/>
      <c r="J12" s="15"/>
      <c r="K12" s="15"/>
      <c r="L12" s="15"/>
      <c r="M12" s="29"/>
    </row>
    <row r="13" spans="3:27" ht="12.75" hidden="1" customHeight="1">
      <c r="C13" s="9" t="s">
        <v>299</v>
      </c>
      <c r="D13" s="32">
        <f>D12/2</f>
        <v>8.2920499999999997</v>
      </c>
      <c r="E13" s="31"/>
      <c r="F13" s="31"/>
      <c r="G13" s="31"/>
      <c r="H13" s="31"/>
      <c r="I13" s="31"/>
      <c r="J13" s="31"/>
      <c r="K13" s="31"/>
      <c r="L13" s="31"/>
      <c r="M13" s="29"/>
    </row>
    <row r="14" spans="3:27" ht="12.75" hidden="1" customHeight="1">
      <c r="C14" s="30" t="s">
        <v>412</v>
      </c>
      <c r="D14" s="32">
        <v>8.0284999999999993</v>
      </c>
      <c r="E14" s="31">
        <v>11.9452</v>
      </c>
      <c r="F14" s="31">
        <v>2.3115000000000001</v>
      </c>
      <c r="G14" s="31">
        <v>4.7004999999999999</v>
      </c>
      <c r="H14" s="31">
        <v>7.7100000000000002E-2</v>
      </c>
      <c r="I14" s="31">
        <v>5.6326000000000001</v>
      </c>
      <c r="J14" s="31">
        <v>1.3832</v>
      </c>
      <c r="K14" s="31">
        <v>4.7000000000000002E-3</v>
      </c>
      <c r="L14" s="31">
        <v>3.0773000000000001</v>
      </c>
      <c r="M14" s="29"/>
    </row>
    <row r="15" spans="3:27" ht="12.75" hidden="1" customHeight="1">
      <c r="C15" s="30" t="s">
        <v>27</v>
      </c>
      <c r="D15" s="32">
        <v>8.1402999999999999</v>
      </c>
      <c r="E15" s="31">
        <v>12.1112</v>
      </c>
      <c r="F15" s="31">
        <v>2.3435999999999999</v>
      </c>
      <c r="G15" s="31">
        <v>4.7657999999999996</v>
      </c>
      <c r="H15" s="31">
        <v>7.8100000000000003E-2</v>
      </c>
      <c r="I15" s="31">
        <v>5.7108999999999996</v>
      </c>
      <c r="J15" s="31">
        <v>1.4025000000000001</v>
      </c>
      <c r="K15" s="31">
        <v>4.7999999999999996E-3</v>
      </c>
      <c r="L15" s="31">
        <v>3.1200999999999999</v>
      </c>
      <c r="M15" s="29"/>
    </row>
    <row r="16" spans="3:27" ht="12.75" hidden="1" customHeight="1">
      <c r="C16" s="9"/>
      <c r="D16" s="32"/>
      <c r="E16" s="31"/>
      <c r="F16" s="31"/>
      <c r="G16" s="31"/>
      <c r="H16" s="31"/>
      <c r="I16" s="31"/>
      <c r="J16" s="31"/>
      <c r="K16" s="31"/>
      <c r="L16" s="31"/>
      <c r="M16" s="29"/>
    </row>
    <row r="17" spans="3:13" ht="12.75" hidden="1" customHeight="1">
      <c r="C17" s="9" t="s">
        <v>300</v>
      </c>
      <c r="D17" s="32"/>
      <c r="E17" s="31"/>
      <c r="F17" s="31"/>
      <c r="G17" s="31"/>
      <c r="H17" s="31"/>
      <c r="I17" s="31"/>
      <c r="J17" s="31"/>
      <c r="K17" s="31"/>
      <c r="L17" s="31"/>
      <c r="M17" s="29"/>
    </row>
    <row r="18" spans="3:13" ht="12.75" hidden="1" customHeight="1">
      <c r="C18" s="30" t="s">
        <v>412</v>
      </c>
      <c r="D18" s="32">
        <v>7.9568000000000003</v>
      </c>
      <c r="E18" s="31">
        <v>11.792</v>
      </c>
      <c r="F18" s="31">
        <v>2.2869000000000002</v>
      </c>
      <c r="G18" s="31">
        <v>4.7564000000000002</v>
      </c>
      <c r="H18" s="31">
        <v>7.7299999999999994E-2</v>
      </c>
      <c r="I18" s="31">
        <v>5.6172000000000004</v>
      </c>
      <c r="J18" s="31">
        <v>1.3923000000000001</v>
      </c>
      <c r="K18" s="31">
        <v>4.7999999999999996E-3</v>
      </c>
      <c r="L18" s="31">
        <v>3.0808</v>
      </c>
      <c r="M18" s="29"/>
    </row>
    <row r="19" spans="3:13" ht="12.75" hidden="1" customHeight="1">
      <c r="C19" s="30" t="s">
        <v>27</v>
      </c>
      <c r="D19" s="32">
        <v>8.0640000000000001</v>
      </c>
      <c r="E19" s="31">
        <v>11.9512</v>
      </c>
      <c r="F19" s="31">
        <v>2.3178000000000001</v>
      </c>
      <c r="G19" s="31">
        <v>4.8205999999999998</v>
      </c>
      <c r="H19" s="31">
        <v>7.8399999999999997E-2</v>
      </c>
      <c r="I19" s="31">
        <v>5.6929999999999996</v>
      </c>
      <c r="J19" s="31">
        <v>1.4111</v>
      </c>
      <c r="K19" s="31">
        <v>4.8999999999999998E-3</v>
      </c>
      <c r="L19" s="31">
        <v>3.1223999999999998</v>
      </c>
      <c r="M19" s="29"/>
    </row>
    <row r="20" spans="3:13" ht="12.75" hidden="1" customHeight="1">
      <c r="C20" s="9"/>
      <c r="D20" s="32"/>
      <c r="E20" s="31"/>
      <c r="F20" s="31"/>
      <c r="G20" s="31"/>
      <c r="H20" s="31"/>
      <c r="I20" s="31"/>
      <c r="J20" s="31"/>
      <c r="K20" s="31"/>
      <c r="L20" s="31"/>
      <c r="M20" s="29"/>
    </row>
    <row r="21" spans="3:13" ht="12.75" hidden="1" customHeight="1">
      <c r="C21" s="9" t="s">
        <v>301</v>
      </c>
      <c r="D21" s="32"/>
      <c r="E21" s="31"/>
      <c r="F21" s="31"/>
      <c r="G21" s="31"/>
      <c r="H21" s="31"/>
      <c r="I21" s="31"/>
      <c r="J21" s="31"/>
      <c r="K21" s="31"/>
      <c r="L21" s="31"/>
      <c r="M21" s="29"/>
    </row>
    <row r="22" spans="3:13" ht="12.75" hidden="1" customHeight="1">
      <c r="C22" s="30" t="s">
        <v>412</v>
      </c>
      <c r="D22" s="32">
        <v>7.9229000000000003</v>
      </c>
      <c r="E22" s="31">
        <v>11.9861</v>
      </c>
      <c r="F22" s="31">
        <v>2.2107000000000001</v>
      </c>
      <c r="G22" s="31">
        <v>4.7622999999999998</v>
      </c>
      <c r="H22" s="31">
        <v>7.8100000000000003E-2</v>
      </c>
      <c r="I22" s="31">
        <v>5.6090999999999998</v>
      </c>
      <c r="J22" s="31">
        <v>1.3895999999999999</v>
      </c>
      <c r="K22" s="31">
        <v>4.8999999999999998E-3</v>
      </c>
      <c r="L22" s="31">
        <v>2.9901</v>
      </c>
      <c r="M22" s="29"/>
    </row>
    <row r="23" spans="3:13" ht="12.75" hidden="1" customHeight="1">
      <c r="C23" s="30" t="s">
        <v>27</v>
      </c>
      <c r="D23" s="32">
        <v>8.0893999999999995</v>
      </c>
      <c r="E23" s="31">
        <v>12.2379</v>
      </c>
      <c r="F23" s="31">
        <v>2.2572000000000001</v>
      </c>
      <c r="G23" s="31">
        <v>4.8623000000000003</v>
      </c>
      <c r="H23" s="31">
        <v>7.9699999999999993E-2</v>
      </c>
      <c r="I23" s="31">
        <v>5.7268999999999997</v>
      </c>
      <c r="J23" s="31">
        <v>1.4188000000000001</v>
      </c>
      <c r="K23" s="31">
        <v>5.0000000000000001E-3</v>
      </c>
      <c r="L23" s="31">
        <v>3.0529000000000002</v>
      </c>
      <c r="M23" s="29"/>
    </row>
    <row r="24" spans="3:13" ht="12.75" hidden="1" customHeight="1">
      <c r="C24" s="9"/>
      <c r="D24" s="32"/>
      <c r="E24" s="31"/>
      <c r="F24" s="31"/>
      <c r="G24" s="31"/>
      <c r="H24" s="31"/>
      <c r="I24" s="31"/>
      <c r="J24" s="31"/>
      <c r="K24" s="31"/>
      <c r="L24" s="31"/>
      <c r="M24" s="29"/>
    </row>
    <row r="25" spans="3:13" ht="12.75" hidden="1" customHeight="1">
      <c r="C25" s="9" t="s">
        <v>302</v>
      </c>
      <c r="D25" s="32"/>
      <c r="E25" s="31"/>
      <c r="F25" s="31"/>
      <c r="G25" s="31"/>
      <c r="H25" s="31"/>
      <c r="I25" s="31"/>
      <c r="J25" s="31"/>
      <c r="K25" s="31"/>
      <c r="L25" s="31"/>
      <c r="M25" s="29"/>
    </row>
    <row r="26" spans="3:13" ht="12.75" hidden="1" customHeight="1">
      <c r="C26" s="30" t="s">
        <v>412</v>
      </c>
      <c r="D26" s="32">
        <v>7.9489000000000001</v>
      </c>
      <c r="E26" s="31">
        <v>11.989000000000001</v>
      </c>
      <c r="F26" s="31">
        <v>2.1865999999999999</v>
      </c>
      <c r="G26" s="31">
        <v>4.8281999999999998</v>
      </c>
      <c r="H26" s="31">
        <v>7.6100000000000001E-2</v>
      </c>
      <c r="I26" s="31">
        <v>5.6622000000000003</v>
      </c>
      <c r="J26" s="31">
        <v>1.4125000000000001</v>
      </c>
      <c r="K26" s="31">
        <v>4.8999999999999998E-3</v>
      </c>
      <c r="L26" s="31">
        <v>2.9493999999999998</v>
      </c>
      <c r="M26" s="29"/>
    </row>
    <row r="27" spans="3:13" ht="12.75" hidden="1" customHeight="1">
      <c r="C27" s="30" t="s">
        <v>27</v>
      </c>
      <c r="D27" s="32">
        <v>8.0266000000000002</v>
      </c>
      <c r="E27" s="31">
        <v>12.1065</v>
      </c>
      <c r="F27" s="31">
        <v>2.2080000000000002</v>
      </c>
      <c r="G27" s="31">
        <v>4.8754999999999997</v>
      </c>
      <c r="H27" s="31">
        <v>7.6799999999999993E-2</v>
      </c>
      <c r="I27" s="31">
        <v>5.7176999999999998</v>
      </c>
      <c r="J27" s="31">
        <v>1.4262999999999999</v>
      </c>
      <c r="K27" s="31">
        <v>5.0000000000000001E-3</v>
      </c>
      <c r="L27" s="31">
        <v>2.9782999999999999</v>
      </c>
      <c r="M27" s="29"/>
    </row>
    <row r="28" spans="3:13" ht="12.75" hidden="1" customHeight="1">
      <c r="C28" s="9"/>
      <c r="D28" s="32"/>
      <c r="E28" s="31"/>
      <c r="F28" s="31"/>
      <c r="G28" s="31"/>
      <c r="H28" s="31"/>
      <c r="I28" s="31"/>
      <c r="J28" s="31"/>
      <c r="K28" s="31"/>
      <c r="L28" s="31"/>
      <c r="M28" s="29"/>
    </row>
    <row r="29" spans="3:13" ht="12.75" hidden="1" customHeight="1">
      <c r="C29" s="9" t="s">
        <v>303</v>
      </c>
      <c r="D29" s="32"/>
      <c r="E29" s="31"/>
      <c r="F29" s="31"/>
      <c r="G29" s="31"/>
      <c r="H29" s="31"/>
      <c r="I29" s="31"/>
      <c r="J29" s="31"/>
      <c r="K29" s="31"/>
      <c r="L29" s="31"/>
      <c r="M29" s="29"/>
    </row>
    <row r="30" spans="3:13" ht="12.75" hidden="1" customHeight="1">
      <c r="C30" s="30" t="s">
        <v>412</v>
      </c>
      <c r="D30" s="32">
        <v>8.1067999999999998</v>
      </c>
      <c r="E30" s="31">
        <v>12.520899999999999</v>
      </c>
      <c r="F30" s="31">
        <v>2.2242999999999999</v>
      </c>
      <c r="G30" s="31">
        <v>5.1055000000000001</v>
      </c>
      <c r="H30" s="31">
        <v>8.1799999999999998E-2</v>
      </c>
      <c r="I30" s="31">
        <v>6.0693000000000001</v>
      </c>
      <c r="J30" s="31">
        <v>1.4899</v>
      </c>
      <c r="K30" s="31">
        <v>5.1999999999999998E-3</v>
      </c>
      <c r="L30" s="31">
        <v>2.9430999999999998</v>
      </c>
      <c r="M30" s="29"/>
    </row>
    <row r="31" spans="3:13" ht="12.75" hidden="1" customHeight="1">
      <c r="C31" s="30" t="s">
        <v>27</v>
      </c>
      <c r="D31" s="32">
        <v>8.1302000000000003</v>
      </c>
      <c r="E31" s="31">
        <v>12.5572</v>
      </c>
      <c r="F31" s="31">
        <v>2.2307999999999999</v>
      </c>
      <c r="G31" s="31">
        <v>5.1203000000000003</v>
      </c>
      <c r="H31" s="31">
        <v>8.2000000000000003E-2</v>
      </c>
      <c r="I31" s="31">
        <v>6.0869</v>
      </c>
      <c r="J31" s="31">
        <v>1.4942</v>
      </c>
      <c r="K31" s="31">
        <v>5.1999999999999998E-3</v>
      </c>
      <c r="L31" s="31">
        <v>2.9432</v>
      </c>
      <c r="M31" s="29"/>
    </row>
    <row r="32" spans="3:13" ht="12.75" hidden="1" customHeight="1">
      <c r="C32" s="9"/>
      <c r="D32" s="32"/>
      <c r="E32" s="31"/>
      <c r="F32" s="31"/>
      <c r="G32" s="31"/>
      <c r="H32" s="31"/>
      <c r="I32" s="31"/>
      <c r="J32" s="31"/>
      <c r="K32" s="31"/>
      <c r="L32" s="31"/>
      <c r="M32" s="29"/>
    </row>
    <row r="33" spans="3:13" ht="12.75" hidden="1" customHeight="1">
      <c r="C33" s="9" t="s">
        <v>28</v>
      </c>
      <c r="D33" s="32">
        <v>8.0821000000000005</v>
      </c>
      <c r="E33" s="31">
        <v>12.3292</v>
      </c>
      <c r="F33" s="31">
        <v>2.2059000000000002</v>
      </c>
      <c r="G33" s="31">
        <v>5.0766999999999998</v>
      </c>
      <c r="H33" s="31">
        <v>8.0799999999999997E-2</v>
      </c>
      <c r="I33" s="31">
        <v>5.9844999999999997</v>
      </c>
      <c r="J33" s="31">
        <v>1.4899</v>
      </c>
      <c r="K33" s="31">
        <v>5.0000000000000001E-3</v>
      </c>
      <c r="L33" s="31">
        <v>2.9083000000000001</v>
      </c>
      <c r="M33" s="29"/>
    </row>
    <row r="34" spans="3:13" ht="12.75" hidden="1" customHeight="1">
      <c r="C34" s="9"/>
      <c r="D34" s="32"/>
      <c r="E34" s="31"/>
      <c r="F34" s="31"/>
      <c r="G34" s="31"/>
      <c r="H34" s="31"/>
      <c r="I34" s="31"/>
      <c r="J34" s="31"/>
      <c r="K34" s="31"/>
      <c r="L34" s="31"/>
      <c r="M34" s="29"/>
    </row>
    <row r="35" spans="3:13" ht="12.75" hidden="1" customHeight="1">
      <c r="C35" s="9" t="s">
        <v>305</v>
      </c>
      <c r="D35" s="32">
        <v>8.1372999999999998</v>
      </c>
      <c r="E35" s="31">
        <v>12.492800000000001</v>
      </c>
      <c r="F35" s="31">
        <v>2.2686999999999999</v>
      </c>
      <c r="G35" s="31">
        <v>5.1666999999999996</v>
      </c>
      <c r="H35" s="31">
        <v>8.1600000000000006E-2</v>
      </c>
      <c r="I35" s="31">
        <v>6.1284000000000001</v>
      </c>
      <c r="J35" s="31">
        <v>1.5076000000000001</v>
      </c>
      <c r="K35" s="31">
        <v>5.1000000000000004E-3</v>
      </c>
      <c r="L35" s="31">
        <v>2.9689000000000001</v>
      </c>
      <c r="M35" s="29"/>
    </row>
    <row r="36" spans="3:13" ht="12.75" hidden="1" customHeight="1">
      <c r="C36" s="9"/>
      <c r="D36" s="32"/>
      <c r="E36" s="31"/>
      <c r="F36" s="31"/>
      <c r="G36" s="31"/>
      <c r="H36" s="31"/>
      <c r="I36" s="31"/>
      <c r="J36" s="31"/>
      <c r="K36" s="31"/>
      <c r="L36" s="31"/>
      <c r="M36" s="29"/>
    </row>
    <row r="37" spans="3:13" ht="12.75" hidden="1" customHeight="1">
      <c r="C37" s="9" t="s">
        <v>306</v>
      </c>
      <c r="D37" s="32">
        <v>8.3208000000000002</v>
      </c>
      <c r="E37" s="31">
        <v>13.142300000000001</v>
      </c>
      <c r="F37" s="31">
        <v>2.3334000000000001</v>
      </c>
      <c r="G37" s="31">
        <v>5.3752000000000004</v>
      </c>
      <c r="H37" s="31">
        <v>8.4400000000000003E-2</v>
      </c>
      <c r="I37" s="31">
        <v>6.4713000000000003</v>
      </c>
      <c r="J37" s="31">
        <v>1.5757000000000001</v>
      </c>
      <c r="K37" s="31">
        <v>5.3E-3</v>
      </c>
      <c r="L37" s="31">
        <v>3.0573999999999999</v>
      </c>
      <c r="M37" s="29"/>
    </row>
    <row r="38" spans="3:13" ht="12.75" hidden="1" customHeight="1">
      <c r="C38" s="9"/>
      <c r="D38" s="16"/>
      <c r="E38" s="15"/>
      <c r="F38" s="15"/>
      <c r="G38" s="15"/>
      <c r="H38" s="15"/>
      <c r="I38" s="15"/>
      <c r="J38" s="15"/>
      <c r="K38" s="15"/>
      <c r="L38" s="15"/>
      <c r="M38" s="29"/>
    </row>
    <row r="39" spans="3:13" ht="12.75" hidden="1" customHeight="1">
      <c r="C39" s="9" t="s">
        <v>307</v>
      </c>
      <c r="D39" s="32">
        <v>8.3249999999999993</v>
      </c>
      <c r="E39" s="31">
        <v>13.5031</v>
      </c>
      <c r="F39" s="31">
        <v>2.3797000000000001</v>
      </c>
      <c r="G39" s="31">
        <v>5.5096999999999996</v>
      </c>
      <c r="H39" s="31">
        <v>8.5500000000000007E-2</v>
      </c>
      <c r="I39" s="31">
        <v>6.6044999999999998</v>
      </c>
      <c r="J39" s="31">
        <v>1.6096999999999999</v>
      </c>
      <c r="K39" s="31">
        <v>5.3E-3</v>
      </c>
      <c r="L39" s="31">
        <v>3.1097999999999999</v>
      </c>
      <c r="M39" s="29"/>
    </row>
    <row r="40" spans="3:13" ht="12.75" hidden="1" customHeight="1">
      <c r="C40" s="9"/>
      <c r="D40" s="16"/>
      <c r="E40" s="15"/>
      <c r="F40" s="15"/>
      <c r="G40" s="15"/>
      <c r="H40" s="15"/>
      <c r="I40" s="15"/>
      <c r="J40" s="15"/>
      <c r="K40" s="15"/>
      <c r="L40" s="15"/>
      <c r="M40" s="29"/>
    </row>
    <row r="41" spans="3:13" ht="12.75" hidden="1" customHeight="1">
      <c r="C41" s="9" t="s">
        <v>308</v>
      </c>
      <c r="D41" s="32">
        <v>8.3492999999999995</v>
      </c>
      <c r="E41" s="31">
        <v>13.0374</v>
      </c>
      <c r="F41" s="31">
        <v>2.3544</v>
      </c>
      <c r="G41" s="31">
        <v>5.3103999999999996</v>
      </c>
      <c r="H41" s="31">
        <v>8.43E-2</v>
      </c>
      <c r="I41" s="31">
        <v>6.2824</v>
      </c>
      <c r="J41" s="31">
        <v>1.5481</v>
      </c>
      <c r="K41" s="31">
        <v>5.1000000000000004E-3</v>
      </c>
      <c r="L41" s="31">
        <v>3.0771000000000002</v>
      </c>
      <c r="M41" s="29"/>
    </row>
    <row r="42" spans="3:13" ht="12.75" hidden="1" customHeight="1">
      <c r="C42" s="9"/>
      <c r="D42" s="16"/>
      <c r="E42" s="15"/>
      <c r="F42" s="15"/>
      <c r="G42" s="15"/>
      <c r="H42" s="15"/>
      <c r="I42" s="15"/>
      <c r="J42" s="15"/>
      <c r="K42" s="15"/>
      <c r="L42" s="15"/>
      <c r="M42" s="29"/>
    </row>
    <row r="43" spans="3:13" ht="12.75" hidden="1" customHeight="1">
      <c r="C43" s="9" t="s">
        <v>311</v>
      </c>
      <c r="D43" s="16">
        <v>8.3871000000000002</v>
      </c>
      <c r="E43" s="15">
        <v>13.079700000000001</v>
      </c>
      <c r="F43" s="31">
        <v>2.3639999999999999</v>
      </c>
      <c r="G43" s="15">
        <v>5.4013</v>
      </c>
      <c r="H43" s="31">
        <v>8.4000000000000005E-2</v>
      </c>
      <c r="I43" s="15">
        <v>6.3876999999999997</v>
      </c>
      <c r="J43" s="15">
        <v>1.5653999999999999</v>
      </c>
      <c r="K43" s="15">
        <v>5.1000000000000004E-3</v>
      </c>
      <c r="L43" s="15">
        <v>3.0884999999999998</v>
      </c>
      <c r="M43" s="29"/>
    </row>
    <row r="44" spans="3:13" ht="12.75" hidden="1" customHeight="1">
      <c r="C44" s="9"/>
      <c r="D44" s="16"/>
      <c r="E44" s="15"/>
      <c r="F44" s="15"/>
      <c r="G44" s="15"/>
      <c r="H44" s="15"/>
      <c r="I44" s="15"/>
      <c r="J44" s="15"/>
      <c r="K44" s="15"/>
      <c r="L44" s="15"/>
      <c r="M44" s="29"/>
    </row>
    <row r="45" spans="3:13" ht="12.75" hidden="1" customHeight="1">
      <c r="C45" s="13" t="s">
        <v>312</v>
      </c>
      <c r="D45" s="16"/>
      <c r="E45" s="15"/>
      <c r="F45" s="15"/>
      <c r="G45" s="15"/>
      <c r="H45" s="15"/>
      <c r="I45" s="15"/>
      <c r="J45" s="15"/>
      <c r="K45" s="15"/>
      <c r="L45" s="15"/>
      <c r="M45" s="29"/>
    </row>
    <row r="46" spans="3:13" ht="12.75" hidden="1" customHeight="1">
      <c r="C46" s="5"/>
      <c r="D46" s="16"/>
      <c r="E46" s="15"/>
      <c r="F46" s="15"/>
      <c r="G46" s="15"/>
      <c r="H46" s="15"/>
      <c r="I46" s="15"/>
      <c r="J46" s="15"/>
      <c r="K46" s="15"/>
      <c r="L46" s="15"/>
      <c r="M46" s="29"/>
    </row>
    <row r="47" spans="3:13" ht="12.75" hidden="1" customHeight="1">
      <c r="C47" s="9" t="s">
        <v>306</v>
      </c>
      <c r="D47" s="16">
        <v>8.8003999999999998</v>
      </c>
      <c r="E47" s="15">
        <v>13.9087</v>
      </c>
      <c r="F47" s="15">
        <v>2.4125000000000001</v>
      </c>
      <c r="G47" s="15">
        <v>6.2084000000000001</v>
      </c>
      <c r="H47" s="15">
        <v>8.9499999999999996E-2</v>
      </c>
      <c r="I47" s="15">
        <v>7.7142999999999997</v>
      </c>
      <c r="J47" s="31">
        <v>1.798</v>
      </c>
      <c r="K47" s="15">
        <v>5.4000000000000003E-3</v>
      </c>
      <c r="L47" s="15">
        <v>3.1341999999999999</v>
      </c>
      <c r="M47" s="29"/>
    </row>
    <row r="48" spans="3:13" ht="12.75" hidden="1" customHeight="1">
      <c r="C48" s="9" t="s">
        <v>307</v>
      </c>
      <c r="D48" s="16">
        <v>9.2687000000000008</v>
      </c>
      <c r="E48" s="15">
        <v>14.6051</v>
      </c>
      <c r="F48" s="15">
        <v>2.5405000000000002</v>
      </c>
      <c r="G48" s="15">
        <v>6.5663</v>
      </c>
      <c r="H48" s="15">
        <v>9.0899999999999995E-2</v>
      </c>
      <c r="I48" s="15">
        <v>8.1303999999999998</v>
      </c>
      <c r="J48" s="31">
        <v>1.8959999999999999</v>
      </c>
      <c r="K48" s="15">
        <v>5.7000000000000002E-3</v>
      </c>
      <c r="L48" s="15">
        <v>3.2964000000000002</v>
      </c>
      <c r="M48" s="29"/>
    </row>
    <row r="49" spans="3:13" ht="12.75" hidden="1" customHeight="1">
      <c r="C49" s="9" t="s">
        <v>308</v>
      </c>
      <c r="D49" s="32">
        <v>9.2644000000000002</v>
      </c>
      <c r="E49" s="31">
        <v>14.237</v>
      </c>
      <c r="F49" s="31">
        <v>2.5297000000000001</v>
      </c>
      <c r="G49" s="31">
        <v>6.4581999999999997</v>
      </c>
      <c r="H49" s="31">
        <v>9.1200000000000003E-2</v>
      </c>
      <c r="I49" s="31">
        <v>7.9645000000000001</v>
      </c>
      <c r="J49" s="31">
        <v>1.8774999999999999</v>
      </c>
      <c r="K49" s="31">
        <v>5.7999999999999996E-3</v>
      </c>
      <c r="L49" s="31">
        <v>3.2795999999999998</v>
      </c>
      <c r="M49" s="29"/>
    </row>
    <row r="50" spans="3:13" ht="12.75" hidden="1" customHeight="1">
      <c r="C50" s="9" t="s">
        <v>311</v>
      </c>
      <c r="D50" s="32">
        <v>9.3109000000000002</v>
      </c>
      <c r="E50" s="31">
        <v>14.420299999999999</v>
      </c>
      <c r="F50" s="31">
        <v>2.5518000000000001</v>
      </c>
      <c r="G50" s="31">
        <v>6.476</v>
      </c>
      <c r="H50" s="31">
        <v>9.0399999999999994E-2</v>
      </c>
      <c r="I50" s="31">
        <v>8.0684000000000005</v>
      </c>
      <c r="J50" s="31">
        <v>1.8953</v>
      </c>
      <c r="K50" s="31">
        <v>5.7999999999999996E-3</v>
      </c>
      <c r="L50" s="31">
        <v>3.3020999999999998</v>
      </c>
      <c r="M50" s="29"/>
    </row>
    <row r="51" spans="3:13" ht="12.75" hidden="1" customHeight="1">
      <c r="C51" s="9"/>
      <c r="D51" s="32"/>
      <c r="E51" s="31"/>
      <c r="F51" s="31"/>
      <c r="G51" s="31"/>
      <c r="H51" s="31"/>
      <c r="I51" s="31"/>
      <c r="J51" s="31"/>
      <c r="K51" s="31"/>
      <c r="L51" s="31"/>
      <c r="M51" s="29"/>
    </row>
    <row r="52" spans="3:13" ht="12.75" hidden="1" customHeight="1">
      <c r="C52" s="13" t="s">
        <v>313</v>
      </c>
      <c r="D52" s="32"/>
      <c r="E52" s="31"/>
      <c r="F52" s="31"/>
      <c r="G52" s="31"/>
      <c r="H52" s="31"/>
      <c r="I52" s="31"/>
      <c r="J52" s="31"/>
      <c r="K52" s="31"/>
      <c r="L52" s="31"/>
      <c r="M52" s="29"/>
    </row>
    <row r="53" spans="3:13" ht="12.75" hidden="1" customHeight="1">
      <c r="C53" s="5"/>
      <c r="D53" s="32"/>
      <c r="E53" s="31"/>
      <c r="F53" s="31"/>
      <c r="G53" s="31"/>
      <c r="H53" s="31"/>
      <c r="I53" s="31"/>
      <c r="J53" s="31"/>
      <c r="K53" s="31"/>
      <c r="L53" s="31"/>
      <c r="M53" s="29"/>
    </row>
    <row r="54" spans="3:13" ht="12.75" hidden="1" customHeight="1">
      <c r="C54" s="9" t="s">
        <v>298</v>
      </c>
      <c r="D54" s="32">
        <v>9.4509000000000007</v>
      </c>
      <c r="E54" s="31">
        <v>14.2354</v>
      </c>
      <c r="F54" s="31">
        <v>2.5876000000000001</v>
      </c>
      <c r="G54" s="31">
        <v>6.3524000000000003</v>
      </c>
      <c r="H54" s="31">
        <v>8.8099999999999998E-2</v>
      </c>
      <c r="I54" s="31">
        <v>7.7804000000000002</v>
      </c>
      <c r="J54" s="31">
        <v>1.8487</v>
      </c>
      <c r="K54" s="31">
        <v>5.8999999999999999E-3</v>
      </c>
      <c r="L54" s="31">
        <v>3.3130000000000002</v>
      </c>
      <c r="M54" s="29"/>
    </row>
    <row r="55" spans="3:13" ht="12.75" hidden="1" customHeight="1">
      <c r="C55" s="9" t="s">
        <v>299</v>
      </c>
      <c r="D55" s="32">
        <v>9.4588999999999999</v>
      </c>
      <c r="E55" s="31">
        <v>14.4963</v>
      </c>
      <c r="F55" s="31">
        <v>2.4796999999999998</v>
      </c>
      <c r="G55" s="31">
        <v>6.4412000000000003</v>
      </c>
      <c r="H55" s="31">
        <v>9.0399999999999994E-2</v>
      </c>
      <c r="I55" s="31">
        <v>7.8985000000000003</v>
      </c>
      <c r="J55" s="31">
        <v>1.8807</v>
      </c>
      <c r="K55" s="31">
        <v>6.1000000000000004E-3</v>
      </c>
      <c r="L55" s="31">
        <v>3.2244999999999999</v>
      </c>
      <c r="M55" s="29"/>
    </row>
    <row r="56" spans="3:13" ht="12.75" hidden="1" customHeight="1">
      <c r="C56" s="9" t="s">
        <v>300</v>
      </c>
      <c r="D56" s="32">
        <v>9.6515000000000004</v>
      </c>
      <c r="E56" s="31">
        <v>14.7287</v>
      </c>
      <c r="F56" s="31">
        <v>2.41</v>
      </c>
      <c r="G56" s="31">
        <v>6.5446999999999997</v>
      </c>
      <c r="H56" s="31">
        <v>9.06E-2</v>
      </c>
      <c r="I56" s="31">
        <v>8.1183999999999994</v>
      </c>
      <c r="J56" s="31">
        <v>1.9201999999999999</v>
      </c>
      <c r="K56" s="31">
        <v>6.1000000000000004E-3</v>
      </c>
      <c r="L56" s="31">
        <v>3.1522000000000001</v>
      </c>
      <c r="M56" s="29"/>
    </row>
    <row r="57" spans="3:13" ht="12.75" hidden="1" customHeight="1">
      <c r="C57" s="9" t="s">
        <v>301</v>
      </c>
      <c r="D57" s="32">
        <v>9.8183000000000007</v>
      </c>
      <c r="E57" s="31">
        <v>14.8109</v>
      </c>
      <c r="F57" s="31">
        <v>2.2467000000000001</v>
      </c>
      <c r="G57" s="31">
        <v>6.4409999999999998</v>
      </c>
      <c r="H57" s="31">
        <v>9.4100000000000003E-2</v>
      </c>
      <c r="I57" s="31">
        <v>7.95</v>
      </c>
      <c r="J57" s="31">
        <v>1.9069</v>
      </c>
      <c r="K57" s="31">
        <v>6.1999999999999998E-3</v>
      </c>
      <c r="L57" s="31">
        <v>2.9243000000000001</v>
      </c>
      <c r="M57" s="29"/>
    </row>
    <row r="58" spans="3:13" ht="12.75" hidden="1" customHeight="1">
      <c r="C58" s="9" t="s">
        <v>302</v>
      </c>
      <c r="D58" s="32">
        <v>9.8317999999999994</v>
      </c>
      <c r="E58" s="31">
        <v>15.0732</v>
      </c>
      <c r="F58" s="31">
        <v>2.2484999999999999</v>
      </c>
      <c r="G58" s="31">
        <v>6.407</v>
      </c>
      <c r="H58" s="31">
        <v>9.0800000000000006E-2</v>
      </c>
      <c r="I58" s="31">
        <v>7.7965</v>
      </c>
      <c r="J58" s="31">
        <v>1.8945000000000001</v>
      </c>
      <c r="K58" s="31">
        <v>6.3E-3</v>
      </c>
      <c r="L58" s="31">
        <v>2.9007999999999998</v>
      </c>
      <c r="M58" s="29"/>
    </row>
    <row r="59" spans="3:13" ht="12.75" hidden="1" customHeight="1">
      <c r="C59" s="9" t="s">
        <v>303</v>
      </c>
      <c r="D59" s="32">
        <v>9.8744999999999994</v>
      </c>
      <c r="E59" s="31">
        <v>15.2829</v>
      </c>
      <c r="F59" s="31">
        <v>2.2765</v>
      </c>
      <c r="G59" s="31">
        <v>6.4915000000000003</v>
      </c>
      <c r="H59" s="31">
        <v>9.01E-2</v>
      </c>
      <c r="I59" s="31">
        <v>7.8964999999999996</v>
      </c>
      <c r="J59" s="31">
        <v>1.9198</v>
      </c>
      <c r="K59" s="31">
        <v>6.4000000000000003E-3</v>
      </c>
      <c r="L59" s="31">
        <v>2.9312</v>
      </c>
      <c r="M59" s="29"/>
    </row>
    <row r="60" spans="3:13" ht="12.75" hidden="1" customHeight="1">
      <c r="C60" s="9" t="s">
        <v>304</v>
      </c>
      <c r="D60" s="32">
        <v>9.9611000000000001</v>
      </c>
      <c r="E60" s="31">
        <v>15.5344</v>
      </c>
      <c r="F60" s="31">
        <v>2.2296</v>
      </c>
      <c r="G60" s="31">
        <v>6.7690999999999999</v>
      </c>
      <c r="H60" s="31">
        <v>9.2499999999999999E-2</v>
      </c>
      <c r="I60" s="31">
        <v>8.3425999999999991</v>
      </c>
      <c r="J60" s="31">
        <v>1.9950000000000001</v>
      </c>
      <c r="K60" s="31">
        <v>6.4999999999999997E-3</v>
      </c>
      <c r="L60" s="31">
        <v>2.9041000000000001</v>
      </c>
      <c r="M60" s="29"/>
    </row>
    <row r="61" spans="3:13" ht="12.75" hidden="1" customHeight="1">
      <c r="C61" s="9" t="s">
        <v>305</v>
      </c>
      <c r="D61" s="32">
        <v>10.2532</v>
      </c>
      <c r="E61" s="31">
        <v>15.9689</v>
      </c>
      <c r="F61" s="31">
        <v>2.2747000000000002</v>
      </c>
      <c r="G61" s="31">
        <v>6.9481999999999999</v>
      </c>
      <c r="H61" s="31">
        <v>9.4600000000000004E-2</v>
      </c>
      <c r="I61" s="31">
        <v>8.5858000000000008</v>
      </c>
      <c r="J61" s="31">
        <v>2.0274000000000001</v>
      </c>
      <c r="K61" s="31">
        <v>6.7000000000000002E-3</v>
      </c>
      <c r="L61" s="31">
        <v>2.9380000000000002</v>
      </c>
      <c r="M61" s="29"/>
    </row>
    <row r="62" spans="3:13" ht="12.75" hidden="1" customHeight="1">
      <c r="C62" s="9" t="s">
        <v>306</v>
      </c>
      <c r="D62" s="32">
        <v>10.3401</v>
      </c>
      <c r="E62" s="31">
        <v>16.159600000000001</v>
      </c>
      <c r="F62" s="31">
        <v>2.282</v>
      </c>
      <c r="G62" s="31">
        <v>6.7816999999999998</v>
      </c>
      <c r="H62" s="31">
        <v>9.2999999999999999E-2</v>
      </c>
      <c r="I62" s="31">
        <v>8.2394999999999996</v>
      </c>
      <c r="J62" s="31">
        <v>2.0049999999999999</v>
      </c>
      <c r="K62" s="31">
        <v>6.7000000000000002E-3</v>
      </c>
      <c r="L62" s="31">
        <v>2.9380999999999999</v>
      </c>
      <c r="M62" s="29"/>
    </row>
    <row r="63" spans="3:13" ht="12.75" hidden="1" customHeight="1">
      <c r="C63" s="9" t="s">
        <v>307</v>
      </c>
      <c r="D63" s="32">
        <v>10.5954</v>
      </c>
      <c r="E63" s="31">
        <v>17.290199999999999</v>
      </c>
      <c r="F63" s="31">
        <v>2.2328999999999999</v>
      </c>
      <c r="G63" s="31">
        <v>6.9993999999999996</v>
      </c>
      <c r="H63" s="31">
        <v>9.3100000000000002E-2</v>
      </c>
      <c r="I63" s="31">
        <v>8.4375</v>
      </c>
      <c r="J63" s="31">
        <v>2.0746000000000002</v>
      </c>
      <c r="K63" s="31">
        <v>6.8999999999999999E-3</v>
      </c>
      <c r="L63" s="31">
        <v>2.9089</v>
      </c>
      <c r="M63" s="29"/>
    </row>
    <row r="64" spans="3:13" ht="12.75" hidden="1" customHeight="1">
      <c r="C64" s="9" t="s">
        <v>308</v>
      </c>
      <c r="D64" s="32">
        <v>10.764200000000001</v>
      </c>
      <c r="E64" s="31">
        <v>18.0731</v>
      </c>
      <c r="F64" s="31">
        <v>2.3515000000000001</v>
      </c>
      <c r="G64" s="31">
        <v>7.0258000000000003</v>
      </c>
      <c r="H64" s="31">
        <v>9.4799999999999995E-2</v>
      </c>
      <c r="I64" s="31">
        <v>8.3169000000000004</v>
      </c>
      <c r="J64" s="31">
        <v>2.0686</v>
      </c>
      <c r="K64" s="31">
        <v>7.0000000000000001E-3</v>
      </c>
      <c r="L64" s="31">
        <v>3.0112999999999999</v>
      </c>
      <c r="M64" s="29"/>
    </row>
    <row r="65" spans="3:13" ht="12.75" hidden="1" customHeight="1">
      <c r="C65" s="9" t="s">
        <v>311</v>
      </c>
      <c r="D65" s="32">
        <v>10.838900000000001</v>
      </c>
      <c r="E65" s="31">
        <v>18.325900000000001</v>
      </c>
      <c r="F65" s="31">
        <v>2.3172000000000001</v>
      </c>
      <c r="G65" s="31">
        <v>6.9737</v>
      </c>
      <c r="H65" s="31">
        <v>9.3299999999999994E-2</v>
      </c>
      <c r="I65" s="31">
        <v>8.0376999999999992</v>
      </c>
      <c r="J65" s="31">
        <v>2.0691000000000002</v>
      </c>
      <c r="K65" s="31">
        <v>7.0000000000000001E-3</v>
      </c>
      <c r="L65" s="31">
        <v>2.9725000000000001</v>
      </c>
      <c r="M65" s="29"/>
    </row>
    <row r="66" spans="3:13" ht="12.75" hidden="1" customHeight="1">
      <c r="C66" s="9"/>
      <c r="D66" s="32"/>
      <c r="E66" s="31"/>
      <c r="F66" s="31"/>
      <c r="G66" s="31"/>
      <c r="H66" s="31"/>
      <c r="I66" s="31"/>
      <c r="J66" s="31"/>
      <c r="K66" s="31"/>
      <c r="L66" s="31"/>
      <c r="M66" s="29"/>
    </row>
    <row r="67" spans="3:13" ht="12.75" hidden="1" customHeight="1">
      <c r="C67" s="13" t="s">
        <v>314</v>
      </c>
      <c r="D67" s="32"/>
      <c r="E67" s="31"/>
      <c r="F67" s="31"/>
      <c r="G67" s="31"/>
      <c r="H67" s="31"/>
      <c r="I67" s="31"/>
      <c r="J67" s="31"/>
      <c r="K67" s="31"/>
      <c r="L67" s="31"/>
      <c r="M67" s="29"/>
    </row>
    <row r="68" spans="3:13" ht="12.75" hidden="1" customHeight="1">
      <c r="C68" s="5"/>
      <c r="D68" s="32"/>
      <c r="E68" s="31"/>
      <c r="F68" s="31"/>
      <c r="G68" s="31"/>
      <c r="H68" s="31"/>
      <c r="I68" s="31"/>
      <c r="J68" s="31"/>
      <c r="K68" s="31"/>
      <c r="L68" s="31"/>
      <c r="M68" s="29"/>
    </row>
    <row r="69" spans="3:13" ht="12.75" hidden="1" customHeight="1">
      <c r="C69" s="5" t="s">
        <v>298</v>
      </c>
      <c r="D69" s="33">
        <v>10.963699999999999</v>
      </c>
      <c r="E69" s="34">
        <v>17.642800000000001</v>
      </c>
      <c r="F69" s="34">
        <v>2.3986999999999998</v>
      </c>
      <c r="G69" s="34">
        <v>6.7039</v>
      </c>
      <c r="H69" s="34">
        <v>8.9800000000000005E-2</v>
      </c>
      <c r="I69" s="34">
        <v>7.7065000000000001</v>
      </c>
      <c r="J69" s="34">
        <v>1.9859</v>
      </c>
      <c r="K69" s="34">
        <v>6.7999999999999996E-3</v>
      </c>
      <c r="L69" s="34">
        <v>3.0352999999999999</v>
      </c>
      <c r="M69" s="29"/>
    </row>
    <row r="70" spans="3:13" ht="12.75" hidden="1" customHeight="1">
      <c r="C70" s="5" t="s">
        <v>299</v>
      </c>
      <c r="D70" s="33">
        <v>11.1731</v>
      </c>
      <c r="E70" s="34">
        <v>18.172599999999999</v>
      </c>
      <c r="F70" s="34">
        <v>2.4967999999999999</v>
      </c>
      <c r="G70" s="34">
        <v>6.6207000000000003</v>
      </c>
      <c r="H70" s="34">
        <v>9.2700000000000005E-2</v>
      </c>
      <c r="I70" s="34">
        <v>7.5804</v>
      </c>
      <c r="J70" s="34">
        <v>1.9629000000000001</v>
      </c>
      <c r="K70" s="34">
        <v>6.6E-3</v>
      </c>
      <c r="L70" s="34">
        <v>3.1368</v>
      </c>
      <c r="M70" s="29"/>
    </row>
    <row r="71" spans="3:13" ht="12.75" hidden="1" customHeight="1">
      <c r="C71" s="5" t="s">
        <v>300</v>
      </c>
      <c r="D71" s="33">
        <v>11.273899999999999</v>
      </c>
      <c r="E71" s="34">
        <v>18.399000000000001</v>
      </c>
      <c r="F71" s="34">
        <v>2.5497999999999998</v>
      </c>
      <c r="G71" s="34">
        <v>6.6957000000000004</v>
      </c>
      <c r="H71" s="34">
        <v>9.11E-2</v>
      </c>
      <c r="I71" s="34">
        <v>7.7484000000000002</v>
      </c>
      <c r="J71" s="34">
        <v>1.9915</v>
      </c>
      <c r="K71" s="34">
        <v>6.7000000000000002E-3</v>
      </c>
      <c r="L71" s="34">
        <v>3.1798000000000002</v>
      </c>
      <c r="M71" s="29"/>
    </row>
    <row r="72" spans="3:13" ht="12.75" hidden="1" customHeight="1">
      <c r="C72" s="5" t="s">
        <v>301</v>
      </c>
      <c r="D72" s="33">
        <v>11.324999999999999</v>
      </c>
      <c r="E72" s="34">
        <v>18.467700000000001</v>
      </c>
      <c r="F72" s="34">
        <v>2.5491999999999999</v>
      </c>
      <c r="G72" s="34">
        <v>6.5719000000000003</v>
      </c>
      <c r="H72" s="34">
        <v>8.9200000000000002E-2</v>
      </c>
      <c r="I72" s="34">
        <v>7.7251000000000003</v>
      </c>
      <c r="J72" s="34">
        <v>1.9488000000000001</v>
      </c>
      <c r="K72" s="34">
        <v>6.6E-3</v>
      </c>
      <c r="L72" s="34">
        <v>3.1738</v>
      </c>
      <c r="M72" s="29"/>
    </row>
    <row r="73" spans="3:13" ht="12.75" hidden="1" customHeight="1">
      <c r="C73" s="5" t="s">
        <v>302</v>
      </c>
      <c r="D73" s="33">
        <v>11.2956</v>
      </c>
      <c r="E73" s="34">
        <v>18.513400000000001</v>
      </c>
      <c r="F73" s="34">
        <v>2.5272000000000001</v>
      </c>
      <c r="G73" s="34">
        <v>6.6551999999999998</v>
      </c>
      <c r="H73" s="34">
        <v>9.7100000000000006E-2</v>
      </c>
      <c r="I73" s="34">
        <v>7.9912000000000001</v>
      </c>
      <c r="J73" s="34">
        <v>1.9686999999999999</v>
      </c>
      <c r="K73" s="34">
        <v>6.7000000000000002E-3</v>
      </c>
      <c r="L73" s="34">
        <v>3.1711999999999998</v>
      </c>
      <c r="M73" s="29"/>
    </row>
    <row r="74" spans="3:13" ht="12.75" hidden="1" customHeight="1">
      <c r="C74" s="5" t="s">
        <v>303</v>
      </c>
      <c r="D74" s="33">
        <v>11.3908</v>
      </c>
      <c r="E74" s="34">
        <v>18.941700000000001</v>
      </c>
      <c r="F74" s="34">
        <v>2.4668000000000001</v>
      </c>
      <c r="G74" s="34">
        <v>6.5598000000000001</v>
      </c>
      <c r="H74" s="34">
        <v>9.9699999999999997E-2</v>
      </c>
      <c r="I74" s="34">
        <v>7.8395000000000001</v>
      </c>
      <c r="J74" s="34">
        <v>1.9449000000000001</v>
      </c>
      <c r="K74" s="34">
        <v>6.7000000000000002E-3</v>
      </c>
      <c r="L74" s="34">
        <v>3.1739999999999999</v>
      </c>
      <c r="M74" s="29"/>
    </row>
    <row r="75" spans="3:13" ht="12.75" hidden="1" customHeight="1">
      <c r="C75" s="5" t="s">
        <v>304</v>
      </c>
      <c r="D75" s="33">
        <v>11.609</v>
      </c>
      <c r="E75" s="34">
        <v>19.015499999999999</v>
      </c>
      <c r="F75" s="34">
        <v>2.5238999999999998</v>
      </c>
      <c r="G75" s="34">
        <v>6.3205</v>
      </c>
      <c r="H75" s="34">
        <v>9.8400000000000001E-2</v>
      </c>
      <c r="I75" s="34">
        <v>7.6623999999999999</v>
      </c>
      <c r="J75" s="34">
        <v>1.8745000000000001</v>
      </c>
      <c r="K75" s="34">
        <v>6.4000000000000003E-3</v>
      </c>
      <c r="L75" s="34">
        <v>3.1715</v>
      </c>
      <c r="M75" s="29"/>
    </row>
    <row r="76" spans="3:13" ht="12.75" hidden="1" customHeight="1">
      <c r="C76" s="5" t="s">
        <v>305</v>
      </c>
      <c r="D76" s="33">
        <v>11.889099999999999</v>
      </c>
      <c r="E76" s="34">
        <v>19.224799999999998</v>
      </c>
      <c r="F76" s="34">
        <v>2.5314999999999999</v>
      </c>
      <c r="G76" s="34">
        <v>6.6239999999999997</v>
      </c>
      <c r="H76" s="34">
        <v>9.9699999999999997E-2</v>
      </c>
      <c r="I76" s="34">
        <v>8.0152999999999999</v>
      </c>
      <c r="J76" s="34">
        <v>1.9676</v>
      </c>
      <c r="K76" s="34">
        <v>6.7000000000000002E-3</v>
      </c>
      <c r="L76" s="34">
        <v>3.1922000000000001</v>
      </c>
      <c r="M76" s="29"/>
    </row>
    <row r="77" spans="3:13" ht="12.75" hidden="1" customHeight="1">
      <c r="C77" s="5" t="s">
        <v>306</v>
      </c>
      <c r="D77" s="33">
        <v>12.6823</v>
      </c>
      <c r="E77" s="34">
        <v>20.438099999999999</v>
      </c>
      <c r="F77" s="34">
        <v>2.7183000000000002</v>
      </c>
      <c r="G77" s="34">
        <v>7.1731999999999996</v>
      </c>
      <c r="H77" s="34">
        <v>0.1048</v>
      </c>
      <c r="I77" s="34">
        <v>8.7120999999999995</v>
      </c>
      <c r="J77" s="34">
        <v>2.1364999999999998</v>
      </c>
      <c r="K77" s="34">
        <v>7.3000000000000001E-3</v>
      </c>
      <c r="L77" s="34">
        <v>3.4337</v>
      </c>
      <c r="M77" s="29"/>
    </row>
    <row r="78" spans="3:13" ht="12.75" hidden="1" customHeight="1">
      <c r="C78" s="5" t="s">
        <v>307</v>
      </c>
      <c r="D78" s="33">
        <v>12.640599999999999</v>
      </c>
      <c r="E78" s="34">
        <v>21.087700000000002</v>
      </c>
      <c r="F78" s="34">
        <v>2.6179000000000001</v>
      </c>
      <c r="G78" s="34">
        <v>7.3510999999999997</v>
      </c>
      <c r="H78" s="34">
        <v>0.10489999999999999</v>
      </c>
      <c r="I78" s="34">
        <v>9.0244999999999997</v>
      </c>
      <c r="J78" s="34">
        <v>2.1957</v>
      </c>
      <c r="K78" s="34">
        <v>7.4000000000000003E-3</v>
      </c>
      <c r="L78" s="34">
        <v>3.3605</v>
      </c>
      <c r="M78" s="29"/>
    </row>
    <row r="79" spans="3:13" ht="12.75" hidden="1" customHeight="1">
      <c r="C79" s="5" t="s">
        <v>308</v>
      </c>
      <c r="D79" s="33">
        <v>14.4717</v>
      </c>
      <c r="E79" s="34">
        <v>24.247399999999999</v>
      </c>
      <c r="F79" s="34">
        <v>2.9828999999999999</v>
      </c>
      <c r="G79" s="34">
        <v>8.2177000000000007</v>
      </c>
      <c r="H79" s="34">
        <v>0.1134</v>
      </c>
      <c r="I79" s="34">
        <v>10.1777</v>
      </c>
      <c r="J79" s="34">
        <v>2.4548000000000001</v>
      </c>
      <c r="K79" s="34">
        <v>8.3000000000000001E-3</v>
      </c>
      <c r="L79" s="34">
        <v>3.8176000000000001</v>
      </c>
      <c r="M79" s="29"/>
    </row>
    <row r="80" spans="3:13" ht="12.75" hidden="1" customHeight="1">
      <c r="C80" s="5" t="s">
        <v>311</v>
      </c>
      <c r="D80" s="33">
        <v>18.6081</v>
      </c>
      <c r="E80" s="34">
        <v>30.861499999999999</v>
      </c>
      <c r="F80" s="34">
        <v>3.8096000000000001</v>
      </c>
      <c r="G80" s="34">
        <v>10.402200000000001</v>
      </c>
      <c r="H80" s="34">
        <v>0.14319999999999999</v>
      </c>
      <c r="I80" s="34">
        <v>12.796099999999999</v>
      </c>
      <c r="J80" s="34">
        <v>3.1095000000000002</v>
      </c>
      <c r="K80" s="34">
        <v>1.0500000000000001E-2</v>
      </c>
      <c r="L80" s="34">
        <v>4.8874000000000004</v>
      </c>
      <c r="M80" s="29"/>
    </row>
    <row r="81" spans="3:13" ht="12.75" hidden="1" customHeight="1">
      <c r="C81" s="9"/>
      <c r="D81" s="32"/>
      <c r="E81" s="31"/>
      <c r="F81" s="31"/>
      <c r="G81" s="31"/>
      <c r="H81" s="31"/>
      <c r="I81" s="31"/>
      <c r="J81" s="31"/>
      <c r="K81" s="31"/>
      <c r="L81" s="31"/>
      <c r="M81" s="29"/>
    </row>
    <row r="82" spans="3:13" ht="12.75" hidden="1" customHeight="1">
      <c r="C82" s="13" t="s">
        <v>315</v>
      </c>
      <c r="D82" s="32"/>
      <c r="E82" s="31"/>
      <c r="F82" s="31"/>
      <c r="G82" s="31"/>
      <c r="H82" s="31"/>
      <c r="I82" s="31"/>
      <c r="J82" s="31"/>
      <c r="K82" s="31"/>
      <c r="L82" s="31"/>
      <c r="M82" s="29"/>
    </row>
    <row r="83" spans="3:13" ht="12.75" hidden="1" customHeight="1">
      <c r="C83" s="5"/>
      <c r="D83" s="32"/>
      <c r="E83" s="31"/>
      <c r="F83" s="31"/>
      <c r="G83" s="31"/>
      <c r="H83" s="31"/>
      <c r="I83" s="31"/>
      <c r="J83" s="31"/>
      <c r="K83" s="31"/>
      <c r="L83" s="31"/>
      <c r="M83" s="29"/>
    </row>
    <row r="84" spans="3:13" ht="12.75" hidden="1" customHeight="1">
      <c r="C84" s="5" t="s">
        <v>298</v>
      </c>
      <c r="D84" s="33">
        <v>18.2348</v>
      </c>
      <c r="E84" s="34">
        <v>29.8504</v>
      </c>
      <c r="F84" s="34">
        <v>3.6964999999999999</v>
      </c>
      <c r="G84" s="34">
        <v>9.9600000000000009</v>
      </c>
      <c r="H84" s="34">
        <v>0.14299999999999999</v>
      </c>
      <c r="I84" s="34">
        <v>12.3483</v>
      </c>
      <c r="J84" s="34">
        <v>2.9685999999999999</v>
      </c>
      <c r="K84" s="34">
        <v>0.01</v>
      </c>
      <c r="L84" s="34">
        <v>4.7583000000000002</v>
      </c>
      <c r="M84" s="29"/>
    </row>
    <row r="85" spans="3:13" ht="12.75" hidden="1" customHeight="1">
      <c r="C85" s="5" t="s">
        <v>299</v>
      </c>
      <c r="D85" s="33">
        <v>16.2258</v>
      </c>
      <c r="E85" s="34">
        <v>26.658999999999999</v>
      </c>
      <c r="F85" s="34">
        <v>3.2786</v>
      </c>
      <c r="G85" s="34">
        <v>8.9268000000000001</v>
      </c>
      <c r="H85" s="34">
        <v>0.12759999999999999</v>
      </c>
      <c r="I85" s="34">
        <v>11.045500000000001</v>
      </c>
      <c r="J85" s="34">
        <v>2.6627000000000001</v>
      </c>
      <c r="K85" s="34">
        <v>8.9999999999999993E-3</v>
      </c>
      <c r="L85" s="34">
        <v>4.2057000000000002</v>
      </c>
      <c r="M85" s="29"/>
    </row>
    <row r="86" spans="3:13" ht="12.75" hidden="1" customHeight="1">
      <c r="C86" s="5" t="s">
        <v>300</v>
      </c>
      <c r="D86" s="33">
        <v>16.139399999999998</v>
      </c>
      <c r="E86" s="34">
        <v>27.094899999999999</v>
      </c>
      <c r="F86" s="34">
        <v>3.2301000000000002</v>
      </c>
      <c r="G86" s="34">
        <v>8.74</v>
      </c>
      <c r="H86" s="34">
        <v>0.12180000000000001</v>
      </c>
      <c r="I86" s="34">
        <v>10.611000000000001</v>
      </c>
      <c r="J86" s="34">
        <v>2.6084999999999998</v>
      </c>
      <c r="K86" s="34">
        <v>8.8000000000000005E-3</v>
      </c>
      <c r="L86" s="34">
        <v>4.1445999999999996</v>
      </c>
      <c r="M86" s="29"/>
    </row>
    <row r="87" spans="3:13" ht="12.75" hidden="1" customHeight="1">
      <c r="C87" s="5" t="s">
        <v>301</v>
      </c>
      <c r="D87" s="33">
        <v>17.056100000000001</v>
      </c>
      <c r="E87" s="34">
        <v>28.4999</v>
      </c>
      <c r="F87" s="34">
        <v>3.3767</v>
      </c>
      <c r="G87" s="34">
        <v>9.5101999999999993</v>
      </c>
      <c r="H87" s="34">
        <v>0.12909999999999999</v>
      </c>
      <c r="I87" s="34">
        <v>11.4034</v>
      </c>
      <c r="J87" s="34">
        <v>2.8365999999999998</v>
      </c>
      <c r="K87" s="34">
        <v>9.5999999999999992E-3</v>
      </c>
      <c r="L87" s="34">
        <v>4.3646000000000003</v>
      </c>
      <c r="M87" s="29"/>
    </row>
    <row r="88" spans="3:13" ht="12.75" hidden="1" customHeight="1">
      <c r="C88" s="5" t="s">
        <v>302</v>
      </c>
      <c r="D88" s="33">
        <v>18.014700000000001</v>
      </c>
      <c r="E88" s="34">
        <v>29.355</v>
      </c>
      <c r="F88" s="34">
        <v>3.4887999999999999</v>
      </c>
      <c r="G88" s="34">
        <v>10.1061</v>
      </c>
      <c r="H88" s="34">
        <v>0.12939999999999999</v>
      </c>
      <c r="I88" s="34">
        <v>12.1495</v>
      </c>
      <c r="J88" s="34">
        <v>3.0137</v>
      </c>
      <c r="K88" s="34">
        <v>1.0200000000000001E-2</v>
      </c>
      <c r="L88" s="34">
        <v>4.5361000000000002</v>
      </c>
      <c r="M88" s="29"/>
    </row>
    <row r="89" spans="3:13" ht="12.75" hidden="1" customHeight="1">
      <c r="C89" s="5" t="s">
        <v>303</v>
      </c>
      <c r="D89" s="33">
        <v>18.011500000000002</v>
      </c>
      <c r="E89" s="34">
        <v>30.022500000000001</v>
      </c>
      <c r="F89" s="34">
        <v>3.0842000000000001</v>
      </c>
      <c r="G89" s="34">
        <v>9.9560999999999993</v>
      </c>
      <c r="H89" s="34">
        <v>0.12820000000000001</v>
      </c>
      <c r="I89" s="34">
        <v>11.7851</v>
      </c>
      <c r="J89" s="34">
        <v>2.9716999999999998</v>
      </c>
      <c r="K89" s="34">
        <v>1.01E-2</v>
      </c>
      <c r="L89" s="34">
        <v>4.1390000000000002</v>
      </c>
      <c r="M89" s="29"/>
    </row>
    <row r="90" spans="3:13" ht="12.75" hidden="1" customHeight="1">
      <c r="C90" s="5" t="s">
        <v>304</v>
      </c>
      <c r="D90" s="33">
        <v>19.135000000000002</v>
      </c>
      <c r="E90" s="34">
        <v>31.324100000000001</v>
      </c>
      <c r="F90" s="34">
        <v>3.1265999999999998</v>
      </c>
      <c r="G90" s="34">
        <v>10.7485</v>
      </c>
      <c r="H90" s="34">
        <v>0.13300000000000001</v>
      </c>
      <c r="I90" s="34">
        <v>13.3247</v>
      </c>
      <c r="J90" s="34">
        <v>3.206</v>
      </c>
      <c r="K90" s="34">
        <v>1.0800000000000001E-2</v>
      </c>
      <c r="L90" s="34">
        <v>4.1532</v>
      </c>
      <c r="M90" s="29"/>
    </row>
    <row r="91" spans="3:13" ht="12.75" hidden="1" customHeight="1">
      <c r="C91" s="5" t="s">
        <v>305</v>
      </c>
      <c r="D91" s="33">
        <v>25.7864</v>
      </c>
      <c r="E91" s="34">
        <v>42.779699999999998</v>
      </c>
      <c r="F91" s="34">
        <v>3.8372000000000002</v>
      </c>
      <c r="G91" s="34">
        <v>14.3329</v>
      </c>
      <c r="H91" s="34">
        <v>0.18140000000000001</v>
      </c>
      <c r="I91" s="34">
        <v>17.4115</v>
      </c>
      <c r="J91" s="34">
        <v>4.2750000000000004</v>
      </c>
      <c r="K91" s="34">
        <v>1.4500000000000001E-2</v>
      </c>
      <c r="L91" s="34">
        <v>5.3261000000000003</v>
      </c>
      <c r="M91" s="29"/>
    </row>
    <row r="92" spans="3:13" ht="12.75" hidden="1" customHeight="1">
      <c r="C92" s="5" t="s">
        <v>306</v>
      </c>
      <c r="D92" s="33">
        <v>33.478400000000001</v>
      </c>
      <c r="E92" s="34">
        <v>56.792700000000004</v>
      </c>
      <c r="F92" s="34">
        <v>5.7325999999999997</v>
      </c>
      <c r="G92" s="34">
        <v>19.979900000000001</v>
      </c>
      <c r="H92" s="34">
        <v>0.24909999999999999</v>
      </c>
      <c r="I92" s="34">
        <v>24.1799</v>
      </c>
      <c r="J92" s="34">
        <v>5.9574999999999996</v>
      </c>
      <c r="K92" s="34">
        <v>2.0199999999999999E-2</v>
      </c>
      <c r="L92" s="34">
        <v>7.4555999999999996</v>
      </c>
      <c r="M92" s="29"/>
    </row>
    <row r="93" spans="3:13" ht="12.75" hidden="1" customHeight="1">
      <c r="C93" s="5" t="s">
        <v>307</v>
      </c>
      <c r="D93" s="33">
        <v>35.726999999999997</v>
      </c>
      <c r="E93" s="34">
        <v>59.996400000000001</v>
      </c>
      <c r="F93" s="34">
        <v>6.2733999999999996</v>
      </c>
      <c r="G93" s="34">
        <v>21.632999999999999</v>
      </c>
      <c r="H93" s="34">
        <v>0.3085</v>
      </c>
      <c r="I93" s="34">
        <v>26.598400000000002</v>
      </c>
      <c r="J93" s="34">
        <v>6.4558</v>
      </c>
      <c r="K93" s="34">
        <v>2.18E-2</v>
      </c>
      <c r="L93" s="34">
        <v>8.1636000000000006</v>
      </c>
      <c r="M93" s="29"/>
    </row>
    <row r="94" spans="3:13" ht="12.75" hidden="1" customHeight="1">
      <c r="C94" s="5" t="s">
        <v>308</v>
      </c>
      <c r="D94" s="33">
        <v>37.313400000000001</v>
      </c>
      <c r="E94" s="34">
        <v>61.634300000000003</v>
      </c>
      <c r="F94" s="34">
        <v>6.5404</v>
      </c>
      <c r="G94" s="34">
        <v>21.82</v>
      </c>
      <c r="H94" s="34">
        <v>0.30149999999999999</v>
      </c>
      <c r="I94" s="34">
        <v>26.461500000000001</v>
      </c>
      <c r="J94" s="34">
        <v>6.5088999999999997</v>
      </c>
      <c r="K94" s="34">
        <v>2.1999999999999999E-2</v>
      </c>
      <c r="L94" s="34">
        <v>8.4626000000000001</v>
      </c>
      <c r="M94" s="29"/>
    </row>
    <row r="95" spans="3:13" ht="12.75" hidden="1" customHeight="1">
      <c r="C95" s="5" t="s">
        <v>311</v>
      </c>
      <c r="D95" s="33">
        <v>37.369199999999999</v>
      </c>
      <c r="E95" s="34">
        <v>62.249600000000001</v>
      </c>
      <c r="F95" s="34">
        <v>6.3552999999999997</v>
      </c>
      <c r="G95" s="34">
        <v>22.282</v>
      </c>
      <c r="H95" s="34">
        <v>0.32840000000000003</v>
      </c>
      <c r="I95" s="34">
        <v>27.036000000000001</v>
      </c>
      <c r="J95" s="34">
        <v>6.6418999999999997</v>
      </c>
      <c r="K95" s="34">
        <v>2.2499999999999999E-2</v>
      </c>
      <c r="L95" s="34">
        <v>8.3688000000000002</v>
      </c>
      <c r="M95" s="29"/>
    </row>
    <row r="96" spans="3:13" ht="12.75" hidden="1" customHeight="1">
      <c r="C96" s="29"/>
      <c r="D96" s="32"/>
      <c r="E96" s="31"/>
      <c r="F96" s="31"/>
      <c r="G96" s="31"/>
      <c r="H96" s="31"/>
      <c r="I96" s="31"/>
      <c r="K96" s="31"/>
      <c r="L96" s="31"/>
      <c r="M96" s="29"/>
    </row>
    <row r="97" spans="3:13" ht="12.75" hidden="1" customHeight="1">
      <c r="C97" s="13" t="s">
        <v>333</v>
      </c>
      <c r="D97" s="32"/>
      <c r="E97" s="31"/>
      <c r="F97" s="31"/>
      <c r="G97" s="31"/>
      <c r="H97" s="31"/>
      <c r="I97" s="31"/>
      <c r="J97" s="31"/>
      <c r="K97" s="31"/>
      <c r="L97" s="31"/>
      <c r="M97" s="29"/>
    </row>
    <row r="98" spans="3:13" ht="12.75" hidden="1" customHeight="1">
      <c r="C98" s="5"/>
      <c r="D98" s="32"/>
      <c r="E98" s="31"/>
      <c r="F98" s="31"/>
      <c r="G98" s="31"/>
      <c r="H98" s="31"/>
      <c r="I98" s="31"/>
      <c r="J98" s="31"/>
      <c r="K98" s="31"/>
      <c r="L98" s="31"/>
      <c r="M98" s="29"/>
    </row>
    <row r="99" spans="3:13" ht="12.75" hidden="1" customHeight="1">
      <c r="C99" s="5" t="s">
        <v>298</v>
      </c>
      <c r="D99" s="33">
        <v>39.246468</v>
      </c>
      <c r="E99" s="34">
        <v>64.654630999999995</v>
      </c>
      <c r="F99" s="34">
        <v>6.6085349999999998</v>
      </c>
      <c r="G99" s="34">
        <v>22.918983999999998</v>
      </c>
      <c r="H99" s="34">
        <v>0.33806900000000001</v>
      </c>
      <c r="I99" s="34">
        <v>27.830753999999999</v>
      </c>
      <c r="J99" s="34">
        <v>6.5710930000000003</v>
      </c>
      <c r="K99" s="34">
        <v>2.315E-2</v>
      </c>
      <c r="L99" s="34">
        <v>8.6008630000000004</v>
      </c>
      <c r="M99" s="29"/>
    </row>
    <row r="100" spans="3:13" ht="12.75" hidden="1" customHeight="1">
      <c r="C100" s="5" t="s">
        <v>299</v>
      </c>
      <c r="D100" s="33">
        <v>38.505899999999997</v>
      </c>
      <c r="E100" s="34">
        <v>61.594099999999997</v>
      </c>
      <c r="F100" s="34">
        <v>6.2256999999999998</v>
      </c>
      <c r="G100" s="34">
        <v>21.630099999999999</v>
      </c>
      <c r="H100" s="34">
        <v>0.31919999999999998</v>
      </c>
      <c r="I100" s="34">
        <v>26.6145</v>
      </c>
      <c r="J100" s="34">
        <v>6.4492000000000003</v>
      </c>
      <c r="K100" s="34">
        <v>2.18E-2</v>
      </c>
      <c r="L100" s="34">
        <v>8.2652999999999999</v>
      </c>
      <c r="M100" s="29"/>
    </row>
    <row r="101" spans="3:13" ht="12.75" hidden="1" customHeight="1">
      <c r="C101" s="5" t="s">
        <v>300</v>
      </c>
      <c r="D101" s="33">
        <v>38.153300000000002</v>
      </c>
      <c r="E101" s="34">
        <v>61.476500000000001</v>
      </c>
      <c r="F101" s="34">
        <v>6.1437999999999997</v>
      </c>
      <c r="G101" s="34">
        <v>20.929400000000001</v>
      </c>
      <c r="H101" s="34">
        <v>0.31769999999999998</v>
      </c>
      <c r="I101" s="34">
        <v>25.6389</v>
      </c>
      <c r="J101" s="34">
        <v>6.2404000000000002</v>
      </c>
      <c r="K101" s="34">
        <v>2.1100000000000001E-2</v>
      </c>
      <c r="L101" s="34">
        <v>8.14</v>
      </c>
      <c r="M101" s="29"/>
    </row>
    <row r="102" spans="3:13" ht="12.75" hidden="1" customHeight="1">
      <c r="C102" s="5" t="s">
        <v>301</v>
      </c>
      <c r="D102" s="33">
        <v>38.153300000000002</v>
      </c>
      <c r="E102" s="34">
        <v>61.4574</v>
      </c>
      <c r="F102" s="34">
        <v>6.2984999999999998</v>
      </c>
      <c r="G102" s="34">
        <v>20.7315</v>
      </c>
      <c r="H102" s="34">
        <v>0.32</v>
      </c>
      <c r="I102" s="34">
        <v>25.165400000000002</v>
      </c>
      <c r="J102" s="34">
        <v>6.1814</v>
      </c>
      <c r="K102" s="34">
        <v>2.0899999999999998E-2</v>
      </c>
      <c r="L102" s="34">
        <v>8.2621000000000002</v>
      </c>
      <c r="M102" s="29"/>
    </row>
    <row r="103" spans="3:13" ht="12.75" hidden="1" customHeight="1">
      <c r="C103" s="5" t="s">
        <v>302</v>
      </c>
      <c r="D103" s="33">
        <v>38.167900000000003</v>
      </c>
      <c r="E103" s="34">
        <v>61.200299999999999</v>
      </c>
      <c r="F103" s="34">
        <v>6.1363000000000003</v>
      </c>
      <c r="G103" s="34">
        <v>20.423200000000001</v>
      </c>
      <c r="H103" s="34">
        <v>0.3145</v>
      </c>
      <c r="I103" s="34">
        <v>25.077400000000001</v>
      </c>
      <c r="J103" s="34">
        <v>6.0876999999999999</v>
      </c>
      <c r="K103" s="34">
        <v>2.06E-2</v>
      </c>
      <c r="L103" s="34">
        <v>8.0744000000000007</v>
      </c>
      <c r="M103" s="29"/>
    </row>
    <row r="104" spans="3:13" ht="12.75" hidden="1" customHeight="1">
      <c r="C104" s="5" t="s">
        <v>303</v>
      </c>
      <c r="D104" s="33">
        <v>37.965000000000003</v>
      </c>
      <c r="E104" s="34">
        <v>59.770299999999999</v>
      </c>
      <c r="F104" s="34">
        <v>6.2881999999999998</v>
      </c>
      <c r="G104" s="34">
        <v>20.059200000000001</v>
      </c>
      <c r="H104" s="34">
        <v>0.31409999999999999</v>
      </c>
      <c r="I104" s="34">
        <v>24.505400000000002</v>
      </c>
      <c r="J104" s="34">
        <v>5.9809999999999999</v>
      </c>
      <c r="K104" s="34">
        <v>2.0199999999999999E-2</v>
      </c>
      <c r="L104" s="34">
        <v>8.1890000000000001</v>
      </c>
      <c r="M104" s="29"/>
    </row>
    <row r="105" spans="3:13" ht="12.75" hidden="1" customHeight="1">
      <c r="C105" s="5" t="s">
        <v>304</v>
      </c>
      <c r="D105" s="33">
        <v>38.182499999999997</v>
      </c>
      <c r="E105" s="34">
        <v>61.712400000000002</v>
      </c>
      <c r="F105" s="34">
        <v>6.1924000000000001</v>
      </c>
      <c r="G105" s="34">
        <v>20.978200000000001</v>
      </c>
      <c r="H105" s="34">
        <v>0.33160000000000001</v>
      </c>
      <c r="I105" s="34">
        <v>25.677600000000002</v>
      </c>
      <c r="J105" s="34">
        <v>6.2545000000000002</v>
      </c>
      <c r="K105" s="34">
        <v>2.1100000000000001E-2</v>
      </c>
      <c r="L105" s="34">
        <v>8.2111000000000001</v>
      </c>
      <c r="M105" s="29"/>
    </row>
    <row r="106" spans="3:13" ht="12.75" hidden="1" customHeight="1">
      <c r="C106" s="5" t="s">
        <v>305</v>
      </c>
      <c r="D106" s="33">
        <v>38.197000000000003</v>
      </c>
      <c r="E106" s="34">
        <v>60.878500000000003</v>
      </c>
      <c r="F106" s="34">
        <v>6.2721</v>
      </c>
      <c r="G106" s="34">
        <v>20.537099999999999</v>
      </c>
      <c r="H106" s="34">
        <v>0.34420000000000001</v>
      </c>
      <c r="I106" s="34">
        <v>25.1007</v>
      </c>
      <c r="J106" s="34">
        <v>6.1243999999999996</v>
      </c>
      <c r="K106" s="34">
        <v>2.07E-2</v>
      </c>
      <c r="L106" s="34">
        <v>8.2696000000000005</v>
      </c>
      <c r="M106" s="29"/>
    </row>
    <row r="107" spans="3:13" ht="12.75" hidden="1" customHeight="1">
      <c r="C107" s="5" t="s">
        <v>306</v>
      </c>
      <c r="D107" s="33">
        <v>38.109699999999997</v>
      </c>
      <c r="E107" s="34">
        <v>62.673299999999998</v>
      </c>
      <c r="F107" s="34">
        <v>6.3326000000000002</v>
      </c>
      <c r="G107" s="34">
        <v>20.725300000000001</v>
      </c>
      <c r="H107" s="34">
        <v>0.35909999999999997</v>
      </c>
      <c r="I107" s="34">
        <v>25.3263</v>
      </c>
      <c r="J107" s="34">
        <v>6.1795</v>
      </c>
      <c r="K107" s="34">
        <v>2.0899999999999998E-2</v>
      </c>
      <c r="L107" s="34">
        <v>8.3668999999999993</v>
      </c>
      <c r="M107" s="29"/>
    </row>
    <row r="108" spans="3:13" ht="12.75" hidden="1" customHeight="1">
      <c r="C108" s="5" t="s">
        <v>307</v>
      </c>
      <c r="D108" s="33">
        <v>38.138800000000003</v>
      </c>
      <c r="E108" s="34">
        <v>62.5458</v>
      </c>
      <c r="F108" s="34">
        <v>6.2023999999999999</v>
      </c>
      <c r="G108" s="34">
        <v>20.540600000000001</v>
      </c>
      <c r="H108" s="34">
        <v>0.36270000000000002</v>
      </c>
      <c r="I108" s="34">
        <v>25.0534</v>
      </c>
      <c r="J108" s="34">
        <v>6.1243999999999996</v>
      </c>
      <c r="K108" s="34">
        <v>2.07E-2</v>
      </c>
      <c r="L108" s="34">
        <v>8.2798999999999996</v>
      </c>
      <c r="M108" s="29"/>
    </row>
    <row r="109" spans="3:13" ht="12.75" hidden="1" customHeight="1">
      <c r="C109" s="5" t="s">
        <v>308</v>
      </c>
      <c r="D109" s="33">
        <v>38.095199999999998</v>
      </c>
      <c r="E109" s="34">
        <v>61.043799999999997</v>
      </c>
      <c r="F109" s="34">
        <v>6.1592000000000002</v>
      </c>
      <c r="G109" s="34">
        <v>19.662500000000001</v>
      </c>
      <c r="H109" s="34">
        <v>0.37330000000000002</v>
      </c>
      <c r="I109" s="34">
        <v>24.000699999999998</v>
      </c>
      <c r="J109" s="34">
        <v>5.8627000000000002</v>
      </c>
      <c r="K109" s="34">
        <v>1.9800000000000002E-2</v>
      </c>
      <c r="L109" s="34">
        <v>8.2323000000000004</v>
      </c>
      <c r="M109" s="29"/>
    </row>
    <row r="110" spans="3:13" ht="12.75" hidden="1" customHeight="1">
      <c r="C110" s="5" t="s">
        <v>311</v>
      </c>
      <c r="D110" s="33">
        <v>38.138800000000003</v>
      </c>
      <c r="E110" s="34">
        <v>61.758099999999999</v>
      </c>
      <c r="F110" s="34">
        <v>6.1969000000000003</v>
      </c>
      <c r="G110" s="34">
        <v>19.6328</v>
      </c>
      <c r="H110" s="34">
        <v>0.37340000000000001</v>
      </c>
      <c r="I110" s="34">
        <v>23.929400000000001</v>
      </c>
      <c r="J110" s="34">
        <v>5.8536999999999999</v>
      </c>
      <c r="K110" s="34">
        <v>1.9800000000000002E-2</v>
      </c>
      <c r="L110" s="34">
        <v>8.2398000000000007</v>
      </c>
      <c r="M110" s="29"/>
    </row>
    <row r="111" spans="3:13" ht="12.75" hidden="1" customHeight="1">
      <c r="C111" s="5"/>
      <c r="D111" s="33"/>
      <c r="E111" s="34"/>
      <c r="F111" s="34"/>
      <c r="G111" s="34"/>
      <c r="H111" s="34"/>
      <c r="I111" s="34"/>
      <c r="J111" s="34"/>
      <c r="K111" s="34"/>
      <c r="L111" s="34"/>
      <c r="M111" s="29"/>
    </row>
    <row r="112" spans="3:13" ht="12.75" hidden="1" customHeight="1">
      <c r="C112" s="13">
        <v>2000</v>
      </c>
      <c r="D112" s="33"/>
      <c r="E112" s="34"/>
      <c r="F112" s="34"/>
      <c r="G112" s="34"/>
      <c r="H112" s="34"/>
      <c r="I112" s="34"/>
      <c r="J112" s="34"/>
      <c r="K112" s="34"/>
      <c r="L112" s="34"/>
      <c r="M112" s="29"/>
    </row>
    <row r="113" spans="3:13" ht="12.75" hidden="1" customHeight="1">
      <c r="C113" s="5"/>
      <c r="D113" s="33"/>
      <c r="E113" s="34"/>
      <c r="F113" s="34"/>
      <c r="G113" s="34"/>
      <c r="H113" s="34"/>
      <c r="I113" s="34"/>
      <c r="J113" s="34"/>
      <c r="K113" s="34"/>
      <c r="L113" s="34"/>
      <c r="M113" s="29"/>
    </row>
    <row r="114" spans="3:13" ht="12.75" hidden="1" customHeight="1">
      <c r="C114" s="5" t="s">
        <v>298</v>
      </c>
      <c r="D114" s="33">
        <v>38.138800000000003</v>
      </c>
      <c r="E114" s="34">
        <v>61.760100000000001</v>
      </c>
      <c r="F114" s="34">
        <v>6.0136000000000003</v>
      </c>
      <c r="G114" s="34">
        <v>19.0185</v>
      </c>
      <c r="H114" s="34">
        <v>0.35589999999999999</v>
      </c>
      <c r="I114" s="34">
        <v>23.107399999999998</v>
      </c>
      <c r="J114" s="34">
        <v>5.6706000000000003</v>
      </c>
      <c r="K114" s="34">
        <v>1.9199999999999998E-2</v>
      </c>
      <c r="L114" s="34">
        <v>8.2246000000000006</v>
      </c>
      <c r="M114" s="29"/>
    </row>
    <row r="115" spans="3:13" ht="12.75" hidden="1" customHeight="1">
      <c r="C115" s="5" t="s">
        <v>299</v>
      </c>
      <c r="D115" s="33">
        <v>38.109699999999997</v>
      </c>
      <c r="E115" s="34">
        <v>60.845999999999997</v>
      </c>
      <c r="F115" s="34">
        <v>5.9943999999999997</v>
      </c>
      <c r="G115" s="34">
        <v>18.8764</v>
      </c>
      <c r="H115" s="34">
        <v>0.3458</v>
      </c>
      <c r="I115" s="34">
        <v>22.979800000000001</v>
      </c>
      <c r="J115" s="34">
        <v>5.6281999999999996</v>
      </c>
      <c r="K115" s="34">
        <v>1.9E-2</v>
      </c>
      <c r="L115" s="34">
        <v>8.0068000000000001</v>
      </c>
      <c r="M115" s="29"/>
    </row>
    <row r="116" spans="3:13" ht="12.75" hidden="1" customHeight="1">
      <c r="C116" s="5" t="s">
        <v>300</v>
      </c>
      <c r="D116" s="33">
        <v>38.153300000000002</v>
      </c>
      <c r="E116" s="34">
        <v>60.7821</v>
      </c>
      <c r="F116" s="34">
        <v>5.7953000000000001</v>
      </c>
      <c r="G116" s="34">
        <v>18.726900000000001</v>
      </c>
      <c r="H116" s="34">
        <v>0.36270000000000002</v>
      </c>
      <c r="I116" s="34">
        <v>22.979800000000001</v>
      </c>
      <c r="J116" s="34">
        <v>5.5838000000000001</v>
      </c>
      <c r="K116" s="34">
        <v>1.89E-2</v>
      </c>
      <c r="L116" s="34">
        <v>7.8423999999999996</v>
      </c>
      <c r="M116" s="29"/>
    </row>
    <row r="117" spans="3:13" ht="12.75" hidden="1" customHeight="1">
      <c r="C117" s="5" t="s">
        <v>301</v>
      </c>
      <c r="D117" s="33">
        <v>38.167900000000003</v>
      </c>
      <c r="E117" s="34">
        <v>60.017099999999999</v>
      </c>
      <c r="F117" s="34">
        <v>5.5857999999999999</v>
      </c>
      <c r="G117" s="34">
        <v>17.810500000000001</v>
      </c>
      <c r="H117" s="34">
        <v>0.35849999999999999</v>
      </c>
      <c r="I117" s="34">
        <v>22.157800000000002</v>
      </c>
      <c r="J117" s="34">
        <v>5.3102999999999998</v>
      </c>
      <c r="K117" s="34">
        <v>1.7899999999999999E-2</v>
      </c>
      <c r="L117" s="34">
        <v>7.54</v>
      </c>
      <c r="M117" s="29"/>
    </row>
    <row r="118" spans="3:13" ht="12.75" hidden="1" customHeight="1">
      <c r="C118" s="5" t="s">
        <v>302</v>
      </c>
      <c r="D118" s="33">
        <v>38.153300000000002</v>
      </c>
      <c r="E118" s="34">
        <v>57.0869</v>
      </c>
      <c r="F118" s="34">
        <v>5.4581999999999997</v>
      </c>
      <c r="G118" s="34">
        <v>18.127199999999998</v>
      </c>
      <c r="H118" s="34">
        <v>0.35780000000000001</v>
      </c>
      <c r="I118" s="34">
        <v>22.565899999999999</v>
      </c>
      <c r="J118" s="34">
        <v>5.4048999999999996</v>
      </c>
      <c r="K118" s="34">
        <v>1.83E-2</v>
      </c>
      <c r="L118" s="34">
        <v>7.2701000000000002</v>
      </c>
      <c r="M118" s="29"/>
    </row>
    <row r="119" spans="3:13" ht="12.75" hidden="1" customHeight="1">
      <c r="C119" s="5" t="s">
        <v>303</v>
      </c>
      <c r="D119" s="33">
        <v>38.197000000000003</v>
      </c>
      <c r="E119" s="34">
        <v>57.985100000000003</v>
      </c>
      <c r="F119" s="34">
        <v>5.6089000000000002</v>
      </c>
      <c r="G119" s="34">
        <v>18.5946</v>
      </c>
      <c r="H119" s="34">
        <v>0.36180000000000001</v>
      </c>
      <c r="I119" s="34">
        <v>23.357099999999999</v>
      </c>
      <c r="J119" s="34">
        <v>5.5441000000000003</v>
      </c>
      <c r="K119" s="34">
        <v>1.8700000000000001E-2</v>
      </c>
      <c r="L119" s="34">
        <v>7.4618000000000002</v>
      </c>
      <c r="M119" s="29"/>
    </row>
    <row r="120" spans="3:13" ht="12.75" hidden="1" customHeight="1">
      <c r="C120" s="5" t="s">
        <v>304</v>
      </c>
      <c r="D120" s="33">
        <v>38.197000000000003</v>
      </c>
      <c r="E120" s="34">
        <v>57.450299999999999</v>
      </c>
      <c r="F120" s="34">
        <v>5.492</v>
      </c>
      <c r="G120" s="34">
        <v>18.0349</v>
      </c>
      <c r="H120" s="34">
        <v>0.34949999999999998</v>
      </c>
      <c r="I120" s="34">
        <v>22.763400000000001</v>
      </c>
      <c r="J120" s="34">
        <v>5.3773</v>
      </c>
      <c r="K120" s="34">
        <v>1.8200000000000001E-2</v>
      </c>
      <c r="L120" s="34">
        <v>7.3624000000000001</v>
      </c>
      <c r="M120" s="29"/>
    </row>
    <row r="121" spans="3:13" ht="12.75" hidden="1" customHeight="1">
      <c r="C121" s="5" t="s">
        <v>305</v>
      </c>
      <c r="D121" s="33">
        <v>50.200800000000001</v>
      </c>
      <c r="E121" s="34">
        <v>73.137500000000003</v>
      </c>
      <c r="F121" s="34">
        <v>7.2205000000000004</v>
      </c>
      <c r="G121" s="34">
        <v>22.957799999999999</v>
      </c>
      <c r="H121" s="34">
        <v>0.47199999999999998</v>
      </c>
      <c r="I121" s="34">
        <v>29.016100000000002</v>
      </c>
      <c r="J121" s="34">
        <v>6.8452000000000002</v>
      </c>
      <c r="K121" s="34">
        <v>2.3099999999999999E-2</v>
      </c>
      <c r="L121" s="34">
        <v>9.7414000000000005</v>
      </c>
      <c r="M121" s="29"/>
    </row>
    <row r="122" spans="3:13" ht="12.75" hidden="1" customHeight="1">
      <c r="C122" s="5" t="s">
        <v>306</v>
      </c>
      <c r="D122" s="33">
        <v>53.022199999999998</v>
      </c>
      <c r="E122" s="34">
        <v>77.579499999999996</v>
      </c>
      <c r="F122" s="34">
        <v>7.2657999999999996</v>
      </c>
      <c r="G122" s="34">
        <v>23.874199999999998</v>
      </c>
      <c r="H122" s="34">
        <v>0.49159999999999998</v>
      </c>
      <c r="I122" s="34">
        <v>30.645099999999999</v>
      </c>
      <c r="J122" s="34">
        <v>7.1184000000000003</v>
      </c>
      <c r="K122" s="34">
        <v>2.41E-2</v>
      </c>
      <c r="L122" s="34">
        <v>10.098000000000001</v>
      </c>
      <c r="M122" s="29"/>
    </row>
    <row r="123" spans="3:13" ht="12.75" hidden="1" customHeight="1">
      <c r="C123" s="5" t="s">
        <v>307</v>
      </c>
      <c r="D123" s="33">
        <v>54.975200000000001</v>
      </c>
      <c r="E123" s="34">
        <v>79.535399999999996</v>
      </c>
      <c r="F123" s="34">
        <v>7.2382999999999997</v>
      </c>
      <c r="G123" s="34">
        <v>23.595500000000001</v>
      </c>
      <c r="H123" s="34">
        <v>0.50519999999999998</v>
      </c>
      <c r="I123" s="34">
        <v>30.4251</v>
      </c>
      <c r="J123" s="34">
        <v>7.0353000000000003</v>
      </c>
      <c r="K123" s="34">
        <v>2.3800000000000002E-2</v>
      </c>
      <c r="L123" s="34">
        <v>10.206099999999999</v>
      </c>
      <c r="M123" s="29"/>
    </row>
    <row r="124" spans="3:13" ht="12.75" hidden="1" customHeight="1">
      <c r="C124" s="5" t="s">
        <v>308</v>
      </c>
      <c r="D124" s="33">
        <v>55.035699999999999</v>
      </c>
      <c r="E124" s="34">
        <v>78.258099999999999</v>
      </c>
      <c r="F124" s="34">
        <v>7.0675999999999997</v>
      </c>
      <c r="G124" s="34">
        <v>24.193100000000001</v>
      </c>
      <c r="H124" s="34">
        <v>0.49559999999999998</v>
      </c>
      <c r="I124" s="34">
        <v>31.3522</v>
      </c>
      <c r="J124" s="34">
        <v>7.2134</v>
      </c>
      <c r="K124" s="34">
        <v>2.4400000000000002E-2</v>
      </c>
      <c r="L124" s="34">
        <v>10.038500000000001</v>
      </c>
      <c r="M124" s="29"/>
    </row>
    <row r="125" spans="3:13" ht="12.75" hidden="1" customHeight="1">
      <c r="C125" s="5" t="s">
        <v>311</v>
      </c>
      <c r="D125" s="33">
        <v>55.066000000000003</v>
      </c>
      <c r="E125" s="34">
        <v>82.1751</v>
      </c>
      <c r="F125" s="34">
        <v>7.2789999999999999</v>
      </c>
      <c r="G125" s="34">
        <v>26.149000000000001</v>
      </c>
      <c r="H125" s="34">
        <v>0.4798</v>
      </c>
      <c r="I125" s="34">
        <v>33.624000000000002</v>
      </c>
      <c r="J125" s="34">
        <v>7.7965999999999998</v>
      </c>
      <c r="K125" s="34">
        <v>2.64E-2</v>
      </c>
      <c r="L125" s="34">
        <v>10.2643</v>
      </c>
      <c r="M125" s="29"/>
    </row>
    <row r="126" spans="3:13" ht="13.15" hidden="1" customHeight="1">
      <c r="C126" s="5"/>
      <c r="D126" s="33"/>
      <c r="E126" s="34"/>
      <c r="F126" s="34"/>
      <c r="G126" s="34"/>
      <c r="H126" s="34"/>
      <c r="I126" s="34"/>
      <c r="J126" s="34"/>
      <c r="K126" s="34"/>
      <c r="L126" s="34"/>
      <c r="M126" s="29"/>
    </row>
    <row r="127" spans="3:13" ht="12.75" hidden="1" customHeight="1">
      <c r="C127" s="13">
        <v>2001</v>
      </c>
      <c r="D127" s="33"/>
      <c r="E127" s="34"/>
      <c r="F127" s="34"/>
      <c r="G127" s="34"/>
      <c r="H127" s="34"/>
      <c r="I127" s="34"/>
      <c r="J127" s="34"/>
      <c r="K127" s="34"/>
      <c r="L127" s="34"/>
      <c r="M127" s="29"/>
    </row>
    <row r="128" spans="3:13" ht="12.75" hidden="1" customHeight="1">
      <c r="C128" s="5"/>
      <c r="D128" s="33"/>
      <c r="E128" s="34"/>
      <c r="F128" s="34"/>
      <c r="G128" s="34"/>
      <c r="H128" s="34"/>
      <c r="I128" s="34"/>
      <c r="J128" s="34"/>
      <c r="K128" s="34"/>
      <c r="L128" s="34"/>
      <c r="M128" s="29"/>
    </row>
    <row r="129" spans="3:13" ht="12.75" hidden="1" customHeight="1">
      <c r="C129" s="5" t="s">
        <v>298</v>
      </c>
      <c r="D129" s="33">
        <v>55.066000000000003</v>
      </c>
      <c r="E129" s="34">
        <v>80.492800000000003</v>
      </c>
      <c r="F129" s="34">
        <v>7.0688000000000004</v>
      </c>
      <c r="G129" s="34">
        <v>26.092099999999999</v>
      </c>
      <c r="H129" s="34">
        <v>0.47320000000000001</v>
      </c>
      <c r="I129" s="34">
        <v>33.464599999999997</v>
      </c>
      <c r="J129" s="34">
        <v>7.7797999999999998</v>
      </c>
      <c r="K129" s="34">
        <v>2.63E-2</v>
      </c>
      <c r="L129" s="34">
        <v>10.0495</v>
      </c>
      <c r="M129" s="29"/>
    </row>
    <row r="130" spans="3:13" ht="12.75" hidden="1" customHeight="1">
      <c r="C130" s="5" t="s">
        <v>299</v>
      </c>
      <c r="D130" s="33">
        <v>55.066000000000003</v>
      </c>
      <c r="E130" s="34">
        <v>79.421800000000005</v>
      </c>
      <c r="F130" s="34">
        <v>7.1607000000000003</v>
      </c>
      <c r="G130" s="34">
        <v>25.8447</v>
      </c>
      <c r="H130" s="34">
        <v>0.47449999999999998</v>
      </c>
      <c r="I130" s="34">
        <v>32.8536</v>
      </c>
      <c r="J130" s="34">
        <v>7.7058999999999997</v>
      </c>
      <c r="K130" s="34">
        <v>2.6100000000000002E-2</v>
      </c>
      <c r="L130" s="34">
        <v>10.132099999999999</v>
      </c>
      <c r="M130" s="29"/>
    </row>
    <row r="131" spans="3:13" ht="12.75" hidden="1" customHeight="1">
      <c r="C131" s="5" t="s">
        <v>300</v>
      </c>
      <c r="D131" s="33">
        <v>55.096400000000003</v>
      </c>
      <c r="E131" s="34">
        <v>78.603300000000004</v>
      </c>
      <c r="F131" s="34">
        <v>6.8441999999999998</v>
      </c>
      <c r="G131" s="34">
        <v>24.762899999999998</v>
      </c>
      <c r="H131" s="34">
        <v>0.442</v>
      </c>
      <c r="I131" s="34">
        <v>31.779599999999999</v>
      </c>
      <c r="J131" s="34">
        <v>7.3834999999999997</v>
      </c>
      <c r="K131" s="34">
        <v>2.5010000000000001E-2</v>
      </c>
      <c r="L131" s="34">
        <v>9.7520000000000007</v>
      </c>
      <c r="M131" s="29"/>
    </row>
    <row r="132" spans="3:13" ht="12.75" hidden="1" customHeight="1">
      <c r="C132" s="5" t="s">
        <v>301</v>
      </c>
      <c r="D132" s="33">
        <v>55.066000000000003</v>
      </c>
      <c r="E132" s="34">
        <v>79.036299999999997</v>
      </c>
      <c r="F132" s="34">
        <v>6.9058999999999999</v>
      </c>
      <c r="G132" s="34">
        <v>25.0761</v>
      </c>
      <c r="H132" s="34">
        <v>0.4446</v>
      </c>
      <c r="I132" s="34">
        <v>31.9131</v>
      </c>
      <c r="J132" s="34">
        <v>7.4767000000000001</v>
      </c>
      <c r="K132" s="34">
        <v>2.53E-2</v>
      </c>
      <c r="L132" s="34">
        <v>9.8264999999999993</v>
      </c>
      <c r="M132" s="29"/>
    </row>
    <row r="133" spans="3:13" ht="12.75" hidden="1" customHeight="1">
      <c r="C133" s="5" t="s">
        <v>302</v>
      </c>
      <c r="D133" s="33">
        <v>55.066000000000003</v>
      </c>
      <c r="E133" s="34">
        <v>78.383799999999994</v>
      </c>
      <c r="F133" s="34">
        <v>6.8832000000000004</v>
      </c>
      <c r="G133" s="34">
        <v>23.9923</v>
      </c>
      <c r="H133" s="34">
        <v>0.46210000000000001</v>
      </c>
      <c r="I133" s="34">
        <v>30.802700000000002</v>
      </c>
      <c r="J133" s="34">
        <v>7.1536</v>
      </c>
      <c r="K133" s="34">
        <v>2.4199999999999999E-2</v>
      </c>
      <c r="L133" s="34">
        <v>9.7906999999999993</v>
      </c>
      <c r="M133" s="29"/>
    </row>
    <row r="134" spans="3:13" ht="12.75" hidden="1" customHeight="1">
      <c r="C134" s="5" t="s">
        <v>303</v>
      </c>
      <c r="D134" s="33">
        <v>55.066000000000003</v>
      </c>
      <c r="E134" s="34">
        <v>77.480699999999999</v>
      </c>
      <c r="F134" s="34">
        <v>6.8217999999999996</v>
      </c>
      <c r="G134" s="34">
        <v>23.813300000000002</v>
      </c>
      <c r="H134" s="34">
        <v>0.44400000000000001</v>
      </c>
      <c r="I134" s="34">
        <v>30.6143</v>
      </c>
      <c r="J134" s="34">
        <v>7.1002999999999998</v>
      </c>
      <c r="K134" s="34">
        <v>2.4E-2</v>
      </c>
      <c r="L134" s="34">
        <v>9.6971000000000007</v>
      </c>
      <c r="M134" s="29"/>
    </row>
    <row r="135" spans="3:13" ht="12.75" hidden="1" customHeight="1">
      <c r="C135" s="5" t="s">
        <v>304</v>
      </c>
      <c r="D135" s="33">
        <v>55.005499999999998</v>
      </c>
      <c r="E135" s="34">
        <v>78.536799999999999</v>
      </c>
      <c r="F135" s="34">
        <v>6.6780999999999997</v>
      </c>
      <c r="G135" s="34">
        <v>24.619199999999999</v>
      </c>
      <c r="H135" s="34">
        <v>0.44040000000000001</v>
      </c>
      <c r="I135" s="34">
        <v>31.872399999999999</v>
      </c>
      <c r="J135" s="34">
        <v>7.3406000000000002</v>
      </c>
      <c r="K135" s="34">
        <v>2.4799999999999999E-2</v>
      </c>
      <c r="L135" s="34">
        <v>9.5957000000000008</v>
      </c>
      <c r="M135" s="29"/>
    </row>
    <row r="136" spans="3:13" ht="12.75" hidden="1" customHeight="1">
      <c r="C136" s="5" t="s">
        <v>305</v>
      </c>
      <c r="D136" s="33">
        <v>55.035699999999999</v>
      </c>
      <c r="E136" s="34">
        <v>80.357699999999994</v>
      </c>
      <c r="F136" s="34">
        <v>6.5759999999999996</v>
      </c>
      <c r="G136" s="34">
        <v>25.8553</v>
      </c>
      <c r="H136" s="34">
        <v>0.46310000000000001</v>
      </c>
      <c r="I136" s="34">
        <v>33.360999999999997</v>
      </c>
      <c r="J136" s="34">
        <v>7.7092000000000001</v>
      </c>
      <c r="K136" s="34">
        <v>2.6100000000000002E-2</v>
      </c>
      <c r="L136" s="34">
        <v>9.5927000000000007</v>
      </c>
      <c r="M136" s="29"/>
    </row>
    <row r="137" spans="3:13" ht="12.75" hidden="1" customHeight="1">
      <c r="C137" s="5" t="s">
        <v>306</v>
      </c>
      <c r="D137" s="33">
        <v>55.035772999999999</v>
      </c>
      <c r="E137" s="34">
        <v>80.883324000000002</v>
      </c>
      <c r="F137" s="34">
        <v>6.106401</v>
      </c>
      <c r="G137" s="34">
        <v>25.747128</v>
      </c>
      <c r="H137" s="34">
        <v>0.46196100000000001</v>
      </c>
      <c r="I137" s="34">
        <v>34.082098999999999</v>
      </c>
      <c r="J137" s="34">
        <v>7.6770180000000003</v>
      </c>
      <c r="K137" s="34">
        <v>2.6008E-2</v>
      </c>
      <c r="L137" s="34">
        <v>9.1717119999999994</v>
      </c>
      <c r="M137" s="29"/>
    </row>
    <row r="138" spans="3:13" ht="12.75" hidden="1" customHeight="1">
      <c r="C138" s="5" t="s">
        <v>307</v>
      </c>
      <c r="D138" s="33">
        <v>55.035772999999999</v>
      </c>
      <c r="E138" s="34">
        <v>80.002751000000004</v>
      </c>
      <c r="F138" s="34">
        <v>5.8486479999999998</v>
      </c>
      <c r="G138" s="34">
        <v>25.529164999999999</v>
      </c>
      <c r="H138" s="34">
        <v>0.45176100000000002</v>
      </c>
      <c r="I138" s="34">
        <v>33.932901999999999</v>
      </c>
      <c r="J138" s="34">
        <v>7.6119300000000001</v>
      </c>
      <c r="K138" s="34">
        <v>2.5787000000000001E-2</v>
      </c>
      <c r="L138" s="34">
        <v>8.9157949999999992</v>
      </c>
      <c r="M138" s="29"/>
    </row>
    <row r="139" spans="3:13" ht="12.75" hidden="1" customHeight="1">
      <c r="C139" s="5" t="s">
        <v>308</v>
      </c>
      <c r="D139" s="33">
        <v>55.035699999999999</v>
      </c>
      <c r="E139" s="34">
        <v>78.406700000000001</v>
      </c>
      <c r="F139" s="34">
        <v>5.3609</v>
      </c>
      <c r="G139" s="34">
        <v>24.959499999999998</v>
      </c>
      <c r="H139" s="34">
        <v>0.44379999999999997</v>
      </c>
      <c r="I139" s="34">
        <v>33.2361</v>
      </c>
      <c r="J139" s="34">
        <v>7.4420000000000002</v>
      </c>
      <c r="K139" s="34">
        <v>2.52E-2</v>
      </c>
      <c r="L139" s="34">
        <v>8.4368999999999996</v>
      </c>
      <c r="M139" s="29"/>
    </row>
    <row r="140" spans="3:13" ht="12.75" hidden="1" customHeight="1">
      <c r="C140" s="5" t="s">
        <v>311</v>
      </c>
      <c r="D140" s="33">
        <v>55.035699999999999</v>
      </c>
      <c r="E140" s="34">
        <v>79.774299999999997</v>
      </c>
      <c r="F140" s="34">
        <v>4.5843999999999996</v>
      </c>
      <c r="G140" s="34">
        <v>24.918800000000001</v>
      </c>
      <c r="H140" s="34">
        <v>0.41909999999999997</v>
      </c>
      <c r="I140" s="34">
        <v>32.914099999999998</v>
      </c>
      <c r="J140" s="34">
        <v>7.4298000000000002</v>
      </c>
      <c r="K140" s="34">
        <v>2.5100000000000001E-2</v>
      </c>
      <c r="L140" s="34">
        <v>7.8811</v>
      </c>
      <c r="M140" s="29"/>
    </row>
    <row r="141" spans="3:13" ht="12.75" hidden="1" customHeight="1">
      <c r="C141" s="5"/>
      <c r="D141" s="33"/>
      <c r="E141" s="34"/>
      <c r="F141" s="34"/>
      <c r="G141" s="34"/>
      <c r="H141" s="34"/>
      <c r="I141" s="34"/>
      <c r="J141" s="34"/>
      <c r="K141" s="34"/>
      <c r="L141" s="34"/>
      <c r="M141" s="29"/>
    </row>
    <row r="142" spans="3:13" ht="13.15" customHeight="1">
      <c r="C142" s="13">
        <v>2002</v>
      </c>
      <c r="D142" s="33"/>
      <c r="E142" s="34"/>
      <c r="F142" s="34"/>
      <c r="G142" s="34"/>
      <c r="H142" s="34"/>
      <c r="I142" s="34"/>
      <c r="J142" s="34"/>
      <c r="K142" s="34"/>
      <c r="L142" s="34"/>
      <c r="M142" s="29"/>
    </row>
    <row r="143" spans="3:13" ht="13.15" customHeight="1">
      <c r="C143" s="13"/>
      <c r="D143" s="33"/>
      <c r="E143" s="34"/>
      <c r="F143" s="34"/>
      <c r="G143" s="34"/>
      <c r="H143" s="34"/>
      <c r="I143" s="34"/>
      <c r="J143" s="34"/>
      <c r="K143" s="34"/>
      <c r="L143" s="34"/>
      <c r="M143" s="29"/>
    </row>
    <row r="144" spans="3:13" ht="15.75">
      <c r="C144" s="5" t="s">
        <v>298</v>
      </c>
      <c r="D144" s="33">
        <v>55.035699999999999</v>
      </c>
      <c r="E144" s="34">
        <v>77.8536</v>
      </c>
      <c r="F144" s="34">
        <v>4.8045</v>
      </c>
      <c r="G144" s="34">
        <v>24.279499999999999</v>
      </c>
      <c r="H144" s="34">
        <v>0.41420000000000001</v>
      </c>
      <c r="I144" s="34">
        <v>32.224200000000003</v>
      </c>
      <c r="J144" s="34">
        <v>7.2393999999999998</v>
      </c>
      <c r="K144" s="34">
        <v>2.4500000000000001E-2</v>
      </c>
      <c r="L144" s="34">
        <v>8.1095000000000006</v>
      </c>
      <c r="M144" s="29"/>
    </row>
    <row r="145" spans="3:13" ht="15.75">
      <c r="C145" s="5" t="s">
        <v>299</v>
      </c>
      <c r="D145" s="33">
        <v>55.035699999999999</v>
      </c>
      <c r="E145" s="34">
        <v>78.093000000000004</v>
      </c>
      <c r="F145" s="34">
        <v>4.8129</v>
      </c>
      <c r="G145" s="34">
        <v>24.323499999999999</v>
      </c>
      <c r="H145" s="34">
        <v>0.41049999999999998</v>
      </c>
      <c r="I145" s="34">
        <v>32.222299999999997</v>
      </c>
      <c r="J145" s="34">
        <v>7.2523999999999997</v>
      </c>
      <c r="K145" s="34">
        <v>2.4500000000000001E-2</v>
      </c>
      <c r="L145" s="34">
        <v>8.1176999999999992</v>
      </c>
      <c r="M145" s="29"/>
    </row>
    <row r="146" spans="3:13" ht="15.75">
      <c r="C146" s="5" t="s">
        <v>300</v>
      </c>
      <c r="D146" s="33">
        <v>55.035699999999999</v>
      </c>
      <c r="E146" s="34">
        <v>78.489199999999997</v>
      </c>
      <c r="F146" s="34">
        <v>4.8254999999999999</v>
      </c>
      <c r="G146" s="34">
        <v>24.832799999999999</v>
      </c>
      <c r="H146" s="34">
        <v>0.41510000000000002</v>
      </c>
      <c r="I146" s="34">
        <v>32.804200000000002</v>
      </c>
      <c r="J146" s="34">
        <v>7.4042000000000003</v>
      </c>
      <c r="K146" s="34">
        <v>2.5000000000000001E-2</v>
      </c>
      <c r="L146" s="34">
        <v>8.1341999999999999</v>
      </c>
      <c r="M146" s="29"/>
    </row>
    <row r="147" spans="3:13" ht="15.75">
      <c r="C147" s="5" t="s">
        <v>301</v>
      </c>
      <c r="D147" s="33">
        <v>55.035699999999999</v>
      </c>
      <c r="E147" s="34">
        <v>80.181600000000003</v>
      </c>
      <c r="F147" s="34">
        <v>5.1896000000000004</v>
      </c>
      <c r="G147" s="34">
        <v>24.832799999999999</v>
      </c>
      <c r="H147" s="34">
        <v>0.43</v>
      </c>
      <c r="I147" s="34">
        <v>33.9465</v>
      </c>
      <c r="J147" s="34">
        <v>7.4042000000000003</v>
      </c>
      <c r="K147" s="34">
        <v>2.5000000000000001E-2</v>
      </c>
      <c r="L147" s="34">
        <v>8.58</v>
      </c>
      <c r="M147" s="29"/>
    </row>
    <row r="148" spans="3:13" ht="15.75">
      <c r="C148" s="5" t="s">
        <v>302</v>
      </c>
      <c r="D148" s="33">
        <v>55.035699999999999</v>
      </c>
      <c r="E148" s="34">
        <v>80.375799999999998</v>
      </c>
      <c r="F148" s="34">
        <v>5.4142000000000001</v>
      </c>
      <c r="G148" s="34">
        <v>24.832799999999999</v>
      </c>
      <c r="H148" s="34">
        <v>0.4345</v>
      </c>
      <c r="I148" s="34">
        <v>34.640500000000003</v>
      </c>
      <c r="J148" s="34">
        <v>7.4042000000000003</v>
      </c>
      <c r="K148" s="34">
        <v>2.5000000000000001E-2</v>
      </c>
      <c r="L148" s="34">
        <v>8.8244000000000007</v>
      </c>
      <c r="M148" s="29"/>
    </row>
    <row r="149" spans="3:13" ht="15.75">
      <c r="C149" s="5" t="s">
        <v>303</v>
      </c>
      <c r="D149" s="33">
        <v>55.035699999999999</v>
      </c>
      <c r="E149" s="34">
        <v>84.020300000000006</v>
      </c>
      <c r="F149" s="34">
        <v>5.3083999999999998</v>
      </c>
      <c r="G149" s="34">
        <v>24.832799999999999</v>
      </c>
      <c r="H149" s="34">
        <v>0.46060000000000001</v>
      </c>
      <c r="I149" s="34">
        <v>36.924300000000002</v>
      </c>
      <c r="J149" s="34">
        <v>7.4042000000000003</v>
      </c>
      <c r="K149" s="34">
        <v>2.5000000000000001E-2</v>
      </c>
      <c r="L149" s="34">
        <v>8.8056999999999999</v>
      </c>
      <c r="M149" s="29"/>
    </row>
    <row r="150" spans="3:13" ht="15.75">
      <c r="C150" s="5" t="s">
        <v>304</v>
      </c>
      <c r="D150" s="33">
        <v>55.035699999999999</v>
      </c>
      <c r="E150" s="34">
        <v>86.571200000000005</v>
      </c>
      <c r="F150" s="34">
        <v>5.4195000000000002</v>
      </c>
      <c r="G150" s="34">
        <v>24.832799999999999</v>
      </c>
      <c r="H150" s="34">
        <v>0.46079999999999999</v>
      </c>
      <c r="I150" s="34">
        <v>37.146099999999997</v>
      </c>
      <c r="J150" s="34">
        <v>7.4042000000000003</v>
      </c>
      <c r="K150" s="34">
        <v>2.5000000000000001E-2</v>
      </c>
      <c r="L150" s="34">
        <v>8.9708000000000006</v>
      </c>
      <c r="M150" s="29"/>
    </row>
    <row r="151" spans="3:13" ht="15.75">
      <c r="C151" s="5" t="s">
        <v>305</v>
      </c>
      <c r="D151" s="33">
        <v>55.035699999999999</v>
      </c>
      <c r="E151" s="34">
        <v>85.242099999999994</v>
      </c>
      <c r="F151" s="34">
        <v>5.1820000000000004</v>
      </c>
      <c r="G151" s="34">
        <v>24.832799999999999</v>
      </c>
      <c r="H151" s="34">
        <v>0.4667</v>
      </c>
      <c r="I151" s="34">
        <v>36.863700000000001</v>
      </c>
      <c r="J151" s="34">
        <v>7.4042000000000003</v>
      </c>
      <c r="K151" s="34">
        <v>2.5000000000000001E-2</v>
      </c>
      <c r="L151" s="34">
        <v>8.7175999999999991</v>
      </c>
      <c r="M151" s="29"/>
    </row>
    <row r="152" spans="3:13" ht="15.75">
      <c r="C152" s="5" t="s">
        <v>306</v>
      </c>
      <c r="D152" s="33">
        <v>55.035699999999999</v>
      </c>
      <c r="E152" s="34">
        <v>86.128200000000007</v>
      </c>
      <c r="F152" s="34">
        <v>5.2117000000000004</v>
      </c>
      <c r="G152" s="34">
        <v>24.832799999999999</v>
      </c>
      <c r="H152" s="34">
        <v>0.45319999999999999</v>
      </c>
      <c r="I152" s="34">
        <v>36.947899999999997</v>
      </c>
      <c r="J152" s="34">
        <v>7.4042000000000003</v>
      </c>
      <c r="K152" s="34">
        <v>2.5000000000000001E-2</v>
      </c>
      <c r="L152" s="34">
        <v>8.7615999999999996</v>
      </c>
      <c r="M152" s="29"/>
    </row>
    <row r="153" spans="3:13" ht="15.75">
      <c r="C153" s="5" t="s">
        <v>307</v>
      </c>
      <c r="D153" s="33">
        <v>55.035699999999999</v>
      </c>
      <c r="E153" s="34">
        <v>85.841999999999999</v>
      </c>
      <c r="F153" s="34">
        <v>5.4425999999999997</v>
      </c>
      <c r="G153" s="34">
        <v>24.832799999999999</v>
      </c>
      <c r="H153" s="34">
        <v>0.44940000000000002</v>
      </c>
      <c r="I153" s="34">
        <v>37.1023</v>
      </c>
      <c r="J153" s="34">
        <v>7.4042000000000003</v>
      </c>
      <c r="K153" s="34">
        <v>2.5000000000000001E-2</v>
      </c>
      <c r="L153" s="34">
        <v>8.9872999999999994</v>
      </c>
      <c r="M153" s="29"/>
    </row>
    <row r="154" spans="3:13" ht="15.75">
      <c r="C154" s="5" t="s">
        <v>308</v>
      </c>
      <c r="D154" s="33">
        <v>55.035699999999999</v>
      </c>
      <c r="E154" s="34">
        <v>85.393500000000003</v>
      </c>
      <c r="F154" s="34">
        <v>5.9272999999999998</v>
      </c>
      <c r="G154" s="34">
        <v>24.832799999999999</v>
      </c>
      <c r="H154" s="34">
        <v>0.45</v>
      </c>
      <c r="I154" s="34">
        <v>37.082299999999996</v>
      </c>
      <c r="J154" s="34">
        <v>7.4042000000000003</v>
      </c>
      <c r="K154" s="34">
        <v>2.5000000000000001E-2</v>
      </c>
      <c r="L154" s="34">
        <v>9.5155999999999992</v>
      </c>
      <c r="M154" s="29"/>
    </row>
    <row r="155" spans="3:13" ht="15.75">
      <c r="C155" s="5" t="s">
        <v>311</v>
      </c>
      <c r="D155" s="33">
        <v>55.035699999999999</v>
      </c>
      <c r="E155" s="34">
        <v>88.269099999999995</v>
      </c>
      <c r="F155" s="34">
        <v>6.3697999999999997</v>
      </c>
      <c r="G155" s="34">
        <v>24.832799999999999</v>
      </c>
      <c r="H155" s="34">
        <v>0.46439999999999998</v>
      </c>
      <c r="I155" s="34">
        <v>39.681100000000001</v>
      </c>
      <c r="J155" s="34">
        <v>7.4042000000000003</v>
      </c>
      <c r="K155" s="34">
        <v>2.5000000000000001E-2</v>
      </c>
      <c r="L155" s="34">
        <v>10.066000000000001</v>
      </c>
      <c r="M155" s="29"/>
    </row>
    <row r="156" spans="3:13" ht="13.15" customHeight="1">
      <c r="C156" s="5"/>
      <c r="D156" s="33"/>
      <c r="E156" s="34"/>
      <c r="F156" s="34"/>
      <c r="G156" s="34"/>
      <c r="H156" s="34"/>
      <c r="I156" s="34"/>
      <c r="J156" s="34"/>
      <c r="K156" s="34"/>
      <c r="L156" s="34"/>
      <c r="M156" s="29"/>
    </row>
    <row r="157" spans="3:13" ht="13.15" customHeight="1">
      <c r="C157" s="13">
        <v>2003</v>
      </c>
      <c r="D157" s="33"/>
      <c r="E157" s="34"/>
      <c r="F157" s="34"/>
      <c r="G157" s="34"/>
      <c r="H157" s="34"/>
      <c r="I157" s="34"/>
      <c r="J157" s="34"/>
      <c r="K157" s="34"/>
      <c r="L157" s="34"/>
      <c r="M157" s="29"/>
    </row>
    <row r="158" spans="3:13" ht="13.15" customHeight="1">
      <c r="C158" s="13"/>
      <c r="D158" s="33"/>
      <c r="E158" s="34"/>
      <c r="F158" s="34"/>
      <c r="G158" s="34"/>
      <c r="H158" s="34"/>
      <c r="I158" s="34"/>
      <c r="J158" s="34"/>
      <c r="K158" s="34"/>
      <c r="L158" s="34"/>
      <c r="M158" s="29"/>
    </row>
    <row r="159" spans="3:13" ht="15.75">
      <c r="C159" s="5" t="s">
        <v>298</v>
      </c>
      <c r="D159" s="33">
        <v>55.035699999999999</v>
      </c>
      <c r="E159" s="34">
        <v>90.583299999999994</v>
      </c>
      <c r="F159" s="34">
        <v>6.3723999999999998</v>
      </c>
      <c r="G159" s="34">
        <v>24.832799999999999</v>
      </c>
      <c r="H159" s="34">
        <v>0.46139999999999998</v>
      </c>
      <c r="I159" s="34">
        <v>40.271999999999998</v>
      </c>
      <c r="J159" s="34">
        <v>7.4042000000000003</v>
      </c>
      <c r="K159" s="34">
        <v>2.5000000000000001E-2</v>
      </c>
      <c r="L159" s="34">
        <v>10.1265</v>
      </c>
      <c r="M159" s="29"/>
    </row>
    <row r="160" spans="3:13" ht="15.75">
      <c r="C160" s="5" t="s">
        <v>299</v>
      </c>
      <c r="D160" s="33">
        <v>55.035699999999999</v>
      </c>
      <c r="E160" s="34">
        <v>86.8767</v>
      </c>
      <c r="F160" s="34">
        <v>6.8750999999999998</v>
      </c>
      <c r="G160" s="34">
        <v>24.832799999999999</v>
      </c>
      <c r="H160" s="34">
        <v>0.46760000000000002</v>
      </c>
      <c r="I160" s="34">
        <v>40.445099999999996</v>
      </c>
      <c r="J160" s="34">
        <v>7.4042000000000003</v>
      </c>
      <c r="K160" s="34">
        <v>2.5000000000000001E-2</v>
      </c>
      <c r="L160" s="34">
        <v>10.6136</v>
      </c>
      <c r="M160" s="29"/>
    </row>
    <row r="161" spans="3:13" ht="15.75">
      <c r="C161" s="5" t="s">
        <v>300</v>
      </c>
      <c r="D161" s="33">
        <v>826.44619999999998</v>
      </c>
      <c r="E161" s="34">
        <v>1303.1404</v>
      </c>
      <c r="F161" s="34">
        <v>103.78440000000001</v>
      </c>
      <c r="G161" s="34">
        <v>372.90300000000002</v>
      </c>
      <c r="H161" s="34">
        <v>6.9335000000000004</v>
      </c>
      <c r="I161" s="34">
        <v>606.76639999999998</v>
      </c>
      <c r="J161" s="34">
        <v>111.18680000000001</v>
      </c>
      <c r="K161" s="34">
        <v>0.37659999999999999</v>
      </c>
      <c r="L161" s="34">
        <v>159.95859999999999</v>
      </c>
      <c r="M161" s="29"/>
    </row>
    <row r="162" spans="3:13" ht="15.75">
      <c r="C162" s="5" t="s">
        <v>301</v>
      </c>
      <c r="D162" s="33">
        <v>826.44619999999998</v>
      </c>
      <c r="E162" s="34">
        <v>1318.9256</v>
      </c>
      <c r="F162" s="34">
        <v>116.5963</v>
      </c>
      <c r="G162" s="34">
        <v>372.90300000000002</v>
      </c>
      <c r="H162" s="34">
        <v>6.9276999999999997</v>
      </c>
      <c r="I162" s="34">
        <v>607.90449999999998</v>
      </c>
      <c r="J162" s="34">
        <v>111.18680000000001</v>
      </c>
      <c r="K162" s="34">
        <v>0.37659999999999999</v>
      </c>
      <c r="L162" s="34">
        <v>173.3057</v>
      </c>
      <c r="M162" s="29"/>
    </row>
    <row r="163" spans="3:13" ht="15.75">
      <c r="C163" s="5" t="s">
        <v>302</v>
      </c>
      <c r="D163" s="33">
        <v>826.44619999999998</v>
      </c>
      <c r="E163" s="34">
        <v>1340.1197999999999</v>
      </c>
      <c r="F163" s="34">
        <v>101.70010000000001</v>
      </c>
      <c r="G163" s="34">
        <v>372.90300000000002</v>
      </c>
      <c r="H163" s="34">
        <v>7.0560999999999998</v>
      </c>
      <c r="I163" s="34">
        <v>643.32399999999996</v>
      </c>
      <c r="J163" s="34">
        <v>111.18680000000001</v>
      </c>
      <c r="K163" s="34">
        <v>0.37659999999999999</v>
      </c>
      <c r="L163" s="34">
        <v>162.39660000000001</v>
      </c>
      <c r="M163" s="29"/>
    </row>
    <row r="164" spans="3:13" ht="15.75">
      <c r="C164" s="5" t="s">
        <v>303</v>
      </c>
      <c r="D164" s="33">
        <v>826.44619999999998</v>
      </c>
      <c r="E164" s="34">
        <v>1366.0329999999999</v>
      </c>
      <c r="F164" s="34">
        <v>110.5613</v>
      </c>
      <c r="G164" s="34">
        <v>372.90300000000002</v>
      </c>
      <c r="H164" s="34">
        <v>6.8971</v>
      </c>
      <c r="I164" s="34">
        <v>611.29939999999999</v>
      </c>
      <c r="J164" s="34">
        <v>111.18680000000001</v>
      </c>
      <c r="K164" s="34">
        <v>0.37659999999999999</v>
      </c>
      <c r="L164" s="34">
        <v>168.22309999999999</v>
      </c>
      <c r="M164" s="29"/>
    </row>
    <row r="165" spans="3:13" ht="15.75">
      <c r="C165" s="5" t="s">
        <v>304</v>
      </c>
      <c r="D165" s="33">
        <v>826.44619999999998</v>
      </c>
      <c r="E165" s="34">
        <v>1333.3471</v>
      </c>
      <c r="F165" s="34">
        <v>111.6819</v>
      </c>
      <c r="G165" s="34">
        <v>372.90300000000002</v>
      </c>
      <c r="H165" s="34">
        <v>6.8902000000000001</v>
      </c>
      <c r="I165" s="34">
        <v>604.98969999999997</v>
      </c>
      <c r="J165" s="34">
        <v>111.18680000000001</v>
      </c>
      <c r="K165" s="34">
        <v>0.37659999999999999</v>
      </c>
      <c r="L165" s="34">
        <v>169.17349999999999</v>
      </c>
      <c r="M165" s="29"/>
    </row>
    <row r="166" spans="3:13" ht="15.75">
      <c r="C166" s="5" t="s">
        <v>305</v>
      </c>
      <c r="D166" s="33">
        <v>826.44619999999998</v>
      </c>
      <c r="E166" s="34">
        <v>1303.5536999999999</v>
      </c>
      <c r="F166" s="34">
        <v>112.2873</v>
      </c>
      <c r="G166" s="34">
        <v>372.90300000000002</v>
      </c>
      <c r="H166" s="34">
        <v>7.06</v>
      </c>
      <c r="I166" s="34">
        <v>584.61869999999999</v>
      </c>
      <c r="J166" s="34">
        <v>111.18680000000001</v>
      </c>
      <c r="K166" s="34">
        <v>0.37659999999999999</v>
      </c>
      <c r="L166" s="34">
        <v>169.04949999999999</v>
      </c>
      <c r="M166" s="29"/>
    </row>
    <row r="167" spans="3:13" ht="15.75">
      <c r="C167" s="5" t="s">
        <v>306</v>
      </c>
      <c r="D167" s="33">
        <v>826.44619999999998</v>
      </c>
      <c r="E167" s="34">
        <v>1371.4875999999999</v>
      </c>
      <c r="F167" s="34">
        <v>116.0934</v>
      </c>
      <c r="G167" s="34">
        <v>372.90300000000002</v>
      </c>
      <c r="H167" s="34">
        <v>7.3704000000000001</v>
      </c>
      <c r="I167" s="34">
        <v>613.7509</v>
      </c>
      <c r="J167" s="34">
        <v>111.18680000000001</v>
      </c>
      <c r="K167" s="34">
        <v>0.37659999999999999</v>
      </c>
      <c r="L167" s="34">
        <v>170.4545</v>
      </c>
      <c r="M167" s="29"/>
    </row>
    <row r="168" spans="3:13" ht="15.75">
      <c r="C168" s="5" t="s">
        <v>307</v>
      </c>
      <c r="D168" s="33">
        <v>826.44619999999998</v>
      </c>
      <c r="E168" s="34">
        <v>1401.4875999999999</v>
      </c>
      <c r="F168" s="34">
        <v>119.515</v>
      </c>
      <c r="G168" s="34">
        <v>372.90300000000002</v>
      </c>
      <c r="H168" s="34">
        <v>7.5768000000000004</v>
      </c>
      <c r="I168" s="34">
        <v>619.50170000000003</v>
      </c>
      <c r="J168" s="34">
        <v>111.18680000000001</v>
      </c>
      <c r="K168" s="34">
        <v>0.37659999999999999</v>
      </c>
      <c r="L168" s="34">
        <v>179.876</v>
      </c>
      <c r="M168" s="29"/>
    </row>
    <row r="169" spans="3:13" ht="15.75">
      <c r="C169" s="5" t="s">
        <v>308</v>
      </c>
      <c r="D169" s="33">
        <v>826.44619999999998</v>
      </c>
      <c r="E169" s="34">
        <v>1417.7272</v>
      </c>
      <c r="F169" s="34">
        <v>129.03139999999999</v>
      </c>
      <c r="G169" s="34">
        <v>372.90300000000002</v>
      </c>
      <c r="H169" s="34">
        <v>7.5511999999999997</v>
      </c>
      <c r="I169" s="34">
        <v>636.58479999999997</v>
      </c>
      <c r="J169" s="34">
        <v>111.18680000000001</v>
      </c>
      <c r="K169" s="34">
        <v>0.37659999999999999</v>
      </c>
      <c r="L169" s="34">
        <v>187.93379999999999</v>
      </c>
      <c r="M169" s="29"/>
    </row>
    <row r="170" spans="3:13" ht="15.75">
      <c r="C170" s="5" t="s">
        <v>311</v>
      </c>
      <c r="D170" s="33">
        <v>826.44619999999998</v>
      </c>
      <c r="E170" s="34">
        <v>1471.7768000000001</v>
      </c>
      <c r="F170" s="34">
        <v>125.12430000000001</v>
      </c>
      <c r="G170" s="34">
        <v>372.90300000000002</v>
      </c>
      <c r="H170" s="34">
        <v>7.7291999999999996</v>
      </c>
      <c r="I170" s="34">
        <v>666.8922</v>
      </c>
      <c r="J170" s="34">
        <v>111.18680000000001</v>
      </c>
      <c r="K170" s="34">
        <v>0.37659999999999999</v>
      </c>
      <c r="L170" s="34">
        <v>186.07429999999999</v>
      </c>
      <c r="M170" s="29"/>
    </row>
    <row r="171" spans="3:13" ht="15.75">
      <c r="C171" s="5"/>
      <c r="D171" s="33"/>
      <c r="E171" s="34"/>
      <c r="F171" s="34"/>
      <c r="G171" s="34"/>
      <c r="H171" s="34"/>
      <c r="I171" s="34"/>
      <c r="J171" s="34"/>
      <c r="K171" s="34"/>
      <c r="L171" s="34"/>
      <c r="M171" s="29"/>
    </row>
    <row r="172" spans="3:13" ht="15.75">
      <c r="C172" s="13">
        <v>2004</v>
      </c>
      <c r="D172" s="33"/>
      <c r="E172" s="34"/>
      <c r="F172" s="34"/>
      <c r="G172" s="34"/>
      <c r="H172" s="34"/>
      <c r="I172" s="34"/>
      <c r="J172" s="34"/>
      <c r="K172" s="34"/>
      <c r="L172" s="34"/>
      <c r="M172" s="29"/>
    </row>
    <row r="173" spans="3:13" ht="15.75">
      <c r="C173" s="5"/>
      <c r="D173" s="33"/>
      <c r="E173" s="34"/>
      <c r="F173" s="34"/>
      <c r="G173" s="34"/>
      <c r="H173" s="34"/>
      <c r="I173" s="34"/>
      <c r="J173" s="34"/>
      <c r="K173" s="34"/>
      <c r="L173" s="34"/>
      <c r="M173" s="29"/>
    </row>
    <row r="174" spans="3:13" ht="15.75">
      <c r="C174" s="5" t="s">
        <v>298</v>
      </c>
      <c r="D174" s="33">
        <v>3518.19</v>
      </c>
      <c r="E174" s="34">
        <v>6381.82</v>
      </c>
      <c r="F174" s="34">
        <v>497.97</v>
      </c>
      <c r="G174" s="34">
        <v>4359.21</v>
      </c>
      <c r="H174" s="34">
        <v>33.19</v>
      </c>
      <c r="I174" s="34">
        <v>2790.11</v>
      </c>
      <c r="J174" s="34">
        <v>4359.21</v>
      </c>
      <c r="K174" s="34">
        <v>4359.21</v>
      </c>
      <c r="L174" s="34">
        <v>758.17</v>
      </c>
      <c r="M174" s="29"/>
    </row>
    <row r="175" spans="3:13" ht="15.75">
      <c r="C175" s="5" t="s">
        <v>299</v>
      </c>
      <c r="D175" s="33"/>
      <c r="E175" s="34"/>
      <c r="F175" s="34"/>
      <c r="G175" s="34"/>
      <c r="H175" s="34"/>
      <c r="I175" s="34"/>
      <c r="J175" s="34"/>
      <c r="K175" s="34"/>
      <c r="L175" s="34"/>
      <c r="M175" s="29"/>
    </row>
    <row r="176" spans="3:13" ht="15.75">
      <c r="C176" s="5" t="s">
        <v>300</v>
      </c>
      <c r="D176" s="33"/>
      <c r="E176" s="34"/>
      <c r="F176" s="34"/>
      <c r="G176" s="34"/>
      <c r="H176" s="34"/>
      <c r="I176" s="34"/>
      <c r="J176" s="34"/>
      <c r="K176" s="34"/>
      <c r="L176" s="34"/>
      <c r="M176" s="29"/>
    </row>
    <row r="177" spans="3:13" ht="13.15" customHeight="1">
      <c r="C177" s="5"/>
      <c r="D177" s="32"/>
      <c r="E177" s="31"/>
      <c r="F177" s="31"/>
      <c r="G177" s="31"/>
      <c r="H177" s="31"/>
      <c r="I177" s="31"/>
      <c r="J177" s="31"/>
      <c r="K177" s="31"/>
      <c r="L177" s="31"/>
      <c r="M177" s="29"/>
    </row>
    <row r="178" spans="3:13" ht="13.15" customHeight="1">
      <c r="C178" s="5" t="s">
        <v>29</v>
      </c>
      <c r="D178" s="32"/>
      <c r="E178" s="31"/>
      <c r="F178" s="31"/>
      <c r="G178" s="31"/>
      <c r="H178" s="31"/>
      <c r="I178" s="31"/>
      <c r="J178" s="31"/>
      <c r="K178" s="31"/>
      <c r="L178" s="31"/>
      <c r="M178" s="29"/>
    </row>
    <row r="179" spans="3:13" ht="13.15" customHeight="1">
      <c r="C179" s="29"/>
      <c r="D179" s="32"/>
      <c r="E179" s="31"/>
      <c r="F179" s="31"/>
      <c r="G179" s="31"/>
      <c r="H179" s="31"/>
      <c r="I179" s="31"/>
      <c r="J179" s="31"/>
      <c r="K179" s="31"/>
      <c r="L179" s="31"/>
      <c r="M179" s="29"/>
    </row>
    <row r="180" spans="3:13" ht="15.75">
      <c r="C180" s="35" t="s">
        <v>1098</v>
      </c>
      <c r="D180" s="33">
        <v>826.44619999999998</v>
      </c>
      <c r="E180" s="34">
        <v>1423.595</v>
      </c>
      <c r="F180" s="34">
        <v>129.43549999999999</v>
      </c>
      <c r="G180" s="34">
        <v>372.90300000000002</v>
      </c>
      <c r="H180" s="34">
        <v>7.6257999999999999</v>
      </c>
      <c r="I180" s="34">
        <v>641.22760000000005</v>
      </c>
      <c r="J180" s="34">
        <v>111.18680000000001</v>
      </c>
      <c r="K180" s="34">
        <v>0.37659999999999999</v>
      </c>
      <c r="L180" s="34">
        <v>193.17349999999999</v>
      </c>
      <c r="M180" s="29"/>
    </row>
    <row r="181" spans="3:13" ht="15.75">
      <c r="C181" s="35" t="s">
        <v>1101</v>
      </c>
      <c r="D181" s="33">
        <v>826.44619999999998</v>
      </c>
      <c r="E181" s="34">
        <v>1443.0165</v>
      </c>
      <c r="F181" s="34">
        <v>129.43549999999999</v>
      </c>
      <c r="G181" s="34">
        <v>372.90300000000002</v>
      </c>
      <c r="H181" s="34">
        <v>7.6574999999999998</v>
      </c>
      <c r="I181" s="34">
        <v>651.54020000000003</v>
      </c>
      <c r="J181" s="34">
        <v>111.18680000000001</v>
      </c>
      <c r="K181" s="34">
        <v>0.37659999999999999</v>
      </c>
      <c r="L181" s="34">
        <v>189.42140000000001</v>
      </c>
      <c r="M181" s="29"/>
    </row>
    <row r="182" spans="3:13" ht="15.75">
      <c r="C182" s="35" t="s">
        <v>1099</v>
      </c>
      <c r="D182" s="33">
        <v>826.44619999999998</v>
      </c>
      <c r="E182" s="34">
        <v>1443.0578</v>
      </c>
      <c r="F182" s="34">
        <v>119.3424</v>
      </c>
      <c r="G182" s="34">
        <v>372.90300000000002</v>
      </c>
      <c r="H182" s="34">
        <v>7.6696</v>
      </c>
      <c r="I182" s="34">
        <v>656.45669999999996</v>
      </c>
      <c r="J182" s="34">
        <v>111.18680000000001</v>
      </c>
      <c r="K182" s="34">
        <v>0.37659999999999999</v>
      </c>
      <c r="L182" s="34">
        <v>189.58670000000001</v>
      </c>
      <c r="M182" s="29"/>
    </row>
    <row r="183" spans="3:13" ht="15.75">
      <c r="C183" s="35" t="s">
        <v>1100</v>
      </c>
      <c r="D183" s="33">
        <v>826.44619999999998</v>
      </c>
      <c r="E183" s="34">
        <v>1458.6362999999999</v>
      </c>
      <c r="F183" s="34">
        <v>119.688</v>
      </c>
      <c r="G183" s="34">
        <v>372.90300000000002</v>
      </c>
      <c r="H183" s="34">
        <v>7.6957000000000004</v>
      </c>
      <c r="I183" s="34">
        <v>657.99860000000001</v>
      </c>
      <c r="J183" s="34">
        <v>111.18680000000001</v>
      </c>
      <c r="K183" s="34">
        <v>0.37659999999999999</v>
      </c>
      <c r="L183" s="34">
        <v>181.07429999999999</v>
      </c>
      <c r="M183" s="29"/>
    </row>
    <row r="184" spans="3:13" ht="13.15" customHeight="1">
      <c r="C184" s="29"/>
      <c r="D184" s="33"/>
      <c r="E184" s="34"/>
      <c r="F184" s="34"/>
      <c r="G184" s="34"/>
      <c r="H184" s="34"/>
      <c r="I184" s="34"/>
      <c r="J184" s="34"/>
      <c r="K184" s="34"/>
      <c r="L184" s="34"/>
      <c r="M184" s="29"/>
    </row>
    <row r="185" spans="3:13" ht="13.15" customHeight="1">
      <c r="C185" s="8"/>
      <c r="D185" s="8"/>
      <c r="E185" s="8"/>
      <c r="F185" s="36"/>
      <c r="G185" s="36"/>
      <c r="H185" s="36"/>
      <c r="I185" s="36"/>
      <c r="J185" s="36"/>
      <c r="K185" s="36"/>
      <c r="L185" s="36"/>
      <c r="M185" s="1"/>
    </row>
    <row r="186" spans="3:13" ht="13.15" customHeight="1">
      <c r="C186" s="4" t="s">
        <v>30</v>
      </c>
      <c r="D186" s="7"/>
      <c r="E186" s="7"/>
      <c r="F186" s="7"/>
      <c r="G186" s="7"/>
      <c r="H186" s="7"/>
      <c r="I186" s="7"/>
      <c r="J186" s="7"/>
      <c r="K186" s="7"/>
      <c r="L186" s="37"/>
      <c r="M186" s="1"/>
    </row>
    <row r="187" spans="3:13" ht="14.1" customHeight="1">
      <c r="C187" s="7"/>
      <c r="D187" s="38"/>
      <c r="E187" s="38"/>
      <c r="F187" s="7"/>
      <c r="G187" s="7"/>
      <c r="H187" s="7"/>
      <c r="I187" s="7"/>
      <c r="J187" s="7"/>
      <c r="K187" s="7"/>
      <c r="L187" s="7"/>
    </row>
    <row r="188" spans="3:13" ht="14.1" customHeight="1">
      <c r="C188" s="7"/>
      <c r="D188" s="7"/>
      <c r="E188" s="7"/>
      <c r="F188" s="7"/>
      <c r="G188" s="7"/>
      <c r="H188" s="7"/>
      <c r="I188" s="7"/>
      <c r="J188" s="7"/>
      <c r="K188" s="7"/>
      <c r="L188" s="7"/>
    </row>
    <row r="189" spans="3:13" ht="14.1" customHeight="1">
      <c r="C189" s="4"/>
      <c r="D189" s="7"/>
      <c r="E189" s="7"/>
      <c r="F189" s="7"/>
      <c r="G189" s="7"/>
      <c r="H189" s="7"/>
      <c r="I189" s="7"/>
      <c r="J189" s="7"/>
      <c r="K189" s="7"/>
      <c r="L189" s="7"/>
    </row>
    <row r="190" spans="3:13" ht="14.1" customHeight="1">
      <c r="C190" s="7"/>
      <c r="D190" s="7"/>
      <c r="E190" s="7"/>
      <c r="F190" s="7"/>
      <c r="G190" s="7"/>
      <c r="H190" s="7"/>
      <c r="I190" s="7"/>
      <c r="J190" s="7"/>
      <c r="K190" s="7"/>
      <c r="L190" s="7"/>
    </row>
    <row r="191" spans="3:13" ht="14.1" customHeight="1">
      <c r="C191" s="7"/>
      <c r="D191" s="7"/>
      <c r="E191" s="7"/>
      <c r="F191" s="7"/>
      <c r="G191" s="7"/>
      <c r="H191" s="7"/>
      <c r="I191" s="7"/>
      <c r="J191" s="7"/>
      <c r="K191" s="7"/>
      <c r="L191" s="7"/>
    </row>
    <row r="192" spans="3:13" ht="14.1" customHeight="1">
      <c r="C192" s="7"/>
      <c r="D192" s="7"/>
      <c r="E192" s="7"/>
      <c r="F192" s="7"/>
      <c r="G192" s="7"/>
      <c r="H192" s="7"/>
      <c r="I192" s="7"/>
      <c r="J192" s="7"/>
      <c r="K192" s="7"/>
      <c r="L192" s="7"/>
    </row>
    <row r="193" spans="3:12" ht="14.1" customHeight="1">
      <c r="C193" s="7"/>
      <c r="D193" s="7"/>
      <c r="E193" s="7"/>
      <c r="F193" s="7"/>
      <c r="G193" s="7"/>
      <c r="H193" s="7"/>
      <c r="I193" s="7"/>
      <c r="J193" s="7"/>
      <c r="K193" s="7"/>
      <c r="L193" s="7"/>
    </row>
    <row r="194" spans="3:12" ht="13.15" customHeight="1">
      <c r="C194" s="7"/>
      <c r="D194" s="7"/>
      <c r="E194" s="7"/>
      <c r="F194" s="7"/>
      <c r="G194" s="7"/>
      <c r="H194" s="7"/>
      <c r="I194" s="7"/>
      <c r="J194" s="7"/>
      <c r="K194" s="7"/>
      <c r="L194" s="7"/>
    </row>
    <row r="195" spans="3:12" ht="13.15" customHeight="1">
      <c r="C195" s="7"/>
      <c r="D195" s="7"/>
      <c r="E195" s="7"/>
      <c r="F195" s="7"/>
      <c r="G195" s="7"/>
      <c r="H195" s="7"/>
      <c r="I195" s="7"/>
      <c r="J195" s="7"/>
      <c r="K195" s="7"/>
      <c r="L195" s="7"/>
    </row>
    <row r="196" spans="3:12" ht="13.15" customHeight="1">
      <c r="C196" s="7"/>
      <c r="D196" s="7"/>
      <c r="E196" s="7"/>
      <c r="F196" s="7"/>
      <c r="G196" s="7"/>
      <c r="H196" s="7"/>
      <c r="I196" s="7"/>
      <c r="J196" s="7"/>
      <c r="K196" s="7"/>
      <c r="L196" s="7"/>
    </row>
    <row r="197" spans="3:12" ht="15.75">
      <c r="C197" s="7"/>
      <c r="D197" s="7"/>
      <c r="E197" s="7"/>
      <c r="F197" s="7"/>
      <c r="G197" s="7"/>
      <c r="H197" s="7"/>
      <c r="I197" s="7"/>
      <c r="J197" s="7"/>
      <c r="K197" s="7"/>
      <c r="L197" s="7"/>
    </row>
    <row r="198" spans="3:12">
      <c r="C198" s="11"/>
    </row>
    <row r="199" spans="3:12">
      <c r="C199" s="11"/>
    </row>
    <row r="200" spans="3:12">
      <c r="C200" s="11"/>
    </row>
    <row r="201" spans="3:12">
      <c r="C201" s="11"/>
    </row>
    <row r="202" spans="3:12">
      <c r="C202" s="11"/>
    </row>
    <row r="203" spans="3:12">
      <c r="C203" s="11"/>
    </row>
    <row r="204" spans="3:12">
      <c r="C204" s="11"/>
    </row>
    <row r="205" spans="3:12">
      <c r="C205" s="11"/>
    </row>
  </sheetData>
  <customSheetViews>
    <customSheetView guid="{705E0D18-9A83-42CA-8732-90923BE2EC7D}" scale="60" outlineSymbols="0" printArea="1" hiddenRows="1" state="hidden">
      <selection activeCell="G176" sqref="G176"/>
      <pageMargins left="1.62" right="0.5" top="0.9" bottom="0.55000000000000004" header="0.5" footer="0.5"/>
      <pageSetup paperSize="9" scale="70" orientation="landscape" r:id="rId1"/>
      <headerFooter alignWithMargins="0"/>
    </customSheetView>
    <customSheetView guid="{D45E5F9E-4EA6-40A2-8A1D-3AC67FB8CE54}" scale="60" outlineSymbols="0" printArea="1" hiddenRows="1" state="hidden">
      <selection activeCell="G176" sqref="G176"/>
      <pageMargins left="1.62" right="0.5" top="0.9" bottom="0.55000000000000004" header="0.5" footer="0.5"/>
      <pageSetup paperSize="9" scale="70" orientation="landscape" r:id="rId2"/>
      <headerFooter alignWithMargins="0"/>
    </customSheetView>
    <customSheetView guid="{098C004C-808F-436E-8F18-182F927479D1}" scale="60" outlineSymbols="0" printArea="1" hiddenRows="1" state="hidden">
      <selection activeCell="G176" sqref="G176"/>
      <pageMargins left="1.62" right="0.5" top="0.9" bottom="0.55000000000000004" header="0.5" footer="0.5"/>
      <pageSetup paperSize="9" scale="70" orientation="landscape" r:id="rId3"/>
      <headerFooter alignWithMargins="0"/>
    </customSheetView>
    <customSheetView guid="{89CA84C2-78F5-4B05-8F1D-B7C5F97BCB4E}" scale="60" outlineSymbols="0" printArea="1" hiddenRows="1" state="hidden">
      <selection activeCell="G176" sqref="G176"/>
      <pageMargins left="1.62" right="0.5" top="0.9" bottom="0.55000000000000004" header="0.5" footer="0.5"/>
      <pageSetup paperSize="9" scale="70" orientation="landscape" r:id="rId4"/>
      <headerFooter alignWithMargins="0"/>
    </customSheetView>
  </customSheetViews>
  <phoneticPr fontId="0" type="noConversion"/>
  <pageMargins left="1.62" right="0.5" top="0.9" bottom="0.55000000000000004" header="0.5" footer="0.5"/>
  <pageSetup paperSize="9" scale="70" orientation="landscape" r:id="rId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theme="9" tint="-0.249977111117893"/>
    <pageSetUpPr fitToPage="1"/>
  </sheetPr>
  <dimension ref="A3:R176"/>
  <sheetViews>
    <sheetView showGridLines="0" zoomScale="80" zoomScaleNormal="80" zoomScaleSheetLayoutView="115" workbookViewId="0">
      <pane xSplit="2" ySplit="35" topLeftCell="C167" activePane="bottomRight" state="frozen"/>
      <selection activeCell="J193" sqref="J193"/>
      <selection pane="topRight" activeCell="J193" sqref="J193"/>
      <selection pane="bottomLeft" activeCell="J193" sqref="J193"/>
      <selection pane="bottomRight" activeCell="J193" sqref="J193"/>
    </sheetView>
  </sheetViews>
  <sheetFormatPr defaultColWidth="7.77734375" defaultRowHeight="15.75"/>
  <cols>
    <col min="1" max="2" width="7.77734375" style="270"/>
    <col min="3" max="3" width="8.21875" style="270" customWidth="1"/>
    <col min="4" max="4" width="8.77734375" style="538" customWidth="1"/>
    <col min="5" max="5" width="9.6640625" style="538" customWidth="1"/>
    <col min="6" max="6" width="7.77734375" style="538"/>
    <col min="7" max="7" width="6.77734375" style="538" customWidth="1"/>
    <col min="8" max="8" width="9.21875" style="538" customWidth="1"/>
    <col min="9" max="9" width="11.5546875" style="538" customWidth="1"/>
    <col min="10" max="10" width="9.5546875" style="538" customWidth="1"/>
    <col min="11" max="11" width="8.21875" style="538" customWidth="1"/>
    <col min="12" max="12" width="9.77734375" style="538" customWidth="1"/>
    <col min="13" max="13" width="8" style="538" customWidth="1"/>
    <col min="14" max="14" width="7.77734375" style="538"/>
    <col min="15" max="15" width="8.21875" style="538" customWidth="1"/>
    <col min="16" max="17" width="7.77734375" style="538"/>
    <col min="18" max="16384" width="7.77734375" style="270"/>
  </cols>
  <sheetData>
    <row r="3" spans="2:17" ht="16.5" thickBot="1"/>
    <row r="4" spans="2:17" ht="16.5" thickTop="1">
      <c r="B4" s="628"/>
      <c r="C4" s="629"/>
      <c r="D4" s="629"/>
      <c r="E4" s="629"/>
      <c r="F4" s="629"/>
      <c r="G4" s="629"/>
      <c r="H4" s="629"/>
      <c r="I4" s="630"/>
      <c r="J4" s="630"/>
      <c r="K4" s="630"/>
      <c r="L4" s="629"/>
      <c r="M4" s="629"/>
      <c r="N4" s="629"/>
      <c r="O4" s="629"/>
      <c r="P4" s="629"/>
    </row>
    <row r="5" spans="2:17">
      <c r="B5" s="1932" t="s">
        <v>1757</v>
      </c>
      <c r="C5" s="1932"/>
      <c r="D5" s="1932"/>
      <c r="E5" s="1932"/>
      <c r="F5" s="1932"/>
      <c r="G5" s="1932"/>
      <c r="H5" s="1932"/>
      <c r="I5" s="1932"/>
      <c r="J5" s="1932"/>
      <c r="K5" s="1932"/>
      <c r="L5" s="1932"/>
      <c r="M5" s="1932"/>
      <c r="N5" s="1932"/>
      <c r="O5" s="1932"/>
      <c r="P5" s="1932"/>
    </row>
    <row r="6" spans="2:17" ht="16.5" thickBot="1">
      <c r="B6" s="1932" t="s">
        <v>1785</v>
      </c>
      <c r="C6" s="1932"/>
      <c r="D6" s="1932"/>
      <c r="E6" s="1932"/>
      <c r="F6" s="1932"/>
      <c r="G6" s="1932"/>
      <c r="H6" s="1932"/>
      <c r="I6" s="1932"/>
      <c r="J6" s="1932"/>
      <c r="K6" s="1932"/>
      <c r="L6" s="1932"/>
      <c r="M6" s="1932"/>
      <c r="N6" s="1932"/>
      <c r="O6" s="1932"/>
      <c r="P6" s="1932"/>
    </row>
    <row r="7" spans="2:17" ht="19.5" hidden="1" customHeight="1" thickTop="1" thickBot="1">
      <c r="B7" s="736"/>
      <c r="C7" s="1924" t="s">
        <v>1267</v>
      </c>
      <c r="D7" s="1925"/>
      <c r="E7" s="1925"/>
      <c r="F7" s="1925"/>
      <c r="G7" s="1925"/>
      <c r="H7" s="1925"/>
      <c r="I7" s="1925"/>
      <c r="J7" s="1925"/>
      <c r="K7" s="1925"/>
      <c r="L7" s="1925"/>
      <c r="M7" s="1925"/>
      <c r="N7" s="1925"/>
      <c r="O7" s="1926"/>
      <c r="P7" s="623" t="s">
        <v>1268</v>
      </c>
      <c r="Q7" s="610" t="s">
        <v>747</v>
      </c>
    </row>
    <row r="8" spans="2:17" ht="18.75" hidden="1" thickTop="1">
      <c r="B8" s="624"/>
      <c r="C8" s="610" t="s">
        <v>436</v>
      </c>
      <c r="D8" s="610" t="s">
        <v>743</v>
      </c>
      <c r="E8" s="610" t="s">
        <v>949</v>
      </c>
      <c r="F8" s="610" t="s">
        <v>744</v>
      </c>
      <c r="G8" s="610" t="s">
        <v>441</v>
      </c>
      <c r="H8" s="610" t="s">
        <v>406</v>
      </c>
      <c r="I8" s="610" t="s">
        <v>395</v>
      </c>
      <c r="J8" s="610" t="s">
        <v>442</v>
      </c>
      <c r="K8" s="610" t="s">
        <v>745</v>
      </c>
      <c r="L8" s="610" t="s">
        <v>443</v>
      </c>
      <c r="M8" s="610" t="s">
        <v>746</v>
      </c>
      <c r="N8" s="610" t="s">
        <v>1269</v>
      </c>
      <c r="O8" s="610" t="s">
        <v>438</v>
      </c>
      <c r="P8" s="601" t="s">
        <v>752</v>
      </c>
      <c r="Q8" s="270"/>
    </row>
    <row r="9" spans="2:17" ht="26.25" hidden="1">
      <c r="B9" s="625"/>
      <c r="C9" s="601" t="s">
        <v>437</v>
      </c>
      <c r="D9" s="601" t="s">
        <v>748</v>
      </c>
      <c r="E9" s="601" t="s">
        <v>950</v>
      </c>
      <c r="F9" s="601" t="s">
        <v>1271</v>
      </c>
      <c r="G9" s="625"/>
      <c r="H9" s="625"/>
      <c r="I9" s="625"/>
      <c r="J9" s="601" t="s">
        <v>434</v>
      </c>
      <c r="K9" s="625"/>
      <c r="L9" s="601" t="s">
        <v>435</v>
      </c>
      <c r="M9" s="601" t="s">
        <v>751</v>
      </c>
      <c r="N9" s="626" t="s">
        <v>742</v>
      </c>
      <c r="O9" s="601" t="s">
        <v>440</v>
      </c>
      <c r="P9" s="601"/>
      <c r="Q9" s="270"/>
    </row>
    <row r="10" spans="2:17" hidden="1">
      <c r="B10" s="625"/>
      <c r="C10" s="625"/>
      <c r="D10" s="625"/>
      <c r="E10" s="601" t="s">
        <v>951</v>
      </c>
      <c r="F10" s="601" t="s">
        <v>1272</v>
      </c>
      <c r="G10" s="625"/>
      <c r="H10" s="625"/>
      <c r="I10" s="625"/>
      <c r="J10" s="625"/>
      <c r="K10" s="625"/>
      <c r="L10" s="625"/>
      <c r="M10" s="601" t="s">
        <v>405</v>
      </c>
      <c r="N10" s="625"/>
      <c r="O10" s="625"/>
      <c r="P10" s="625"/>
      <c r="Q10" s="270"/>
    </row>
    <row r="11" spans="2:17" ht="16.5" hidden="1" thickBot="1">
      <c r="B11" s="627"/>
      <c r="C11" s="627"/>
      <c r="D11" s="627"/>
      <c r="E11" s="612" t="s">
        <v>952</v>
      </c>
      <c r="F11" s="627"/>
      <c r="G11" s="627"/>
      <c r="H11" s="627"/>
      <c r="I11" s="627"/>
      <c r="J11" s="627"/>
      <c r="K11" s="627"/>
      <c r="L11" s="627"/>
      <c r="M11" s="627"/>
      <c r="N11" s="627"/>
      <c r="O11" s="627"/>
      <c r="P11" s="627"/>
      <c r="Q11" s="270"/>
    </row>
    <row r="12" spans="2:17" ht="16.5" hidden="1" thickTop="1">
      <c r="B12" s="624"/>
      <c r="C12" s="624"/>
      <c r="D12" s="624"/>
      <c r="E12" s="624"/>
      <c r="F12" s="624"/>
      <c r="G12" s="624"/>
      <c r="H12" s="624"/>
      <c r="I12" s="624"/>
      <c r="J12" s="624"/>
      <c r="K12" s="624"/>
      <c r="L12" s="624"/>
      <c r="M12" s="624"/>
      <c r="N12" s="624"/>
      <c r="O12" s="624"/>
      <c r="P12" s="624"/>
      <c r="Q12" s="270"/>
    </row>
    <row r="13" spans="2:17" hidden="1">
      <c r="B13" s="602" t="s">
        <v>754</v>
      </c>
      <c r="C13" s="601">
        <v>4.38</v>
      </c>
      <c r="D13" s="601">
        <v>6.05</v>
      </c>
      <c r="E13" s="601">
        <v>17.739999999999998</v>
      </c>
      <c r="F13" s="601">
        <v>9.91</v>
      </c>
      <c r="G13" s="601">
        <v>2.16</v>
      </c>
      <c r="H13" s="601">
        <v>9.76</v>
      </c>
      <c r="I13" s="601">
        <v>3.41</v>
      </c>
      <c r="J13" s="601">
        <v>2.1</v>
      </c>
      <c r="K13" s="601">
        <v>5.67</v>
      </c>
      <c r="L13" s="601">
        <v>1.38</v>
      </c>
      <c r="M13" s="601">
        <v>3.91</v>
      </c>
      <c r="N13" s="601">
        <v>66.47</v>
      </c>
      <c r="O13" s="601">
        <v>33.53</v>
      </c>
      <c r="P13" s="601">
        <v>100</v>
      </c>
      <c r="Q13" s="270"/>
    </row>
    <row r="14" spans="2:17" ht="16.5" hidden="1" thickBot="1">
      <c r="B14" s="627"/>
      <c r="C14" s="627"/>
      <c r="D14" s="627"/>
      <c r="E14" s="627"/>
      <c r="F14" s="627"/>
      <c r="G14" s="627"/>
      <c r="H14" s="627"/>
      <c r="I14" s="627"/>
      <c r="J14" s="627"/>
      <c r="K14" s="627"/>
      <c r="L14" s="627"/>
      <c r="M14" s="627"/>
      <c r="N14" s="627"/>
      <c r="O14" s="627"/>
      <c r="P14" s="627"/>
      <c r="Q14" s="270"/>
    </row>
    <row r="15" spans="2:17" ht="16.5" hidden="1" thickTop="1">
      <c r="B15" s="641"/>
      <c r="C15" s="641"/>
      <c r="D15" s="641"/>
      <c r="E15" s="641"/>
      <c r="F15" s="641"/>
      <c r="G15" s="641"/>
      <c r="H15" s="641"/>
      <c r="I15" s="641"/>
      <c r="J15" s="641"/>
      <c r="K15" s="641"/>
      <c r="L15" s="641"/>
      <c r="M15" s="641"/>
      <c r="N15" s="641"/>
      <c r="O15" s="642"/>
      <c r="P15" s="642"/>
      <c r="Q15" s="270"/>
    </row>
    <row r="16" spans="2:17" hidden="1">
      <c r="B16" s="602">
        <v>2013</v>
      </c>
      <c r="C16" s="643"/>
      <c r="D16" s="643"/>
      <c r="E16" s="643"/>
      <c r="F16" s="643"/>
      <c r="G16" s="643"/>
      <c r="H16" s="643"/>
      <c r="I16" s="643"/>
      <c r="J16" s="643"/>
      <c r="K16" s="643"/>
      <c r="L16" s="643"/>
      <c r="M16" s="643"/>
      <c r="N16" s="643"/>
      <c r="O16" s="644"/>
      <c r="P16" s="644"/>
      <c r="Q16" s="270"/>
    </row>
    <row r="17" spans="2:18" hidden="1">
      <c r="B17" s="602" t="s">
        <v>298</v>
      </c>
      <c r="C17" s="631">
        <v>3.83</v>
      </c>
      <c r="D17" s="631">
        <v>-0.74</v>
      </c>
      <c r="E17" s="631">
        <v>10.7</v>
      </c>
      <c r="F17" s="631">
        <v>0.65</v>
      </c>
      <c r="G17" s="631">
        <v>1.94</v>
      </c>
      <c r="H17" s="631">
        <v>6.42</v>
      </c>
      <c r="I17" s="631">
        <v>-0.36</v>
      </c>
      <c r="J17" s="631">
        <v>1.92</v>
      </c>
      <c r="K17" s="631">
        <v>12.96</v>
      </c>
      <c r="L17" s="631">
        <v>1.92</v>
      </c>
      <c r="M17" s="631">
        <v>1.32</v>
      </c>
      <c r="N17" s="631">
        <v>1.91</v>
      </c>
      <c r="O17" s="631">
        <v>3.72</v>
      </c>
      <c r="P17" s="631">
        <v>2.5099999999999998</v>
      </c>
      <c r="Q17" s="270"/>
    </row>
    <row r="18" spans="2:18" hidden="1">
      <c r="B18" s="596" t="s">
        <v>299</v>
      </c>
      <c r="C18" s="631"/>
      <c r="D18" s="631"/>
      <c r="E18" s="631"/>
      <c r="F18" s="631"/>
      <c r="G18" s="631"/>
      <c r="H18" s="631"/>
      <c r="I18" s="631"/>
      <c r="J18" s="631"/>
      <c r="K18" s="631"/>
      <c r="L18" s="631"/>
      <c r="M18" s="631"/>
      <c r="N18" s="631"/>
      <c r="O18" s="631"/>
      <c r="P18" s="631"/>
      <c r="Q18" s="270"/>
    </row>
    <row r="19" spans="2:18" hidden="1">
      <c r="B19" s="596" t="s">
        <v>300</v>
      </c>
      <c r="C19" s="631">
        <v>6.24</v>
      </c>
      <c r="D19" s="631">
        <v>-0.8</v>
      </c>
      <c r="E19" s="631">
        <v>5.48</v>
      </c>
      <c r="F19" s="631">
        <v>0.7</v>
      </c>
      <c r="G19" s="631">
        <v>3.28</v>
      </c>
      <c r="H19" s="631">
        <v>8.73</v>
      </c>
      <c r="I19" s="631">
        <v>-0.05</v>
      </c>
      <c r="J19" s="631">
        <v>-0.19</v>
      </c>
      <c r="K19" s="631">
        <v>8.3699999999999992</v>
      </c>
      <c r="L19" s="631">
        <v>1.71</v>
      </c>
      <c r="M19" s="631">
        <v>1.64</v>
      </c>
      <c r="N19" s="631">
        <v>2.04</v>
      </c>
      <c r="O19" s="631">
        <v>4.18</v>
      </c>
      <c r="P19" s="631">
        <v>2.76</v>
      </c>
      <c r="Q19" s="270"/>
    </row>
    <row r="20" spans="2:18" hidden="1">
      <c r="B20" s="596" t="s">
        <v>301</v>
      </c>
      <c r="C20" s="631">
        <v>5.86</v>
      </c>
      <c r="D20" s="631">
        <v>-0.4</v>
      </c>
      <c r="E20" s="631">
        <v>4.4000000000000004</v>
      </c>
      <c r="F20" s="631">
        <v>0.9</v>
      </c>
      <c r="G20" s="631">
        <v>3.77</v>
      </c>
      <c r="H20" s="631">
        <v>7.7</v>
      </c>
      <c r="I20" s="631">
        <v>-13.33</v>
      </c>
      <c r="J20" s="631">
        <v>-1.28</v>
      </c>
      <c r="K20" s="631">
        <v>12.54</v>
      </c>
      <c r="L20" s="631">
        <v>1.63</v>
      </c>
      <c r="M20" s="631">
        <v>1.21</v>
      </c>
      <c r="N20" s="631">
        <v>1.94</v>
      </c>
      <c r="O20" s="631">
        <v>3.57</v>
      </c>
      <c r="P20" s="631">
        <v>2.5299999999999998</v>
      </c>
      <c r="Q20" s="631"/>
    </row>
    <row r="21" spans="2:18" hidden="1">
      <c r="B21" s="596" t="s">
        <v>302</v>
      </c>
      <c r="C21" s="631">
        <v>5.88</v>
      </c>
      <c r="D21" s="631">
        <v>-0.38</v>
      </c>
      <c r="E21" s="631">
        <v>3.95</v>
      </c>
      <c r="F21" s="631">
        <v>0.66</v>
      </c>
      <c r="G21" s="631">
        <v>3.6</v>
      </c>
      <c r="H21" s="631">
        <v>6.85</v>
      </c>
      <c r="I21" s="631">
        <v>-13.13</v>
      </c>
      <c r="J21" s="631">
        <v>-0.83</v>
      </c>
      <c r="K21" s="631">
        <v>12.56</v>
      </c>
      <c r="L21" s="631">
        <v>1.44</v>
      </c>
      <c r="M21" s="631">
        <v>1.04</v>
      </c>
      <c r="N21" s="631">
        <v>1.54</v>
      </c>
      <c r="O21" s="631">
        <v>3.54</v>
      </c>
      <c r="P21" s="631">
        <v>2.2000000000000002</v>
      </c>
      <c r="Q21" s="677"/>
    </row>
    <row r="22" spans="2:18" hidden="1">
      <c r="B22" s="596" t="s">
        <v>303</v>
      </c>
      <c r="C22" s="631">
        <v>5.4</v>
      </c>
      <c r="D22" s="631">
        <v>-0.5</v>
      </c>
      <c r="E22" s="631">
        <v>2.65</v>
      </c>
      <c r="F22" s="631">
        <v>0.16</v>
      </c>
      <c r="G22" s="631">
        <v>3.03</v>
      </c>
      <c r="H22" s="631">
        <v>6.85</v>
      </c>
      <c r="I22" s="631">
        <v>-13.4</v>
      </c>
      <c r="J22" s="631">
        <v>-0.33</v>
      </c>
      <c r="K22" s="631">
        <v>7.75</v>
      </c>
      <c r="L22" s="631">
        <v>1.35</v>
      </c>
      <c r="M22" s="631">
        <v>1.22</v>
      </c>
      <c r="N22" s="631">
        <v>1.35</v>
      </c>
      <c r="O22" s="631">
        <v>2.9</v>
      </c>
      <c r="P22" s="631">
        <v>1.87</v>
      </c>
      <c r="Q22" s="677"/>
    </row>
    <row r="23" spans="2:18" hidden="1">
      <c r="B23" s="596" t="s">
        <v>304</v>
      </c>
      <c r="C23" s="631">
        <v>4.83</v>
      </c>
      <c r="D23" s="631">
        <v>0.14000000000000001</v>
      </c>
      <c r="E23" s="631">
        <v>2.54</v>
      </c>
      <c r="F23" s="631">
        <v>-0.05</v>
      </c>
      <c r="G23" s="631">
        <v>2.84</v>
      </c>
      <c r="H23" s="631">
        <v>4.96</v>
      </c>
      <c r="I23" s="631">
        <v>-13.47</v>
      </c>
      <c r="J23" s="631">
        <v>-0.61</v>
      </c>
      <c r="K23" s="631">
        <v>12.7</v>
      </c>
      <c r="L23" s="631">
        <v>0.71</v>
      </c>
      <c r="M23" s="631">
        <v>1</v>
      </c>
      <c r="N23" s="631">
        <v>1</v>
      </c>
      <c r="O23" s="631">
        <v>1.74</v>
      </c>
      <c r="P23" s="631">
        <v>1.25</v>
      </c>
      <c r="Q23" s="677"/>
    </row>
    <row r="24" spans="2:18" hidden="1">
      <c r="B24" s="596" t="s">
        <v>305</v>
      </c>
      <c r="C24" s="631">
        <v>4.4400000000000004</v>
      </c>
      <c r="D24" s="631">
        <v>0.3</v>
      </c>
      <c r="E24" s="631">
        <v>3.04</v>
      </c>
      <c r="F24" s="631">
        <v>-0.39</v>
      </c>
      <c r="G24" s="631">
        <v>2.79</v>
      </c>
      <c r="H24" s="631">
        <v>5.04</v>
      </c>
      <c r="I24" s="631">
        <v>-13.57</v>
      </c>
      <c r="J24" s="631">
        <v>-0.7</v>
      </c>
      <c r="K24" s="631">
        <v>8.83</v>
      </c>
      <c r="L24" s="631">
        <v>1.6</v>
      </c>
      <c r="M24" s="631">
        <v>0.81</v>
      </c>
      <c r="N24" s="631">
        <v>1.44</v>
      </c>
      <c r="O24" s="631">
        <v>0.94</v>
      </c>
      <c r="P24" s="631">
        <v>1.28</v>
      </c>
      <c r="Q24" s="677"/>
    </row>
    <row r="25" spans="2:18" hidden="1">
      <c r="B25" s="596" t="s">
        <v>306</v>
      </c>
      <c r="C25" s="631">
        <v>4.3600000000000003</v>
      </c>
      <c r="D25" s="631">
        <v>0.61</v>
      </c>
      <c r="E25" s="631">
        <v>3.7</v>
      </c>
      <c r="F25" s="631">
        <v>-0.37</v>
      </c>
      <c r="G25" s="631">
        <v>2.1</v>
      </c>
      <c r="H25" s="631">
        <v>5.0599999999999996</v>
      </c>
      <c r="I25" s="631">
        <v>-13.66</v>
      </c>
      <c r="J25" s="631">
        <v>-1.01</v>
      </c>
      <c r="K25" s="631">
        <v>5.74</v>
      </c>
      <c r="L25" s="631">
        <v>1.23</v>
      </c>
      <c r="M25" s="631">
        <v>0.93</v>
      </c>
      <c r="N25" s="631">
        <v>1.45</v>
      </c>
      <c r="O25" s="631">
        <v>-0.32</v>
      </c>
      <c r="P25" s="631">
        <v>0.86</v>
      </c>
      <c r="Q25" s="677"/>
    </row>
    <row r="26" spans="2:18" ht="16.5" hidden="1" thickBot="1">
      <c r="B26" s="645"/>
      <c r="C26" s="1206"/>
      <c r="D26" s="1206"/>
      <c r="E26" s="1206"/>
      <c r="F26" s="1206"/>
      <c r="G26" s="1206"/>
      <c r="H26" s="1206"/>
      <c r="I26" s="1206"/>
      <c r="J26" s="1206"/>
      <c r="K26" s="1206"/>
      <c r="L26" s="1206"/>
      <c r="M26" s="1206"/>
      <c r="N26" s="1206"/>
      <c r="O26" s="1206"/>
      <c r="P26" s="1206"/>
      <c r="Q26" s="270"/>
    </row>
    <row r="27" spans="2:18" ht="16.5" hidden="1" thickTop="1"/>
    <row r="28" spans="2:18" hidden="1"/>
    <row r="29" spans="2:18" hidden="1"/>
    <row r="30" spans="2:18" ht="16.5" hidden="1" thickBot="1"/>
    <row r="31" spans="2:18" ht="19.5" thickTop="1" thickBot="1">
      <c r="B31" s="732"/>
      <c r="C31" s="1936" t="s">
        <v>1267</v>
      </c>
      <c r="D31" s="1937"/>
      <c r="E31" s="1937"/>
      <c r="F31" s="1937"/>
      <c r="G31" s="1937"/>
      <c r="H31" s="1937"/>
      <c r="I31" s="1937"/>
      <c r="J31" s="1937"/>
      <c r="K31" s="1937"/>
      <c r="L31" s="1937"/>
      <c r="M31" s="1937"/>
      <c r="N31" s="1938"/>
      <c r="O31" s="1007" t="s">
        <v>1268</v>
      </c>
      <c r="P31" s="1008"/>
    </row>
    <row r="32" spans="2:18" ht="18.75" thickTop="1">
      <c r="B32" s="733"/>
      <c r="C32" s="1011" t="s">
        <v>1353</v>
      </c>
      <c r="D32" s="1011" t="s">
        <v>743</v>
      </c>
      <c r="E32" s="1201" t="s">
        <v>1347</v>
      </c>
      <c r="F32" s="1201" t="s">
        <v>744</v>
      </c>
      <c r="G32" s="1933" t="s">
        <v>441</v>
      </c>
      <c r="H32" s="1933" t="s">
        <v>406</v>
      </c>
      <c r="I32" s="1933" t="s">
        <v>395</v>
      </c>
      <c r="J32" s="1201"/>
      <c r="K32" s="1933" t="s">
        <v>745</v>
      </c>
      <c r="L32" s="1201"/>
      <c r="M32" s="1201" t="s">
        <v>746</v>
      </c>
      <c r="N32" s="1201"/>
      <c r="O32" s="1201" t="s">
        <v>438</v>
      </c>
      <c r="P32" s="1202"/>
      <c r="Q32" s="915"/>
      <c r="R32" s="677"/>
    </row>
    <row r="33" spans="2:17" ht="32.25" customHeight="1">
      <c r="B33" s="1009"/>
      <c r="C33" s="1012" t="s">
        <v>1354</v>
      </c>
      <c r="D33" s="1012" t="s">
        <v>1352</v>
      </c>
      <c r="E33" s="1202" t="s">
        <v>950</v>
      </c>
      <c r="F33" s="1202" t="s">
        <v>1271</v>
      </c>
      <c r="G33" s="1934"/>
      <c r="H33" s="1934"/>
      <c r="I33" s="1934"/>
      <c r="J33" s="1202" t="s">
        <v>442</v>
      </c>
      <c r="K33" s="1934"/>
      <c r="L33" s="1202" t="s">
        <v>443</v>
      </c>
      <c r="M33" s="1202" t="s">
        <v>751</v>
      </c>
      <c r="N33" s="1202" t="s">
        <v>1269</v>
      </c>
      <c r="O33" s="1202" t="s">
        <v>1355</v>
      </c>
      <c r="P33" s="1202" t="s">
        <v>747</v>
      </c>
    </row>
    <row r="34" spans="2:17" ht="18">
      <c r="B34" s="734"/>
      <c r="C34" s="1013" t="s">
        <v>437</v>
      </c>
      <c r="D34" s="1202" t="s">
        <v>748</v>
      </c>
      <c r="E34" s="1202" t="s">
        <v>951</v>
      </c>
      <c r="F34" s="1202" t="s">
        <v>1272</v>
      </c>
      <c r="G34" s="1934"/>
      <c r="H34" s="1934"/>
      <c r="I34" s="1934"/>
      <c r="J34" s="1202" t="s">
        <v>434</v>
      </c>
      <c r="K34" s="1934"/>
      <c r="L34" s="1202" t="s">
        <v>435</v>
      </c>
      <c r="M34" s="1202" t="s">
        <v>405</v>
      </c>
      <c r="N34" s="1202" t="s">
        <v>742</v>
      </c>
      <c r="O34" s="1202" t="s">
        <v>1356</v>
      </c>
      <c r="P34" s="1202" t="s">
        <v>752</v>
      </c>
    </row>
    <row r="35" spans="2:17" ht="16.5" thickBot="1">
      <c r="B35" s="735"/>
      <c r="C35" s="1014"/>
      <c r="D35" s="1014"/>
      <c r="E35" s="1203" t="s">
        <v>952</v>
      </c>
      <c r="F35" s="1014"/>
      <c r="G35" s="1935"/>
      <c r="H35" s="1935"/>
      <c r="I35" s="1935"/>
      <c r="J35" s="1014"/>
      <c r="K35" s="1935"/>
      <c r="L35" s="1014"/>
      <c r="M35" s="1014"/>
      <c r="N35" s="1014"/>
      <c r="O35" s="1014"/>
      <c r="P35" s="1014"/>
    </row>
    <row r="36" spans="2:17" ht="17.25" thickTop="1" thickBot="1">
      <c r="B36" s="1357" t="s">
        <v>754</v>
      </c>
      <c r="C36" s="1487">
        <v>4.900016548039428</v>
      </c>
      <c r="D36" s="1488">
        <v>4.3459495819976999</v>
      </c>
      <c r="E36" s="1488">
        <v>27.624259296337037</v>
      </c>
      <c r="F36" s="1488">
        <v>5.2886081197764376</v>
      </c>
      <c r="G36" s="1488">
        <v>1.4238415288433024</v>
      </c>
      <c r="H36" s="1488">
        <v>8.3947065365472273</v>
      </c>
      <c r="I36" s="1487">
        <v>2.6548579684021067</v>
      </c>
      <c r="J36" s="1488">
        <v>2.2688956368227204</v>
      </c>
      <c r="K36" s="1488">
        <v>4.2531929360277863</v>
      </c>
      <c r="L36" s="1487">
        <v>1.0808192579877245</v>
      </c>
      <c r="M36" s="1487">
        <v>6.460721818470498</v>
      </c>
      <c r="N36" s="1488">
        <v>68.695869229251997</v>
      </c>
      <c r="O36" s="1489">
        <v>31.304130770747996</v>
      </c>
      <c r="P36" s="1355">
        <v>100</v>
      </c>
      <c r="Q36" s="1356"/>
    </row>
    <row r="37" spans="2:17" ht="16.5" thickTop="1">
      <c r="B37" s="920"/>
      <c r="C37" s="954"/>
      <c r="D37" s="1354"/>
      <c r="E37" s="1354"/>
      <c r="F37" s="1354"/>
      <c r="G37" s="1354"/>
      <c r="H37" s="1354"/>
      <c r="I37" s="955"/>
      <c r="J37" s="1354"/>
      <c r="K37" s="1354"/>
      <c r="L37" s="955"/>
      <c r="M37" s="955"/>
      <c r="N37" s="1354"/>
      <c r="O37" s="955"/>
      <c r="P37" s="954"/>
    </row>
    <row r="38" spans="2:17" hidden="1">
      <c r="B38" s="918">
        <v>2009</v>
      </c>
      <c r="C38" s="954"/>
      <c r="D38" s="1411"/>
      <c r="E38" s="1411"/>
      <c r="F38" s="1411"/>
      <c r="G38" s="1411"/>
      <c r="H38" s="1411"/>
      <c r="I38" s="1411"/>
      <c r="J38" s="1411"/>
      <c r="K38" s="1411"/>
      <c r="L38" s="1411"/>
      <c r="M38" s="1411"/>
      <c r="N38" s="1411"/>
      <c r="O38" s="1411"/>
      <c r="P38" s="954"/>
    </row>
    <row r="39" spans="2:17" hidden="1">
      <c r="B39" s="1001" t="s">
        <v>344</v>
      </c>
      <c r="C39" s="999">
        <v>-7.2894541878853802</v>
      </c>
      <c r="D39" s="1412">
        <v>-18.218291685612698</v>
      </c>
      <c r="E39" s="1412">
        <v>13.787715542294499</v>
      </c>
      <c r="F39" s="1412">
        <v>-0.77548590076662594</v>
      </c>
      <c r="G39" s="1412">
        <v>-8.4513328191860531</v>
      </c>
      <c r="H39" s="1412">
        <v>15.129977237169712</v>
      </c>
      <c r="I39" s="1412">
        <v>0</v>
      </c>
      <c r="J39" s="1412">
        <v>2.2793454804127311</v>
      </c>
      <c r="K39" s="1412">
        <v>0</v>
      </c>
      <c r="L39" s="1412">
        <v>2.2430098924625774</v>
      </c>
      <c r="M39" s="1412">
        <v>-4.0851231949048383</v>
      </c>
      <c r="N39" s="1412">
        <v>-3.9125573256479029</v>
      </c>
      <c r="O39" s="1412">
        <v>-13.562911869587236</v>
      </c>
      <c r="P39" s="999">
        <v>-5.4550396008881012</v>
      </c>
    </row>
    <row r="40" spans="2:17" hidden="1">
      <c r="B40" s="1001"/>
      <c r="C40" s="999"/>
      <c r="D40" s="1412"/>
      <c r="E40" s="1412"/>
      <c r="F40" s="1412"/>
      <c r="G40" s="1412"/>
      <c r="H40" s="1412"/>
      <c r="I40" s="1412"/>
      <c r="J40" s="1412"/>
      <c r="K40" s="1412"/>
      <c r="L40" s="1412"/>
      <c r="M40" s="1412"/>
      <c r="N40" s="1412"/>
      <c r="O40" s="1412"/>
      <c r="P40" s="999"/>
    </row>
    <row r="41" spans="2:17" hidden="1">
      <c r="B41" s="918">
        <v>2010</v>
      </c>
      <c r="C41" s="999"/>
      <c r="D41" s="1412"/>
      <c r="E41" s="1412"/>
      <c r="F41" s="1412"/>
      <c r="G41" s="1412"/>
      <c r="H41" s="1412"/>
      <c r="I41" s="1412"/>
      <c r="J41" s="1412"/>
      <c r="K41" s="1412"/>
      <c r="L41" s="1412"/>
      <c r="M41" s="1412"/>
      <c r="N41" s="1412"/>
      <c r="O41" s="1412"/>
      <c r="P41" s="999"/>
    </row>
    <row r="42" spans="2:17" hidden="1">
      <c r="B42" s="1001" t="s">
        <v>345</v>
      </c>
      <c r="C42" s="999">
        <v>-1.5392624175902259</v>
      </c>
      <c r="D42" s="1412">
        <v>-15.986218365841031</v>
      </c>
      <c r="E42" s="1412">
        <v>13.904213125610898</v>
      </c>
      <c r="F42" s="1412">
        <v>-10.200792911023026</v>
      </c>
      <c r="G42" s="1412">
        <v>0.2913224265231884</v>
      </c>
      <c r="H42" s="1412">
        <v>17.561303649593029</v>
      </c>
      <c r="I42" s="1412">
        <v>0</v>
      </c>
      <c r="J42" s="1412">
        <v>1.6137093240774059</v>
      </c>
      <c r="K42" s="1412">
        <v>0</v>
      </c>
      <c r="L42" s="1412">
        <v>7.5873282447076251</v>
      </c>
      <c r="M42" s="1412">
        <v>-3.288215827715435</v>
      </c>
      <c r="N42" s="1412">
        <v>-0.90786990887965491</v>
      </c>
      <c r="O42" s="1412">
        <v>-8.4731053622628671</v>
      </c>
      <c r="P42" s="999">
        <v>-1.6687127929083223</v>
      </c>
    </row>
    <row r="43" spans="2:17" hidden="1">
      <c r="B43" s="1001" t="s">
        <v>334</v>
      </c>
      <c r="C43" s="999">
        <v>9.0273029441791728</v>
      </c>
      <c r="D43" s="1412">
        <v>-10.372685292105155</v>
      </c>
      <c r="E43" s="1412">
        <v>14.16096937693041</v>
      </c>
      <c r="F43" s="1412">
        <v>-11.329268207703869</v>
      </c>
      <c r="G43" s="1412">
        <v>0.18828158159893693</v>
      </c>
      <c r="H43" s="1412">
        <v>18.78236949027503</v>
      </c>
      <c r="I43" s="1412">
        <v>0</v>
      </c>
      <c r="J43" s="1412">
        <v>0.87517794708504848</v>
      </c>
      <c r="K43" s="1412">
        <v>0</v>
      </c>
      <c r="L43" s="1412">
        <v>4.2580483327057328</v>
      </c>
      <c r="M43" s="1412">
        <v>-0.95430404010500292</v>
      </c>
      <c r="N43" s="1412">
        <v>2.4624165085226135</v>
      </c>
      <c r="O43" s="1412">
        <v>-1.2449336342595374</v>
      </c>
      <c r="P43" s="999">
        <v>2.3721542615758873</v>
      </c>
    </row>
    <row r="44" spans="2:17" hidden="1">
      <c r="B44" s="1001" t="s">
        <v>335</v>
      </c>
      <c r="C44" s="999">
        <v>16.397461960634008</v>
      </c>
      <c r="D44" s="1412">
        <v>-7.8084802060873866</v>
      </c>
      <c r="E44" s="1412">
        <v>9.768603316051383</v>
      </c>
      <c r="F44" s="1412">
        <v>-7.3510861583856784</v>
      </c>
      <c r="G44" s="1412">
        <v>4.6445152293254965</v>
      </c>
      <c r="H44" s="1412">
        <v>14.394588519794628</v>
      </c>
      <c r="I44" s="1412">
        <v>0</v>
      </c>
      <c r="J44" s="1412">
        <v>-0.2955177403603626</v>
      </c>
      <c r="K44" s="1412">
        <v>0</v>
      </c>
      <c r="L44" s="1412">
        <v>12.647792382751376</v>
      </c>
      <c r="M44" s="1412">
        <v>0.8971035753531087</v>
      </c>
      <c r="N44" s="1412">
        <v>4.6701079223494757</v>
      </c>
      <c r="O44" s="1412">
        <v>4.2658447804146071</v>
      </c>
      <c r="P44" s="999">
        <v>4.6249345324078872</v>
      </c>
    </row>
    <row r="45" spans="2:17" hidden="1">
      <c r="B45" s="1001" t="s">
        <v>336</v>
      </c>
      <c r="C45" s="999">
        <v>17.416102709236327</v>
      </c>
      <c r="D45" s="1412">
        <v>-9.5898692856092431</v>
      </c>
      <c r="E45" s="1412">
        <v>9.1777408781217318</v>
      </c>
      <c r="F45" s="1412">
        <v>-6.9678346613884612</v>
      </c>
      <c r="G45" s="1412">
        <v>4.2809592545157926</v>
      </c>
      <c r="H45" s="1412">
        <v>13.373788409138253</v>
      </c>
      <c r="I45" s="1412">
        <v>-7.702155741781147</v>
      </c>
      <c r="J45" s="1412">
        <v>-2.4727246376712197</v>
      </c>
      <c r="K45" s="1412">
        <v>3.0375232608686353</v>
      </c>
      <c r="L45" s="1412">
        <v>12.644638244564653</v>
      </c>
      <c r="M45" s="1412">
        <v>0.14752890318145973</v>
      </c>
      <c r="N45" s="1412">
        <v>4.5264857963715599</v>
      </c>
      <c r="O45" s="1412">
        <v>5.2013179397844667</v>
      </c>
      <c r="P45" s="999">
        <v>4.7482140927674221</v>
      </c>
    </row>
    <row r="46" spans="2:17" hidden="1">
      <c r="B46" s="1001" t="s">
        <v>337</v>
      </c>
      <c r="C46" s="999">
        <v>18.971644156031321</v>
      </c>
      <c r="D46" s="1412">
        <v>-3.2028663736942353</v>
      </c>
      <c r="E46" s="1412">
        <v>8.4263579420005286</v>
      </c>
      <c r="F46" s="1412">
        <v>-2.0328450304263224</v>
      </c>
      <c r="G46" s="1412">
        <v>3.5281551961111379</v>
      </c>
      <c r="H46" s="1412">
        <v>11.632445324365781</v>
      </c>
      <c r="I46" s="1412">
        <v>-7.6170093678149868</v>
      </c>
      <c r="J46" s="1412">
        <v>-2.6833386946282678</v>
      </c>
      <c r="K46" s="1412">
        <v>7.0050982191249611</v>
      </c>
      <c r="L46" s="1412">
        <v>14.769474230845248</v>
      </c>
      <c r="M46" s="1412">
        <v>-1.5521405447515346</v>
      </c>
      <c r="N46" s="1412">
        <v>5.7652775159583891</v>
      </c>
      <c r="O46" s="1412">
        <v>6.6971251103957741</v>
      </c>
      <c r="P46" s="999">
        <v>6.0719146800790158</v>
      </c>
    </row>
    <row r="47" spans="2:17" hidden="1">
      <c r="B47" s="1001" t="s">
        <v>338</v>
      </c>
      <c r="C47" s="999">
        <v>12.579826615494571</v>
      </c>
      <c r="D47" s="1412">
        <v>-1.6865967662170966</v>
      </c>
      <c r="E47" s="1412">
        <v>9.9324612140722088</v>
      </c>
      <c r="F47" s="1412">
        <v>-1.8148997036657843</v>
      </c>
      <c r="G47" s="1412">
        <v>0.57673274816496534</v>
      </c>
      <c r="H47" s="1412">
        <v>3.6889435361862288</v>
      </c>
      <c r="I47" s="1412">
        <v>-8.1694038706638601</v>
      </c>
      <c r="J47" s="1412">
        <v>-1.6120010434410692</v>
      </c>
      <c r="K47" s="1412">
        <v>6.9930729538135283</v>
      </c>
      <c r="L47" s="1412">
        <v>10.621362821424629</v>
      </c>
      <c r="M47" s="1412">
        <v>-1.7167461885499113</v>
      </c>
      <c r="N47" s="1412">
        <v>4.3111808913519178</v>
      </c>
      <c r="O47" s="1412">
        <v>7.394788936245833</v>
      </c>
      <c r="P47" s="999">
        <v>5.306910301322465</v>
      </c>
    </row>
    <row r="48" spans="2:17" hidden="1">
      <c r="B48" s="1001" t="s">
        <v>339</v>
      </c>
      <c r="C48" s="999">
        <v>13.241879086565312</v>
      </c>
      <c r="D48" s="1412">
        <v>-2.5288569636180092</v>
      </c>
      <c r="E48" s="1412">
        <v>8.8285777188295889</v>
      </c>
      <c r="F48" s="1412">
        <v>-4.0371539106420551</v>
      </c>
      <c r="G48" s="1412">
        <v>1.4139372445973741</v>
      </c>
      <c r="H48" s="1412">
        <v>-3.9905716528489621</v>
      </c>
      <c r="I48" s="1412">
        <v>-5.0781079687437947</v>
      </c>
      <c r="J48" s="1412">
        <v>-1.938331387555392</v>
      </c>
      <c r="K48" s="1412">
        <v>6.5124400371192825</v>
      </c>
      <c r="L48" s="1412">
        <v>11.632158627032041</v>
      </c>
      <c r="M48" s="1412">
        <v>-2.0465761093266477</v>
      </c>
      <c r="N48" s="1412">
        <v>2.7510040764298083</v>
      </c>
      <c r="O48" s="1412">
        <v>7.1137809176870848</v>
      </c>
      <c r="P48" s="999">
        <v>4.1493276585136352</v>
      </c>
    </row>
    <row r="49" spans="2:16" hidden="1">
      <c r="B49" s="1001" t="s">
        <v>340</v>
      </c>
      <c r="C49" s="999">
        <v>12.407394070528488</v>
      </c>
      <c r="D49" s="1412">
        <v>-2.4397020993107366</v>
      </c>
      <c r="E49" s="1412">
        <v>5.5686676278488889</v>
      </c>
      <c r="F49" s="1412">
        <v>-4.2164685331444796</v>
      </c>
      <c r="G49" s="1412">
        <v>-0.68377690479832776</v>
      </c>
      <c r="H49" s="1412">
        <v>-3.5272157231269863</v>
      </c>
      <c r="I49" s="1412">
        <v>-5.0049676905099316</v>
      </c>
      <c r="J49" s="1412">
        <v>-2.1094444536894019</v>
      </c>
      <c r="K49" s="1412">
        <v>4.9808121214948597</v>
      </c>
      <c r="L49" s="1412">
        <v>12.534484847883753</v>
      </c>
      <c r="M49" s="1412">
        <v>-0.69247499567671733</v>
      </c>
      <c r="N49" s="1412">
        <v>1.9826251753266133</v>
      </c>
      <c r="O49" s="1412">
        <v>7.059348805702248</v>
      </c>
      <c r="P49" s="999">
        <v>3.6043295690172394</v>
      </c>
    </row>
    <row r="50" spans="2:16" hidden="1">
      <c r="B50" s="1001" t="s">
        <v>341</v>
      </c>
      <c r="C50" s="999">
        <v>12.568443464590429</v>
      </c>
      <c r="D50" s="1412">
        <v>-1.6733685372014029</v>
      </c>
      <c r="E50" s="1412">
        <v>4.8767567415830548</v>
      </c>
      <c r="F50" s="1412">
        <v>-4.2089539765316042</v>
      </c>
      <c r="G50" s="1412">
        <v>-0.2803767318046213</v>
      </c>
      <c r="H50" s="1412">
        <v>-1.1662558124727607</v>
      </c>
      <c r="I50" s="1412">
        <v>-4.2204111889739604</v>
      </c>
      <c r="J50" s="1412">
        <v>-5.7666235813911726</v>
      </c>
      <c r="K50" s="1412">
        <v>4.3691774309960074</v>
      </c>
      <c r="L50" s="1412">
        <v>9.1912869394979566</v>
      </c>
      <c r="M50" s="1412">
        <v>-0.57068793415533392</v>
      </c>
      <c r="N50" s="1412">
        <v>2.2947054630815478</v>
      </c>
      <c r="O50" s="1412">
        <v>8.3655628529432757</v>
      </c>
      <c r="P50" s="999">
        <v>4.2206457038235223</v>
      </c>
    </row>
    <row r="51" spans="2:16" hidden="1">
      <c r="B51" s="1001" t="s">
        <v>342</v>
      </c>
      <c r="C51" s="999">
        <v>10.841799400518992</v>
      </c>
      <c r="D51" s="1412">
        <v>-1.9922299262054022</v>
      </c>
      <c r="E51" s="1412">
        <v>2.4488182794694779</v>
      </c>
      <c r="F51" s="1412">
        <v>-4.5672404035848713</v>
      </c>
      <c r="G51" s="1412">
        <v>-0.3412861366020925</v>
      </c>
      <c r="H51" s="1412">
        <v>-1.795608431786333</v>
      </c>
      <c r="I51" s="1412">
        <v>-4.40661743255093</v>
      </c>
      <c r="J51" s="1412">
        <v>-5.5737459681908019</v>
      </c>
      <c r="K51" s="1412">
        <v>4.3691774309960074</v>
      </c>
      <c r="L51" s="1412">
        <v>9.8056851996079608</v>
      </c>
      <c r="M51" s="1412">
        <v>0.78856710096610882</v>
      </c>
      <c r="N51" s="1412">
        <v>1.3591216176531695</v>
      </c>
      <c r="O51" s="1412">
        <v>8.4574929752327712</v>
      </c>
      <c r="P51" s="999">
        <v>3.599770669686686</v>
      </c>
    </row>
    <row r="52" spans="2:16" hidden="1">
      <c r="B52" s="1001" t="s">
        <v>343</v>
      </c>
      <c r="C52" s="999">
        <v>12.183099160988252</v>
      </c>
      <c r="D52" s="1412">
        <v>-3.1734333627356448</v>
      </c>
      <c r="E52" s="1412">
        <v>2.6998510015457056</v>
      </c>
      <c r="F52" s="1412">
        <v>-7.2746012801478965</v>
      </c>
      <c r="G52" s="1412">
        <v>2.4184489238769036</v>
      </c>
      <c r="H52" s="1412">
        <v>-0.90005763232884339</v>
      </c>
      <c r="I52" s="1412">
        <v>-3.8455496832618064</v>
      </c>
      <c r="J52" s="1412">
        <v>-3.3862510418507075</v>
      </c>
      <c r="K52" s="1412">
        <v>4.1273306247874286</v>
      </c>
      <c r="L52" s="1412">
        <v>8.9758026439138661</v>
      </c>
      <c r="M52" s="1412">
        <v>1.6764936510906603</v>
      </c>
      <c r="N52" s="1412">
        <v>1.5912134429470814</v>
      </c>
      <c r="O52" s="1412">
        <v>9.7870546414695845</v>
      </c>
      <c r="P52" s="999">
        <v>4.1833704330798582</v>
      </c>
    </row>
    <row r="53" spans="2:16" hidden="1">
      <c r="B53" s="1001" t="s">
        <v>344</v>
      </c>
      <c r="C53" s="999">
        <v>10.295467580601937</v>
      </c>
      <c r="D53" s="1412">
        <v>-2.2455906314824414</v>
      </c>
      <c r="E53" s="1412">
        <v>2.0496211732812242</v>
      </c>
      <c r="F53" s="1412">
        <v>-4.6623178379771479</v>
      </c>
      <c r="G53" s="1412">
        <v>1.7017864564963903</v>
      </c>
      <c r="H53" s="1412">
        <v>-2.9008658951255595</v>
      </c>
      <c r="I53" s="1412">
        <v>-3.6272328235204099</v>
      </c>
      <c r="J53" s="1412">
        <v>-2.8816872108797797</v>
      </c>
      <c r="K53" s="1412">
        <v>-0.53532279174880459</v>
      </c>
      <c r="L53" s="1412">
        <v>5.8264574618875908</v>
      </c>
      <c r="M53" s="1412">
        <v>1.4473491924780202</v>
      </c>
      <c r="N53" s="1412">
        <v>1.3267066296946295</v>
      </c>
      <c r="O53" s="1412">
        <v>7.3400956841942255</v>
      </c>
      <c r="P53" s="999">
        <v>3.2325052867839377</v>
      </c>
    </row>
    <row r="54" spans="2:16" hidden="1">
      <c r="B54" s="1001"/>
      <c r="C54" s="999"/>
      <c r="D54" s="1412"/>
      <c r="E54" s="1412"/>
      <c r="F54" s="1412"/>
      <c r="G54" s="1412"/>
      <c r="H54" s="1412"/>
      <c r="I54" s="1412"/>
      <c r="J54" s="1412"/>
      <c r="K54" s="1412"/>
      <c r="L54" s="1412"/>
      <c r="M54" s="1412"/>
      <c r="N54" s="1412"/>
      <c r="O54" s="1412"/>
      <c r="P54" s="999"/>
    </row>
    <row r="55" spans="2:16" hidden="1">
      <c r="B55" s="918">
        <v>2011</v>
      </c>
      <c r="C55" s="999"/>
      <c r="D55" s="1412"/>
      <c r="E55" s="1412"/>
      <c r="F55" s="1412"/>
      <c r="G55" s="1412"/>
      <c r="H55" s="1412"/>
      <c r="I55" s="1412"/>
      <c r="J55" s="1412"/>
      <c r="K55" s="1412"/>
      <c r="L55" s="1412"/>
      <c r="M55" s="1412"/>
      <c r="N55" s="1412"/>
      <c r="O55" s="1412"/>
      <c r="P55" s="999"/>
    </row>
    <row r="56" spans="2:16" hidden="1">
      <c r="B56" s="1001" t="s">
        <v>345</v>
      </c>
      <c r="C56" s="999">
        <v>10.026161916069176</v>
      </c>
      <c r="D56" s="1412">
        <v>-1.1147042745543567</v>
      </c>
      <c r="E56" s="1412">
        <v>2.619663171841613</v>
      </c>
      <c r="F56" s="1412">
        <v>4.5075579072561878</v>
      </c>
      <c r="G56" s="1412">
        <v>0.4671357517560093</v>
      </c>
      <c r="H56" s="1412">
        <v>3.2508288788597461</v>
      </c>
      <c r="I56" s="1412">
        <v>-4.5428069333557586</v>
      </c>
      <c r="J56" s="1412">
        <v>-4.9137941241128242</v>
      </c>
      <c r="K56" s="1412">
        <v>-2.808735531155937</v>
      </c>
      <c r="L56" s="1412">
        <v>5.1208740949800546</v>
      </c>
      <c r="M56" s="1412">
        <v>4.0426528378028515</v>
      </c>
      <c r="N56" s="1412">
        <v>1.9879365630728341</v>
      </c>
      <c r="O56" s="1412">
        <v>6.7788723197180545</v>
      </c>
      <c r="P56" s="999">
        <v>3.522377184510872</v>
      </c>
    </row>
    <row r="57" spans="2:16" hidden="1">
      <c r="B57" s="1001" t="s">
        <v>334</v>
      </c>
      <c r="C57" s="999">
        <v>7.152451358864198</v>
      </c>
      <c r="D57" s="1412">
        <v>-0.92072528335773729</v>
      </c>
      <c r="E57" s="1412">
        <v>2.944945912200958</v>
      </c>
      <c r="F57" s="1412">
        <v>4.6394728493532433</v>
      </c>
      <c r="G57" s="1412">
        <v>0.5551768361288012</v>
      </c>
      <c r="H57" s="1412">
        <v>3.2046400163404654</v>
      </c>
      <c r="I57" s="1412">
        <v>-4.4820544258715511</v>
      </c>
      <c r="J57" s="1412">
        <v>-3.4337887122702027</v>
      </c>
      <c r="K57" s="1412">
        <v>-0.50923999735548175</v>
      </c>
      <c r="L57" s="1412">
        <v>4.6288779029330263</v>
      </c>
      <c r="M57" s="1412">
        <v>4.0525428088297177</v>
      </c>
      <c r="N57" s="1412">
        <v>1.9832268452576685</v>
      </c>
      <c r="O57" s="1412">
        <v>5.2598539193535077</v>
      </c>
      <c r="P57" s="999">
        <v>3.0416195635887933</v>
      </c>
    </row>
    <row r="58" spans="2:16" hidden="1">
      <c r="B58" s="1001" t="s">
        <v>335</v>
      </c>
      <c r="C58" s="999">
        <v>4.2308908867980888</v>
      </c>
      <c r="D58" s="1412">
        <v>9.7508789749456426E-3</v>
      </c>
      <c r="E58" s="1412">
        <v>1.8755956843469201</v>
      </c>
      <c r="F58" s="1412">
        <v>0.25531528711233431</v>
      </c>
      <c r="G58" s="1412">
        <v>-0.83138991143191232</v>
      </c>
      <c r="H58" s="1412">
        <v>8.4508562770442275</v>
      </c>
      <c r="I58" s="1412">
        <v>-4.2275008219378467</v>
      </c>
      <c r="J58" s="1412">
        <v>-2.0052987203648009</v>
      </c>
      <c r="K58" s="1412">
        <v>4.8977802056544562</v>
      </c>
      <c r="L58" s="1412">
        <v>2.4318252668029006</v>
      </c>
      <c r="M58" s="1412">
        <v>2.9581358807600155</v>
      </c>
      <c r="N58" s="1412">
        <v>2.3429396479836662</v>
      </c>
      <c r="O58" s="1412">
        <v>3.3319565871500645</v>
      </c>
      <c r="P58" s="999">
        <v>2.6667837236718173</v>
      </c>
    </row>
    <row r="59" spans="2:16" hidden="1">
      <c r="B59" s="1001" t="s">
        <v>336</v>
      </c>
      <c r="C59" s="999">
        <v>3.5647344678688464</v>
      </c>
      <c r="D59" s="1412">
        <v>1.2675403084277503</v>
      </c>
      <c r="E59" s="1412">
        <v>2.9886398568768957</v>
      </c>
      <c r="F59" s="1412">
        <v>-0.53234918695301836</v>
      </c>
      <c r="G59" s="1412">
        <v>-1.0719150122498133</v>
      </c>
      <c r="H59" s="1412">
        <v>9.6548915774092201</v>
      </c>
      <c r="I59" s="1412">
        <v>-1.6761172893883791</v>
      </c>
      <c r="J59" s="1412">
        <v>0.40345222799578195</v>
      </c>
      <c r="K59" s="1412">
        <v>4.8977802056544562</v>
      </c>
      <c r="L59" s="1412">
        <v>2.8176282417895271</v>
      </c>
      <c r="M59" s="1412">
        <v>3.9827878665826599</v>
      </c>
      <c r="N59" s="1412">
        <v>2.5700835598259753</v>
      </c>
      <c r="O59" s="1412">
        <v>2.9463340590279774</v>
      </c>
      <c r="P59" s="999">
        <v>2.694242214414766</v>
      </c>
    </row>
    <row r="60" spans="2:16" hidden="1">
      <c r="B60" s="1001" t="s">
        <v>337</v>
      </c>
      <c r="C60" s="999">
        <v>2.631732004201659</v>
      </c>
      <c r="D60" s="1412">
        <v>1.719011008336091</v>
      </c>
      <c r="E60" s="1412">
        <v>3.3250276792536226</v>
      </c>
      <c r="F60" s="1412">
        <v>-0.91053138495519326</v>
      </c>
      <c r="G60" s="1412">
        <v>-1.009277392515584</v>
      </c>
      <c r="H60" s="1412">
        <v>9.1674563707406342</v>
      </c>
      <c r="I60" s="1412">
        <v>-1.9228100297517536</v>
      </c>
      <c r="J60" s="1412">
        <v>0.47597812554243113</v>
      </c>
      <c r="K60" s="1412">
        <v>4.8977802056544562</v>
      </c>
      <c r="L60" s="1412">
        <v>3.8229158034922328</v>
      </c>
      <c r="M60" s="1412">
        <v>3.9280817229667475</v>
      </c>
      <c r="N60" s="1412">
        <v>2.6097304651360842</v>
      </c>
      <c r="O60" s="1412">
        <v>2.292748422840174</v>
      </c>
      <c r="P60" s="999">
        <v>2.5048083903281615</v>
      </c>
    </row>
    <row r="61" spans="2:16" hidden="1">
      <c r="B61" s="1001" t="s">
        <v>338</v>
      </c>
      <c r="C61" s="999">
        <v>3.2872580154830189</v>
      </c>
      <c r="D61" s="1412">
        <v>1.5673036432343856</v>
      </c>
      <c r="E61" s="1412">
        <v>3.2996466650679013</v>
      </c>
      <c r="F61" s="1412">
        <v>-0.16921040426887135</v>
      </c>
      <c r="G61" s="1412">
        <v>-0.35122713757985702</v>
      </c>
      <c r="H61" s="1412">
        <v>9.5781515396488039</v>
      </c>
      <c r="I61" s="1412">
        <v>-1.852683342906758</v>
      </c>
      <c r="J61" s="1412">
        <v>1.5440869917645372</v>
      </c>
      <c r="K61" s="1412">
        <v>4.1301291340526847</v>
      </c>
      <c r="L61" s="1412">
        <v>3.7941661866664811</v>
      </c>
      <c r="M61" s="1412">
        <v>3.8125185523391059</v>
      </c>
      <c r="N61" s="1412">
        <v>2.7694371163283327</v>
      </c>
      <c r="O61" s="1412">
        <v>3.0448381418429094</v>
      </c>
      <c r="P61" s="999">
        <v>2.8601301764285658</v>
      </c>
    </row>
    <row r="62" spans="2:16" hidden="1">
      <c r="B62" s="1001" t="s">
        <v>339</v>
      </c>
      <c r="C62" s="999">
        <v>4.388025942071172</v>
      </c>
      <c r="D62" s="1412">
        <v>2.3663928804723344</v>
      </c>
      <c r="E62" s="1412">
        <v>4.1752423600538213</v>
      </c>
      <c r="F62" s="1412">
        <v>-0.13637735005135321</v>
      </c>
      <c r="G62" s="1412">
        <v>-0.5362510316547997</v>
      </c>
      <c r="H62" s="1412">
        <v>9.4542383416247091</v>
      </c>
      <c r="I62" s="1412">
        <v>-2.4681323593460869</v>
      </c>
      <c r="J62" s="1412">
        <v>1.2732792269871007</v>
      </c>
      <c r="K62" s="1412">
        <v>4.7517763463227114</v>
      </c>
      <c r="L62" s="1412">
        <v>5.3571378224092525</v>
      </c>
      <c r="M62" s="1412">
        <v>4.3207870767878687</v>
      </c>
      <c r="N62" s="1412">
        <v>3.1115533928855799</v>
      </c>
      <c r="O62" s="1412">
        <v>3.5586383560234358</v>
      </c>
      <c r="P62" s="999">
        <v>3.2589283273206204</v>
      </c>
    </row>
    <row r="63" spans="2:16" hidden="1">
      <c r="B63" s="1001" t="s">
        <v>340</v>
      </c>
      <c r="C63" s="999">
        <v>4.2233888299684885</v>
      </c>
      <c r="D63" s="1412">
        <v>2.6678624500687587</v>
      </c>
      <c r="E63" s="1412">
        <v>4.7640828900729515</v>
      </c>
      <c r="F63" s="1412">
        <v>0.25450836688478695</v>
      </c>
      <c r="G63" s="1412">
        <v>-4.2057043546250839E-2</v>
      </c>
      <c r="H63" s="1412">
        <v>9.939584985532889</v>
      </c>
      <c r="I63" s="1412">
        <v>-2.3952786691611827</v>
      </c>
      <c r="J63" s="1412">
        <v>1.7012223213529687</v>
      </c>
      <c r="K63" s="1412">
        <v>5.2792818181818246</v>
      </c>
      <c r="L63" s="1412">
        <v>5.6321105879835631</v>
      </c>
      <c r="M63" s="1412">
        <v>4.8010753188283184</v>
      </c>
      <c r="N63" s="1412">
        <v>3.5369197385424878</v>
      </c>
      <c r="O63" s="1412">
        <v>3.5386009608577407</v>
      </c>
      <c r="P63" s="999">
        <v>3.5374746964069281</v>
      </c>
    </row>
    <row r="64" spans="2:16" hidden="1">
      <c r="B64" s="1001" t="s">
        <v>341</v>
      </c>
      <c r="C64" s="999">
        <v>4.8575076046073251</v>
      </c>
      <c r="D64" s="1412">
        <v>2.6407023812301089</v>
      </c>
      <c r="E64" s="1412">
        <v>7.1806642326697645</v>
      </c>
      <c r="F64" s="1412">
        <v>0.4264065221817992</v>
      </c>
      <c r="G64" s="1412">
        <v>-0.50467380602443601</v>
      </c>
      <c r="H64" s="1412">
        <v>7.171151360040362</v>
      </c>
      <c r="I64" s="1412">
        <v>10.978079394603046</v>
      </c>
      <c r="J64" s="1412">
        <v>1.782223410429129</v>
      </c>
      <c r="K64" s="1412">
        <v>5.6315181818181737</v>
      </c>
      <c r="L64" s="1412">
        <v>5.9358205272166176</v>
      </c>
      <c r="M64" s="1412">
        <v>5.5698047348865076</v>
      </c>
      <c r="N64" s="1412">
        <v>4.4445743310954633</v>
      </c>
      <c r="O64" s="1412">
        <v>4.013443601487432</v>
      </c>
      <c r="P64" s="999">
        <v>4.3023613346894862</v>
      </c>
    </row>
    <row r="65" spans="2:16" hidden="1">
      <c r="B65" s="1001" t="s">
        <v>342</v>
      </c>
      <c r="C65" s="999">
        <v>3.5607920315814168</v>
      </c>
      <c r="D65" s="1412">
        <v>2.9717485113309294</v>
      </c>
      <c r="E65" s="1412">
        <v>6.2456846488115447</v>
      </c>
      <c r="F65" s="1412">
        <v>6.4272470862025699E-2</v>
      </c>
      <c r="G65" s="1412">
        <v>-6.7088793409697534E-2</v>
      </c>
      <c r="H65" s="1412">
        <v>7.2980709467357796</v>
      </c>
      <c r="I65" s="1412">
        <v>11.395798510656263</v>
      </c>
      <c r="J65" s="1412">
        <v>2.0173874275523751</v>
      </c>
      <c r="K65" s="1412">
        <v>5.6315181818181737</v>
      </c>
      <c r="L65" s="1412">
        <v>5.2065936131915347</v>
      </c>
      <c r="M65" s="1412">
        <v>5.3985218317214922</v>
      </c>
      <c r="N65" s="1412">
        <v>4.4620702397884626</v>
      </c>
      <c r="O65" s="1412">
        <v>3.6845183747065802</v>
      </c>
      <c r="P65" s="999">
        <v>4.2051222301471514</v>
      </c>
    </row>
    <row r="66" spans="2:16" hidden="1">
      <c r="B66" s="1001" t="s">
        <v>343</v>
      </c>
      <c r="C66" s="999">
        <v>3.6931722178306314</v>
      </c>
      <c r="D66" s="1412">
        <v>3.2622333751568311</v>
      </c>
      <c r="E66" s="1412">
        <v>6.5693162144711215</v>
      </c>
      <c r="F66" s="1412">
        <v>1.9527802049551957</v>
      </c>
      <c r="G66" s="1412">
        <v>1.5254416578236452E-2</v>
      </c>
      <c r="H66" s="1412">
        <v>6.4493090636439598</v>
      </c>
      <c r="I66" s="1412">
        <v>10.613551928085352</v>
      </c>
      <c r="J66" s="1412">
        <v>2.174131857070972</v>
      </c>
      <c r="K66" s="1412">
        <v>5.4834316840671731</v>
      </c>
      <c r="L66" s="1412">
        <v>6.1624608703490624</v>
      </c>
      <c r="M66" s="1412">
        <v>4.8391759503031206</v>
      </c>
      <c r="N66" s="1412">
        <v>4.4330876857486157</v>
      </c>
      <c r="O66" s="1412">
        <v>3.8145142731378368</v>
      </c>
      <c r="P66" s="999">
        <v>4.2269242013980302</v>
      </c>
    </row>
    <row r="67" spans="2:16" hidden="1">
      <c r="B67" s="1001" t="s">
        <v>344</v>
      </c>
      <c r="C67" s="999">
        <v>7.4017121616796855</v>
      </c>
      <c r="D67" s="1412">
        <v>2.617622914461859</v>
      </c>
      <c r="E67" s="1412">
        <v>7.4705665587053494</v>
      </c>
      <c r="F67" s="1412">
        <v>0.17390544892352811</v>
      </c>
      <c r="G67" s="1412">
        <v>-2.1104834317386967E-2</v>
      </c>
      <c r="H67" s="1412">
        <v>6.5418847353217791</v>
      </c>
      <c r="I67" s="1412">
        <v>10.705907247284374</v>
      </c>
      <c r="J67" s="1412">
        <v>1.5983780881871912</v>
      </c>
      <c r="K67" s="1412">
        <v>5.6315181818181959</v>
      </c>
      <c r="L67" s="1412">
        <v>8.4655265386097689</v>
      </c>
      <c r="M67" s="1412">
        <v>5.7113904901282764</v>
      </c>
      <c r="N67" s="1412">
        <v>0.88648423638972851</v>
      </c>
      <c r="O67" s="1412">
        <v>5.8056191465395202</v>
      </c>
      <c r="P67" s="999">
        <v>4.9007624121603977</v>
      </c>
    </row>
    <row r="68" spans="2:16" hidden="1">
      <c r="B68" s="1001"/>
      <c r="C68" s="999"/>
      <c r="D68" s="1412"/>
      <c r="E68" s="1412"/>
      <c r="F68" s="1412"/>
      <c r="G68" s="1412"/>
      <c r="H68" s="1412"/>
      <c r="I68" s="1412"/>
      <c r="J68" s="1412"/>
      <c r="K68" s="1412"/>
      <c r="L68" s="1412"/>
      <c r="M68" s="1412"/>
      <c r="N68" s="1412"/>
      <c r="O68" s="1412"/>
      <c r="P68" s="999"/>
    </row>
    <row r="69" spans="2:16" hidden="1">
      <c r="B69" s="918">
        <v>2012</v>
      </c>
      <c r="C69" s="999"/>
      <c r="D69" s="1412"/>
      <c r="E69" s="1412"/>
      <c r="F69" s="1412"/>
      <c r="G69" s="1412"/>
      <c r="H69" s="1412"/>
      <c r="I69" s="1412"/>
      <c r="J69" s="1412"/>
      <c r="K69" s="1412"/>
      <c r="L69" s="1412"/>
      <c r="M69" s="1412"/>
      <c r="N69" s="1412"/>
      <c r="O69" s="1412"/>
      <c r="P69" s="999"/>
    </row>
    <row r="70" spans="2:16" hidden="1">
      <c r="B70" s="1001" t="s">
        <v>345</v>
      </c>
      <c r="C70" s="999">
        <v>7.3295257891532906</v>
      </c>
      <c r="D70" s="1412">
        <v>2.4038986229605763</v>
      </c>
      <c r="E70" s="1412">
        <v>6.9385206586513037</v>
      </c>
      <c r="F70" s="1412">
        <v>0.51086315024062579</v>
      </c>
      <c r="G70" s="1412">
        <v>0.53200187004240895</v>
      </c>
      <c r="H70" s="1412">
        <v>1.7820893007476135</v>
      </c>
      <c r="I70" s="1412">
        <v>12.311691736118547</v>
      </c>
      <c r="J70" s="1412">
        <v>4.8884815302985274E-2</v>
      </c>
      <c r="K70" s="1412">
        <v>5.7979693720394243</v>
      </c>
      <c r="L70" s="1412">
        <v>9.4049183011755808</v>
      </c>
      <c r="M70" s="1412">
        <v>2.8961587668398403</v>
      </c>
      <c r="N70" s="1412">
        <v>4.021561819402697</v>
      </c>
      <c r="O70" s="1412">
        <v>4.901502655351142</v>
      </c>
      <c r="P70" s="999">
        <v>4.3122546403562279</v>
      </c>
    </row>
    <row r="71" spans="2:16" hidden="1">
      <c r="B71" s="1001" t="s">
        <v>334</v>
      </c>
      <c r="C71" s="999">
        <v>6.9694807382999713</v>
      </c>
      <c r="D71" s="1412">
        <v>2.0401425074832336</v>
      </c>
      <c r="E71" s="1412">
        <v>10.652810679786228</v>
      </c>
      <c r="F71" s="1412">
        <v>0.64971882151851901</v>
      </c>
      <c r="G71" s="1412">
        <v>1.0564442614200198</v>
      </c>
      <c r="H71" s="1412">
        <v>0.60228769309880192</v>
      </c>
      <c r="I71" s="1412">
        <v>11.657639868866232</v>
      </c>
      <c r="J71" s="1412">
        <v>1.7996568114987621</v>
      </c>
      <c r="K71" s="1412">
        <v>5.310622042965929</v>
      </c>
      <c r="L71" s="1412">
        <v>8.6470106362604113</v>
      </c>
      <c r="M71" s="1412">
        <v>3.1619290675641842</v>
      </c>
      <c r="N71" s="1412">
        <v>3.9174698525342055</v>
      </c>
      <c r="O71" s="1412">
        <v>5.0127232861443716</v>
      </c>
      <c r="P71" s="999">
        <v>4.4132056534537663</v>
      </c>
    </row>
    <row r="72" spans="2:16" hidden="1">
      <c r="B72" s="1001" t="s">
        <v>335</v>
      </c>
      <c r="C72" s="999">
        <v>5.7494252056786266</v>
      </c>
      <c r="D72" s="1412">
        <v>1.756953602936373</v>
      </c>
      <c r="E72" s="1412">
        <v>10.92560933492881</v>
      </c>
      <c r="F72" s="1412">
        <v>1.1375076647528459</v>
      </c>
      <c r="G72" s="1412">
        <v>1.0452660089914856</v>
      </c>
      <c r="H72" s="1412">
        <v>-1.7606758889901153</v>
      </c>
      <c r="I72" s="1412">
        <v>11.855331553518077</v>
      </c>
      <c r="J72" s="1412">
        <v>1.4503986248486811</v>
      </c>
      <c r="K72" s="1412">
        <v>6.0745319436235068</v>
      </c>
      <c r="L72" s="1412">
        <v>7.2673216041131417</v>
      </c>
      <c r="M72" s="1412">
        <v>3.5310440141102184</v>
      </c>
      <c r="N72" s="1412">
        <v>3.3804416477993815</v>
      </c>
      <c r="O72" s="1412">
        <v>5.1965235177552582</v>
      </c>
      <c r="P72" s="999">
        <v>3.9789529354106845</v>
      </c>
    </row>
    <row r="73" spans="2:16" hidden="1">
      <c r="B73" s="1001" t="s">
        <v>336</v>
      </c>
      <c r="C73" s="999">
        <v>6.13142532720794</v>
      </c>
      <c r="D73" s="1412">
        <v>1.928999426049427</v>
      </c>
      <c r="E73" s="1412">
        <v>13.309664655908037</v>
      </c>
      <c r="F73" s="1412">
        <v>1.3366909203727184</v>
      </c>
      <c r="G73" s="1412">
        <v>1.4705767404413983</v>
      </c>
      <c r="H73" s="1412">
        <v>-1.1115719489072973</v>
      </c>
      <c r="I73" s="1412">
        <v>12.312621140019386</v>
      </c>
      <c r="J73" s="1412">
        <v>2.391854311204078</v>
      </c>
      <c r="K73" s="1412">
        <v>6.2310303047111493</v>
      </c>
      <c r="L73" s="1412">
        <v>7.2041390689185025</v>
      </c>
      <c r="M73" s="1412">
        <v>3.4283648462274829</v>
      </c>
      <c r="N73" s="1412">
        <v>3.6437630345957484</v>
      </c>
      <c r="O73" s="1412">
        <v>4.7989389724587328</v>
      </c>
      <c r="P73" s="999">
        <v>4.0258945339770591</v>
      </c>
    </row>
    <row r="74" spans="2:16" hidden="1">
      <c r="B74" s="1001" t="s">
        <v>337</v>
      </c>
      <c r="C74" s="999">
        <v>5.7959946330897072</v>
      </c>
      <c r="D74" s="1412">
        <v>1.6357970560832991</v>
      </c>
      <c r="E74" s="1412">
        <v>13.943321428277411</v>
      </c>
      <c r="F74" s="1412">
        <v>1.488851739260455</v>
      </c>
      <c r="G74" s="1412">
        <v>1.2079761443718473</v>
      </c>
      <c r="H74" s="1412">
        <v>-0.9050508720583772</v>
      </c>
      <c r="I74" s="1412">
        <v>12.362080838909574</v>
      </c>
      <c r="J74" s="1412">
        <v>1.0849254476947845</v>
      </c>
      <c r="K74" s="1412">
        <v>6.2310303047111493</v>
      </c>
      <c r="L74" s="1412">
        <v>6.1168500019711969</v>
      </c>
      <c r="M74" s="1412">
        <v>3.5328495037793894</v>
      </c>
      <c r="N74" s="1412">
        <v>3.723001895954825</v>
      </c>
      <c r="O74" s="1412">
        <v>4.6126384707579682</v>
      </c>
      <c r="P74" s="999">
        <v>4.0168652624289702</v>
      </c>
    </row>
    <row r="75" spans="2:16" hidden="1">
      <c r="B75" s="1001" t="s">
        <v>338</v>
      </c>
      <c r="C75" s="999">
        <v>6.1613728627739617</v>
      </c>
      <c r="D75" s="1412">
        <v>1.593533632376487</v>
      </c>
      <c r="E75" s="1412">
        <v>14.132273059859578</v>
      </c>
      <c r="F75" s="1412">
        <v>1.5379531746494646</v>
      </c>
      <c r="G75" s="1412">
        <v>1.3037104536387067</v>
      </c>
      <c r="H75" s="1412">
        <v>-1.0116900353491443</v>
      </c>
      <c r="I75" s="1412">
        <v>12.328132658323309</v>
      </c>
      <c r="J75" s="1412">
        <v>5.5341451328905222E-3</v>
      </c>
      <c r="K75" s="1412">
        <v>10.971317734054175</v>
      </c>
      <c r="L75" s="1412">
        <v>6.0676008621117772</v>
      </c>
      <c r="M75" s="1412">
        <v>3.1598710749599634</v>
      </c>
      <c r="N75" s="1412">
        <v>3.5713892210194054</v>
      </c>
      <c r="O75" s="1412">
        <v>4.793155988904263</v>
      </c>
      <c r="P75" s="999">
        <v>3.9744550513042931</v>
      </c>
    </row>
    <row r="76" spans="2:16" hidden="1">
      <c r="B76" s="1001" t="s">
        <v>339</v>
      </c>
      <c r="C76" s="999">
        <v>6.6944026561912118</v>
      </c>
      <c r="D76" s="1412">
        <v>0.48830621262729856</v>
      </c>
      <c r="E76" s="1412">
        <v>13.883314614982755</v>
      </c>
      <c r="F76" s="1412">
        <v>1.3634398377785573</v>
      </c>
      <c r="G76" s="1412">
        <v>1.7181269172245051</v>
      </c>
      <c r="H76" s="1412">
        <v>1.0732930390751516</v>
      </c>
      <c r="I76" s="1412">
        <v>12.848765668958384</v>
      </c>
      <c r="J76" s="1412">
        <v>0.2130174337952262</v>
      </c>
      <c r="K76" s="1412">
        <v>10.946573711187412</v>
      </c>
      <c r="L76" s="1412">
        <v>5.83252652434334</v>
      </c>
      <c r="M76" s="1412">
        <v>3.106543744068313</v>
      </c>
      <c r="N76" s="1412">
        <v>3.7736067497452286</v>
      </c>
      <c r="O76" s="1412">
        <v>4.2864855030698035</v>
      </c>
      <c r="P76" s="999">
        <v>3.9431603390020609</v>
      </c>
    </row>
    <row r="77" spans="2:16" hidden="1">
      <c r="B77" s="1001" t="s">
        <v>340</v>
      </c>
      <c r="C77" s="999">
        <v>6.6071586106232205</v>
      </c>
      <c r="D77" s="1412">
        <v>-0.10245259747252433</v>
      </c>
      <c r="E77" s="1412">
        <v>13.609711910480149</v>
      </c>
      <c r="F77" s="1412">
        <v>1.0122490684176366</v>
      </c>
      <c r="G77" s="1412">
        <v>1.9795522595990933</v>
      </c>
      <c r="H77" s="1412">
        <v>0.78721442110210038</v>
      </c>
      <c r="I77" s="1412">
        <v>12.935945980658481</v>
      </c>
      <c r="J77" s="1412">
        <v>0.27090844989052787</v>
      </c>
      <c r="K77" s="1412">
        <v>10.810596335064115</v>
      </c>
      <c r="L77" s="1412">
        <v>4.8993466521875861</v>
      </c>
      <c r="M77" s="1412">
        <v>2.558860457325185</v>
      </c>
      <c r="N77" s="1412">
        <v>3.3500856728681194</v>
      </c>
      <c r="O77" s="1412">
        <v>4.1964803487162916</v>
      </c>
      <c r="P77" s="999">
        <v>3.6294767367235359</v>
      </c>
    </row>
    <row r="78" spans="2:16" hidden="1">
      <c r="B78" s="1001" t="s">
        <v>341</v>
      </c>
      <c r="C78" s="999">
        <v>6.2925163035162601</v>
      </c>
      <c r="D78" s="1412">
        <v>-0.50606990619834757</v>
      </c>
      <c r="E78" s="1412">
        <v>11.443914474576866</v>
      </c>
      <c r="F78" s="1412">
        <v>0.97259122116499785</v>
      </c>
      <c r="G78" s="1412">
        <v>2.4178365365321586</v>
      </c>
      <c r="H78" s="1412">
        <v>3.4777269966797864</v>
      </c>
      <c r="I78" s="1412">
        <v>-0.54177314518133457</v>
      </c>
      <c r="J78" s="1412">
        <v>0.31912105596760831</v>
      </c>
      <c r="K78" s="1412">
        <v>10.87543000036062</v>
      </c>
      <c r="L78" s="1412">
        <v>5.2312399151829725</v>
      </c>
      <c r="M78" s="1412">
        <v>1.9334716713724553</v>
      </c>
      <c r="N78" s="1412">
        <v>2.4698897345272419</v>
      </c>
      <c r="O78" s="1412">
        <v>4.7987459263789445</v>
      </c>
      <c r="P78" s="999">
        <v>3.2359594846742334</v>
      </c>
    </row>
    <row r="79" spans="2:16" hidden="1">
      <c r="B79" s="1001" t="s">
        <v>342</v>
      </c>
      <c r="C79" s="999">
        <v>6.563113671700771</v>
      </c>
      <c r="D79" s="1412">
        <v>-0.32478530928649052</v>
      </c>
      <c r="E79" s="1412">
        <v>11.155587084876206</v>
      </c>
      <c r="F79" s="1412">
        <v>1.600143989996905</v>
      </c>
      <c r="G79" s="1412">
        <v>2.0373929963809267</v>
      </c>
      <c r="H79" s="1412">
        <v>6.7684559912320363</v>
      </c>
      <c r="I79" s="1412">
        <v>-0.36957666824928292</v>
      </c>
      <c r="J79" s="1412">
        <v>-0.16063953172777978</v>
      </c>
      <c r="K79" s="1412">
        <v>10.257716640530923</v>
      </c>
      <c r="L79" s="1412">
        <v>5.8160257835474072</v>
      </c>
      <c r="M79" s="1412">
        <v>2.3827674708399416</v>
      </c>
      <c r="N79" s="1412">
        <v>2.4879052141447255</v>
      </c>
      <c r="O79" s="1412">
        <v>5.1993702979114209</v>
      </c>
      <c r="P79" s="999">
        <v>3.3794532634172869</v>
      </c>
    </row>
    <row r="80" spans="2:16" hidden="1">
      <c r="B80" s="1001" t="s">
        <v>343</v>
      </c>
      <c r="C80" s="999">
        <v>6.3010340215227112</v>
      </c>
      <c r="D80" s="1412">
        <v>-0.56316728000534999</v>
      </c>
      <c r="E80" s="1412">
        <v>10.864272689082144</v>
      </c>
      <c r="F80" s="1412">
        <v>1.6527011253727242</v>
      </c>
      <c r="G80" s="1412">
        <v>1.8848960563082606</v>
      </c>
      <c r="H80" s="1412">
        <v>7.0485954758151115</v>
      </c>
      <c r="I80" s="1412">
        <v>-0.19531524457244709</v>
      </c>
      <c r="J80" s="1412">
        <v>-0.10702345354358656</v>
      </c>
      <c r="K80" s="1412">
        <v>14.154435827392064</v>
      </c>
      <c r="L80" s="1412">
        <v>4.4061792104184372</v>
      </c>
      <c r="M80" s="1412">
        <v>2.0429520266121104</v>
      </c>
      <c r="N80" s="1412">
        <v>2.5616545919771472</v>
      </c>
      <c r="O80" s="1412">
        <v>3.8529854203124936</v>
      </c>
      <c r="P80" s="999">
        <v>2.990337501949214</v>
      </c>
    </row>
    <row r="81" spans="2:16" hidden="1">
      <c r="B81" s="1001" t="s">
        <v>344</v>
      </c>
      <c r="C81" s="999">
        <v>4.8736075358261299</v>
      </c>
      <c r="D81" s="1412">
        <v>-0.54350347328635529</v>
      </c>
      <c r="E81" s="1412">
        <v>10.698129309619508</v>
      </c>
      <c r="F81" s="1412">
        <v>1.1034420925053245</v>
      </c>
      <c r="G81" s="1412">
        <v>2.2566313785236325</v>
      </c>
      <c r="H81" s="1412">
        <v>6.9101143787442032</v>
      </c>
      <c r="I81" s="1412">
        <v>7.8364800419961078E-2</v>
      </c>
      <c r="J81" s="1412">
        <v>-2.6489472753876697E-2</v>
      </c>
      <c r="K81" s="1412">
        <v>14.056815170609793</v>
      </c>
      <c r="L81" s="1412">
        <v>3.2640478479720292</v>
      </c>
      <c r="M81" s="1412">
        <v>2.2791459419878146</v>
      </c>
      <c r="N81" s="1412">
        <v>6.0927840081903772</v>
      </c>
      <c r="O81" s="1412">
        <v>3.8111152976092022</v>
      </c>
      <c r="P81" s="999">
        <v>2.913965688847342</v>
      </c>
    </row>
    <row r="82" spans="2:16" hidden="1">
      <c r="B82" s="1001"/>
      <c r="C82" s="999"/>
      <c r="D82" s="1412"/>
      <c r="E82" s="1412"/>
      <c r="F82" s="1412"/>
      <c r="G82" s="1412"/>
      <c r="H82" s="1412"/>
      <c r="I82" s="1412"/>
      <c r="J82" s="1412"/>
      <c r="K82" s="1412"/>
      <c r="L82" s="1412"/>
      <c r="M82" s="1412"/>
      <c r="N82" s="1412"/>
      <c r="O82" s="1412"/>
      <c r="P82" s="999"/>
    </row>
    <row r="83" spans="2:16" hidden="1">
      <c r="B83" s="918">
        <v>2013</v>
      </c>
      <c r="C83" s="999"/>
      <c r="D83" s="1412"/>
      <c r="E83" s="1412"/>
      <c r="F83" s="1412"/>
      <c r="G83" s="1412"/>
      <c r="H83" s="1412"/>
      <c r="I83" s="1412"/>
      <c r="J83" s="1412"/>
      <c r="K83" s="1412"/>
      <c r="L83" s="1412"/>
      <c r="M83" s="1412"/>
      <c r="N83" s="1412"/>
      <c r="O83" s="1412"/>
      <c r="P83" s="999"/>
    </row>
    <row r="84" spans="2:16" hidden="1">
      <c r="B84" s="1001" t="s">
        <v>345</v>
      </c>
      <c r="C84" s="999">
        <v>3.8279545663798098</v>
      </c>
      <c r="D84" s="1412">
        <v>-0.7394182332635002</v>
      </c>
      <c r="E84" s="1412">
        <v>10.703735752342492</v>
      </c>
      <c r="F84" s="1412">
        <v>0.65471157225616139</v>
      </c>
      <c r="G84" s="1412">
        <v>1.9371291020374493</v>
      </c>
      <c r="H84" s="1412">
        <v>6.4222627015031675</v>
      </c>
      <c r="I84" s="1412">
        <v>-0.36391062292066012</v>
      </c>
      <c r="J84" s="1412">
        <v>1.920889698438466</v>
      </c>
      <c r="K84" s="1412">
        <v>12.962869940917887</v>
      </c>
      <c r="L84" s="1412">
        <v>1.917245223267483</v>
      </c>
      <c r="M84" s="1412">
        <v>1.3184989523927326</v>
      </c>
      <c r="N84" s="1412">
        <v>1.9139445234545915</v>
      </c>
      <c r="O84" s="1412">
        <v>3.7195756200136376</v>
      </c>
      <c r="P84" s="999">
        <v>2.510460807074022</v>
      </c>
    </row>
    <row r="85" spans="2:16" hidden="1">
      <c r="B85" s="1001" t="s">
        <v>334</v>
      </c>
      <c r="C85" s="999">
        <v>5.7659398429890985</v>
      </c>
      <c r="D85" s="1412">
        <v>-0.71883797408693884</v>
      </c>
      <c r="E85" s="1412">
        <v>7.0836041075488465</v>
      </c>
      <c r="F85" s="1412">
        <v>0.60863877002999001</v>
      </c>
      <c r="G85" s="1412">
        <v>3.2265699197383313</v>
      </c>
      <c r="H85" s="1412">
        <v>8.3092788496283987</v>
      </c>
      <c r="I85" s="1412">
        <v>-5.8808451223968383E-3</v>
      </c>
      <c r="J85" s="1412">
        <v>-0.18701881251289576</v>
      </c>
      <c r="K85" s="1412">
        <v>13.052981837694166</v>
      </c>
      <c r="L85" s="1412">
        <v>3.0129568411244811</v>
      </c>
      <c r="M85" s="1412">
        <v>1.9481194693341752</v>
      </c>
      <c r="N85" s="1412">
        <v>2.1925832870920869</v>
      </c>
      <c r="O85" s="1412">
        <v>4.6745476865403646</v>
      </c>
      <c r="P85" s="999">
        <v>2.98</v>
      </c>
    </row>
    <row r="86" spans="2:16" hidden="1">
      <c r="B86" s="1001" t="s">
        <v>335</v>
      </c>
      <c r="C86" s="999">
        <v>6.2412726782721029</v>
      </c>
      <c r="D86" s="1412">
        <v>-0.80438931722406348</v>
      </c>
      <c r="E86" s="1412">
        <v>5.4808265294259639</v>
      </c>
      <c r="F86" s="1412">
        <v>0.70443409121649925</v>
      </c>
      <c r="G86" s="1412">
        <v>3.2729088649841698</v>
      </c>
      <c r="H86" s="1412">
        <v>8.7345378369115156</v>
      </c>
      <c r="I86" s="1412">
        <v>-4.7101414971073563E-2</v>
      </c>
      <c r="J86" s="1412">
        <v>-0.18829652100937899</v>
      </c>
      <c r="K86" s="1412">
        <v>8.3696861809614109</v>
      </c>
      <c r="L86" s="1412">
        <v>1.7098944328681975</v>
      </c>
      <c r="M86" s="1412">
        <v>1.6435204376138879</v>
      </c>
      <c r="N86" s="1412">
        <v>2.04</v>
      </c>
      <c r="O86" s="1412">
        <v>4.177876180446316</v>
      </c>
      <c r="P86" s="999">
        <v>2.7496468994429701</v>
      </c>
    </row>
    <row r="87" spans="2:16" hidden="1">
      <c r="B87" s="1001" t="s">
        <v>336</v>
      </c>
      <c r="C87" s="999">
        <v>5.8315102691360421</v>
      </c>
      <c r="D87" s="1412">
        <v>-0.35826467304203025</v>
      </c>
      <c r="E87" s="1412">
        <v>4.341185814259596</v>
      </c>
      <c r="F87" s="1412">
        <v>0.92532020486963962</v>
      </c>
      <c r="G87" s="1412">
        <v>3.8059256288527576</v>
      </c>
      <c r="H87" s="1412">
        <v>7.7966346191749025</v>
      </c>
      <c r="I87" s="1412">
        <v>-13.29951292882342</v>
      </c>
      <c r="J87" s="1412">
        <v>-1.2646434605449675</v>
      </c>
      <c r="K87" s="1412">
        <v>12.556603417533619</v>
      </c>
      <c r="L87" s="1412">
        <v>1.6858725055931112</v>
      </c>
      <c r="M87" s="1412">
        <v>1.1832813230795214</v>
      </c>
      <c r="N87" s="1412">
        <v>1.940492996363119</v>
      </c>
      <c r="O87" s="1412">
        <v>3.5727580926671498</v>
      </c>
      <c r="P87" s="999">
        <v>2.4830995142352208</v>
      </c>
    </row>
    <row r="88" spans="2:16" hidden="1">
      <c r="B88" s="1001" t="s">
        <v>337</v>
      </c>
      <c r="C88" s="999">
        <v>5.8817130102042148</v>
      </c>
      <c r="D88" s="1412">
        <v>-0.38494621010968233</v>
      </c>
      <c r="E88" s="1412">
        <v>3.9524710244911665</v>
      </c>
      <c r="F88" s="1412">
        <v>0.65951199495655199</v>
      </c>
      <c r="G88" s="1412">
        <v>3.5998047297216562</v>
      </c>
      <c r="H88" s="1412">
        <v>6.8463325996496627</v>
      </c>
      <c r="I88" s="1412">
        <v>-13.129218975388079</v>
      </c>
      <c r="J88" s="1412">
        <v>-0.82940559487993948</v>
      </c>
      <c r="K88" s="1412">
        <v>12.5573887385658</v>
      </c>
      <c r="L88" s="1412">
        <v>1.4367988931997422</v>
      </c>
      <c r="M88" s="1412">
        <v>1.0384998593842454</v>
      </c>
      <c r="N88" s="1412">
        <v>1.5406081638948743</v>
      </c>
      <c r="O88" s="1412">
        <v>3.5396980444623916</v>
      </c>
      <c r="P88" s="999">
        <v>2.2047265980774666</v>
      </c>
    </row>
    <row r="89" spans="2:16" hidden="1">
      <c r="B89" s="1001" t="s">
        <v>338</v>
      </c>
      <c r="C89" s="999">
        <v>5.4045652461746307</v>
      </c>
      <c r="D89" s="1412">
        <v>-0.50300098752998901</v>
      </c>
      <c r="E89" s="1412">
        <v>2.6476313435252363</v>
      </c>
      <c r="F89" s="1412">
        <v>0.15678552350038011</v>
      </c>
      <c r="G89" s="1412">
        <v>3.030661705847959</v>
      </c>
      <c r="H89" s="1412">
        <v>6.8542284381939211</v>
      </c>
      <c r="I89" s="1412">
        <v>-13.395025032972384</v>
      </c>
      <c r="J89" s="1412">
        <v>-0.33490704420209294</v>
      </c>
      <c r="K89" s="1412">
        <v>7.7493501767837758</v>
      </c>
      <c r="L89" s="1412">
        <v>1.3486623773086182</v>
      </c>
      <c r="M89" s="1412">
        <v>1.2246724333173642</v>
      </c>
      <c r="N89" s="1412">
        <v>1.3503252276704902</v>
      </c>
      <c r="O89" s="1412">
        <v>2.8996646687185823</v>
      </c>
      <c r="P89" s="999">
        <v>1.8654833104963853</v>
      </c>
    </row>
    <row r="90" spans="2:16" hidden="1">
      <c r="B90" s="1001" t="s">
        <v>339</v>
      </c>
      <c r="C90" s="999">
        <v>4.8332613240633648</v>
      </c>
      <c r="D90" s="1412">
        <v>0.13912084517775369</v>
      </c>
      <c r="E90" s="1412">
        <v>2.5379534562396389</v>
      </c>
      <c r="F90" s="1412">
        <v>-5.0227460394125512E-2</v>
      </c>
      <c r="G90" s="1412">
        <v>2.84</v>
      </c>
      <c r="H90" s="1412">
        <v>4.9609649452741822</v>
      </c>
      <c r="I90" s="1412">
        <v>-13.46664206211009</v>
      </c>
      <c r="J90" s="1412">
        <v>-0.60789261904184988</v>
      </c>
      <c r="K90" s="1412">
        <v>7.7733811341668568</v>
      </c>
      <c r="L90" s="1412">
        <v>0.71354227906486045</v>
      </c>
      <c r="M90" s="1412">
        <v>0.99786975435292025</v>
      </c>
      <c r="N90" s="1412">
        <v>1.0005645161826227</v>
      </c>
      <c r="O90" s="1412">
        <v>1.742514584272814</v>
      </c>
      <c r="P90" s="999">
        <v>1.2466574099768923</v>
      </c>
    </row>
    <row r="91" spans="2:16" hidden="1">
      <c r="B91" s="1001" t="s">
        <v>340</v>
      </c>
      <c r="C91" s="999">
        <v>4.4341997343264605</v>
      </c>
      <c r="D91" s="1412">
        <v>0.29915379204321635</v>
      </c>
      <c r="E91" s="1412">
        <v>3.0333331486740889</v>
      </c>
      <c r="F91" s="1412">
        <v>-0.12141946358019684</v>
      </c>
      <c r="G91" s="1412">
        <v>3.84</v>
      </c>
      <c r="H91" s="1412">
        <v>5.0418740190781852</v>
      </c>
      <c r="I91" s="1412">
        <v>-13.568531985595268</v>
      </c>
      <c r="J91" s="1412">
        <v>-0.69253275713008211</v>
      </c>
      <c r="K91" s="1412">
        <v>8.8300304644412861</v>
      </c>
      <c r="L91" s="1412">
        <v>1.6011614721804124</v>
      </c>
      <c r="M91" s="1412">
        <v>0.8116769959372272</v>
      </c>
      <c r="N91" s="1412">
        <v>1.44823345459828</v>
      </c>
      <c r="O91" s="1412">
        <v>0.93919867381710986</v>
      </c>
      <c r="P91" s="999">
        <v>1.2765148827750927</v>
      </c>
    </row>
    <row r="92" spans="2:16" hidden="1">
      <c r="B92" s="1001" t="s">
        <v>341</v>
      </c>
      <c r="C92" s="999">
        <v>4.3656415977913365</v>
      </c>
      <c r="D92" s="1412">
        <v>0.60966968905473706</v>
      </c>
      <c r="E92" s="1412">
        <v>3.6975690976676079</v>
      </c>
      <c r="F92" s="1412">
        <v>-0.37180992072302077</v>
      </c>
      <c r="G92" s="1412">
        <v>2.0975368002630779</v>
      </c>
      <c r="H92" s="1412">
        <v>5.0630506446622814</v>
      </c>
      <c r="I92" s="1412">
        <v>-13.654817132548558</v>
      </c>
      <c r="J92" s="1412">
        <v>-1.0161554555242702</v>
      </c>
      <c r="K92" s="1412">
        <v>8.4242768568579596</v>
      </c>
      <c r="L92" s="1412">
        <v>1.2256001057710408</v>
      </c>
      <c r="M92" s="1412">
        <v>0.92546351655147241</v>
      </c>
      <c r="N92" s="1412">
        <v>1.4574107541348358</v>
      </c>
      <c r="O92" s="1412">
        <v>-0.31770077251350726</v>
      </c>
      <c r="P92" s="999">
        <v>0.8592305623484231</v>
      </c>
    </row>
    <row r="93" spans="2:16" hidden="1">
      <c r="B93" s="1001" t="s">
        <v>342</v>
      </c>
      <c r="C93" s="999">
        <v>5.2260101938719217</v>
      </c>
      <c r="D93" s="1412">
        <v>0.25430794001002344</v>
      </c>
      <c r="E93" s="1412">
        <v>3.8097324395096388</v>
      </c>
      <c r="F93" s="1412">
        <v>-0.70272574102175911</v>
      </c>
      <c r="G93" s="1412">
        <v>2.2117296709520229</v>
      </c>
      <c r="H93" s="1412">
        <v>1.3973952728943528</v>
      </c>
      <c r="I93" s="1412">
        <v>-13.762668014196899</v>
      </c>
      <c r="J93" s="1412">
        <v>-0.72633587619794771</v>
      </c>
      <c r="K93" s="1412">
        <v>9.0524075923561487</v>
      </c>
      <c r="L93" s="1412">
        <v>0.83027669175299579</v>
      </c>
      <c r="M93" s="1412">
        <v>-0.19727011318178</v>
      </c>
      <c r="N93" s="1412">
        <v>1.2540835232394132</v>
      </c>
      <c r="O93" s="1412">
        <v>-0.73656471919876232</v>
      </c>
      <c r="P93" s="999">
        <v>0.58579912207119555</v>
      </c>
    </row>
    <row r="94" spans="2:16" hidden="1">
      <c r="B94" s="1001" t="s">
        <v>343</v>
      </c>
      <c r="C94" s="999">
        <v>5.9422817671308525</v>
      </c>
      <c r="D94" s="1412">
        <v>-7.0431737687570717E-2</v>
      </c>
      <c r="E94" s="1412">
        <v>3.5103523229164324</v>
      </c>
      <c r="F94" s="1412">
        <v>-1.0324691419701493</v>
      </c>
      <c r="G94" s="1412">
        <v>2.4177357807626976</v>
      </c>
      <c r="H94" s="1412">
        <v>1.1602507762823455</v>
      </c>
      <c r="I94" s="1412">
        <v>-13.836147097672525</v>
      </c>
      <c r="J94" s="1412">
        <v>-0.9230807948023112</v>
      </c>
      <c r="K94" s="1412">
        <v>11.194828902928267</v>
      </c>
      <c r="L94" s="1412">
        <v>2.0544396492347516</v>
      </c>
      <c r="M94" s="1412">
        <v>-0.34357804674918224</v>
      </c>
      <c r="N94" s="1412">
        <v>1.572533037818169</v>
      </c>
      <c r="O94" s="1412">
        <v>-1.5069649633101978</v>
      </c>
      <c r="P94" s="999">
        <v>0.54143397835835216</v>
      </c>
    </row>
    <row r="95" spans="2:16" hidden="1">
      <c r="B95" s="1001" t="s">
        <v>344</v>
      </c>
      <c r="C95" s="999">
        <v>4.25617366768547</v>
      </c>
      <c r="D95" s="1412">
        <v>9.452596575667549E-2</v>
      </c>
      <c r="E95" s="1412">
        <v>3.6308705900330418</v>
      </c>
      <c r="F95" s="1412">
        <v>-1.0790607901980831</v>
      </c>
      <c r="G95" s="1412">
        <v>2.1087260093545446</v>
      </c>
      <c r="H95" s="1412">
        <v>1.6092830871521135</v>
      </c>
      <c r="I95" s="1412">
        <v>-13.992149078598304</v>
      </c>
      <c r="J95" s="1412">
        <v>-1.0349771481077297</v>
      </c>
      <c r="K95" s="1412">
        <v>11.286771399950823</v>
      </c>
      <c r="L95" s="1412">
        <v>2.0260269437512246</v>
      </c>
      <c r="M95" s="1412">
        <v>-0.86964138806771007</v>
      </c>
      <c r="N95" s="1412">
        <v>1.6064182532409932</v>
      </c>
      <c r="O95" s="1412">
        <v>-2.1862113788040038</v>
      </c>
      <c r="P95" s="999">
        <v>0.33148665620950091</v>
      </c>
    </row>
    <row r="96" spans="2:16" hidden="1">
      <c r="B96" s="1003"/>
      <c r="C96" s="1413"/>
      <c r="D96" s="1414"/>
      <c r="E96" s="1414"/>
      <c r="F96" s="1413"/>
      <c r="G96" s="1414"/>
      <c r="H96" s="1414"/>
      <c r="I96" s="1413"/>
      <c r="J96" s="1414"/>
      <c r="K96" s="1413"/>
      <c r="L96" s="1414"/>
      <c r="M96" s="1413"/>
      <c r="N96" s="1414"/>
      <c r="O96" s="1413"/>
      <c r="P96" s="1414"/>
    </row>
    <row r="97" spans="2:16" hidden="1">
      <c r="B97" s="918">
        <v>2014</v>
      </c>
      <c r="C97" s="956"/>
      <c r="D97" s="956"/>
      <c r="E97" s="956"/>
      <c r="F97" s="956"/>
      <c r="G97" s="956"/>
      <c r="H97" s="956"/>
      <c r="I97" s="956"/>
      <c r="J97" s="956"/>
      <c r="K97" s="956"/>
      <c r="L97" s="956"/>
      <c r="M97" s="956"/>
      <c r="N97" s="956"/>
      <c r="O97" s="956"/>
      <c r="P97" s="956"/>
    </row>
    <row r="98" spans="2:16" hidden="1">
      <c r="B98" s="1001" t="s">
        <v>345</v>
      </c>
      <c r="C98" s="956">
        <v>5.03</v>
      </c>
      <c r="D98" s="956">
        <v>0.03</v>
      </c>
      <c r="E98" s="956">
        <v>3.63</v>
      </c>
      <c r="F98" s="956">
        <v>-1.07</v>
      </c>
      <c r="G98" s="956">
        <v>1.87</v>
      </c>
      <c r="H98" s="956">
        <v>1.62</v>
      </c>
      <c r="I98" s="956">
        <v>-14</v>
      </c>
      <c r="J98" s="956">
        <v>-1.1200000000000001</v>
      </c>
      <c r="K98" s="956">
        <v>11.3</v>
      </c>
      <c r="L98" s="956">
        <v>2.1800000000000002</v>
      </c>
      <c r="M98" s="956">
        <v>-0.43</v>
      </c>
      <c r="N98" s="956">
        <v>1.67</v>
      </c>
      <c r="O98" s="956">
        <v>-2.08</v>
      </c>
      <c r="P98" s="956">
        <v>0.41</v>
      </c>
    </row>
    <row r="99" spans="2:16" hidden="1">
      <c r="B99" s="1001" t="s">
        <v>334</v>
      </c>
      <c r="C99" s="999">
        <v>2.21</v>
      </c>
      <c r="D99" s="1000">
        <v>-0.43</v>
      </c>
      <c r="E99" s="1000">
        <v>3.09</v>
      </c>
      <c r="F99" s="1000">
        <v>-1.35</v>
      </c>
      <c r="G99" s="1000">
        <v>0.44</v>
      </c>
      <c r="H99" s="1000">
        <v>0.05</v>
      </c>
      <c r="I99" s="1000">
        <v>-13.86</v>
      </c>
      <c r="J99" s="1000">
        <v>-1.08</v>
      </c>
      <c r="K99" s="1000">
        <v>11.47</v>
      </c>
      <c r="L99" s="1000">
        <v>1.32</v>
      </c>
      <c r="M99" s="1000">
        <v>-1.45</v>
      </c>
      <c r="N99" s="1000">
        <v>0.93</v>
      </c>
      <c r="O99" s="1000">
        <v>-3.26</v>
      </c>
      <c r="P99" s="999">
        <v>-0.49</v>
      </c>
    </row>
    <row r="100" spans="2:16" hidden="1">
      <c r="B100" s="1001" t="s">
        <v>335</v>
      </c>
      <c r="C100" s="999">
        <v>1.67</v>
      </c>
      <c r="D100" s="1000">
        <v>-0.53</v>
      </c>
      <c r="E100" s="1000">
        <v>2.21</v>
      </c>
      <c r="F100" s="1000">
        <v>-1.82</v>
      </c>
      <c r="G100" s="1000">
        <v>0.4</v>
      </c>
      <c r="H100" s="1000">
        <v>-0.44</v>
      </c>
      <c r="I100" s="1000">
        <v>-13.68</v>
      </c>
      <c r="J100" s="1000">
        <v>-1.21</v>
      </c>
      <c r="K100" s="1000">
        <v>11.47</v>
      </c>
      <c r="L100" s="1000">
        <v>2.4700000000000002</v>
      </c>
      <c r="M100" s="1000">
        <v>-1.82</v>
      </c>
      <c r="N100" s="1000">
        <v>0.51</v>
      </c>
      <c r="O100" s="1000">
        <v>-3.71</v>
      </c>
      <c r="P100" s="999">
        <v>-0.91</v>
      </c>
    </row>
    <row r="101" spans="2:16" hidden="1">
      <c r="B101" s="1002" t="s">
        <v>336</v>
      </c>
      <c r="C101" s="956">
        <v>1.78</v>
      </c>
      <c r="D101" s="956">
        <v>-0.55000000000000004</v>
      </c>
      <c r="E101" s="956">
        <v>0.46</v>
      </c>
      <c r="F101" s="956">
        <v>-2.6</v>
      </c>
      <c r="G101" s="956">
        <v>0.22</v>
      </c>
      <c r="H101" s="956">
        <v>-0.11</v>
      </c>
      <c r="I101" s="956">
        <v>-0.62</v>
      </c>
      <c r="J101" s="956">
        <v>-0.93</v>
      </c>
      <c r="K101" s="956">
        <v>20.71</v>
      </c>
      <c r="L101" s="956">
        <v>1.1299999999999999</v>
      </c>
      <c r="M101" s="956">
        <v>-1.56</v>
      </c>
      <c r="N101" s="956">
        <v>1.5</v>
      </c>
      <c r="O101" s="956">
        <v>-3.73</v>
      </c>
      <c r="P101" s="956">
        <v>-0.26</v>
      </c>
    </row>
    <row r="102" spans="2:16" hidden="1">
      <c r="B102" s="1001" t="s">
        <v>337</v>
      </c>
      <c r="C102" s="956">
        <v>1.91</v>
      </c>
      <c r="D102" s="956">
        <v>-0.83</v>
      </c>
      <c r="E102" s="956">
        <v>0.39</v>
      </c>
      <c r="F102" s="956">
        <v>-2.62</v>
      </c>
      <c r="G102" s="956">
        <v>0.28999999999999998</v>
      </c>
      <c r="H102" s="956">
        <v>0.86</v>
      </c>
      <c r="I102" s="956">
        <v>-0.6</v>
      </c>
      <c r="J102" s="956">
        <v>-0.64</v>
      </c>
      <c r="K102" s="956">
        <v>20.79</v>
      </c>
      <c r="L102" s="956">
        <v>0.95</v>
      </c>
      <c r="M102" s="956">
        <v>-1.69</v>
      </c>
      <c r="N102" s="956">
        <v>1.62</v>
      </c>
      <c r="O102" s="956">
        <v>-3.75</v>
      </c>
      <c r="P102" s="956">
        <v>-0.19</v>
      </c>
    </row>
    <row r="103" spans="2:16" hidden="1">
      <c r="B103" s="1001" t="s">
        <v>338</v>
      </c>
      <c r="C103" s="999">
        <v>1.68</v>
      </c>
      <c r="D103" s="1000">
        <v>-0.81</v>
      </c>
      <c r="E103" s="1000">
        <v>0.4</v>
      </c>
      <c r="F103" s="1000">
        <v>-2.54</v>
      </c>
      <c r="G103" s="1000">
        <v>0.64</v>
      </c>
      <c r="H103" s="1000">
        <v>0.97</v>
      </c>
      <c r="I103" s="1000">
        <v>-0.27</v>
      </c>
      <c r="J103" s="1000">
        <v>-0.84</v>
      </c>
      <c r="K103" s="1000">
        <v>20.79</v>
      </c>
      <c r="L103" s="1000">
        <v>0.99</v>
      </c>
      <c r="M103" s="1000">
        <v>-1.67</v>
      </c>
      <c r="N103" s="1000">
        <v>1.67</v>
      </c>
      <c r="O103" s="1000">
        <v>-3.54</v>
      </c>
      <c r="P103" s="999">
        <v>-0.08</v>
      </c>
    </row>
    <row r="104" spans="2:16" hidden="1">
      <c r="B104" s="1002" t="s">
        <v>339</v>
      </c>
      <c r="C104" s="999">
        <v>-2.88</v>
      </c>
      <c r="D104" s="1000">
        <v>1.64</v>
      </c>
      <c r="E104" s="1000">
        <v>-0.68</v>
      </c>
      <c r="F104" s="1000">
        <v>0.7</v>
      </c>
      <c r="G104" s="1000">
        <v>-2.4</v>
      </c>
      <c r="H104" s="1000">
        <v>0.8</v>
      </c>
      <c r="I104" s="1000">
        <v>0.5</v>
      </c>
      <c r="J104" s="1000">
        <v>-0.4</v>
      </c>
      <c r="K104" s="1000">
        <v>-0.8</v>
      </c>
      <c r="L104" s="1000">
        <v>23</v>
      </c>
      <c r="M104" s="1000">
        <v>1.8</v>
      </c>
      <c r="N104" s="1000">
        <v>-2</v>
      </c>
      <c r="O104" s="1000">
        <v>1.9</v>
      </c>
      <c r="P104" s="999">
        <v>0.3</v>
      </c>
    </row>
    <row r="105" spans="2:16" hidden="1">
      <c r="B105" s="1003" t="s">
        <v>340</v>
      </c>
      <c r="C105" s="956">
        <v>-2.79</v>
      </c>
      <c r="D105" s="956">
        <v>2.02</v>
      </c>
      <c r="E105" s="956">
        <v>-0.44</v>
      </c>
      <c r="F105" s="956">
        <v>-0.1</v>
      </c>
      <c r="G105" s="956">
        <v>-2.5</v>
      </c>
      <c r="H105" s="956">
        <v>0.6</v>
      </c>
      <c r="I105" s="956">
        <v>0.7</v>
      </c>
      <c r="J105" s="956">
        <v>-0.3</v>
      </c>
      <c r="K105" s="956">
        <v>-0.8</v>
      </c>
      <c r="L105" s="956">
        <v>21.4</v>
      </c>
      <c r="M105" s="956">
        <v>0.9</v>
      </c>
      <c r="N105" s="956">
        <v>-2.8</v>
      </c>
      <c r="O105" s="956">
        <v>1.6</v>
      </c>
      <c r="P105" s="956">
        <v>0.2</v>
      </c>
    </row>
    <row r="106" spans="2:16" hidden="1">
      <c r="B106" s="1002" t="s">
        <v>341</v>
      </c>
      <c r="C106" s="956">
        <v>2.0952745722847936</v>
      </c>
      <c r="D106" s="956">
        <v>-0.3405965450954227</v>
      </c>
      <c r="E106" s="956">
        <v>-2.6510878885659395E-2</v>
      </c>
      <c r="F106" s="956">
        <v>-2.599493000274947</v>
      </c>
      <c r="G106" s="956">
        <v>0.97927669628055014</v>
      </c>
      <c r="H106" s="956">
        <v>0.98750757555330893</v>
      </c>
      <c r="I106" s="956">
        <v>-0.32490658659760641</v>
      </c>
      <c r="J106" s="956">
        <v>-0.84918669613057318</v>
      </c>
      <c r="K106" s="956">
        <v>21.419354373289849</v>
      </c>
      <c r="L106" s="956">
        <v>0.27795068752860175</v>
      </c>
      <c r="M106" s="956">
        <v>-3.0556514090872327</v>
      </c>
      <c r="N106" s="956">
        <v>1.590012988593088</v>
      </c>
      <c r="O106" s="956">
        <v>-2.9467545847726484</v>
      </c>
      <c r="P106" s="956">
        <v>9.2820403313425004E-2</v>
      </c>
    </row>
    <row r="107" spans="2:16" hidden="1">
      <c r="B107" s="1003" t="s">
        <v>342</v>
      </c>
      <c r="C107" s="999">
        <v>1.04</v>
      </c>
      <c r="D107" s="1000">
        <v>-0.27</v>
      </c>
      <c r="E107" s="1000">
        <v>-0.01</v>
      </c>
      <c r="F107" s="1000">
        <v>-2.38</v>
      </c>
      <c r="G107" s="1000">
        <v>0.91</v>
      </c>
      <c r="H107" s="1000">
        <v>1.04</v>
      </c>
      <c r="I107" s="1000">
        <v>-0.31</v>
      </c>
      <c r="J107" s="1000">
        <v>-0.75</v>
      </c>
      <c r="K107" s="1000">
        <v>21.41</v>
      </c>
      <c r="L107" s="1000">
        <v>0.38</v>
      </c>
      <c r="M107" s="1000">
        <v>-2.83</v>
      </c>
      <c r="N107" s="1000">
        <v>1.59</v>
      </c>
      <c r="O107" s="1000">
        <v>-3.23</v>
      </c>
      <c r="P107" s="999">
        <v>0</v>
      </c>
    </row>
    <row r="108" spans="2:16" hidden="1">
      <c r="B108" s="1003" t="s">
        <v>343</v>
      </c>
      <c r="C108" s="999">
        <v>0.84</v>
      </c>
      <c r="D108" s="1000">
        <v>0.04</v>
      </c>
      <c r="E108" s="1000">
        <v>-0.03</v>
      </c>
      <c r="F108" s="1000">
        <v>-2.11</v>
      </c>
      <c r="G108" s="1000">
        <v>0.91</v>
      </c>
      <c r="H108" s="1000">
        <v>1.26</v>
      </c>
      <c r="I108" s="1000">
        <v>-0.28000000000000003</v>
      </c>
      <c r="J108" s="1000">
        <v>-0.59</v>
      </c>
      <c r="K108" s="1000">
        <v>4.4400000000000004</v>
      </c>
      <c r="L108" s="1000">
        <v>-1.31</v>
      </c>
      <c r="M108" s="1000">
        <v>-2.5</v>
      </c>
      <c r="N108" s="1000">
        <v>0.17</v>
      </c>
      <c r="O108" s="1000">
        <v>-2.75</v>
      </c>
      <c r="P108" s="999">
        <v>-0.78</v>
      </c>
    </row>
    <row r="109" spans="2:16" hidden="1">
      <c r="B109" s="1003" t="s">
        <v>344</v>
      </c>
      <c r="C109" s="956">
        <v>0.71</v>
      </c>
      <c r="D109" s="956">
        <v>-0.05</v>
      </c>
      <c r="E109" s="956">
        <v>-0.24</v>
      </c>
      <c r="F109" s="956">
        <v>-1.92</v>
      </c>
      <c r="G109" s="956">
        <v>0.92</v>
      </c>
      <c r="H109" s="956">
        <v>1.18</v>
      </c>
      <c r="I109" s="956">
        <v>-0.33</v>
      </c>
      <c r="J109" s="956">
        <v>-0.53</v>
      </c>
      <c r="K109" s="956">
        <v>4.45</v>
      </c>
      <c r="L109" s="956">
        <v>-1.54</v>
      </c>
      <c r="M109" s="956">
        <v>-2.21</v>
      </c>
      <c r="N109" s="956">
        <v>0.13</v>
      </c>
      <c r="O109" s="956">
        <v>-2.7</v>
      </c>
      <c r="P109" s="956">
        <v>-0.8</v>
      </c>
    </row>
    <row r="110" spans="2:16" hidden="1">
      <c r="B110" s="919"/>
      <c r="C110" s="956"/>
      <c r="D110" s="956"/>
      <c r="E110" s="956"/>
      <c r="F110" s="956"/>
      <c r="G110" s="956"/>
      <c r="H110" s="956"/>
      <c r="I110" s="956"/>
      <c r="J110" s="956"/>
      <c r="K110" s="956"/>
      <c r="L110" s="956"/>
      <c r="M110" s="956"/>
      <c r="N110" s="956"/>
      <c r="O110" s="956"/>
      <c r="P110" s="956"/>
    </row>
    <row r="111" spans="2:16" hidden="1">
      <c r="B111" s="918">
        <v>2015</v>
      </c>
      <c r="C111" s="1010"/>
      <c r="D111" s="1000"/>
      <c r="E111" s="1000"/>
      <c r="F111" s="1000"/>
      <c r="G111" s="1000"/>
      <c r="H111" s="1000"/>
      <c r="I111" s="1000"/>
      <c r="J111" s="1000"/>
      <c r="K111" s="1000"/>
      <c r="L111" s="1000"/>
      <c r="M111" s="1000"/>
      <c r="N111" s="1000"/>
      <c r="O111" s="1000"/>
      <c r="P111" s="999"/>
    </row>
    <row r="112" spans="2:16" hidden="1">
      <c r="B112" s="1001" t="s">
        <v>345</v>
      </c>
      <c r="C112" s="999">
        <v>0.47</v>
      </c>
      <c r="D112" s="1000">
        <v>0</v>
      </c>
      <c r="E112" s="1000">
        <v>-0.16</v>
      </c>
      <c r="F112" s="1000">
        <v>-1.86</v>
      </c>
      <c r="G112" s="1000">
        <v>1.21</v>
      </c>
      <c r="H112" s="1000">
        <v>0.19</v>
      </c>
      <c r="I112" s="1000">
        <v>-13.69</v>
      </c>
      <c r="J112" s="1000">
        <v>-0.44</v>
      </c>
      <c r="K112" s="1000">
        <v>4.3499999999999996</v>
      </c>
      <c r="L112" s="1000">
        <v>-2.16</v>
      </c>
      <c r="M112" s="1000">
        <v>-1.82</v>
      </c>
      <c r="N112" s="1000">
        <v>-0.56999999999999995</v>
      </c>
      <c r="O112" s="1000">
        <v>-2.74</v>
      </c>
      <c r="P112" s="999">
        <v>-1.28</v>
      </c>
    </row>
    <row r="113" spans="2:16" hidden="1">
      <c r="B113" s="1001" t="s">
        <v>334</v>
      </c>
      <c r="C113" s="956">
        <v>0.73</v>
      </c>
      <c r="D113" s="956">
        <v>-0.25</v>
      </c>
      <c r="E113" s="956">
        <v>-0.14000000000000001</v>
      </c>
      <c r="F113" s="956">
        <v>-1.88</v>
      </c>
      <c r="G113" s="956">
        <v>1.1000000000000001</v>
      </c>
      <c r="H113" s="956">
        <v>-0.3</v>
      </c>
      <c r="I113" s="956">
        <v>-13.78</v>
      </c>
      <c r="J113" s="956">
        <v>-0.56999999999999995</v>
      </c>
      <c r="K113" s="956">
        <v>4.1100000000000003</v>
      </c>
      <c r="L113" s="956">
        <v>-2.36</v>
      </c>
      <c r="M113" s="956">
        <v>-1.8</v>
      </c>
      <c r="N113" s="956">
        <v>-0.68</v>
      </c>
      <c r="O113" s="956">
        <v>-2.87</v>
      </c>
      <c r="P113" s="956">
        <v>-1.4</v>
      </c>
    </row>
    <row r="114" spans="2:16" hidden="1">
      <c r="B114" s="1001" t="s">
        <v>335</v>
      </c>
      <c r="C114" s="956">
        <v>0.9</v>
      </c>
      <c r="D114" s="956">
        <v>-0.46</v>
      </c>
      <c r="E114" s="956">
        <v>0.62</v>
      </c>
      <c r="F114" s="956">
        <v>-1.78</v>
      </c>
      <c r="G114" s="956">
        <v>1.03</v>
      </c>
      <c r="H114" s="956">
        <v>-0.28000000000000003</v>
      </c>
      <c r="I114" s="956">
        <v>-13.78</v>
      </c>
      <c r="J114" s="956">
        <v>-0.54</v>
      </c>
      <c r="K114" s="956">
        <v>4.1100000000000003</v>
      </c>
      <c r="L114" s="956">
        <v>-2.2599999999999998</v>
      </c>
      <c r="M114" s="956">
        <v>-1.41</v>
      </c>
      <c r="N114" s="956">
        <v>-0.44</v>
      </c>
      <c r="O114" s="956">
        <v>-2.77</v>
      </c>
      <c r="P114" s="956">
        <v>-1.2</v>
      </c>
    </row>
    <row r="115" spans="2:16" hidden="1">
      <c r="B115" s="1002" t="s">
        <v>336</v>
      </c>
      <c r="C115" s="999">
        <v>-2.9289661961545033</v>
      </c>
      <c r="D115" s="1000">
        <v>0.58707117161944655</v>
      </c>
      <c r="E115" s="1000">
        <v>-1.0729432661858107</v>
      </c>
      <c r="F115" s="1000">
        <v>-2.6214368267033161</v>
      </c>
      <c r="G115" s="1000">
        <v>-1.4974696812800725</v>
      </c>
      <c r="H115" s="1000">
        <v>0.8119332062814788</v>
      </c>
      <c r="I115" s="1000">
        <v>-0.75539561424564639</v>
      </c>
      <c r="J115" s="1000">
        <v>-13.879210311641522</v>
      </c>
      <c r="K115" s="1000">
        <v>-0.94581508210723753</v>
      </c>
      <c r="L115" s="1000">
        <v>-7.0238520738385208</v>
      </c>
      <c r="M115" s="1000">
        <v>-0.84406795312680361</v>
      </c>
      <c r="N115" s="1000">
        <v>-1.4105967607943359</v>
      </c>
      <c r="O115" s="1000">
        <v>-2.5128349646382664</v>
      </c>
      <c r="P115" s="999">
        <v>-2.6481147205383637</v>
      </c>
    </row>
    <row r="116" spans="2:16" hidden="1">
      <c r="B116" s="1001" t="s">
        <v>337</v>
      </c>
      <c r="C116" s="999">
        <v>0.31</v>
      </c>
      <c r="D116" s="1000">
        <v>-1.37</v>
      </c>
      <c r="E116" s="1000">
        <v>-2.39</v>
      </c>
      <c r="F116" s="1000">
        <v>-1.45</v>
      </c>
      <c r="G116" s="1000">
        <v>0.92</v>
      </c>
      <c r="H116" s="1000">
        <v>-1.23</v>
      </c>
      <c r="I116" s="1000">
        <v>-13.87</v>
      </c>
      <c r="J116" s="1000">
        <v>-0.86</v>
      </c>
      <c r="K116" s="1000">
        <v>-7.09</v>
      </c>
      <c r="L116" s="1000">
        <v>-0.79</v>
      </c>
      <c r="M116" s="1000">
        <v>-1.42</v>
      </c>
      <c r="N116" s="1000">
        <v>-2.56</v>
      </c>
      <c r="O116" s="1000">
        <v>-3</v>
      </c>
      <c r="P116" s="999">
        <v>-2.7</v>
      </c>
    </row>
    <row r="117" spans="2:16" hidden="1">
      <c r="B117" s="1001" t="s">
        <v>338</v>
      </c>
      <c r="C117" s="956">
        <v>0.71695391471808989</v>
      </c>
      <c r="D117" s="956">
        <v>-1.5419440303669205</v>
      </c>
      <c r="E117" s="956">
        <v>-2.4089189701836631</v>
      </c>
      <c r="F117" s="956">
        <v>-1.5764256499153504</v>
      </c>
      <c r="G117" s="956">
        <v>0.45407926790730357</v>
      </c>
      <c r="H117" s="956">
        <v>-1.1425842912680935</v>
      </c>
      <c r="I117" s="956">
        <v>0</v>
      </c>
      <c r="J117" s="956">
        <v>-0.86715546173208224</v>
      </c>
      <c r="K117" s="956">
        <v>-7.0892246576290034</v>
      </c>
      <c r="L117" s="956">
        <v>-0.75374082304756485</v>
      </c>
      <c r="M117" s="956">
        <v>-1.3840726859279187</v>
      </c>
      <c r="N117" s="956">
        <v>-2.568762527588774</v>
      </c>
      <c r="O117" s="956">
        <v>-3.3205046763198141</v>
      </c>
      <c r="P117" s="956">
        <v>-2.812516153175423</v>
      </c>
    </row>
    <row r="118" spans="2:16" hidden="1">
      <c r="B118" s="1002" t="s">
        <v>339</v>
      </c>
      <c r="C118" s="956">
        <v>0.74</v>
      </c>
      <c r="D118" s="956">
        <v>-1.61</v>
      </c>
      <c r="E118" s="956">
        <v>-3.24</v>
      </c>
      <c r="F118" s="956">
        <v>-2.37</v>
      </c>
      <c r="G118" s="956">
        <v>0.5</v>
      </c>
      <c r="H118" s="956">
        <v>-1.1200000000000001</v>
      </c>
      <c r="I118" s="956">
        <v>-13.77</v>
      </c>
      <c r="J118" s="956">
        <v>-0.93</v>
      </c>
      <c r="K118" s="956">
        <v>-1.9</v>
      </c>
      <c r="L118" s="956">
        <v>-1.61</v>
      </c>
      <c r="M118" s="956">
        <v>-0.99</v>
      </c>
      <c r="N118" s="956">
        <v>-2.35</v>
      </c>
      <c r="O118" s="956">
        <v>-3.65</v>
      </c>
      <c r="P118" s="956">
        <v>-2.77</v>
      </c>
    </row>
    <row r="119" spans="2:16" hidden="1">
      <c r="B119" s="1003" t="s">
        <v>340</v>
      </c>
      <c r="C119" s="999">
        <v>0.61339307244834274</v>
      </c>
      <c r="D119" s="1000">
        <v>-1.5301593776969713</v>
      </c>
      <c r="E119" s="1000">
        <v>-3.2208353902786091</v>
      </c>
      <c r="F119" s="1000">
        <v>-2.3711979161701757</v>
      </c>
      <c r="G119" s="1000">
        <v>0.41696855792501264</v>
      </c>
      <c r="H119" s="1000">
        <v>-1.6682334024073708</v>
      </c>
      <c r="I119" s="1000">
        <v>-13.767988316008594</v>
      </c>
      <c r="J119" s="1000">
        <v>-1.1109041457424751</v>
      </c>
      <c r="K119" s="1000">
        <v>-1.8829963074597833</v>
      </c>
      <c r="L119" s="1000">
        <v>-1.7761902167688026</v>
      </c>
      <c r="M119" s="1000">
        <v>0.1300068686992617</v>
      </c>
      <c r="N119" s="1000">
        <v>-2.3772023087130001</v>
      </c>
      <c r="O119" s="1000">
        <v>-3.5933029614969469</v>
      </c>
      <c r="P119" s="999">
        <v>-2.7676597041361162</v>
      </c>
    </row>
    <row r="120" spans="2:16" hidden="1">
      <c r="B120" s="1002" t="s">
        <v>341</v>
      </c>
      <c r="C120" s="999">
        <v>0.46980227202610969</v>
      </c>
      <c r="D120" s="1000">
        <v>-1.6690384366190969</v>
      </c>
      <c r="E120" s="1000">
        <v>-4.2461107379532574</v>
      </c>
      <c r="F120" s="1000">
        <v>-2.6172415535631988</v>
      </c>
      <c r="G120" s="1000">
        <v>0.24512986904177136</v>
      </c>
      <c r="H120" s="1000">
        <v>-2.4510490631413417</v>
      </c>
      <c r="I120" s="1000">
        <v>-14.048091258284723</v>
      </c>
      <c r="J120" s="1000">
        <v>-0.98919150519959365</v>
      </c>
      <c r="K120" s="1000">
        <v>-1.880623944149884</v>
      </c>
      <c r="L120" s="1000">
        <v>-0.11779699753243777</v>
      </c>
      <c r="M120" s="1000">
        <v>-0.28009485635895892</v>
      </c>
      <c r="N120" s="1000">
        <v>-2.8261127018274768</v>
      </c>
      <c r="O120" s="1000">
        <v>-3.7191475926149575</v>
      </c>
      <c r="P120" s="999">
        <v>-3.1118761648245674</v>
      </c>
    </row>
    <row r="121" spans="2:16" hidden="1">
      <c r="B121" s="1003" t="s">
        <v>342</v>
      </c>
      <c r="C121" s="956">
        <v>-0.12</v>
      </c>
      <c r="D121" s="956">
        <v>-2.04</v>
      </c>
      <c r="E121" s="956">
        <v>-4.33</v>
      </c>
      <c r="F121" s="956">
        <v>-2.8</v>
      </c>
      <c r="G121" s="956">
        <v>0.86</v>
      </c>
      <c r="H121" s="956">
        <v>-2.64</v>
      </c>
      <c r="I121" s="956">
        <v>-13.98</v>
      </c>
      <c r="J121" s="956">
        <v>-1.0900000000000001</v>
      </c>
      <c r="K121" s="956">
        <v>-1.89</v>
      </c>
      <c r="L121" s="956">
        <v>-0.32</v>
      </c>
      <c r="M121" s="956">
        <v>-0.2</v>
      </c>
      <c r="N121" s="956">
        <v>-2.95</v>
      </c>
      <c r="O121" s="956">
        <v>-4</v>
      </c>
      <c r="P121" s="956">
        <v>-3.29</v>
      </c>
    </row>
    <row r="122" spans="2:16" hidden="1">
      <c r="B122" s="1003" t="s">
        <v>343</v>
      </c>
      <c r="C122" s="956">
        <v>-0.45228165703840029</v>
      </c>
      <c r="D122" s="956">
        <v>-2.3497610296346227</v>
      </c>
      <c r="E122" s="956">
        <v>-4.3150541654198964</v>
      </c>
      <c r="F122" s="956">
        <v>-2.9416370712590734</v>
      </c>
      <c r="G122" s="956">
        <v>0.7658417567378395</v>
      </c>
      <c r="H122" s="956">
        <v>-2.8121239779742124</v>
      </c>
      <c r="I122" s="956">
        <v>-14.190896037162126</v>
      </c>
      <c r="J122" s="956">
        <v>-1.1361980021910689</v>
      </c>
      <c r="K122" s="956">
        <v>11.081371017980501</v>
      </c>
      <c r="L122" s="956">
        <v>0.27600066213813168</v>
      </c>
      <c r="M122" s="956">
        <v>-0.27252787841223203</v>
      </c>
      <c r="N122" s="956">
        <v>-1.796990332976256</v>
      </c>
      <c r="O122" s="956">
        <v>-3.8539204204272481</v>
      </c>
      <c r="P122" s="956">
        <v>-2.4581239792021536</v>
      </c>
    </row>
    <row r="123" spans="2:16" hidden="1">
      <c r="B123" s="1003" t="s">
        <v>344</v>
      </c>
      <c r="C123" s="999">
        <v>-0.88</v>
      </c>
      <c r="D123" s="1000">
        <v>-2.39</v>
      </c>
      <c r="E123" s="1000">
        <v>-4.29</v>
      </c>
      <c r="F123" s="1000">
        <v>-2.91</v>
      </c>
      <c r="G123" s="1000">
        <v>0.56999999999999995</v>
      </c>
      <c r="H123" s="1000">
        <v>-3.24</v>
      </c>
      <c r="I123" s="1000">
        <v>-14.22</v>
      </c>
      <c r="J123" s="1000">
        <v>-0.89</v>
      </c>
      <c r="K123" s="1000">
        <v>11.08</v>
      </c>
      <c r="L123" s="1000">
        <v>0.43</v>
      </c>
      <c r="M123" s="1000">
        <v>-0.42</v>
      </c>
      <c r="N123" s="1000">
        <v>-1.89</v>
      </c>
      <c r="O123" s="1000">
        <v>-3.71</v>
      </c>
      <c r="P123" s="999">
        <v>-2.4700000000000002</v>
      </c>
    </row>
    <row r="124" spans="2:16" hidden="1">
      <c r="B124" s="1004"/>
      <c r="C124" s="1005"/>
      <c r="D124" s="1005"/>
      <c r="E124" s="1005"/>
      <c r="F124" s="1005"/>
      <c r="G124" s="1005"/>
      <c r="H124" s="1005"/>
      <c r="I124" s="1005"/>
      <c r="J124" s="1005"/>
      <c r="K124" s="1005"/>
      <c r="L124" s="1005"/>
      <c r="M124" s="1005"/>
      <c r="N124" s="1005"/>
      <c r="O124" s="1005"/>
      <c r="P124" s="1006"/>
    </row>
    <row r="125" spans="2:16" hidden="1">
      <c r="B125" s="1189">
        <v>2016</v>
      </c>
      <c r="C125" s="1190"/>
      <c r="D125" s="1191"/>
      <c r="E125" s="1191"/>
      <c r="F125" s="1191"/>
      <c r="G125" s="1191"/>
      <c r="H125" s="1191"/>
      <c r="I125" s="1191"/>
      <c r="J125" s="1191"/>
      <c r="K125" s="1191"/>
      <c r="L125" s="1191"/>
      <c r="M125" s="1191"/>
      <c r="N125" s="1191"/>
      <c r="O125" s="1191"/>
      <c r="P125" s="1190"/>
    </row>
    <row r="126" spans="2:16" hidden="1">
      <c r="B126" s="1192" t="s">
        <v>345</v>
      </c>
      <c r="C126" s="1193">
        <v>-0.79</v>
      </c>
      <c r="D126" s="1194">
        <v>-2.41</v>
      </c>
      <c r="E126" s="1194">
        <v>-4.4000000000000004</v>
      </c>
      <c r="F126" s="1194">
        <v>-3.27</v>
      </c>
      <c r="G126" s="1194">
        <v>0.37</v>
      </c>
      <c r="H126" s="1194">
        <v>-2.66</v>
      </c>
      <c r="I126" s="1194">
        <v>-0.93</v>
      </c>
      <c r="J126" s="1194">
        <v>-1.0900000000000001</v>
      </c>
      <c r="K126" s="1194">
        <v>11.17</v>
      </c>
      <c r="L126" s="1194">
        <v>0.75</v>
      </c>
      <c r="M126" s="1194">
        <v>-1.01</v>
      </c>
      <c r="N126" s="1194">
        <v>-1.34</v>
      </c>
      <c r="O126" s="1194">
        <v>-3.96</v>
      </c>
      <c r="P126" s="1193">
        <v>-2.19</v>
      </c>
    </row>
    <row r="127" spans="2:16" hidden="1">
      <c r="B127" s="1195" t="s">
        <v>334</v>
      </c>
      <c r="C127" s="1193">
        <v>-1.1599999999999999</v>
      </c>
      <c r="D127" s="1194">
        <v>-2.06</v>
      </c>
      <c r="E127" s="1194">
        <v>-4.43</v>
      </c>
      <c r="F127" s="1194">
        <v>-3.35</v>
      </c>
      <c r="G127" s="1194">
        <v>0.22</v>
      </c>
      <c r="H127" s="1194">
        <v>-2.62</v>
      </c>
      <c r="I127" s="1194">
        <v>-0.97</v>
      </c>
      <c r="J127" s="1194">
        <v>0.21</v>
      </c>
      <c r="K127" s="1194">
        <v>11.17</v>
      </c>
      <c r="L127" s="1194">
        <v>0.96</v>
      </c>
      <c r="M127" s="1194">
        <v>-1.17</v>
      </c>
      <c r="N127" s="1194">
        <v>-1.35</v>
      </c>
      <c r="O127" s="1194">
        <v>-4.04</v>
      </c>
      <c r="P127" s="1193">
        <v>-2.2200000000000002</v>
      </c>
    </row>
    <row r="128" spans="2:16" hidden="1">
      <c r="B128" s="1195" t="s">
        <v>335</v>
      </c>
      <c r="C128" s="1196">
        <v>-1.4263501117950717</v>
      </c>
      <c r="D128" s="1196">
        <v>-1.9658279539864765</v>
      </c>
      <c r="E128" s="1196">
        <v>-5.3644387991065301</v>
      </c>
      <c r="F128" s="1196">
        <v>-4.0399448395289861</v>
      </c>
      <c r="G128" s="1196">
        <v>0.13719645468095454</v>
      </c>
      <c r="H128" s="1196">
        <v>-2.9238605134871865</v>
      </c>
      <c r="I128" s="1196">
        <v>-0.55172876343098087</v>
      </c>
      <c r="J128" s="1196">
        <v>-0.99928989892921205</v>
      </c>
      <c r="K128" s="1196">
        <v>14.908581472682613</v>
      </c>
      <c r="L128" s="1196">
        <v>0.21297407175671079</v>
      </c>
      <c r="M128" s="1196">
        <v>-1.8592404402767215</v>
      </c>
      <c r="N128" s="1196">
        <v>-1.4341970447932617</v>
      </c>
      <c r="O128" s="1196">
        <v>-4.1344089148900975</v>
      </c>
      <c r="P128" s="1196">
        <v>-2.3071830073550736</v>
      </c>
    </row>
    <row r="129" spans="2:17" hidden="1">
      <c r="B129" s="1195" t="s">
        <v>336</v>
      </c>
      <c r="C129" s="1196">
        <v>-1.3954120508426371</v>
      </c>
      <c r="D129" s="1196">
        <v>-1.4018546907814344</v>
      </c>
      <c r="E129" s="1196">
        <v>-2.1093196529561653</v>
      </c>
      <c r="F129" s="1196">
        <v>-3.9067229803242731</v>
      </c>
      <c r="G129" s="1196">
        <v>0.18715441243359887</v>
      </c>
      <c r="H129" s="1196">
        <v>-2.7088054036831455</v>
      </c>
      <c r="I129" s="1196">
        <v>-0.50497284756776395</v>
      </c>
      <c r="J129" s="1196">
        <v>-0.94877576261944707</v>
      </c>
      <c r="K129" s="1196">
        <v>14.213580167471896</v>
      </c>
      <c r="L129" s="1196">
        <v>-0.27956825315343936</v>
      </c>
      <c r="M129" s="1196">
        <v>-2.1723306351449145</v>
      </c>
      <c r="N129" s="1196">
        <v>-0.50552241538734943</v>
      </c>
      <c r="O129" s="1196">
        <v>-4.0164930011638456</v>
      </c>
      <c r="P129" s="1196">
        <v>-1.643608147725828</v>
      </c>
    </row>
    <row r="130" spans="2:17" hidden="1">
      <c r="B130" s="1195" t="s">
        <v>337</v>
      </c>
      <c r="C130" s="1196">
        <v>-1.516165695874705</v>
      </c>
      <c r="D130" s="1196">
        <v>-1.2106799373869381</v>
      </c>
      <c r="E130" s="1196">
        <v>-2.167299397464495</v>
      </c>
      <c r="F130" s="1196">
        <v>-3.7718245543746254</v>
      </c>
      <c r="G130" s="1196">
        <v>-9.91195392262334E-2</v>
      </c>
      <c r="H130" s="1196">
        <v>-2.57083253960535</v>
      </c>
      <c r="I130" s="1196">
        <v>-2.0872458585060261</v>
      </c>
      <c r="J130" s="1196">
        <v>-0.77826552671869109</v>
      </c>
      <c r="K130" s="1196">
        <v>14.214545232843733</v>
      </c>
      <c r="L130" s="1196">
        <v>-0.17604730560466519</v>
      </c>
      <c r="M130" s="1196">
        <v>-2.0660949568226283</v>
      </c>
      <c r="N130" s="1196">
        <v>-0.52641813573699459</v>
      </c>
      <c r="O130" s="1196">
        <v>-4.1332853997031123</v>
      </c>
      <c r="P130" s="1196">
        <v>-1.6934803608920745</v>
      </c>
    </row>
    <row r="131" spans="2:17" hidden="1">
      <c r="B131" s="1195" t="s">
        <v>338</v>
      </c>
      <c r="C131" s="1196">
        <v>-1.8005358884230938</v>
      </c>
      <c r="D131" s="1196">
        <v>-1.3581807727597317</v>
      </c>
      <c r="E131" s="1196">
        <v>-1.5810274735538421</v>
      </c>
      <c r="F131" s="1196">
        <v>-3.6739859673503017</v>
      </c>
      <c r="G131" s="1196">
        <v>0.21360816820403805</v>
      </c>
      <c r="H131" s="1196">
        <v>-2.7125251339976342</v>
      </c>
      <c r="I131" s="1196">
        <v>-2.0981531471687909</v>
      </c>
      <c r="J131" s="1196">
        <v>-0.91821979950201804</v>
      </c>
      <c r="K131" s="1196">
        <v>17.243847954350656</v>
      </c>
      <c r="L131" s="1196">
        <v>0.20343061234926463</v>
      </c>
      <c r="M131" s="1196">
        <v>-2.0889012603049428</v>
      </c>
      <c r="N131" s="1196">
        <v>-9.4583441994389172E-2</v>
      </c>
      <c r="O131" s="1196">
        <v>-4.0369605628894796</v>
      </c>
      <c r="P131" s="1196">
        <v>-1.3662240413085613</v>
      </c>
      <c r="Q131" s="1016"/>
    </row>
    <row r="132" spans="2:17" hidden="1">
      <c r="B132" s="1195" t="s">
        <v>339</v>
      </c>
      <c r="C132" s="1196">
        <v>-1.7087091265407861</v>
      </c>
      <c r="D132" s="1196">
        <v>-1.5600545080324602</v>
      </c>
      <c r="E132" s="1196">
        <v>-0.98359792085805919</v>
      </c>
      <c r="F132" s="1196">
        <v>-2.8317471738145583</v>
      </c>
      <c r="G132" s="1196">
        <v>-8.6164619700779266E-2</v>
      </c>
      <c r="H132" s="1196">
        <v>-2.6555024894861834</v>
      </c>
      <c r="I132" s="1196">
        <v>-2.4347588051580105</v>
      </c>
      <c r="J132" s="1196">
        <v>-0.69162860804578008</v>
      </c>
      <c r="K132" s="1196">
        <v>9.0891660510366243</v>
      </c>
      <c r="L132" s="1196">
        <v>0.26914953339722825</v>
      </c>
      <c r="M132" s="1196">
        <v>-2.4191793540823792</v>
      </c>
      <c r="N132" s="1196">
        <v>-0.58947757484123509</v>
      </c>
      <c r="O132" s="1196">
        <v>-3.7649208649360166</v>
      </c>
      <c r="P132" s="1196">
        <v>-1.6049161546417334</v>
      </c>
      <c r="Q132" s="967"/>
    </row>
    <row r="133" spans="2:17" hidden="1">
      <c r="B133" s="1195" t="s">
        <v>340</v>
      </c>
      <c r="C133" s="1196">
        <v>-1.5023755908065084</v>
      </c>
      <c r="D133" s="1196">
        <v>-1.7662035820928565</v>
      </c>
      <c r="E133" s="1196">
        <v>-1.0061682421570026</v>
      </c>
      <c r="F133" s="1196">
        <v>-2.7250274490783113</v>
      </c>
      <c r="G133" s="1196">
        <v>-7.3730459413354765E-2</v>
      </c>
      <c r="H133" s="1196">
        <v>-2.4983143959421596</v>
      </c>
      <c r="I133" s="1196">
        <v>-2.3934471680443039</v>
      </c>
      <c r="J133" s="1196">
        <v>-0.53880399490812181</v>
      </c>
      <c r="K133" s="1196">
        <v>9.0892958556310504</v>
      </c>
      <c r="L133" s="1196">
        <v>0.42071235003950846</v>
      </c>
      <c r="M133" s="1196">
        <v>-2.2060908364925069</v>
      </c>
      <c r="N133" s="1196">
        <v>-0.53762199279447032</v>
      </c>
      <c r="O133" s="1196">
        <v>-3.3378271668063775</v>
      </c>
      <c r="P133" s="1196">
        <v>-1.4290585700596523</v>
      </c>
      <c r="Q133" s="967"/>
    </row>
    <row r="134" spans="2:17" hidden="1">
      <c r="B134" s="1197" t="s">
        <v>341</v>
      </c>
      <c r="C134" s="1196">
        <v>-1.3557479709798901</v>
      </c>
      <c r="D134" s="1196">
        <v>-1.7942701232611213</v>
      </c>
      <c r="E134" s="1196">
        <v>-1.496957584045655</v>
      </c>
      <c r="F134" s="1196">
        <v>-2.478770684395426</v>
      </c>
      <c r="G134" s="1196">
        <v>-0.13666453898737441</v>
      </c>
      <c r="H134" s="1196">
        <v>-2.1696729484850685</v>
      </c>
      <c r="I134" s="1196">
        <v>-2.104885521323463</v>
      </c>
      <c r="J134" s="1196">
        <v>-0.78297244272628186</v>
      </c>
      <c r="K134" s="1196">
        <v>9.0892958556310521</v>
      </c>
      <c r="L134" s="1196">
        <v>-0.83999333945399268</v>
      </c>
      <c r="M134" s="1196">
        <v>-1.8207723778505214</v>
      </c>
      <c r="N134" s="1196">
        <v>-0.57523375427971368</v>
      </c>
      <c r="O134" s="1196">
        <v>-2.9376953591650046</v>
      </c>
      <c r="P134" s="1196">
        <v>-1.3264628713672844</v>
      </c>
      <c r="Q134" s="967"/>
    </row>
    <row r="135" spans="2:17" hidden="1">
      <c r="B135" s="1198" t="s">
        <v>342</v>
      </c>
      <c r="C135" s="1199">
        <v>-0.97452482594880818</v>
      </c>
      <c r="D135" s="1199">
        <v>-1.7265458950171508</v>
      </c>
      <c r="E135" s="1199">
        <v>-1.5405280532731047</v>
      </c>
      <c r="F135" s="1199">
        <v>-2.1007953044542838</v>
      </c>
      <c r="G135" s="1199">
        <v>-0.76491532426634645</v>
      </c>
      <c r="H135" s="1199">
        <v>-1.7719613285796521</v>
      </c>
      <c r="I135" s="1199">
        <v>-2.1277354504574242</v>
      </c>
      <c r="J135" s="1199">
        <v>-0.65274120523570733</v>
      </c>
      <c r="K135" s="1199">
        <v>9.0892958556310521</v>
      </c>
      <c r="L135" s="1199">
        <v>-0.72472974781248034</v>
      </c>
      <c r="M135" s="1199">
        <v>-1.7736090824508888</v>
      </c>
      <c r="N135" s="1199">
        <v>-0.45261565732720443</v>
      </c>
      <c r="O135" s="1199">
        <v>-2.0277201400805023</v>
      </c>
      <c r="P135" s="1196">
        <v>-0.95224894037204688</v>
      </c>
      <c r="Q135" s="967"/>
    </row>
    <row r="136" spans="2:17" hidden="1">
      <c r="B136" s="1198" t="s">
        <v>343</v>
      </c>
      <c r="C136" s="1199">
        <v>-0.77337059215057957</v>
      </c>
      <c r="D136" s="1199">
        <v>-1.6256106923006164</v>
      </c>
      <c r="E136" s="1199">
        <v>-1.5273386055877691</v>
      </c>
      <c r="F136" s="1199">
        <v>-1.7731349055132961</v>
      </c>
      <c r="G136" s="1199">
        <v>-0.83222091416178534</v>
      </c>
      <c r="H136" s="1199">
        <v>-1.3687447253952212</v>
      </c>
      <c r="I136" s="1199">
        <v>-1.905495405062263</v>
      </c>
      <c r="J136" s="1199">
        <v>-0.44527029167191756</v>
      </c>
      <c r="K136" s="1199">
        <v>3.4814108541472821</v>
      </c>
      <c r="L136" s="1199">
        <v>-0.70278137846102595</v>
      </c>
      <c r="M136" s="1199">
        <v>-1.6221582479338137</v>
      </c>
      <c r="N136" s="1199">
        <v>-0.88820314577874315</v>
      </c>
      <c r="O136" s="1199">
        <v>-1.5379830315939036</v>
      </c>
      <c r="P136" s="1196">
        <v>-1.0940652788886118</v>
      </c>
      <c r="Q136" s="967"/>
    </row>
    <row r="137" spans="2:17" hidden="1">
      <c r="B137" s="1198" t="s">
        <v>344</v>
      </c>
      <c r="C137" s="1199">
        <v>-0.41790647206750853</v>
      </c>
      <c r="D137" s="1199">
        <v>-1.3907871662974469</v>
      </c>
      <c r="E137" s="1199">
        <v>-2.2925269063852283</v>
      </c>
      <c r="F137" s="1199">
        <v>-1.253771503784451</v>
      </c>
      <c r="G137" s="1199">
        <v>-0.67467652781884047</v>
      </c>
      <c r="H137" s="1199">
        <v>-1.3877264696130709</v>
      </c>
      <c r="I137" s="1199">
        <v>-1.8742044327763274</v>
      </c>
      <c r="J137" s="1199">
        <v>-0.24369746717026741</v>
      </c>
      <c r="K137" s="1199">
        <v>3.4863412984735831</v>
      </c>
      <c r="L137" s="1199">
        <v>-0.47194801147952825</v>
      </c>
      <c r="M137" s="1199">
        <v>-0.98530597238053463</v>
      </c>
      <c r="N137" s="1199">
        <v>-0.9205316561429755</v>
      </c>
      <c r="O137" s="1199">
        <v>-0.95478836771126785</v>
      </c>
      <c r="P137" s="1200">
        <v>-0.93137364059368011</v>
      </c>
      <c r="Q137" s="967"/>
    </row>
    <row r="138" spans="2:17" hidden="1">
      <c r="B138" s="1198"/>
      <c r="C138" s="1199"/>
      <c r="D138" s="1199"/>
      <c r="E138" s="1199"/>
      <c r="F138" s="1199"/>
      <c r="G138" s="1199"/>
      <c r="H138" s="1199"/>
      <c r="I138" s="1199"/>
      <c r="J138" s="1199"/>
      <c r="K138" s="1199"/>
      <c r="L138" s="1199"/>
      <c r="M138" s="1199"/>
      <c r="N138" s="1199"/>
      <c r="O138" s="1199"/>
      <c r="P138" s="1196"/>
      <c r="Q138" s="967"/>
    </row>
    <row r="139" spans="2:17">
      <c r="B139" s="1189">
        <v>2017</v>
      </c>
      <c r="C139" s="1199"/>
      <c r="D139" s="1199"/>
      <c r="E139" s="1199"/>
      <c r="F139" s="1199"/>
      <c r="G139" s="1199"/>
      <c r="H139" s="1199"/>
      <c r="I139" s="1199"/>
      <c r="J139" s="1199"/>
      <c r="K139" s="1199"/>
      <c r="L139" s="1199"/>
      <c r="M139" s="1199"/>
      <c r="N139" s="1199"/>
      <c r="O139" s="1199"/>
      <c r="P139" s="1200"/>
      <c r="Q139" s="967"/>
    </row>
    <row r="140" spans="2:17">
      <c r="B140" s="1198" t="s">
        <v>345</v>
      </c>
      <c r="C140" s="1199">
        <v>-0.6098891943925655</v>
      </c>
      <c r="D140" s="1199">
        <v>-1.5157386623173341</v>
      </c>
      <c r="E140" s="1199">
        <v>-2.1626006406212817</v>
      </c>
      <c r="F140" s="1199">
        <v>-0.62251798649920476</v>
      </c>
      <c r="G140" s="1199">
        <v>-0.67599333302897913</v>
      </c>
      <c r="H140" s="1199">
        <v>-1.7590654897776337</v>
      </c>
      <c r="I140" s="1199">
        <v>-1.4424545250849241</v>
      </c>
      <c r="J140" s="1199">
        <v>0.20419851273130174</v>
      </c>
      <c r="K140" s="1199">
        <v>3.4863821118612748</v>
      </c>
      <c r="L140" s="1199">
        <v>-1.7098598140541377E-2</v>
      </c>
      <c r="M140" s="1199">
        <v>-0.61948138019666255</v>
      </c>
      <c r="N140" s="1199">
        <v>-0.79262734550809011</v>
      </c>
      <c r="O140" s="1199">
        <v>-0.29690145711607219</v>
      </c>
      <c r="P140" s="1196">
        <v>-0.65075635174998148</v>
      </c>
      <c r="Q140" s="967"/>
    </row>
    <row r="141" spans="2:17">
      <c r="B141" s="1198" t="s">
        <v>334</v>
      </c>
      <c r="C141" s="1199">
        <v>-0.42458646050109738</v>
      </c>
      <c r="D141" s="1199">
        <v>-1.6574485151077734</v>
      </c>
      <c r="E141" s="1199">
        <v>-1.9086657487373149</v>
      </c>
      <c r="F141" s="1199">
        <v>0.26277583971474616</v>
      </c>
      <c r="G141" s="1199">
        <v>-0.5349567426410351</v>
      </c>
      <c r="H141" s="1199">
        <v>-1.2936549744497983</v>
      </c>
      <c r="I141" s="1199">
        <v>-1.3121521121865598</v>
      </c>
      <c r="J141" s="1199">
        <v>0.1789451022630173</v>
      </c>
      <c r="K141" s="1199">
        <v>3.4863821118612748</v>
      </c>
      <c r="L141" s="1199">
        <v>0.23527997196464145</v>
      </c>
      <c r="M141" s="1199">
        <v>-4.5930967643592613E-2</v>
      </c>
      <c r="N141" s="1199">
        <v>-0.43013431785036138</v>
      </c>
      <c r="O141" s="1199">
        <v>1.2886429328101467</v>
      </c>
      <c r="P141" s="1196">
        <v>6.2131183174196636E-2</v>
      </c>
      <c r="Q141" s="967"/>
    </row>
    <row r="142" spans="2:17">
      <c r="B142" s="1198" t="s">
        <v>335</v>
      </c>
      <c r="C142" s="1199">
        <v>-0.12540970725649636</v>
      </c>
      <c r="D142" s="1199">
        <v>-1.4531393562938533</v>
      </c>
      <c r="E142" s="1199">
        <v>-0.94787545189077838</v>
      </c>
      <c r="F142" s="1199">
        <v>1.6406393016820564</v>
      </c>
      <c r="G142" s="1199">
        <v>-0.29531186660880504</v>
      </c>
      <c r="H142" s="1199">
        <v>-0.78782807553089418</v>
      </c>
      <c r="I142" s="1199">
        <v>-1.7403593196690048</v>
      </c>
      <c r="J142" s="1199">
        <v>0.40043630138737463</v>
      </c>
      <c r="K142" s="1199">
        <v>0.11921054260159991</v>
      </c>
      <c r="L142" s="1199">
        <v>0.87119259496577506</v>
      </c>
      <c r="M142" s="1199">
        <v>0.92251716475375556</v>
      </c>
      <c r="N142" s="1199">
        <v>-0.1890731116758082</v>
      </c>
      <c r="O142" s="1199">
        <v>1.2069432111972755</v>
      </c>
      <c r="P142" s="1196">
        <v>0.2106878642899046</v>
      </c>
      <c r="Q142" s="967"/>
    </row>
    <row r="143" spans="2:17">
      <c r="B143" s="1198" t="s">
        <v>336</v>
      </c>
      <c r="C143" s="1199">
        <v>-0.26482793174281705</v>
      </c>
      <c r="D143" s="1199">
        <v>-1.2890798117727087</v>
      </c>
      <c r="E143" s="1199">
        <v>-0.88709051616751022</v>
      </c>
      <c r="F143" s="1199">
        <v>2.0343887387261228</v>
      </c>
      <c r="G143" s="1199">
        <v>-0.33185243854264579</v>
      </c>
      <c r="H143" s="1199">
        <v>-0.85673235425186567</v>
      </c>
      <c r="I143" s="1199">
        <v>-1.6118845111242175</v>
      </c>
      <c r="J143" s="1199">
        <v>0.44465193284339843</v>
      </c>
      <c r="K143" s="1199">
        <v>2.1573248122062072</v>
      </c>
      <c r="L143" s="1199">
        <v>1.3023818684054556</v>
      </c>
      <c r="M143" s="1199">
        <v>1.213669800376227</v>
      </c>
      <c r="N143" s="1199">
        <v>0.13178292733866392</v>
      </c>
      <c r="O143" s="1199">
        <v>1.3548563040144179</v>
      </c>
      <c r="P143" s="1196">
        <v>0.48099937193064601</v>
      </c>
      <c r="Q143" s="967"/>
    </row>
    <row r="144" spans="2:17">
      <c r="B144" s="1207" t="s">
        <v>337</v>
      </c>
      <c r="C144" s="1199">
        <v>0.14929259752569646</v>
      </c>
      <c r="D144" s="1199">
        <v>-0.97887830566580902</v>
      </c>
      <c r="E144" s="1199">
        <v>-1.0146527528077209</v>
      </c>
      <c r="F144" s="1199">
        <v>2.1640951010880149</v>
      </c>
      <c r="G144" s="1199">
        <v>-1.4621395046865437E-2</v>
      </c>
      <c r="H144" s="1199">
        <v>-0.71028544718094722</v>
      </c>
      <c r="I144" s="1199">
        <v>-3.486506099026343E-3</v>
      </c>
      <c r="J144" s="1199">
        <v>0.1732494055368905</v>
      </c>
      <c r="K144" s="1199">
        <v>2.1588137733888679</v>
      </c>
      <c r="L144" s="1199">
        <v>0.88285487589649936</v>
      </c>
      <c r="M144" s="1199">
        <v>1.4591577176836346</v>
      </c>
      <c r="N144" s="1199">
        <v>0.28060286284434799</v>
      </c>
      <c r="O144" s="1199">
        <v>1.9188402821589623</v>
      </c>
      <c r="P144" s="1196">
        <v>0.7471833554252294</v>
      </c>
      <c r="Q144" s="1208"/>
    </row>
    <row r="145" spans="1:18">
      <c r="B145" s="1198" t="s">
        <v>338</v>
      </c>
      <c r="C145" s="1199">
        <v>0.29043811869424729</v>
      </c>
      <c r="D145" s="1199">
        <v>-0.74180082460812979</v>
      </c>
      <c r="E145" s="1199">
        <v>-2.3922872439758991</v>
      </c>
      <c r="F145" s="1199">
        <v>2.5209627311517879</v>
      </c>
      <c r="G145" s="1199">
        <v>-0.19407536155273686</v>
      </c>
      <c r="H145" s="1199">
        <v>-0.80710876759166883</v>
      </c>
      <c r="I145" s="1199">
        <v>-1.6641739848832771E-3</v>
      </c>
      <c r="J145" s="1199">
        <v>0.58713889476871284</v>
      </c>
      <c r="K145" s="1199">
        <v>-0.48072747324556797</v>
      </c>
      <c r="L145" s="1199">
        <v>0.8645257242017701</v>
      </c>
      <c r="M145" s="1199">
        <v>1.7028469367906363</v>
      </c>
      <c r="N145" s="1199">
        <v>-0.28148361706005209</v>
      </c>
      <c r="O145" s="1199">
        <v>1.8169555946980331</v>
      </c>
      <c r="P145" s="1196">
        <v>0.31291981489651732</v>
      </c>
    </row>
    <row r="146" spans="1:18">
      <c r="B146" s="1207" t="s">
        <v>339</v>
      </c>
      <c r="C146" s="1199">
        <v>0.46958574797553165</v>
      </c>
      <c r="D146" s="1199">
        <v>-0.58359930973775898</v>
      </c>
      <c r="E146" s="1199">
        <v>-2.4278453239750974</v>
      </c>
      <c r="F146" s="1199">
        <v>2.4071745743014406</v>
      </c>
      <c r="G146" s="1199">
        <v>-3.1579663013259207E-2</v>
      </c>
      <c r="H146" s="1199">
        <v>-1.0082022767048171</v>
      </c>
      <c r="I146" s="1199">
        <v>0.28512917488716649</v>
      </c>
      <c r="J146" s="1199">
        <v>0.54599412752973642</v>
      </c>
      <c r="K146" s="1199">
        <v>-3.2770280256751216</v>
      </c>
      <c r="L146" s="1199">
        <v>1.928462451184787</v>
      </c>
      <c r="M146" s="1199">
        <v>2.1205300713001529</v>
      </c>
      <c r="N146" s="1199">
        <v>-0.56095165555534177</v>
      </c>
      <c r="O146" s="1199">
        <v>1.9227320766593836</v>
      </c>
      <c r="P146" s="1196">
        <v>0.1401903061483134</v>
      </c>
    </row>
    <row r="147" spans="1:18">
      <c r="B147" s="1198" t="s">
        <v>340</v>
      </c>
      <c r="C147" s="1199">
        <v>0.35019687016490941</v>
      </c>
      <c r="D147" s="1199">
        <v>-0.26441208810781269</v>
      </c>
      <c r="E147" s="1199">
        <v>-2.3735476223905372</v>
      </c>
      <c r="F147" s="1199">
        <v>2.4954490251242856</v>
      </c>
      <c r="G147" s="1199">
        <v>2.1859869874440996E-2</v>
      </c>
      <c r="H147" s="1199">
        <v>-0.88477283841417176</v>
      </c>
      <c r="I147" s="1199">
        <v>0.33416508564168002</v>
      </c>
      <c r="J147" s="1199">
        <v>0.77683810731212777</v>
      </c>
      <c r="K147" s="1199">
        <v>-3.2770280256751216</v>
      </c>
      <c r="L147" s="1199">
        <v>1.9197490354007529</v>
      </c>
      <c r="M147" s="1199">
        <v>2.0487957083452191</v>
      </c>
      <c r="N147" s="1199">
        <v>-0.50017481394584173</v>
      </c>
      <c r="O147" s="1199">
        <v>1.7602330723819781</v>
      </c>
      <c r="P147" s="1196">
        <v>0.13676063356249379</v>
      </c>
    </row>
    <row r="148" spans="1:18">
      <c r="B148" s="1198" t="s">
        <v>341</v>
      </c>
      <c r="C148" s="1199">
        <v>0.26798166994410622</v>
      </c>
      <c r="D148" s="1199">
        <v>0.21750417941999167</v>
      </c>
      <c r="E148" s="1199">
        <v>-1.0472636839617522</v>
      </c>
      <c r="F148" s="1199">
        <v>3.905000187467178</v>
      </c>
      <c r="G148" s="1199">
        <v>0.11984658999000253</v>
      </c>
      <c r="H148" s="1199">
        <v>-1.1087974143197843</v>
      </c>
      <c r="I148" s="1199">
        <v>0.5650970690398216</v>
      </c>
      <c r="J148" s="1199">
        <v>1.6898011155956016</v>
      </c>
      <c r="K148" s="1199">
        <v>-3.2770280256751216</v>
      </c>
      <c r="L148" s="1199">
        <v>1.9653811842768931</v>
      </c>
      <c r="M148" s="1199">
        <v>2.072252533144181</v>
      </c>
      <c r="N148" s="1199">
        <v>9.9956207396045826E-2</v>
      </c>
      <c r="O148" s="1199">
        <v>2.4913894818383797</v>
      </c>
      <c r="P148" s="1196">
        <v>0.77513094473729005</v>
      </c>
    </row>
    <row r="149" spans="1:18">
      <c r="B149" s="1198" t="s">
        <v>342</v>
      </c>
      <c r="C149" s="1199">
        <v>0.94749907175859516</v>
      </c>
      <c r="D149" s="1199">
        <v>1.9077508299046642</v>
      </c>
      <c r="E149" s="1199">
        <v>-0.6788562818437649</v>
      </c>
      <c r="F149" s="1199">
        <v>7.4672775221643173</v>
      </c>
      <c r="G149" s="1199">
        <v>1.2159209364138279</v>
      </c>
      <c r="H149" s="1199">
        <v>1.8531159791224106E-2</v>
      </c>
      <c r="I149" s="1199">
        <v>0.93648526690823797</v>
      </c>
      <c r="J149" s="1199">
        <v>4.8360873436512186</v>
      </c>
      <c r="K149" s="1199">
        <v>-3.2770280256751216</v>
      </c>
      <c r="L149" s="1199">
        <v>2.4921573470209069</v>
      </c>
      <c r="M149" s="1199">
        <v>4.609237786846121</v>
      </c>
      <c r="N149" s="1199">
        <v>1.3822970299529169</v>
      </c>
      <c r="O149" s="1199">
        <v>4.3963648741029093</v>
      </c>
      <c r="P149" s="1196">
        <v>2.2358961784492815</v>
      </c>
      <c r="Q149" s="967"/>
    </row>
    <row r="150" spans="1:18">
      <c r="B150" s="1198" t="s">
        <v>343</v>
      </c>
      <c r="C150" s="1199">
        <v>1.1693940457043528</v>
      </c>
      <c r="D150" s="1199">
        <v>2.6237955188826101</v>
      </c>
      <c r="E150" s="1199">
        <v>-0.61621478573175015</v>
      </c>
      <c r="F150" s="1199">
        <v>8.7786979427772813</v>
      </c>
      <c r="G150" s="1199">
        <v>1.6656570179858443</v>
      </c>
      <c r="H150" s="1199">
        <v>-1.7829122514401163E-2</v>
      </c>
      <c r="I150" s="1199">
        <v>0.8936284772890879</v>
      </c>
      <c r="J150" s="1199">
        <v>5.8323917201453135</v>
      </c>
      <c r="K150" s="1199">
        <v>-2.2537005994401227</v>
      </c>
      <c r="L150" s="1199">
        <v>1.7590081394226909</v>
      </c>
      <c r="M150" s="1199">
        <v>5.6190184818697642</v>
      </c>
      <c r="N150" s="1199">
        <v>1.9065022710966328</v>
      </c>
      <c r="O150" s="1199">
        <v>5.6476879886282916</v>
      </c>
      <c r="P150" s="1196">
        <v>2.9715429836730589</v>
      </c>
      <c r="Q150" s="967"/>
    </row>
    <row r="151" spans="1:18">
      <c r="B151" s="1198" t="s">
        <v>344</v>
      </c>
      <c r="C151" s="1199">
        <v>1.5095408009856204</v>
      </c>
      <c r="D151" s="1199">
        <v>3.2705432509426258</v>
      </c>
      <c r="E151" s="1199">
        <v>-0.44754881696902338</v>
      </c>
      <c r="F151" s="1199">
        <v>8.7704427365829183</v>
      </c>
      <c r="G151" s="1199">
        <v>1.5745170068308889</v>
      </c>
      <c r="H151" s="1199">
        <v>0.54820903128984799</v>
      </c>
      <c r="I151" s="1199">
        <v>0.88843899322186282</v>
      </c>
      <c r="J151" s="1199">
        <v>6.3492923051254646</v>
      </c>
      <c r="K151" s="1199">
        <v>-2.2558528499432517</v>
      </c>
      <c r="L151" s="1199">
        <v>2.0920978184415295</v>
      </c>
      <c r="M151" s="1199">
        <v>6.0402897455926974</v>
      </c>
      <c r="N151" s="1199">
        <v>2.1969633693236679</v>
      </c>
      <c r="O151" s="1199">
        <v>6.604787317277494</v>
      </c>
      <c r="P151" s="1196">
        <v>3.4558454527203519</v>
      </c>
      <c r="Q151" s="967"/>
    </row>
    <row r="152" spans="1:18">
      <c r="B152" s="1198"/>
      <c r="C152" s="1199"/>
      <c r="D152" s="1199"/>
      <c r="E152" s="1199"/>
      <c r="F152" s="1199"/>
      <c r="G152" s="1199"/>
      <c r="H152" s="1199"/>
      <c r="I152" s="1199"/>
      <c r="J152" s="1199"/>
      <c r="K152" s="1199"/>
      <c r="L152" s="1199"/>
      <c r="M152" s="1199"/>
      <c r="N152" s="1199"/>
      <c r="O152" s="1199"/>
      <c r="P152" s="1196"/>
      <c r="Q152" s="967"/>
    </row>
    <row r="153" spans="1:18">
      <c r="B153" s="930">
        <v>2018</v>
      </c>
      <c r="C153" s="1199"/>
      <c r="D153" s="1199"/>
      <c r="E153" s="1199"/>
      <c r="F153" s="1199"/>
      <c r="G153" s="1199"/>
      <c r="H153" s="1199"/>
      <c r="I153" s="1199"/>
      <c r="J153" s="1199"/>
      <c r="K153" s="1199"/>
      <c r="L153" s="1199"/>
      <c r="M153" s="1199"/>
      <c r="N153" s="1199"/>
      <c r="O153" s="1199"/>
      <c r="P153" s="1196"/>
      <c r="Q153" s="967"/>
    </row>
    <row r="154" spans="1:18">
      <c r="B154" s="930" t="s">
        <v>345</v>
      </c>
      <c r="C154" s="1199">
        <v>1.826950289161533</v>
      </c>
      <c r="D154" s="1199">
        <v>4.1180172964605077</v>
      </c>
      <c r="E154" s="1199">
        <v>-0.5249330395574292</v>
      </c>
      <c r="F154" s="1199">
        <v>8.9990082438645036</v>
      </c>
      <c r="G154" s="1199">
        <v>1.8222126652010617</v>
      </c>
      <c r="H154" s="1199">
        <v>1.3023749991433631</v>
      </c>
      <c r="I154" s="1199">
        <v>0.40915309820370727</v>
      </c>
      <c r="J154" s="1199">
        <v>7.9504640052405762</v>
      </c>
      <c r="K154" s="1199">
        <v>-2.2519873468709095</v>
      </c>
      <c r="L154" s="1199">
        <v>1.6258416734785452</v>
      </c>
      <c r="M154" s="1199">
        <v>6.6370191644509191</v>
      </c>
      <c r="N154" s="1199">
        <v>2.4544014779365186</v>
      </c>
      <c r="O154" s="1199">
        <v>6.1728081573455107</v>
      </c>
      <c r="P154" s="1196">
        <v>3.5223565626566256</v>
      </c>
      <c r="Q154" s="967"/>
    </row>
    <row r="155" spans="1:18">
      <c r="A155" s="1344"/>
      <c r="B155" s="1198" t="s">
        <v>334</v>
      </c>
      <c r="C155" s="1199">
        <v>2.0404303984023153</v>
      </c>
      <c r="D155" s="1199">
        <v>5.2088280201286308</v>
      </c>
      <c r="E155" s="1199">
        <v>-0.65336840331123858</v>
      </c>
      <c r="F155" s="1199">
        <v>8.7081264201375408</v>
      </c>
      <c r="G155" s="1199">
        <v>1.8444433352270195</v>
      </c>
      <c r="H155" s="1199">
        <v>1.1722886624979667</v>
      </c>
      <c r="I155" s="1199">
        <v>0.56005602982498459</v>
      </c>
      <c r="J155" s="1199">
        <v>8.9612253272443265</v>
      </c>
      <c r="K155" s="1199">
        <v>-2.2500369098192419</v>
      </c>
      <c r="L155" s="1199">
        <v>1.4507217984059073</v>
      </c>
      <c r="M155" s="1199">
        <v>6.3139511784823688</v>
      </c>
      <c r="N155" s="1199">
        <v>2.414355080938213</v>
      </c>
      <c r="O155" s="1199">
        <v>4.3490176283625059</v>
      </c>
      <c r="P155" s="1199">
        <v>2.9752429305622163</v>
      </c>
      <c r="Q155" s="1199"/>
    </row>
    <row r="156" spans="1:18">
      <c r="A156" s="1344"/>
      <c r="B156" s="1207" t="s">
        <v>335</v>
      </c>
      <c r="C156" s="1199">
        <v>2.0160062107702936</v>
      </c>
      <c r="D156" s="1199">
        <v>4.8126532048146764</v>
      </c>
      <c r="E156" s="1199">
        <v>-1.320659400942259</v>
      </c>
      <c r="F156" s="1199">
        <v>8.5175973143164043</v>
      </c>
      <c r="G156" s="1199">
        <v>1.9146225076926093</v>
      </c>
      <c r="H156" s="1199">
        <v>-0.35025399516848132</v>
      </c>
      <c r="I156" s="1199">
        <v>-1.0270891606043664</v>
      </c>
      <c r="J156" s="1199">
        <v>10.484348110801278</v>
      </c>
      <c r="K156" s="1199">
        <v>-2.2449025197026962</v>
      </c>
      <c r="L156" s="1199">
        <v>1.3049355274595387</v>
      </c>
      <c r="M156" s="1199">
        <v>5.3529935081664703</v>
      </c>
      <c r="N156" s="1199">
        <v>2.3715929434782179</v>
      </c>
      <c r="O156" s="1199">
        <v>4.5388795082621947</v>
      </c>
      <c r="P156" s="1199">
        <v>2.6827512055836999</v>
      </c>
      <c r="Q156" s="1199"/>
    </row>
    <row r="157" spans="1:18">
      <c r="A157" s="1344"/>
      <c r="B157" s="930" t="s">
        <v>336</v>
      </c>
      <c r="C157" s="1199">
        <v>2.3375337716200928</v>
      </c>
      <c r="D157" s="1199">
        <v>5.14312998159423</v>
      </c>
      <c r="E157" s="1199">
        <v>-1.3632601613703277</v>
      </c>
      <c r="F157" s="1199">
        <v>8.4492051329260178</v>
      </c>
      <c r="G157" s="1199">
        <v>2.0630443446633562</v>
      </c>
      <c r="H157" s="1199">
        <v>-0.67290091900196192</v>
      </c>
      <c r="I157" s="1199">
        <v>-1.2848318272660419</v>
      </c>
      <c r="J157" s="1199">
        <v>10.355931824079633</v>
      </c>
      <c r="K157" s="1199">
        <v>-3.5816642644284413</v>
      </c>
      <c r="L157" s="1199">
        <v>2.8353997787630369</v>
      </c>
      <c r="M157" s="1199">
        <v>5.6988678716974439</v>
      </c>
      <c r="N157" s="1199">
        <v>2.2596952810482795</v>
      </c>
      <c r="O157" s="1199">
        <v>4.9378997096490629</v>
      </c>
      <c r="P157" s="1199">
        <v>2.7121713620765764</v>
      </c>
      <c r="Q157" s="1199"/>
    </row>
    <row r="158" spans="1:18">
      <c r="A158" s="1344"/>
      <c r="B158" s="930" t="s">
        <v>337</v>
      </c>
      <c r="C158" s="1199">
        <v>2.1815970089018144</v>
      </c>
      <c r="D158" s="1199">
        <v>5.1520253388234183</v>
      </c>
      <c r="E158" s="1199">
        <v>-1.361303272675296</v>
      </c>
      <c r="F158" s="1199">
        <v>8.296163304948978</v>
      </c>
      <c r="G158" s="1199">
        <v>1.9589186794603419</v>
      </c>
      <c r="H158" s="1199">
        <v>-0.57771499066076037</v>
      </c>
      <c r="I158" s="1199">
        <v>-1.2953152365678511</v>
      </c>
      <c r="J158" s="1199">
        <v>10.671569870228058</v>
      </c>
      <c r="K158" s="1199">
        <v>-3.58453358626315</v>
      </c>
      <c r="L158" s="1199">
        <v>3.2919554384670979</v>
      </c>
      <c r="M158" s="1199">
        <v>6.140475713623661</v>
      </c>
      <c r="N158" s="1199">
        <v>2.2797407225455757</v>
      </c>
      <c r="O158" s="1199">
        <v>4.8874234736943301</v>
      </c>
      <c r="P158" s="1199">
        <v>2.7117541946855006</v>
      </c>
      <c r="Q158" s="1199"/>
      <c r="R158" s="1415"/>
    </row>
    <row r="159" spans="1:18">
      <c r="A159" s="1344"/>
      <c r="B159" s="930" t="s">
        <v>338</v>
      </c>
      <c r="C159" s="1199">
        <v>2.5779272597735492</v>
      </c>
      <c r="D159" s="1199">
        <v>5.2666109171500608</v>
      </c>
      <c r="E159" s="1199">
        <v>-0.70182186774839783</v>
      </c>
      <c r="F159" s="1199">
        <v>7.3644174625414394</v>
      </c>
      <c r="G159" s="1199">
        <v>2.3787520964667852</v>
      </c>
      <c r="H159" s="1199">
        <v>-0.20437389790421978</v>
      </c>
      <c r="I159" s="1199">
        <v>-1.1958648527093496</v>
      </c>
      <c r="J159" s="1199">
        <v>10.198400040583454</v>
      </c>
      <c r="K159" s="1199">
        <v>-3.58453358626315</v>
      </c>
      <c r="L159" s="1199">
        <v>3.2647437508397159</v>
      </c>
      <c r="M159" s="1199">
        <v>6.8462555153869342</v>
      </c>
      <c r="N159" s="1199">
        <v>2.4786225911234805</v>
      </c>
      <c r="O159" s="1199">
        <v>5.1188801765728487</v>
      </c>
      <c r="P159" s="1384">
        <v>2.9086189416631214</v>
      </c>
      <c r="Q159" s="1344"/>
      <c r="R159" s="1415"/>
    </row>
    <row r="160" spans="1:18">
      <c r="A160" s="1344"/>
      <c r="B160" s="930" t="s">
        <v>339</v>
      </c>
      <c r="C160" s="1199">
        <v>2.8284143111551918</v>
      </c>
      <c r="D160" s="1199">
        <v>5.6591747971503459</v>
      </c>
      <c r="E160" s="1199">
        <v>-0.71241597447400107</v>
      </c>
      <c r="F160" s="1199">
        <v>7.857307074684905</v>
      </c>
      <c r="G160" s="1199">
        <v>2.6788172829153689</v>
      </c>
      <c r="H160" s="1199">
        <v>0.19616839147675869</v>
      </c>
      <c r="I160" s="1199">
        <v>-1.0374587996770712</v>
      </c>
      <c r="J160" s="1199">
        <v>10.864873460770763</v>
      </c>
      <c r="K160" s="1199">
        <v>6.3080499253673983</v>
      </c>
      <c r="L160" s="1199">
        <v>5.4151879587170049</v>
      </c>
      <c r="M160" s="1199">
        <v>7.5302338997200069</v>
      </c>
      <c r="N160" s="1199">
        <v>3.9409835133928928</v>
      </c>
      <c r="O160" s="1199">
        <v>6.3456161304501935</v>
      </c>
      <c r="P160" s="1384">
        <v>4.2865951788096934</v>
      </c>
      <c r="Q160" s="1344"/>
      <c r="R160" s="1415"/>
    </row>
    <row r="161" spans="1:18">
      <c r="A161" s="1344"/>
      <c r="B161" s="930" t="s">
        <v>340</v>
      </c>
      <c r="C161" s="1199">
        <v>3.1501621264363955</v>
      </c>
      <c r="D161" s="1199">
        <v>6.0272839202321071</v>
      </c>
      <c r="E161" s="1199">
        <v>-0.76584948001444664</v>
      </c>
      <c r="F161" s="1199">
        <v>8.7826817878543739</v>
      </c>
      <c r="G161" s="1199">
        <v>2.8933895076432625</v>
      </c>
      <c r="H161" s="1199">
        <v>0.66549237840278774</v>
      </c>
      <c r="I161" s="1199">
        <v>-1.0667533550247299</v>
      </c>
      <c r="J161" s="1199">
        <v>10.467214656333045</v>
      </c>
      <c r="K161" s="1199">
        <v>6.3072977413363596</v>
      </c>
      <c r="L161" s="1199">
        <v>5.5327561179894902</v>
      </c>
      <c r="M161" s="1199">
        <v>7.8385718077893296</v>
      </c>
      <c r="N161" s="1199">
        <v>4.2205006459312466</v>
      </c>
      <c r="O161" s="1199">
        <v>7.5154400580179637</v>
      </c>
      <c r="P161" s="1384">
        <v>4.8288330141175173</v>
      </c>
      <c r="Q161" s="1344"/>
      <c r="R161" s="1415"/>
    </row>
    <row r="162" spans="1:18">
      <c r="A162" s="1344"/>
      <c r="B162" s="930" t="s">
        <v>341</v>
      </c>
      <c r="C162" s="1199">
        <v>3.3529688344187791</v>
      </c>
      <c r="D162" s="1199">
        <v>6.9752176174478375</v>
      </c>
      <c r="E162" s="1199">
        <v>-0.46923355391221833</v>
      </c>
      <c r="F162" s="1199">
        <v>10.600032380784597</v>
      </c>
      <c r="G162" s="1199">
        <v>4.7711265200652386</v>
      </c>
      <c r="H162" s="1199">
        <v>1.4894550121773431</v>
      </c>
      <c r="I162" s="1199">
        <v>-0.89014158866129733</v>
      </c>
      <c r="J162" s="1199">
        <v>10.003161515525893</v>
      </c>
      <c r="K162" s="1199">
        <v>6.3072977413363596</v>
      </c>
      <c r="L162" s="1199">
        <v>5.7698241836227071</v>
      </c>
      <c r="M162" s="1199">
        <v>7.7851004391922274</v>
      </c>
      <c r="N162" s="1199">
        <v>4.8279541000260551</v>
      </c>
      <c r="O162" s="1199">
        <v>7.9363236052720332</v>
      </c>
      <c r="P162" s="1384">
        <v>5.3903088775004271</v>
      </c>
      <c r="Q162" s="1344"/>
      <c r="R162" s="1415"/>
    </row>
    <row r="163" spans="1:18">
      <c r="A163" s="1344"/>
      <c r="B163" s="930" t="s">
        <v>342</v>
      </c>
      <c r="C163" s="1199">
        <v>10.809708601192058</v>
      </c>
      <c r="D163" s="1417">
        <v>53.83379801324044</v>
      </c>
      <c r="E163" s="1417">
        <v>2.2037484443481636</v>
      </c>
      <c r="F163" s="1417">
        <v>35.572268904724112</v>
      </c>
      <c r="G163" s="1418">
        <v>17.083591010573883</v>
      </c>
      <c r="H163" s="1344">
        <v>19.613588816201322</v>
      </c>
      <c r="I163" s="1417">
        <v>0.11477780396660364</v>
      </c>
      <c r="J163" s="1417">
        <v>36.237776175863459</v>
      </c>
      <c r="K163" s="1417">
        <v>6.3072977413363596</v>
      </c>
      <c r="L163" s="1418">
        <v>15.678249136387556</v>
      </c>
      <c r="M163" s="1418">
        <v>19.313262259113984</v>
      </c>
      <c r="N163" s="1344">
        <v>18.712922266244124</v>
      </c>
      <c r="O163" s="1418">
        <v>26.784060483607732</v>
      </c>
      <c r="P163" s="1384">
        <v>20.854126323373801</v>
      </c>
      <c r="Q163" s="1344"/>
      <c r="R163" s="1415"/>
    </row>
    <row r="164" spans="1:18">
      <c r="A164" s="1344"/>
      <c r="B164" s="930" t="s">
        <v>343</v>
      </c>
      <c r="C164" s="1344">
        <v>18.469290752595846</v>
      </c>
      <c r="D164" s="1417">
        <v>69.142648575357569</v>
      </c>
      <c r="E164" s="1417">
        <v>7.0447773742093878</v>
      </c>
      <c r="F164" s="1417">
        <v>46.01273130769512</v>
      </c>
      <c r="G164" s="1418">
        <v>20.562732205387825</v>
      </c>
      <c r="H164" s="1344">
        <v>22.01772057225908</v>
      </c>
      <c r="I164" s="1417">
        <v>0.33747087009889931</v>
      </c>
      <c r="J164" s="1417">
        <v>56.699045271977951</v>
      </c>
      <c r="K164" s="1417">
        <v>8.2254552673004966</v>
      </c>
      <c r="L164" s="1418">
        <v>27.340333541739636</v>
      </c>
      <c r="M164" s="1418">
        <v>36.209080578673934</v>
      </c>
      <c r="N164" s="1344">
        <v>26.017253947638697</v>
      </c>
      <c r="O164" s="1418">
        <v>42.713990834852567</v>
      </c>
      <c r="P164" s="1384">
        <v>31.005289232223141</v>
      </c>
      <c r="Q164" s="1344"/>
      <c r="R164" s="1415"/>
    </row>
    <row r="165" spans="1:18">
      <c r="A165" s="1344"/>
      <c r="B165" s="930" t="s">
        <v>344</v>
      </c>
      <c r="C165" s="1344">
        <v>30.205412569419575</v>
      </c>
      <c r="D165" s="1417">
        <v>81.480885074028294</v>
      </c>
      <c r="E165" s="1417">
        <v>10.482268648977989</v>
      </c>
      <c r="F165" s="1417">
        <v>57.082094666211901</v>
      </c>
      <c r="G165" s="1418">
        <v>30.79719369037397</v>
      </c>
      <c r="H165" s="1344">
        <v>56.465690285066117</v>
      </c>
      <c r="I165" s="1417">
        <v>1.6118748712153019</v>
      </c>
      <c r="J165" s="1417">
        <v>60.450569285214243</v>
      </c>
      <c r="K165" s="1417">
        <v>8.2226819625894834</v>
      </c>
      <c r="L165" s="1418">
        <v>44.263785278159993</v>
      </c>
      <c r="M165" s="1418">
        <v>48.820106027911827</v>
      </c>
      <c r="N165" s="1344">
        <v>37.077578415165057</v>
      </c>
      <c r="O165" s="1418">
        <v>53.681109155995685</v>
      </c>
      <c r="P165" s="1384">
        <v>42.08751642780355</v>
      </c>
      <c r="Q165" s="1344"/>
      <c r="R165" s="1415"/>
    </row>
    <row r="166" spans="1:18">
      <c r="A166" s="1344"/>
      <c r="B166" s="1202"/>
      <c r="C166" s="1344"/>
      <c r="D166" s="1471"/>
      <c r="E166" s="1471"/>
      <c r="F166" s="1471"/>
      <c r="G166" s="1472"/>
      <c r="H166" s="1344"/>
      <c r="I166" s="1471"/>
      <c r="J166" s="1471"/>
      <c r="K166" s="1471"/>
      <c r="L166" s="1472"/>
      <c r="M166" s="1472"/>
      <c r="N166" s="1344"/>
      <c r="O166" s="1472"/>
      <c r="P166" s="1473"/>
      <c r="Q166" s="1344"/>
      <c r="R166" s="1415"/>
    </row>
    <row r="167" spans="1:18">
      <c r="A167" s="1344"/>
      <c r="B167" s="1408">
        <v>2019</v>
      </c>
      <c r="C167" s="1344"/>
      <c r="D167" s="1471"/>
      <c r="E167" s="1471"/>
      <c r="F167" s="1471"/>
      <c r="G167" s="1472"/>
      <c r="H167" s="1344"/>
      <c r="I167" s="1471"/>
      <c r="J167" s="1471"/>
      <c r="K167" s="1471"/>
      <c r="L167" s="1472"/>
      <c r="M167" s="1472"/>
      <c r="N167" s="1344"/>
      <c r="O167" s="1472"/>
      <c r="P167" s="1473"/>
      <c r="Q167" s="1344"/>
      <c r="R167" s="1415"/>
    </row>
    <row r="168" spans="1:18">
      <c r="A168" s="1344"/>
      <c r="B168" s="1479" t="s">
        <v>345</v>
      </c>
      <c r="C168" s="1344">
        <v>47.34240715178413</v>
      </c>
      <c r="D168" s="1471">
        <v>82.131887759711432</v>
      </c>
      <c r="E168" s="1471">
        <v>15.269481014016574</v>
      </c>
      <c r="F168" s="1471">
        <v>70.997559168032836</v>
      </c>
      <c r="G168" s="1472">
        <v>45.883341490768892</v>
      </c>
      <c r="H168" s="1344">
        <v>130.40622423904119</v>
      </c>
      <c r="I168" s="1471">
        <v>2.7939266336878932</v>
      </c>
      <c r="J168" s="1471">
        <v>74.998839313953653</v>
      </c>
      <c r="K168" s="1471">
        <v>8.3229591442659956</v>
      </c>
      <c r="L168" s="1472">
        <v>61.449439960436678</v>
      </c>
      <c r="M168" s="1472">
        <v>57.808487624197923</v>
      </c>
      <c r="N168" s="1344">
        <v>54.262673464840042</v>
      </c>
      <c r="O168" s="1472">
        <v>63.706776885902293</v>
      </c>
      <c r="P168" s="1473">
        <v>56.896928597494821</v>
      </c>
      <c r="Q168" s="1344"/>
      <c r="R168" s="1415"/>
    </row>
    <row r="169" spans="1:18">
      <c r="A169" s="1344"/>
      <c r="B169" s="1479" t="s">
        <v>334</v>
      </c>
      <c r="C169" s="1344">
        <v>51.283045060617468</v>
      </c>
      <c r="D169" s="1471">
        <v>91.221422382173657</v>
      </c>
      <c r="E169" s="1471">
        <v>18.461318691196649</v>
      </c>
      <c r="F169" s="1471">
        <v>74.91926031668379</v>
      </c>
      <c r="G169" s="1472">
        <v>50.160917176253726</v>
      </c>
      <c r="H169" s="1344">
        <v>112.71015297716316</v>
      </c>
      <c r="I169" s="1471">
        <v>2.7836030012851509</v>
      </c>
      <c r="J169" s="1471">
        <v>79.380593166113499</v>
      </c>
      <c r="K169" s="1471">
        <v>8.3444359366664944</v>
      </c>
      <c r="L169" s="1472">
        <v>64.994130139341394</v>
      </c>
      <c r="M169" s="1472">
        <v>64.306932362101364</v>
      </c>
      <c r="N169" s="1344">
        <v>55.044946449474928</v>
      </c>
      <c r="O169" s="1472">
        <v>69.840238957238824</v>
      </c>
      <c r="P169" s="1473">
        <v>59.391548726043133</v>
      </c>
      <c r="Q169" s="1344"/>
      <c r="R169" s="1415"/>
    </row>
    <row r="170" spans="1:18">
      <c r="A170" s="1344"/>
      <c r="B170" s="1479" t="s">
        <v>335</v>
      </c>
      <c r="C170" s="1344">
        <v>72.668242117626875</v>
      </c>
      <c r="D170" s="1471">
        <v>102.55005158808355</v>
      </c>
      <c r="E170" s="1471">
        <v>22.138307947270739</v>
      </c>
      <c r="F170" s="1471">
        <v>83.177646421441011</v>
      </c>
      <c r="G170" s="1472">
        <v>53.33567306890177</v>
      </c>
      <c r="H170" s="1344">
        <v>122.10401020299506</v>
      </c>
      <c r="I170" s="1471">
        <v>4.594508661154717</v>
      </c>
      <c r="J170" s="1471">
        <v>83.51072190206439</v>
      </c>
      <c r="K170" s="1471">
        <v>12.299914418859537</v>
      </c>
      <c r="L170" s="1472">
        <v>72.723746111868778</v>
      </c>
      <c r="M170" s="1472">
        <v>73.745261840172319</v>
      </c>
      <c r="N170" s="1344">
        <v>61.187733815541925</v>
      </c>
      <c r="O170" s="1472">
        <v>78.553213554199203</v>
      </c>
      <c r="P170" s="1473">
        <v>66.796172906109177</v>
      </c>
      <c r="Q170" s="1344"/>
      <c r="R170" s="1415"/>
    </row>
    <row r="171" spans="1:18">
      <c r="A171" s="1344"/>
      <c r="B171" s="1479" t="s">
        <v>336</v>
      </c>
      <c r="C171" s="1344">
        <v>93.083793369505855</v>
      </c>
      <c r="D171" s="1471">
        <v>115.12581081609055</v>
      </c>
      <c r="E171" s="1471">
        <v>22.940336758299075</v>
      </c>
      <c r="F171" s="1471">
        <v>93.883158106096445</v>
      </c>
      <c r="G171" s="1472">
        <v>83.65689637178761</v>
      </c>
      <c r="H171" s="1344">
        <v>130.40140290161557</v>
      </c>
      <c r="I171" s="1471">
        <v>8.4864799097231103</v>
      </c>
      <c r="J171" s="1471">
        <v>93.538828584451991</v>
      </c>
      <c r="K171" s="1471">
        <v>19.331314108160825</v>
      </c>
      <c r="L171" s="1472">
        <v>103.05683687004704</v>
      </c>
      <c r="M171" s="1472">
        <v>82.564765116366928</v>
      </c>
      <c r="N171" s="1344">
        <v>68.169430915232198</v>
      </c>
      <c r="O171" s="1472">
        <v>92.522632027336286</v>
      </c>
      <c r="P171" s="1473">
        <v>75.857381211294438</v>
      </c>
      <c r="Q171" s="1344"/>
      <c r="R171" s="1415"/>
    </row>
    <row r="172" spans="1:18">
      <c r="A172" s="1344"/>
      <c r="B172" s="1479" t="s">
        <v>337</v>
      </c>
      <c r="C172" s="1344">
        <v>134.80177771155292</v>
      </c>
      <c r="D172" s="1471">
        <v>140.46329011592019</v>
      </c>
      <c r="E172" s="1471">
        <v>26.073047325013647</v>
      </c>
      <c r="F172" s="1471">
        <v>116.47268100964854</v>
      </c>
      <c r="G172" s="1472">
        <v>114.53868655840108</v>
      </c>
      <c r="H172" s="1344">
        <v>167.31650014501673</v>
      </c>
      <c r="I172" s="1471">
        <v>42.357796289362369</v>
      </c>
      <c r="J172" s="1471">
        <v>151.041190839969</v>
      </c>
      <c r="K172" s="1471">
        <v>22.974944883035221</v>
      </c>
      <c r="L172" s="1472">
        <v>116.48569119962735</v>
      </c>
      <c r="M172" s="1472">
        <v>98.278050198862559</v>
      </c>
      <c r="N172" s="1344">
        <v>85.942261201590981</v>
      </c>
      <c r="O172" s="1472">
        <v>126.42512197557619</v>
      </c>
      <c r="P172" s="1473">
        <v>97.853193646198349</v>
      </c>
      <c r="Q172" s="1344"/>
      <c r="R172" s="1415"/>
    </row>
    <row r="173" spans="1:18">
      <c r="A173" s="1344"/>
      <c r="B173" s="1479" t="s">
        <v>338</v>
      </c>
      <c r="C173" s="1344">
        <v>228.95161693604234</v>
      </c>
      <c r="D173" s="1471">
        <v>283.95739251583933</v>
      </c>
      <c r="E173" s="1471">
        <v>49.134060180474172</v>
      </c>
      <c r="F173" s="1471">
        <v>256.29053530690607</v>
      </c>
      <c r="G173" s="1472">
        <v>213.17358634443266</v>
      </c>
      <c r="H173" s="1344">
        <v>278.5800620912712</v>
      </c>
      <c r="I173" s="1471">
        <v>45.524865970506958</v>
      </c>
      <c r="J173" s="1471">
        <v>240.71022899312072</v>
      </c>
      <c r="K173" s="1471">
        <v>23.053651040058632</v>
      </c>
      <c r="L173" s="1472">
        <v>177.91358384541743</v>
      </c>
      <c r="M173" s="1472">
        <v>168.23743216889486</v>
      </c>
      <c r="N173" s="1344">
        <v>142.83996337819022</v>
      </c>
      <c r="O173" s="1472">
        <v>251.93717880660981</v>
      </c>
      <c r="P173" s="1473">
        <v>175.65642478876003</v>
      </c>
      <c r="Q173" s="1344"/>
      <c r="R173" s="1415"/>
    </row>
    <row r="174" spans="1:18" ht="16.5" thickBot="1">
      <c r="B174" s="1474"/>
      <c r="C174" s="1205"/>
      <c r="D174" s="1204"/>
      <c r="E174" s="1204"/>
      <c r="F174" s="1204"/>
      <c r="G174" s="1204"/>
      <c r="H174" s="1204"/>
      <c r="I174" s="1204"/>
      <c r="J174" s="1204"/>
      <c r="K174" s="1204"/>
      <c r="L174" s="1204"/>
      <c r="M174" s="1204"/>
      <c r="N174" s="1204"/>
      <c r="O174" s="1204"/>
      <c r="P174" s="1475"/>
    </row>
    <row r="175" spans="1:18" ht="16.5" thickTop="1"/>
    <row r="176" spans="1:18">
      <c r="B176" s="964" t="s">
        <v>1780</v>
      </c>
    </row>
  </sheetData>
  <customSheetViews>
    <customSheetView guid="{705E0D18-9A83-42CA-8732-90923BE2EC7D}" scale="115" showGridLines="0" fitToPage="1" hiddenRows="1">
      <selection activeCell="J129" sqref="J129"/>
      <pageMargins left="0.05" right="7.0000000000000007E-2" top="0.43" bottom="0.56000000000000005" header="0.5" footer="0.5"/>
      <pageSetup scale="43" orientation="landscape" horizontalDpi="300" verticalDpi="300" r:id="rId1"/>
      <headerFooter alignWithMargins="0"/>
    </customSheetView>
    <customSheetView guid="{D45E5F9E-4EA6-40A2-8A1D-3AC67FB8CE54}" scale="115" showGridLines="0" fitToPage="1" hiddenRows="1">
      <selection activeCell="D152" sqref="D152"/>
      <pageMargins left="0.05" right="7.0000000000000007E-2" top="0.43" bottom="0.56000000000000005" header="0.5" footer="0.5"/>
      <pageSetup scale="43" orientation="landscape" horizontalDpi="300" verticalDpi="300" r:id="rId2"/>
      <headerFooter alignWithMargins="0"/>
    </customSheetView>
    <customSheetView guid="{89CA84C2-78F5-4B05-8F1D-B7C5F97BCB4E}" scale="115" showGridLines="0" fitToPage="1" hiddenRows="1" topLeftCell="A124">
      <selection activeCell="B142" sqref="B142"/>
      <pageMargins left="0.05" right="7.0000000000000007E-2" top="0.43" bottom="0.56000000000000005" header="0.5" footer="0.5"/>
      <pageSetup scale="43" orientation="landscape" horizontalDpi="300" verticalDpi="300" r:id="rId3"/>
      <headerFooter alignWithMargins="0"/>
    </customSheetView>
  </customSheetViews>
  <mergeCells count="8">
    <mergeCell ref="B5:P5"/>
    <mergeCell ref="B6:P6"/>
    <mergeCell ref="I32:I35"/>
    <mergeCell ref="H32:H35"/>
    <mergeCell ref="G32:G35"/>
    <mergeCell ref="K32:K35"/>
    <mergeCell ref="C7:O7"/>
    <mergeCell ref="C31:N31"/>
  </mergeCells>
  <pageMargins left="0.05" right="7.0000000000000007E-2" top="0.43" bottom="0.56000000000000005" header="0.5" footer="0.5"/>
  <pageSetup scale="66" orientation="landscape" horizontalDpi="300" verticalDpi="300" r:id="rId4"/>
  <headerFooter alignWithMargins="0"/>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sheetPr>
  <dimension ref="A2:O483"/>
  <sheetViews>
    <sheetView showOutlineSymbols="0" zoomScale="60" zoomScaleNormal="60" workbookViewId="0">
      <pane xSplit="2" ySplit="379" topLeftCell="C383" activePane="bottomRight" state="frozen"/>
      <selection pane="topRight" activeCell="C1" sqref="C1"/>
      <selection pane="bottomLeft" activeCell="A380" sqref="A380"/>
      <selection pane="bottomRight" sqref="A1:IV65536"/>
    </sheetView>
  </sheetViews>
  <sheetFormatPr defaultColWidth="9.6640625" defaultRowHeight="15"/>
  <cols>
    <col min="1" max="1" width="0.21875" style="49" customWidth="1"/>
    <col min="2" max="2" width="15.44140625" style="49" customWidth="1"/>
    <col min="3" max="3" width="25.109375" style="49" customWidth="1"/>
    <col min="4" max="4" width="22" style="49" bestFit="1" customWidth="1"/>
    <col min="5" max="5" width="21.21875" style="49" bestFit="1" customWidth="1"/>
    <col min="6" max="6" width="19.5546875" style="49" customWidth="1"/>
    <col min="7" max="7" width="20.77734375" style="49" customWidth="1"/>
    <col min="8" max="8" width="17.77734375" style="49" customWidth="1"/>
    <col min="9" max="9" width="21.21875" style="49" customWidth="1"/>
    <col min="10" max="10" width="11" style="49" customWidth="1"/>
    <col min="11" max="11" width="20.44140625" style="49" bestFit="1" customWidth="1"/>
    <col min="12" max="12" width="19.5546875" style="49" bestFit="1" customWidth="1"/>
    <col min="13" max="13" width="22.6640625" style="49" bestFit="1" customWidth="1"/>
    <col min="14" max="14" width="1.21875" style="49" customWidth="1"/>
    <col min="15" max="30" width="9.6640625" style="49" customWidth="1"/>
    <col min="31" max="31" width="2.77734375" style="49" customWidth="1"/>
    <col min="32" max="16384" width="9.6640625" style="49"/>
  </cols>
  <sheetData>
    <row r="2" spans="1:13" ht="18.75">
      <c r="B2" s="50"/>
      <c r="C2" s="50"/>
      <c r="D2" s="50"/>
      <c r="E2" s="70"/>
      <c r="F2" s="69" t="s">
        <v>252</v>
      </c>
      <c r="G2" s="69"/>
      <c r="H2" s="69"/>
      <c r="I2" s="70"/>
    </row>
    <row r="3" spans="1:13" ht="12.75" customHeight="1">
      <c r="B3" s="50"/>
      <c r="D3" s="50"/>
      <c r="E3" s="70"/>
      <c r="F3" s="69"/>
      <c r="G3" s="69"/>
      <c r="H3" s="69"/>
      <c r="I3" s="70"/>
    </row>
    <row r="4" spans="1:13" ht="19.5" customHeight="1">
      <c r="B4" s="50"/>
      <c r="D4" s="50"/>
      <c r="E4" s="70"/>
      <c r="F4" s="69" t="s">
        <v>0</v>
      </c>
      <c r="G4" s="69"/>
      <c r="H4" s="69"/>
      <c r="I4" s="70"/>
    </row>
    <row r="5" spans="1:13" ht="12.75" customHeight="1" thickBot="1">
      <c r="B5" s="52"/>
      <c r="C5" s="52"/>
      <c r="D5" s="52"/>
      <c r="E5" s="52"/>
      <c r="F5" s="52"/>
      <c r="G5" s="52"/>
      <c r="H5" s="52"/>
      <c r="I5" s="52"/>
      <c r="J5" s="52"/>
      <c r="K5" s="52"/>
      <c r="L5" s="52"/>
    </row>
    <row r="6" spans="1:13" ht="12.75" customHeight="1" thickTop="1">
      <c r="B6" s="53"/>
      <c r="C6" s="72"/>
      <c r="D6" s="53"/>
      <c r="E6" s="54"/>
      <c r="F6" s="54"/>
      <c r="G6" s="53"/>
      <c r="H6" s="54"/>
      <c r="I6" s="54"/>
      <c r="J6" s="54"/>
      <c r="K6" s="54"/>
      <c r="L6" s="54"/>
      <c r="M6" s="72"/>
    </row>
    <row r="7" spans="1:13" ht="15.75" customHeight="1">
      <c r="B7" s="57"/>
      <c r="C7" s="74"/>
      <c r="D7" s="1881" t="s">
        <v>329</v>
      </c>
      <c r="E7" s="1884"/>
      <c r="F7" s="1883"/>
      <c r="G7" s="57" t="s">
        <v>260</v>
      </c>
      <c r="H7" s="62"/>
      <c r="I7" s="52"/>
      <c r="J7" s="52"/>
      <c r="K7" s="52"/>
      <c r="L7" s="52"/>
      <c r="M7" s="74"/>
    </row>
    <row r="8" spans="1:13" ht="15.75" customHeight="1" thickBot="1">
      <c r="B8" s="57"/>
      <c r="C8" s="74"/>
      <c r="D8" s="58"/>
      <c r="E8" s="52"/>
      <c r="F8" s="52"/>
      <c r="G8" s="121"/>
      <c r="J8" s="52"/>
      <c r="K8" s="52"/>
      <c r="L8" s="52"/>
      <c r="M8" s="74"/>
    </row>
    <row r="9" spans="1:13" ht="15.75" customHeight="1" thickTop="1">
      <c r="B9" s="55" t="s">
        <v>263</v>
      </c>
      <c r="C9" s="74"/>
      <c r="D9" s="53"/>
      <c r="E9" s="53"/>
      <c r="F9" s="53"/>
      <c r="G9" s="53"/>
      <c r="H9" s="54"/>
      <c r="I9" s="53"/>
      <c r="J9" s="54"/>
      <c r="K9" s="53"/>
      <c r="L9" s="53"/>
      <c r="M9" s="72"/>
    </row>
    <row r="10" spans="1:13" ht="15.75" customHeight="1">
      <c r="B10" s="57"/>
      <c r="C10" s="122" t="s">
        <v>332</v>
      </c>
      <c r="D10" s="55" t="s">
        <v>270</v>
      </c>
      <c r="E10" s="55" t="s">
        <v>271</v>
      </c>
      <c r="F10" s="55" t="s">
        <v>272</v>
      </c>
      <c r="G10" s="1881" t="s">
        <v>273</v>
      </c>
      <c r="H10" s="1883"/>
      <c r="I10" s="57" t="s">
        <v>274</v>
      </c>
      <c r="J10" s="52"/>
      <c r="K10" s="55" t="s">
        <v>275</v>
      </c>
      <c r="L10" s="55" t="s">
        <v>276</v>
      </c>
      <c r="M10" s="122" t="s">
        <v>331</v>
      </c>
    </row>
    <row r="11" spans="1:13" ht="15.75" customHeight="1" thickBot="1">
      <c r="B11" s="57"/>
      <c r="C11" s="74"/>
      <c r="D11" s="55" t="s">
        <v>283</v>
      </c>
      <c r="E11" s="55" t="s">
        <v>284</v>
      </c>
      <c r="F11" s="57"/>
      <c r="G11" s="57"/>
      <c r="H11" s="52"/>
      <c r="I11" s="57"/>
      <c r="J11" s="52"/>
      <c r="K11" s="55" t="s">
        <v>282</v>
      </c>
      <c r="L11" s="55" t="s">
        <v>284</v>
      </c>
      <c r="M11" s="74"/>
    </row>
    <row r="12" spans="1:13" ht="15.75" customHeight="1" thickTop="1">
      <c r="B12" s="57"/>
      <c r="C12" s="74"/>
      <c r="D12" s="123"/>
      <c r="E12" s="123"/>
      <c r="F12" s="123"/>
      <c r="G12" s="53"/>
      <c r="H12" s="53"/>
      <c r="I12" s="53"/>
      <c r="J12" s="53"/>
      <c r="K12" s="57"/>
      <c r="L12" s="57"/>
      <c r="M12" s="74"/>
    </row>
    <row r="13" spans="1:13" ht="15.75" customHeight="1">
      <c r="B13" s="57"/>
      <c r="C13" s="74"/>
      <c r="D13" s="57"/>
      <c r="E13" s="57"/>
      <c r="F13" s="57"/>
      <c r="G13" s="55" t="s">
        <v>291</v>
      </c>
      <c r="H13" s="55" t="s">
        <v>293</v>
      </c>
      <c r="I13" s="55" t="s">
        <v>291</v>
      </c>
      <c r="J13" s="55" t="s">
        <v>293</v>
      </c>
      <c r="K13" s="57"/>
      <c r="L13" s="57"/>
      <c r="M13" s="74"/>
    </row>
    <row r="14" spans="1:13" ht="12.75" customHeight="1" thickBot="1">
      <c r="B14" s="58"/>
      <c r="C14" s="124"/>
      <c r="D14" s="58"/>
      <c r="E14" s="58"/>
      <c r="F14" s="58"/>
      <c r="G14" s="58"/>
      <c r="H14" s="58"/>
      <c r="I14" s="58"/>
      <c r="J14" s="58"/>
      <c r="K14" s="58"/>
      <c r="L14" s="58"/>
      <c r="M14" s="124"/>
    </row>
    <row r="15" spans="1:13" ht="12.75" hidden="1" customHeight="1" thickTop="1">
      <c r="A15" s="76"/>
      <c r="B15" s="59"/>
      <c r="C15" s="77"/>
      <c r="D15" s="59"/>
      <c r="E15" s="59"/>
      <c r="F15" s="59"/>
      <c r="G15" s="59"/>
      <c r="H15" s="59"/>
      <c r="I15" s="59"/>
      <c r="J15" s="59"/>
      <c r="K15" s="59"/>
      <c r="L15" s="59"/>
      <c r="M15" s="77"/>
    </row>
    <row r="16" spans="1:13" ht="12.75" hidden="1" customHeight="1">
      <c r="B16" s="55" t="s">
        <v>297</v>
      </c>
      <c r="C16" s="67"/>
      <c r="D16" s="66"/>
      <c r="E16" s="66"/>
      <c r="F16" s="66"/>
      <c r="G16" s="66"/>
      <c r="H16" s="66"/>
      <c r="I16" s="66"/>
      <c r="J16" s="66"/>
      <c r="K16" s="66"/>
      <c r="L16" s="66"/>
      <c r="M16" s="67" t="s">
        <v>296</v>
      </c>
    </row>
    <row r="17" spans="1:13" ht="12.75" hidden="1" customHeight="1">
      <c r="B17" s="61"/>
      <c r="C17" s="67"/>
      <c r="D17" s="66"/>
      <c r="E17" s="66"/>
      <c r="F17" s="66"/>
      <c r="G17" s="66"/>
      <c r="H17" s="66"/>
      <c r="I17" s="66"/>
      <c r="J17" s="66"/>
      <c r="K17" s="66"/>
      <c r="L17" s="66"/>
      <c r="M17" s="67"/>
    </row>
    <row r="18" spans="1:13" ht="12.75" hidden="1" customHeight="1">
      <c r="A18" s="80"/>
      <c r="B18" s="61" t="s">
        <v>298</v>
      </c>
      <c r="C18" s="67">
        <v>5486.9</v>
      </c>
      <c r="D18" s="66">
        <v>947.4</v>
      </c>
      <c r="E18" s="66">
        <v>1292.7</v>
      </c>
      <c r="F18" s="66">
        <v>1717.6</v>
      </c>
      <c r="G18" s="66">
        <v>1773.3</v>
      </c>
      <c r="H18" s="66">
        <v>48.7</v>
      </c>
      <c r="I18" s="66">
        <v>173.7</v>
      </c>
      <c r="J18" s="66">
        <v>0.1</v>
      </c>
      <c r="K18" s="66">
        <v>360.8</v>
      </c>
      <c r="L18" s="66">
        <v>306.2</v>
      </c>
      <c r="M18" s="67">
        <v>12107.4</v>
      </c>
    </row>
    <row r="19" spans="1:13" ht="12.75" hidden="1" customHeight="1">
      <c r="A19" s="80"/>
      <c r="B19" s="61"/>
      <c r="C19" s="67"/>
      <c r="D19" s="66"/>
      <c r="E19" s="66"/>
      <c r="F19" s="66"/>
      <c r="G19" s="66"/>
      <c r="H19" s="66"/>
      <c r="I19" s="66"/>
      <c r="J19" s="66"/>
      <c r="K19" s="66"/>
      <c r="L19" s="66"/>
      <c r="M19" s="67"/>
    </row>
    <row r="20" spans="1:13" ht="12.75" hidden="1" customHeight="1">
      <c r="A20" s="80"/>
      <c r="B20" s="61" t="s">
        <v>299</v>
      </c>
      <c r="C20" s="67">
        <v>5364.5</v>
      </c>
      <c r="D20" s="66">
        <v>950</v>
      </c>
      <c r="E20" s="66">
        <v>1352.7</v>
      </c>
      <c r="F20" s="66">
        <v>1729.9</v>
      </c>
      <c r="G20" s="66">
        <v>2115.8000000000002</v>
      </c>
      <c r="H20" s="66">
        <v>37.1</v>
      </c>
      <c r="I20" s="66">
        <v>153.69999999999999</v>
      </c>
      <c r="J20" s="66">
        <v>0</v>
      </c>
      <c r="K20" s="66">
        <v>139.6</v>
      </c>
      <c r="L20" s="66">
        <v>290.7</v>
      </c>
      <c r="M20" s="67">
        <v>12133.9</v>
      </c>
    </row>
    <row r="21" spans="1:13" ht="12.75" hidden="1" customHeight="1">
      <c r="A21" s="80"/>
      <c r="B21" s="61"/>
      <c r="C21" s="67"/>
      <c r="D21" s="66"/>
      <c r="E21" s="66"/>
      <c r="F21" s="66"/>
      <c r="G21" s="66"/>
      <c r="H21" s="66"/>
      <c r="I21" s="66"/>
      <c r="J21" s="66"/>
      <c r="K21" s="66"/>
      <c r="L21" s="66"/>
      <c r="M21" s="67"/>
    </row>
    <row r="22" spans="1:13" ht="12.75" hidden="1" customHeight="1">
      <c r="A22" s="80"/>
      <c r="B22" s="61" t="s">
        <v>300</v>
      </c>
      <c r="C22" s="67">
        <v>5635.4</v>
      </c>
      <c r="D22" s="66">
        <v>930.3</v>
      </c>
      <c r="E22" s="66">
        <v>1398.1</v>
      </c>
      <c r="F22" s="66">
        <v>1751</v>
      </c>
      <c r="G22" s="66">
        <v>2175</v>
      </c>
      <c r="H22" s="66">
        <v>39.4</v>
      </c>
      <c r="I22" s="66">
        <v>156.9</v>
      </c>
      <c r="J22" s="66">
        <v>0</v>
      </c>
      <c r="K22" s="66">
        <v>190.2</v>
      </c>
      <c r="L22" s="66">
        <v>308.5</v>
      </c>
      <c r="M22" s="67">
        <v>12584.9</v>
      </c>
    </row>
    <row r="23" spans="1:13" ht="12.75" hidden="1" customHeight="1">
      <c r="A23" s="80"/>
      <c r="B23" s="61"/>
      <c r="C23" s="67"/>
      <c r="D23" s="66"/>
      <c r="E23" s="66"/>
      <c r="F23" s="66"/>
      <c r="G23" s="66"/>
      <c r="H23" s="66"/>
      <c r="I23" s="66"/>
      <c r="J23" s="66"/>
      <c r="K23" s="66"/>
      <c r="L23" s="66"/>
      <c r="M23" s="67"/>
    </row>
    <row r="24" spans="1:13" ht="12.75" hidden="1" customHeight="1">
      <c r="A24" s="80"/>
      <c r="B24" s="61" t="s">
        <v>301</v>
      </c>
      <c r="C24" s="67">
        <v>5448.7</v>
      </c>
      <c r="D24" s="66">
        <v>952.7</v>
      </c>
      <c r="E24" s="66">
        <v>1532.1</v>
      </c>
      <c r="F24" s="66">
        <v>1774.3</v>
      </c>
      <c r="G24" s="66">
        <v>2119.9</v>
      </c>
      <c r="H24" s="66">
        <v>28.5</v>
      </c>
      <c r="I24" s="66">
        <v>178.1</v>
      </c>
      <c r="J24" s="66">
        <v>0</v>
      </c>
      <c r="K24" s="66">
        <v>300.7</v>
      </c>
      <c r="L24" s="66">
        <v>282.10000000000002</v>
      </c>
      <c r="M24" s="67">
        <v>12617.1</v>
      </c>
    </row>
    <row r="25" spans="1:13" ht="12.75" hidden="1" customHeight="1">
      <c r="A25" s="80"/>
      <c r="B25" s="61"/>
      <c r="C25" s="67"/>
      <c r="D25" s="66"/>
      <c r="E25" s="66"/>
      <c r="F25" s="66"/>
      <c r="G25" s="66"/>
      <c r="H25" s="66"/>
      <c r="I25" s="66"/>
      <c r="J25" s="66"/>
      <c r="K25" s="66"/>
      <c r="L25" s="66"/>
      <c r="M25" s="67"/>
    </row>
    <row r="26" spans="1:13" ht="12.75" hidden="1" customHeight="1">
      <c r="A26" s="80"/>
      <c r="B26" s="61" t="s">
        <v>302</v>
      </c>
      <c r="C26" s="67">
        <v>6126.1</v>
      </c>
      <c r="D26" s="66">
        <v>988.7</v>
      </c>
      <c r="E26" s="66">
        <v>1575.7</v>
      </c>
      <c r="F26" s="66">
        <v>1781.2</v>
      </c>
      <c r="G26" s="66">
        <v>2333.8000000000002</v>
      </c>
      <c r="H26" s="66">
        <v>38.200000000000003</v>
      </c>
      <c r="I26" s="66">
        <v>246.8</v>
      </c>
      <c r="J26" s="66">
        <v>0</v>
      </c>
      <c r="K26" s="66">
        <v>156.9</v>
      </c>
      <c r="L26" s="66">
        <v>297.7</v>
      </c>
      <c r="M26" s="67">
        <v>13545.1</v>
      </c>
    </row>
    <row r="27" spans="1:13" ht="12.75" hidden="1" customHeight="1">
      <c r="A27" s="80"/>
      <c r="B27" s="61"/>
      <c r="C27" s="67"/>
      <c r="D27" s="66"/>
      <c r="E27" s="66"/>
      <c r="F27" s="66"/>
      <c r="G27" s="66"/>
      <c r="H27" s="66"/>
      <c r="I27" s="66"/>
      <c r="J27" s="66"/>
      <c r="K27" s="66"/>
      <c r="L27" s="66"/>
      <c r="M27" s="67"/>
    </row>
    <row r="28" spans="1:13" ht="12.75" hidden="1" customHeight="1">
      <c r="A28" s="80"/>
      <c r="B28" s="61" t="s">
        <v>303</v>
      </c>
      <c r="C28" s="67">
        <v>5701.7</v>
      </c>
      <c r="D28" s="66">
        <v>1080.5999999999999</v>
      </c>
      <c r="E28" s="66">
        <v>1593.4</v>
      </c>
      <c r="F28" s="66">
        <v>1798.7</v>
      </c>
      <c r="G28" s="66">
        <v>2356.1999999999998</v>
      </c>
      <c r="H28" s="66">
        <v>48</v>
      </c>
      <c r="I28" s="66">
        <v>124.9</v>
      </c>
      <c r="J28" s="66">
        <v>0</v>
      </c>
      <c r="K28" s="66">
        <v>240.7</v>
      </c>
      <c r="L28" s="66">
        <v>403</v>
      </c>
      <c r="M28" s="67">
        <v>13347.2</v>
      </c>
    </row>
    <row r="29" spans="1:13" ht="12.75" hidden="1" customHeight="1">
      <c r="A29" s="80"/>
      <c r="B29" s="61"/>
      <c r="C29" s="67"/>
      <c r="D29" s="66"/>
      <c r="E29" s="66"/>
      <c r="F29" s="66"/>
      <c r="G29" s="66"/>
      <c r="H29" s="66"/>
      <c r="I29" s="66"/>
      <c r="J29" s="66"/>
      <c r="K29" s="66"/>
      <c r="L29" s="66"/>
      <c r="M29" s="67"/>
    </row>
    <row r="30" spans="1:13" ht="12.75" hidden="1" customHeight="1">
      <c r="A30" s="80"/>
      <c r="B30" s="61" t="s">
        <v>304</v>
      </c>
      <c r="C30" s="67">
        <v>6297.1</v>
      </c>
      <c r="D30" s="66">
        <v>1134.9000000000001</v>
      </c>
      <c r="E30" s="66">
        <v>1702.2</v>
      </c>
      <c r="F30" s="66">
        <v>2123</v>
      </c>
      <c r="G30" s="66">
        <v>2623</v>
      </c>
      <c r="H30" s="66">
        <v>60</v>
      </c>
      <c r="I30" s="66">
        <v>219.7</v>
      </c>
      <c r="J30" s="66">
        <v>0</v>
      </c>
      <c r="K30" s="66">
        <v>398.2</v>
      </c>
      <c r="L30" s="66">
        <v>426.7</v>
      </c>
      <c r="M30" s="67">
        <v>14984.8</v>
      </c>
    </row>
    <row r="31" spans="1:13" ht="12.75" hidden="1" customHeight="1">
      <c r="A31" s="80"/>
      <c r="B31" s="61"/>
      <c r="C31" s="67"/>
      <c r="D31" s="66"/>
      <c r="E31" s="66"/>
      <c r="F31" s="66"/>
      <c r="G31" s="66"/>
      <c r="H31" s="66"/>
      <c r="I31" s="66"/>
      <c r="J31" s="66"/>
      <c r="K31" s="66"/>
      <c r="L31" s="66"/>
      <c r="M31" s="67"/>
    </row>
    <row r="32" spans="1:13" ht="12.75" hidden="1" customHeight="1">
      <c r="A32" s="80"/>
      <c r="B32" s="61" t="s">
        <v>305</v>
      </c>
      <c r="C32" s="67">
        <v>6316.5</v>
      </c>
      <c r="D32" s="66">
        <v>1289.9000000000001</v>
      </c>
      <c r="E32" s="66">
        <v>1829.7</v>
      </c>
      <c r="F32" s="66">
        <v>2190</v>
      </c>
      <c r="G32" s="66">
        <v>2209.1999999999998</v>
      </c>
      <c r="H32" s="66">
        <v>61.9</v>
      </c>
      <c r="I32" s="66">
        <v>125.9</v>
      </c>
      <c r="J32" s="66">
        <v>0</v>
      </c>
      <c r="K32" s="66">
        <v>216.6</v>
      </c>
      <c r="L32" s="66">
        <v>323.8</v>
      </c>
      <c r="M32" s="67">
        <v>14563.6</v>
      </c>
    </row>
    <row r="33" spans="1:13" ht="12.75" hidden="1" customHeight="1">
      <c r="A33" s="80"/>
      <c r="B33" s="61"/>
      <c r="C33" s="67"/>
      <c r="D33" s="66"/>
      <c r="E33" s="66"/>
      <c r="F33" s="66"/>
      <c r="G33" s="66"/>
      <c r="H33" s="66"/>
      <c r="I33" s="66"/>
      <c r="J33" s="66"/>
      <c r="K33" s="66"/>
      <c r="L33" s="66" t="s">
        <v>296</v>
      </c>
      <c r="M33" s="67"/>
    </row>
    <row r="34" spans="1:13" ht="12.75" hidden="1" customHeight="1">
      <c r="A34" s="80"/>
      <c r="B34" s="61" t="s">
        <v>306</v>
      </c>
      <c r="C34" s="67">
        <v>6691.4</v>
      </c>
      <c r="D34" s="66">
        <v>1350</v>
      </c>
      <c r="E34" s="66">
        <v>1923.8</v>
      </c>
      <c r="F34" s="66">
        <v>2181.6</v>
      </c>
      <c r="G34" s="66">
        <v>2308</v>
      </c>
      <c r="H34" s="66">
        <v>42.7</v>
      </c>
      <c r="I34" s="66">
        <v>237.5</v>
      </c>
      <c r="J34" s="66">
        <v>0</v>
      </c>
      <c r="K34" s="66">
        <v>438.4</v>
      </c>
      <c r="L34" s="66">
        <v>326.10000000000002</v>
      </c>
      <c r="M34" s="67">
        <v>15499.5</v>
      </c>
    </row>
    <row r="35" spans="1:13" ht="12.75" hidden="1" customHeight="1">
      <c r="A35" s="80"/>
      <c r="B35" s="61"/>
      <c r="C35" s="67"/>
      <c r="D35" s="66"/>
      <c r="E35" s="66"/>
      <c r="F35" s="66"/>
      <c r="G35" s="66"/>
      <c r="H35" s="66"/>
      <c r="I35" s="66"/>
      <c r="J35" s="66"/>
      <c r="K35" s="66"/>
      <c r="L35" s="66"/>
      <c r="M35" s="67"/>
    </row>
    <row r="36" spans="1:13" ht="12.75" hidden="1" customHeight="1">
      <c r="A36" s="80"/>
      <c r="B36" s="61" t="s">
        <v>307</v>
      </c>
      <c r="C36" s="67">
        <v>6715.4</v>
      </c>
      <c r="D36" s="66">
        <v>1375.3</v>
      </c>
      <c r="E36" s="66">
        <v>1919.5</v>
      </c>
      <c r="F36" s="66">
        <v>2174.1999999999998</v>
      </c>
      <c r="G36" s="66">
        <v>2206.1999999999998</v>
      </c>
      <c r="H36" s="66">
        <v>83.8</v>
      </c>
      <c r="I36" s="66">
        <v>359.3</v>
      </c>
      <c r="J36" s="66">
        <v>0</v>
      </c>
      <c r="K36" s="66">
        <v>396.5</v>
      </c>
      <c r="L36" s="66">
        <v>362.9</v>
      </c>
      <c r="M36" s="67">
        <v>15593.1</v>
      </c>
    </row>
    <row r="37" spans="1:13" ht="12.75" hidden="1" customHeight="1">
      <c r="A37" s="80"/>
      <c r="B37" s="61"/>
      <c r="C37" s="67"/>
      <c r="D37" s="66"/>
      <c r="E37" s="66"/>
      <c r="F37" s="66"/>
      <c r="G37" s="66"/>
      <c r="H37" s="66"/>
      <c r="I37" s="66"/>
      <c r="J37" s="66"/>
      <c r="K37" s="66"/>
      <c r="L37" s="66"/>
      <c r="M37" s="67"/>
    </row>
    <row r="38" spans="1:13" ht="12.75" hidden="1" customHeight="1">
      <c r="A38" s="80"/>
      <c r="B38" s="61" t="s">
        <v>308</v>
      </c>
      <c r="C38" s="67">
        <v>7883.4</v>
      </c>
      <c r="D38" s="66">
        <v>1426.4</v>
      </c>
      <c r="E38" s="66">
        <v>2059.6</v>
      </c>
      <c r="F38" s="66">
        <v>2189.9</v>
      </c>
      <c r="G38" s="66">
        <v>2088.4</v>
      </c>
      <c r="H38" s="66">
        <v>74.8</v>
      </c>
      <c r="I38" s="66">
        <v>87.7</v>
      </c>
      <c r="J38" s="66">
        <v>0</v>
      </c>
      <c r="K38" s="66">
        <v>252.5</v>
      </c>
      <c r="L38" s="66">
        <v>407.4</v>
      </c>
      <c r="M38" s="67">
        <v>16469.7</v>
      </c>
    </row>
    <row r="39" spans="1:13" ht="12.75" hidden="1" customHeight="1">
      <c r="A39" s="80"/>
      <c r="B39" s="61"/>
      <c r="C39" s="67"/>
      <c r="D39" s="66"/>
      <c r="E39" s="66"/>
      <c r="F39" s="66"/>
      <c r="G39" s="66"/>
      <c r="H39" s="66"/>
      <c r="I39" s="66"/>
      <c r="J39" s="66"/>
      <c r="K39" s="66"/>
      <c r="L39" s="66"/>
      <c r="M39" s="67"/>
    </row>
    <row r="40" spans="1:13" ht="12.75" hidden="1" customHeight="1">
      <c r="A40" s="80"/>
      <c r="B40" s="61" t="s">
        <v>311</v>
      </c>
      <c r="C40" s="67">
        <v>6866.2</v>
      </c>
      <c r="D40" s="66">
        <v>1497.1</v>
      </c>
      <c r="E40" s="66">
        <v>2081.5</v>
      </c>
      <c r="F40" s="66">
        <v>2170.9</v>
      </c>
      <c r="G40" s="66">
        <v>2471.4</v>
      </c>
      <c r="H40" s="66">
        <v>240.5</v>
      </c>
      <c r="I40" s="66">
        <v>64.5</v>
      </c>
      <c r="J40" s="66">
        <v>0</v>
      </c>
      <c r="K40" s="66">
        <v>237.5</v>
      </c>
      <c r="L40" s="66">
        <v>380.4</v>
      </c>
      <c r="M40" s="67">
        <v>16009.7</v>
      </c>
    </row>
    <row r="41" spans="1:13" ht="12.75" hidden="1" customHeight="1">
      <c r="A41" s="80"/>
      <c r="B41" s="57"/>
      <c r="C41" s="67"/>
      <c r="D41" s="66"/>
      <c r="E41" s="66"/>
      <c r="F41" s="66"/>
      <c r="G41" s="66"/>
      <c r="H41" s="66"/>
      <c r="I41" s="66"/>
      <c r="J41" s="66"/>
      <c r="K41" s="66"/>
      <c r="L41" s="66"/>
      <c r="M41" s="67"/>
    </row>
    <row r="42" spans="1:13" ht="12.75" hidden="1" customHeight="1">
      <c r="A42" s="80"/>
      <c r="B42" s="55" t="s">
        <v>312</v>
      </c>
      <c r="C42" s="67"/>
      <c r="D42" s="66"/>
      <c r="E42" s="66"/>
      <c r="F42" s="66"/>
      <c r="G42" s="66"/>
      <c r="H42" s="66"/>
      <c r="I42" s="66"/>
      <c r="J42" s="66"/>
      <c r="K42" s="66"/>
      <c r="L42" s="66"/>
      <c r="M42" s="67" t="s">
        <v>296</v>
      </c>
    </row>
    <row r="43" spans="1:13" ht="12.75" hidden="1" customHeight="1">
      <c r="A43" s="80"/>
      <c r="B43" s="57"/>
      <c r="C43" s="67"/>
      <c r="D43" s="66"/>
      <c r="E43" s="66"/>
      <c r="F43" s="66"/>
      <c r="G43" s="66"/>
      <c r="H43" s="66"/>
      <c r="I43" s="66"/>
      <c r="J43" s="66"/>
      <c r="K43" s="66"/>
      <c r="L43" s="66"/>
      <c r="M43" s="67"/>
    </row>
    <row r="44" spans="1:13" ht="12.75" hidden="1" customHeight="1">
      <c r="A44" s="80"/>
      <c r="B44" s="61" t="s">
        <v>298</v>
      </c>
      <c r="C44" s="67">
        <v>7007.8</v>
      </c>
      <c r="D44" s="66">
        <v>1440.8</v>
      </c>
      <c r="E44" s="66">
        <v>2052.5</v>
      </c>
      <c r="F44" s="66">
        <v>2179.8000000000002</v>
      </c>
      <c r="G44" s="66">
        <v>2127.8000000000002</v>
      </c>
      <c r="H44" s="66">
        <v>76.400000000000006</v>
      </c>
      <c r="I44" s="66">
        <v>166.9</v>
      </c>
      <c r="J44" s="66">
        <v>0</v>
      </c>
      <c r="K44" s="66">
        <v>481.1</v>
      </c>
      <c r="L44" s="66">
        <v>593.79999999999995</v>
      </c>
      <c r="M44" s="67">
        <v>16126.8</v>
      </c>
    </row>
    <row r="45" spans="1:13" ht="12.75" hidden="1" customHeight="1">
      <c r="A45" s="80"/>
      <c r="B45" s="61"/>
      <c r="C45" s="67"/>
      <c r="D45" s="66"/>
      <c r="E45" s="66"/>
      <c r="F45" s="66"/>
      <c r="G45" s="66"/>
      <c r="H45" s="66"/>
      <c r="I45" s="66"/>
      <c r="J45" s="66"/>
      <c r="K45" s="66"/>
      <c r="L45" s="66"/>
      <c r="M45" s="67"/>
    </row>
    <row r="46" spans="1:13" ht="12.75" hidden="1" customHeight="1">
      <c r="A46" s="80"/>
      <c r="B46" s="61" t="s">
        <v>299</v>
      </c>
      <c r="C46" s="67">
        <v>6872.5</v>
      </c>
      <c r="D46" s="66">
        <v>1442.4</v>
      </c>
      <c r="E46" s="66">
        <v>2080.3000000000002</v>
      </c>
      <c r="F46" s="66">
        <v>2156.9</v>
      </c>
      <c r="G46" s="66">
        <v>1985.3</v>
      </c>
      <c r="H46" s="66">
        <v>83.7</v>
      </c>
      <c r="I46" s="66">
        <v>82.6</v>
      </c>
      <c r="J46" s="66">
        <v>0</v>
      </c>
      <c r="K46" s="66">
        <v>209.3</v>
      </c>
      <c r="L46" s="66">
        <v>748.9</v>
      </c>
      <c r="M46" s="67">
        <v>15662</v>
      </c>
    </row>
    <row r="47" spans="1:13" ht="12.75" hidden="1" customHeight="1">
      <c r="A47" s="80"/>
      <c r="B47" s="61"/>
      <c r="C47" s="67"/>
      <c r="D47" s="66"/>
      <c r="E47" s="66"/>
      <c r="F47" s="66"/>
      <c r="G47" s="66"/>
      <c r="H47" s="66"/>
      <c r="I47" s="66"/>
      <c r="J47" s="66"/>
      <c r="K47" s="66"/>
      <c r="L47" s="66"/>
      <c r="M47" s="67"/>
    </row>
    <row r="48" spans="1:13" ht="12.75" hidden="1" customHeight="1">
      <c r="A48" s="80"/>
      <c r="B48" s="61" t="s">
        <v>300</v>
      </c>
      <c r="C48" s="67">
        <v>7307.1</v>
      </c>
      <c r="D48" s="66">
        <v>1490.8</v>
      </c>
      <c r="E48" s="66">
        <v>2212.1999999999998</v>
      </c>
      <c r="F48" s="66">
        <v>2128.6999999999998</v>
      </c>
      <c r="G48" s="66">
        <v>1905.7</v>
      </c>
      <c r="H48" s="66">
        <v>68.2</v>
      </c>
      <c r="I48" s="66">
        <v>126.8</v>
      </c>
      <c r="J48" s="66">
        <v>0</v>
      </c>
      <c r="K48" s="66">
        <v>292.7</v>
      </c>
      <c r="L48" s="66">
        <v>883.4</v>
      </c>
      <c r="M48" s="67">
        <v>16415.5</v>
      </c>
    </row>
    <row r="49" spans="1:13" ht="12.75" hidden="1" customHeight="1">
      <c r="A49" s="80"/>
      <c r="B49" s="61"/>
      <c r="C49" s="67"/>
      <c r="D49" s="66"/>
      <c r="E49" s="66"/>
      <c r="F49" s="66"/>
      <c r="G49" s="66"/>
      <c r="H49" s="66"/>
      <c r="I49" s="66"/>
      <c r="J49" s="66"/>
      <c r="K49" s="66"/>
      <c r="L49" s="66"/>
      <c r="M49" s="67"/>
    </row>
    <row r="50" spans="1:13" ht="12.75" hidden="1" customHeight="1">
      <c r="A50" s="80"/>
      <c r="B50" s="61" t="s">
        <v>301</v>
      </c>
      <c r="C50" s="67">
        <v>6993.9</v>
      </c>
      <c r="D50" s="66">
        <v>1482.1</v>
      </c>
      <c r="E50" s="66">
        <v>2328</v>
      </c>
      <c r="F50" s="66">
        <v>2126</v>
      </c>
      <c r="G50" s="66">
        <v>2610.3000000000002</v>
      </c>
      <c r="H50" s="66">
        <v>61.7</v>
      </c>
      <c r="I50" s="66">
        <v>150.19999999999999</v>
      </c>
      <c r="J50" s="66">
        <v>0</v>
      </c>
      <c r="K50" s="66">
        <v>482.4</v>
      </c>
      <c r="L50" s="66">
        <v>885.7</v>
      </c>
      <c r="M50" s="67">
        <v>17120.400000000001</v>
      </c>
    </row>
    <row r="51" spans="1:13" ht="12.75" hidden="1" customHeight="1">
      <c r="A51" s="80"/>
      <c r="B51" s="61"/>
      <c r="C51" s="67"/>
      <c r="D51" s="66"/>
      <c r="E51" s="66"/>
      <c r="F51" s="66"/>
      <c r="G51" s="66"/>
      <c r="H51" s="66"/>
      <c r="I51" s="66"/>
      <c r="J51" s="66"/>
      <c r="K51" s="66"/>
      <c r="L51" s="66"/>
      <c r="M51" s="67"/>
    </row>
    <row r="52" spans="1:13" ht="12.75" hidden="1" customHeight="1">
      <c r="A52" s="80"/>
      <c r="B52" s="61" t="s">
        <v>302</v>
      </c>
      <c r="C52" s="67">
        <v>7919.4</v>
      </c>
      <c r="D52" s="66">
        <v>1534.7</v>
      </c>
      <c r="E52" s="66">
        <v>2389.6999999999998</v>
      </c>
      <c r="F52" s="66">
        <v>2109.1999999999998</v>
      </c>
      <c r="G52" s="66">
        <v>2433.6999999999998</v>
      </c>
      <c r="H52" s="66">
        <v>96</v>
      </c>
      <c r="I52" s="66">
        <v>121.3</v>
      </c>
      <c r="J52" s="66">
        <v>46.7</v>
      </c>
      <c r="K52" s="66">
        <v>247.8</v>
      </c>
      <c r="L52" s="66">
        <v>286.2</v>
      </c>
      <c r="M52" s="67">
        <v>17184.8</v>
      </c>
    </row>
    <row r="53" spans="1:13" ht="12.75" hidden="1" customHeight="1">
      <c r="A53" s="80"/>
      <c r="B53" s="61"/>
      <c r="C53" s="67"/>
      <c r="D53" s="66"/>
      <c r="E53" s="66"/>
      <c r="F53" s="66"/>
      <c r="G53" s="66"/>
      <c r="H53" s="66"/>
      <c r="I53" s="66"/>
      <c r="J53" s="66"/>
      <c r="K53" s="66"/>
      <c r="L53" s="66"/>
      <c r="M53" s="67"/>
    </row>
    <row r="54" spans="1:13" ht="12.75" hidden="1" customHeight="1">
      <c r="A54" s="80"/>
      <c r="B54" s="61" t="s">
        <v>303</v>
      </c>
      <c r="C54" s="67">
        <v>8059.3</v>
      </c>
      <c r="D54" s="66">
        <v>1626.1</v>
      </c>
      <c r="E54" s="66">
        <v>2384.6999999999998</v>
      </c>
      <c r="F54" s="66">
        <v>2122.3000000000002</v>
      </c>
      <c r="G54" s="66">
        <v>2196.3000000000002</v>
      </c>
      <c r="H54" s="66">
        <v>89.6</v>
      </c>
      <c r="I54" s="66">
        <v>97.6</v>
      </c>
      <c r="J54" s="66">
        <v>41.4</v>
      </c>
      <c r="K54" s="66">
        <v>411.4</v>
      </c>
      <c r="L54" s="66">
        <v>953.7</v>
      </c>
      <c r="M54" s="67">
        <v>17982.5</v>
      </c>
    </row>
    <row r="55" spans="1:13" ht="12.75" hidden="1" customHeight="1">
      <c r="A55" s="80"/>
      <c r="B55" s="61"/>
      <c r="C55" s="67"/>
      <c r="D55" s="66"/>
      <c r="E55" s="66"/>
      <c r="F55" s="66"/>
      <c r="G55" s="66"/>
      <c r="H55" s="66"/>
      <c r="I55" s="66"/>
      <c r="J55" s="66"/>
      <c r="K55" s="66"/>
      <c r="L55" s="66"/>
      <c r="M55" s="67"/>
    </row>
    <row r="56" spans="1:13" ht="12.75" hidden="1" customHeight="1">
      <c r="A56" s="80"/>
      <c r="B56" s="61" t="s">
        <v>304</v>
      </c>
      <c r="C56" s="67">
        <v>8643.1</v>
      </c>
      <c r="D56" s="66">
        <v>1713.6</v>
      </c>
      <c r="E56" s="66">
        <v>2455.1</v>
      </c>
      <c r="F56" s="66">
        <v>2635.4</v>
      </c>
      <c r="G56" s="66">
        <v>2095.3000000000002</v>
      </c>
      <c r="H56" s="66">
        <v>89.5</v>
      </c>
      <c r="I56" s="66">
        <v>166.5</v>
      </c>
      <c r="J56" s="66">
        <v>8.9</v>
      </c>
      <c r="K56" s="66">
        <v>495</v>
      </c>
      <c r="L56" s="66">
        <v>1145.2</v>
      </c>
      <c r="M56" s="67">
        <v>19447.5</v>
      </c>
    </row>
    <row r="57" spans="1:13" ht="12.75" hidden="1" customHeight="1">
      <c r="A57" s="80"/>
      <c r="B57" s="61"/>
      <c r="C57" s="67"/>
      <c r="D57" s="66"/>
      <c r="E57" s="66"/>
      <c r="F57" s="66"/>
      <c r="G57" s="66"/>
      <c r="H57" s="66"/>
      <c r="I57" s="66"/>
      <c r="J57" s="66"/>
      <c r="K57" s="66"/>
      <c r="L57" s="66"/>
      <c r="M57" s="67"/>
    </row>
    <row r="58" spans="1:13" ht="12.75" hidden="1" customHeight="1">
      <c r="A58" s="80"/>
      <c r="B58" s="61" t="s">
        <v>305</v>
      </c>
      <c r="C58" s="67">
        <v>9885.5</v>
      </c>
      <c r="D58" s="66">
        <v>1794.8</v>
      </c>
      <c r="E58" s="66">
        <v>2521.3000000000002</v>
      </c>
      <c r="F58" s="66">
        <v>2630</v>
      </c>
      <c r="G58" s="66">
        <v>1779.1</v>
      </c>
      <c r="H58" s="66">
        <v>86.5</v>
      </c>
      <c r="I58" s="66">
        <v>260.10000000000002</v>
      </c>
      <c r="J58" s="66">
        <v>9.1999999999999993</v>
      </c>
      <c r="K58" s="66">
        <v>353.7</v>
      </c>
      <c r="L58" s="66">
        <v>1359.5</v>
      </c>
      <c r="M58" s="67">
        <v>20679.7</v>
      </c>
    </row>
    <row r="59" spans="1:13" ht="12.75" hidden="1" customHeight="1">
      <c r="A59" s="80"/>
      <c r="B59" s="61"/>
      <c r="C59" s="67"/>
      <c r="D59" s="66"/>
      <c r="E59" s="66"/>
      <c r="F59" s="66"/>
      <c r="G59" s="66"/>
      <c r="H59" s="66"/>
      <c r="I59" s="66"/>
      <c r="J59" s="66"/>
      <c r="K59" s="66"/>
      <c r="L59" s="66"/>
      <c r="M59" s="67"/>
    </row>
    <row r="60" spans="1:13" ht="12.75" hidden="1" customHeight="1">
      <c r="A60" s="80"/>
      <c r="B60" s="61" t="s">
        <v>306</v>
      </c>
      <c r="C60" s="67">
        <v>9344.9</v>
      </c>
      <c r="D60" s="66">
        <v>1911.5</v>
      </c>
      <c r="E60" s="66">
        <v>2730.1</v>
      </c>
      <c r="F60" s="66">
        <v>2612</v>
      </c>
      <c r="G60" s="66">
        <v>2109.1999999999998</v>
      </c>
      <c r="H60" s="66">
        <v>123.3</v>
      </c>
      <c r="I60" s="66">
        <v>118.7</v>
      </c>
      <c r="J60" s="66">
        <v>24.7</v>
      </c>
      <c r="K60" s="66">
        <v>355.8</v>
      </c>
      <c r="L60" s="66">
        <v>1397.6</v>
      </c>
      <c r="M60" s="67">
        <v>20727.900000000001</v>
      </c>
    </row>
    <row r="61" spans="1:13" ht="12.75" hidden="1" customHeight="1">
      <c r="A61" s="80"/>
      <c r="B61" s="61"/>
      <c r="C61" s="67"/>
      <c r="D61" s="66"/>
      <c r="E61" s="66"/>
      <c r="F61" s="66"/>
      <c r="G61" s="66"/>
      <c r="H61" s="66"/>
      <c r="I61" s="66"/>
      <c r="J61" s="66"/>
      <c r="K61" s="66"/>
      <c r="L61" s="66"/>
      <c r="M61" s="67"/>
    </row>
    <row r="62" spans="1:13" ht="12.75" hidden="1" customHeight="1">
      <c r="A62" s="80"/>
      <c r="B62" s="61" t="s">
        <v>307</v>
      </c>
      <c r="C62" s="67">
        <v>10543.7</v>
      </c>
      <c r="D62" s="66">
        <v>1920.5</v>
      </c>
      <c r="E62" s="66">
        <v>2819.7</v>
      </c>
      <c r="F62" s="66">
        <v>2663.9</v>
      </c>
      <c r="G62" s="66">
        <v>2109.6999999999998</v>
      </c>
      <c r="H62" s="66">
        <v>173.6</v>
      </c>
      <c r="I62" s="66">
        <v>53.6</v>
      </c>
      <c r="J62" s="66">
        <v>75.7</v>
      </c>
      <c r="K62" s="66">
        <v>439.2</v>
      </c>
      <c r="L62" s="66">
        <v>1403.5</v>
      </c>
      <c r="M62" s="67">
        <v>22203.200000000001</v>
      </c>
    </row>
    <row r="63" spans="1:13" ht="12.75" hidden="1" customHeight="1">
      <c r="A63" s="80"/>
      <c r="B63" s="61"/>
      <c r="C63" s="67"/>
      <c r="D63" s="66"/>
      <c r="E63" s="66"/>
      <c r="F63" s="66"/>
      <c r="G63" s="66"/>
      <c r="H63" s="66"/>
      <c r="I63" s="66"/>
      <c r="J63" s="66"/>
      <c r="K63" s="66"/>
      <c r="L63" s="66"/>
      <c r="M63" s="67"/>
    </row>
    <row r="64" spans="1:13" ht="12.75" hidden="1" customHeight="1">
      <c r="A64" s="80"/>
      <c r="B64" s="61" t="s">
        <v>308</v>
      </c>
      <c r="C64" s="67">
        <v>11079.8</v>
      </c>
      <c r="D64" s="66">
        <v>1918.6</v>
      </c>
      <c r="E64" s="66">
        <v>2836.8</v>
      </c>
      <c r="F64" s="66">
        <v>2655.4</v>
      </c>
      <c r="G64" s="66">
        <v>1932</v>
      </c>
      <c r="H64" s="66">
        <v>234.7</v>
      </c>
      <c r="I64" s="66">
        <v>146.30000000000001</v>
      </c>
      <c r="J64" s="66">
        <v>50.4</v>
      </c>
      <c r="K64" s="66">
        <v>211.6</v>
      </c>
      <c r="L64" s="66">
        <v>1502.1</v>
      </c>
      <c r="M64" s="67">
        <v>22567.7</v>
      </c>
    </row>
    <row r="65" spans="1:13" ht="12.75" hidden="1" customHeight="1">
      <c r="A65" s="80"/>
      <c r="B65" s="61"/>
      <c r="C65" s="67"/>
      <c r="D65" s="66"/>
      <c r="E65" s="66"/>
      <c r="F65" s="66"/>
      <c r="G65" s="66"/>
      <c r="H65" s="66"/>
      <c r="I65" s="66"/>
      <c r="J65" s="66"/>
      <c r="K65" s="66"/>
      <c r="L65" s="66"/>
      <c r="M65" s="67"/>
    </row>
    <row r="66" spans="1:13" ht="12.75" hidden="1" customHeight="1">
      <c r="A66" s="80"/>
      <c r="B66" s="61" t="s">
        <v>311</v>
      </c>
      <c r="C66" s="67">
        <v>10081.200000000001</v>
      </c>
      <c r="D66" s="66">
        <v>1926.5</v>
      </c>
      <c r="E66" s="66">
        <v>2900.2</v>
      </c>
      <c r="F66" s="66">
        <v>2652.8</v>
      </c>
      <c r="G66" s="66">
        <v>1956.5</v>
      </c>
      <c r="H66" s="66">
        <v>267.2</v>
      </c>
      <c r="I66" s="66">
        <v>99.3</v>
      </c>
      <c r="J66" s="66">
        <v>53.1</v>
      </c>
      <c r="K66" s="66">
        <v>206.9</v>
      </c>
      <c r="L66" s="66">
        <v>1486.9</v>
      </c>
      <c r="M66" s="67">
        <v>21630.6</v>
      </c>
    </row>
    <row r="67" spans="1:13" ht="12.75" hidden="1" customHeight="1">
      <c r="A67" s="80"/>
      <c r="B67" s="57"/>
      <c r="C67" s="67"/>
      <c r="D67" s="66"/>
      <c r="E67" s="66"/>
      <c r="F67" s="66"/>
      <c r="G67" s="66"/>
      <c r="H67" s="66"/>
      <c r="I67" s="66"/>
      <c r="J67" s="66"/>
      <c r="K67" s="66"/>
      <c r="L67" s="66"/>
      <c r="M67" s="67"/>
    </row>
    <row r="68" spans="1:13" ht="12.75" hidden="1" customHeight="1">
      <c r="A68" s="80"/>
      <c r="B68" s="55" t="s">
        <v>313</v>
      </c>
      <c r="C68" s="67"/>
      <c r="D68" s="66"/>
      <c r="E68" s="66"/>
      <c r="F68" s="66"/>
      <c r="G68" s="66"/>
      <c r="H68" s="66"/>
      <c r="I68" s="66"/>
      <c r="J68" s="66"/>
      <c r="K68" s="66"/>
      <c r="L68" s="66"/>
      <c r="M68" s="67"/>
    </row>
    <row r="69" spans="1:13" ht="12.75" hidden="1" customHeight="1">
      <c r="A69" s="80"/>
      <c r="B69" s="57"/>
      <c r="C69" s="67"/>
      <c r="D69" s="66"/>
      <c r="E69" s="66"/>
      <c r="F69" s="66"/>
      <c r="G69" s="66"/>
      <c r="H69" s="66"/>
      <c r="I69" s="66"/>
      <c r="J69" s="66"/>
      <c r="K69" s="66"/>
      <c r="L69" s="66"/>
      <c r="M69" s="67"/>
    </row>
    <row r="70" spans="1:13" ht="12.75" hidden="1" customHeight="1">
      <c r="A70" s="80"/>
      <c r="B70" s="61" t="s">
        <v>298</v>
      </c>
      <c r="C70" s="86">
        <v>10734</v>
      </c>
      <c r="D70" s="85">
        <v>1844.9</v>
      </c>
      <c r="E70" s="85">
        <v>2971.1</v>
      </c>
      <c r="F70" s="85">
        <v>2659</v>
      </c>
      <c r="G70" s="85">
        <v>1675.1</v>
      </c>
      <c r="H70" s="85">
        <v>193.3</v>
      </c>
      <c r="I70" s="85">
        <v>186.6</v>
      </c>
      <c r="J70" s="85">
        <v>2.8</v>
      </c>
      <c r="K70" s="85">
        <v>307.10000000000002</v>
      </c>
      <c r="L70" s="85">
        <v>1153.0999999999999</v>
      </c>
      <c r="M70" s="86">
        <v>21727.1</v>
      </c>
    </row>
    <row r="71" spans="1:13" ht="12.75" hidden="1" customHeight="1">
      <c r="A71" s="80"/>
      <c r="B71" s="61"/>
      <c r="C71" s="86"/>
      <c r="D71" s="85"/>
      <c r="E71" s="85"/>
      <c r="F71" s="85"/>
      <c r="G71" s="85"/>
      <c r="H71" s="85"/>
      <c r="I71" s="85"/>
      <c r="J71" s="85"/>
      <c r="K71" s="85"/>
      <c r="L71" s="85"/>
      <c r="M71" s="86"/>
    </row>
    <row r="72" spans="1:13" ht="12.75" hidden="1" customHeight="1">
      <c r="A72" s="80"/>
      <c r="B72" s="61" t="s">
        <v>299</v>
      </c>
      <c r="C72" s="86">
        <v>9593.7000000000007</v>
      </c>
      <c r="D72" s="85">
        <v>1874.5</v>
      </c>
      <c r="E72" s="85">
        <v>3095.5</v>
      </c>
      <c r="F72" s="85">
        <v>2638.4</v>
      </c>
      <c r="G72" s="85">
        <v>1527.8</v>
      </c>
      <c r="H72" s="85">
        <v>296.7</v>
      </c>
      <c r="I72" s="85">
        <v>183</v>
      </c>
      <c r="J72" s="85">
        <v>1.6</v>
      </c>
      <c r="K72" s="85">
        <v>296</v>
      </c>
      <c r="L72" s="85">
        <v>1315.6</v>
      </c>
      <c r="M72" s="86">
        <v>20822.8</v>
      </c>
    </row>
    <row r="73" spans="1:13" ht="12.75" hidden="1" customHeight="1">
      <c r="A73" s="80"/>
      <c r="B73" s="61"/>
      <c r="C73" s="86"/>
      <c r="D73" s="85"/>
      <c r="E73" s="85"/>
      <c r="F73" s="85"/>
      <c r="G73" s="85"/>
      <c r="H73" s="85"/>
      <c r="I73" s="85"/>
      <c r="J73" s="85"/>
      <c r="K73" s="85"/>
      <c r="L73" s="85"/>
      <c r="M73" s="86"/>
    </row>
    <row r="74" spans="1:13" ht="12.75" hidden="1" customHeight="1">
      <c r="A74" s="80"/>
      <c r="B74" s="61" t="s">
        <v>300</v>
      </c>
      <c r="C74" s="86">
        <v>9421.6</v>
      </c>
      <c r="D74" s="85">
        <v>1880.8</v>
      </c>
      <c r="E74" s="85">
        <v>3113.9</v>
      </c>
      <c r="F74" s="85">
        <v>2638.5</v>
      </c>
      <c r="G74" s="85">
        <v>2836</v>
      </c>
      <c r="H74" s="85">
        <v>236.9</v>
      </c>
      <c r="I74" s="85">
        <v>209.2</v>
      </c>
      <c r="J74" s="85">
        <v>5.2</v>
      </c>
      <c r="K74" s="85">
        <v>299.60000000000002</v>
      </c>
      <c r="L74" s="85">
        <v>802.9</v>
      </c>
      <c r="M74" s="86">
        <v>21444.7</v>
      </c>
    </row>
    <row r="75" spans="1:13" ht="12.75" hidden="1" customHeight="1">
      <c r="A75" s="80"/>
      <c r="B75" s="61"/>
      <c r="C75" s="86"/>
      <c r="D75" s="85"/>
      <c r="E75" s="85"/>
      <c r="F75" s="85"/>
      <c r="G75" s="85"/>
      <c r="H75" s="85"/>
      <c r="I75" s="85"/>
      <c r="J75" s="85"/>
      <c r="K75" s="85"/>
      <c r="L75" s="85"/>
      <c r="M75" s="86"/>
    </row>
    <row r="76" spans="1:13" ht="12.75" hidden="1" customHeight="1">
      <c r="A76" s="80"/>
      <c r="B76" s="61" t="s">
        <v>301</v>
      </c>
      <c r="C76" s="86">
        <v>10764</v>
      </c>
      <c r="D76" s="85">
        <v>1878.3</v>
      </c>
      <c r="E76" s="85">
        <v>3052.3</v>
      </c>
      <c r="F76" s="85">
        <v>2642</v>
      </c>
      <c r="G76" s="85">
        <v>2851.4</v>
      </c>
      <c r="H76" s="85">
        <v>241.4</v>
      </c>
      <c r="I76" s="85">
        <v>454.9</v>
      </c>
      <c r="J76" s="85">
        <v>5.2</v>
      </c>
      <c r="K76" s="85">
        <v>258.5</v>
      </c>
      <c r="L76" s="85">
        <v>1286.8</v>
      </c>
      <c r="M76" s="86">
        <v>23435</v>
      </c>
    </row>
    <row r="77" spans="1:13" ht="12.75" hidden="1" customHeight="1">
      <c r="A77" s="80"/>
      <c r="B77" s="61"/>
      <c r="C77" s="86"/>
      <c r="D77" s="85"/>
      <c r="E77" s="85"/>
      <c r="F77" s="85"/>
      <c r="G77" s="85"/>
      <c r="H77" s="85"/>
      <c r="I77" s="85"/>
      <c r="J77" s="85"/>
      <c r="K77" s="85"/>
      <c r="L77" s="85"/>
      <c r="M77" s="86"/>
    </row>
    <row r="78" spans="1:13" ht="12.75" hidden="1" customHeight="1">
      <c r="A78" s="80"/>
      <c r="B78" s="61" t="s">
        <v>302</v>
      </c>
      <c r="C78" s="86">
        <v>11024.2</v>
      </c>
      <c r="D78" s="85">
        <v>1940.7</v>
      </c>
      <c r="E78" s="85">
        <v>2985.7</v>
      </c>
      <c r="F78" s="85">
        <v>2655.9</v>
      </c>
      <c r="G78" s="85">
        <v>2658.6</v>
      </c>
      <c r="H78" s="85">
        <v>160.30000000000001</v>
      </c>
      <c r="I78" s="85">
        <v>201.2</v>
      </c>
      <c r="J78" s="85">
        <v>3.6</v>
      </c>
      <c r="K78" s="85">
        <v>411.6</v>
      </c>
      <c r="L78" s="85">
        <v>1430</v>
      </c>
      <c r="M78" s="86">
        <v>23471.9</v>
      </c>
    </row>
    <row r="79" spans="1:13" ht="12.75" hidden="1" customHeight="1">
      <c r="A79" s="80"/>
      <c r="B79" s="61"/>
      <c r="C79" s="86"/>
      <c r="D79" s="85"/>
      <c r="E79" s="85"/>
      <c r="F79" s="85"/>
      <c r="G79" s="85"/>
      <c r="H79" s="85"/>
      <c r="I79" s="85"/>
      <c r="J79" s="85"/>
      <c r="K79" s="85"/>
      <c r="L79" s="85"/>
      <c r="M79" s="86"/>
    </row>
    <row r="80" spans="1:13" ht="12.75" hidden="1" customHeight="1">
      <c r="A80" s="80"/>
      <c r="B80" s="61" t="s">
        <v>303</v>
      </c>
      <c r="C80" s="86">
        <v>11597.6</v>
      </c>
      <c r="D80" s="85">
        <v>2053.1</v>
      </c>
      <c r="E80" s="85">
        <v>2973.9</v>
      </c>
      <c r="F80" s="85">
        <v>2703.5</v>
      </c>
      <c r="G80" s="85">
        <v>2402.5</v>
      </c>
      <c r="H80" s="85">
        <v>161</v>
      </c>
      <c r="I80" s="85">
        <v>159.5</v>
      </c>
      <c r="J80" s="85">
        <v>7.3</v>
      </c>
      <c r="K80" s="85">
        <v>159.1</v>
      </c>
      <c r="L80" s="85">
        <v>691.5</v>
      </c>
      <c r="M80" s="86">
        <v>22908.799999999999</v>
      </c>
    </row>
    <row r="81" spans="1:13" ht="12.75" hidden="1" customHeight="1">
      <c r="A81" s="80"/>
      <c r="B81" s="61"/>
      <c r="C81" s="86"/>
      <c r="D81" s="85"/>
      <c r="E81" s="85"/>
      <c r="F81" s="85"/>
      <c r="G81" s="85"/>
      <c r="H81" s="85"/>
      <c r="I81" s="85"/>
      <c r="J81" s="85"/>
      <c r="K81" s="85"/>
      <c r="L81" s="85"/>
      <c r="M81" s="86"/>
    </row>
    <row r="82" spans="1:13" ht="12.75" hidden="1" customHeight="1">
      <c r="A82" s="80"/>
      <c r="B82" s="61" t="s">
        <v>304</v>
      </c>
      <c r="C82" s="86">
        <v>13066.1</v>
      </c>
      <c r="D82" s="85">
        <v>2164.8000000000002</v>
      </c>
      <c r="E82" s="85">
        <v>3044</v>
      </c>
      <c r="F82" s="85">
        <v>3181</v>
      </c>
      <c r="G82" s="85">
        <v>2535.1</v>
      </c>
      <c r="H82" s="85">
        <v>163.19999999999999</v>
      </c>
      <c r="I82" s="85">
        <v>492.9</v>
      </c>
      <c r="J82" s="85">
        <v>67.3</v>
      </c>
      <c r="K82" s="85">
        <v>184.6</v>
      </c>
      <c r="L82" s="85">
        <v>1110.4000000000001</v>
      </c>
      <c r="M82" s="86">
        <v>26009.4</v>
      </c>
    </row>
    <row r="83" spans="1:13" ht="12.75" hidden="1" customHeight="1">
      <c r="A83" s="80"/>
      <c r="B83" s="61"/>
      <c r="C83" s="86"/>
      <c r="D83" s="85"/>
      <c r="E83" s="85"/>
      <c r="F83" s="85"/>
      <c r="G83" s="85"/>
      <c r="H83" s="85"/>
      <c r="I83" s="85"/>
      <c r="J83" s="85"/>
      <c r="K83" s="85"/>
      <c r="L83" s="85"/>
      <c r="M83" s="86"/>
    </row>
    <row r="84" spans="1:13" ht="12.75" hidden="1" customHeight="1">
      <c r="A84" s="80"/>
      <c r="B84" s="61" t="s">
        <v>305</v>
      </c>
      <c r="C84" s="86">
        <v>12737.6</v>
      </c>
      <c r="D84" s="85">
        <v>2254.5</v>
      </c>
      <c r="E84" s="85">
        <v>3116.7</v>
      </c>
      <c r="F84" s="85">
        <v>3373.9</v>
      </c>
      <c r="G84" s="85">
        <v>2411.1999999999998</v>
      </c>
      <c r="H84" s="85">
        <v>177.5</v>
      </c>
      <c r="I84" s="85">
        <v>441.5</v>
      </c>
      <c r="J84" s="85">
        <v>87.8</v>
      </c>
      <c r="K84" s="85">
        <v>247</v>
      </c>
      <c r="L84" s="85">
        <v>879.7</v>
      </c>
      <c r="M84" s="86">
        <v>25727.3</v>
      </c>
    </row>
    <row r="85" spans="1:13" ht="12.75" hidden="1" customHeight="1">
      <c r="A85" s="80"/>
      <c r="B85" s="61"/>
      <c r="C85" s="86"/>
      <c r="D85" s="85"/>
      <c r="E85" s="85"/>
      <c r="F85" s="85"/>
      <c r="G85" s="85"/>
      <c r="H85" s="85"/>
      <c r="I85" s="85"/>
      <c r="J85" s="85"/>
      <c r="K85" s="85"/>
      <c r="L85" s="85"/>
      <c r="M85" s="86"/>
    </row>
    <row r="86" spans="1:13" ht="12.75" hidden="1" customHeight="1">
      <c r="A86" s="80"/>
      <c r="B86" s="61" t="s">
        <v>306</v>
      </c>
      <c r="C86" s="86">
        <v>13419</v>
      </c>
      <c r="D86" s="85">
        <v>2338.3000000000002</v>
      </c>
      <c r="E86" s="85">
        <v>3186.2</v>
      </c>
      <c r="F86" s="85">
        <v>3420.7</v>
      </c>
      <c r="G86" s="85">
        <v>2832.9</v>
      </c>
      <c r="H86" s="85">
        <v>214.8</v>
      </c>
      <c r="I86" s="85">
        <v>460.1</v>
      </c>
      <c r="J86" s="85">
        <v>127.3</v>
      </c>
      <c r="K86" s="85">
        <v>339.1</v>
      </c>
      <c r="L86" s="85">
        <v>1458.1</v>
      </c>
      <c r="M86" s="86">
        <v>27796.5</v>
      </c>
    </row>
    <row r="87" spans="1:13" ht="12.75" hidden="1" customHeight="1">
      <c r="A87" s="80"/>
      <c r="B87" s="61"/>
      <c r="C87" s="86"/>
      <c r="D87" s="85"/>
      <c r="E87" s="85"/>
      <c r="F87" s="85"/>
      <c r="G87" s="85"/>
      <c r="H87" s="85"/>
      <c r="I87" s="85"/>
      <c r="J87" s="85"/>
      <c r="K87" s="85"/>
      <c r="L87" s="85"/>
      <c r="M87" s="86"/>
    </row>
    <row r="88" spans="1:13" ht="12.75" hidden="1" customHeight="1">
      <c r="A88" s="80"/>
      <c r="B88" s="61" t="s">
        <v>307</v>
      </c>
      <c r="C88" s="86">
        <v>11780.4</v>
      </c>
      <c r="D88" s="85">
        <v>2366.4</v>
      </c>
      <c r="E88" s="85">
        <v>3281.9</v>
      </c>
      <c r="F88" s="85">
        <v>3534</v>
      </c>
      <c r="G88" s="85">
        <v>2166.1999999999998</v>
      </c>
      <c r="H88" s="85">
        <v>171.2</v>
      </c>
      <c r="I88" s="85">
        <v>444.2</v>
      </c>
      <c r="J88" s="85">
        <v>0.1</v>
      </c>
      <c r="K88" s="85">
        <v>169.2</v>
      </c>
      <c r="L88" s="85">
        <v>1257.5</v>
      </c>
      <c r="M88" s="86">
        <v>25171.1</v>
      </c>
    </row>
    <row r="89" spans="1:13" ht="12.75" hidden="1" customHeight="1">
      <c r="A89" s="80"/>
      <c r="B89" s="61"/>
      <c r="C89" s="86"/>
      <c r="D89" s="85"/>
      <c r="E89" s="85"/>
      <c r="F89" s="85"/>
      <c r="G89" s="85"/>
      <c r="H89" s="85"/>
      <c r="I89" s="85"/>
      <c r="J89" s="85"/>
      <c r="K89" s="85"/>
      <c r="L89" s="85"/>
      <c r="M89" s="86"/>
    </row>
    <row r="90" spans="1:13" ht="12.75" hidden="1" customHeight="1">
      <c r="A90" s="80"/>
      <c r="B90" s="61" t="s">
        <v>308</v>
      </c>
      <c r="C90" s="86">
        <v>11741.6</v>
      </c>
      <c r="D90" s="85">
        <v>2466.3000000000002</v>
      </c>
      <c r="E90" s="85">
        <v>3436.3</v>
      </c>
      <c r="F90" s="85">
        <v>3584.4</v>
      </c>
      <c r="G90" s="85">
        <v>1027.7</v>
      </c>
      <c r="H90" s="85">
        <v>198.8</v>
      </c>
      <c r="I90" s="85">
        <v>263.89999999999998</v>
      </c>
      <c r="J90" s="85">
        <v>0.5</v>
      </c>
      <c r="K90" s="85">
        <v>549.29999999999995</v>
      </c>
      <c r="L90" s="85">
        <v>727</v>
      </c>
      <c r="M90" s="86">
        <v>23995.7</v>
      </c>
    </row>
    <row r="91" spans="1:13" ht="12.75" hidden="1" customHeight="1">
      <c r="A91" s="80"/>
      <c r="B91" s="61"/>
      <c r="C91" s="86"/>
      <c r="D91" s="85"/>
      <c r="E91" s="85"/>
      <c r="F91" s="85"/>
      <c r="G91" s="85"/>
      <c r="H91" s="85"/>
      <c r="I91" s="85"/>
      <c r="J91" s="85"/>
      <c r="K91" s="85"/>
      <c r="L91" s="85"/>
      <c r="M91" s="86"/>
    </row>
    <row r="92" spans="1:13" ht="12.75" hidden="1" customHeight="1">
      <c r="A92" s="80"/>
      <c r="B92" s="61" t="s">
        <v>311</v>
      </c>
      <c r="C92" s="86">
        <v>13273.1</v>
      </c>
      <c r="D92" s="85">
        <v>2509.1999999999998</v>
      </c>
      <c r="E92" s="85">
        <v>3484.5</v>
      </c>
      <c r="F92" s="85">
        <v>3604.4</v>
      </c>
      <c r="G92" s="85">
        <v>1546.1</v>
      </c>
      <c r="H92" s="85">
        <v>192</v>
      </c>
      <c r="I92" s="85">
        <v>362.9</v>
      </c>
      <c r="J92" s="85">
        <v>0</v>
      </c>
      <c r="K92" s="85">
        <v>254.8</v>
      </c>
      <c r="L92" s="85">
        <v>450.1</v>
      </c>
      <c r="M92" s="86">
        <v>25677</v>
      </c>
    </row>
    <row r="93" spans="1:13" ht="12.75" hidden="1" customHeight="1">
      <c r="A93" s="80"/>
      <c r="B93" s="61"/>
      <c r="C93" s="86"/>
      <c r="D93" s="85"/>
      <c r="E93" s="85"/>
      <c r="F93" s="85"/>
      <c r="G93" s="85"/>
      <c r="H93" s="85"/>
      <c r="I93" s="85"/>
      <c r="J93" s="85"/>
      <c r="K93" s="85"/>
      <c r="L93" s="85"/>
      <c r="M93" s="86"/>
    </row>
    <row r="94" spans="1:13" ht="12.75" hidden="1" customHeight="1">
      <c r="A94" s="80"/>
      <c r="B94" s="55" t="s">
        <v>314</v>
      </c>
      <c r="C94" s="86"/>
      <c r="D94" s="85"/>
      <c r="E94" s="85"/>
      <c r="F94" s="85"/>
      <c r="G94" s="85"/>
      <c r="H94" s="85"/>
      <c r="I94" s="85"/>
      <c r="J94" s="85"/>
      <c r="K94" s="85"/>
      <c r="L94" s="85"/>
      <c r="M94" s="86"/>
    </row>
    <row r="95" spans="1:13" ht="12.75" hidden="1" customHeight="1">
      <c r="A95" s="80"/>
      <c r="B95" s="57"/>
      <c r="C95" s="86"/>
      <c r="D95" s="85"/>
      <c r="E95" s="85"/>
      <c r="F95" s="85"/>
      <c r="G95" s="85"/>
      <c r="H95" s="85"/>
      <c r="I95" s="85"/>
      <c r="J95" s="85"/>
      <c r="K95" s="85"/>
      <c r="L95" s="85"/>
      <c r="M95" s="86"/>
    </row>
    <row r="96" spans="1:13" ht="12.75" hidden="1" customHeight="1">
      <c r="A96" s="80"/>
      <c r="B96" s="61" t="s">
        <v>298</v>
      </c>
      <c r="C96" s="86">
        <v>12386.9</v>
      </c>
      <c r="D96" s="85">
        <v>2535.8000000000002</v>
      </c>
      <c r="E96" s="85">
        <v>3325.1</v>
      </c>
      <c r="F96" s="85">
        <v>3651.1</v>
      </c>
      <c r="G96" s="85">
        <v>2648</v>
      </c>
      <c r="H96" s="85">
        <v>168.1</v>
      </c>
      <c r="I96" s="85">
        <v>429.6</v>
      </c>
      <c r="J96" s="85">
        <v>1.4</v>
      </c>
      <c r="K96" s="85">
        <v>349.1</v>
      </c>
      <c r="L96" s="85">
        <v>1181.5</v>
      </c>
      <c r="M96" s="86">
        <v>26676.6</v>
      </c>
    </row>
    <row r="97" spans="1:13" ht="12.75" hidden="1" customHeight="1">
      <c r="A97" s="80"/>
      <c r="B97" s="61"/>
      <c r="C97" s="86"/>
      <c r="D97" s="85"/>
      <c r="E97" s="85"/>
      <c r="F97" s="85"/>
      <c r="G97" s="85"/>
      <c r="H97" s="85"/>
      <c r="I97" s="85"/>
      <c r="J97" s="85"/>
      <c r="K97" s="85"/>
      <c r="L97" s="85"/>
      <c r="M97" s="86"/>
    </row>
    <row r="98" spans="1:13" ht="12.75" hidden="1" customHeight="1">
      <c r="A98" s="80"/>
      <c r="B98" s="61" t="s">
        <v>299</v>
      </c>
      <c r="C98" s="86">
        <v>13284.9</v>
      </c>
      <c r="D98" s="85">
        <v>2514.1</v>
      </c>
      <c r="E98" s="85">
        <v>3403.9</v>
      </c>
      <c r="F98" s="85">
        <v>3673.5</v>
      </c>
      <c r="G98" s="85">
        <v>2241.6999999999998</v>
      </c>
      <c r="H98" s="85">
        <v>444.4</v>
      </c>
      <c r="I98" s="85">
        <v>123.5</v>
      </c>
      <c r="J98" s="85">
        <v>3</v>
      </c>
      <c r="K98" s="85">
        <v>450.2</v>
      </c>
      <c r="L98" s="85">
        <v>1147.4000000000001</v>
      </c>
      <c r="M98" s="86">
        <v>27286.6</v>
      </c>
    </row>
    <row r="99" spans="1:13" ht="12.75" hidden="1" customHeight="1">
      <c r="A99" s="80"/>
      <c r="B99" s="61"/>
      <c r="C99" s="86"/>
      <c r="D99" s="85"/>
      <c r="E99" s="85"/>
      <c r="F99" s="85"/>
      <c r="G99" s="85"/>
      <c r="H99" s="85"/>
      <c r="I99" s="85"/>
      <c r="J99" s="85"/>
      <c r="K99" s="85"/>
      <c r="L99" s="85"/>
      <c r="M99" s="86"/>
    </row>
    <row r="100" spans="1:13" ht="12.75" hidden="1" customHeight="1">
      <c r="A100" s="80"/>
      <c r="B100" s="61" t="s">
        <v>300</v>
      </c>
      <c r="C100" s="86">
        <v>13998.2</v>
      </c>
      <c r="D100" s="85">
        <v>2594.6999999999998</v>
      </c>
      <c r="E100" s="85">
        <v>3497.5</v>
      </c>
      <c r="F100" s="85">
        <v>3647.9</v>
      </c>
      <c r="G100" s="85">
        <v>2211.3000000000002</v>
      </c>
      <c r="H100" s="85">
        <v>245.2</v>
      </c>
      <c r="I100" s="85">
        <v>201.5</v>
      </c>
      <c r="J100" s="85">
        <v>1.3</v>
      </c>
      <c r="K100" s="85">
        <v>356.1</v>
      </c>
      <c r="L100" s="85">
        <v>1040.9000000000001</v>
      </c>
      <c r="M100" s="86">
        <v>27794.7</v>
      </c>
    </row>
    <row r="101" spans="1:13" ht="12.75" hidden="1" customHeight="1">
      <c r="A101" s="80"/>
      <c r="B101" s="61"/>
      <c r="C101" s="86"/>
      <c r="D101" s="85"/>
      <c r="E101" s="85"/>
      <c r="F101" s="85"/>
      <c r="G101" s="85"/>
      <c r="H101" s="85"/>
      <c r="I101" s="85"/>
      <c r="J101" s="85"/>
      <c r="K101" s="85"/>
      <c r="L101" s="85"/>
      <c r="M101" s="86"/>
    </row>
    <row r="102" spans="1:13" ht="12.75" hidden="1" customHeight="1">
      <c r="A102" s="80"/>
      <c r="B102" s="61" t="s">
        <v>301</v>
      </c>
      <c r="C102" s="86">
        <v>14857.1</v>
      </c>
      <c r="D102" s="85">
        <v>2590.5</v>
      </c>
      <c r="E102" s="85">
        <v>3466.6</v>
      </c>
      <c r="F102" s="85">
        <v>3613.4</v>
      </c>
      <c r="G102" s="85">
        <v>2438.6999999999998</v>
      </c>
      <c r="H102" s="85">
        <v>314.10000000000002</v>
      </c>
      <c r="I102" s="85">
        <v>418.9</v>
      </c>
      <c r="J102" s="85">
        <v>11.3</v>
      </c>
      <c r="K102" s="85">
        <v>323.5</v>
      </c>
      <c r="L102" s="85">
        <v>1486.3</v>
      </c>
      <c r="M102" s="86">
        <v>29520.3</v>
      </c>
    </row>
    <row r="103" spans="1:13" ht="12.75" hidden="1" customHeight="1">
      <c r="A103" s="80"/>
      <c r="B103" s="61"/>
      <c r="C103" s="86"/>
      <c r="D103" s="85"/>
      <c r="E103" s="85"/>
      <c r="F103" s="85"/>
      <c r="G103" s="85"/>
      <c r="H103" s="85"/>
      <c r="I103" s="85"/>
      <c r="J103" s="85"/>
      <c r="K103" s="85"/>
      <c r="L103" s="85"/>
      <c r="M103" s="86"/>
    </row>
    <row r="104" spans="1:13" ht="12.75" hidden="1" customHeight="1">
      <c r="A104" s="80"/>
      <c r="B104" s="61" t="s">
        <v>302</v>
      </c>
      <c r="C104" s="86">
        <v>15550.8</v>
      </c>
      <c r="D104" s="85">
        <v>2588.4</v>
      </c>
      <c r="E104" s="85">
        <v>3534.3</v>
      </c>
      <c r="F104" s="85">
        <v>3558.5</v>
      </c>
      <c r="G104" s="85">
        <v>2548.3000000000002</v>
      </c>
      <c r="H104" s="85">
        <v>145</v>
      </c>
      <c r="I104" s="85">
        <v>44.8</v>
      </c>
      <c r="J104" s="85">
        <v>22.8</v>
      </c>
      <c r="K104" s="85">
        <v>397.9</v>
      </c>
      <c r="L104" s="85">
        <v>1576.9</v>
      </c>
      <c r="M104" s="86">
        <v>29967.7</v>
      </c>
    </row>
    <row r="105" spans="1:13" ht="12.75" hidden="1" customHeight="1">
      <c r="A105" s="80"/>
      <c r="B105" s="61"/>
      <c r="C105" s="86"/>
      <c r="D105" s="85"/>
      <c r="E105" s="85"/>
      <c r="F105" s="85"/>
      <c r="G105" s="85"/>
      <c r="H105" s="85"/>
      <c r="I105" s="85"/>
      <c r="J105" s="85"/>
      <c r="K105" s="85"/>
      <c r="L105" s="85"/>
      <c r="M105" s="86"/>
    </row>
    <row r="106" spans="1:13" ht="12.75" hidden="1" customHeight="1">
      <c r="A106" s="80"/>
      <c r="B106" s="61" t="s">
        <v>303</v>
      </c>
      <c r="C106" s="86">
        <v>14735.6</v>
      </c>
      <c r="D106" s="85">
        <v>2653.5</v>
      </c>
      <c r="E106" s="85">
        <v>3685.2</v>
      </c>
      <c r="F106" s="85">
        <v>3546.8</v>
      </c>
      <c r="G106" s="85">
        <v>2624.5</v>
      </c>
      <c r="H106" s="85">
        <v>16.600000000000001</v>
      </c>
      <c r="I106" s="85">
        <v>115.1</v>
      </c>
      <c r="J106" s="85">
        <v>33.700000000000003</v>
      </c>
      <c r="K106" s="85">
        <v>382.6</v>
      </c>
      <c r="L106" s="85">
        <v>1553.6</v>
      </c>
      <c r="M106" s="86">
        <v>29347.3</v>
      </c>
    </row>
    <row r="107" spans="1:13" ht="12.75" hidden="1" customHeight="1">
      <c r="A107" s="80"/>
      <c r="B107" s="61"/>
      <c r="C107" s="86"/>
      <c r="D107" s="85"/>
      <c r="E107" s="85"/>
      <c r="F107" s="85"/>
      <c r="G107" s="85"/>
      <c r="H107" s="85"/>
      <c r="I107" s="85"/>
      <c r="J107" s="85"/>
      <c r="K107" s="85"/>
      <c r="L107" s="85"/>
      <c r="M107" s="86"/>
    </row>
    <row r="108" spans="1:13" ht="12.75" hidden="1" customHeight="1">
      <c r="B108" s="61" t="s">
        <v>304</v>
      </c>
      <c r="C108" s="86">
        <v>14558.1</v>
      </c>
      <c r="D108" s="85">
        <v>2728.3</v>
      </c>
      <c r="E108" s="85">
        <v>3779.5</v>
      </c>
      <c r="F108" s="85">
        <v>3674.6</v>
      </c>
      <c r="G108" s="85">
        <f>1364.3-22.3</f>
        <v>1342</v>
      </c>
      <c r="H108" s="85">
        <v>22.3</v>
      </c>
      <c r="I108" s="85">
        <f>174-34.4</f>
        <v>139.6</v>
      </c>
      <c r="J108" s="85">
        <v>34.4</v>
      </c>
      <c r="K108" s="85">
        <v>406</v>
      </c>
      <c r="L108" s="85">
        <v>1209.5</v>
      </c>
      <c r="M108" s="86">
        <v>27894.3</v>
      </c>
    </row>
    <row r="109" spans="1:13" ht="12.75" hidden="1" customHeight="1">
      <c r="B109" s="61"/>
      <c r="C109" s="86"/>
      <c r="D109" s="85"/>
      <c r="E109" s="85"/>
      <c r="F109" s="85"/>
      <c r="G109" s="85"/>
      <c r="H109" s="85"/>
      <c r="I109" s="85"/>
      <c r="J109" s="85"/>
      <c r="K109" s="85"/>
      <c r="L109" s="85"/>
      <c r="M109" s="86"/>
    </row>
    <row r="110" spans="1:13" ht="12.75" hidden="1" customHeight="1">
      <c r="B110" s="61" t="s">
        <v>305</v>
      </c>
      <c r="C110" s="86">
        <v>15806.7</v>
      </c>
      <c r="D110" s="85">
        <v>2675.4</v>
      </c>
      <c r="E110" s="85">
        <v>3818.1</v>
      </c>
      <c r="F110" s="85">
        <v>3626</v>
      </c>
      <c r="G110" s="85">
        <f>1388.9-3</f>
        <v>1385.9</v>
      </c>
      <c r="H110" s="85">
        <v>3</v>
      </c>
      <c r="I110" s="85">
        <f>194.3-12.1</f>
        <v>182.20000000000002</v>
      </c>
      <c r="J110" s="85">
        <v>12.1</v>
      </c>
      <c r="K110" s="85">
        <v>590.29999999999995</v>
      </c>
      <c r="L110" s="85">
        <v>1254.0999999999999</v>
      </c>
      <c r="M110" s="86">
        <v>29353.7</v>
      </c>
    </row>
    <row r="111" spans="1:13" ht="12.75" hidden="1" customHeight="1">
      <c r="B111" s="61"/>
      <c r="C111" s="86"/>
      <c r="D111" s="85"/>
      <c r="E111" s="85"/>
      <c r="F111" s="85"/>
      <c r="G111" s="85"/>
      <c r="H111" s="85"/>
      <c r="I111" s="85"/>
      <c r="J111" s="85"/>
      <c r="K111" s="85"/>
      <c r="L111" s="85"/>
      <c r="M111" s="86"/>
    </row>
    <row r="112" spans="1:13" ht="12.75" hidden="1" customHeight="1">
      <c r="B112" s="61" t="s">
        <v>306</v>
      </c>
      <c r="C112" s="86">
        <v>16290.7</v>
      </c>
      <c r="D112" s="85">
        <v>2808.4</v>
      </c>
      <c r="E112" s="85">
        <v>3972.1</v>
      </c>
      <c r="F112" s="85">
        <v>3628</v>
      </c>
      <c r="G112" s="85">
        <f>2319.5-3.3</f>
        <v>2316.1999999999998</v>
      </c>
      <c r="H112" s="85">
        <v>3.3</v>
      </c>
      <c r="I112" s="85">
        <f>175.1-13.2</f>
        <v>161.9</v>
      </c>
      <c r="J112" s="85">
        <v>13.2</v>
      </c>
      <c r="K112" s="85">
        <v>464.3</v>
      </c>
      <c r="L112" s="85">
        <v>1596.7</v>
      </c>
      <c r="M112" s="86">
        <v>31254.7</v>
      </c>
    </row>
    <row r="113" spans="2:13" ht="12.75" hidden="1" customHeight="1">
      <c r="B113" s="61"/>
      <c r="C113" s="86"/>
      <c r="D113" s="85"/>
      <c r="E113" s="85"/>
      <c r="F113" s="85"/>
      <c r="G113" s="85"/>
      <c r="H113" s="85"/>
      <c r="I113" s="85"/>
      <c r="J113" s="85"/>
      <c r="K113" s="85"/>
      <c r="L113" s="85"/>
      <c r="M113" s="86"/>
    </row>
    <row r="114" spans="2:13" ht="12.75" hidden="1" customHeight="1">
      <c r="B114" s="61" t="s">
        <v>307</v>
      </c>
      <c r="C114" s="86">
        <v>17306.7</v>
      </c>
      <c r="D114" s="85">
        <v>2776</v>
      </c>
      <c r="E114" s="85">
        <v>4092</v>
      </c>
      <c r="F114" s="85">
        <v>3529.4</v>
      </c>
      <c r="G114" s="85">
        <f>1996-198.7</f>
        <v>1797.3</v>
      </c>
      <c r="H114" s="85">
        <v>198.7</v>
      </c>
      <c r="I114" s="85">
        <f>267.6-14.1</f>
        <v>253.50000000000003</v>
      </c>
      <c r="J114" s="85">
        <v>14.1</v>
      </c>
      <c r="K114" s="85">
        <v>342.2</v>
      </c>
      <c r="L114" s="85">
        <v>1436.2</v>
      </c>
      <c r="M114" s="86">
        <v>31746.2</v>
      </c>
    </row>
    <row r="115" spans="2:13" ht="12.75" hidden="1" customHeight="1">
      <c r="B115" s="61"/>
      <c r="C115" s="86"/>
      <c r="D115" s="85"/>
      <c r="E115" s="85"/>
      <c r="F115" s="85"/>
      <c r="G115" s="85"/>
      <c r="H115" s="85"/>
      <c r="I115" s="85"/>
      <c r="J115" s="85"/>
      <c r="K115" s="85"/>
      <c r="L115" s="85"/>
      <c r="M115" s="86"/>
    </row>
    <row r="116" spans="2:13" ht="12.75" hidden="1" customHeight="1">
      <c r="B116" s="61" t="s">
        <v>308</v>
      </c>
      <c r="C116" s="86">
        <v>17220.8</v>
      </c>
      <c r="D116" s="85">
        <v>2892.3</v>
      </c>
      <c r="E116" s="85">
        <v>4367.8</v>
      </c>
      <c r="F116" s="85">
        <v>3467.1</v>
      </c>
      <c r="G116" s="85">
        <f>1853.5-127.3</f>
        <v>1726.2</v>
      </c>
      <c r="H116" s="85">
        <v>127.3</v>
      </c>
      <c r="I116" s="85">
        <f>656.7-14.8</f>
        <v>641.90000000000009</v>
      </c>
      <c r="J116" s="85">
        <v>14.8</v>
      </c>
      <c r="K116" s="85">
        <v>578.9</v>
      </c>
      <c r="L116" s="85">
        <v>1707.7</v>
      </c>
      <c r="M116" s="86">
        <v>32744.7</v>
      </c>
    </row>
    <row r="117" spans="2:13" ht="12.75" hidden="1" customHeight="1">
      <c r="B117" s="61"/>
      <c r="C117" s="86"/>
      <c r="D117" s="85"/>
      <c r="E117" s="85"/>
      <c r="F117" s="85"/>
      <c r="G117" s="85"/>
      <c r="H117" s="85"/>
      <c r="I117" s="85"/>
      <c r="J117" s="85"/>
      <c r="K117" s="85"/>
      <c r="L117" s="85"/>
      <c r="M117" s="86"/>
    </row>
    <row r="118" spans="2:13" ht="12.75" hidden="1" customHeight="1">
      <c r="B118" s="61" t="s">
        <v>311</v>
      </c>
      <c r="C118" s="86">
        <v>19600.599999999999</v>
      </c>
      <c r="D118" s="85">
        <v>2974.8</v>
      </c>
      <c r="E118" s="85">
        <v>5720.9</v>
      </c>
      <c r="F118" s="85">
        <v>4514.8</v>
      </c>
      <c r="G118" s="85">
        <f>1851.4-139.6</f>
        <v>1711.8000000000002</v>
      </c>
      <c r="H118" s="85">
        <v>139.6</v>
      </c>
      <c r="I118" s="85">
        <f>774.2-18.9</f>
        <v>755.30000000000007</v>
      </c>
      <c r="J118" s="85">
        <v>18.899999999999999</v>
      </c>
      <c r="K118" s="85">
        <v>481.9</v>
      </c>
      <c r="L118" s="85">
        <v>1595.8</v>
      </c>
      <c r="M118" s="86">
        <v>37514.199999999997</v>
      </c>
    </row>
    <row r="119" spans="2:13" ht="12.75" hidden="1" customHeight="1">
      <c r="B119" s="61"/>
      <c r="C119" s="86"/>
      <c r="D119" s="85"/>
      <c r="E119" s="85"/>
      <c r="F119" s="85"/>
      <c r="G119" s="85"/>
      <c r="H119" s="85"/>
      <c r="I119" s="85"/>
      <c r="J119" s="85"/>
      <c r="K119" s="85"/>
      <c r="L119" s="85"/>
      <c r="M119" s="86"/>
    </row>
    <row r="120" spans="2:13" ht="12.75" hidden="1" customHeight="1">
      <c r="B120" s="55" t="s">
        <v>315</v>
      </c>
      <c r="C120" s="86"/>
      <c r="D120" s="85"/>
      <c r="E120" s="85"/>
      <c r="F120" s="85"/>
      <c r="G120" s="85"/>
      <c r="H120" s="85"/>
      <c r="I120" s="85"/>
      <c r="J120" s="85"/>
      <c r="K120" s="85"/>
      <c r="L120" s="85"/>
      <c r="M120" s="86"/>
    </row>
    <row r="121" spans="2:13" ht="12.75" hidden="1" customHeight="1">
      <c r="B121" s="57"/>
      <c r="C121" s="86"/>
      <c r="D121" s="85"/>
      <c r="E121" s="85"/>
      <c r="F121" s="85"/>
      <c r="G121" s="85"/>
      <c r="H121" s="85"/>
      <c r="I121" s="85"/>
      <c r="J121" s="85"/>
      <c r="K121" s="85"/>
      <c r="L121" s="85"/>
      <c r="M121" s="86"/>
    </row>
    <row r="122" spans="2:13" ht="12.75" hidden="1" customHeight="1">
      <c r="B122" s="61" t="s">
        <v>298</v>
      </c>
      <c r="C122" s="86">
        <v>17862.599999999999</v>
      </c>
      <c r="D122" s="85">
        <v>2954.6</v>
      </c>
      <c r="E122" s="85">
        <v>5118.3</v>
      </c>
      <c r="F122" s="85">
        <v>4271.8</v>
      </c>
      <c r="G122" s="85">
        <f>2076.3-123</f>
        <v>1953.3000000000002</v>
      </c>
      <c r="H122" s="85">
        <v>123</v>
      </c>
      <c r="I122" s="85">
        <f>630.6-145.9</f>
        <v>484.70000000000005</v>
      </c>
      <c r="J122" s="85">
        <v>145.9</v>
      </c>
      <c r="K122" s="85">
        <v>342.8</v>
      </c>
      <c r="L122" s="85">
        <v>2107.9</v>
      </c>
      <c r="M122" s="86">
        <v>35364.9</v>
      </c>
    </row>
    <row r="123" spans="2:13" ht="12.75" hidden="1" customHeight="1">
      <c r="B123" s="61"/>
      <c r="C123" s="86"/>
      <c r="D123" s="85"/>
      <c r="E123" s="85"/>
      <c r="F123" s="85"/>
      <c r="G123" s="85"/>
      <c r="H123" s="85"/>
      <c r="I123" s="85"/>
      <c r="J123" s="85"/>
      <c r="K123" s="85"/>
      <c r="L123" s="85"/>
      <c r="M123" s="86"/>
    </row>
    <row r="124" spans="2:13" ht="12.75" hidden="1" customHeight="1">
      <c r="B124" s="61" t="s">
        <v>299</v>
      </c>
      <c r="C124" s="86">
        <v>16469.599999999999</v>
      </c>
      <c r="D124" s="85">
        <v>2879.5</v>
      </c>
      <c r="E124" s="85">
        <v>4960.8999999999996</v>
      </c>
      <c r="F124" s="85">
        <v>4085.9</v>
      </c>
      <c r="G124" s="85">
        <f>2323.9-111.9</f>
        <v>2212</v>
      </c>
      <c r="H124" s="85">
        <v>111.9</v>
      </c>
      <c r="I124" s="85">
        <f>445.8-96.5</f>
        <v>349.3</v>
      </c>
      <c r="J124" s="85">
        <v>96.5</v>
      </c>
      <c r="K124" s="85">
        <v>577.79999999999995</v>
      </c>
      <c r="L124" s="85">
        <v>2356.5</v>
      </c>
      <c r="M124" s="86">
        <v>34099.9</v>
      </c>
    </row>
    <row r="125" spans="2:13" ht="12.75" hidden="1" customHeight="1">
      <c r="B125" s="61"/>
      <c r="C125" s="86"/>
      <c r="D125" s="85"/>
      <c r="E125" s="85"/>
      <c r="F125" s="85"/>
      <c r="G125" s="85"/>
      <c r="H125" s="85"/>
      <c r="I125" s="85"/>
      <c r="J125" s="85"/>
      <c r="K125" s="85"/>
      <c r="L125" s="85"/>
      <c r="M125" s="86"/>
    </row>
    <row r="126" spans="2:13" ht="12.75" hidden="1" customHeight="1">
      <c r="B126" s="61" t="s">
        <v>300</v>
      </c>
      <c r="C126" s="86">
        <v>17359.599999999999</v>
      </c>
      <c r="D126" s="85">
        <v>3030.9</v>
      </c>
      <c r="E126" s="85">
        <v>4836.3999999999996</v>
      </c>
      <c r="F126" s="85">
        <v>3786.7</v>
      </c>
      <c r="G126" s="85">
        <f>2579.8-150.1</f>
        <v>2429.7000000000003</v>
      </c>
      <c r="H126" s="85">
        <v>150.1</v>
      </c>
      <c r="I126" s="85">
        <f>267.2-79</f>
        <v>188.2</v>
      </c>
      <c r="J126" s="85">
        <v>79</v>
      </c>
      <c r="K126" s="85">
        <v>590.79999999999995</v>
      </c>
      <c r="L126" s="85">
        <v>2478.4</v>
      </c>
      <c r="M126" s="86">
        <v>34929.599999999999</v>
      </c>
    </row>
    <row r="127" spans="2:13" ht="12.75" hidden="1" customHeight="1">
      <c r="B127" s="61"/>
      <c r="C127" s="86"/>
      <c r="D127" s="85"/>
      <c r="E127" s="85"/>
      <c r="F127" s="85"/>
      <c r="G127" s="85"/>
      <c r="H127" s="85"/>
      <c r="I127" s="85"/>
      <c r="J127" s="85"/>
      <c r="K127" s="85"/>
      <c r="L127" s="85"/>
      <c r="M127" s="86"/>
    </row>
    <row r="128" spans="2:13" ht="12.75" hidden="1" customHeight="1">
      <c r="B128" s="61" t="s">
        <v>301</v>
      </c>
      <c r="C128" s="86">
        <v>18135.599999999999</v>
      </c>
      <c r="D128" s="85">
        <v>3007.6</v>
      </c>
      <c r="E128" s="85">
        <v>4610.5</v>
      </c>
      <c r="F128" s="85">
        <v>3731.8</v>
      </c>
      <c r="G128" s="85">
        <f>3000.8-236</f>
        <v>2764.8</v>
      </c>
      <c r="H128" s="85">
        <v>236</v>
      </c>
      <c r="I128" s="85">
        <f>215.4-82.9</f>
        <v>132.5</v>
      </c>
      <c r="J128" s="85">
        <v>82.9</v>
      </c>
      <c r="K128" s="85">
        <v>331.5</v>
      </c>
      <c r="L128" s="85">
        <v>1840</v>
      </c>
      <c r="M128" s="86">
        <v>34873.1</v>
      </c>
    </row>
    <row r="129" spans="2:13" ht="12.75" hidden="1" customHeight="1">
      <c r="B129" s="61"/>
      <c r="C129" s="86"/>
      <c r="D129" s="85"/>
      <c r="E129" s="85"/>
      <c r="F129" s="85"/>
      <c r="G129" s="85"/>
      <c r="H129" s="85"/>
      <c r="I129" s="85"/>
      <c r="J129" s="85"/>
      <c r="K129" s="85"/>
      <c r="L129" s="85"/>
      <c r="M129" s="86"/>
    </row>
    <row r="130" spans="2:13" ht="12.75" hidden="1" customHeight="1">
      <c r="B130" s="61" t="s">
        <v>302</v>
      </c>
      <c r="C130" s="86">
        <v>17038.099999999999</v>
      </c>
      <c r="D130" s="85">
        <v>3029.8</v>
      </c>
      <c r="E130" s="85">
        <v>4376.2</v>
      </c>
      <c r="F130" s="85">
        <v>3592.3</v>
      </c>
      <c r="G130" s="85">
        <f>2810.7-219.9</f>
        <v>2590.7999999999997</v>
      </c>
      <c r="H130" s="85">
        <v>219.9</v>
      </c>
      <c r="I130" s="85">
        <f>183-72.7</f>
        <v>110.3</v>
      </c>
      <c r="J130" s="85">
        <v>72.7</v>
      </c>
      <c r="K130" s="85">
        <v>547.1</v>
      </c>
      <c r="L130" s="85">
        <v>1685.2</v>
      </c>
      <c r="M130" s="86">
        <v>33262.300000000003</v>
      </c>
    </row>
    <row r="131" spans="2:13" ht="12.75" hidden="1" customHeight="1">
      <c r="B131" s="61"/>
      <c r="C131" s="86"/>
      <c r="D131" s="85"/>
      <c r="E131" s="85"/>
      <c r="F131" s="85"/>
      <c r="G131" s="85"/>
      <c r="H131" s="85"/>
      <c r="I131" s="85"/>
      <c r="J131" s="85"/>
      <c r="K131" s="85"/>
      <c r="L131" s="85"/>
      <c r="M131" s="86"/>
    </row>
    <row r="132" spans="2:13" ht="12.75" hidden="1" customHeight="1">
      <c r="B132" s="61" t="s">
        <v>303</v>
      </c>
      <c r="C132" s="86">
        <v>17828.5</v>
      </c>
      <c r="D132" s="85">
        <v>3151.1</v>
      </c>
      <c r="E132" s="85">
        <v>4517.1000000000004</v>
      </c>
      <c r="F132" s="85">
        <v>3591.6</v>
      </c>
      <c r="G132" s="85">
        <f>3323.4-248.8</f>
        <v>3074.6</v>
      </c>
      <c r="H132" s="85">
        <v>248.8</v>
      </c>
      <c r="I132" s="85">
        <f>314-135.6</f>
        <v>178.4</v>
      </c>
      <c r="J132" s="85">
        <v>135.6</v>
      </c>
      <c r="K132" s="85">
        <v>638</v>
      </c>
      <c r="L132" s="85">
        <v>1196.2</v>
      </c>
      <c r="M132" s="86">
        <v>34559.9</v>
      </c>
    </row>
    <row r="133" spans="2:13" ht="12.75" hidden="1" customHeight="1">
      <c r="B133" s="61"/>
      <c r="C133" s="86"/>
      <c r="D133" s="85"/>
      <c r="E133" s="85"/>
      <c r="F133" s="85"/>
      <c r="G133" s="85"/>
      <c r="H133" s="85"/>
      <c r="I133" s="85"/>
      <c r="J133" s="85"/>
      <c r="K133" s="85"/>
      <c r="L133" s="85"/>
      <c r="M133" s="86"/>
    </row>
    <row r="134" spans="2:13" ht="12.75" hidden="1" customHeight="1">
      <c r="B134" s="61" t="s">
        <v>304</v>
      </c>
      <c r="C134" s="86">
        <v>18140.400000000001</v>
      </c>
      <c r="D134" s="85">
        <v>3191.1</v>
      </c>
      <c r="E134" s="85">
        <v>4654.5</v>
      </c>
      <c r="F134" s="85">
        <v>3605.1</v>
      </c>
      <c r="G134" s="85">
        <f>2986-324.6</f>
        <v>2661.4</v>
      </c>
      <c r="H134" s="85">
        <v>324.60000000000002</v>
      </c>
      <c r="I134" s="85">
        <f>276.6-105.7</f>
        <v>170.90000000000003</v>
      </c>
      <c r="J134" s="85">
        <v>105.7</v>
      </c>
      <c r="K134" s="85">
        <v>743.6</v>
      </c>
      <c r="L134" s="85">
        <v>1343.5</v>
      </c>
      <c r="M134" s="86">
        <v>34940.800000000003</v>
      </c>
    </row>
    <row r="135" spans="2:13" ht="12.75" hidden="1" customHeight="1">
      <c r="B135" s="61"/>
      <c r="C135" s="86"/>
      <c r="D135" s="85"/>
      <c r="E135" s="85"/>
      <c r="F135" s="85"/>
      <c r="G135" s="85"/>
      <c r="H135" s="85"/>
      <c r="I135" s="85"/>
      <c r="J135" s="85"/>
      <c r="K135" s="85"/>
      <c r="L135" s="85"/>
      <c r="M135" s="86"/>
    </row>
    <row r="136" spans="2:13" ht="12.75" hidden="1" customHeight="1">
      <c r="B136" s="61" t="s">
        <v>305</v>
      </c>
      <c r="C136" s="86">
        <v>18356.2</v>
      </c>
      <c r="D136" s="85">
        <v>3246.8</v>
      </c>
      <c r="E136" s="85">
        <v>4784.1000000000004</v>
      </c>
      <c r="F136" s="85">
        <v>3494.2</v>
      </c>
      <c r="G136" s="85">
        <f>3732.7-262.1</f>
        <v>3470.6</v>
      </c>
      <c r="H136" s="85">
        <v>262.10000000000002</v>
      </c>
      <c r="I136" s="85">
        <f>472.3-170.7</f>
        <v>301.60000000000002</v>
      </c>
      <c r="J136" s="85">
        <v>170.7</v>
      </c>
      <c r="K136" s="85">
        <v>1279.3</v>
      </c>
      <c r="L136" s="85">
        <v>1432.7</v>
      </c>
      <c r="M136" s="86">
        <v>36798.1</v>
      </c>
    </row>
    <row r="137" spans="2:13" ht="12.75" hidden="1" customHeight="1">
      <c r="B137" s="61"/>
      <c r="C137" s="86"/>
      <c r="D137" s="85"/>
      <c r="E137" s="85"/>
      <c r="F137" s="85"/>
      <c r="G137" s="85"/>
      <c r="H137" s="85"/>
      <c r="I137" s="85"/>
      <c r="J137" s="85"/>
      <c r="K137" s="85"/>
      <c r="L137" s="85"/>
      <c r="M137" s="86"/>
    </row>
    <row r="138" spans="2:13" ht="12.75" hidden="1" customHeight="1">
      <c r="B138" s="61" t="s">
        <v>306</v>
      </c>
      <c r="C138" s="86">
        <v>19310.900000000001</v>
      </c>
      <c r="D138" s="85">
        <v>3254.3</v>
      </c>
      <c r="E138" s="85">
        <v>4973.2</v>
      </c>
      <c r="F138" s="85">
        <v>3941.2</v>
      </c>
      <c r="G138" s="85">
        <v>3458.7</v>
      </c>
      <c r="H138" s="85">
        <v>30.7</v>
      </c>
      <c r="I138" s="85">
        <v>281.8</v>
      </c>
      <c r="J138" s="85">
        <v>232.2</v>
      </c>
      <c r="K138" s="85">
        <v>1208</v>
      </c>
      <c r="L138" s="85">
        <v>1297.2</v>
      </c>
      <c r="M138" s="86">
        <v>37988.199999999997</v>
      </c>
    </row>
    <row r="139" spans="2:13" ht="12.75" hidden="1" customHeight="1">
      <c r="B139" s="61"/>
      <c r="C139" s="86"/>
      <c r="D139" s="85"/>
      <c r="E139" s="85"/>
      <c r="F139" s="85"/>
      <c r="G139" s="85"/>
      <c r="H139" s="85"/>
      <c r="I139" s="85"/>
      <c r="J139" s="85"/>
      <c r="K139" s="85"/>
      <c r="L139" s="85"/>
      <c r="M139" s="86"/>
    </row>
    <row r="140" spans="2:13" ht="12.75" hidden="1" customHeight="1">
      <c r="B140" s="61" t="s">
        <v>307</v>
      </c>
      <c r="C140" s="86">
        <v>20215.599999999999</v>
      </c>
      <c r="D140" s="85">
        <v>3287</v>
      </c>
      <c r="E140" s="85">
        <v>5234.3999999999996</v>
      </c>
      <c r="F140" s="85">
        <v>3900.5</v>
      </c>
      <c r="G140" s="85">
        <f>1968.6-89.8</f>
        <v>1878.8</v>
      </c>
      <c r="H140" s="85">
        <f>80.8+9</f>
        <v>89.8</v>
      </c>
      <c r="I140" s="85">
        <f>881.3-812.3</f>
        <v>69</v>
      </c>
      <c r="J140" s="85">
        <v>812.4</v>
      </c>
      <c r="K140" s="85">
        <v>1217</v>
      </c>
      <c r="L140" s="85">
        <v>1794.4</v>
      </c>
      <c r="M140" s="86">
        <v>38499.4</v>
      </c>
    </row>
    <row r="141" spans="2:13" ht="12.75" hidden="1" customHeight="1">
      <c r="B141" s="61"/>
      <c r="C141" s="86"/>
      <c r="D141" s="85"/>
      <c r="E141" s="85"/>
      <c r="F141" s="85"/>
      <c r="G141" s="85"/>
      <c r="H141" s="85"/>
      <c r="I141" s="85"/>
      <c r="J141" s="85"/>
      <c r="K141" s="85"/>
      <c r="L141" s="85"/>
      <c r="M141" s="86"/>
    </row>
    <row r="142" spans="2:13" ht="12.75" hidden="1" customHeight="1">
      <c r="B142" s="61" t="s">
        <v>308</v>
      </c>
      <c r="C142" s="86">
        <v>22667.5</v>
      </c>
      <c r="D142" s="85">
        <v>3349.5</v>
      </c>
      <c r="E142" s="85">
        <v>5577</v>
      </c>
      <c r="F142" s="85">
        <v>3880.5</v>
      </c>
      <c r="G142" s="85">
        <f>2877.5-12.5</f>
        <v>2865</v>
      </c>
      <c r="H142" s="85">
        <f>10.6+1.9</f>
        <v>12.5</v>
      </c>
      <c r="I142" s="85">
        <f>720.7-640.2</f>
        <v>80.5</v>
      </c>
      <c r="J142" s="85">
        <v>640.20000000000005</v>
      </c>
      <c r="K142" s="85">
        <v>1424.5</v>
      </c>
      <c r="L142" s="85">
        <v>2099.1999999999998</v>
      </c>
      <c r="M142" s="86">
        <v>42596.4</v>
      </c>
    </row>
    <row r="143" spans="2:13" ht="12.75" hidden="1" customHeight="1">
      <c r="B143" s="61"/>
      <c r="C143" s="86"/>
      <c r="D143" s="85"/>
      <c r="E143" s="85"/>
      <c r="F143" s="85"/>
      <c r="G143" s="85"/>
      <c r="H143" s="85"/>
      <c r="I143" s="85"/>
      <c r="J143" s="85"/>
      <c r="K143" s="85"/>
      <c r="L143" s="85"/>
      <c r="M143" s="86"/>
    </row>
    <row r="144" spans="2:13" ht="12.75" hidden="1" customHeight="1">
      <c r="B144" s="61" t="s">
        <v>311</v>
      </c>
      <c r="C144" s="86">
        <f>4265.2+20404.2</f>
        <v>24669.4</v>
      </c>
      <c r="D144" s="85">
        <v>3609.5</v>
      </c>
      <c r="E144" s="85">
        <v>5511.5</v>
      </c>
      <c r="F144" s="85">
        <v>3765.6</v>
      </c>
      <c r="G144" s="55">
        <f>2504.7-20.5</f>
        <v>2484.1999999999998</v>
      </c>
      <c r="H144" s="85">
        <v>20.5</v>
      </c>
      <c r="I144" s="85">
        <f>76-2.3</f>
        <v>73.7</v>
      </c>
      <c r="J144" s="85">
        <v>2.2999999999999998</v>
      </c>
      <c r="K144" s="55">
        <v>1450.9</v>
      </c>
      <c r="L144" s="85">
        <v>1545.7</v>
      </c>
      <c r="M144" s="86">
        <v>43133.3</v>
      </c>
    </row>
    <row r="145" spans="2:13" ht="12.75" hidden="1" customHeight="1">
      <c r="B145" s="61"/>
      <c r="C145" s="86"/>
      <c r="D145" s="85"/>
      <c r="E145" s="85"/>
      <c r="F145" s="85"/>
      <c r="G145" s="55"/>
      <c r="H145" s="85"/>
      <c r="I145" s="85"/>
      <c r="J145" s="85"/>
      <c r="K145" s="55"/>
      <c r="L145" s="85"/>
      <c r="M145" s="86"/>
    </row>
    <row r="146" spans="2:13" ht="12.75" hidden="1" customHeight="1">
      <c r="B146" s="55">
        <v>1999</v>
      </c>
      <c r="C146" s="86"/>
      <c r="D146" s="85"/>
      <c r="E146" s="85"/>
      <c r="F146" s="85"/>
      <c r="G146" s="55"/>
      <c r="H146" s="85"/>
      <c r="I146" s="85"/>
      <c r="J146" s="85"/>
      <c r="K146" s="55"/>
      <c r="L146" s="85"/>
      <c r="M146" s="86"/>
    </row>
    <row r="147" spans="2:13" ht="12.75" hidden="1" customHeight="1">
      <c r="B147" s="61"/>
      <c r="C147" s="86"/>
      <c r="D147" s="85"/>
      <c r="E147" s="85"/>
      <c r="F147" s="85"/>
      <c r="G147" s="55"/>
      <c r="H147" s="85"/>
      <c r="I147" s="85"/>
      <c r="J147" s="85"/>
      <c r="K147" s="55"/>
      <c r="L147" s="85"/>
      <c r="M147" s="86"/>
    </row>
    <row r="148" spans="2:13" ht="12.75" hidden="1" customHeight="1">
      <c r="B148" s="61" t="s">
        <v>298</v>
      </c>
      <c r="C148" s="86">
        <v>23765.599999999999</v>
      </c>
      <c r="D148" s="85">
        <v>3618.4</v>
      </c>
      <c r="E148" s="85">
        <v>5493.2</v>
      </c>
      <c r="F148" s="85">
        <v>3645</v>
      </c>
      <c r="G148" s="55">
        <f>2344.3-38.7</f>
        <v>2305.6000000000004</v>
      </c>
      <c r="H148" s="85">
        <v>38.700000000000003</v>
      </c>
      <c r="I148" s="85">
        <f>306.7-1.6</f>
        <v>305.09999999999997</v>
      </c>
      <c r="J148" s="85">
        <v>1.6</v>
      </c>
      <c r="K148" s="55">
        <v>1405.4</v>
      </c>
      <c r="L148" s="85">
        <v>1952.3</v>
      </c>
      <c r="M148" s="86">
        <v>42530.9</v>
      </c>
    </row>
    <row r="149" spans="2:13" ht="12.75" hidden="1" customHeight="1">
      <c r="B149" s="61"/>
      <c r="C149" s="86"/>
      <c r="D149" s="85"/>
      <c r="E149" s="85"/>
      <c r="F149" s="85"/>
      <c r="G149" s="55"/>
      <c r="H149" s="85"/>
      <c r="I149" s="85"/>
      <c r="J149" s="85"/>
      <c r="K149" s="55"/>
      <c r="L149" s="85"/>
      <c r="M149" s="86"/>
    </row>
    <row r="150" spans="2:13" ht="12.75" hidden="1" customHeight="1">
      <c r="B150" s="61" t="s">
        <v>299</v>
      </c>
      <c r="C150" s="86">
        <v>24056.5</v>
      </c>
      <c r="D150" s="85">
        <v>3730.6</v>
      </c>
      <c r="E150" s="85">
        <v>5780.9</v>
      </c>
      <c r="F150" s="85">
        <v>3691.6</v>
      </c>
      <c r="G150" s="55">
        <f>2265.9-H150</f>
        <v>2242.6</v>
      </c>
      <c r="H150" s="85">
        <v>23.3</v>
      </c>
      <c r="I150" s="85">
        <f>259.4-J150</f>
        <v>257.79999999999995</v>
      </c>
      <c r="J150" s="85">
        <v>1.6</v>
      </c>
      <c r="K150" s="85">
        <v>1373</v>
      </c>
      <c r="L150" s="85">
        <v>2224.1</v>
      </c>
      <c r="M150" s="86">
        <v>43382</v>
      </c>
    </row>
    <row r="151" spans="2:13" ht="12.75" hidden="1" customHeight="1">
      <c r="B151" s="61"/>
      <c r="C151" s="86"/>
      <c r="D151" s="85"/>
      <c r="E151" s="85"/>
      <c r="F151" s="85"/>
      <c r="G151" s="55"/>
      <c r="H151" s="85"/>
      <c r="I151" s="85"/>
      <c r="J151" s="85"/>
      <c r="K151" s="85"/>
      <c r="L151" s="85"/>
      <c r="M151" s="86"/>
    </row>
    <row r="152" spans="2:13" ht="12.75" hidden="1" customHeight="1">
      <c r="B152" s="61" t="s">
        <v>300</v>
      </c>
      <c r="C152" s="86">
        <v>25475.8</v>
      </c>
      <c r="D152" s="85">
        <v>4075.7</v>
      </c>
      <c r="E152" s="85">
        <v>5964.5</v>
      </c>
      <c r="F152" s="85">
        <v>3665.1</v>
      </c>
      <c r="G152" s="55">
        <f>2588.4-118.3</f>
        <v>2470.1</v>
      </c>
      <c r="H152" s="85">
        <v>118.3</v>
      </c>
      <c r="I152" s="85">
        <f>478.3-1.7</f>
        <v>476.6</v>
      </c>
      <c r="J152" s="85">
        <v>1.7</v>
      </c>
      <c r="K152" s="85">
        <v>1540.3</v>
      </c>
      <c r="L152" s="85">
        <v>1980.1</v>
      </c>
      <c r="M152" s="86">
        <v>45768.2</v>
      </c>
    </row>
    <row r="153" spans="2:13" ht="12.75" hidden="1" customHeight="1">
      <c r="B153" s="61"/>
      <c r="C153" s="86"/>
      <c r="D153" s="85"/>
      <c r="E153" s="85"/>
      <c r="F153" s="85"/>
      <c r="G153" s="55"/>
      <c r="H153" s="85"/>
      <c r="I153" s="85"/>
      <c r="J153" s="85"/>
      <c r="K153" s="85"/>
      <c r="L153" s="85"/>
      <c r="M153" s="86"/>
    </row>
    <row r="154" spans="2:13" ht="12.75" hidden="1" customHeight="1">
      <c r="B154" s="61" t="s">
        <v>301</v>
      </c>
      <c r="C154" s="86">
        <v>28148.2</v>
      </c>
      <c r="D154" s="85">
        <v>4068.3</v>
      </c>
      <c r="E154" s="85">
        <v>6042.6</v>
      </c>
      <c r="F154" s="85">
        <v>3712.4</v>
      </c>
      <c r="G154" s="55">
        <f>2556.3-51.9</f>
        <v>2504.4</v>
      </c>
      <c r="H154" s="85">
        <v>51.9</v>
      </c>
      <c r="I154" s="85">
        <f>746.6-485.3</f>
        <v>261.3</v>
      </c>
      <c r="J154" s="85">
        <v>485.3</v>
      </c>
      <c r="K154" s="85">
        <v>1329.6</v>
      </c>
      <c r="L154" s="85">
        <v>1912.5</v>
      </c>
      <c r="M154" s="86">
        <v>48516.5</v>
      </c>
    </row>
    <row r="155" spans="2:13" ht="12.75" hidden="1" customHeight="1">
      <c r="B155" s="61"/>
      <c r="C155" s="86"/>
      <c r="D155" s="85"/>
      <c r="E155" s="85"/>
      <c r="F155" s="85"/>
      <c r="G155" s="55"/>
      <c r="H155" s="85"/>
      <c r="I155" s="85"/>
      <c r="J155" s="85"/>
      <c r="K155" s="85"/>
      <c r="L155" s="85"/>
      <c r="M155" s="86"/>
    </row>
    <row r="156" spans="2:13" ht="12.75" hidden="1" customHeight="1">
      <c r="B156" s="61" t="s">
        <v>302</v>
      </c>
      <c r="C156" s="86">
        <v>29890.400000000001</v>
      </c>
      <c r="D156" s="85">
        <v>4310.3999999999996</v>
      </c>
      <c r="E156" s="85">
        <v>6251.9</v>
      </c>
      <c r="F156" s="85">
        <v>3719</v>
      </c>
      <c r="G156" s="55">
        <f>3074.1-36.9</f>
        <v>3037.2</v>
      </c>
      <c r="H156" s="85">
        <v>36.9</v>
      </c>
      <c r="I156" s="85">
        <f>192.3-110.5</f>
        <v>81.800000000000011</v>
      </c>
      <c r="J156" s="85">
        <v>110.5</v>
      </c>
      <c r="K156" s="85">
        <v>1541.3</v>
      </c>
      <c r="L156" s="85">
        <v>2200.5</v>
      </c>
      <c r="M156" s="86">
        <v>51179.9</v>
      </c>
    </row>
    <row r="157" spans="2:13" ht="12.75" hidden="1" customHeight="1">
      <c r="B157" s="61"/>
      <c r="C157" s="86"/>
      <c r="D157" s="85"/>
      <c r="E157" s="85"/>
      <c r="F157" s="85"/>
      <c r="G157" s="55"/>
      <c r="H157" s="85"/>
      <c r="I157" s="85"/>
      <c r="J157" s="85"/>
      <c r="K157" s="85"/>
      <c r="L157" s="85"/>
      <c r="M157" s="86"/>
    </row>
    <row r="158" spans="2:13" ht="12.75" hidden="1" customHeight="1">
      <c r="B158" s="61" t="s">
        <v>303</v>
      </c>
      <c r="C158" s="86">
        <v>30957.9</v>
      </c>
      <c r="D158" s="85">
        <v>4471.1000000000004</v>
      </c>
      <c r="E158" s="85">
        <v>6597.8</v>
      </c>
      <c r="F158" s="85">
        <v>3764.5</v>
      </c>
      <c r="G158" s="55">
        <f>3906.7-798.3</f>
        <v>3108.3999999999996</v>
      </c>
      <c r="H158" s="85">
        <v>798.3</v>
      </c>
      <c r="I158" s="85">
        <f>200-1.5</f>
        <v>198.5</v>
      </c>
      <c r="J158" s="85">
        <v>1.5</v>
      </c>
      <c r="K158" s="85">
        <v>1058.5999999999999</v>
      </c>
      <c r="L158" s="85">
        <v>1904.3</v>
      </c>
      <c r="M158" s="86">
        <v>52860.9</v>
      </c>
    </row>
    <row r="159" spans="2:13" ht="12.75" hidden="1" customHeight="1">
      <c r="B159" s="61"/>
      <c r="C159" s="86"/>
      <c r="D159" s="85"/>
      <c r="E159" s="85"/>
      <c r="F159" s="85"/>
      <c r="G159" s="55"/>
      <c r="H159" s="85"/>
      <c r="I159" s="85"/>
      <c r="J159" s="85"/>
      <c r="K159" s="85"/>
      <c r="L159" s="85"/>
      <c r="M159" s="86"/>
    </row>
    <row r="160" spans="2:13" ht="12.75" hidden="1" customHeight="1">
      <c r="B160" s="61" t="s">
        <v>304</v>
      </c>
      <c r="C160" s="86">
        <v>32799.599999999999</v>
      </c>
      <c r="D160" s="85">
        <v>5122.2</v>
      </c>
      <c r="E160" s="85">
        <v>7524.6</v>
      </c>
      <c r="F160" s="85">
        <v>3978.9</v>
      </c>
      <c r="G160" s="55">
        <f>3303-82.2</f>
        <v>3220.8</v>
      </c>
      <c r="H160" s="85">
        <v>82.2</v>
      </c>
      <c r="I160" s="85">
        <f>150-1.5</f>
        <v>148.5</v>
      </c>
      <c r="J160" s="85">
        <v>1.5</v>
      </c>
      <c r="K160" s="85">
        <v>1254</v>
      </c>
      <c r="L160" s="85">
        <v>1858.5</v>
      </c>
      <c r="M160" s="86">
        <v>55990.8</v>
      </c>
    </row>
    <row r="161" spans="2:13" ht="12.75" hidden="1" customHeight="1">
      <c r="B161" s="61"/>
      <c r="C161" s="86"/>
      <c r="D161" s="85"/>
      <c r="E161" s="85"/>
      <c r="F161" s="85"/>
      <c r="G161" s="55"/>
      <c r="H161" s="85"/>
      <c r="I161" s="85"/>
      <c r="J161" s="85"/>
      <c r="K161" s="85"/>
      <c r="L161" s="85"/>
      <c r="M161" s="86"/>
    </row>
    <row r="162" spans="2:13" ht="12.75" hidden="1" customHeight="1">
      <c r="B162" s="61" t="s">
        <v>305</v>
      </c>
      <c r="C162" s="86">
        <v>34208.1</v>
      </c>
      <c r="D162" s="85">
        <v>5480.4</v>
      </c>
      <c r="E162" s="85">
        <v>7201.4</v>
      </c>
      <c r="F162" s="85">
        <v>3930.1</v>
      </c>
      <c r="G162" s="55">
        <f>2952.1-85.6</f>
        <v>2866.5</v>
      </c>
      <c r="H162" s="85">
        <v>85.6</v>
      </c>
      <c r="I162" s="85">
        <f>150-2</f>
        <v>148</v>
      </c>
      <c r="J162" s="85">
        <v>2</v>
      </c>
      <c r="K162" s="85">
        <v>1093.4000000000001</v>
      </c>
      <c r="L162" s="85">
        <v>2135.3000000000002</v>
      </c>
      <c r="M162" s="86">
        <v>57150.8</v>
      </c>
    </row>
    <row r="163" spans="2:13" ht="12.75" hidden="1" customHeight="1">
      <c r="B163" s="61"/>
      <c r="C163" s="86"/>
      <c r="D163" s="85"/>
      <c r="E163" s="85"/>
      <c r="F163" s="85"/>
      <c r="G163" s="55"/>
      <c r="H163" s="85"/>
      <c r="I163" s="85"/>
      <c r="J163" s="85"/>
      <c r="K163" s="85"/>
      <c r="L163" s="85"/>
      <c r="M163" s="86"/>
    </row>
    <row r="164" spans="2:13" ht="12.75" hidden="1" customHeight="1">
      <c r="B164" s="61" t="s">
        <v>306</v>
      </c>
      <c r="C164" s="86">
        <v>33889.699999999997</v>
      </c>
      <c r="D164" s="85">
        <v>5635.8</v>
      </c>
      <c r="E164" s="85">
        <v>7167.5</v>
      </c>
      <c r="F164" s="85">
        <v>3811.6</v>
      </c>
      <c r="G164" s="55">
        <f>3601.8-86.3</f>
        <v>3515.5</v>
      </c>
      <c r="H164" s="85">
        <v>86.3</v>
      </c>
      <c r="I164" s="85">
        <f>208.4-50.1</f>
        <v>158.30000000000001</v>
      </c>
      <c r="J164" s="85">
        <v>50.1</v>
      </c>
      <c r="K164" s="85">
        <v>918.8</v>
      </c>
      <c r="L164" s="85">
        <v>2438.1999999999998</v>
      </c>
      <c r="M164" s="86">
        <v>57671.8</v>
      </c>
    </row>
    <row r="165" spans="2:13" ht="12.75" hidden="1" customHeight="1">
      <c r="B165" s="61"/>
      <c r="C165" s="86"/>
      <c r="D165" s="85"/>
      <c r="E165" s="85"/>
      <c r="F165" s="85"/>
      <c r="G165" s="55"/>
      <c r="H165" s="85"/>
      <c r="I165" s="85"/>
      <c r="J165" s="85"/>
      <c r="K165" s="85"/>
      <c r="L165" s="85"/>
      <c r="M165" s="86"/>
    </row>
    <row r="166" spans="2:13" ht="12.75" hidden="1" customHeight="1">
      <c r="B166" s="61" t="s">
        <v>307</v>
      </c>
      <c r="C166" s="86">
        <v>33113.5</v>
      </c>
      <c r="D166" s="85">
        <v>5432.2</v>
      </c>
      <c r="E166" s="85">
        <v>7127</v>
      </c>
      <c r="F166" s="85">
        <v>4430.8999999999996</v>
      </c>
      <c r="G166" s="55">
        <f>3509.5-38.7</f>
        <v>3470.8</v>
      </c>
      <c r="H166" s="85">
        <v>38.700000000000003</v>
      </c>
      <c r="I166" s="85">
        <v>47.6</v>
      </c>
      <c r="J166" s="85">
        <v>0</v>
      </c>
      <c r="K166" s="85">
        <v>1322.9</v>
      </c>
      <c r="L166" s="85">
        <v>3391.6</v>
      </c>
      <c r="M166" s="86">
        <v>58375</v>
      </c>
    </row>
    <row r="167" spans="2:13" ht="12.75" hidden="1" customHeight="1">
      <c r="B167" s="61"/>
      <c r="C167" s="86"/>
      <c r="D167" s="85"/>
      <c r="E167" s="85"/>
      <c r="F167" s="85"/>
      <c r="G167" s="55"/>
      <c r="H167" s="85"/>
      <c r="I167" s="85"/>
      <c r="J167" s="85"/>
      <c r="K167" s="85"/>
      <c r="L167" s="85"/>
      <c r="M167" s="86"/>
    </row>
    <row r="168" spans="2:13" ht="12.75" hidden="1" customHeight="1">
      <c r="B168" s="61" t="s">
        <v>308</v>
      </c>
      <c r="C168" s="86">
        <v>35726.5</v>
      </c>
      <c r="D168" s="85">
        <v>5619.3</v>
      </c>
      <c r="E168" s="85">
        <v>7594.6</v>
      </c>
      <c r="F168" s="85">
        <v>4417</v>
      </c>
      <c r="G168" s="55">
        <f>3896.5-88.6</f>
        <v>3807.9</v>
      </c>
      <c r="H168" s="85">
        <v>88.6</v>
      </c>
      <c r="I168" s="85">
        <f>100-2.2</f>
        <v>97.8</v>
      </c>
      <c r="J168" s="85">
        <v>2.2000000000000002</v>
      </c>
      <c r="K168" s="85">
        <v>1393.9</v>
      </c>
      <c r="L168" s="85">
        <v>2897.3</v>
      </c>
      <c r="M168" s="86">
        <v>61645</v>
      </c>
    </row>
    <row r="169" spans="2:13" ht="12.75" hidden="1" customHeight="1">
      <c r="B169" s="61"/>
      <c r="C169" s="86"/>
      <c r="D169" s="85"/>
      <c r="E169" s="85"/>
      <c r="F169" s="85"/>
      <c r="G169" s="55"/>
      <c r="H169" s="85"/>
      <c r="I169" s="85"/>
      <c r="J169" s="85"/>
      <c r="K169" s="85"/>
      <c r="L169" s="85"/>
      <c r="M169" s="86"/>
    </row>
    <row r="170" spans="2:13" ht="12.75" hidden="1" customHeight="1">
      <c r="B170" s="61" t="s">
        <v>311</v>
      </c>
      <c r="C170" s="86">
        <v>34316.400000000001</v>
      </c>
      <c r="D170" s="85">
        <v>5472.6</v>
      </c>
      <c r="E170" s="85">
        <v>7247.5</v>
      </c>
      <c r="F170" s="85">
        <v>4408.8999999999996</v>
      </c>
      <c r="G170" s="55">
        <f>2626.6-51.5</f>
        <v>2575.1</v>
      </c>
      <c r="H170" s="85">
        <v>51.5</v>
      </c>
      <c r="I170" s="85">
        <f>110-2.9</f>
        <v>107.1</v>
      </c>
      <c r="J170" s="85">
        <v>2.9</v>
      </c>
      <c r="K170" s="85">
        <v>1297.4000000000001</v>
      </c>
      <c r="L170" s="85">
        <v>2917.5</v>
      </c>
      <c r="M170" s="86">
        <v>58396.7</v>
      </c>
    </row>
    <row r="171" spans="2:13" ht="12.75" hidden="1" customHeight="1">
      <c r="B171" s="61"/>
      <c r="C171" s="86"/>
      <c r="D171" s="85"/>
      <c r="E171" s="85"/>
      <c r="F171" s="85"/>
      <c r="G171" s="55"/>
      <c r="H171" s="85"/>
      <c r="I171" s="85"/>
      <c r="J171" s="85"/>
      <c r="K171" s="85"/>
      <c r="L171" s="85"/>
      <c r="M171" s="86"/>
    </row>
    <row r="172" spans="2:13" ht="15.75" hidden="1">
      <c r="B172" s="55">
        <v>2000</v>
      </c>
      <c r="C172" s="86"/>
      <c r="D172" s="85"/>
      <c r="E172" s="85"/>
      <c r="F172" s="85"/>
      <c r="G172" s="55"/>
      <c r="H172" s="85"/>
      <c r="I172" s="85"/>
      <c r="J172" s="85"/>
      <c r="K172" s="85"/>
      <c r="L172" s="85"/>
      <c r="M172" s="86"/>
    </row>
    <row r="173" spans="2:13" ht="15.75" hidden="1">
      <c r="B173" s="55"/>
      <c r="C173" s="86"/>
      <c r="D173" s="85"/>
      <c r="E173" s="85"/>
      <c r="F173" s="85"/>
      <c r="G173" s="55"/>
      <c r="H173" s="85"/>
      <c r="I173" s="85"/>
      <c r="J173" s="85"/>
      <c r="K173" s="85"/>
      <c r="L173" s="85"/>
      <c r="M173" s="86"/>
    </row>
    <row r="174" spans="2:13" ht="15.75" hidden="1">
      <c r="B174" s="57" t="s">
        <v>298</v>
      </c>
      <c r="C174" s="86">
        <v>37466.400000000001</v>
      </c>
      <c r="D174" s="85">
        <v>5607.8</v>
      </c>
      <c r="E174" s="85">
        <v>7143.1</v>
      </c>
      <c r="F174" s="85">
        <v>4374.8999999999996</v>
      </c>
      <c r="G174" s="55">
        <f>6020.5-39.3</f>
        <v>5981.2</v>
      </c>
      <c r="H174" s="85">
        <v>39.299999999999997</v>
      </c>
      <c r="I174" s="85">
        <f>200.8-4.6</f>
        <v>196.20000000000002</v>
      </c>
      <c r="J174" s="85">
        <v>4.5999999999999996</v>
      </c>
      <c r="K174" s="85">
        <v>1339.3</v>
      </c>
      <c r="L174" s="85">
        <v>3541.1</v>
      </c>
      <c r="M174" s="86">
        <v>65694</v>
      </c>
    </row>
    <row r="175" spans="2:13" ht="15.75" hidden="1">
      <c r="B175" s="57"/>
      <c r="C175" s="86"/>
      <c r="D175" s="85"/>
      <c r="E175" s="85"/>
      <c r="F175" s="85"/>
      <c r="G175" s="55"/>
      <c r="H175" s="85"/>
      <c r="I175" s="85"/>
      <c r="J175" s="85"/>
      <c r="K175" s="85"/>
      <c r="L175" s="85"/>
      <c r="M175" s="86"/>
    </row>
    <row r="176" spans="2:13" ht="15.75" hidden="1">
      <c r="B176" s="57" t="s">
        <v>299</v>
      </c>
      <c r="C176" s="86">
        <v>36876.6</v>
      </c>
      <c r="D176" s="85">
        <v>5841.8</v>
      </c>
      <c r="E176" s="85">
        <v>7639</v>
      </c>
      <c r="F176" s="85">
        <v>4368.8</v>
      </c>
      <c r="G176" s="55">
        <f>4753.3-50.1</f>
        <v>4703.2</v>
      </c>
      <c r="H176" s="85">
        <v>50.1</v>
      </c>
      <c r="I176" s="85">
        <f>158.3-32.5</f>
        <v>125.80000000000001</v>
      </c>
      <c r="J176" s="85">
        <v>32.5</v>
      </c>
      <c r="K176" s="85">
        <v>1463.7</v>
      </c>
      <c r="L176" s="85">
        <v>3868.2</v>
      </c>
      <c r="M176" s="86">
        <v>64969.5</v>
      </c>
    </row>
    <row r="177" spans="2:13" ht="15.75" hidden="1">
      <c r="B177" s="57"/>
      <c r="C177" s="86"/>
      <c r="D177" s="85"/>
      <c r="E177" s="85"/>
      <c r="F177" s="85"/>
      <c r="G177" s="55"/>
      <c r="H177" s="85"/>
      <c r="I177" s="85"/>
      <c r="J177" s="85"/>
      <c r="K177" s="85"/>
      <c r="L177" s="85"/>
      <c r="M177" s="86"/>
    </row>
    <row r="178" spans="2:13" ht="15.75" hidden="1">
      <c r="B178" s="57" t="s">
        <v>300</v>
      </c>
      <c r="C178" s="86">
        <v>37019.5</v>
      </c>
      <c r="D178" s="85">
        <v>6100.4</v>
      </c>
      <c r="E178" s="85">
        <v>8159.6</v>
      </c>
      <c r="F178" s="85">
        <v>4432.3</v>
      </c>
      <c r="G178" s="55">
        <f>6742.3-50</f>
        <v>6692.3</v>
      </c>
      <c r="H178" s="85">
        <v>50</v>
      </c>
      <c r="I178" s="85">
        <f>344.8-61.3</f>
        <v>283.5</v>
      </c>
      <c r="J178" s="85">
        <v>61.3</v>
      </c>
      <c r="K178" s="85">
        <v>1535.9</v>
      </c>
      <c r="L178" s="85">
        <v>4665.2</v>
      </c>
      <c r="M178" s="86">
        <v>69000</v>
      </c>
    </row>
    <row r="179" spans="2:13" ht="15.75" hidden="1">
      <c r="B179" s="57"/>
      <c r="C179" s="86"/>
      <c r="D179" s="85"/>
      <c r="E179" s="85"/>
      <c r="F179" s="85"/>
      <c r="G179" s="55"/>
      <c r="H179" s="85"/>
      <c r="I179" s="85"/>
      <c r="J179" s="85"/>
      <c r="K179" s="85"/>
      <c r="L179" s="85"/>
      <c r="M179" s="86"/>
    </row>
    <row r="180" spans="2:13" ht="15.75" hidden="1">
      <c r="B180" s="57" t="s">
        <v>301</v>
      </c>
      <c r="C180" s="86">
        <v>39630.800000000003</v>
      </c>
      <c r="D180" s="85">
        <v>6219.3</v>
      </c>
      <c r="E180" s="85">
        <v>8187.5</v>
      </c>
      <c r="F180" s="85">
        <v>4438.5</v>
      </c>
      <c r="G180" s="55">
        <f>6683.6-40</f>
        <v>6643.6</v>
      </c>
      <c r="H180" s="85">
        <v>40</v>
      </c>
      <c r="I180" s="85">
        <f>79.5-20.9</f>
        <v>58.6</v>
      </c>
      <c r="J180" s="85">
        <v>20.9</v>
      </c>
      <c r="K180" s="85">
        <v>1563.3</v>
      </c>
      <c r="L180" s="85">
        <v>5533.7</v>
      </c>
      <c r="M180" s="86">
        <v>72336.2</v>
      </c>
    </row>
    <row r="181" spans="2:13" ht="15.75" hidden="1">
      <c r="B181" s="57"/>
      <c r="C181" s="86"/>
      <c r="D181" s="85"/>
      <c r="E181" s="85"/>
      <c r="F181" s="85"/>
      <c r="G181" s="55"/>
      <c r="H181" s="85"/>
      <c r="I181" s="85"/>
      <c r="J181" s="85"/>
      <c r="K181" s="85"/>
      <c r="L181" s="85"/>
      <c r="M181" s="86"/>
    </row>
    <row r="182" spans="2:13" ht="15.75" hidden="1">
      <c r="B182" s="57" t="s">
        <v>302</v>
      </c>
      <c r="C182" s="86">
        <v>40506.800000000003</v>
      </c>
      <c r="D182" s="85">
        <v>6555.1</v>
      </c>
      <c r="E182" s="85">
        <v>8189.7</v>
      </c>
      <c r="F182" s="85">
        <v>4393.1000000000004</v>
      </c>
      <c r="G182" s="55">
        <f>7730.4-29</f>
        <v>7701.4</v>
      </c>
      <c r="H182" s="85">
        <v>29</v>
      </c>
      <c r="I182" s="85">
        <f>463.3-17.1</f>
        <v>446.2</v>
      </c>
      <c r="J182" s="85">
        <v>17.100000000000001</v>
      </c>
      <c r="K182" s="85">
        <v>1249.0999999999999</v>
      </c>
      <c r="L182" s="85">
        <v>5516.6</v>
      </c>
      <c r="M182" s="86">
        <v>74604.100000000006</v>
      </c>
    </row>
    <row r="183" spans="2:13" ht="15.75" hidden="1">
      <c r="B183" s="57"/>
      <c r="C183" s="86"/>
      <c r="D183" s="85"/>
      <c r="E183" s="85"/>
      <c r="F183" s="85"/>
      <c r="G183" s="55"/>
      <c r="H183" s="85"/>
      <c r="I183" s="85"/>
      <c r="J183" s="85"/>
      <c r="K183" s="85"/>
      <c r="L183" s="85"/>
      <c r="M183" s="86"/>
    </row>
    <row r="184" spans="2:13" ht="15.75" hidden="1">
      <c r="B184" s="57" t="s">
        <v>303</v>
      </c>
      <c r="C184" s="86">
        <v>42157.3</v>
      </c>
      <c r="D184" s="85">
        <v>6739.9</v>
      </c>
      <c r="E184" s="85">
        <v>8769</v>
      </c>
      <c r="F184" s="85">
        <v>4507</v>
      </c>
      <c r="G184" s="55">
        <f>7138.1-25</f>
        <v>7113.1</v>
      </c>
      <c r="H184" s="85">
        <v>25</v>
      </c>
      <c r="I184" s="85">
        <f>530.4-16.3</f>
        <v>514.1</v>
      </c>
      <c r="J184" s="85">
        <v>16.3</v>
      </c>
      <c r="K184" s="85">
        <v>957.3</v>
      </c>
      <c r="L184" s="85">
        <v>5263.1</v>
      </c>
      <c r="M184" s="86">
        <v>76062.2</v>
      </c>
    </row>
    <row r="185" spans="2:13" ht="15.75" hidden="1">
      <c r="B185" s="57"/>
      <c r="C185" s="86"/>
      <c r="D185" s="85"/>
      <c r="E185" s="85"/>
      <c r="F185" s="85"/>
      <c r="G185" s="55"/>
      <c r="H185" s="85"/>
      <c r="I185" s="85"/>
      <c r="J185" s="85"/>
      <c r="K185" s="85"/>
      <c r="L185" s="85"/>
      <c r="M185" s="86"/>
    </row>
    <row r="186" spans="2:13" ht="15.75" hidden="1">
      <c r="B186" s="57" t="s">
        <v>304</v>
      </c>
      <c r="C186" s="86">
        <v>42611.7</v>
      </c>
      <c r="D186" s="85">
        <v>6702.2</v>
      </c>
      <c r="E186" s="85">
        <v>9246.7999999999993</v>
      </c>
      <c r="F186" s="85">
        <v>4531.5</v>
      </c>
      <c r="G186" s="55">
        <f>8093.5-22.9</f>
        <v>8070.6</v>
      </c>
      <c r="H186" s="85">
        <v>22.9</v>
      </c>
      <c r="I186" s="85">
        <f>385.6-17.6</f>
        <v>368</v>
      </c>
      <c r="J186" s="85">
        <v>17.600000000000001</v>
      </c>
      <c r="K186" s="85">
        <v>855.8</v>
      </c>
      <c r="L186" s="85">
        <v>7395.1</v>
      </c>
      <c r="M186" s="86">
        <v>79822.2</v>
      </c>
    </row>
    <row r="187" spans="2:13" ht="15.75" hidden="1">
      <c r="B187" s="57"/>
      <c r="C187" s="86"/>
      <c r="D187" s="85"/>
      <c r="E187" s="85"/>
      <c r="F187" s="85"/>
      <c r="G187" s="55"/>
      <c r="H187" s="85"/>
      <c r="I187" s="85"/>
      <c r="J187" s="85"/>
      <c r="K187" s="85"/>
      <c r="L187" s="85"/>
      <c r="M187" s="86"/>
    </row>
    <row r="188" spans="2:13" ht="15.75" hidden="1">
      <c r="B188" s="57" t="s">
        <v>305</v>
      </c>
      <c r="C188" s="86">
        <v>45683.199999999997</v>
      </c>
      <c r="D188" s="85">
        <v>7136.8</v>
      </c>
      <c r="E188" s="85">
        <v>9964.5</v>
      </c>
      <c r="F188" s="85">
        <v>4560.1000000000004</v>
      </c>
      <c r="G188" s="55">
        <f>9433.3-35.3</f>
        <v>9398</v>
      </c>
      <c r="H188" s="85">
        <v>35.299999999999997</v>
      </c>
      <c r="I188" s="85">
        <f>526.2-22.6</f>
        <v>503.6</v>
      </c>
      <c r="J188" s="85">
        <v>22.6</v>
      </c>
      <c r="K188" s="85">
        <v>686.2</v>
      </c>
      <c r="L188" s="85">
        <v>7832.1</v>
      </c>
      <c r="M188" s="86">
        <v>85822.5</v>
      </c>
    </row>
    <row r="189" spans="2:13" ht="15.75" hidden="1">
      <c r="B189" s="57"/>
      <c r="C189" s="86"/>
      <c r="D189" s="85"/>
      <c r="E189" s="85"/>
      <c r="F189" s="85"/>
      <c r="G189" s="55"/>
      <c r="H189" s="85"/>
      <c r="I189" s="85"/>
      <c r="J189" s="85"/>
      <c r="K189" s="85"/>
      <c r="L189" s="85"/>
      <c r="M189" s="86"/>
    </row>
    <row r="190" spans="2:13" ht="15.75" hidden="1">
      <c r="B190" s="57" t="s">
        <v>306</v>
      </c>
      <c r="C190" s="86">
        <v>45727.7</v>
      </c>
      <c r="D190" s="85">
        <v>7281.3</v>
      </c>
      <c r="E190" s="85">
        <v>9058.7000000000007</v>
      </c>
      <c r="F190" s="85">
        <v>4435.3</v>
      </c>
      <c r="G190" s="55">
        <f>10623.6-30.1</f>
        <v>10593.5</v>
      </c>
      <c r="H190" s="85">
        <v>30.1</v>
      </c>
      <c r="I190" s="85">
        <f>1152.1-21.4</f>
        <v>1130.6999999999998</v>
      </c>
      <c r="J190" s="85">
        <v>21.4</v>
      </c>
      <c r="K190" s="85">
        <v>507.3</v>
      </c>
      <c r="L190" s="85">
        <v>8224.1</v>
      </c>
      <c r="M190" s="86">
        <v>87010.1</v>
      </c>
    </row>
    <row r="191" spans="2:13" ht="15.75" hidden="1">
      <c r="B191" s="57"/>
      <c r="C191" s="86"/>
      <c r="D191" s="85"/>
      <c r="E191" s="85"/>
      <c r="F191" s="85"/>
      <c r="G191" s="55"/>
      <c r="H191" s="85"/>
      <c r="I191" s="85"/>
      <c r="J191" s="85"/>
      <c r="K191" s="85"/>
      <c r="L191" s="85"/>
      <c r="M191" s="86"/>
    </row>
    <row r="192" spans="2:13" ht="15.75" hidden="1">
      <c r="B192" s="57" t="s">
        <v>307</v>
      </c>
      <c r="C192" s="86">
        <v>53219.1</v>
      </c>
      <c r="D192" s="85">
        <v>7454.2</v>
      </c>
      <c r="E192" s="85">
        <v>9086.9</v>
      </c>
      <c r="F192" s="85">
        <v>5276</v>
      </c>
      <c r="G192" s="55">
        <f>12181.4-32.8</f>
        <v>12148.6</v>
      </c>
      <c r="H192" s="85">
        <v>32.799999999999997</v>
      </c>
      <c r="I192" s="85">
        <f>1223.4-47.2</f>
        <v>1176.2</v>
      </c>
      <c r="J192" s="85">
        <v>47.2</v>
      </c>
      <c r="K192" s="85">
        <v>622.79999999999995</v>
      </c>
      <c r="L192" s="85">
        <v>8111.5</v>
      </c>
      <c r="M192" s="86">
        <v>97175.5</v>
      </c>
    </row>
    <row r="193" spans="2:13" ht="15.75" hidden="1">
      <c r="B193" s="57"/>
      <c r="C193" s="86"/>
      <c r="D193" s="85"/>
      <c r="E193" s="85"/>
      <c r="F193" s="85"/>
      <c r="G193" s="55"/>
      <c r="H193" s="85"/>
      <c r="I193" s="85"/>
      <c r="J193" s="85"/>
      <c r="K193" s="85"/>
      <c r="L193" s="85"/>
      <c r="M193" s="86"/>
    </row>
    <row r="194" spans="2:13" ht="15.75" hidden="1">
      <c r="B194" s="57" t="s">
        <v>308</v>
      </c>
      <c r="C194" s="86">
        <v>53732.5</v>
      </c>
      <c r="D194" s="85">
        <v>7832</v>
      </c>
      <c r="E194" s="85">
        <v>10444.4</v>
      </c>
      <c r="F194" s="85">
        <v>5337.8</v>
      </c>
      <c r="G194" s="55">
        <f>9697.6-42.4</f>
        <v>9655.2000000000007</v>
      </c>
      <c r="H194" s="85">
        <v>42.4</v>
      </c>
      <c r="I194" s="85">
        <f>2457.3-27.2</f>
        <v>2430.1000000000004</v>
      </c>
      <c r="J194" s="85">
        <v>27.2</v>
      </c>
      <c r="K194" s="85">
        <v>731.3</v>
      </c>
      <c r="L194" s="85">
        <v>7712.4</v>
      </c>
      <c r="M194" s="86">
        <v>97945.3</v>
      </c>
    </row>
    <row r="195" spans="2:13" ht="15.75" hidden="1">
      <c r="B195" s="57"/>
      <c r="C195" s="86"/>
      <c r="D195" s="85"/>
      <c r="E195" s="85"/>
      <c r="F195" s="85"/>
      <c r="G195" s="55"/>
      <c r="H195" s="85"/>
      <c r="I195" s="85"/>
      <c r="J195" s="85"/>
      <c r="K195" s="85"/>
      <c r="L195" s="85"/>
      <c r="M195" s="86"/>
    </row>
    <row r="196" spans="2:13" ht="15.75" hidden="1">
      <c r="B196" s="57" t="s">
        <v>311</v>
      </c>
      <c r="C196" s="86">
        <v>52599.8</v>
      </c>
      <c r="D196" s="85">
        <v>8128.1</v>
      </c>
      <c r="E196" s="85">
        <v>10298.799999999999</v>
      </c>
      <c r="F196" s="85">
        <v>5432.2</v>
      </c>
      <c r="G196" s="55">
        <f>9979.7-35</f>
        <v>9944.7000000000007</v>
      </c>
      <c r="H196" s="85">
        <v>35</v>
      </c>
      <c r="I196" s="85">
        <f>799.9-133.8</f>
        <v>666.09999999999991</v>
      </c>
      <c r="J196" s="85">
        <v>133.80000000000001</v>
      </c>
      <c r="K196" s="85">
        <v>1420.9</v>
      </c>
      <c r="L196" s="85">
        <v>10789.3</v>
      </c>
      <c r="M196" s="86">
        <v>99448.7</v>
      </c>
    </row>
    <row r="197" spans="2:13" ht="15.75" hidden="1">
      <c r="B197" s="57"/>
      <c r="C197" s="67"/>
      <c r="D197" s="66"/>
      <c r="E197" s="66"/>
      <c r="F197" s="66"/>
      <c r="G197" s="63"/>
      <c r="H197" s="66"/>
      <c r="I197" s="66"/>
      <c r="J197" s="66"/>
      <c r="K197" s="63"/>
      <c r="L197" s="66"/>
      <c r="M197" s="67"/>
    </row>
    <row r="198" spans="2:13" ht="15.75" hidden="1">
      <c r="B198" s="55">
        <v>2001</v>
      </c>
      <c r="C198" s="67"/>
      <c r="D198" s="66"/>
      <c r="E198" s="66"/>
      <c r="F198" s="66"/>
      <c r="G198" s="63"/>
      <c r="H198" s="66"/>
      <c r="I198" s="66"/>
      <c r="J198" s="66"/>
      <c r="K198" s="63"/>
      <c r="L198" s="66"/>
      <c r="M198" s="67"/>
    </row>
    <row r="199" spans="2:13" ht="15.75" hidden="1">
      <c r="B199" s="57"/>
      <c r="C199" s="67"/>
      <c r="D199" s="66"/>
      <c r="E199" s="66"/>
      <c r="F199" s="66"/>
      <c r="G199" s="63"/>
      <c r="H199" s="66"/>
      <c r="I199" s="66"/>
      <c r="J199" s="66"/>
      <c r="K199" s="63"/>
      <c r="L199" s="66"/>
      <c r="M199" s="67"/>
    </row>
    <row r="200" spans="2:13" ht="15.75" hidden="1">
      <c r="B200" s="57" t="s">
        <v>298</v>
      </c>
      <c r="C200" s="86">
        <v>61827.7</v>
      </c>
      <c r="D200" s="85">
        <v>9028.5</v>
      </c>
      <c r="E200" s="85">
        <v>9583.5</v>
      </c>
      <c r="F200" s="85">
        <v>5317</v>
      </c>
      <c r="G200" s="55">
        <f>11060.8-48.2</f>
        <v>11012.599999999999</v>
      </c>
      <c r="H200" s="85">
        <v>48.2</v>
      </c>
      <c r="I200" s="85">
        <f>152.1-124.1</f>
        <v>28</v>
      </c>
      <c r="J200" s="85">
        <v>124.1</v>
      </c>
      <c r="K200" s="55">
        <v>693.4</v>
      </c>
      <c r="L200" s="85">
        <v>6372.6</v>
      </c>
      <c r="M200" s="86">
        <v>104035.8</v>
      </c>
    </row>
    <row r="201" spans="2:13" ht="15.75" hidden="1">
      <c r="B201" s="57"/>
      <c r="C201" s="86"/>
      <c r="D201" s="85"/>
      <c r="E201" s="85"/>
      <c r="F201" s="85"/>
      <c r="G201" s="55"/>
      <c r="H201" s="85"/>
      <c r="I201" s="85"/>
      <c r="J201" s="85"/>
      <c r="K201" s="55"/>
      <c r="L201" s="85"/>
      <c r="M201" s="86"/>
    </row>
    <row r="202" spans="2:13" ht="15.75" hidden="1">
      <c r="B202" s="57" t="s">
        <v>299</v>
      </c>
      <c r="C202" s="86">
        <v>64154.2</v>
      </c>
      <c r="D202" s="85">
        <v>9693.6</v>
      </c>
      <c r="E202" s="85">
        <v>10073.9</v>
      </c>
      <c r="F202" s="85">
        <v>5519.8</v>
      </c>
      <c r="G202" s="55">
        <f>13442.9-114.2</f>
        <v>13328.699999999999</v>
      </c>
      <c r="H202" s="85">
        <v>114.2</v>
      </c>
      <c r="I202" s="85">
        <f>125-48.8</f>
        <v>76.2</v>
      </c>
      <c r="J202" s="85">
        <v>48.8</v>
      </c>
      <c r="K202" s="55">
        <v>820.3</v>
      </c>
      <c r="L202" s="85">
        <v>7631.3</v>
      </c>
      <c r="M202" s="86">
        <v>111461</v>
      </c>
    </row>
    <row r="203" spans="2:13" ht="15.75" hidden="1">
      <c r="B203" s="57"/>
      <c r="C203" s="86"/>
      <c r="D203" s="85"/>
      <c r="E203" s="85"/>
      <c r="F203" s="85"/>
      <c r="G203" s="55"/>
      <c r="H203" s="85"/>
      <c r="I203" s="85"/>
      <c r="J203" s="85"/>
      <c r="K203" s="55"/>
      <c r="L203" s="85"/>
      <c r="M203" s="86"/>
    </row>
    <row r="204" spans="2:13" ht="15.75" hidden="1">
      <c r="B204" s="57" t="s">
        <v>300</v>
      </c>
      <c r="C204" s="86">
        <v>65793.399999999994</v>
      </c>
      <c r="D204" s="85">
        <v>11425.9</v>
      </c>
      <c r="E204" s="85">
        <v>10741.1</v>
      </c>
      <c r="F204" s="85">
        <v>5897.4</v>
      </c>
      <c r="G204" s="55">
        <f>16444.3-113.7</f>
        <v>16330.599999999999</v>
      </c>
      <c r="H204" s="85">
        <v>113.7</v>
      </c>
      <c r="I204" s="85">
        <f>177.6-47.4</f>
        <v>130.19999999999999</v>
      </c>
      <c r="J204" s="85">
        <v>47.4</v>
      </c>
      <c r="K204" s="55">
        <v>631.70000000000005</v>
      </c>
      <c r="L204" s="85">
        <v>6503.3</v>
      </c>
      <c r="M204" s="86">
        <v>117614.7</v>
      </c>
    </row>
    <row r="205" spans="2:13" ht="15.75" hidden="1">
      <c r="B205" s="57"/>
      <c r="C205" s="86"/>
      <c r="D205" s="85"/>
      <c r="E205" s="85"/>
      <c r="F205" s="85"/>
      <c r="G205" s="55"/>
      <c r="H205" s="85"/>
      <c r="I205" s="85"/>
      <c r="J205" s="85"/>
      <c r="K205" s="55"/>
      <c r="L205" s="85"/>
      <c r="M205" s="86"/>
    </row>
    <row r="206" spans="2:13" ht="15.75" hidden="1">
      <c r="B206" s="57" t="s">
        <v>301</v>
      </c>
      <c r="C206" s="86">
        <v>73377.600000000006</v>
      </c>
      <c r="D206" s="85">
        <v>12300.7</v>
      </c>
      <c r="E206" s="85">
        <v>11000.7</v>
      </c>
      <c r="F206" s="85">
        <v>6171.5</v>
      </c>
      <c r="G206" s="55">
        <f>13994.4-H206</f>
        <v>13884.3</v>
      </c>
      <c r="H206" s="85">
        <v>110.1</v>
      </c>
      <c r="I206" s="85">
        <f>79.2-J206</f>
        <v>43.800000000000004</v>
      </c>
      <c r="J206" s="85">
        <v>35.4</v>
      </c>
      <c r="K206" s="55">
        <v>940.6</v>
      </c>
      <c r="L206" s="85">
        <v>4625.1000000000004</v>
      </c>
      <c r="M206" s="86">
        <v>122489.7</v>
      </c>
    </row>
    <row r="207" spans="2:13" ht="15.75" hidden="1">
      <c r="B207" s="57"/>
      <c r="C207" s="86"/>
      <c r="D207" s="85"/>
      <c r="E207" s="85"/>
      <c r="F207" s="85"/>
      <c r="G207" s="55"/>
      <c r="H207" s="85"/>
      <c r="I207" s="85"/>
      <c r="J207" s="85"/>
      <c r="K207" s="55"/>
      <c r="L207" s="85"/>
      <c r="M207" s="86"/>
    </row>
    <row r="208" spans="2:13" ht="15.75" hidden="1">
      <c r="B208" s="57" t="s">
        <v>302</v>
      </c>
      <c r="C208" s="86">
        <v>79942.899999999994</v>
      </c>
      <c r="D208" s="85">
        <v>13349.2</v>
      </c>
      <c r="E208" s="85">
        <v>11619.5</v>
      </c>
      <c r="F208" s="85">
        <v>6443.1</v>
      </c>
      <c r="G208" s="55">
        <f>15594.8-106</f>
        <v>15488.8</v>
      </c>
      <c r="H208" s="85">
        <v>106</v>
      </c>
      <c r="I208" s="85">
        <f>100-27.2</f>
        <v>72.8</v>
      </c>
      <c r="J208" s="85">
        <v>27.2</v>
      </c>
      <c r="K208" s="55">
        <v>282.60000000000002</v>
      </c>
      <c r="L208" s="85">
        <v>7926.8</v>
      </c>
      <c r="M208" s="86">
        <v>135258.70000000001</v>
      </c>
    </row>
    <row r="209" spans="2:13" ht="15.75" hidden="1">
      <c r="B209" s="57"/>
      <c r="C209" s="86"/>
      <c r="D209" s="85"/>
      <c r="E209" s="85"/>
      <c r="F209" s="85"/>
      <c r="G209" s="55"/>
      <c r="H209" s="85"/>
      <c r="I209" s="85"/>
      <c r="J209" s="85"/>
      <c r="K209" s="55"/>
      <c r="L209" s="85"/>
      <c r="M209" s="86"/>
    </row>
    <row r="210" spans="2:13" ht="15.75" hidden="1">
      <c r="B210" s="57" t="s">
        <v>303</v>
      </c>
      <c r="C210" s="86">
        <v>79749.7</v>
      </c>
      <c r="D210" s="85">
        <v>13906.1</v>
      </c>
      <c r="E210" s="85">
        <v>13495.5</v>
      </c>
      <c r="F210" s="85">
        <v>6852.2</v>
      </c>
      <c r="G210" s="55">
        <f>16660.8-481.9</f>
        <v>16178.9</v>
      </c>
      <c r="H210" s="85">
        <v>481.9</v>
      </c>
      <c r="I210" s="85">
        <v>213.8</v>
      </c>
      <c r="J210" s="85">
        <v>0</v>
      </c>
      <c r="K210" s="55">
        <v>395.7</v>
      </c>
      <c r="L210" s="85">
        <v>8171.1</v>
      </c>
      <c r="M210" s="86">
        <v>139444.79999999999</v>
      </c>
    </row>
    <row r="211" spans="2:13" ht="15.75" hidden="1">
      <c r="B211" s="57"/>
      <c r="C211" s="86"/>
      <c r="D211" s="85"/>
      <c r="E211" s="85"/>
      <c r="F211" s="85"/>
      <c r="G211" s="55"/>
      <c r="H211" s="85"/>
      <c r="I211" s="85"/>
      <c r="J211" s="85"/>
      <c r="K211" s="55"/>
      <c r="L211" s="85"/>
      <c r="M211" s="86"/>
    </row>
    <row r="212" spans="2:13" ht="15.75" hidden="1">
      <c r="B212" s="57" t="s">
        <v>304</v>
      </c>
      <c r="C212" s="86">
        <v>89783.9</v>
      </c>
      <c r="D212" s="85">
        <v>14960.3</v>
      </c>
      <c r="E212" s="85">
        <v>13763.2</v>
      </c>
      <c r="F212" s="85">
        <v>7084.7</v>
      </c>
      <c r="G212" s="55">
        <f>15728.2-1061.1</f>
        <v>14667.1</v>
      </c>
      <c r="H212" s="85">
        <v>1061.0999999999999</v>
      </c>
      <c r="I212" s="85">
        <v>255.9</v>
      </c>
      <c r="J212" s="85">
        <v>0</v>
      </c>
      <c r="K212" s="55">
        <v>238.3</v>
      </c>
      <c r="L212" s="85">
        <v>9939.9</v>
      </c>
      <c r="M212" s="86">
        <v>151754.4</v>
      </c>
    </row>
    <row r="213" spans="2:13" ht="15.75" hidden="1">
      <c r="B213" s="57"/>
      <c r="C213" s="86"/>
      <c r="D213" s="85"/>
      <c r="E213" s="85"/>
      <c r="F213" s="85"/>
      <c r="G213" s="55"/>
      <c r="H213" s="85"/>
      <c r="I213" s="85"/>
      <c r="J213" s="85"/>
      <c r="K213" s="55"/>
      <c r="L213" s="85"/>
      <c r="M213" s="86"/>
    </row>
    <row r="214" spans="2:13" ht="15.75" hidden="1">
      <c r="B214" s="57" t="s">
        <v>305</v>
      </c>
      <c r="C214" s="86">
        <v>99555.4</v>
      </c>
      <c r="D214" s="85">
        <v>15482.8</v>
      </c>
      <c r="E214" s="85">
        <v>14813</v>
      </c>
      <c r="F214" s="85">
        <v>8365.2999999999993</v>
      </c>
      <c r="G214" s="55">
        <f>10943.7-121</f>
        <v>10822.7</v>
      </c>
      <c r="H214" s="85">
        <v>121</v>
      </c>
      <c r="I214" s="85">
        <v>275.5</v>
      </c>
      <c r="J214" s="85">
        <v>0</v>
      </c>
      <c r="K214" s="55">
        <v>532.70000000000005</v>
      </c>
      <c r="L214" s="85">
        <v>7135.1</v>
      </c>
      <c r="M214" s="86">
        <v>157103.6</v>
      </c>
    </row>
    <row r="215" spans="2:13" ht="15.75" hidden="1">
      <c r="B215" s="57"/>
      <c r="C215" s="86"/>
      <c r="D215" s="85"/>
      <c r="E215" s="85"/>
      <c r="F215" s="85"/>
      <c r="G215" s="55"/>
      <c r="H215" s="85"/>
      <c r="I215" s="85"/>
      <c r="J215" s="85"/>
      <c r="K215" s="55"/>
      <c r="L215" s="85"/>
      <c r="M215" s="86"/>
    </row>
    <row r="216" spans="2:13" ht="15.75" hidden="1">
      <c r="B216" s="57" t="s">
        <v>306</v>
      </c>
      <c r="C216" s="86">
        <v>103341.8</v>
      </c>
      <c r="D216" s="85">
        <v>17005.400000000001</v>
      </c>
      <c r="E216" s="85">
        <v>15653.9</v>
      </c>
      <c r="F216" s="85">
        <v>8517.5</v>
      </c>
      <c r="G216" s="55">
        <f>14433.7-108.7</f>
        <v>14325</v>
      </c>
      <c r="H216" s="85">
        <v>108.7</v>
      </c>
      <c r="I216" s="85">
        <v>348.9</v>
      </c>
      <c r="J216" s="85">
        <v>0</v>
      </c>
      <c r="K216" s="85">
        <v>574</v>
      </c>
      <c r="L216" s="85">
        <v>5185.8</v>
      </c>
      <c r="M216" s="86">
        <v>165060.9</v>
      </c>
    </row>
    <row r="217" spans="2:13" ht="15.75" hidden="1">
      <c r="B217" s="57"/>
      <c r="C217" s="86"/>
      <c r="D217" s="85"/>
      <c r="E217" s="85"/>
      <c r="F217" s="85"/>
      <c r="G217" s="55"/>
      <c r="H217" s="85"/>
      <c r="I217" s="85"/>
      <c r="J217" s="85"/>
      <c r="K217" s="55"/>
      <c r="L217" s="85"/>
      <c r="M217" s="86"/>
    </row>
    <row r="218" spans="2:13" ht="15.75" hidden="1">
      <c r="B218" s="57" t="s">
        <v>307</v>
      </c>
      <c r="C218" s="86">
        <v>115459.5</v>
      </c>
      <c r="D218" s="85">
        <v>17903.2</v>
      </c>
      <c r="E218" s="85">
        <v>15088.3</v>
      </c>
      <c r="F218" s="85">
        <v>8543.7000000000007</v>
      </c>
      <c r="G218" s="85">
        <f>13004.8-43.8</f>
        <v>12961</v>
      </c>
      <c r="H218" s="85">
        <v>43.8</v>
      </c>
      <c r="I218" s="85">
        <v>1126.5</v>
      </c>
      <c r="J218" s="85">
        <v>0</v>
      </c>
      <c r="K218" s="55">
        <v>1116.7</v>
      </c>
      <c r="L218" s="85">
        <v>5566.4</v>
      </c>
      <c r="M218" s="86">
        <v>177809.1</v>
      </c>
    </row>
    <row r="219" spans="2:13" ht="15.75" hidden="1">
      <c r="B219" s="57"/>
      <c r="C219" s="86"/>
      <c r="D219" s="85"/>
      <c r="E219" s="85"/>
      <c r="F219" s="85"/>
      <c r="G219" s="85"/>
      <c r="H219" s="85"/>
      <c r="I219" s="85"/>
      <c r="J219" s="85"/>
      <c r="K219" s="55"/>
      <c r="L219" s="85"/>
      <c r="M219" s="86"/>
    </row>
    <row r="220" spans="2:13" ht="15.75" hidden="1">
      <c r="B220" s="57" t="s">
        <v>308</v>
      </c>
      <c r="C220" s="86">
        <v>126886.6</v>
      </c>
      <c r="D220" s="85">
        <v>19257.5</v>
      </c>
      <c r="E220" s="85">
        <v>16125.9</v>
      </c>
      <c r="F220" s="85">
        <v>8855.7999999999993</v>
      </c>
      <c r="G220" s="55">
        <f>12017.8-115.4</f>
        <v>11902.4</v>
      </c>
      <c r="H220" s="85">
        <v>115.4</v>
      </c>
      <c r="I220" s="85">
        <v>1256.4000000000001</v>
      </c>
      <c r="J220" s="85">
        <v>0</v>
      </c>
      <c r="K220" s="55">
        <v>1173.8</v>
      </c>
      <c r="L220" s="85">
        <v>7157.9</v>
      </c>
      <c r="M220" s="86">
        <v>192731.7</v>
      </c>
    </row>
    <row r="221" spans="2:13" ht="15.75" hidden="1">
      <c r="B221" s="57"/>
      <c r="C221" s="86"/>
      <c r="D221" s="85"/>
      <c r="E221" s="85"/>
      <c r="F221" s="85"/>
      <c r="G221" s="55"/>
      <c r="H221" s="85"/>
      <c r="I221" s="85"/>
      <c r="J221" s="85"/>
      <c r="K221" s="55"/>
      <c r="L221" s="85"/>
      <c r="M221" s="86"/>
    </row>
    <row r="222" spans="2:13" ht="15.75" hidden="1">
      <c r="B222" s="57" t="s">
        <v>311</v>
      </c>
      <c r="C222" s="86">
        <v>128492.2</v>
      </c>
      <c r="D222" s="85">
        <v>20288.900000000001</v>
      </c>
      <c r="E222" s="85">
        <v>16311.7</v>
      </c>
      <c r="F222" s="85">
        <v>9078.9</v>
      </c>
      <c r="G222" s="85">
        <f>12129.4-112.4</f>
        <v>12017</v>
      </c>
      <c r="H222" s="85">
        <v>112.4</v>
      </c>
      <c r="I222" s="85">
        <v>2755.4</v>
      </c>
      <c r="J222" s="85">
        <v>0</v>
      </c>
      <c r="K222" s="55">
        <v>2443.6</v>
      </c>
      <c r="L222" s="85">
        <v>5357.8</v>
      </c>
      <c r="M222" s="86">
        <v>196858</v>
      </c>
    </row>
    <row r="223" spans="2:13" ht="15.75" hidden="1">
      <c r="B223" s="57"/>
      <c r="C223" s="86"/>
      <c r="D223" s="85"/>
      <c r="E223" s="85"/>
      <c r="F223" s="85"/>
      <c r="G223" s="85"/>
      <c r="H223" s="85"/>
      <c r="I223" s="85"/>
      <c r="J223" s="85"/>
      <c r="K223" s="55"/>
      <c r="L223" s="85"/>
      <c r="M223" s="86"/>
    </row>
    <row r="224" spans="2:13" ht="18" hidden="1" customHeight="1">
      <c r="B224" s="55">
        <v>2002</v>
      </c>
      <c r="C224" s="86"/>
      <c r="D224" s="85"/>
      <c r="E224" s="85"/>
      <c r="F224" s="85"/>
      <c r="G224" s="85"/>
      <c r="H224" s="85"/>
      <c r="I224" s="85"/>
      <c r="J224" s="85"/>
      <c r="K224" s="55"/>
      <c r="L224" s="85"/>
      <c r="M224" s="86"/>
    </row>
    <row r="225" spans="2:13" ht="18" hidden="1" customHeight="1">
      <c r="B225" s="55"/>
      <c r="C225" s="86"/>
      <c r="D225" s="85"/>
      <c r="E225" s="85"/>
      <c r="F225" s="85"/>
      <c r="G225" s="85"/>
      <c r="H225" s="85"/>
      <c r="I225" s="85"/>
      <c r="J225" s="85"/>
      <c r="K225" s="55"/>
      <c r="L225" s="85"/>
      <c r="M225" s="86"/>
    </row>
    <row r="226" spans="2:13" ht="18" hidden="1" customHeight="1">
      <c r="B226" s="57" t="s">
        <v>298</v>
      </c>
      <c r="C226" s="86">
        <v>137659.6</v>
      </c>
      <c r="D226" s="85">
        <v>20917.8</v>
      </c>
      <c r="E226" s="85">
        <v>16804.7</v>
      </c>
      <c r="F226" s="85">
        <v>9119.9</v>
      </c>
      <c r="G226" s="85">
        <f>20312.6-314.5</f>
        <v>19998.099999999999</v>
      </c>
      <c r="H226" s="85">
        <v>314.5</v>
      </c>
      <c r="I226" s="85">
        <v>2301.9</v>
      </c>
      <c r="J226" s="85">
        <v>0</v>
      </c>
      <c r="K226" s="55">
        <v>1054.2</v>
      </c>
      <c r="L226" s="85">
        <v>6718.1</v>
      </c>
      <c r="M226" s="86">
        <v>214888.9</v>
      </c>
    </row>
    <row r="227" spans="2:13" ht="18" hidden="1" customHeight="1">
      <c r="B227" s="57"/>
      <c r="C227" s="86"/>
      <c r="D227" s="85"/>
      <c r="E227" s="85"/>
      <c r="F227" s="85"/>
      <c r="G227" s="85"/>
      <c r="H227" s="85"/>
      <c r="I227" s="85"/>
      <c r="J227" s="85"/>
      <c r="K227" s="55"/>
      <c r="L227" s="85"/>
      <c r="M227" s="86"/>
    </row>
    <row r="228" spans="2:13" ht="18" hidden="1" customHeight="1">
      <c r="B228" s="57" t="s">
        <v>299</v>
      </c>
      <c r="C228" s="86">
        <v>153507</v>
      </c>
      <c r="D228" s="85">
        <v>22169.9</v>
      </c>
      <c r="E228" s="85">
        <v>18988.599999999999</v>
      </c>
      <c r="F228" s="85">
        <v>9304.9</v>
      </c>
      <c r="G228" s="85">
        <f>12347.9-295.7</f>
        <v>12052.199999999999</v>
      </c>
      <c r="H228" s="85">
        <v>295.7</v>
      </c>
      <c r="I228" s="85">
        <v>4040.1</v>
      </c>
      <c r="J228" s="85">
        <v>0</v>
      </c>
      <c r="K228" s="55">
        <v>1799.2</v>
      </c>
      <c r="L228" s="85">
        <v>9926.6</v>
      </c>
      <c r="M228" s="86">
        <v>232084.2</v>
      </c>
    </row>
    <row r="229" spans="2:13" ht="18" hidden="1" customHeight="1">
      <c r="B229" s="57"/>
      <c r="C229" s="86"/>
      <c r="D229" s="85"/>
      <c r="E229" s="85"/>
      <c r="F229" s="85"/>
      <c r="G229" s="85"/>
      <c r="H229" s="85"/>
      <c r="I229" s="85"/>
      <c r="J229" s="85"/>
      <c r="K229" s="55"/>
      <c r="L229" s="85"/>
      <c r="M229" s="86"/>
    </row>
    <row r="230" spans="2:13" ht="18" hidden="1" customHeight="1">
      <c r="B230" s="57" t="s">
        <v>300</v>
      </c>
      <c r="C230" s="86">
        <v>154991.1</v>
      </c>
      <c r="D230" s="85">
        <v>23643.8</v>
      </c>
      <c r="E230" s="85">
        <v>21057.599999999999</v>
      </c>
      <c r="F230" s="85">
        <v>9331.7000000000007</v>
      </c>
      <c r="G230" s="85">
        <f>18076.5-304.2</f>
        <v>17772.3</v>
      </c>
      <c r="H230" s="85">
        <v>304.2</v>
      </c>
      <c r="I230" s="85">
        <f>2821.4-0.3</f>
        <v>2821.1</v>
      </c>
      <c r="J230" s="85">
        <v>0.3</v>
      </c>
      <c r="K230" s="85">
        <v>4355</v>
      </c>
      <c r="L230" s="85">
        <v>10588.2</v>
      </c>
      <c r="M230" s="86">
        <v>244865.4</v>
      </c>
    </row>
    <row r="231" spans="2:13" ht="18" hidden="1" customHeight="1">
      <c r="B231" s="57"/>
      <c r="C231" s="86"/>
      <c r="D231" s="85"/>
      <c r="E231" s="85"/>
      <c r="F231" s="85"/>
      <c r="G231" s="85"/>
      <c r="H231" s="85"/>
      <c r="I231" s="85"/>
      <c r="J231" s="85"/>
      <c r="K231" s="85"/>
      <c r="L231" s="85"/>
      <c r="M231" s="86"/>
    </row>
    <row r="232" spans="2:13" ht="18" hidden="1" customHeight="1">
      <c r="B232" s="57" t="s">
        <v>301</v>
      </c>
      <c r="C232" s="86">
        <v>172168.7</v>
      </c>
      <c r="D232" s="85">
        <v>27624.400000000001</v>
      </c>
      <c r="E232" s="85">
        <v>21868.6</v>
      </c>
      <c r="F232" s="85">
        <v>9483.1</v>
      </c>
      <c r="G232" s="85">
        <v>21799.7</v>
      </c>
      <c r="H232" s="85">
        <v>24.3</v>
      </c>
      <c r="I232" s="85">
        <v>1374.4</v>
      </c>
      <c r="J232" s="85">
        <v>0.9</v>
      </c>
      <c r="K232" s="85">
        <v>3956.6</v>
      </c>
      <c r="L232" s="85">
        <v>9730.1</v>
      </c>
      <c r="M232" s="86">
        <v>268030.8</v>
      </c>
    </row>
    <row r="233" spans="2:13" ht="18" hidden="1" customHeight="1">
      <c r="B233" s="57"/>
      <c r="C233" s="86"/>
      <c r="D233" s="85"/>
      <c r="E233" s="85"/>
      <c r="F233" s="85"/>
      <c r="G233" s="85"/>
      <c r="H233" s="85"/>
      <c r="I233" s="85"/>
      <c r="J233" s="85"/>
      <c r="K233" s="55"/>
      <c r="L233" s="85"/>
      <c r="M233" s="86"/>
    </row>
    <row r="234" spans="2:13" ht="18" hidden="1" customHeight="1">
      <c r="B234" s="57" t="s">
        <v>302</v>
      </c>
      <c r="C234" s="86">
        <v>179530.3</v>
      </c>
      <c r="D234" s="85">
        <v>28326.3</v>
      </c>
      <c r="E234" s="85">
        <v>23015</v>
      </c>
      <c r="F234" s="85">
        <v>9671.1</v>
      </c>
      <c r="G234" s="85">
        <f>16416.6-24.7</f>
        <v>16391.899999999998</v>
      </c>
      <c r="H234" s="85">
        <v>24.7</v>
      </c>
      <c r="I234" s="85">
        <v>4837</v>
      </c>
      <c r="J234" s="85">
        <v>0</v>
      </c>
      <c r="K234" s="55">
        <v>3301.5</v>
      </c>
      <c r="L234" s="85">
        <v>9157.7999999999993</v>
      </c>
      <c r="M234" s="86">
        <v>274255.7</v>
      </c>
    </row>
    <row r="235" spans="2:13" ht="18" hidden="1" customHeight="1">
      <c r="B235" s="57"/>
      <c r="C235" s="86"/>
      <c r="D235" s="85"/>
      <c r="E235" s="85"/>
      <c r="F235" s="85"/>
      <c r="G235" s="85"/>
      <c r="H235" s="85"/>
      <c r="I235" s="85"/>
      <c r="J235" s="85"/>
      <c r="K235" s="55"/>
      <c r="L235" s="85"/>
      <c r="M235" s="86"/>
    </row>
    <row r="236" spans="2:13" ht="18" hidden="1" customHeight="1">
      <c r="B236" s="57" t="s">
        <v>303</v>
      </c>
      <c r="C236" s="86">
        <v>178256.5</v>
      </c>
      <c r="D236" s="85">
        <v>29007.7</v>
      </c>
      <c r="E236" s="85">
        <v>23532.6</v>
      </c>
      <c r="F236" s="85">
        <v>10033.700000000001</v>
      </c>
      <c r="G236" s="85">
        <f>22908.9-27.6</f>
        <v>22881.300000000003</v>
      </c>
      <c r="H236" s="85">
        <v>27.6</v>
      </c>
      <c r="I236" s="85">
        <f>7787-0</f>
        <v>7787</v>
      </c>
      <c r="J236" s="85">
        <v>0</v>
      </c>
      <c r="K236" s="55">
        <v>4640.2</v>
      </c>
      <c r="L236" s="85">
        <v>7722.3</v>
      </c>
      <c r="M236" s="86">
        <v>283888.7</v>
      </c>
    </row>
    <row r="237" spans="2:13" ht="18" hidden="1" customHeight="1">
      <c r="B237" s="57"/>
      <c r="C237" s="86"/>
      <c r="D237" s="85"/>
      <c r="E237" s="85"/>
      <c r="F237" s="85"/>
      <c r="G237" s="85"/>
      <c r="H237" s="85"/>
      <c r="I237" s="85"/>
      <c r="J237" s="85"/>
      <c r="K237" s="55"/>
      <c r="L237" s="85"/>
      <c r="M237" s="86"/>
    </row>
    <row r="238" spans="2:13" ht="18" hidden="1" customHeight="1">
      <c r="B238" s="57" t="s">
        <v>304</v>
      </c>
      <c r="C238" s="86">
        <v>202230.2</v>
      </c>
      <c r="D238" s="85">
        <v>33460.300000000003</v>
      </c>
      <c r="E238" s="85">
        <v>26054.9</v>
      </c>
      <c r="F238" s="85">
        <v>10400</v>
      </c>
      <c r="G238" s="85">
        <f>29634.2-21.3</f>
        <v>29612.9</v>
      </c>
      <c r="H238" s="85">
        <v>21.3</v>
      </c>
      <c r="I238" s="85">
        <v>11701.9</v>
      </c>
      <c r="J238" s="85">
        <v>0</v>
      </c>
      <c r="K238" s="85">
        <v>2878</v>
      </c>
      <c r="L238" s="85">
        <v>6815.1</v>
      </c>
      <c r="M238" s="86">
        <v>323174.5</v>
      </c>
    </row>
    <row r="239" spans="2:13" ht="18" hidden="1" customHeight="1">
      <c r="B239" s="61"/>
      <c r="C239" s="86"/>
      <c r="D239" s="85"/>
      <c r="E239" s="85"/>
      <c r="F239" s="85"/>
      <c r="G239" s="85"/>
      <c r="H239" s="85"/>
      <c r="I239" s="85"/>
      <c r="J239" s="85"/>
      <c r="K239" s="55"/>
      <c r="L239" s="85"/>
      <c r="M239" s="86"/>
    </row>
    <row r="240" spans="2:13" ht="18" hidden="1" customHeight="1">
      <c r="B240" s="57" t="s">
        <v>305</v>
      </c>
      <c r="C240" s="86">
        <v>220473.5</v>
      </c>
      <c r="D240" s="85">
        <v>32337.200000000001</v>
      </c>
      <c r="E240" s="85">
        <v>27383.200000000001</v>
      </c>
      <c r="F240" s="85">
        <v>11986</v>
      </c>
      <c r="G240" s="85">
        <f>36940.1-19.4</f>
        <v>36920.699999999997</v>
      </c>
      <c r="H240" s="85">
        <v>19.399999999999999</v>
      </c>
      <c r="I240" s="85">
        <f>4861.9-8</f>
        <v>4853.8999999999996</v>
      </c>
      <c r="J240" s="85">
        <v>8</v>
      </c>
      <c r="K240" s="55">
        <v>2258.6999999999998</v>
      </c>
      <c r="L240" s="85">
        <v>8288.9</v>
      </c>
      <c r="M240" s="86">
        <v>344529.4</v>
      </c>
    </row>
    <row r="241" spans="2:13" ht="18" hidden="1" customHeight="1">
      <c r="B241" s="57"/>
      <c r="C241" s="86"/>
      <c r="D241" s="85"/>
      <c r="E241" s="85"/>
      <c r="F241" s="85"/>
      <c r="G241" s="85"/>
      <c r="H241" s="85"/>
      <c r="I241" s="85"/>
      <c r="J241" s="85"/>
      <c r="K241" s="55"/>
      <c r="L241" s="85"/>
      <c r="M241" s="86"/>
    </row>
    <row r="242" spans="2:13" ht="18" hidden="1" customHeight="1">
      <c r="B242" s="57" t="s">
        <v>306</v>
      </c>
      <c r="C242" s="86">
        <v>245679.7</v>
      </c>
      <c r="D242" s="85">
        <v>33638.199999999997</v>
      </c>
      <c r="E242" s="85">
        <v>28991.200000000001</v>
      </c>
      <c r="F242" s="85">
        <v>12454.2</v>
      </c>
      <c r="G242" s="85">
        <f>29449.3-122.2</f>
        <v>29327.1</v>
      </c>
      <c r="H242" s="85">
        <v>122.2</v>
      </c>
      <c r="I242" s="85">
        <v>17988.099999999999</v>
      </c>
      <c r="J242" s="85">
        <v>0</v>
      </c>
      <c r="K242" s="55">
        <v>3556.1</v>
      </c>
      <c r="L242" s="85">
        <v>12442.4</v>
      </c>
      <c r="M242" s="86">
        <v>384199.2</v>
      </c>
    </row>
    <row r="243" spans="2:13" ht="18" hidden="1" customHeight="1">
      <c r="B243" s="57"/>
      <c r="C243" s="86"/>
      <c r="D243" s="85"/>
      <c r="E243" s="85"/>
      <c r="F243" s="85"/>
      <c r="G243" s="85"/>
      <c r="H243" s="121"/>
      <c r="I243" s="85"/>
      <c r="J243" s="85"/>
      <c r="K243" s="55"/>
      <c r="L243" s="85"/>
      <c r="M243" s="86"/>
    </row>
    <row r="244" spans="2:13" ht="18" hidden="1" customHeight="1">
      <c r="B244" s="57" t="s">
        <v>307</v>
      </c>
      <c r="C244" s="86">
        <v>284310.3</v>
      </c>
      <c r="D244" s="85">
        <v>37066.300000000003</v>
      </c>
      <c r="E244" s="85">
        <v>31658.9</v>
      </c>
      <c r="F244" s="85">
        <v>12940.7</v>
      </c>
      <c r="G244" s="85">
        <f>40781.2-54.7</f>
        <v>40726.5</v>
      </c>
      <c r="H244" s="85">
        <v>54.7</v>
      </c>
      <c r="I244" s="85">
        <v>17404.3</v>
      </c>
      <c r="J244" s="85">
        <v>0</v>
      </c>
      <c r="K244" s="55">
        <v>5405.3</v>
      </c>
      <c r="L244" s="85">
        <v>14212.7</v>
      </c>
      <c r="M244" s="86">
        <v>443779.7</v>
      </c>
    </row>
    <row r="245" spans="2:13" ht="18" hidden="1" customHeight="1">
      <c r="B245" s="57"/>
      <c r="C245" s="86"/>
      <c r="D245" s="85"/>
      <c r="E245" s="85"/>
      <c r="F245" s="85"/>
      <c r="G245" s="85"/>
      <c r="H245" s="85"/>
      <c r="I245" s="85"/>
      <c r="J245" s="85"/>
      <c r="K245" s="55"/>
      <c r="L245" s="85"/>
      <c r="M245" s="86"/>
    </row>
    <row r="246" spans="2:13" ht="18" hidden="1" customHeight="1">
      <c r="B246" s="57" t="s">
        <v>308</v>
      </c>
      <c r="C246" s="86">
        <v>324133.3</v>
      </c>
      <c r="D246" s="85">
        <v>42381.9</v>
      </c>
      <c r="E246" s="85">
        <v>40373.599999999999</v>
      </c>
      <c r="F246" s="85">
        <v>14070.9</v>
      </c>
      <c r="G246" s="85">
        <f>38452.9-31.9</f>
        <v>38421</v>
      </c>
      <c r="H246" s="85">
        <v>31.9</v>
      </c>
      <c r="I246" s="85">
        <f>21303.6-0</f>
        <v>21303.599999999999</v>
      </c>
      <c r="J246" s="85">
        <v>0</v>
      </c>
      <c r="K246" s="55">
        <v>9338.7999999999993</v>
      </c>
      <c r="L246" s="85">
        <v>13531.1</v>
      </c>
      <c r="M246" s="86">
        <v>503586.1</v>
      </c>
    </row>
    <row r="247" spans="2:13" ht="18" hidden="1" customHeight="1">
      <c r="B247" s="57"/>
      <c r="C247" s="86"/>
      <c r="D247" s="85"/>
      <c r="E247" s="85"/>
      <c r="F247" s="85"/>
      <c r="G247" s="85"/>
      <c r="H247" s="85"/>
      <c r="I247" s="85"/>
      <c r="J247" s="85"/>
      <c r="K247" s="55"/>
      <c r="L247" s="85"/>
      <c r="M247" s="86"/>
    </row>
    <row r="248" spans="2:13" ht="18" hidden="1" customHeight="1">
      <c r="B248" s="57" t="s">
        <v>311</v>
      </c>
      <c r="C248" s="86">
        <v>348482.5</v>
      </c>
      <c r="D248" s="85">
        <v>46320.6</v>
      </c>
      <c r="E248" s="85">
        <v>42562.1</v>
      </c>
      <c r="F248" s="85">
        <v>15109.9</v>
      </c>
      <c r="G248" s="85">
        <f>47395.4-26.3</f>
        <v>47369.1</v>
      </c>
      <c r="H248" s="85">
        <v>26.3</v>
      </c>
      <c r="I248" s="85">
        <f>28839.9-56.7</f>
        <v>28783.200000000001</v>
      </c>
      <c r="J248" s="85">
        <v>56.7</v>
      </c>
      <c r="K248" s="55">
        <v>4333.8999999999996</v>
      </c>
      <c r="L248" s="85">
        <v>15990.2</v>
      </c>
      <c r="M248" s="86">
        <v>549034.4</v>
      </c>
    </row>
    <row r="249" spans="2:13" ht="18" hidden="1" customHeight="1">
      <c r="B249" s="57"/>
      <c r="C249" s="86"/>
      <c r="D249" s="85"/>
      <c r="E249" s="85"/>
      <c r="F249" s="85"/>
      <c r="G249" s="85"/>
      <c r="H249" s="85"/>
      <c r="I249" s="85"/>
      <c r="J249" s="85"/>
      <c r="K249" s="55"/>
      <c r="L249" s="85"/>
      <c r="M249" s="86"/>
    </row>
    <row r="250" spans="2:13" ht="18" hidden="1" customHeight="1">
      <c r="B250" s="55">
        <v>2003</v>
      </c>
      <c r="C250" s="86"/>
      <c r="D250" s="85"/>
      <c r="E250" s="85"/>
      <c r="F250" s="85"/>
      <c r="G250" s="85"/>
      <c r="H250" s="85"/>
      <c r="I250" s="85"/>
      <c r="J250" s="85"/>
      <c r="K250" s="55"/>
      <c r="L250" s="85"/>
      <c r="M250" s="86"/>
    </row>
    <row r="251" spans="2:13" ht="18" hidden="1" customHeight="1">
      <c r="B251" s="55"/>
      <c r="C251" s="86"/>
      <c r="D251" s="85"/>
      <c r="E251" s="85"/>
      <c r="F251" s="85"/>
      <c r="G251" s="85"/>
      <c r="H251" s="85"/>
      <c r="I251" s="85"/>
      <c r="J251" s="85"/>
      <c r="K251" s="55"/>
      <c r="L251" s="85"/>
      <c r="M251" s="86"/>
    </row>
    <row r="252" spans="2:13" ht="18" hidden="1" customHeight="1">
      <c r="B252" s="57" t="s">
        <v>298</v>
      </c>
      <c r="C252" s="86">
        <v>377400.2</v>
      </c>
      <c r="D252" s="85">
        <v>45541.7</v>
      </c>
      <c r="E252" s="85">
        <v>45093.5</v>
      </c>
      <c r="F252" s="85">
        <v>15819.6</v>
      </c>
      <c r="G252" s="85">
        <f>71876.1-H252</f>
        <v>71850.600000000006</v>
      </c>
      <c r="H252" s="85">
        <v>25.5</v>
      </c>
      <c r="I252" s="85">
        <f>22807.6-J252</f>
        <v>22751.1</v>
      </c>
      <c r="J252" s="85">
        <v>56.5</v>
      </c>
      <c r="K252" s="55">
        <v>8370.7999999999993</v>
      </c>
      <c r="L252" s="85">
        <v>15520.3</v>
      </c>
      <c r="M252" s="86">
        <v>602429.69999999995</v>
      </c>
    </row>
    <row r="253" spans="2:13" ht="18" hidden="1" customHeight="1">
      <c r="B253" s="57"/>
      <c r="C253" s="86"/>
      <c r="D253" s="85"/>
      <c r="E253" s="85"/>
      <c r="F253" s="85"/>
      <c r="G253" s="85"/>
      <c r="H253" s="85"/>
      <c r="I253" s="85"/>
      <c r="J253" s="85"/>
      <c r="K253" s="55"/>
      <c r="L253" s="85"/>
      <c r="M253" s="86"/>
    </row>
    <row r="254" spans="2:13" ht="18" hidden="1" customHeight="1">
      <c r="B254" s="57" t="s">
        <v>299</v>
      </c>
      <c r="C254" s="86">
        <v>411312.2</v>
      </c>
      <c r="D254" s="85">
        <v>47248.5</v>
      </c>
      <c r="E254" s="85">
        <v>48001.8</v>
      </c>
      <c r="F254" s="85">
        <v>16339.9</v>
      </c>
      <c r="G254" s="85">
        <f>68598-H254</f>
        <v>68578</v>
      </c>
      <c r="H254" s="85">
        <v>20</v>
      </c>
      <c r="I254" s="85">
        <f>21511.7-J254</f>
        <v>21455.4</v>
      </c>
      <c r="J254" s="85">
        <v>56.3</v>
      </c>
      <c r="K254" s="55">
        <v>10431.9</v>
      </c>
      <c r="L254" s="85">
        <v>16623.599999999999</v>
      </c>
      <c r="M254" s="86">
        <v>640067.6</v>
      </c>
    </row>
    <row r="255" spans="2:13" ht="18" hidden="1" customHeight="1">
      <c r="B255" s="57"/>
      <c r="C255" s="86"/>
      <c r="D255" s="85"/>
      <c r="E255" s="85"/>
      <c r="F255" s="85"/>
      <c r="G255" s="85"/>
      <c r="H255" s="85"/>
      <c r="I255" s="85"/>
      <c r="J255" s="85"/>
      <c r="K255" s="55"/>
      <c r="L255" s="85"/>
      <c r="M255" s="86"/>
    </row>
    <row r="256" spans="2:13" ht="18" hidden="1" customHeight="1">
      <c r="B256" s="57" t="s">
        <v>300</v>
      </c>
      <c r="C256" s="86">
        <v>531971.30000000005</v>
      </c>
      <c r="D256" s="85">
        <v>51403.6</v>
      </c>
      <c r="E256" s="85">
        <v>49885</v>
      </c>
      <c r="F256" s="85">
        <v>17191.3</v>
      </c>
      <c r="G256" s="85">
        <f>70051.9-7584</f>
        <v>62467.899999999994</v>
      </c>
      <c r="H256" s="85">
        <v>7584</v>
      </c>
      <c r="I256" s="85">
        <v>23521.7</v>
      </c>
      <c r="J256" s="85">
        <v>0</v>
      </c>
      <c r="K256" s="55">
        <v>9015.6</v>
      </c>
      <c r="L256" s="85">
        <v>19722.2</v>
      </c>
      <c r="M256" s="86">
        <v>772762.5</v>
      </c>
    </row>
    <row r="257" spans="2:13" ht="18" hidden="1" customHeight="1">
      <c r="B257" s="57"/>
      <c r="C257" s="86"/>
      <c r="D257" s="85"/>
      <c r="E257" s="85"/>
      <c r="F257" s="85"/>
      <c r="G257" s="85"/>
      <c r="H257" s="85"/>
      <c r="I257" s="85"/>
      <c r="J257" s="85"/>
      <c r="K257" s="55"/>
      <c r="L257" s="85"/>
      <c r="M257" s="86"/>
    </row>
    <row r="258" spans="2:13" ht="18" hidden="1" customHeight="1">
      <c r="B258" s="74" t="s">
        <v>301</v>
      </c>
      <c r="C258" s="86">
        <v>599388.69999999995</v>
      </c>
      <c r="D258" s="85">
        <v>54499.4</v>
      </c>
      <c r="E258" s="85">
        <v>54884.3</v>
      </c>
      <c r="F258" s="85">
        <v>18118.7</v>
      </c>
      <c r="G258" s="85">
        <f>77403-H258</f>
        <v>77178.899999999994</v>
      </c>
      <c r="H258" s="85">
        <v>224.1</v>
      </c>
      <c r="I258" s="85">
        <f>59520.7-J258</f>
        <v>59425.899999999994</v>
      </c>
      <c r="J258" s="85">
        <v>94.8</v>
      </c>
      <c r="K258" s="55">
        <v>9518.1</v>
      </c>
      <c r="L258" s="85">
        <v>20943.400000000001</v>
      </c>
      <c r="M258" s="86">
        <v>894276.2</v>
      </c>
    </row>
    <row r="259" spans="2:13" ht="18" hidden="1" customHeight="1">
      <c r="B259" s="125"/>
      <c r="C259" s="86"/>
      <c r="D259" s="85"/>
      <c r="E259" s="85"/>
      <c r="F259" s="85"/>
      <c r="G259" s="85"/>
      <c r="H259" s="85"/>
      <c r="I259" s="85"/>
      <c r="J259" s="85"/>
      <c r="K259" s="55"/>
      <c r="L259" s="85"/>
      <c r="M259" s="86"/>
    </row>
    <row r="260" spans="2:13" ht="18" hidden="1" customHeight="1">
      <c r="B260" s="74" t="s">
        <v>302</v>
      </c>
      <c r="C260" s="86">
        <v>646033.19999999995</v>
      </c>
      <c r="D260" s="85">
        <v>66592</v>
      </c>
      <c r="E260" s="85">
        <v>60152.6</v>
      </c>
      <c r="F260" s="85">
        <v>19765</v>
      </c>
      <c r="G260" s="85">
        <f>97502.7-H260</f>
        <v>79077.600000000006</v>
      </c>
      <c r="H260" s="85">
        <v>18425.099999999999</v>
      </c>
      <c r="I260" s="85">
        <f>61347.1-J260</f>
        <v>61257.9</v>
      </c>
      <c r="J260" s="85">
        <v>89.2</v>
      </c>
      <c r="K260" s="55">
        <v>9806.2999999999993</v>
      </c>
      <c r="L260" s="85">
        <v>26938</v>
      </c>
      <c r="M260" s="86">
        <v>988137</v>
      </c>
    </row>
    <row r="261" spans="2:13" ht="18" hidden="1" customHeight="1">
      <c r="B261" s="125"/>
      <c r="C261" s="86"/>
      <c r="D261" s="85"/>
      <c r="E261" s="85"/>
      <c r="F261" s="85"/>
      <c r="G261" s="85"/>
      <c r="H261" s="85"/>
      <c r="I261" s="85"/>
      <c r="J261" s="85"/>
      <c r="K261" s="55"/>
      <c r="L261" s="85"/>
      <c r="M261" s="86"/>
    </row>
    <row r="262" spans="2:13" ht="18" hidden="1" customHeight="1">
      <c r="B262" s="74" t="s">
        <v>303</v>
      </c>
      <c r="C262" s="86">
        <v>780343.4</v>
      </c>
      <c r="D262" s="85">
        <v>73529.100000000006</v>
      </c>
      <c r="E262" s="85">
        <v>66208.5</v>
      </c>
      <c r="F262" s="85">
        <v>21616.7</v>
      </c>
      <c r="G262" s="85">
        <f>95035.6-H262</f>
        <v>76019.600000000006</v>
      </c>
      <c r="H262" s="85">
        <v>19016</v>
      </c>
      <c r="I262" s="85">
        <f>41314.7-J262</f>
        <v>40480.799999999996</v>
      </c>
      <c r="J262" s="85">
        <v>833.9</v>
      </c>
      <c r="K262" s="55">
        <v>7864.2</v>
      </c>
      <c r="L262" s="85">
        <v>25594.1</v>
      </c>
      <c r="M262" s="86">
        <v>1111506.2</v>
      </c>
    </row>
    <row r="263" spans="2:13" ht="18" hidden="1" customHeight="1">
      <c r="B263" s="74"/>
      <c r="C263" s="86"/>
      <c r="D263" s="85"/>
      <c r="E263" s="85"/>
      <c r="F263" s="85"/>
      <c r="G263" s="85"/>
      <c r="H263" s="85"/>
      <c r="I263" s="85"/>
      <c r="J263" s="85"/>
      <c r="K263" s="55"/>
      <c r="L263" s="85"/>
      <c r="M263" s="86"/>
    </row>
    <row r="264" spans="2:13" ht="18" hidden="1" customHeight="1">
      <c r="B264" s="74" t="s">
        <v>304</v>
      </c>
      <c r="C264" s="86">
        <v>950430.9</v>
      </c>
      <c r="D264" s="85">
        <v>91211.8</v>
      </c>
      <c r="E264" s="85">
        <v>81239.100000000006</v>
      </c>
      <c r="F264" s="85">
        <v>26911.7</v>
      </c>
      <c r="G264" s="85">
        <f>122474.4-H264</f>
        <v>-4797625.8989999993</v>
      </c>
      <c r="H264" s="85">
        <f>4920100299/1000</f>
        <v>4920100.2989999996</v>
      </c>
      <c r="I264" s="85">
        <v>725</v>
      </c>
      <c r="J264" s="85">
        <v>52</v>
      </c>
      <c r="K264" s="55">
        <v>9008.5</v>
      </c>
      <c r="L264" s="85">
        <v>24411.7</v>
      </c>
      <c r="M264" s="86">
        <v>1375578.2</v>
      </c>
    </row>
    <row r="265" spans="2:13" ht="18" hidden="1" customHeight="1">
      <c r="B265" s="57"/>
      <c r="C265" s="86"/>
      <c r="D265" s="85"/>
      <c r="E265" s="85"/>
      <c r="F265" s="85"/>
      <c r="G265" s="85"/>
      <c r="H265" s="85">
        <f>4698281252/1000</f>
        <v>4698281.2520000003</v>
      </c>
      <c r="I265" s="85">
        <v>20</v>
      </c>
      <c r="J265" s="85"/>
      <c r="K265" s="55"/>
      <c r="L265" s="85"/>
      <c r="M265" s="86"/>
    </row>
    <row r="266" spans="2:13" ht="18" hidden="1" customHeight="1">
      <c r="B266" s="57" t="s">
        <v>305</v>
      </c>
      <c r="C266" s="86">
        <v>1088516</v>
      </c>
      <c r="D266" s="85">
        <v>123448.8</v>
      </c>
      <c r="E266" s="85">
        <v>104017</v>
      </c>
      <c r="F266" s="85">
        <v>31999.3</v>
      </c>
      <c r="G266" s="85">
        <v>155317.4</v>
      </c>
      <c r="H266" s="85">
        <f>6895867959/1000</f>
        <v>6895867.9589999998</v>
      </c>
      <c r="I266" s="85">
        <f>89057.6-52</f>
        <v>89005.6</v>
      </c>
      <c r="J266" s="85">
        <v>52</v>
      </c>
      <c r="K266" s="55">
        <v>9660.5</v>
      </c>
      <c r="L266" s="85">
        <v>31732.400000000001</v>
      </c>
      <c r="M266" s="86">
        <v>1706165.6</v>
      </c>
    </row>
    <row r="267" spans="2:13" ht="18" hidden="1" customHeight="1">
      <c r="B267" s="57"/>
      <c r="C267" s="86"/>
      <c r="D267" s="85"/>
      <c r="E267" s="85"/>
      <c r="F267" s="85"/>
      <c r="G267" s="85"/>
      <c r="H267" s="85"/>
      <c r="I267" s="85"/>
      <c r="J267" s="85"/>
      <c r="K267" s="55"/>
      <c r="L267" s="85"/>
      <c r="M267" s="86"/>
    </row>
    <row r="268" spans="2:13" ht="18" hidden="1" customHeight="1">
      <c r="B268" s="57" t="s">
        <v>306</v>
      </c>
      <c r="C268" s="86">
        <v>1526314.7</v>
      </c>
      <c r="D268" s="85">
        <v>140024.5</v>
      </c>
      <c r="E268" s="85">
        <v>120505.2</v>
      </c>
      <c r="F268" s="85">
        <v>33384.5</v>
      </c>
      <c r="G268" s="85">
        <f>221240.8-411.5</f>
        <v>220829.3</v>
      </c>
      <c r="H268" s="85">
        <v>411.5</v>
      </c>
      <c r="I268" s="85">
        <f>74349.9-801</f>
        <v>73548.899999999994</v>
      </c>
      <c r="J268" s="85">
        <v>801</v>
      </c>
      <c r="K268" s="55">
        <v>16418.7</v>
      </c>
      <c r="L268" s="85">
        <v>41208.1</v>
      </c>
      <c r="M268" s="86">
        <v>2173446.4</v>
      </c>
    </row>
    <row r="269" spans="2:13" ht="18" hidden="1" customHeight="1">
      <c r="B269" s="57"/>
      <c r="C269" s="86"/>
      <c r="D269" s="85"/>
      <c r="E269" s="85"/>
      <c r="F269" s="85"/>
      <c r="G269" s="85"/>
      <c r="H269" s="85"/>
      <c r="I269" s="85"/>
      <c r="J269" s="85"/>
      <c r="K269" s="55"/>
      <c r="L269" s="85"/>
      <c r="M269" s="86"/>
    </row>
    <row r="270" spans="2:13" ht="18" hidden="1" customHeight="1">
      <c r="B270" s="57" t="s">
        <v>307</v>
      </c>
      <c r="C270" s="86">
        <v>1767324.8</v>
      </c>
      <c r="D270" s="85">
        <v>151295.70000000001</v>
      </c>
      <c r="E270" s="85">
        <v>140328.79999999999</v>
      </c>
      <c r="F270" s="85">
        <v>35355.599999999999</v>
      </c>
      <c r="G270" s="85">
        <f>222705.2-116.7</f>
        <v>222588.5</v>
      </c>
      <c r="H270" s="85">
        <v>116.7</v>
      </c>
      <c r="I270" s="85">
        <f>122689.8-45.5</f>
        <v>122644.3</v>
      </c>
      <c r="J270" s="85">
        <v>45.5</v>
      </c>
      <c r="K270" s="55">
        <v>7956.9</v>
      </c>
      <c r="L270" s="85">
        <v>50009.2</v>
      </c>
      <c r="M270" s="86">
        <v>2497666.1</v>
      </c>
    </row>
    <row r="271" spans="2:13" ht="18" hidden="1" customHeight="1">
      <c r="B271" s="57"/>
      <c r="C271" s="86"/>
      <c r="D271" s="85"/>
      <c r="E271" s="85"/>
      <c r="F271" s="85"/>
      <c r="G271" s="85"/>
      <c r="H271" s="85"/>
      <c r="I271" s="85"/>
      <c r="J271" s="85"/>
      <c r="K271" s="55"/>
      <c r="L271" s="85"/>
      <c r="M271" s="86"/>
    </row>
    <row r="272" spans="2:13" ht="18" hidden="1" customHeight="1">
      <c r="B272" s="57" t="s">
        <v>308</v>
      </c>
      <c r="C272" s="86">
        <v>2168253.5</v>
      </c>
      <c r="D272" s="85">
        <v>176645.2</v>
      </c>
      <c r="E272" s="85">
        <v>154335.5</v>
      </c>
      <c r="F272" s="85">
        <v>38033.9</v>
      </c>
      <c r="G272" s="85">
        <f>195309.5-H272</f>
        <v>193254</v>
      </c>
      <c r="H272" s="85">
        <f>116.3+1249.3+689.9</f>
        <v>2055.5</v>
      </c>
      <c r="I272" s="85">
        <f>112497.6-J272</f>
        <v>112456.5</v>
      </c>
      <c r="J272" s="85">
        <v>41.1</v>
      </c>
      <c r="K272" s="55">
        <v>15703.1</v>
      </c>
      <c r="L272" s="85">
        <v>40718.9</v>
      </c>
      <c r="M272" s="86">
        <v>2901496.9</v>
      </c>
    </row>
    <row r="273" spans="2:15" ht="18" hidden="1" customHeight="1">
      <c r="B273" s="57"/>
      <c r="C273" s="86"/>
      <c r="D273" s="85"/>
      <c r="E273" s="85"/>
      <c r="F273" s="85"/>
      <c r="G273" s="85"/>
      <c r="H273" s="85"/>
      <c r="I273" s="85"/>
      <c r="J273" s="85"/>
      <c r="K273" s="55"/>
      <c r="L273" s="85"/>
      <c r="M273" s="86"/>
    </row>
    <row r="274" spans="2:15" ht="18" hidden="1" customHeight="1">
      <c r="B274" s="57" t="s">
        <v>311</v>
      </c>
      <c r="C274" s="86">
        <v>2059259.6</v>
      </c>
      <c r="D274" s="85">
        <v>167933.6</v>
      </c>
      <c r="E274" s="85">
        <v>148374.20000000001</v>
      </c>
      <c r="F274" s="85">
        <v>40341</v>
      </c>
      <c r="G274" s="85">
        <f>387645.4-H274</f>
        <v>384625.10000000003</v>
      </c>
      <c r="H274" s="85">
        <f>350.1+1558.7+1111.5</f>
        <v>3020.3</v>
      </c>
      <c r="I274" s="85">
        <f>120548.8-J274</f>
        <v>119752.6</v>
      </c>
      <c r="J274" s="85">
        <v>796.2</v>
      </c>
      <c r="K274" s="55">
        <v>27938.2</v>
      </c>
      <c r="L274" s="85">
        <v>33227.199999999997</v>
      </c>
      <c r="M274" s="86">
        <v>2985267.8</v>
      </c>
    </row>
    <row r="275" spans="2:15" ht="18" hidden="1" customHeight="1">
      <c r="B275" s="57"/>
      <c r="C275" s="86"/>
      <c r="D275" s="85"/>
      <c r="E275" s="85"/>
      <c r="F275" s="85"/>
      <c r="G275" s="85"/>
      <c r="H275" s="85"/>
      <c r="I275" s="85"/>
      <c r="J275" s="85"/>
      <c r="K275" s="55"/>
      <c r="L275" s="85"/>
      <c r="M275" s="86"/>
    </row>
    <row r="276" spans="2:15" ht="18" hidden="1" customHeight="1">
      <c r="B276" s="55">
        <v>2004</v>
      </c>
      <c r="C276" s="86"/>
      <c r="D276" s="85"/>
      <c r="E276" s="85"/>
      <c r="F276" s="85"/>
      <c r="G276" s="85"/>
      <c r="H276" s="85"/>
      <c r="I276" s="85"/>
      <c r="J276" s="85"/>
      <c r="K276" s="55"/>
      <c r="L276" s="85"/>
      <c r="M276" s="86"/>
    </row>
    <row r="277" spans="2:15" ht="18" hidden="1" customHeight="1">
      <c r="B277" s="57"/>
      <c r="C277" s="86"/>
      <c r="D277" s="85"/>
      <c r="E277" s="85"/>
      <c r="F277" s="85"/>
      <c r="G277" s="85"/>
      <c r="H277" s="85"/>
      <c r="I277" s="85"/>
      <c r="J277" s="85"/>
      <c r="K277" s="55"/>
      <c r="L277" s="85"/>
      <c r="M277" s="86"/>
    </row>
    <row r="278" spans="2:15" ht="18" hidden="1" customHeight="1">
      <c r="B278" s="57" t="s">
        <v>298</v>
      </c>
      <c r="C278" s="86">
        <v>2761760.4</v>
      </c>
      <c r="D278" s="85">
        <v>343959.4</v>
      </c>
      <c r="E278" s="85">
        <v>157647.9</v>
      </c>
      <c r="F278" s="85">
        <v>44322.5</v>
      </c>
      <c r="G278" s="85">
        <f>373787.2-H278</f>
        <v>362333.7</v>
      </c>
      <c r="H278" s="85">
        <f>1546+5302.9+4604.6</f>
        <v>11453.5</v>
      </c>
      <c r="I278" s="85">
        <v>106799.9</v>
      </c>
      <c r="J278" s="85">
        <v>0</v>
      </c>
      <c r="K278" s="55">
        <v>26057.599999999999</v>
      </c>
      <c r="L278" s="85">
        <v>31306.9</v>
      </c>
      <c r="M278" s="86">
        <v>3845642.3</v>
      </c>
    </row>
    <row r="279" spans="2:15" ht="18" hidden="1" customHeight="1">
      <c r="B279" s="57"/>
      <c r="C279" s="86"/>
      <c r="D279" s="85"/>
      <c r="E279" s="85"/>
      <c r="F279" s="85"/>
      <c r="G279" s="85"/>
      <c r="H279" s="85"/>
      <c r="I279" s="85"/>
      <c r="J279" s="85"/>
      <c r="K279" s="55"/>
      <c r="L279" s="85"/>
      <c r="M279" s="86"/>
    </row>
    <row r="280" spans="2:15" ht="18" hidden="1" customHeight="1">
      <c r="B280" s="57" t="s">
        <v>299</v>
      </c>
      <c r="C280" s="86">
        <v>2850107.4</v>
      </c>
      <c r="D280" s="85">
        <v>328111.09999999998</v>
      </c>
      <c r="E280" s="85">
        <v>172478.8</v>
      </c>
      <c r="F280" s="85">
        <v>50442.7</v>
      </c>
      <c r="G280" s="85">
        <f>342183.1-H280</f>
        <v>332159.69999999995</v>
      </c>
      <c r="H280" s="85">
        <f>1158.4+3765.3+5099.7</f>
        <v>10023.400000000001</v>
      </c>
      <c r="I280" s="85">
        <v>114289.7</v>
      </c>
      <c r="J280" s="85">
        <v>0</v>
      </c>
      <c r="K280" s="55">
        <v>21986.5</v>
      </c>
      <c r="L280" s="85">
        <v>28275.4</v>
      </c>
      <c r="M280" s="86">
        <v>3907874.7</v>
      </c>
    </row>
    <row r="281" spans="2:15" ht="18" hidden="1" customHeight="1">
      <c r="B281" s="57"/>
      <c r="C281" s="86"/>
      <c r="D281" s="85"/>
      <c r="E281" s="85"/>
      <c r="F281" s="85"/>
      <c r="G281" s="85"/>
      <c r="H281" s="85"/>
      <c r="I281" s="85"/>
      <c r="J281" s="85"/>
      <c r="K281" s="55"/>
      <c r="L281" s="85"/>
      <c r="M281" s="86"/>
    </row>
    <row r="282" spans="2:15" ht="18" hidden="1" customHeight="1">
      <c r="B282" s="57" t="s">
        <v>300</v>
      </c>
      <c r="C282" s="86">
        <v>3309790.4</v>
      </c>
      <c r="D282" s="85">
        <v>255793.2</v>
      </c>
      <c r="E282" s="85">
        <v>187998.5</v>
      </c>
      <c r="F282" s="85">
        <v>56456.9</v>
      </c>
      <c r="G282" s="85">
        <f>440032.9-H282</f>
        <v>434114.7</v>
      </c>
      <c r="H282" s="85">
        <f>477.6+5440.6</f>
        <v>5918.2000000000007</v>
      </c>
      <c r="I282" s="85">
        <v>115782.2</v>
      </c>
      <c r="J282" s="85">
        <v>0</v>
      </c>
      <c r="K282" s="55">
        <v>48455.8</v>
      </c>
      <c r="L282" s="85">
        <v>23122.799999999999</v>
      </c>
      <c r="M282" s="86">
        <v>4437432.7</v>
      </c>
    </row>
    <row r="283" spans="2:15" ht="18" hidden="1" customHeight="1">
      <c r="B283" s="57"/>
      <c r="C283" s="86"/>
      <c r="D283" s="85"/>
      <c r="E283" s="85"/>
      <c r="F283" s="85"/>
      <c r="G283" s="85"/>
      <c r="H283" s="85"/>
      <c r="I283" s="85"/>
      <c r="J283" s="85"/>
      <c r="K283" s="55"/>
      <c r="L283" s="85"/>
      <c r="M283" s="86"/>
    </row>
    <row r="284" spans="2:15" ht="18" hidden="1" customHeight="1">
      <c r="B284" s="57" t="s">
        <v>301</v>
      </c>
      <c r="C284" s="86">
        <v>3619757.5</v>
      </c>
      <c r="D284" s="85">
        <v>347148.1</v>
      </c>
      <c r="E284" s="85">
        <v>209810.4</v>
      </c>
      <c r="F284" s="85">
        <v>59903.3</v>
      </c>
      <c r="G284" s="85">
        <v>489405.2</v>
      </c>
      <c r="H284" s="85">
        <f>1149.7+6415.6</f>
        <v>7565.3</v>
      </c>
      <c r="I284" s="85">
        <v>101116.3</v>
      </c>
      <c r="J284" s="85">
        <v>0</v>
      </c>
      <c r="K284" s="55">
        <v>50426.6</v>
      </c>
      <c r="L284" s="85">
        <v>38511.9</v>
      </c>
      <c r="M284" s="86">
        <v>4923644.8</v>
      </c>
    </row>
    <row r="285" spans="2:15" ht="18" hidden="1" customHeight="1">
      <c r="B285" s="57"/>
      <c r="C285" s="86"/>
      <c r="D285" s="85"/>
      <c r="E285" s="85"/>
      <c r="F285" s="85"/>
      <c r="G285" s="85"/>
      <c r="H285" s="85"/>
      <c r="I285" s="85"/>
      <c r="J285" s="85"/>
      <c r="K285" s="55"/>
      <c r="L285" s="85"/>
      <c r="M285" s="86"/>
    </row>
    <row r="286" spans="2:15" ht="18" hidden="1" customHeight="1">
      <c r="B286" s="57" t="s">
        <v>302</v>
      </c>
      <c r="C286" s="86">
        <v>4186579.8</v>
      </c>
      <c r="D286" s="85">
        <v>304398.90000000002</v>
      </c>
      <c r="E286" s="85">
        <v>209403.6</v>
      </c>
      <c r="F286" s="85">
        <v>70407.600000000006</v>
      </c>
      <c r="G286" s="85">
        <v>429138.8</v>
      </c>
      <c r="H286" s="85">
        <f>1465.5+5480.6+7161.4</f>
        <v>14107.5</v>
      </c>
      <c r="I286" s="85">
        <v>87909.8</v>
      </c>
      <c r="J286" s="85">
        <v>0</v>
      </c>
      <c r="K286" s="55">
        <v>45344.3</v>
      </c>
      <c r="L286" s="85">
        <v>58475.8</v>
      </c>
      <c r="M286" s="86">
        <v>5405766</v>
      </c>
    </row>
    <row r="287" spans="2:15" ht="18" hidden="1" customHeight="1">
      <c r="B287" s="57"/>
      <c r="C287" s="86"/>
      <c r="D287" s="85"/>
      <c r="E287" s="85"/>
      <c r="F287" s="85"/>
      <c r="G287" s="85"/>
      <c r="H287" s="85"/>
      <c r="I287" s="85"/>
      <c r="J287" s="85"/>
      <c r="K287" s="55"/>
      <c r="L287" s="85"/>
      <c r="M287" s="86"/>
    </row>
    <row r="288" spans="2:15" ht="18" hidden="1" customHeight="1">
      <c r="B288" s="57" t="s">
        <v>303</v>
      </c>
      <c r="C288" s="86">
        <v>4665969.0999999996</v>
      </c>
      <c r="D288" s="85">
        <v>412271</v>
      </c>
      <c r="E288" s="85">
        <v>247089.3</v>
      </c>
      <c r="F288" s="85">
        <v>79227.7</v>
      </c>
      <c r="G288" s="85">
        <f>624936.9-H288</f>
        <v>612956.1</v>
      </c>
      <c r="H288" s="85">
        <f>588.2+5408.3+5984.3</f>
        <v>11980.8</v>
      </c>
      <c r="I288" s="85">
        <f>120775-J288</f>
        <v>120775</v>
      </c>
      <c r="J288" s="85">
        <v>0</v>
      </c>
      <c r="K288" s="55">
        <v>43498.400000000001</v>
      </c>
      <c r="L288" s="85">
        <v>51703.1</v>
      </c>
      <c r="M288" s="86">
        <v>6245470.5</v>
      </c>
      <c r="O288" s="66">
        <f>+M288-SUM(C288:L288)</f>
        <v>0</v>
      </c>
    </row>
    <row r="289" spans="2:15" ht="18" hidden="1" customHeight="1">
      <c r="B289" s="57"/>
      <c r="C289" s="86"/>
      <c r="D289" s="85"/>
      <c r="E289" s="85"/>
      <c r="F289" s="85"/>
      <c r="G289" s="85"/>
      <c r="H289" s="85"/>
      <c r="I289" s="85"/>
      <c r="J289" s="85"/>
      <c r="K289" s="55"/>
      <c r="L289" s="85"/>
      <c r="M289" s="86"/>
      <c r="O289" s="66"/>
    </row>
    <row r="290" spans="2:15" ht="18" hidden="1" customHeight="1">
      <c r="B290" s="57" t="s">
        <v>304</v>
      </c>
      <c r="C290" s="86">
        <v>4666707.7</v>
      </c>
      <c r="D290" s="85">
        <v>476275.4</v>
      </c>
      <c r="E290" s="85">
        <v>291554.3</v>
      </c>
      <c r="F290" s="85">
        <v>100123.7</v>
      </c>
      <c r="G290" s="85">
        <f>541736.2-H290</f>
        <v>530279.89999999991</v>
      </c>
      <c r="H290" s="85">
        <f>586.8+3051.9+7817.6</f>
        <v>11456.3</v>
      </c>
      <c r="I290" s="85">
        <v>128772.3</v>
      </c>
      <c r="J290" s="85">
        <v>0</v>
      </c>
      <c r="K290" s="55">
        <v>48351.5</v>
      </c>
      <c r="L290" s="85">
        <v>61651.8</v>
      </c>
      <c r="M290" s="86">
        <v>6315173</v>
      </c>
      <c r="O290" s="66">
        <f>+M290-SUM(C290:L290)</f>
        <v>0.10000000055879354</v>
      </c>
    </row>
    <row r="291" spans="2:15" ht="18" hidden="1" customHeight="1">
      <c r="B291" s="57"/>
      <c r="C291" s="86"/>
      <c r="D291" s="85"/>
      <c r="E291" s="85"/>
      <c r="F291" s="85"/>
      <c r="G291" s="85"/>
      <c r="H291" s="85"/>
      <c r="I291" s="85"/>
      <c r="J291" s="85"/>
      <c r="K291" s="55"/>
      <c r="L291" s="85"/>
      <c r="M291" s="86"/>
      <c r="O291" s="66"/>
    </row>
    <row r="292" spans="2:15" ht="18" hidden="1" customHeight="1">
      <c r="B292" s="57" t="s">
        <v>305</v>
      </c>
      <c r="C292" s="86">
        <v>5218269.3</v>
      </c>
      <c r="D292" s="85">
        <v>508294.9</v>
      </c>
      <c r="E292" s="85">
        <v>301453</v>
      </c>
      <c r="F292" s="85">
        <v>107264.9</v>
      </c>
      <c r="G292" s="85">
        <f>752521.7-H292</f>
        <v>743866.1</v>
      </c>
      <c r="H292" s="85">
        <f>592.2+8063.4</f>
        <v>8655.6</v>
      </c>
      <c r="I292" s="85">
        <v>170448</v>
      </c>
      <c r="J292" s="85">
        <v>0</v>
      </c>
      <c r="K292" s="85">
        <v>134563.9</v>
      </c>
      <c r="L292" s="85">
        <v>83450.5</v>
      </c>
      <c r="M292" s="86">
        <v>7276266.0999999996</v>
      </c>
      <c r="O292" s="66">
        <f>+M292-SUM(C292:L292)</f>
        <v>-0.10000000055879354</v>
      </c>
    </row>
    <row r="293" spans="2:15" ht="18" hidden="1" customHeight="1">
      <c r="B293" s="57"/>
      <c r="C293" s="86"/>
      <c r="D293" s="85"/>
      <c r="E293" s="85"/>
      <c r="F293" s="85"/>
      <c r="G293" s="85"/>
      <c r="H293" s="85"/>
      <c r="I293" s="85"/>
      <c r="J293" s="85"/>
      <c r="K293" s="55"/>
      <c r="L293" s="85"/>
      <c r="M293" s="86"/>
      <c r="O293" s="66"/>
    </row>
    <row r="294" spans="2:15" ht="18" hidden="1" customHeight="1">
      <c r="B294" s="57" t="s">
        <v>306</v>
      </c>
      <c r="C294" s="86">
        <v>5609469</v>
      </c>
      <c r="D294" s="85">
        <v>558894.69999999995</v>
      </c>
      <c r="E294" s="85">
        <v>349847.2</v>
      </c>
      <c r="F294" s="85">
        <v>125948.5</v>
      </c>
      <c r="G294" s="85">
        <f>916711.5-H294</f>
        <v>912433.1</v>
      </c>
      <c r="H294" s="85">
        <f>1247+3031.4</f>
        <v>4278.3999999999996</v>
      </c>
      <c r="I294" s="85">
        <v>212632.8</v>
      </c>
      <c r="J294" s="85">
        <v>0</v>
      </c>
      <c r="K294" s="85">
        <v>142160.70000000001</v>
      </c>
      <c r="L294" s="85">
        <v>69213.600000000006</v>
      </c>
      <c r="M294" s="86">
        <v>7984878</v>
      </c>
      <c r="O294" s="66">
        <f>+M294-SUM(C294:L294)</f>
        <v>0</v>
      </c>
    </row>
    <row r="295" spans="2:15" ht="18" hidden="1" customHeight="1">
      <c r="B295" s="57"/>
      <c r="C295" s="86"/>
      <c r="D295" s="85"/>
      <c r="E295" s="85"/>
      <c r="F295" s="85"/>
      <c r="G295" s="85"/>
      <c r="H295" s="85"/>
      <c r="I295" s="85"/>
      <c r="J295" s="85"/>
      <c r="K295" s="55"/>
      <c r="L295" s="85"/>
      <c r="M295" s="86"/>
      <c r="O295" s="66"/>
    </row>
    <row r="296" spans="2:15" ht="18" hidden="1" customHeight="1">
      <c r="B296" s="57" t="s">
        <v>307</v>
      </c>
      <c r="C296" s="86">
        <v>5658694.9000000004</v>
      </c>
      <c r="D296" s="85">
        <v>600764.69999999995</v>
      </c>
      <c r="E296" s="85">
        <v>368414.8</v>
      </c>
      <c r="F296" s="85">
        <v>122845.9</v>
      </c>
      <c r="G296" s="85">
        <f>908263.6-H296</f>
        <v>903468.29999999993</v>
      </c>
      <c r="H296" s="85">
        <f>1388.1+3407.2</f>
        <v>4795.2999999999993</v>
      </c>
      <c r="I296" s="85">
        <v>224383.4</v>
      </c>
      <c r="J296" s="85">
        <v>0</v>
      </c>
      <c r="K296" s="85">
        <v>175375.3</v>
      </c>
      <c r="L296" s="85">
        <v>81787.8</v>
      </c>
      <c r="M296" s="86">
        <v>8140530.5</v>
      </c>
      <c r="O296" s="66">
        <f>+M296-SUM(C296:L296)</f>
        <v>9.999999962747097E-2</v>
      </c>
    </row>
    <row r="297" spans="2:15" ht="18" hidden="1" customHeight="1">
      <c r="B297" s="57"/>
      <c r="C297" s="86"/>
      <c r="D297" s="85"/>
      <c r="E297" s="85"/>
      <c r="F297" s="85"/>
      <c r="G297" s="85"/>
      <c r="H297" s="85"/>
      <c r="I297" s="85"/>
      <c r="J297" s="85"/>
      <c r="K297" s="85"/>
      <c r="L297" s="85"/>
      <c r="M297" s="86"/>
      <c r="O297" s="66"/>
    </row>
    <row r="298" spans="2:15" ht="18" hidden="1" customHeight="1">
      <c r="B298" s="57" t="s">
        <v>308</v>
      </c>
      <c r="C298" s="86">
        <v>6530678.0999999996</v>
      </c>
      <c r="D298" s="85">
        <v>602822.69999999995</v>
      </c>
      <c r="E298" s="85">
        <v>424428.3</v>
      </c>
      <c r="F298" s="85">
        <v>151096.9</v>
      </c>
      <c r="G298" s="85">
        <f>854585.6-H298</f>
        <v>853193.2</v>
      </c>
      <c r="H298" s="85">
        <v>1392.4</v>
      </c>
      <c r="I298" s="85">
        <v>449645.3</v>
      </c>
      <c r="J298" s="85">
        <v>0</v>
      </c>
      <c r="K298" s="85">
        <v>118760.4</v>
      </c>
      <c r="L298" s="85">
        <v>85581.2</v>
      </c>
      <c r="M298" s="86">
        <v>9217598.4000000004</v>
      </c>
      <c r="O298" s="66">
        <f>+M298-SUM(C298:L298)</f>
        <v>-9.999999962747097E-2</v>
      </c>
    </row>
    <row r="299" spans="2:15" ht="18" hidden="1" customHeight="1">
      <c r="B299" s="57"/>
      <c r="C299" s="86"/>
      <c r="D299" s="85"/>
      <c r="E299" s="85"/>
      <c r="F299" s="85"/>
      <c r="G299" s="85"/>
      <c r="H299" s="85"/>
      <c r="I299" s="85"/>
      <c r="J299" s="85"/>
      <c r="K299" s="85"/>
      <c r="L299" s="85"/>
      <c r="M299" s="86"/>
      <c r="O299" s="66"/>
    </row>
    <row r="300" spans="2:15" ht="18" hidden="1" customHeight="1">
      <c r="B300" s="57" t="s">
        <v>311</v>
      </c>
      <c r="C300" s="86">
        <v>6866977.7000000002</v>
      </c>
      <c r="D300" s="85">
        <v>748523.9</v>
      </c>
      <c r="E300" s="85">
        <v>445942.9</v>
      </c>
      <c r="F300" s="85">
        <v>161674.5</v>
      </c>
      <c r="G300" s="85">
        <f>598959.9-H300</f>
        <v>597683.9</v>
      </c>
      <c r="H300" s="85">
        <v>1276</v>
      </c>
      <c r="I300" s="85">
        <v>147977.29999999999</v>
      </c>
      <c r="J300" s="85">
        <v>0</v>
      </c>
      <c r="K300" s="85">
        <v>150469.6</v>
      </c>
      <c r="L300" s="85">
        <v>98529.3</v>
      </c>
      <c r="M300" s="86">
        <v>9219055.0999999996</v>
      </c>
      <c r="O300" s="66">
        <f>+M300-SUM(C300:L300)</f>
        <v>0</v>
      </c>
    </row>
    <row r="301" spans="2:15" ht="18" hidden="1" customHeight="1">
      <c r="B301" s="57"/>
      <c r="C301" s="86"/>
      <c r="D301" s="85"/>
      <c r="E301" s="85"/>
      <c r="F301" s="85"/>
      <c r="G301" s="85"/>
      <c r="H301" s="85"/>
      <c r="I301" s="85"/>
      <c r="J301" s="85"/>
      <c r="K301" s="85"/>
      <c r="L301" s="85"/>
      <c r="M301" s="86"/>
      <c r="O301" s="66"/>
    </row>
    <row r="302" spans="2:15" ht="18" hidden="1" customHeight="1">
      <c r="B302" s="55">
        <v>2005</v>
      </c>
      <c r="C302" s="86"/>
      <c r="D302" s="85"/>
      <c r="E302" s="85"/>
      <c r="F302" s="85"/>
      <c r="G302" s="85"/>
      <c r="H302" s="85"/>
      <c r="I302" s="85"/>
      <c r="J302" s="85"/>
      <c r="K302" s="85"/>
      <c r="L302" s="85"/>
      <c r="M302" s="86"/>
      <c r="O302" s="66"/>
    </row>
    <row r="303" spans="2:15" ht="18" hidden="1" customHeight="1">
      <c r="B303" s="55"/>
      <c r="C303" s="86"/>
      <c r="D303" s="85"/>
      <c r="E303" s="85"/>
      <c r="F303" s="85"/>
      <c r="G303" s="85"/>
      <c r="H303" s="85"/>
      <c r="I303" s="85"/>
      <c r="J303" s="85"/>
      <c r="K303" s="85"/>
      <c r="L303" s="85"/>
      <c r="M303" s="86"/>
      <c r="O303" s="66"/>
    </row>
    <row r="304" spans="2:15" ht="18" hidden="1" customHeight="1">
      <c r="B304" s="126" t="s">
        <v>298</v>
      </c>
      <c r="C304" s="86">
        <v>7251383.9000000004</v>
      </c>
      <c r="D304" s="85">
        <v>894769.6</v>
      </c>
      <c r="E304" s="85">
        <v>552236.1</v>
      </c>
      <c r="F304" s="85">
        <v>192480.7</v>
      </c>
      <c r="G304" s="85">
        <f>722253.4-H304</f>
        <v>714388.20000000007</v>
      </c>
      <c r="H304" s="85">
        <f>1316.3+6548.9</f>
        <v>7865.2</v>
      </c>
      <c r="I304" s="85">
        <v>210723.8</v>
      </c>
      <c r="J304" s="85">
        <v>0</v>
      </c>
      <c r="K304" s="85">
        <v>194144.3</v>
      </c>
      <c r="L304" s="85">
        <v>112410.2</v>
      </c>
      <c r="M304" s="86">
        <v>10130401.800000001</v>
      </c>
      <c r="O304" s="66">
        <f>+M304-SUM(C304:L304)</f>
        <v>-0.19999999739229679</v>
      </c>
    </row>
    <row r="305" spans="2:15" ht="18" hidden="1" customHeight="1">
      <c r="B305" s="55"/>
      <c r="C305" s="86"/>
      <c r="D305" s="85"/>
      <c r="E305" s="85"/>
      <c r="F305" s="85"/>
      <c r="G305" s="85"/>
      <c r="H305" s="85"/>
      <c r="I305" s="85"/>
      <c r="J305" s="85"/>
      <c r="K305" s="85"/>
      <c r="L305" s="85"/>
      <c r="M305" s="86"/>
      <c r="O305" s="66"/>
    </row>
    <row r="306" spans="2:15" ht="18" hidden="1" customHeight="1">
      <c r="B306" s="57" t="s">
        <v>299</v>
      </c>
      <c r="C306" s="86">
        <v>8460162.8000000007</v>
      </c>
      <c r="D306" s="85">
        <v>1015265.9</v>
      </c>
      <c r="E306" s="85">
        <v>691488.3</v>
      </c>
      <c r="F306" s="85">
        <v>236675.7</v>
      </c>
      <c r="G306" s="85">
        <f>783741.7-H306</f>
        <v>774814.89999999991</v>
      </c>
      <c r="H306" s="85">
        <f>504.3+8422.5</f>
        <v>8926.7999999999993</v>
      </c>
      <c r="I306" s="85">
        <v>271471.5</v>
      </c>
      <c r="J306" s="85">
        <v>0</v>
      </c>
      <c r="K306" s="85">
        <v>178775.4</v>
      </c>
      <c r="L306" s="85">
        <v>108293.3</v>
      </c>
      <c r="M306" s="86">
        <v>11745874.5</v>
      </c>
      <c r="O306" s="66">
        <f>+M306-SUM(C306:L306)</f>
        <v>-0.10000000335276127</v>
      </c>
    </row>
    <row r="307" spans="2:15" ht="18" hidden="1" customHeight="1">
      <c r="B307" s="57"/>
      <c r="C307" s="86"/>
      <c r="D307" s="85"/>
      <c r="E307" s="85"/>
      <c r="F307" s="85"/>
      <c r="G307" s="85"/>
      <c r="H307" s="85"/>
      <c r="I307" s="85"/>
      <c r="J307" s="85"/>
      <c r="K307" s="85"/>
      <c r="L307" s="85"/>
      <c r="M307" s="86"/>
      <c r="O307" s="66"/>
    </row>
    <row r="308" spans="2:15" ht="18" hidden="1" customHeight="1">
      <c r="B308" s="57" t="s">
        <v>300</v>
      </c>
      <c r="C308" s="86">
        <v>9460760</v>
      </c>
      <c r="D308" s="85">
        <v>1142776</v>
      </c>
      <c r="E308" s="85">
        <v>835716.2</v>
      </c>
      <c r="F308" s="85">
        <v>297118</v>
      </c>
      <c r="G308" s="85">
        <f>695399.4-H308</f>
        <v>687944.6</v>
      </c>
      <c r="H308" s="85">
        <f>658.5+6796.3</f>
        <v>7454.8</v>
      </c>
      <c r="I308" s="85">
        <v>223961.5</v>
      </c>
      <c r="J308" s="85">
        <v>0</v>
      </c>
      <c r="K308" s="85">
        <v>176367.3</v>
      </c>
      <c r="L308" s="85">
        <v>149717.9</v>
      </c>
      <c r="M308" s="86">
        <v>12981816.4</v>
      </c>
      <c r="O308" s="66">
        <f>+M308-SUM(C308:L308)</f>
        <v>9.999999962747097E-2</v>
      </c>
    </row>
    <row r="309" spans="2:15" ht="18" hidden="1" customHeight="1">
      <c r="B309" s="57"/>
      <c r="C309" s="86"/>
      <c r="D309" s="85"/>
      <c r="E309" s="85"/>
      <c r="F309" s="85"/>
      <c r="G309" s="85"/>
      <c r="H309" s="85"/>
      <c r="I309" s="85"/>
      <c r="J309" s="85"/>
      <c r="K309" s="85"/>
      <c r="L309" s="85"/>
      <c r="M309" s="86"/>
      <c r="O309" s="66"/>
    </row>
    <row r="310" spans="2:15" ht="18" hidden="1" customHeight="1">
      <c r="B310" s="57" t="s">
        <v>301</v>
      </c>
      <c r="C310" s="86">
        <v>10419178.6</v>
      </c>
      <c r="D310" s="85">
        <v>1408848.9</v>
      </c>
      <c r="E310" s="85">
        <v>919486.9</v>
      </c>
      <c r="F310" s="85">
        <v>323322.40000000002</v>
      </c>
      <c r="G310" s="85">
        <f>1115509.6-H310</f>
        <v>1106469.1000000001</v>
      </c>
      <c r="H310" s="85">
        <f>661.6+8378.9</f>
        <v>9040.5</v>
      </c>
      <c r="I310" s="85">
        <v>303752</v>
      </c>
      <c r="J310" s="85">
        <v>0</v>
      </c>
      <c r="K310" s="85">
        <v>163452.70000000001</v>
      </c>
      <c r="L310" s="85">
        <v>367961.9</v>
      </c>
      <c r="M310" s="86">
        <v>15021513.1</v>
      </c>
      <c r="O310" s="66">
        <f>+M310-SUM(C310:L310)</f>
        <v>9.999999962747097E-2</v>
      </c>
    </row>
    <row r="311" spans="2:15" ht="18" hidden="1" customHeight="1">
      <c r="B311" s="57"/>
      <c r="C311" s="86"/>
      <c r="D311" s="85"/>
      <c r="E311" s="85"/>
      <c r="F311" s="85"/>
      <c r="G311" s="85"/>
      <c r="H311" s="85"/>
      <c r="I311" s="85"/>
      <c r="J311" s="85"/>
      <c r="K311" s="85"/>
      <c r="L311" s="85"/>
      <c r="M311" s="86"/>
      <c r="O311" s="66"/>
    </row>
    <row r="312" spans="2:15" ht="18" hidden="1" customHeight="1">
      <c r="B312" s="57" t="s">
        <v>302</v>
      </c>
      <c r="C312" s="86">
        <v>12258002.9</v>
      </c>
      <c r="D312" s="85">
        <v>1744136.8</v>
      </c>
      <c r="E312" s="85">
        <v>1049845.2</v>
      </c>
      <c r="F312" s="85">
        <v>373728.4</v>
      </c>
      <c r="G312" s="85">
        <f>1361521.4-H312</f>
        <v>1347451.7</v>
      </c>
      <c r="H312" s="85">
        <f>800.9+13268.8</f>
        <v>14069.699999999999</v>
      </c>
      <c r="I312" s="85">
        <v>429248.1</v>
      </c>
      <c r="J312" s="85">
        <v>0</v>
      </c>
      <c r="K312" s="85">
        <v>218229.8</v>
      </c>
      <c r="L312" s="85">
        <v>300490.3</v>
      </c>
      <c r="M312" s="86">
        <v>17735202.800000001</v>
      </c>
      <c r="O312" s="66">
        <f>+M312-SUM(C312:L312)</f>
        <v>-0.10000000149011612</v>
      </c>
    </row>
    <row r="313" spans="2:15" ht="18" hidden="1" customHeight="1">
      <c r="B313" s="57"/>
      <c r="C313" s="86"/>
      <c r="D313" s="85"/>
      <c r="E313" s="85"/>
      <c r="F313" s="85"/>
      <c r="G313" s="85"/>
      <c r="H313" s="85"/>
      <c r="I313" s="85"/>
      <c r="J313" s="85"/>
      <c r="K313" s="85"/>
      <c r="L313" s="85"/>
      <c r="M313" s="86"/>
      <c r="O313" s="66"/>
    </row>
    <row r="314" spans="2:15" ht="18" hidden="1" customHeight="1">
      <c r="B314" s="57" t="s">
        <v>303</v>
      </c>
      <c r="C314" s="86">
        <v>13108.348699999999</v>
      </c>
      <c r="D314" s="85">
        <v>2138.7755999999999</v>
      </c>
      <c r="E314" s="85">
        <v>1166.3708000000001</v>
      </c>
      <c r="F314" s="85">
        <v>417.54349999999999</v>
      </c>
      <c r="G314" s="85">
        <v>1253.5029000000002</v>
      </c>
      <c r="H314" s="85">
        <v>139.63120000000001</v>
      </c>
      <c r="I314" s="85">
        <v>356.40990000000005</v>
      </c>
      <c r="J314" s="85">
        <v>0</v>
      </c>
      <c r="K314" s="85">
        <v>290.83780000000002</v>
      </c>
      <c r="L314" s="85">
        <v>257.67989999999998</v>
      </c>
      <c r="M314" s="86">
        <v>19129.100300000002</v>
      </c>
      <c r="O314" s="68">
        <f>+M314-SUM(C314:L314)</f>
        <v>0</v>
      </c>
    </row>
    <row r="315" spans="2:15" ht="18" hidden="1" customHeight="1">
      <c r="B315" s="57"/>
      <c r="C315" s="86"/>
      <c r="D315" s="86"/>
      <c r="E315" s="86"/>
      <c r="F315" s="86"/>
      <c r="G315" s="86"/>
      <c r="H315" s="86"/>
      <c r="I315" s="86"/>
      <c r="J315" s="86"/>
      <c r="K315" s="86"/>
      <c r="L315" s="86"/>
      <c r="M315" s="86"/>
      <c r="O315" s="66"/>
    </row>
    <row r="316" spans="2:15" ht="18" hidden="1" customHeight="1">
      <c r="B316" s="57" t="s">
        <v>304</v>
      </c>
      <c r="C316" s="86">
        <v>15739.293800000001</v>
      </c>
      <c r="D316" s="85">
        <v>2185.5198999999998</v>
      </c>
      <c r="E316" s="85">
        <v>1307.1411000000001</v>
      </c>
      <c r="F316" s="85">
        <v>465.15040000000005</v>
      </c>
      <c r="G316" s="85">
        <v>1153.3728000000001</v>
      </c>
      <c r="H316" s="85">
        <v>19.718</v>
      </c>
      <c r="I316" s="85">
        <v>307.77629999999999</v>
      </c>
      <c r="J316" s="85">
        <v>0</v>
      </c>
      <c r="K316" s="85">
        <v>310.7201</v>
      </c>
      <c r="L316" s="85">
        <v>295.51159999999999</v>
      </c>
      <c r="M316" s="86">
        <v>21784.204100000003</v>
      </c>
      <c r="O316" s="68">
        <f>+M316-SUM(C316:L316)</f>
        <v>9.9999997473787516E-5</v>
      </c>
    </row>
    <row r="317" spans="2:15" ht="18" hidden="1" customHeight="1">
      <c r="B317" s="57"/>
      <c r="C317" s="86"/>
      <c r="D317" s="86"/>
      <c r="E317" s="86"/>
      <c r="F317" s="86"/>
      <c r="G317" s="86"/>
      <c r="H317" s="86"/>
      <c r="I317" s="86"/>
      <c r="J317" s="86"/>
      <c r="K317" s="86"/>
      <c r="L317" s="86"/>
      <c r="M317" s="86"/>
      <c r="O317" s="68"/>
    </row>
    <row r="318" spans="2:15" ht="18" hidden="1" customHeight="1">
      <c r="B318" s="57" t="s">
        <v>305</v>
      </c>
      <c r="C318" s="86">
        <v>17608.036600000003</v>
      </c>
      <c r="D318" s="85">
        <v>2127.6687000000002</v>
      </c>
      <c r="E318" s="85">
        <v>1357.1735000000001</v>
      </c>
      <c r="F318" s="85">
        <v>496.53219999999999</v>
      </c>
      <c r="G318" s="85">
        <v>1319.9972</v>
      </c>
      <c r="H318" s="85">
        <v>37.211300000000001</v>
      </c>
      <c r="I318" s="85">
        <v>417.78209999999996</v>
      </c>
      <c r="J318" s="85">
        <v>0</v>
      </c>
      <c r="K318" s="85">
        <v>322.46350000000001</v>
      </c>
      <c r="L318" s="85">
        <v>561.11599999999999</v>
      </c>
      <c r="M318" s="86">
        <v>24247.981</v>
      </c>
      <c r="O318" s="68">
        <f>+M318-SUM(C318:L318)</f>
        <v>-1.0000000474974513E-4</v>
      </c>
    </row>
    <row r="319" spans="2:15" ht="18" hidden="1" customHeight="1">
      <c r="B319" s="57"/>
      <c r="C319" s="86"/>
      <c r="D319" s="86"/>
      <c r="E319" s="86"/>
      <c r="F319" s="86"/>
      <c r="G319" s="86"/>
      <c r="H319" s="86"/>
      <c r="I319" s="86"/>
      <c r="J319" s="86"/>
      <c r="K319" s="86"/>
      <c r="L319" s="86"/>
      <c r="M319" s="86"/>
      <c r="O319" s="68"/>
    </row>
    <row r="320" spans="2:15" ht="18" hidden="1" customHeight="1">
      <c r="B320" s="57" t="s">
        <v>306</v>
      </c>
      <c r="C320" s="86">
        <v>20459.061100000003</v>
      </c>
      <c r="D320" s="85">
        <v>2443.0230000000001</v>
      </c>
      <c r="E320" s="85">
        <v>1550.5656000000001</v>
      </c>
      <c r="F320" s="85">
        <v>528.2989</v>
      </c>
      <c r="G320" s="85">
        <v>1660.243706</v>
      </c>
      <c r="H320" s="85">
        <v>30.540593999999999</v>
      </c>
      <c r="I320" s="85">
        <v>239.14179999999999</v>
      </c>
      <c r="J320" s="85">
        <v>0</v>
      </c>
      <c r="K320" s="85">
        <v>333.82319999999999</v>
      </c>
      <c r="L320" s="85">
        <v>496.18220000000002</v>
      </c>
      <c r="M320" s="86">
        <v>27740.880100000002</v>
      </c>
      <c r="O320" s="68">
        <f>+M320-SUM(C320:L320)</f>
        <v>0</v>
      </c>
    </row>
    <row r="321" spans="2:15" ht="18" hidden="1" customHeight="1">
      <c r="B321" s="57"/>
      <c r="C321" s="86"/>
      <c r="D321" s="86"/>
      <c r="E321" s="86"/>
      <c r="F321" s="86"/>
      <c r="G321" s="86"/>
      <c r="H321" s="86"/>
      <c r="I321" s="86"/>
      <c r="J321" s="86"/>
      <c r="K321" s="86"/>
      <c r="L321" s="86"/>
      <c r="M321" s="86"/>
      <c r="O321" s="68"/>
    </row>
    <row r="322" spans="2:15" ht="18" hidden="1" customHeight="1">
      <c r="B322" s="57" t="s">
        <v>307</v>
      </c>
      <c r="C322" s="86">
        <v>29719.078399999999</v>
      </c>
      <c r="D322" s="85">
        <v>3180.0987</v>
      </c>
      <c r="E322" s="85">
        <v>1799.3553999999999</v>
      </c>
      <c r="F322" s="85">
        <v>591.58839999999998</v>
      </c>
      <c r="G322" s="85">
        <v>1836.487376</v>
      </c>
      <c r="H322" s="85">
        <v>63.555024000000003</v>
      </c>
      <c r="I322" s="85">
        <v>288.90791500000006</v>
      </c>
      <c r="J322" s="85">
        <v>1.9007850000000002</v>
      </c>
      <c r="K322" s="85">
        <v>317.71179999999998</v>
      </c>
      <c r="L322" s="85">
        <v>887.64569999999992</v>
      </c>
      <c r="M322" s="86">
        <v>38686.329399999995</v>
      </c>
      <c r="O322" s="68">
        <f>+M322-SUM(C322:L322)</f>
        <v>-1.0000000474974513E-4</v>
      </c>
    </row>
    <row r="323" spans="2:15" ht="18" hidden="1" customHeight="1">
      <c r="B323" s="57"/>
      <c r="C323" s="86"/>
      <c r="D323" s="86"/>
      <c r="E323" s="86"/>
      <c r="F323" s="86"/>
      <c r="G323" s="86"/>
      <c r="H323" s="86"/>
      <c r="I323" s="86"/>
      <c r="J323" s="86"/>
      <c r="K323" s="86"/>
      <c r="L323" s="86"/>
      <c r="M323" s="86"/>
      <c r="O323" s="68"/>
    </row>
    <row r="324" spans="2:15" ht="18" hidden="1" customHeight="1">
      <c r="B324" s="57" t="s">
        <v>308</v>
      </c>
      <c r="C324" s="86">
        <v>33173.067600000002</v>
      </c>
      <c r="D324" s="85">
        <v>6901.9746999999998</v>
      </c>
      <c r="E324" s="85">
        <v>2322.5358999999999</v>
      </c>
      <c r="F324" s="85">
        <v>670.06359999999995</v>
      </c>
      <c r="G324" s="85">
        <v>3186.0017820000003</v>
      </c>
      <c r="H324" s="85">
        <v>74.793418000000003</v>
      </c>
      <c r="I324" s="85">
        <v>497.9864</v>
      </c>
      <c r="J324" s="85">
        <v>0</v>
      </c>
      <c r="K324" s="85">
        <v>582.32119999999998</v>
      </c>
      <c r="L324" s="85">
        <v>630.13760000000002</v>
      </c>
      <c r="M324" s="86">
        <v>48038.8822</v>
      </c>
      <c r="O324" s="68">
        <f>+M324-SUM(C324:L324)</f>
        <v>0</v>
      </c>
    </row>
    <row r="325" spans="2:15" ht="18" hidden="1" customHeight="1">
      <c r="B325" s="57"/>
      <c r="C325" s="86"/>
      <c r="D325" s="86"/>
      <c r="E325" s="86"/>
      <c r="F325" s="86"/>
      <c r="G325" s="86"/>
      <c r="H325" s="86"/>
      <c r="I325" s="86"/>
      <c r="J325" s="86"/>
      <c r="K325" s="86"/>
      <c r="L325" s="86"/>
      <c r="M325" s="86"/>
      <c r="O325" s="68"/>
    </row>
    <row r="326" spans="2:15" ht="18" hidden="1" customHeight="1">
      <c r="B326" s="57" t="s">
        <v>311</v>
      </c>
      <c r="C326" s="86">
        <v>44458.085599999999</v>
      </c>
      <c r="D326" s="85">
        <v>6355.8287</v>
      </c>
      <c r="E326" s="85">
        <v>2570.5097999999998</v>
      </c>
      <c r="F326" s="85">
        <v>714.3728000000001</v>
      </c>
      <c r="G326" s="85">
        <v>3690.0936920000004</v>
      </c>
      <c r="H326" s="85">
        <v>150.04050799999999</v>
      </c>
      <c r="I326" s="85">
        <v>780.94389999999999</v>
      </c>
      <c r="J326" s="85">
        <v>0</v>
      </c>
      <c r="K326" s="85">
        <v>622.26909999999998</v>
      </c>
      <c r="L326" s="85">
        <v>784.202</v>
      </c>
      <c r="M326" s="86">
        <v>60126.346100000002</v>
      </c>
      <c r="O326" s="68">
        <f>+M326-SUM(C326:L326)</f>
        <v>0</v>
      </c>
    </row>
    <row r="327" spans="2:15" ht="18" hidden="1" customHeight="1">
      <c r="B327" s="57"/>
      <c r="C327" s="86"/>
      <c r="D327" s="86"/>
      <c r="E327" s="86"/>
      <c r="F327" s="86"/>
      <c r="G327" s="86"/>
      <c r="H327" s="86"/>
      <c r="I327" s="86"/>
      <c r="J327" s="86"/>
      <c r="K327" s="86"/>
      <c r="L327" s="86"/>
      <c r="M327" s="86"/>
      <c r="O327" s="68"/>
    </row>
    <row r="328" spans="2:15" ht="18" hidden="1" customHeight="1">
      <c r="B328" s="55">
        <v>2006</v>
      </c>
      <c r="C328" s="86"/>
      <c r="D328" s="85"/>
      <c r="E328" s="85"/>
      <c r="F328" s="85"/>
      <c r="G328" s="85"/>
      <c r="H328" s="85"/>
      <c r="I328" s="85"/>
      <c r="J328" s="85"/>
      <c r="K328" s="85"/>
      <c r="L328" s="85"/>
      <c r="M328" s="86"/>
      <c r="O328" s="68"/>
    </row>
    <row r="329" spans="2:15" ht="18" hidden="1" customHeight="1">
      <c r="B329" s="57"/>
      <c r="C329" s="86"/>
      <c r="D329" s="85"/>
      <c r="E329" s="85"/>
      <c r="F329" s="85"/>
      <c r="G329" s="85"/>
      <c r="H329" s="85"/>
      <c r="I329" s="85"/>
      <c r="J329" s="85"/>
      <c r="K329" s="85"/>
      <c r="L329" s="85"/>
      <c r="M329" s="86"/>
      <c r="O329" s="68"/>
    </row>
    <row r="330" spans="2:15" ht="18" hidden="1" customHeight="1">
      <c r="B330" s="126" t="s">
        <v>298</v>
      </c>
      <c r="C330" s="86">
        <v>50920.387000000002</v>
      </c>
      <c r="D330" s="85">
        <v>7380.2740999999996</v>
      </c>
      <c r="E330" s="85">
        <v>2898.4112999999998</v>
      </c>
      <c r="F330" s="85">
        <v>849.7586</v>
      </c>
      <c r="G330" s="85">
        <v>4731.0869789999997</v>
      </c>
      <c r="H330" s="85">
        <v>193.70412100000001</v>
      </c>
      <c r="I330" s="85">
        <v>735.00780000000009</v>
      </c>
      <c r="J330" s="85">
        <v>0</v>
      </c>
      <c r="K330" s="85">
        <v>885.59940000000006</v>
      </c>
      <c r="L330" s="85">
        <v>595.28909999999996</v>
      </c>
      <c r="M330" s="86">
        <v>69189.518299999996</v>
      </c>
      <c r="O330" s="68">
        <f>+M330-SUM(C330:L330)</f>
        <v>-1.0000001930166036E-4</v>
      </c>
    </row>
    <row r="331" spans="2:15" ht="18" hidden="1" customHeight="1">
      <c r="B331" s="126"/>
      <c r="C331" s="86"/>
      <c r="D331" s="86"/>
      <c r="E331" s="86"/>
      <c r="F331" s="86"/>
      <c r="G331" s="86"/>
      <c r="H331" s="86"/>
      <c r="I331" s="86"/>
      <c r="J331" s="86"/>
      <c r="K331" s="86"/>
      <c r="L331" s="86"/>
      <c r="M331" s="86"/>
      <c r="O331" s="68">
        <f>+M331-SUM(C331:L331)</f>
        <v>0</v>
      </c>
    </row>
    <row r="332" spans="2:15" ht="18" hidden="1" customHeight="1">
      <c r="B332" s="126" t="s">
        <v>299</v>
      </c>
      <c r="C332" s="86">
        <v>54875.602200000001</v>
      </c>
      <c r="D332" s="85">
        <v>8045.320479</v>
      </c>
      <c r="E332" s="85">
        <v>3812.4425940000001</v>
      </c>
      <c r="F332" s="85">
        <v>1085.515126</v>
      </c>
      <c r="G332" s="85">
        <v>4617.2407010000006</v>
      </c>
      <c r="H332" s="85">
        <v>108.793964</v>
      </c>
      <c r="I332" s="85">
        <v>860.38757099999998</v>
      </c>
      <c r="J332" s="85">
        <v>0</v>
      </c>
      <c r="K332" s="85">
        <v>779.94739200000015</v>
      </c>
      <c r="L332" s="85">
        <v>1383.3539189999999</v>
      </c>
      <c r="M332" s="86">
        <v>75568.603940000001</v>
      </c>
      <c r="O332" s="68">
        <f>+M332-SUM(C332:L332)</f>
        <v>-6.0000020312145352E-6</v>
      </c>
    </row>
    <row r="333" spans="2:15" ht="18" hidden="1" customHeight="1">
      <c r="B333" s="126"/>
      <c r="C333" s="86"/>
      <c r="D333" s="86"/>
      <c r="E333" s="86"/>
      <c r="F333" s="86"/>
      <c r="G333" s="86"/>
      <c r="H333" s="86"/>
      <c r="I333" s="86"/>
      <c r="J333" s="86"/>
      <c r="K333" s="86"/>
      <c r="L333" s="86"/>
      <c r="M333" s="86"/>
      <c r="O333" s="68">
        <f>+M333-SUM(C333:L333)</f>
        <v>0</v>
      </c>
    </row>
    <row r="334" spans="2:15" ht="18" hidden="1" customHeight="1">
      <c r="B334" s="126" t="s">
        <v>300</v>
      </c>
      <c r="C334" s="86">
        <v>59968.214899999999</v>
      </c>
      <c r="D334" s="85">
        <v>8293.6327729999994</v>
      </c>
      <c r="E334" s="85">
        <v>3755.5837200000001</v>
      </c>
      <c r="F334" s="85">
        <v>1258.3493640000002</v>
      </c>
      <c r="G334" s="85">
        <v>6991.0003580000002</v>
      </c>
      <c r="H334" s="85">
        <v>96.652326000000002</v>
      </c>
      <c r="I334" s="85">
        <v>1137.7719999999999</v>
      </c>
      <c r="J334" s="85">
        <v>0</v>
      </c>
      <c r="K334" s="85">
        <v>600.60714899999994</v>
      </c>
      <c r="L334" s="85">
        <v>1487.5017740000001</v>
      </c>
      <c r="M334" s="86">
        <v>83589.314393000008</v>
      </c>
      <c r="O334" s="68">
        <f>+M334-SUM(C334:L334)</f>
        <v>2.9000017093494534E-5</v>
      </c>
    </row>
    <row r="335" spans="2:15" ht="18" hidden="1" customHeight="1">
      <c r="B335" s="126"/>
      <c r="C335" s="86"/>
      <c r="D335" s="86"/>
      <c r="E335" s="86"/>
      <c r="F335" s="86"/>
      <c r="G335" s="86"/>
      <c r="H335" s="86"/>
      <c r="I335" s="86"/>
      <c r="J335" s="86"/>
      <c r="K335" s="86"/>
      <c r="L335" s="86"/>
      <c r="M335" s="86"/>
      <c r="O335" s="68"/>
    </row>
    <row r="336" spans="2:15" ht="18" hidden="1" customHeight="1">
      <c r="B336" s="57" t="s">
        <v>301</v>
      </c>
      <c r="C336" s="86">
        <v>71375.704799999992</v>
      </c>
      <c r="D336" s="85">
        <v>11606.390300000001</v>
      </c>
      <c r="E336" s="85">
        <v>4103.0806000000002</v>
      </c>
      <c r="F336" s="85">
        <v>1378.6020000000001</v>
      </c>
      <c r="G336" s="85">
        <v>8418.6485339999999</v>
      </c>
      <c r="H336" s="85">
        <v>9.1539660000000005</v>
      </c>
      <c r="I336" s="85">
        <v>1174.5434</v>
      </c>
      <c r="J336" s="85">
        <v>0</v>
      </c>
      <c r="K336" s="85">
        <v>939.40599999999995</v>
      </c>
      <c r="L336" s="85">
        <v>1986.0967000000001</v>
      </c>
      <c r="M336" s="86">
        <v>100991.6263</v>
      </c>
      <c r="O336" s="68">
        <f>+M336-SUM(C336:L336)</f>
        <v>0</v>
      </c>
    </row>
    <row r="337" spans="2:15" ht="18" hidden="1" customHeight="1">
      <c r="B337" s="57"/>
      <c r="C337" s="86"/>
      <c r="D337" s="86"/>
      <c r="E337" s="86"/>
      <c r="F337" s="86"/>
      <c r="G337" s="86"/>
      <c r="H337" s="86"/>
      <c r="I337" s="86"/>
      <c r="J337" s="86"/>
      <c r="K337" s="86"/>
      <c r="L337" s="86"/>
      <c r="M337" s="86"/>
      <c r="O337" s="68"/>
    </row>
    <row r="338" spans="2:15" ht="18" hidden="1" customHeight="1">
      <c r="B338" s="57" t="s">
        <v>302</v>
      </c>
      <c r="C338" s="86">
        <v>96868.866399999999</v>
      </c>
      <c r="D338" s="86">
        <v>14550.0406</v>
      </c>
      <c r="E338" s="86">
        <v>5416.0890999999992</v>
      </c>
      <c r="F338" s="86">
        <v>1645.0107</v>
      </c>
      <c r="G338" s="86">
        <v>9783.0609730000015</v>
      </c>
      <c r="H338" s="86">
        <v>9.1438269999999999</v>
      </c>
      <c r="I338" s="86">
        <v>1616.5519999999999</v>
      </c>
      <c r="J338" s="86">
        <v>0</v>
      </c>
      <c r="K338" s="86">
        <v>888.89790000000005</v>
      </c>
      <c r="L338" s="86">
        <v>3581.3919999999998</v>
      </c>
      <c r="M338" s="86">
        <v>134359.0534</v>
      </c>
      <c r="O338" s="68">
        <f>+M338-SUM(C338:L338)</f>
        <v>-1.0000000474974513E-4</v>
      </c>
    </row>
    <row r="339" spans="2:15" ht="18" hidden="1" customHeight="1">
      <c r="B339" s="57"/>
      <c r="C339" s="86"/>
      <c r="D339" s="86"/>
      <c r="E339" s="86"/>
      <c r="F339" s="86"/>
      <c r="G339" s="86"/>
      <c r="H339" s="86"/>
      <c r="I339" s="86"/>
      <c r="J339" s="86"/>
      <c r="K339" s="86"/>
      <c r="L339" s="86"/>
      <c r="M339" s="86"/>
      <c r="O339" s="68"/>
    </row>
    <row r="340" spans="2:15" ht="18" hidden="1" customHeight="1">
      <c r="B340" s="57" t="s">
        <v>303</v>
      </c>
      <c r="C340" s="86">
        <v>113252.37479999999</v>
      </c>
      <c r="D340" s="85">
        <v>18799.412800000002</v>
      </c>
      <c r="E340" s="85">
        <v>6266.4134000000004</v>
      </c>
      <c r="F340" s="85">
        <v>417.54349999999999</v>
      </c>
      <c r="G340" s="85">
        <v>17963.246234000002</v>
      </c>
      <c r="H340" s="85">
        <v>9.0678660000000004</v>
      </c>
      <c r="I340" s="85">
        <v>1038.501</v>
      </c>
      <c r="J340" s="85">
        <v>0</v>
      </c>
      <c r="K340" s="85">
        <v>290.83780000000002</v>
      </c>
      <c r="L340" s="85">
        <v>4673.4547999999995</v>
      </c>
      <c r="M340" s="86">
        <v>162710.85209999999</v>
      </c>
      <c r="O340" s="68">
        <f>+M340-SUM(C340:L340)</f>
        <v>-9.9999975645914674E-5</v>
      </c>
    </row>
    <row r="341" spans="2:15" ht="18" hidden="1" customHeight="1">
      <c r="B341" s="57"/>
      <c r="C341" s="86"/>
      <c r="D341" s="86"/>
      <c r="E341" s="86"/>
      <c r="F341" s="86"/>
      <c r="G341" s="86"/>
      <c r="H341" s="86"/>
      <c r="I341" s="86"/>
      <c r="J341" s="86"/>
      <c r="K341" s="86"/>
      <c r="L341" s="86"/>
      <c r="M341" s="86"/>
      <c r="O341" s="68"/>
    </row>
    <row r="342" spans="2:15" ht="18" hidden="1" customHeight="1">
      <c r="B342" s="57" t="s">
        <v>304</v>
      </c>
      <c r="C342" s="86">
        <v>152496.65969999999</v>
      </c>
      <c r="D342" s="85">
        <v>23494.3714</v>
      </c>
      <c r="E342" s="85">
        <v>9608.7911000000004</v>
      </c>
      <c r="F342" s="85">
        <v>2982.0386000000003</v>
      </c>
      <c r="G342" s="85">
        <v>16784.658330999999</v>
      </c>
      <c r="H342" s="85">
        <v>9.1063690000000008</v>
      </c>
      <c r="I342" s="85">
        <v>3853.8112000000001</v>
      </c>
      <c r="J342" s="85">
        <v>0</v>
      </c>
      <c r="K342" s="85">
        <v>2090.1223999999997</v>
      </c>
      <c r="L342" s="85">
        <v>4807.7777000000006</v>
      </c>
      <c r="M342" s="86">
        <v>216127.33680000002</v>
      </c>
      <c r="O342" s="68">
        <f>+M342-SUM(C342:L342)</f>
        <v>0</v>
      </c>
    </row>
    <row r="343" spans="2:15" ht="18" hidden="1" customHeight="1">
      <c r="B343" s="57"/>
      <c r="C343" s="86"/>
      <c r="D343" s="85"/>
      <c r="E343" s="85"/>
      <c r="F343" s="85"/>
      <c r="G343" s="85"/>
      <c r="H343" s="85"/>
      <c r="I343" s="85"/>
      <c r="J343" s="85"/>
      <c r="K343" s="85"/>
      <c r="L343" s="85"/>
      <c r="M343" s="86"/>
      <c r="O343" s="68"/>
    </row>
    <row r="344" spans="2:15" ht="18" hidden="1" customHeight="1">
      <c r="B344" s="57" t="s">
        <v>305</v>
      </c>
      <c r="C344" s="86">
        <v>247987.20000000001</v>
      </c>
      <c r="D344" s="85">
        <v>45370.400000000001</v>
      </c>
      <c r="E344" s="85">
        <v>1848.3</v>
      </c>
      <c r="F344" s="85">
        <v>4197</v>
      </c>
      <c r="G344" s="85">
        <f>15566.1-H344</f>
        <v>15081.1</v>
      </c>
      <c r="H344" s="85">
        <f>20.5+464.5</f>
        <v>485</v>
      </c>
      <c r="I344" s="85">
        <v>1153.9000000000001</v>
      </c>
      <c r="J344" s="85">
        <v>0</v>
      </c>
      <c r="K344" s="85">
        <v>2585.9</v>
      </c>
      <c r="L344" s="85">
        <v>1131.0999999999999</v>
      </c>
      <c r="M344" s="86">
        <v>319839.8</v>
      </c>
      <c r="O344" s="68">
        <f>+M344-SUM(C344:L344)</f>
        <v>-0.1000000000349246</v>
      </c>
    </row>
    <row r="345" spans="2:15" ht="18" hidden="1" customHeight="1">
      <c r="B345" s="57"/>
      <c r="C345" s="86"/>
      <c r="D345" s="85"/>
      <c r="E345" s="85"/>
      <c r="F345" s="85"/>
      <c r="G345" s="85"/>
      <c r="H345" s="85"/>
      <c r="I345" s="85"/>
      <c r="J345" s="85"/>
      <c r="K345" s="85"/>
      <c r="L345" s="85"/>
      <c r="M345" s="86"/>
      <c r="O345" s="68"/>
    </row>
    <row r="346" spans="2:15" ht="18" hidden="1" customHeight="1">
      <c r="B346" s="57" t="s">
        <v>306</v>
      </c>
      <c r="C346" s="86">
        <v>329404.79999999999</v>
      </c>
      <c r="D346" s="85">
        <v>69892.2</v>
      </c>
      <c r="E346" s="85">
        <v>13647</v>
      </c>
      <c r="F346" s="85">
        <v>4565.5</v>
      </c>
      <c r="G346" s="85">
        <f>17573.5-H346</f>
        <v>17113.099999999999</v>
      </c>
      <c r="H346" s="85">
        <f>20.2+440.2</f>
        <v>460.4</v>
      </c>
      <c r="I346" s="85">
        <f>2781-J346</f>
        <v>2781</v>
      </c>
      <c r="J346" s="85">
        <v>0</v>
      </c>
      <c r="K346" s="85">
        <v>1540.8</v>
      </c>
      <c r="L346" s="85">
        <v>8643</v>
      </c>
      <c r="M346" s="86">
        <v>448047.9</v>
      </c>
      <c r="O346" s="68">
        <f>+M346-SUM(C346:L346)</f>
        <v>0.1000000000349246</v>
      </c>
    </row>
    <row r="347" spans="2:15" ht="18" hidden="1" customHeight="1">
      <c r="B347" s="57"/>
      <c r="C347" s="86"/>
      <c r="D347" s="85"/>
      <c r="E347" s="85"/>
      <c r="F347" s="85"/>
      <c r="G347" s="85"/>
      <c r="H347" s="85"/>
      <c r="I347" s="85"/>
      <c r="J347" s="85"/>
      <c r="K347" s="85"/>
      <c r="L347" s="85"/>
      <c r="M347" s="86"/>
      <c r="O347" s="68"/>
    </row>
    <row r="348" spans="2:15" ht="18" hidden="1" customHeight="1">
      <c r="B348" s="57" t="s">
        <v>307</v>
      </c>
      <c r="C348" s="86">
        <v>417394.1</v>
      </c>
      <c r="D348" s="85">
        <v>76676.899999999994</v>
      </c>
      <c r="E348" s="85">
        <v>17236.7</v>
      </c>
      <c r="F348" s="85">
        <v>5518.1</v>
      </c>
      <c r="G348" s="85">
        <f>72937.9-H348</f>
        <v>72468.599999999991</v>
      </c>
      <c r="H348" s="85">
        <v>469.3</v>
      </c>
      <c r="I348" s="85">
        <f>4730.6-J348</f>
        <v>4730.6000000000004</v>
      </c>
      <c r="J348" s="85">
        <v>0</v>
      </c>
      <c r="K348" s="85">
        <v>1767.3</v>
      </c>
      <c r="L348" s="85">
        <v>9621.2000000000007</v>
      </c>
      <c r="M348" s="86">
        <v>605882.80000000005</v>
      </c>
      <c r="O348" s="68">
        <f>+M348-SUM(C348:L348)</f>
        <v>0</v>
      </c>
    </row>
    <row r="349" spans="2:15" ht="18" hidden="1" customHeight="1">
      <c r="B349" s="57"/>
      <c r="C349" s="86"/>
      <c r="D349" s="85"/>
      <c r="E349" s="85"/>
      <c r="F349" s="85"/>
      <c r="G349" s="85"/>
      <c r="H349" s="85"/>
      <c r="I349" s="85"/>
      <c r="J349" s="85"/>
      <c r="K349" s="85"/>
      <c r="L349" s="85"/>
      <c r="M349" s="86"/>
      <c r="O349" s="68"/>
    </row>
    <row r="350" spans="2:15" ht="18" hidden="1" customHeight="1">
      <c r="B350" s="57" t="s">
        <v>308</v>
      </c>
      <c r="C350" s="86">
        <v>515075.8</v>
      </c>
      <c r="D350" s="86">
        <v>89475.199999999997</v>
      </c>
      <c r="E350" s="86">
        <v>24578.1</v>
      </c>
      <c r="F350" s="86">
        <v>6919.1</v>
      </c>
      <c r="G350" s="86">
        <f>86419.9-H350</f>
        <v>86025.7</v>
      </c>
      <c r="H350" s="86">
        <v>394.2</v>
      </c>
      <c r="I350" s="86">
        <f>10561.1-J350</f>
        <v>10561.1</v>
      </c>
      <c r="J350" s="86">
        <v>0</v>
      </c>
      <c r="K350" s="86">
        <v>4246.8999999999996</v>
      </c>
      <c r="L350" s="86">
        <v>17446.7</v>
      </c>
      <c r="M350" s="86">
        <v>754722.8</v>
      </c>
      <c r="O350" s="68">
        <f>+M350-SUM(C350:L350)</f>
        <v>0</v>
      </c>
    </row>
    <row r="351" spans="2:15" ht="18" hidden="1" customHeight="1">
      <c r="B351" s="57"/>
      <c r="C351" s="86"/>
      <c r="D351" s="86"/>
      <c r="E351" s="86"/>
      <c r="F351" s="86"/>
      <c r="G351" s="86"/>
      <c r="H351" s="86"/>
      <c r="I351" s="86"/>
      <c r="J351" s="86"/>
      <c r="K351" s="86"/>
      <c r="L351" s="86"/>
      <c r="M351" s="86"/>
      <c r="O351" s="68"/>
    </row>
    <row r="352" spans="2:15" ht="18" hidden="1" customHeight="1">
      <c r="B352" s="57" t="s">
        <v>311</v>
      </c>
      <c r="C352" s="86">
        <v>628980.5</v>
      </c>
      <c r="D352" s="86">
        <v>102915.5</v>
      </c>
      <c r="E352" s="86">
        <v>26989.7</v>
      </c>
      <c r="F352" s="86">
        <v>7644.3</v>
      </c>
      <c r="G352" s="86">
        <f>111666.2-H352</f>
        <v>105484.09999999999</v>
      </c>
      <c r="H352" s="86">
        <v>6182.1</v>
      </c>
      <c r="I352" s="86">
        <f>13735.7-J352</f>
        <v>13735.7</v>
      </c>
      <c r="J352" s="86">
        <v>0</v>
      </c>
      <c r="K352" s="86">
        <v>43.7</v>
      </c>
      <c r="L352" s="86">
        <v>26174.799999999999</v>
      </c>
      <c r="M352" s="86">
        <v>918150.3</v>
      </c>
      <c r="O352" s="68">
        <f>+M352-SUM(C352:L352)</f>
        <v>-9.9999999860301614E-2</v>
      </c>
    </row>
    <row r="353" spans="2:15" ht="18" hidden="1" customHeight="1">
      <c r="B353" s="57"/>
      <c r="C353" s="86"/>
      <c r="D353" s="86"/>
      <c r="E353" s="86"/>
      <c r="F353" s="86"/>
      <c r="G353" s="86"/>
      <c r="H353" s="86"/>
      <c r="I353" s="86"/>
      <c r="J353" s="86"/>
      <c r="K353" s="86"/>
      <c r="L353" s="86"/>
      <c r="M353" s="86"/>
      <c r="O353" s="68"/>
    </row>
    <row r="354" spans="2:15" ht="18" hidden="1" customHeight="1">
      <c r="B354" s="55">
        <v>2007</v>
      </c>
      <c r="C354" s="86"/>
      <c r="D354" s="86"/>
      <c r="E354" s="86"/>
      <c r="F354" s="86"/>
      <c r="G354" s="86"/>
      <c r="H354" s="86"/>
      <c r="I354" s="86"/>
      <c r="J354" s="86"/>
      <c r="K354" s="86"/>
      <c r="L354" s="86"/>
      <c r="M354" s="86"/>
      <c r="O354" s="68"/>
    </row>
    <row r="355" spans="2:15" ht="18" hidden="1" customHeight="1">
      <c r="B355" s="57"/>
      <c r="C355" s="86"/>
      <c r="D355" s="86"/>
      <c r="E355" s="86"/>
      <c r="F355" s="86"/>
      <c r="G355" s="86"/>
      <c r="H355" s="86"/>
      <c r="I355" s="86"/>
      <c r="J355" s="86"/>
      <c r="K355" s="86"/>
      <c r="L355" s="86"/>
      <c r="M355" s="86"/>
      <c r="O355" s="68"/>
    </row>
    <row r="356" spans="2:15" ht="18" hidden="1" customHeight="1">
      <c r="B356" s="126" t="s">
        <v>298</v>
      </c>
      <c r="C356" s="86">
        <v>813326.73770727997</v>
      </c>
      <c r="D356" s="86">
        <v>164435.91155627999</v>
      </c>
      <c r="E356" s="86">
        <v>40979.257888</v>
      </c>
      <c r="F356" s="86">
        <v>11383.7</v>
      </c>
      <c r="G356" s="86">
        <f>113008.055-H356</f>
        <v>112697.55499999999</v>
      </c>
      <c r="H356" s="86">
        <v>310.5</v>
      </c>
      <c r="I356" s="86">
        <f>32545.866-J356</f>
        <v>32122.266000000003</v>
      </c>
      <c r="J356" s="86">
        <v>423.6</v>
      </c>
      <c r="K356" s="86">
        <v>870.022246</v>
      </c>
      <c r="L356" s="86">
        <v>36528.247565999998</v>
      </c>
      <c r="M356" s="86">
        <v>1213077.77208856</v>
      </c>
      <c r="O356" s="68">
        <f>+M354-SUM(C354:L354)</f>
        <v>0</v>
      </c>
    </row>
    <row r="357" spans="2:15" ht="18" hidden="1" customHeight="1">
      <c r="B357" s="126"/>
      <c r="C357" s="86"/>
      <c r="D357" s="86"/>
      <c r="E357" s="86"/>
      <c r="F357" s="86"/>
      <c r="G357" s="86"/>
      <c r="H357" s="86"/>
      <c r="I357" s="86"/>
      <c r="J357" s="86"/>
      <c r="K357" s="86"/>
      <c r="L357" s="86"/>
      <c r="M357" s="86"/>
      <c r="O357" s="68"/>
    </row>
    <row r="358" spans="2:15" ht="18" hidden="1" customHeight="1">
      <c r="B358" s="126" t="s">
        <v>299</v>
      </c>
      <c r="C358" s="86">
        <v>1207773.5</v>
      </c>
      <c r="D358" s="86">
        <v>172778.8</v>
      </c>
      <c r="E358" s="86">
        <v>58693.1</v>
      </c>
      <c r="F358" s="86">
        <v>15146.9</v>
      </c>
      <c r="G358" s="86">
        <f>152426.2-H358</f>
        <v>151937.54</v>
      </c>
      <c r="H358" s="86">
        <f>428.26+60.4</f>
        <v>488.65999999999997</v>
      </c>
      <c r="I358" s="86">
        <f>53430-J358</f>
        <v>53009.11</v>
      </c>
      <c r="J358" s="86">
        <v>420.89</v>
      </c>
      <c r="K358" s="86">
        <v>491.8</v>
      </c>
      <c r="L358" s="86">
        <v>40982.9</v>
      </c>
      <c r="M358" s="86">
        <v>1701723.1</v>
      </c>
      <c r="O358" s="68">
        <f>+M358-SUM(C358:L358)</f>
        <v>-9.9999999860301614E-2</v>
      </c>
    </row>
    <row r="359" spans="2:15" ht="18" hidden="1" customHeight="1">
      <c r="B359" s="126"/>
      <c r="C359" s="86"/>
      <c r="D359" s="86"/>
      <c r="E359" s="86"/>
      <c r="F359" s="86"/>
      <c r="G359" s="86"/>
      <c r="H359" s="86"/>
      <c r="I359" s="86"/>
      <c r="J359" s="86"/>
      <c r="K359" s="86"/>
      <c r="L359" s="86"/>
      <c r="M359" s="86"/>
      <c r="O359" s="68"/>
    </row>
    <row r="360" spans="2:15" ht="18" hidden="1" customHeight="1">
      <c r="B360" s="126" t="s">
        <v>300</v>
      </c>
      <c r="C360" s="86">
        <v>2186928.5</v>
      </c>
      <c r="D360" s="86">
        <v>296259.90000000002</v>
      </c>
      <c r="E360" s="86">
        <v>147693.79999999999</v>
      </c>
      <c r="F360" s="86">
        <v>30938.3</v>
      </c>
      <c r="G360" s="86">
        <f>238495.4-H360</f>
        <v>238029.114</v>
      </c>
      <c r="H360" s="86">
        <f>25+69.6+371.686</f>
        <v>466.28599999999994</v>
      </c>
      <c r="I360" s="86">
        <f>102928.6-J360</f>
        <v>102507.705</v>
      </c>
      <c r="J360" s="86">
        <v>420.89499999999998</v>
      </c>
      <c r="K360" s="86">
        <v>113.1</v>
      </c>
      <c r="L360" s="86">
        <v>43621.3</v>
      </c>
      <c r="M360" s="86">
        <v>3046978.9</v>
      </c>
      <c r="O360" s="68">
        <f>+M360-SUM(C360:L360)</f>
        <v>0</v>
      </c>
    </row>
    <row r="361" spans="2:15" ht="18" hidden="1" customHeight="1">
      <c r="B361" s="126"/>
      <c r="C361" s="86"/>
      <c r="D361" s="86"/>
      <c r="E361" s="86"/>
      <c r="F361" s="86"/>
      <c r="G361" s="86"/>
      <c r="H361" s="86"/>
      <c r="I361" s="86"/>
      <c r="J361" s="86"/>
      <c r="K361" s="86"/>
      <c r="L361" s="86"/>
      <c r="M361" s="86"/>
      <c r="O361" s="68"/>
    </row>
    <row r="362" spans="2:15" ht="18" hidden="1" customHeight="1">
      <c r="B362" s="126" t="s">
        <v>301</v>
      </c>
      <c r="C362" s="86">
        <v>3511128.7</v>
      </c>
      <c r="D362" s="86">
        <v>426911</v>
      </c>
      <c r="E362" s="86">
        <v>155725.6</v>
      </c>
      <c r="F362" s="86">
        <v>38428.199999999997</v>
      </c>
      <c r="G362" s="86">
        <f>343361.4-H362</f>
        <v>342698.64</v>
      </c>
      <c r="H362" s="86">
        <v>662.76</v>
      </c>
      <c r="I362" s="86">
        <f>154848.4-J362</f>
        <v>154427.505</v>
      </c>
      <c r="J362" s="86">
        <v>420.89499999999998</v>
      </c>
      <c r="K362" s="86">
        <v>3638.7</v>
      </c>
      <c r="L362" s="86">
        <v>34155.9</v>
      </c>
      <c r="M362" s="86">
        <v>4668198</v>
      </c>
      <c r="O362" s="68">
        <f>+M362-SUM(C362:L362)</f>
        <v>9.999999962747097E-2</v>
      </c>
    </row>
    <row r="363" spans="2:15" ht="18" hidden="1" customHeight="1">
      <c r="B363" s="126"/>
      <c r="C363" s="86"/>
      <c r="D363" s="86"/>
      <c r="E363" s="86"/>
      <c r="F363" s="86"/>
      <c r="G363" s="86"/>
      <c r="H363" s="86"/>
      <c r="I363" s="86"/>
      <c r="J363" s="86"/>
      <c r="K363" s="86"/>
      <c r="L363" s="86"/>
      <c r="M363" s="86"/>
      <c r="O363" s="68"/>
    </row>
    <row r="364" spans="2:15" ht="18" hidden="1" customHeight="1">
      <c r="B364" s="57" t="s">
        <v>302</v>
      </c>
      <c r="C364" s="86">
        <v>8276328.5</v>
      </c>
      <c r="D364" s="86">
        <v>1245955.8999999999</v>
      </c>
      <c r="E364" s="86">
        <v>326015.8</v>
      </c>
      <c r="F364" s="86">
        <v>54478.8</v>
      </c>
      <c r="G364" s="86">
        <f>351318.2-H364</f>
        <v>350713.16899999999</v>
      </c>
      <c r="H364" s="86">
        <f>25.088+244.148+335.795</f>
        <v>605.03099999999995</v>
      </c>
      <c r="I364" s="86">
        <f>156644.9-J364</f>
        <v>156224.005</v>
      </c>
      <c r="J364" s="86">
        <v>420.89499999999998</v>
      </c>
      <c r="K364" s="86">
        <v>580</v>
      </c>
      <c r="L364" s="86">
        <v>55963.3</v>
      </c>
      <c r="M364" s="86">
        <v>10467285.4</v>
      </c>
      <c r="O364" s="68">
        <f>+M364-SUM(C364:L364)</f>
        <v>0</v>
      </c>
    </row>
    <row r="365" spans="2:15" ht="18" hidden="1" customHeight="1">
      <c r="B365" s="57"/>
      <c r="C365" s="86"/>
      <c r="D365" s="86"/>
      <c r="E365" s="86"/>
      <c r="F365" s="86"/>
      <c r="G365" s="86"/>
      <c r="H365" s="86"/>
      <c r="I365" s="86"/>
      <c r="J365" s="86"/>
      <c r="K365" s="86"/>
      <c r="L365" s="86"/>
      <c r="M365" s="86"/>
      <c r="O365" s="68"/>
    </row>
    <row r="366" spans="2:15" ht="18" hidden="1" customHeight="1">
      <c r="B366" s="57" t="s">
        <v>303</v>
      </c>
      <c r="C366" s="86">
        <v>18598734.5</v>
      </c>
      <c r="D366" s="86">
        <v>2543095.7999999998</v>
      </c>
      <c r="E366" s="86">
        <v>911335.1</v>
      </c>
      <c r="F366" s="86">
        <v>181910.5</v>
      </c>
      <c r="G366" s="86">
        <f>1128088.6-H366</f>
        <v>1127411.2550000001</v>
      </c>
      <c r="H366" s="86">
        <v>677.34500000000003</v>
      </c>
      <c r="I366" s="86">
        <f>623567.6-J366</f>
        <v>623146.70499999996</v>
      </c>
      <c r="J366" s="86">
        <v>420.89499999999998</v>
      </c>
      <c r="K366" s="86">
        <v>2941.8</v>
      </c>
      <c r="L366" s="86">
        <v>149444.5</v>
      </c>
      <c r="M366" s="86">
        <v>24139118.399999999</v>
      </c>
      <c r="O366" s="68">
        <f>+M366-SUM(C366:L366)</f>
        <v>0</v>
      </c>
    </row>
    <row r="367" spans="2:15" ht="18" hidden="1" customHeight="1">
      <c r="B367" s="57"/>
      <c r="C367" s="86"/>
      <c r="D367" s="86"/>
      <c r="E367" s="86"/>
      <c r="F367" s="86"/>
      <c r="G367" s="86"/>
      <c r="H367" s="86"/>
      <c r="I367" s="86"/>
      <c r="J367" s="86"/>
      <c r="K367" s="86"/>
      <c r="L367" s="86"/>
      <c r="M367" s="86"/>
      <c r="O367" s="68"/>
    </row>
    <row r="368" spans="2:15" ht="18" hidden="1" customHeight="1">
      <c r="B368" s="57" t="s">
        <v>304</v>
      </c>
      <c r="C368" s="86">
        <v>28134584.899999999</v>
      </c>
      <c r="D368" s="86">
        <v>4432521</v>
      </c>
      <c r="E368" s="86">
        <v>1454571.7</v>
      </c>
      <c r="F368" s="86">
        <v>279051.59999999998</v>
      </c>
      <c r="G368" s="86">
        <f>2848823.6-H368</f>
        <v>2847994.8960000002</v>
      </c>
      <c r="H368" s="86">
        <f>23.158+441.966+363.58</f>
        <v>828.70399999999995</v>
      </c>
      <c r="I368" s="86">
        <f>1689196.4-J368</f>
        <v>1688775.5049999999</v>
      </c>
      <c r="J368" s="86">
        <v>420.89499999999998</v>
      </c>
      <c r="K368" s="86">
        <v>33799.1</v>
      </c>
      <c r="L368" s="86">
        <v>222436.4</v>
      </c>
      <c r="M368" s="86">
        <v>39094984.700000003</v>
      </c>
      <c r="O368" s="68">
        <f>+M368-SUM(C368:L368)</f>
        <v>0</v>
      </c>
    </row>
    <row r="369" spans="2:15" ht="18" hidden="1" customHeight="1">
      <c r="B369" s="57"/>
      <c r="C369" s="86"/>
      <c r="D369" s="86"/>
      <c r="E369" s="86"/>
      <c r="F369" s="86"/>
      <c r="G369" s="86"/>
      <c r="H369" s="86"/>
      <c r="I369" s="86"/>
      <c r="J369" s="86"/>
      <c r="K369" s="86"/>
      <c r="L369" s="86"/>
      <c r="M369" s="86"/>
      <c r="O369" s="68"/>
    </row>
    <row r="370" spans="2:15" ht="18" hidden="1" customHeight="1">
      <c r="B370" s="57" t="s">
        <v>305</v>
      </c>
      <c r="C370" s="86">
        <v>41754966.100000001</v>
      </c>
      <c r="D370" s="86">
        <v>9363852.1999999993</v>
      </c>
      <c r="E370" s="86">
        <v>2206897.9</v>
      </c>
      <c r="F370" s="86">
        <v>374021.8</v>
      </c>
      <c r="G370" s="86">
        <f>2466266.5-H370</f>
        <v>2465636.0529999998</v>
      </c>
      <c r="H370" s="85">
        <f>302.477+304.3+23.67</f>
        <v>630.447</v>
      </c>
      <c r="I370" s="86">
        <f>2957191.2-J370</f>
        <v>2957166.2</v>
      </c>
      <c r="J370" s="86">
        <v>25</v>
      </c>
      <c r="K370" s="86">
        <v>44033.8</v>
      </c>
      <c r="L370" s="86">
        <v>446859.9</v>
      </c>
      <c r="M370" s="86">
        <v>59614089.299999997</v>
      </c>
      <c r="O370" s="68">
        <f>+M370-SUM(C370:L370)</f>
        <v>-9.9999994039535522E-2</v>
      </c>
    </row>
    <row r="371" spans="2:15" ht="18" hidden="1" customHeight="1">
      <c r="B371" s="57"/>
      <c r="C371" s="86"/>
      <c r="D371" s="86"/>
      <c r="E371" s="86"/>
      <c r="F371" s="86"/>
      <c r="G371" s="86"/>
      <c r="H371" s="85"/>
      <c r="I371" s="86"/>
      <c r="J371" s="86"/>
      <c r="K371" s="86"/>
      <c r="L371" s="86"/>
      <c r="M371" s="86"/>
      <c r="O371" s="68"/>
    </row>
    <row r="372" spans="2:15" ht="18" hidden="1" customHeight="1">
      <c r="B372" s="57" t="s">
        <v>306</v>
      </c>
      <c r="C372" s="86">
        <v>70578508.099999994</v>
      </c>
      <c r="D372" s="86">
        <v>10329733.4</v>
      </c>
      <c r="E372" s="86">
        <v>3543894.8</v>
      </c>
      <c r="F372" s="86">
        <v>503921.6</v>
      </c>
      <c r="G372" s="86">
        <f>5487569.6-H372</f>
        <v>5403509.3999999994</v>
      </c>
      <c r="H372" s="85">
        <f>8746.2+38709.5+36604.5</f>
        <v>84060.2</v>
      </c>
      <c r="I372" s="86">
        <f>3671817.6-J372</f>
        <v>3671817.6</v>
      </c>
      <c r="J372" s="86">
        <v>0</v>
      </c>
      <c r="K372" s="86">
        <v>37661.9</v>
      </c>
      <c r="L372" s="86">
        <v>828444.9</v>
      </c>
      <c r="M372" s="86">
        <v>94981551.900000006</v>
      </c>
      <c r="O372" s="68">
        <f>+M372-SUM(C372:L372)</f>
        <v>0</v>
      </c>
    </row>
    <row r="373" spans="2:15" ht="18" hidden="1" customHeight="1">
      <c r="B373" s="57"/>
      <c r="C373" s="86"/>
      <c r="D373" s="86"/>
      <c r="E373" s="86"/>
      <c r="F373" s="86"/>
      <c r="G373" s="86"/>
      <c r="H373" s="85"/>
      <c r="I373" s="86"/>
      <c r="J373" s="86"/>
      <c r="K373" s="86"/>
      <c r="L373" s="86"/>
      <c r="M373" s="86"/>
      <c r="O373" s="68"/>
    </row>
    <row r="374" spans="2:15" ht="18" hidden="1" customHeight="1">
      <c r="B374" s="57" t="s">
        <v>307</v>
      </c>
      <c r="C374" s="86">
        <v>111918521.40000001</v>
      </c>
      <c r="D374" s="86">
        <v>17890372.5</v>
      </c>
      <c r="E374" s="86">
        <v>6803747.4000000004</v>
      </c>
      <c r="F374" s="86">
        <v>1300215.3999999999</v>
      </c>
      <c r="G374" s="86">
        <f>12683084.9-H374</f>
        <v>12682460.535</v>
      </c>
      <c r="H374" s="85">
        <f>175.465+448.9</f>
        <v>624.36500000000001</v>
      </c>
      <c r="I374" s="86">
        <f>4923161-J374</f>
        <v>4923161</v>
      </c>
      <c r="J374" s="86">
        <v>0</v>
      </c>
      <c r="K374" s="86">
        <v>115051.5</v>
      </c>
      <c r="L374" s="86">
        <v>1109437.8</v>
      </c>
      <c r="M374" s="86">
        <v>156743591.90000001</v>
      </c>
      <c r="O374" s="68">
        <f>+M374-SUM(C374:L374)</f>
        <v>0</v>
      </c>
    </row>
    <row r="375" spans="2:15" ht="18" hidden="1" customHeight="1">
      <c r="B375" s="57"/>
      <c r="C375" s="86"/>
      <c r="D375" s="86"/>
      <c r="E375" s="86"/>
      <c r="F375" s="86"/>
      <c r="G375" s="86"/>
      <c r="H375" s="85"/>
      <c r="I375" s="86"/>
      <c r="J375" s="86"/>
      <c r="K375" s="86"/>
      <c r="L375" s="86"/>
      <c r="M375" s="86"/>
      <c r="O375" s="68"/>
    </row>
    <row r="376" spans="2:15" ht="18" hidden="1" customHeight="1">
      <c r="B376" s="57" t="s">
        <v>308</v>
      </c>
      <c r="C376" s="86">
        <v>298594450.80000001</v>
      </c>
      <c r="D376" s="86">
        <v>49024670.100000001</v>
      </c>
      <c r="E376" s="86">
        <v>20301518.600000001</v>
      </c>
      <c r="F376" s="86">
        <v>2244731.2000000002</v>
      </c>
      <c r="G376" s="86">
        <f>18385150.2-H376</f>
        <v>18337500.02</v>
      </c>
      <c r="H376" s="85">
        <f>2304.39+8182.6+37163.19</f>
        <v>47650.18</v>
      </c>
      <c r="I376" s="86">
        <f>15947352.9-J376</f>
        <v>15919745.200000001</v>
      </c>
      <c r="J376" s="86">
        <v>27607.7</v>
      </c>
      <c r="K376" s="86">
        <v>427233.4</v>
      </c>
      <c r="L376" s="86">
        <v>2444227.4</v>
      </c>
      <c r="M376" s="86">
        <v>407369334.5</v>
      </c>
      <c r="O376" s="68">
        <f>+M376-SUM(C376:L376)</f>
        <v>-9.9999964237213135E-2</v>
      </c>
    </row>
    <row r="377" spans="2:15" ht="18" hidden="1" customHeight="1">
      <c r="B377" s="57"/>
      <c r="C377" s="86"/>
      <c r="D377" s="86"/>
      <c r="E377" s="86"/>
      <c r="F377" s="86"/>
      <c r="G377" s="86"/>
      <c r="H377" s="85"/>
      <c r="I377" s="86"/>
      <c r="J377" s="86"/>
      <c r="K377" s="86"/>
      <c r="L377" s="86"/>
      <c r="M377" s="86"/>
      <c r="O377" s="68"/>
    </row>
    <row r="378" spans="2:15" ht="18" hidden="1" customHeight="1">
      <c r="B378" s="57" t="s">
        <v>311</v>
      </c>
      <c r="C378" s="86">
        <v>419953614.30000001</v>
      </c>
      <c r="D378" s="86">
        <v>86900864.799999997</v>
      </c>
      <c r="E378" s="86">
        <v>37733564.100000001</v>
      </c>
      <c r="F378" s="86">
        <v>4181679.8</v>
      </c>
      <c r="G378" s="86">
        <f>40677489.3-H378</f>
        <v>40577234</v>
      </c>
      <c r="H378" s="85">
        <f>2299.8+37582.6+60372.9</f>
        <v>100255.3</v>
      </c>
      <c r="I378" s="86">
        <v>31108157.600000001</v>
      </c>
      <c r="J378" s="86">
        <v>0</v>
      </c>
      <c r="K378" s="86">
        <v>1371449.4</v>
      </c>
      <c r="L378" s="86">
        <v>2387714.6</v>
      </c>
      <c r="M378" s="86">
        <v>624314533.79999995</v>
      </c>
      <c r="O378" s="68">
        <f>+M378-SUM(C378:L378)</f>
        <v>-0.10000002384185791</v>
      </c>
    </row>
    <row r="379" spans="2:15" ht="18" hidden="1" customHeight="1">
      <c r="B379" s="57"/>
      <c r="C379" s="86"/>
      <c r="D379" s="86"/>
      <c r="E379" s="86"/>
      <c r="F379" s="86"/>
      <c r="G379" s="86"/>
      <c r="H379" s="85"/>
      <c r="I379" s="86"/>
      <c r="J379" s="86"/>
      <c r="K379" s="86"/>
      <c r="L379" s="86"/>
      <c r="M379" s="86"/>
      <c r="O379" s="68"/>
    </row>
    <row r="380" spans="2:15" ht="18" customHeight="1" thickTop="1">
      <c r="B380" s="55">
        <v>2009</v>
      </c>
      <c r="C380" s="86"/>
      <c r="D380" s="86"/>
      <c r="E380" s="86"/>
      <c r="F380" s="86"/>
      <c r="G380" s="86"/>
      <c r="H380" s="85"/>
      <c r="I380" s="86"/>
      <c r="J380" s="86"/>
      <c r="K380" s="86"/>
      <c r="L380" s="86"/>
      <c r="M380" s="86"/>
      <c r="O380" s="68"/>
    </row>
    <row r="381" spans="2:15" ht="18" customHeight="1">
      <c r="B381" s="57"/>
      <c r="C381" s="86"/>
      <c r="D381" s="86"/>
      <c r="E381" s="86"/>
      <c r="F381" s="86"/>
      <c r="G381" s="86"/>
      <c r="H381" s="85"/>
      <c r="I381" s="86"/>
      <c r="J381" s="86"/>
      <c r="K381" s="86"/>
      <c r="L381" s="86"/>
      <c r="M381" s="86"/>
      <c r="O381" s="68"/>
    </row>
    <row r="382" spans="2:15" ht="18" customHeight="1">
      <c r="B382" s="126" t="s">
        <v>298</v>
      </c>
      <c r="C382" s="97">
        <v>255594.3</v>
      </c>
      <c r="D382" s="86">
        <v>41026.9</v>
      </c>
      <c r="E382" s="86">
        <v>30.8</v>
      </c>
      <c r="F382" s="86">
        <v>6.8</v>
      </c>
      <c r="G382" s="86">
        <f>81.1-H382</f>
        <v>81.099999991282758</v>
      </c>
      <c r="H382" s="86">
        <f>((4906.15+24817.8+57448.4)/10000000000)/1000</f>
        <v>8.7172350000000017E-9</v>
      </c>
      <c r="I382" s="86">
        <f>823.6-J382</f>
        <v>638.68100000000004</v>
      </c>
      <c r="J382" s="68">
        <v>184.91900000000001</v>
      </c>
      <c r="K382" s="86">
        <v>5.8568940000000004E-5</v>
      </c>
      <c r="L382" s="86">
        <v>9.5521153999999998E-4</v>
      </c>
      <c r="M382" s="86">
        <v>297563.5</v>
      </c>
      <c r="O382" s="68">
        <f>+M382-SUM(C382:L382)</f>
        <v>-1.0137804783880711E-3</v>
      </c>
    </row>
    <row r="383" spans="2:15" ht="18" customHeight="1">
      <c r="B383" s="126"/>
      <c r="C383" s="97"/>
      <c r="D383" s="86"/>
      <c r="E383" s="86"/>
      <c r="F383" s="86"/>
      <c r="G383" s="86"/>
      <c r="H383" s="86"/>
      <c r="I383" s="86"/>
      <c r="J383" s="68"/>
      <c r="K383" s="86"/>
      <c r="L383" s="86"/>
      <c r="M383" s="86"/>
      <c r="O383" s="68"/>
    </row>
    <row r="384" spans="2:15" ht="18" customHeight="1">
      <c r="B384" s="126" t="s">
        <v>299</v>
      </c>
      <c r="C384" s="97">
        <v>216331.4</v>
      </c>
      <c r="D384" s="86">
        <v>83862.3</v>
      </c>
      <c r="E384" s="86">
        <v>583.9</v>
      </c>
      <c r="F384" s="86">
        <v>10.7</v>
      </c>
      <c r="G384" s="86">
        <f>81382.3-H384</f>
        <v>76.889999999999418</v>
      </c>
      <c r="H384" s="86">
        <v>81305.41</v>
      </c>
      <c r="I384" s="86">
        <f>1008.7-J384</f>
        <v>643.3900000000001</v>
      </c>
      <c r="J384" s="68">
        <v>365.31</v>
      </c>
      <c r="K384" s="86">
        <v>4.9860249E-4</v>
      </c>
      <c r="L384" s="86">
        <v>2.2000000000000002</v>
      </c>
      <c r="M384" s="86">
        <v>383181.5</v>
      </c>
      <c r="O384" s="68">
        <f>+M384-SUM(C384:L384)</f>
        <v>-4.9860263243317604E-4</v>
      </c>
    </row>
    <row r="385" spans="2:15" ht="18" customHeight="1">
      <c r="B385" s="126"/>
      <c r="C385" s="97"/>
      <c r="D385" s="86"/>
      <c r="E385" s="86"/>
      <c r="F385" s="86"/>
      <c r="G385" s="86"/>
      <c r="H385" s="86"/>
      <c r="I385" s="86"/>
      <c r="J385" s="68"/>
      <c r="K385" s="86"/>
      <c r="L385" s="86"/>
      <c r="M385" s="86"/>
      <c r="O385" s="68"/>
    </row>
    <row r="386" spans="2:15" ht="18" customHeight="1">
      <c r="B386" s="126" t="s">
        <v>300</v>
      </c>
      <c r="C386" s="97">
        <v>241580.3</v>
      </c>
      <c r="D386" s="86">
        <v>71828.399999999994</v>
      </c>
      <c r="E386" s="86">
        <v>6454.1</v>
      </c>
      <c r="F386" s="86">
        <v>2987.9</v>
      </c>
      <c r="G386" s="86">
        <f>72612.1-H386</f>
        <v>1933.7350000000006</v>
      </c>
      <c r="H386" s="86">
        <v>70678.365000000005</v>
      </c>
      <c r="I386" s="86">
        <f>1361.2-J386</f>
        <v>1361.2</v>
      </c>
      <c r="J386" s="68">
        <v>0</v>
      </c>
      <c r="K386" s="86">
        <v>1.01274067E-3</v>
      </c>
      <c r="L386" s="86">
        <v>0.3</v>
      </c>
      <c r="M386" s="86">
        <v>396824.4</v>
      </c>
      <c r="O386" s="68">
        <f>+M386-SUM(C386:L386)</f>
        <v>9.8987259436398745E-2</v>
      </c>
    </row>
    <row r="387" spans="2:15" ht="18" customHeight="1">
      <c r="B387" s="126"/>
      <c r="C387" s="97"/>
      <c r="D387" s="86"/>
      <c r="E387" s="86"/>
      <c r="F387" s="86"/>
      <c r="G387" s="86"/>
      <c r="H387" s="86"/>
      <c r="I387" s="86"/>
      <c r="J387" s="68"/>
      <c r="K387" s="86"/>
      <c r="L387" s="86"/>
      <c r="M387" s="86"/>
      <c r="O387" s="68"/>
    </row>
    <row r="388" spans="2:15" ht="18" customHeight="1">
      <c r="B388" s="126" t="s">
        <v>301</v>
      </c>
      <c r="C388" s="97">
        <v>359529.6</v>
      </c>
      <c r="D388" s="86">
        <v>114469.8</v>
      </c>
      <c r="E388" s="86">
        <v>9960.6</v>
      </c>
      <c r="F388" s="86">
        <v>4542.5</v>
      </c>
      <c r="G388" s="86">
        <f>2755.2-H388</f>
        <v>2512.2799999999997</v>
      </c>
      <c r="H388" s="86">
        <v>242.92</v>
      </c>
      <c r="I388" s="86">
        <f>1019.6-J388</f>
        <v>810.67900000000009</v>
      </c>
      <c r="J388" s="68">
        <v>208.92099999999999</v>
      </c>
      <c r="K388" s="86">
        <v>2.1334758100000004E-3</v>
      </c>
      <c r="L388" s="86">
        <v>4.0860808199999999E-3</v>
      </c>
      <c r="M388" s="86">
        <v>492277.2</v>
      </c>
      <c r="O388" s="68">
        <f>+M388-SUM(C388:L388)</f>
        <v>-0.10621955653186888</v>
      </c>
    </row>
    <row r="389" spans="2:15" ht="18" customHeight="1">
      <c r="B389" s="126"/>
      <c r="C389" s="97"/>
      <c r="D389" s="86"/>
      <c r="E389" s="86"/>
      <c r="F389" s="86"/>
      <c r="G389" s="86"/>
      <c r="H389" s="86"/>
      <c r="I389" s="86"/>
      <c r="J389" s="68"/>
      <c r="K389" s="86"/>
      <c r="L389" s="86"/>
      <c r="M389" s="86"/>
      <c r="O389" s="68"/>
    </row>
    <row r="390" spans="2:15" ht="18" customHeight="1">
      <c r="B390" s="126" t="s">
        <v>302</v>
      </c>
      <c r="C390" s="97">
        <v>407837.3</v>
      </c>
      <c r="D390" s="86">
        <v>96469.1</v>
      </c>
      <c r="E390" s="86">
        <v>11035.1</v>
      </c>
      <c r="F390" s="86">
        <v>5467.4</v>
      </c>
      <c r="G390" s="86">
        <f>10234.5-H390</f>
        <v>3138.4539999999997</v>
      </c>
      <c r="H390" s="86">
        <v>7096.0460000000003</v>
      </c>
      <c r="I390" s="86">
        <f>5119-J390</f>
        <v>4662.7070000000003</v>
      </c>
      <c r="J390" s="68">
        <v>456.29300000000001</v>
      </c>
      <c r="K390" s="86">
        <v>1.3735096740000001E-2</v>
      </c>
      <c r="L390" s="86">
        <v>3.0317407989999996E-2</v>
      </c>
      <c r="M390" s="86">
        <v>536162.4</v>
      </c>
      <c r="O390" s="68">
        <f>+M390-SUM(C390:L390)</f>
        <v>-4.4052504817955196E-2</v>
      </c>
    </row>
    <row r="391" spans="2:15" ht="18" customHeight="1">
      <c r="B391" s="126"/>
      <c r="C391" s="97"/>
      <c r="D391" s="86"/>
      <c r="E391" s="86"/>
      <c r="F391" s="86"/>
      <c r="G391" s="85"/>
      <c r="H391" s="85"/>
      <c r="I391" s="86"/>
      <c r="J391" s="86"/>
      <c r="K391" s="86"/>
      <c r="L391" s="86"/>
      <c r="M391" s="86"/>
      <c r="O391" s="68"/>
    </row>
    <row r="392" spans="2:15" ht="18" customHeight="1">
      <c r="B392" s="126" t="s">
        <v>303</v>
      </c>
      <c r="C392" s="97">
        <v>459520</v>
      </c>
      <c r="D392" s="86">
        <v>182878.4</v>
      </c>
      <c r="E392" s="86">
        <v>13382.1</v>
      </c>
      <c r="F392" s="86">
        <v>6749.5</v>
      </c>
      <c r="G392" s="85">
        <f>19136.2-H392</f>
        <v>19136.2</v>
      </c>
      <c r="H392" s="85"/>
      <c r="I392" s="86">
        <f>13948.5-J392</f>
        <v>13948.5</v>
      </c>
      <c r="J392" s="86"/>
      <c r="K392" s="86">
        <v>0</v>
      </c>
      <c r="L392" s="86">
        <v>0</v>
      </c>
      <c r="M392" s="86">
        <v>695614.7</v>
      </c>
      <c r="O392" s="68">
        <f>+M392-SUM(C392:L392)</f>
        <v>0</v>
      </c>
    </row>
    <row r="393" spans="2:15" ht="18" hidden="1" customHeight="1">
      <c r="B393" s="126"/>
      <c r="C393" s="97"/>
      <c r="D393" s="86"/>
      <c r="E393" s="86"/>
      <c r="F393" s="86"/>
      <c r="G393" s="85"/>
      <c r="H393" s="85"/>
      <c r="I393" s="86"/>
      <c r="J393" s="86"/>
      <c r="K393" s="86"/>
      <c r="L393" s="86"/>
      <c r="M393" s="86"/>
      <c r="O393" s="68"/>
    </row>
    <row r="394" spans="2:15" ht="18" hidden="1" customHeight="1">
      <c r="B394" s="126"/>
      <c r="C394" s="97"/>
      <c r="D394" s="86"/>
      <c r="E394" s="86"/>
      <c r="F394" s="86"/>
      <c r="G394" s="85"/>
      <c r="H394" s="85"/>
      <c r="I394" s="86"/>
      <c r="J394" s="86"/>
      <c r="K394" s="86"/>
      <c r="L394" s="86"/>
      <c r="M394" s="86"/>
      <c r="O394" s="68">
        <f>+M394-SUM(C394:L394)</f>
        <v>0</v>
      </c>
    </row>
    <row r="395" spans="2:15" ht="18" hidden="1" customHeight="1">
      <c r="B395" s="126"/>
      <c r="C395" s="105"/>
      <c r="D395" s="86"/>
      <c r="E395" s="86"/>
      <c r="F395" s="86"/>
      <c r="G395" s="85"/>
      <c r="H395" s="85"/>
      <c r="I395" s="86"/>
      <c r="J395" s="86"/>
      <c r="K395" s="86"/>
      <c r="L395" s="86"/>
      <c r="M395" s="86"/>
      <c r="O395" s="68"/>
    </row>
    <row r="396" spans="2:15" ht="18" hidden="1" customHeight="1">
      <c r="B396" s="126"/>
      <c r="C396" s="97"/>
      <c r="D396" s="86"/>
      <c r="E396" s="86"/>
      <c r="F396" s="86"/>
      <c r="G396" s="85"/>
      <c r="H396" s="85"/>
      <c r="I396" s="86"/>
      <c r="J396" s="86"/>
      <c r="K396" s="86"/>
      <c r="L396" s="86"/>
      <c r="M396" s="86"/>
      <c r="O396" s="68">
        <f>+M396-SUM(C396:L396)</f>
        <v>0</v>
      </c>
    </row>
    <row r="397" spans="2:15" ht="18" hidden="1" customHeight="1">
      <c r="B397" s="126"/>
      <c r="C397" s="97"/>
      <c r="D397" s="86"/>
      <c r="E397" s="86"/>
      <c r="F397" s="86"/>
      <c r="G397" s="85"/>
      <c r="H397" s="85"/>
      <c r="I397" s="86"/>
      <c r="J397" s="86"/>
      <c r="K397" s="86"/>
      <c r="L397" s="86"/>
      <c r="M397" s="86"/>
      <c r="O397" s="68"/>
    </row>
    <row r="398" spans="2:15" ht="18" hidden="1" customHeight="1">
      <c r="B398" s="126"/>
      <c r="C398" s="86"/>
      <c r="D398" s="86"/>
      <c r="E398" s="86"/>
      <c r="F398" s="86"/>
      <c r="G398" s="85"/>
      <c r="H398" s="85"/>
      <c r="I398" s="86"/>
      <c r="J398" s="86"/>
      <c r="K398" s="86"/>
      <c r="L398" s="86"/>
      <c r="M398" s="86"/>
      <c r="O398" s="68">
        <f>+M398-SUM(C398:L398)</f>
        <v>0</v>
      </c>
    </row>
    <row r="399" spans="2:15" ht="18" hidden="1" customHeight="1">
      <c r="B399" s="126"/>
      <c r="C399" s="86"/>
      <c r="D399" s="86"/>
      <c r="E399" s="86"/>
      <c r="F399" s="86"/>
      <c r="G399" s="85"/>
      <c r="H399" s="85"/>
      <c r="I399" s="86"/>
      <c r="J399" s="86"/>
      <c r="K399" s="86"/>
      <c r="L399" s="86"/>
      <c r="M399" s="86"/>
      <c r="O399" s="68"/>
    </row>
    <row r="400" spans="2:15" ht="18" hidden="1" customHeight="1">
      <c r="B400" s="52"/>
      <c r="C400" s="86"/>
      <c r="D400" s="86"/>
      <c r="E400" s="86"/>
      <c r="F400" s="86"/>
      <c r="G400" s="85"/>
      <c r="H400" s="85"/>
      <c r="I400" s="86"/>
      <c r="J400" s="86"/>
      <c r="K400" s="86"/>
      <c r="L400" s="86"/>
      <c r="M400" s="86"/>
      <c r="O400" s="68">
        <f>+M400-SUM(C400:L400)</f>
        <v>0</v>
      </c>
    </row>
    <row r="401" spans="2:15" ht="18" hidden="1" customHeight="1">
      <c r="B401" s="52"/>
      <c r="C401" s="86"/>
      <c r="D401" s="86"/>
      <c r="E401" s="86"/>
      <c r="F401" s="86"/>
      <c r="G401" s="85"/>
      <c r="H401" s="85"/>
      <c r="I401" s="86"/>
      <c r="J401" s="86"/>
      <c r="K401" s="86"/>
      <c r="L401" s="86"/>
      <c r="M401" s="86"/>
      <c r="O401" s="68"/>
    </row>
    <row r="402" spans="2:15" ht="18" hidden="1" customHeight="1">
      <c r="B402" s="52"/>
      <c r="C402" s="86"/>
      <c r="D402" s="86"/>
      <c r="E402" s="86"/>
      <c r="F402" s="86"/>
      <c r="G402" s="85"/>
      <c r="H402" s="85"/>
      <c r="I402" s="86"/>
      <c r="J402" s="86"/>
      <c r="K402" s="86"/>
      <c r="L402" s="86"/>
      <c r="M402" s="86"/>
      <c r="O402" s="68">
        <f>+M402-SUM(C402:L402)</f>
        <v>0</v>
      </c>
    </row>
    <row r="403" spans="2:15" ht="18" hidden="1" customHeight="1">
      <c r="B403" s="52"/>
      <c r="C403" s="86"/>
      <c r="D403" s="86"/>
      <c r="E403" s="86"/>
      <c r="F403" s="86"/>
      <c r="G403" s="85"/>
      <c r="H403" s="85"/>
      <c r="I403" s="86"/>
      <c r="J403" s="86"/>
      <c r="K403" s="86"/>
      <c r="L403" s="86"/>
      <c r="M403" s="86"/>
      <c r="O403" s="68"/>
    </row>
    <row r="404" spans="2:15" ht="18" hidden="1" customHeight="1">
      <c r="B404" s="52" t="s">
        <v>311</v>
      </c>
      <c r="C404" s="86">
        <v>2.16411764999676E+17</v>
      </c>
      <c r="D404" s="86">
        <v>3.58641557331576E+16</v>
      </c>
      <c r="E404" s="86">
        <v>4033183640661450</v>
      </c>
      <c r="F404" s="86">
        <v>127233310785341</v>
      </c>
      <c r="G404" s="85">
        <f>2552434895698810-H404</f>
        <v>2552434895692779.5</v>
      </c>
      <c r="H404" s="85">
        <f>790.9+437.4+4802.3</f>
        <v>6030.6</v>
      </c>
      <c r="I404" s="86">
        <f>11211383309762000-J404</f>
        <v>1.1211383309762E+16</v>
      </c>
      <c r="J404" s="86">
        <v>0</v>
      </c>
      <c r="K404" s="86">
        <v>1789419885219480</v>
      </c>
      <c r="L404" s="86">
        <v>166507541948549</v>
      </c>
      <c r="M404" s="86">
        <v>2.7215608331691002E+17</v>
      </c>
      <c r="O404" s="68">
        <f>+M404-SUM(C404:L404)</f>
        <v>800</v>
      </c>
    </row>
    <row r="405" spans="2:15" ht="18" customHeight="1" thickBot="1">
      <c r="B405" s="127"/>
      <c r="C405" s="127"/>
      <c r="D405" s="127"/>
      <c r="E405" s="127"/>
      <c r="F405" s="127"/>
      <c r="G405" s="127"/>
      <c r="H405" s="127"/>
      <c r="I405" s="127"/>
      <c r="J405" s="127"/>
      <c r="K405" s="127"/>
      <c r="L405" s="127"/>
      <c r="M405" s="127"/>
      <c r="O405" s="68"/>
    </row>
    <row r="406" spans="2:15" ht="18" customHeight="1" thickTop="1">
      <c r="B406" s="60"/>
      <c r="C406" s="128"/>
      <c r="D406" s="128"/>
      <c r="E406" s="128"/>
      <c r="F406" s="128"/>
      <c r="G406" s="129"/>
      <c r="H406" s="128"/>
      <c r="I406" s="128"/>
      <c r="J406" s="128"/>
      <c r="K406" s="129"/>
      <c r="L406" s="128"/>
      <c r="M406" s="128"/>
    </row>
    <row r="407" spans="2:15" ht="18" customHeight="1">
      <c r="B407" s="130" t="s">
        <v>323</v>
      </c>
      <c r="C407" s="68"/>
      <c r="D407" s="68"/>
      <c r="E407" s="68"/>
      <c r="F407" s="68"/>
      <c r="G407" s="64"/>
      <c r="H407" s="68"/>
      <c r="I407" s="68"/>
      <c r="J407" s="68"/>
      <c r="K407" s="64"/>
      <c r="L407" s="68"/>
      <c r="M407" s="68"/>
    </row>
    <row r="408" spans="2:15" ht="18" customHeight="1">
      <c r="B408" s="130" t="s">
        <v>324</v>
      </c>
      <c r="C408" s="131"/>
      <c r="D408" s="131"/>
      <c r="E408" s="131"/>
      <c r="F408" s="131"/>
      <c r="G408" s="114"/>
      <c r="H408" s="132"/>
      <c r="I408" s="114"/>
      <c r="J408" s="114"/>
      <c r="K408" s="114"/>
      <c r="L408" s="114"/>
      <c r="M408" s="114"/>
    </row>
    <row r="409" spans="2:15" ht="14.1" customHeight="1">
      <c r="B409" s="133"/>
      <c r="C409" s="131"/>
      <c r="D409" s="131"/>
      <c r="E409" s="131"/>
      <c r="F409" s="131"/>
      <c r="G409" s="114"/>
      <c r="H409" s="114"/>
      <c r="I409" s="114"/>
      <c r="J409" s="114"/>
      <c r="K409" s="114"/>
      <c r="L409" s="114"/>
      <c r="M409" s="114"/>
    </row>
    <row r="410" spans="2:15" ht="14.1" customHeight="1">
      <c r="B410" s="70"/>
      <c r="C410" s="114"/>
      <c r="D410" s="114"/>
      <c r="E410" s="114"/>
      <c r="F410" s="114"/>
      <c r="G410" s="114"/>
      <c r="H410" s="114">
        <f>+(5867042559+315013739)/1000000</f>
        <v>6182.0562980000004</v>
      </c>
      <c r="I410" s="114"/>
      <c r="J410" s="114"/>
      <c r="K410" s="114"/>
      <c r="L410" s="114"/>
      <c r="M410" s="114"/>
    </row>
    <row r="411" spans="2:15" ht="14.1" customHeight="1">
      <c r="B411" s="62"/>
      <c r="C411" s="114"/>
      <c r="D411" s="114"/>
      <c r="E411" s="114"/>
      <c r="F411" s="114"/>
      <c r="G411" s="114"/>
      <c r="H411" s="114"/>
      <c r="I411" s="114"/>
      <c r="J411" s="114"/>
      <c r="K411" s="114"/>
      <c r="L411" s="85"/>
      <c r="M411" s="114"/>
    </row>
    <row r="412" spans="2:15" ht="15" customHeight="1">
      <c r="B412" s="115"/>
      <c r="C412" s="114"/>
      <c r="D412" s="114"/>
      <c r="E412" s="114"/>
      <c r="F412" s="114"/>
      <c r="G412" s="114"/>
      <c r="H412" s="114"/>
      <c r="I412" s="134">
        <v>460382202</v>
      </c>
      <c r="J412" s="114"/>
      <c r="K412" s="114"/>
      <c r="L412" s="114"/>
      <c r="M412" s="114"/>
    </row>
    <row r="413" spans="2:15" ht="15" customHeight="1">
      <c r="C413" s="114"/>
      <c r="D413" s="114"/>
      <c r="E413" s="114"/>
      <c r="F413" s="114"/>
      <c r="G413" s="114"/>
      <c r="H413" s="114"/>
      <c r="I413" s="134">
        <v>469264873</v>
      </c>
      <c r="J413" s="114"/>
      <c r="K413" s="114"/>
      <c r="L413" s="114"/>
      <c r="M413" s="114"/>
    </row>
    <row r="414" spans="2:15" ht="15" customHeight="1">
      <c r="C414" s="114"/>
      <c r="D414" s="114"/>
      <c r="E414" s="114"/>
      <c r="F414" s="114"/>
      <c r="G414" s="114"/>
      <c r="H414" s="114"/>
      <c r="I414" s="134">
        <v>394220031</v>
      </c>
      <c r="J414" s="114"/>
      <c r="K414" s="114"/>
      <c r="L414" s="114"/>
      <c r="M414" s="114"/>
    </row>
    <row r="415" spans="2:15" ht="15" customHeight="1">
      <c r="C415" s="114"/>
      <c r="D415" s="114"/>
      <c r="E415" s="114"/>
      <c r="F415" s="114"/>
      <c r="G415" s="114"/>
      <c r="H415" s="114"/>
      <c r="I415" s="114"/>
      <c r="J415" s="114"/>
      <c r="K415" s="114"/>
      <c r="L415" s="114"/>
      <c r="M415" s="114"/>
    </row>
    <row r="416" spans="2:15" ht="15" customHeight="1">
      <c r="C416" s="114"/>
      <c r="D416" s="114"/>
      <c r="E416" s="114"/>
      <c r="F416" s="114"/>
      <c r="G416" s="114"/>
      <c r="H416" s="114"/>
      <c r="I416" s="114"/>
      <c r="J416" s="114"/>
      <c r="K416" s="114"/>
      <c r="L416" s="114"/>
      <c r="M416" s="114"/>
    </row>
    <row r="417" spans="3:13" ht="15" customHeight="1">
      <c r="C417" s="114"/>
      <c r="D417" s="114"/>
      <c r="E417" s="114"/>
      <c r="F417" s="114"/>
      <c r="G417" s="114"/>
      <c r="H417" s="114"/>
      <c r="I417" s="114"/>
      <c r="J417" s="114"/>
      <c r="K417" s="114"/>
      <c r="L417" s="114"/>
      <c r="M417" s="114"/>
    </row>
    <row r="418" spans="3:13" ht="15" customHeight="1">
      <c r="C418" s="135"/>
      <c r="D418" s="135"/>
      <c r="E418" s="135"/>
      <c r="F418" s="135"/>
      <c r="G418" s="135"/>
      <c r="H418" s="135"/>
      <c r="I418" s="135"/>
      <c r="J418" s="135"/>
      <c r="K418" s="135"/>
      <c r="L418" s="135"/>
      <c r="M418" s="135"/>
    </row>
    <row r="419" spans="3:13" ht="12.75" customHeight="1">
      <c r="C419" s="135"/>
      <c r="D419" s="135"/>
      <c r="E419" s="135"/>
      <c r="F419" s="135"/>
      <c r="G419" s="135"/>
      <c r="H419" s="135"/>
      <c r="I419" s="135"/>
      <c r="J419" s="135"/>
      <c r="K419" s="135"/>
      <c r="L419" s="135"/>
      <c r="M419" s="135"/>
    </row>
    <row r="420" spans="3:13" ht="12.75" customHeight="1">
      <c r="C420" s="135"/>
      <c r="D420" s="135"/>
      <c r="E420" s="135"/>
      <c r="F420" s="135"/>
      <c r="G420" s="135"/>
      <c r="H420" s="135"/>
      <c r="I420" s="135"/>
      <c r="J420" s="135"/>
      <c r="K420" s="135"/>
      <c r="L420" s="135"/>
      <c r="M420" s="135"/>
    </row>
    <row r="421" spans="3:13" ht="12.75" customHeight="1">
      <c r="C421" s="135"/>
      <c r="D421" s="135"/>
      <c r="E421" s="135"/>
      <c r="F421" s="135"/>
      <c r="G421" s="135"/>
      <c r="H421" s="135"/>
      <c r="I421" s="135"/>
      <c r="J421" s="135"/>
      <c r="K421" s="135"/>
      <c r="L421" s="135"/>
      <c r="M421" s="135"/>
    </row>
    <row r="422" spans="3:13" ht="12.75" customHeight="1">
      <c r="C422" s="135"/>
      <c r="D422" s="135"/>
      <c r="E422" s="135"/>
      <c r="F422" s="135"/>
      <c r="G422" s="135"/>
      <c r="H422" s="135"/>
      <c r="I422" s="135"/>
      <c r="J422" s="135"/>
      <c r="K422" s="135"/>
      <c r="L422" s="135"/>
      <c r="M422" s="135"/>
    </row>
    <row r="423" spans="3:13" ht="12.75" customHeight="1">
      <c r="C423" s="135"/>
      <c r="D423" s="135"/>
      <c r="E423" s="135"/>
      <c r="F423" s="135"/>
      <c r="G423" s="135"/>
      <c r="H423" s="135"/>
      <c r="I423" s="135"/>
      <c r="J423" s="135"/>
      <c r="K423" s="135"/>
      <c r="L423" s="135"/>
      <c r="M423" s="135"/>
    </row>
    <row r="424" spans="3:13" ht="12.75" customHeight="1">
      <c r="C424" s="135"/>
      <c r="D424" s="135"/>
      <c r="E424" s="135"/>
      <c r="F424" s="135"/>
      <c r="G424" s="135"/>
      <c r="H424" s="135"/>
      <c r="I424" s="135"/>
      <c r="J424" s="135"/>
      <c r="K424" s="135"/>
      <c r="L424" s="135"/>
      <c r="M424" s="135"/>
    </row>
    <row r="425" spans="3:13" ht="12.75" customHeight="1">
      <c r="C425" s="135"/>
      <c r="D425" s="135"/>
      <c r="E425" s="135"/>
      <c r="F425" s="135"/>
      <c r="G425" s="135"/>
      <c r="H425" s="135"/>
      <c r="I425" s="135"/>
      <c r="J425" s="135"/>
      <c r="K425" s="135"/>
      <c r="L425" s="135"/>
      <c r="M425" s="135"/>
    </row>
    <row r="426" spans="3:13" ht="12.75" customHeight="1">
      <c r="C426" s="135"/>
      <c r="D426" s="135"/>
      <c r="E426" s="135"/>
      <c r="F426" s="135"/>
      <c r="G426" s="135"/>
      <c r="H426" s="135"/>
      <c r="I426" s="135"/>
      <c r="J426" s="135"/>
      <c r="K426" s="135"/>
      <c r="L426" s="135"/>
      <c r="M426" s="135"/>
    </row>
    <row r="427" spans="3:13" ht="12.75" customHeight="1">
      <c r="C427" s="135"/>
      <c r="D427" s="135"/>
      <c r="E427" s="135"/>
      <c r="F427" s="135"/>
      <c r="G427" s="135"/>
      <c r="H427" s="135"/>
      <c r="I427" s="135"/>
      <c r="J427" s="135"/>
      <c r="K427" s="135"/>
      <c r="L427" s="135"/>
      <c r="M427" s="135"/>
    </row>
    <row r="428" spans="3:13" ht="12.75" customHeight="1">
      <c r="C428" s="135"/>
      <c r="D428" s="135"/>
      <c r="E428" s="135"/>
      <c r="F428" s="135"/>
      <c r="G428" s="135"/>
      <c r="H428" s="135"/>
      <c r="I428" s="135"/>
      <c r="J428" s="135"/>
      <c r="K428" s="135"/>
      <c r="L428" s="135"/>
      <c r="M428" s="135"/>
    </row>
    <row r="429" spans="3:13">
      <c r="C429" s="135"/>
      <c r="D429" s="135"/>
      <c r="E429" s="135"/>
      <c r="F429" s="135"/>
      <c r="G429" s="135"/>
      <c r="H429" s="135"/>
      <c r="I429" s="135"/>
      <c r="J429" s="135"/>
      <c r="K429" s="135"/>
      <c r="L429" s="135"/>
      <c r="M429" s="135"/>
    </row>
    <row r="430" spans="3:13">
      <c r="C430" s="135"/>
      <c r="D430" s="135"/>
      <c r="E430" s="135"/>
      <c r="F430" s="135"/>
      <c r="G430" s="135"/>
      <c r="H430" s="135"/>
      <c r="I430" s="135"/>
      <c r="J430" s="135"/>
      <c r="K430" s="135"/>
      <c r="L430" s="135"/>
      <c r="M430" s="135"/>
    </row>
    <row r="431" spans="3:13">
      <c r="C431" s="135"/>
      <c r="D431" s="135"/>
      <c r="E431" s="135"/>
      <c r="F431" s="135"/>
      <c r="G431" s="135"/>
      <c r="H431" s="135"/>
      <c r="I431" s="135"/>
      <c r="J431" s="135"/>
      <c r="K431" s="135"/>
      <c r="L431" s="135"/>
      <c r="M431" s="135"/>
    </row>
    <row r="432" spans="3:13">
      <c r="C432" s="136"/>
      <c r="D432" s="65"/>
      <c r="E432" s="65"/>
      <c r="F432" s="65"/>
      <c r="G432" s="65"/>
      <c r="H432" s="65"/>
      <c r="I432" s="65"/>
      <c r="J432" s="65"/>
      <c r="K432" s="65"/>
      <c r="L432" s="65"/>
      <c r="M432" s="65"/>
    </row>
    <row r="433" spans="3:13">
      <c r="C433" s="136"/>
      <c r="D433" s="65"/>
      <c r="E433" s="65"/>
      <c r="F433" s="65"/>
      <c r="G433" s="65"/>
      <c r="H433" s="65"/>
      <c r="I433" s="65"/>
      <c r="J433" s="65"/>
      <c r="K433" s="65"/>
      <c r="L433" s="65"/>
      <c r="M433" s="65"/>
    </row>
    <row r="434" spans="3:13">
      <c r="C434" s="65"/>
      <c r="D434" s="65"/>
      <c r="E434" s="65"/>
      <c r="F434" s="65"/>
      <c r="G434" s="65"/>
      <c r="H434" s="65"/>
      <c r="I434" s="65"/>
      <c r="J434" s="65"/>
      <c r="K434" s="65"/>
      <c r="L434" s="65"/>
      <c r="M434" s="65"/>
    </row>
    <row r="435" spans="3:13">
      <c r="C435" s="65"/>
      <c r="D435" s="65"/>
      <c r="E435" s="65"/>
      <c r="F435" s="65"/>
      <c r="G435" s="65"/>
      <c r="H435" s="65"/>
      <c r="I435" s="65"/>
      <c r="J435" s="65"/>
      <c r="K435" s="65"/>
      <c r="L435" s="65"/>
      <c r="M435" s="65"/>
    </row>
    <row r="436" spans="3:13">
      <c r="C436" s="65"/>
      <c r="D436" s="65"/>
      <c r="E436" s="65"/>
      <c r="F436" s="65"/>
      <c r="G436" s="65"/>
      <c r="H436" s="65"/>
      <c r="I436" s="65"/>
      <c r="J436" s="65"/>
      <c r="K436" s="65"/>
      <c r="L436" s="65"/>
      <c r="M436" s="65"/>
    </row>
    <row r="437" spans="3:13">
      <c r="C437" s="65"/>
      <c r="D437" s="65"/>
      <c r="E437" s="65"/>
      <c r="F437" s="65"/>
      <c r="G437" s="65"/>
      <c r="H437" s="65"/>
      <c r="I437" s="65"/>
      <c r="J437" s="65"/>
      <c r="K437" s="65"/>
      <c r="L437" s="65"/>
      <c r="M437" s="65"/>
    </row>
    <row r="438" spans="3:13">
      <c r="C438" s="65"/>
      <c r="D438" s="65"/>
      <c r="E438" s="65"/>
      <c r="F438" s="65"/>
      <c r="G438" s="65"/>
      <c r="H438" s="65"/>
      <c r="I438" s="65"/>
      <c r="J438" s="65"/>
      <c r="K438" s="65"/>
      <c r="L438" s="65"/>
      <c r="M438" s="65"/>
    </row>
    <row r="439" spans="3:13">
      <c r="C439" s="65"/>
      <c r="D439" s="65"/>
      <c r="E439" s="65"/>
      <c r="F439" s="65"/>
      <c r="G439" s="65"/>
      <c r="H439" s="65"/>
      <c r="I439" s="65"/>
      <c r="J439" s="65"/>
      <c r="K439" s="65"/>
      <c r="L439" s="65"/>
      <c r="M439" s="65"/>
    </row>
    <row r="440" spans="3:13">
      <c r="C440" s="65"/>
      <c r="D440" s="65"/>
      <c r="E440" s="65"/>
      <c r="F440" s="65"/>
      <c r="G440" s="65"/>
      <c r="H440" s="65"/>
      <c r="I440" s="65"/>
      <c r="J440" s="65"/>
      <c r="K440" s="65"/>
      <c r="L440" s="65"/>
      <c r="M440" s="65"/>
    </row>
    <row r="441" spans="3:13">
      <c r="C441" s="65"/>
      <c r="D441" s="65"/>
      <c r="E441" s="65"/>
      <c r="F441" s="65"/>
      <c r="G441" s="65"/>
      <c r="H441" s="65"/>
      <c r="I441" s="65"/>
      <c r="J441" s="65"/>
      <c r="K441" s="65"/>
      <c r="L441" s="65"/>
      <c r="M441" s="65"/>
    </row>
    <row r="442" spans="3:13">
      <c r="C442" s="65"/>
      <c r="D442" s="65"/>
      <c r="E442" s="65"/>
      <c r="F442" s="65"/>
      <c r="G442" s="65"/>
      <c r="H442" s="65"/>
      <c r="I442" s="65"/>
      <c r="J442" s="65"/>
      <c r="K442" s="65"/>
      <c r="L442" s="65"/>
      <c r="M442" s="65"/>
    </row>
    <row r="443" spans="3:13">
      <c r="C443" s="65"/>
      <c r="D443" s="65"/>
      <c r="E443" s="65"/>
      <c r="F443" s="65"/>
      <c r="G443" s="65"/>
      <c r="H443" s="65"/>
      <c r="I443" s="65"/>
      <c r="J443" s="65"/>
      <c r="K443" s="65"/>
      <c r="L443" s="65"/>
      <c r="M443" s="65"/>
    </row>
    <row r="444" spans="3:13">
      <c r="C444" s="65"/>
      <c r="D444" s="65"/>
      <c r="E444" s="65"/>
      <c r="F444" s="65"/>
      <c r="G444" s="65"/>
      <c r="H444" s="65"/>
      <c r="I444" s="65"/>
      <c r="J444" s="65"/>
      <c r="K444" s="65"/>
      <c r="L444" s="65"/>
      <c r="M444" s="65"/>
    </row>
    <row r="445" spans="3:13">
      <c r="C445" s="65"/>
      <c r="D445" s="65"/>
      <c r="E445" s="65"/>
      <c r="F445" s="65"/>
      <c r="G445" s="65"/>
      <c r="H445" s="65"/>
      <c r="I445" s="65"/>
      <c r="J445" s="65"/>
      <c r="K445" s="65"/>
      <c r="L445" s="65"/>
      <c r="M445" s="65"/>
    </row>
    <row r="446" spans="3:13">
      <c r="C446" s="65"/>
      <c r="D446" s="65"/>
      <c r="E446" s="65"/>
      <c r="F446" s="65"/>
      <c r="G446" s="65"/>
      <c r="H446" s="65"/>
      <c r="I446" s="65"/>
      <c r="J446" s="65"/>
      <c r="K446" s="65"/>
      <c r="L446" s="65"/>
      <c r="M446" s="65"/>
    </row>
    <row r="447" spans="3:13">
      <c r="C447" s="65"/>
      <c r="D447" s="65"/>
      <c r="E447" s="65"/>
      <c r="F447" s="65"/>
      <c r="G447" s="65"/>
      <c r="H447" s="65"/>
      <c r="I447" s="65"/>
      <c r="J447" s="65"/>
      <c r="K447" s="65"/>
      <c r="L447" s="65"/>
      <c r="M447" s="65"/>
    </row>
    <row r="448" spans="3:13">
      <c r="C448" s="65"/>
      <c r="D448" s="65"/>
      <c r="E448" s="65"/>
      <c r="F448" s="65"/>
      <c r="G448" s="65"/>
      <c r="H448" s="65"/>
      <c r="I448" s="65"/>
      <c r="J448" s="65"/>
      <c r="K448" s="65"/>
      <c r="L448" s="65"/>
      <c r="M448" s="65"/>
    </row>
    <row r="449" spans="3:13">
      <c r="C449" s="65"/>
      <c r="D449" s="65"/>
      <c r="E449" s="65"/>
      <c r="F449" s="65"/>
      <c r="G449" s="65"/>
      <c r="H449" s="65"/>
      <c r="I449" s="65"/>
      <c r="J449" s="65"/>
      <c r="K449" s="65"/>
      <c r="L449" s="65"/>
      <c r="M449" s="65"/>
    </row>
    <row r="450" spans="3:13">
      <c r="C450" s="65"/>
      <c r="D450" s="65"/>
      <c r="E450" s="65"/>
      <c r="F450" s="65"/>
      <c r="G450" s="65"/>
      <c r="H450" s="65"/>
      <c r="I450" s="65"/>
      <c r="J450" s="65"/>
      <c r="K450" s="65"/>
      <c r="L450" s="65"/>
      <c r="M450" s="65"/>
    </row>
    <row r="451" spans="3:13">
      <c r="C451" s="65"/>
      <c r="D451" s="65"/>
      <c r="E451" s="65"/>
      <c r="F451" s="65"/>
      <c r="G451" s="65"/>
      <c r="H451" s="65"/>
      <c r="I451" s="65"/>
      <c r="J451" s="65"/>
      <c r="K451" s="65"/>
      <c r="L451" s="65"/>
      <c r="M451" s="65"/>
    </row>
    <row r="452" spans="3:13">
      <c r="C452" s="65"/>
      <c r="D452" s="65"/>
      <c r="E452" s="65"/>
      <c r="F452" s="65"/>
      <c r="G452" s="65"/>
      <c r="H452" s="65"/>
      <c r="I452" s="65"/>
      <c r="J452" s="65"/>
      <c r="K452" s="65"/>
      <c r="L452" s="65"/>
      <c r="M452" s="65"/>
    </row>
    <row r="453" spans="3:13">
      <c r="C453" s="65"/>
      <c r="D453" s="65"/>
      <c r="E453" s="65"/>
      <c r="F453" s="65"/>
      <c r="G453" s="65"/>
      <c r="H453" s="65"/>
      <c r="I453" s="65"/>
      <c r="J453" s="65"/>
      <c r="K453" s="65"/>
      <c r="L453" s="65"/>
      <c r="M453" s="65"/>
    </row>
    <row r="454" spans="3:13">
      <c r="C454" s="65"/>
      <c r="D454" s="65"/>
      <c r="E454" s="65"/>
      <c r="F454" s="65"/>
      <c r="G454" s="65"/>
      <c r="H454" s="65"/>
      <c r="I454" s="65"/>
      <c r="J454" s="65"/>
      <c r="K454" s="65"/>
      <c r="L454" s="65"/>
      <c r="M454" s="65"/>
    </row>
    <row r="455" spans="3:13">
      <c r="C455" s="65"/>
      <c r="D455" s="65"/>
      <c r="E455" s="65"/>
      <c r="F455" s="65"/>
      <c r="G455" s="65"/>
      <c r="H455" s="65"/>
      <c r="I455" s="65"/>
      <c r="J455" s="65"/>
      <c r="K455" s="65"/>
      <c r="L455" s="65"/>
      <c r="M455" s="65"/>
    </row>
    <row r="456" spans="3:13">
      <c r="C456" s="65"/>
      <c r="D456" s="65"/>
      <c r="E456" s="65"/>
      <c r="F456" s="65"/>
      <c r="G456" s="65"/>
      <c r="H456" s="65"/>
      <c r="I456" s="65"/>
      <c r="J456" s="65"/>
      <c r="K456" s="65"/>
      <c r="L456" s="65"/>
      <c r="M456" s="65"/>
    </row>
    <row r="480" spans="3:13">
      <c r="C480" s="120"/>
      <c r="I480" s="120"/>
      <c r="J480" s="120"/>
      <c r="K480" s="120"/>
      <c r="L480" s="120"/>
      <c r="M480" s="120"/>
    </row>
    <row r="481" spans="3:13">
      <c r="C481" s="120"/>
      <c r="I481" s="120"/>
      <c r="J481" s="120"/>
      <c r="K481" s="120"/>
      <c r="L481" s="120"/>
      <c r="M481" s="120"/>
    </row>
    <row r="482" spans="3:13">
      <c r="C482" s="120"/>
      <c r="I482" s="120"/>
      <c r="J482" s="120"/>
      <c r="K482" s="120"/>
      <c r="L482" s="120"/>
      <c r="M482" s="120"/>
    </row>
    <row r="483" spans="3:13">
      <c r="C483" s="120"/>
      <c r="I483" s="120"/>
      <c r="J483" s="120"/>
      <c r="K483" s="120"/>
      <c r="L483" s="120"/>
      <c r="M483" s="120"/>
    </row>
  </sheetData>
  <customSheetViews>
    <customSheetView guid="{705E0D18-9A83-42CA-8732-90923BE2EC7D}"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1"/>
      <headerFooter alignWithMargins="0"/>
    </customSheetView>
    <customSheetView guid="{D45E5F9E-4EA6-40A2-8A1D-3AC67FB8CE54}"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2"/>
      <headerFooter alignWithMargins="0"/>
    </customSheetView>
    <customSheetView guid="{098C004C-808F-436E-8F18-182F927479D1}"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3"/>
      <headerFooter alignWithMargins="0"/>
    </customSheetView>
    <customSheetView guid="{89CA84C2-78F5-4B05-8F1D-B7C5F97BCB4E}"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4"/>
      <headerFooter alignWithMargins="0"/>
    </customSheetView>
  </customSheetViews>
  <mergeCells count="2">
    <mergeCell ref="D7:F7"/>
    <mergeCell ref="G10:H10"/>
  </mergeCells>
  <phoneticPr fontId="0" type="noConversion"/>
  <printOptions horizontalCentered="1"/>
  <pageMargins left="0.17" right="0.16" top="0.75" bottom="0.21249999999999999" header="0.5" footer="0.5"/>
  <pageSetup paperSize="9" scale="46" orientation="landscape" horizontalDpi="300" verticalDpi="300" r:id="rId5"/>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theme="9"/>
  </sheetPr>
  <dimension ref="A2:X31"/>
  <sheetViews>
    <sheetView showGridLines="0" topLeftCell="A18" zoomScale="80" zoomScaleNormal="80" zoomScaleSheetLayoutView="100" workbookViewId="0">
      <selection activeCell="J193" sqref="J193"/>
    </sheetView>
  </sheetViews>
  <sheetFormatPr defaultColWidth="8.77734375" defaultRowHeight="15.75"/>
  <cols>
    <col min="1" max="2" width="8.77734375" style="238"/>
    <col min="3" max="3" width="26" style="239" customWidth="1"/>
    <col min="4" max="5" width="8.77734375" style="240" hidden="1" customWidth="1"/>
    <col min="6" max="9" width="8.77734375" style="241" hidden="1" customWidth="1"/>
    <col min="10" max="10" width="10.21875" style="241" hidden="1" customWidth="1"/>
    <col min="11" max="11" width="8.77734375" style="241" hidden="1" customWidth="1"/>
    <col min="12" max="13" width="10.21875" style="241" hidden="1" customWidth="1"/>
    <col min="14" max="15" width="10.21875" style="493" bestFit="1" customWidth="1"/>
    <col min="16" max="16" width="10.21875" style="241" bestFit="1" customWidth="1"/>
    <col min="17" max="16384" width="8.77734375" style="239"/>
  </cols>
  <sheetData>
    <row r="2" spans="3:24">
      <c r="C2" s="1939" t="s">
        <v>1739</v>
      </c>
      <c r="D2" s="1939"/>
      <c r="E2" s="1939"/>
      <c r="F2" s="1939"/>
      <c r="G2" s="1939"/>
      <c r="H2" s="1939"/>
      <c r="I2" s="1939"/>
      <c r="J2" s="1939"/>
      <c r="K2" s="1939"/>
      <c r="L2" s="1939"/>
      <c r="M2" s="1939"/>
      <c r="N2" s="1939"/>
      <c r="O2" s="1939"/>
      <c r="P2" s="1939"/>
      <c r="Q2" s="1939"/>
      <c r="R2" s="1939"/>
      <c r="S2" s="1939"/>
      <c r="T2" s="1939"/>
      <c r="U2" s="1939"/>
      <c r="V2" s="1939"/>
    </row>
    <row r="3" spans="3:24" ht="16.5" thickBot="1">
      <c r="C3" s="1149"/>
      <c r="D3" s="1150"/>
      <c r="E3" s="1150"/>
      <c r="F3" s="1151"/>
      <c r="G3" s="1152"/>
      <c r="H3" s="1152"/>
      <c r="I3" s="1152"/>
      <c r="J3" s="1152"/>
      <c r="K3" s="1155" t="s">
        <v>1136</v>
      </c>
      <c r="L3" s="1152"/>
      <c r="M3" s="1152"/>
      <c r="N3" s="1152"/>
      <c r="O3" s="1152"/>
      <c r="P3" s="1152"/>
      <c r="Q3" s="1148"/>
      <c r="R3" s="1148"/>
      <c r="S3" s="1148"/>
      <c r="T3" s="1148"/>
      <c r="U3" s="1148"/>
    </row>
    <row r="4" spans="3:24">
      <c r="C4" s="1305" t="s">
        <v>1134</v>
      </c>
      <c r="D4" s="1306">
        <v>1999</v>
      </c>
      <c r="E4" s="1306">
        <v>2000</v>
      </c>
      <c r="F4" s="1306">
        <v>2001</v>
      </c>
      <c r="G4" s="1306">
        <v>2002</v>
      </c>
      <c r="H4" s="1306">
        <v>2003</v>
      </c>
      <c r="I4" s="1307" t="s">
        <v>1006</v>
      </c>
      <c r="J4" s="1307" t="s">
        <v>1135</v>
      </c>
      <c r="K4" s="1306">
        <v>2006</v>
      </c>
      <c r="L4" s="1306">
        <v>2007</v>
      </c>
      <c r="M4" s="1306">
        <v>2008</v>
      </c>
      <c r="N4" s="1306">
        <v>2009</v>
      </c>
      <c r="O4" s="1306">
        <v>2010</v>
      </c>
      <c r="P4" s="1306">
        <v>2011</v>
      </c>
      <c r="Q4" s="1306">
        <v>2012</v>
      </c>
      <c r="R4" s="1306">
        <v>2013</v>
      </c>
      <c r="S4" s="1306">
        <v>2014</v>
      </c>
      <c r="T4" s="1306">
        <v>2015</v>
      </c>
      <c r="U4" s="1306">
        <v>2016</v>
      </c>
      <c r="V4" s="1306">
        <v>2017</v>
      </c>
      <c r="W4" s="1306">
        <v>2018</v>
      </c>
    </row>
    <row r="5" spans="3:24" ht="16.5" thickBot="1">
      <c r="C5" s="1308"/>
      <c r="D5" s="1308"/>
      <c r="E5" s="1309"/>
      <c r="F5" s="1310"/>
      <c r="G5" s="1310"/>
      <c r="H5" s="1310"/>
      <c r="I5" s="1310"/>
      <c r="J5" s="1310"/>
      <c r="K5" s="1310"/>
      <c r="L5" s="1310"/>
      <c r="M5" s="1310"/>
      <c r="N5" s="1310"/>
      <c r="O5" s="1310"/>
      <c r="P5" s="1310"/>
      <c r="Q5" s="1310"/>
      <c r="R5" s="1310"/>
      <c r="S5" s="1310"/>
      <c r="T5" s="1310"/>
      <c r="U5" s="1310"/>
      <c r="V5" s="1310"/>
      <c r="W5" s="1310"/>
    </row>
    <row r="6" spans="3:24">
      <c r="C6" s="1311" t="s">
        <v>1137</v>
      </c>
      <c r="D6" s="1306">
        <v>3529.6390000000001</v>
      </c>
      <c r="E6" s="1312">
        <v>3227.373</v>
      </c>
      <c r="F6" s="1312">
        <v>3255.2649999999999</v>
      </c>
      <c r="G6" s="1313">
        <v>3327.4839999999999</v>
      </c>
      <c r="H6" s="1314">
        <v>3643.5569999999998</v>
      </c>
      <c r="I6" s="1314">
        <v>3926.8720000000003</v>
      </c>
      <c r="J6" s="1314">
        <v>3804.9500000000003</v>
      </c>
      <c r="K6" s="1314">
        <v>3964.7449999999999</v>
      </c>
      <c r="L6" s="1314">
        <v>4031.5058107099999</v>
      </c>
      <c r="M6" s="1314">
        <v>4463.9754416200003</v>
      </c>
      <c r="N6" s="1314">
        <v>6326.2383165920901</v>
      </c>
      <c r="O6" s="1314">
        <v>6555.5793165920895</v>
      </c>
      <c r="P6" s="1314">
        <v>7713.317572243529</v>
      </c>
      <c r="Q6" s="1314">
        <v>8124.568725477895</v>
      </c>
      <c r="R6" s="1314">
        <v>8654.6700039860898</v>
      </c>
      <c r="S6" s="1314">
        <v>10234.209039777428</v>
      </c>
      <c r="T6" s="1314">
        <v>9340.9525407623769</v>
      </c>
      <c r="U6" s="1314">
        <v>9305.264680775841</v>
      </c>
      <c r="V6" s="1314">
        <v>9555.1085481380287</v>
      </c>
      <c r="W6" s="1314">
        <f>+W8+W13+W21</f>
        <v>9827</v>
      </c>
      <c r="X6" s="1492"/>
    </row>
    <row r="7" spans="3:24">
      <c r="C7" s="1311"/>
      <c r="D7" s="1315"/>
      <c r="E7" s="1314"/>
      <c r="F7" s="1314"/>
      <c r="G7" s="1313"/>
      <c r="H7" s="1314"/>
      <c r="I7" s="1314"/>
      <c r="J7" s="1314"/>
      <c r="K7" s="1314"/>
      <c r="L7" s="1314"/>
      <c r="M7" s="1314"/>
      <c r="N7" s="1314"/>
      <c r="O7" s="1314"/>
      <c r="P7" s="1314"/>
      <c r="Q7" s="1314"/>
      <c r="R7" s="1314"/>
      <c r="S7" s="1314"/>
      <c r="T7" s="1314"/>
      <c r="U7" s="1314"/>
      <c r="V7" s="1314"/>
      <c r="W7" s="1314"/>
    </row>
    <row r="8" spans="3:24">
      <c r="C8" s="1311" t="s">
        <v>64</v>
      </c>
      <c r="D8" s="1317">
        <v>3368.0230000000001</v>
      </c>
      <c r="E8" s="1314">
        <v>3075.3420000000001</v>
      </c>
      <c r="F8" s="1314">
        <v>3187.8150000000001</v>
      </c>
      <c r="G8" s="1313">
        <v>3271.384</v>
      </c>
      <c r="H8" s="1314">
        <v>3602.683</v>
      </c>
      <c r="I8" s="1314">
        <v>3848.9790000000003</v>
      </c>
      <c r="J8" s="1314">
        <v>3747.9500000000003</v>
      </c>
      <c r="K8" s="1314">
        <v>3919.645</v>
      </c>
      <c r="L8" s="1314">
        <v>3980.61645086</v>
      </c>
      <c r="M8" s="1314">
        <v>4428.9754416200003</v>
      </c>
      <c r="N8" s="1314">
        <v>5304.4788749720901</v>
      </c>
      <c r="O8" s="1314">
        <v>5038.9198749720899</v>
      </c>
      <c r="P8" s="1314">
        <v>6127.6809362135282</v>
      </c>
      <c r="Q8" s="1314">
        <v>6321.4870540308957</v>
      </c>
      <c r="R8" s="1314">
        <v>6171.6043938740904</v>
      </c>
      <c r="S8" s="1314">
        <v>6192.10924927209</v>
      </c>
      <c r="T8" s="1314">
        <v>6096.8697411102075</v>
      </c>
      <c r="U8" s="1314">
        <v>6014.5022372960902</v>
      </c>
      <c r="V8" s="1314">
        <v>6200.2500662318707</v>
      </c>
      <c r="W8" s="1314">
        <f>W9+W10</f>
        <v>6306</v>
      </c>
      <c r="X8" s="1492"/>
    </row>
    <row r="9" spans="3:24">
      <c r="C9" s="1318" t="s">
        <v>1138</v>
      </c>
      <c r="D9" s="1315">
        <v>1251</v>
      </c>
      <c r="E9" s="1319">
        <v>1351</v>
      </c>
      <c r="F9" s="1319">
        <v>1430</v>
      </c>
      <c r="G9" s="1320">
        <v>1458</v>
      </c>
      <c r="H9" s="1319">
        <v>1658</v>
      </c>
      <c r="I9" s="1319">
        <v>1896.979</v>
      </c>
      <c r="J9" s="1319">
        <v>1876.9</v>
      </c>
      <c r="K9" s="1319">
        <v>1983.65</v>
      </c>
      <c r="L9" s="1319">
        <v>1994.0943255999998</v>
      </c>
      <c r="M9" s="1319">
        <v>2360.1944416200004</v>
      </c>
      <c r="N9" s="1319">
        <v>3703.13687497209</v>
      </c>
      <c r="O9" s="1319">
        <v>3401.5368749720901</v>
      </c>
      <c r="P9" s="1319">
        <v>4086.5368749720901</v>
      </c>
      <c r="Q9" s="1319">
        <v>4086.5368749720901</v>
      </c>
      <c r="R9" s="1319">
        <v>4087.5368749720901</v>
      </c>
      <c r="S9" s="1319">
        <v>4114.5368749720901</v>
      </c>
      <c r="T9" s="1319">
        <v>4114.5368749720901</v>
      </c>
      <c r="U9" s="1319">
        <v>4128.5368749720901</v>
      </c>
      <c r="V9" s="1319">
        <v>4194.2987834320902</v>
      </c>
      <c r="W9" s="1319">
        <v>4261</v>
      </c>
    </row>
    <row r="10" spans="3:24">
      <c r="C10" s="1318" t="s">
        <v>1139</v>
      </c>
      <c r="D10" s="1315">
        <v>1822.902</v>
      </c>
      <c r="E10" s="1319">
        <v>1724.3420000000001</v>
      </c>
      <c r="F10" s="1319">
        <v>1757.8150000000001</v>
      </c>
      <c r="G10" s="1320">
        <v>1813.384</v>
      </c>
      <c r="H10" s="1319">
        <v>1944.683</v>
      </c>
      <c r="I10" s="1319">
        <v>1952</v>
      </c>
      <c r="J10" s="1319">
        <v>1871.0500000000002</v>
      </c>
      <c r="K10" s="1319">
        <v>1935.9949999999999</v>
      </c>
      <c r="L10" s="1319">
        <v>1976.4801252600002</v>
      </c>
      <c r="M10" s="1319">
        <v>2058.739</v>
      </c>
      <c r="N10" s="1319">
        <v>1591.3</v>
      </c>
      <c r="O10" s="1319">
        <v>1627.3409999999999</v>
      </c>
      <c r="P10" s="1319">
        <v>2041.1440612414383</v>
      </c>
      <c r="Q10" s="1319">
        <v>2234.9501790588056</v>
      </c>
      <c r="R10" s="1319">
        <v>2084.0675189020003</v>
      </c>
      <c r="S10" s="1319">
        <v>2077.5723742999999</v>
      </c>
      <c r="T10" s="1319">
        <v>1982.3328661381179</v>
      </c>
      <c r="U10" s="1319">
        <v>1885.9653623239999</v>
      </c>
      <c r="V10" s="1319">
        <v>2005.951282799781</v>
      </c>
      <c r="W10" s="1319">
        <v>2045</v>
      </c>
    </row>
    <row r="11" spans="3:24">
      <c r="C11" s="1318" t="s">
        <v>1140</v>
      </c>
      <c r="D11" s="1315">
        <v>294.12099999999998</v>
      </c>
      <c r="E11" s="1319">
        <v>0</v>
      </c>
      <c r="F11" s="1319">
        <v>0</v>
      </c>
      <c r="G11" s="1320">
        <v>0</v>
      </c>
      <c r="H11" s="1319">
        <v>0</v>
      </c>
      <c r="I11" s="1319">
        <v>0</v>
      </c>
      <c r="J11" s="1319">
        <v>0</v>
      </c>
      <c r="K11" s="1319">
        <v>0</v>
      </c>
      <c r="L11" s="1319">
        <v>10.042</v>
      </c>
      <c r="M11" s="1319">
        <v>10.042</v>
      </c>
      <c r="N11" s="1319">
        <v>10.042</v>
      </c>
      <c r="O11" s="1319">
        <v>10.042</v>
      </c>
      <c r="P11" s="1319">
        <v>0</v>
      </c>
      <c r="Q11" s="1319">
        <v>0</v>
      </c>
      <c r="R11" s="1319">
        <v>0</v>
      </c>
      <c r="S11" s="1319">
        <v>0</v>
      </c>
      <c r="T11" s="1319">
        <v>0</v>
      </c>
      <c r="U11" s="1319">
        <v>0</v>
      </c>
      <c r="V11" s="1319">
        <v>0</v>
      </c>
      <c r="W11" s="1319">
        <v>0</v>
      </c>
      <c r="X11" s="1492"/>
    </row>
    <row r="12" spans="3:24">
      <c r="C12" s="1318"/>
      <c r="D12" s="1318"/>
      <c r="E12" s="1314"/>
      <c r="F12" s="1314"/>
      <c r="G12" s="1313"/>
      <c r="H12" s="1314"/>
      <c r="I12" s="1314"/>
      <c r="J12" s="1314"/>
      <c r="K12" s="1314"/>
      <c r="L12" s="1314"/>
      <c r="M12" s="1314"/>
      <c r="N12" s="1314"/>
      <c r="O12" s="1314"/>
      <c r="P12" s="1316"/>
      <c r="Q12" s="1316"/>
      <c r="R12" s="1316"/>
      <c r="S12" s="1316"/>
      <c r="T12" s="1316"/>
      <c r="U12" s="1316"/>
      <c r="V12" s="1336"/>
      <c r="W12" s="1336"/>
    </row>
    <row r="13" spans="3:24">
      <c r="C13" s="1311" t="s">
        <v>1141</v>
      </c>
      <c r="D13" s="1317">
        <v>543.02300000000002</v>
      </c>
      <c r="E13" s="1314">
        <v>534.34199999999998</v>
      </c>
      <c r="F13" s="1314">
        <v>567.81500000000005</v>
      </c>
      <c r="G13" s="1313">
        <v>616.38400000000001</v>
      </c>
      <c r="H13" s="1314">
        <v>697.68299999999999</v>
      </c>
      <c r="I13" s="1314">
        <v>713.97900000000004</v>
      </c>
      <c r="J13" s="1314">
        <v>708.55</v>
      </c>
      <c r="K13" s="1314">
        <v>765.65</v>
      </c>
      <c r="L13" s="1314">
        <v>790.06940725000004</v>
      </c>
      <c r="M13" s="1314">
        <v>824.52344161999997</v>
      </c>
      <c r="N13" s="1314">
        <v>824.75944161999996</v>
      </c>
      <c r="O13" s="1314">
        <v>824.75944161999996</v>
      </c>
      <c r="P13" s="1314">
        <v>1092.2506360300001</v>
      </c>
      <c r="Q13" s="1314">
        <v>1198.0816714469997</v>
      </c>
      <c r="R13" s="1314">
        <v>1356.218110972</v>
      </c>
      <c r="S13" s="1314">
        <v>1660.8163985761887</v>
      </c>
      <c r="T13" s="1314">
        <v>1220.2047607631685</v>
      </c>
      <c r="U13" s="1314">
        <v>1370.4711682697503</v>
      </c>
      <c r="V13" s="1314">
        <v>1405.5672066961574</v>
      </c>
      <c r="W13" s="1314">
        <v>1426</v>
      </c>
    </row>
    <row r="14" spans="3:24">
      <c r="C14" s="1318" t="s">
        <v>1138</v>
      </c>
      <c r="D14" s="1315">
        <v>316</v>
      </c>
      <c r="E14" s="1319">
        <v>301</v>
      </c>
      <c r="F14" s="1319">
        <v>315</v>
      </c>
      <c r="G14" s="1320">
        <v>351</v>
      </c>
      <c r="H14" s="1319">
        <v>403</v>
      </c>
      <c r="I14" s="1319">
        <v>441.97899999999998</v>
      </c>
      <c r="J14" s="1319">
        <v>438.90000000000003</v>
      </c>
      <c r="K14" s="1319">
        <v>463.65</v>
      </c>
      <c r="L14" s="1319">
        <v>474.05451612999997</v>
      </c>
      <c r="M14" s="1319">
        <v>497.45944162000001</v>
      </c>
      <c r="N14" s="1319">
        <v>497.45944162000001</v>
      </c>
      <c r="O14" s="1319">
        <v>497.45944162000001</v>
      </c>
      <c r="P14" s="1319">
        <v>710.58406663000017</v>
      </c>
      <c r="Q14" s="1319">
        <v>703.24752300699993</v>
      </c>
      <c r="R14" s="1319">
        <v>858.23052341200014</v>
      </c>
      <c r="S14" s="1319">
        <v>1154.8163985761887</v>
      </c>
      <c r="T14" s="1319">
        <v>760.47771002916852</v>
      </c>
      <c r="U14" s="1319">
        <v>779.00369302775039</v>
      </c>
      <c r="V14" s="1319">
        <v>843.23365306761491</v>
      </c>
      <c r="W14" s="1319">
        <v>898</v>
      </c>
    </row>
    <row r="15" spans="3:24">
      <c r="C15" s="1318" t="s">
        <v>1139</v>
      </c>
      <c r="D15" s="1315">
        <v>223.90199999999999</v>
      </c>
      <c r="E15" s="1319">
        <v>233.34200000000001</v>
      </c>
      <c r="F15" s="1319">
        <v>252.815</v>
      </c>
      <c r="G15" s="1320">
        <v>265.38400000000001</v>
      </c>
      <c r="H15" s="1319">
        <v>294.68299999999999</v>
      </c>
      <c r="I15" s="1319">
        <v>272</v>
      </c>
      <c r="J15" s="1319">
        <v>269.64999999999998</v>
      </c>
      <c r="K15" s="1319">
        <v>302</v>
      </c>
      <c r="L15" s="1319">
        <v>316.01489112000002</v>
      </c>
      <c r="M15" s="1319">
        <v>327.06399999999996</v>
      </c>
      <c r="N15" s="1319">
        <v>327.3</v>
      </c>
      <c r="O15" s="1319">
        <v>327.3</v>
      </c>
      <c r="P15" s="1319">
        <v>381.66656939999996</v>
      </c>
      <c r="Q15" s="1319">
        <v>494.83414843999992</v>
      </c>
      <c r="R15" s="1319">
        <v>497.98758755999995</v>
      </c>
      <c r="S15" s="1319">
        <v>506</v>
      </c>
      <c r="T15" s="1319">
        <v>459.72705073400004</v>
      </c>
      <c r="U15" s="1319">
        <v>591.46747524199998</v>
      </c>
      <c r="V15" s="1319">
        <v>562.33355362854263</v>
      </c>
      <c r="W15" s="1319">
        <v>528</v>
      </c>
    </row>
    <row r="16" spans="3:24">
      <c r="C16" s="1318" t="s">
        <v>1140</v>
      </c>
      <c r="D16" s="1315">
        <v>3.121</v>
      </c>
      <c r="E16" s="1319">
        <v>0</v>
      </c>
      <c r="F16" s="1319">
        <v>0</v>
      </c>
      <c r="G16" s="1320">
        <v>0</v>
      </c>
      <c r="H16" s="1319">
        <v>0</v>
      </c>
      <c r="I16" s="1319">
        <v>0</v>
      </c>
      <c r="J16" s="1319">
        <v>0</v>
      </c>
      <c r="K16" s="1319">
        <v>0</v>
      </c>
      <c r="L16" s="1319">
        <v>0</v>
      </c>
      <c r="M16" s="1319">
        <v>0</v>
      </c>
      <c r="N16" s="1319">
        <v>0</v>
      </c>
      <c r="O16" s="1319">
        <v>0</v>
      </c>
      <c r="P16" s="1319">
        <v>0</v>
      </c>
      <c r="Q16" s="1319">
        <v>0</v>
      </c>
      <c r="R16" s="1319">
        <v>0</v>
      </c>
      <c r="S16" s="1319">
        <v>0</v>
      </c>
      <c r="T16" s="1319">
        <v>0</v>
      </c>
      <c r="U16" s="1319">
        <v>0</v>
      </c>
      <c r="V16" s="1319">
        <v>0</v>
      </c>
      <c r="W16" s="1319">
        <v>0</v>
      </c>
    </row>
    <row r="17" spans="3:23">
      <c r="C17" s="1318"/>
      <c r="D17" s="1318"/>
      <c r="E17" s="1314"/>
      <c r="F17" s="1314"/>
      <c r="G17" s="1313"/>
      <c r="H17" s="1314"/>
      <c r="I17" s="1314"/>
      <c r="J17" s="1314"/>
      <c r="K17" s="1314"/>
      <c r="L17" s="1314"/>
      <c r="M17" s="1314"/>
      <c r="N17" s="1314"/>
      <c r="O17" s="1314"/>
      <c r="P17" s="1316"/>
      <c r="Q17" s="1316"/>
      <c r="R17" s="1316"/>
      <c r="S17" s="1316"/>
      <c r="T17" s="1316"/>
      <c r="U17" s="1316"/>
      <c r="V17" s="1336"/>
      <c r="W17" s="1336"/>
    </row>
    <row r="18" spans="3:23">
      <c r="C18" s="1311" t="s">
        <v>1142</v>
      </c>
      <c r="D18" s="1315">
        <v>364</v>
      </c>
      <c r="E18" s="1314">
        <v>292</v>
      </c>
      <c r="F18" s="1314">
        <v>292</v>
      </c>
      <c r="G18" s="1313">
        <v>279</v>
      </c>
      <c r="H18" s="1314">
        <v>288</v>
      </c>
      <c r="I18" s="1314">
        <v>291</v>
      </c>
      <c r="J18" s="1314">
        <v>144.4</v>
      </c>
      <c r="K18" s="1314">
        <v>130</v>
      </c>
      <c r="L18" s="1314">
        <v>136.69999999999999</v>
      </c>
      <c r="M18" s="1314">
        <v>140</v>
      </c>
      <c r="N18" s="1314">
        <v>140</v>
      </c>
      <c r="O18" s="1314">
        <v>550</v>
      </c>
      <c r="P18" s="1314">
        <v>127</v>
      </c>
      <c r="Q18" s="1314">
        <v>125</v>
      </c>
      <c r="R18" s="1314">
        <v>125.14749914000001</v>
      </c>
      <c r="S18" s="1314">
        <v>120</v>
      </c>
      <c r="T18" s="1314">
        <v>110.456301889</v>
      </c>
      <c r="U18" s="1314">
        <v>0</v>
      </c>
      <c r="V18" s="1314">
        <v>0</v>
      </c>
      <c r="W18" s="1314">
        <v>0</v>
      </c>
    </row>
    <row r="19" spans="3:23">
      <c r="C19" s="1318" t="s">
        <v>1143</v>
      </c>
      <c r="D19" s="1315">
        <v>364</v>
      </c>
      <c r="E19" s="1319">
        <v>292</v>
      </c>
      <c r="F19" s="1319">
        <v>292</v>
      </c>
      <c r="G19" s="1320">
        <v>279</v>
      </c>
      <c r="H19" s="1319">
        <v>288</v>
      </c>
      <c r="I19" s="1319">
        <v>291</v>
      </c>
      <c r="J19" s="1319">
        <v>144.4</v>
      </c>
      <c r="K19" s="1319">
        <v>130</v>
      </c>
      <c r="L19" s="1319">
        <v>136.69999999999999</v>
      </c>
      <c r="M19" s="1319">
        <v>140</v>
      </c>
      <c r="N19" s="1319">
        <v>140</v>
      </c>
      <c r="O19" s="1319">
        <v>550</v>
      </c>
      <c r="P19" s="1319">
        <v>127</v>
      </c>
      <c r="Q19" s="1321">
        <v>125</v>
      </c>
      <c r="R19" s="1319">
        <v>125.14749914000001</v>
      </c>
      <c r="S19" s="1319">
        <v>120</v>
      </c>
      <c r="T19" s="1319">
        <v>110.456301889</v>
      </c>
      <c r="U19" s="1319">
        <v>0</v>
      </c>
      <c r="V19" s="1319">
        <v>0</v>
      </c>
      <c r="W19" s="1319">
        <v>0</v>
      </c>
    </row>
    <row r="20" spans="3:23">
      <c r="C20" s="1318"/>
      <c r="D20" s="1318"/>
      <c r="E20" s="1314"/>
      <c r="F20" s="1314"/>
      <c r="G20" s="1313"/>
      <c r="H20" s="1314"/>
      <c r="I20" s="1314"/>
      <c r="J20" s="1314"/>
      <c r="K20" s="1314"/>
      <c r="L20" s="1314"/>
      <c r="M20" s="1314"/>
      <c r="N20" s="1314"/>
      <c r="O20" s="1314"/>
      <c r="P20" s="1316"/>
      <c r="Q20" s="1316"/>
      <c r="R20" s="1316"/>
      <c r="S20" s="1316"/>
      <c r="T20" s="1316"/>
      <c r="U20" s="1316"/>
      <c r="V20" s="1336"/>
      <c r="W20" s="1336"/>
    </row>
    <row r="21" spans="3:23">
      <c r="C21" s="1311" t="s">
        <v>1016</v>
      </c>
      <c r="D21" s="1315">
        <v>161.61600000000001</v>
      </c>
      <c r="E21" s="1314">
        <v>152.03100000000001</v>
      </c>
      <c r="F21" s="1314">
        <v>67.45</v>
      </c>
      <c r="G21" s="1313">
        <v>56.1</v>
      </c>
      <c r="H21" s="1314">
        <v>40.874000000000002</v>
      </c>
      <c r="I21" s="1314">
        <v>77.893000000000001</v>
      </c>
      <c r="J21" s="1314">
        <v>57</v>
      </c>
      <c r="K21" s="1314">
        <v>45.1</v>
      </c>
      <c r="L21" s="1314">
        <v>50.889359850000005</v>
      </c>
      <c r="M21" s="1314">
        <v>35</v>
      </c>
      <c r="N21" s="1314">
        <v>57</v>
      </c>
      <c r="O21" s="1314">
        <v>141.9</v>
      </c>
      <c r="P21" s="1314">
        <v>366.38600000000002</v>
      </c>
      <c r="Q21" s="1322">
        <v>480</v>
      </c>
      <c r="R21" s="1314">
        <v>1001.7</v>
      </c>
      <c r="S21" s="1314">
        <v>2261.2833919291502</v>
      </c>
      <c r="T21" s="1314">
        <v>1913.4217369999999</v>
      </c>
      <c r="U21" s="1314">
        <v>1920.2912752099999</v>
      </c>
      <c r="V21" s="1314">
        <v>1949.2912752100001</v>
      </c>
      <c r="W21" s="1314">
        <v>2095</v>
      </c>
    </row>
    <row r="22" spans="3:23">
      <c r="C22" s="1311"/>
      <c r="D22" s="1311"/>
      <c r="E22" s="1314"/>
      <c r="F22" s="1314"/>
      <c r="G22" s="1313"/>
      <c r="H22" s="1314"/>
      <c r="I22" s="1314"/>
      <c r="J22" s="1314"/>
      <c r="K22" s="1314"/>
      <c r="L22" s="1314"/>
      <c r="M22" s="1314"/>
      <c r="N22" s="1314"/>
      <c r="O22" s="1314"/>
      <c r="P22" s="1316"/>
      <c r="Q22" s="1316"/>
      <c r="R22" s="1316"/>
      <c r="S22" s="1316"/>
      <c r="T22" s="1316"/>
      <c r="U22" s="1316"/>
      <c r="V22" s="1336"/>
      <c r="W22" s="1336"/>
    </row>
    <row r="23" spans="3:23">
      <c r="C23" s="1311" t="s">
        <v>1144</v>
      </c>
      <c r="D23" s="1315">
        <v>532</v>
      </c>
      <c r="E23" s="1314">
        <v>298</v>
      </c>
      <c r="F23" s="1314">
        <v>166.7</v>
      </c>
      <c r="G23" s="1313">
        <v>183</v>
      </c>
      <c r="H23" s="1314">
        <v>168.6</v>
      </c>
      <c r="I23" s="1314">
        <v>144.1</v>
      </c>
      <c r="J23" s="1314">
        <v>172.7</v>
      </c>
      <c r="K23" s="1314">
        <v>281.35599999999999</v>
      </c>
      <c r="L23" s="1314">
        <v>387.452</v>
      </c>
      <c r="M23" s="1314">
        <v>225.7</v>
      </c>
      <c r="N23" s="1314">
        <v>1347.7469999999998</v>
      </c>
      <c r="O23" s="1314">
        <v>2040.2</v>
      </c>
      <c r="P23" s="1314">
        <v>1285.9789999999998</v>
      </c>
      <c r="Q23" s="1322">
        <v>891</v>
      </c>
      <c r="R23" s="1314">
        <v>1564.2719999999999</v>
      </c>
      <c r="S23" s="1314">
        <v>2394.2231668125887</v>
      </c>
      <c r="T23" s="1314">
        <v>2257.887463</v>
      </c>
      <c r="U23" s="1314">
        <v>2304.2474969300001</v>
      </c>
      <c r="V23" s="1314">
        <v>2298.8456224000001</v>
      </c>
      <c r="W23" s="1314">
        <v>2374</v>
      </c>
    </row>
    <row r="24" spans="3:23">
      <c r="C24" s="1318" t="s">
        <v>1145</v>
      </c>
      <c r="D24" s="1315">
        <v>150</v>
      </c>
      <c r="E24" s="1319">
        <v>42</v>
      </c>
      <c r="F24" s="1319">
        <v>13</v>
      </c>
      <c r="G24" s="1320">
        <v>26</v>
      </c>
      <c r="H24" s="1319">
        <v>50.6</v>
      </c>
      <c r="I24" s="1319">
        <v>69.099999999999994</v>
      </c>
      <c r="J24" s="1319">
        <v>106.7</v>
      </c>
      <c r="K24" s="1319">
        <v>122.4</v>
      </c>
      <c r="L24" s="1319">
        <v>178.28800000000001</v>
      </c>
      <c r="M24" s="1319">
        <v>40.700000000000003</v>
      </c>
      <c r="N24" s="1319">
        <v>193.34700000000001</v>
      </c>
      <c r="O24" s="1319">
        <v>286.3</v>
      </c>
      <c r="P24" s="1319">
        <v>133.61699999999999</v>
      </c>
      <c r="Q24" s="1321">
        <v>30</v>
      </c>
      <c r="R24" s="1319">
        <v>0</v>
      </c>
      <c r="S24" s="1319">
        <v>0</v>
      </c>
      <c r="T24" s="1319">
        <v>0</v>
      </c>
      <c r="U24" s="1319">
        <v>0</v>
      </c>
      <c r="V24" s="1319">
        <v>0</v>
      </c>
      <c r="W24" s="1319">
        <v>0</v>
      </c>
    </row>
    <row r="25" spans="3:23">
      <c r="C25" s="1318" t="s">
        <v>1146</v>
      </c>
      <c r="D25" s="1319">
        <v>0</v>
      </c>
      <c r="E25" s="1319">
        <v>0</v>
      </c>
      <c r="F25" s="1319">
        <v>0</v>
      </c>
      <c r="G25" s="1319">
        <v>0</v>
      </c>
      <c r="H25" s="1319">
        <v>0</v>
      </c>
      <c r="I25" s="1319">
        <v>0</v>
      </c>
      <c r="J25" s="1319">
        <v>0</v>
      </c>
      <c r="K25" s="1319">
        <v>0</v>
      </c>
      <c r="L25" s="1319">
        <v>0</v>
      </c>
      <c r="M25" s="1319">
        <v>0</v>
      </c>
      <c r="N25" s="1319">
        <v>998.4</v>
      </c>
      <c r="O25" s="1319">
        <v>1300</v>
      </c>
      <c r="P25" s="1319">
        <v>615</v>
      </c>
      <c r="Q25" s="1321">
        <v>615</v>
      </c>
      <c r="R25" s="1319">
        <v>614</v>
      </c>
      <c r="S25" s="1319">
        <v>587</v>
      </c>
      <c r="T25" s="1319">
        <v>587</v>
      </c>
      <c r="U25" s="1319">
        <v>573</v>
      </c>
      <c r="V25" s="1319">
        <v>507.23809153999997</v>
      </c>
      <c r="W25" s="1319">
        <v>441</v>
      </c>
    </row>
    <row r="26" spans="3:23">
      <c r="C26" s="1318" t="s">
        <v>1016</v>
      </c>
      <c r="D26" s="1315">
        <v>382</v>
      </c>
      <c r="E26" s="1319">
        <v>256</v>
      </c>
      <c r="F26" s="1319">
        <v>153.69999999999999</v>
      </c>
      <c r="G26" s="1320">
        <v>157</v>
      </c>
      <c r="H26" s="1319">
        <v>118</v>
      </c>
      <c r="I26" s="1319">
        <v>75</v>
      </c>
      <c r="J26" s="1319">
        <v>66</v>
      </c>
      <c r="K26" s="1319">
        <v>158.95600000000002</v>
      </c>
      <c r="L26" s="1319">
        <v>209.16399999999999</v>
      </c>
      <c r="M26" s="1319">
        <v>185</v>
      </c>
      <c r="N26" s="1319">
        <v>156</v>
      </c>
      <c r="O26" s="1319">
        <v>453.9</v>
      </c>
      <c r="P26" s="1319">
        <v>537.36199999999997</v>
      </c>
      <c r="Q26" s="1321">
        <v>246</v>
      </c>
      <c r="R26" s="1319">
        <v>950.27200000000005</v>
      </c>
      <c r="S26" s="1319">
        <v>1807.2231668125889</v>
      </c>
      <c r="T26" s="1319">
        <v>1670.887463</v>
      </c>
      <c r="U26" s="1319">
        <v>1731.2474969300001</v>
      </c>
      <c r="V26" s="1319">
        <v>1791.6075308600002</v>
      </c>
      <c r="W26" s="1319">
        <v>1933</v>
      </c>
    </row>
    <row r="27" spans="3:23">
      <c r="C27" s="1318"/>
      <c r="D27" s="1318"/>
      <c r="E27" s="1323"/>
      <c r="F27" s="1319"/>
      <c r="G27" s="1324"/>
      <c r="H27" s="1325"/>
      <c r="I27" s="1319"/>
      <c r="J27" s="1319"/>
      <c r="K27" s="1153"/>
      <c r="L27" s="1153"/>
      <c r="M27" s="1153"/>
      <c r="N27" s="1153"/>
      <c r="O27" s="1153"/>
      <c r="P27" s="1154"/>
      <c r="Q27" s="1154"/>
      <c r="R27" s="1154"/>
      <c r="S27" s="1154"/>
      <c r="T27" s="1154"/>
      <c r="U27" s="1154"/>
      <c r="V27" s="1153"/>
      <c r="W27" s="1153"/>
    </row>
    <row r="28" spans="3:23">
      <c r="C28" s="1318"/>
      <c r="D28" s="1318"/>
      <c r="E28" s="1319"/>
      <c r="F28" s="1319"/>
      <c r="G28" s="1320"/>
      <c r="H28" s="1319"/>
      <c r="I28" s="1319"/>
      <c r="J28" s="1319"/>
      <c r="K28" s="1319"/>
      <c r="L28" s="1319"/>
      <c r="M28" s="1319"/>
      <c r="N28" s="1319"/>
      <c r="O28" s="1319"/>
      <c r="P28" s="1326"/>
      <c r="Q28" s="1326"/>
      <c r="R28" s="1326"/>
      <c r="S28" s="1326"/>
      <c r="T28" s="1327"/>
      <c r="U28" s="1327"/>
      <c r="V28" s="1318"/>
      <c r="W28" s="1318"/>
    </row>
    <row r="29" spans="3:23" ht="16.5" thickBot="1">
      <c r="C29" s="1308" t="s">
        <v>1147</v>
      </c>
      <c r="D29" s="1328">
        <v>4061.6390000000001</v>
      </c>
      <c r="E29" s="1329">
        <v>3525.373</v>
      </c>
      <c r="F29" s="1329">
        <v>3421.9649999999997</v>
      </c>
      <c r="G29" s="1329">
        <v>3510.4839999999999</v>
      </c>
      <c r="H29" s="1329">
        <v>3812.1569999999997</v>
      </c>
      <c r="I29" s="1329">
        <v>4070.9720000000002</v>
      </c>
      <c r="J29" s="1329">
        <v>3977.65</v>
      </c>
      <c r="K29" s="1329">
        <v>4246.1009999999997</v>
      </c>
      <c r="L29" s="1329">
        <v>4606.9578107099996</v>
      </c>
      <c r="M29" s="1329">
        <v>4689.6754416199992</v>
      </c>
      <c r="N29" s="1329">
        <v>7480.6383165920897</v>
      </c>
      <c r="O29" s="1329">
        <v>8309.4793165920892</v>
      </c>
      <c r="P29" s="1329">
        <v>8865.679572243529</v>
      </c>
      <c r="Q29" s="1329">
        <v>8985.568725477895</v>
      </c>
      <c r="R29" s="1330">
        <v>10218.942003986091</v>
      </c>
      <c r="S29" s="1330">
        <v>12628.432206590018</v>
      </c>
      <c r="T29" s="1330">
        <v>11598.840003762376</v>
      </c>
      <c r="U29" s="1330">
        <v>11609.512177705841</v>
      </c>
      <c r="V29" s="1330">
        <v>11853.954170538029</v>
      </c>
      <c r="W29" s="1330">
        <v>13134</v>
      </c>
    </row>
    <row r="30" spans="3:23">
      <c r="C30" s="1331"/>
      <c r="D30" s="1331"/>
      <c r="E30" s="1332"/>
      <c r="F30" s="1332"/>
      <c r="G30" s="1333"/>
      <c r="H30" s="1333"/>
      <c r="I30" s="1333"/>
      <c r="J30" s="1333"/>
      <c r="K30" s="1333"/>
      <c r="L30" s="1333"/>
      <c r="M30" s="1333"/>
      <c r="N30" s="1333"/>
      <c r="O30" s="1334"/>
      <c r="P30" s="1334"/>
      <c r="Q30" s="1333"/>
      <c r="R30" s="1334"/>
      <c r="S30" s="1334"/>
      <c r="T30" s="1334"/>
      <c r="U30" s="1334"/>
      <c r="V30" s="1334"/>
    </row>
    <row r="31" spans="3:23" ht="20.25">
      <c r="C31" s="1435" t="s">
        <v>1784</v>
      </c>
      <c r="D31" s="1335"/>
      <c r="E31" s="1332"/>
      <c r="F31" s="1333"/>
      <c r="G31" s="1333"/>
      <c r="H31" s="1333"/>
      <c r="I31" s="1333"/>
      <c r="J31" s="1333"/>
      <c r="K31" s="1333"/>
      <c r="L31" s="1333"/>
      <c r="M31" s="1333"/>
      <c r="N31" s="1333"/>
      <c r="O31" s="1334"/>
      <c r="P31" s="1334"/>
      <c r="Q31" s="1333"/>
      <c r="R31" s="1334"/>
      <c r="S31" s="1334"/>
      <c r="T31" s="1334"/>
      <c r="U31" s="1334"/>
      <c r="V31" s="1334"/>
    </row>
  </sheetData>
  <customSheetViews>
    <customSheetView guid="{705E0D18-9A83-42CA-8732-90923BE2EC7D}" showPageBreaks="1" showGridLines="0" printArea="1" hiddenColumns="1" topLeftCell="A19">
      <selection activeCell="C3" sqref="C2:V31"/>
      <pageMargins left="0.7" right="0.7" top="0.75" bottom="0.75" header="0.3" footer="0.3"/>
      <pageSetup scale="65" orientation="landscape" r:id="rId1"/>
    </customSheetView>
    <customSheetView guid="{D45E5F9E-4EA6-40A2-8A1D-3AC67FB8CE54}" showPageBreaks="1" showGridLines="0" printArea="1" hiddenColumns="1">
      <selection activeCell="C17" sqref="C17"/>
      <pageMargins left="0.7" right="0.7" top="0.75" bottom="0.75" header="0.3" footer="0.3"/>
      <pageSetup scale="65" orientation="landscape" r:id="rId2"/>
    </customSheetView>
    <customSheetView guid="{098C004C-808F-436E-8F18-182F927479D1}" showPageBreaks="1" showGridLines="0" printArea="1" hiddenRows="1" topLeftCell="G1">
      <selection activeCell="B294" sqref="B294:B295"/>
      <pageMargins left="0.7" right="0.7" top="0.75" bottom="0.75" header="0.3" footer="0.3"/>
      <pageSetup scale="65" orientation="landscape" r:id="rId3"/>
    </customSheetView>
    <customSheetView guid="{89CA84C2-78F5-4B05-8F1D-B7C5F97BCB4E}" showPageBreaks="1" showGridLines="0" printArea="1" topLeftCell="I13">
      <selection activeCell="N12" sqref="N12"/>
      <pageMargins left="0.7" right="0.7" top="0.75" bottom="0.75" header="0.3" footer="0.3"/>
      <pageSetup scale="65" orientation="landscape" r:id="rId4"/>
    </customSheetView>
  </customSheetViews>
  <mergeCells count="1">
    <mergeCell ref="C2:V2"/>
  </mergeCells>
  <pageMargins left="0.7" right="0.7" top="0.75" bottom="0.75" header="0.3" footer="0.3"/>
  <pageSetup scale="65" orientation="landscape"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FF0000"/>
  </sheetPr>
  <dimension ref="A1:W188"/>
  <sheetViews>
    <sheetView showGridLines="0" topLeftCell="A80" zoomScale="80" zoomScaleNormal="80" zoomScaleSheetLayoutView="85" workbookViewId="0">
      <pane xSplit="2" ySplit="8" topLeftCell="C175" activePane="bottomRight" state="frozen"/>
      <selection activeCell="J193" sqref="J193"/>
      <selection pane="topRight" activeCell="J193" sqref="J193"/>
      <selection pane="bottomLeft" activeCell="J193" sqref="J193"/>
      <selection pane="bottomRight" activeCell="J193" sqref="J193"/>
    </sheetView>
  </sheetViews>
  <sheetFormatPr defaultColWidth="12.6640625" defaultRowHeight="15.75"/>
  <cols>
    <col min="1" max="2" width="12.6640625" style="270"/>
    <col min="3" max="3" width="12.109375" style="270" customWidth="1"/>
    <col min="4" max="4" width="12" style="270" customWidth="1"/>
    <col min="5" max="5" width="11.21875" style="270" customWidth="1"/>
    <col min="6" max="6" width="11.44140625" style="270" customWidth="1"/>
    <col min="7" max="7" width="11.21875" style="270" customWidth="1"/>
    <col min="8" max="8" width="17.44140625" style="270" customWidth="1"/>
    <col min="9" max="9" width="2.6640625" style="270" customWidth="1"/>
    <col min="10" max="16384" width="12.6640625" style="270"/>
  </cols>
  <sheetData>
    <row r="1" spans="3:23" ht="23.25" hidden="1" customHeight="1">
      <c r="C1" s="1940" t="s">
        <v>1159</v>
      </c>
      <c r="D1" s="1940"/>
      <c r="E1" s="1940"/>
      <c r="F1" s="1940"/>
      <c r="G1" s="1940"/>
      <c r="H1" s="1940"/>
      <c r="I1" s="160"/>
      <c r="J1" s="242"/>
      <c r="K1" s="242"/>
      <c r="L1" s="242"/>
      <c r="M1" s="242"/>
      <c r="N1" s="242"/>
      <c r="O1" s="242"/>
      <c r="P1" s="242"/>
      <c r="Q1" s="242"/>
      <c r="R1" s="242"/>
      <c r="S1" s="242"/>
      <c r="T1" s="242"/>
      <c r="U1" s="242"/>
      <c r="V1" s="242"/>
      <c r="W1" s="242"/>
    </row>
    <row r="2" spans="3:23" ht="13.15" hidden="1" customHeight="1" thickBot="1">
      <c r="C2" s="243"/>
      <c r="D2" s="243"/>
      <c r="E2" s="243"/>
      <c r="F2" s="243"/>
      <c r="G2" s="243"/>
      <c r="H2" s="243"/>
      <c r="I2" s="160"/>
      <c r="J2" s="242"/>
      <c r="K2" s="242"/>
      <c r="L2" s="242"/>
      <c r="M2" s="242"/>
      <c r="N2" s="242"/>
      <c r="O2" s="242"/>
      <c r="P2" s="242"/>
      <c r="Q2" s="242"/>
      <c r="R2" s="242"/>
      <c r="S2" s="242"/>
      <c r="T2" s="242"/>
      <c r="U2" s="242"/>
      <c r="V2" s="242"/>
      <c r="W2" s="242"/>
    </row>
    <row r="3" spans="3:23" ht="19.5" hidden="1" customHeight="1" thickTop="1">
      <c r="C3" s="244"/>
      <c r="D3" s="480"/>
      <c r="E3" s="480"/>
      <c r="F3" s="480"/>
      <c r="G3" s="480"/>
      <c r="H3" s="480"/>
      <c r="I3" s="162"/>
    </row>
    <row r="4" spans="3:23" ht="24" hidden="1" customHeight="1">
      <c r="C4" s="159"/>
      <c r="D4" s="481" t="s">
        <v>761</v>
      </c>
      <c r="E4" s="481" t="s">
        <v>764</v>
      </c>
      <c r="F4" s="481" t="s">
        <v>762</v>
      </c>
      <c r="G4" s="481" t="s">
        <v>763</v>
      </c>
      <c r="H4" s="481" t="s">
        <v>760</v>
      </c>
      <c r="I4" s="162"/>
    </row>
    <row r="5" spans="3:23" ht="24" hidden="1" customHeight="1">
      <c r="C5" s="161" t="s">
        <v>263</v>
      </c>
      <c r="D5" s="481" t="s">
        <v>1160</v>
      </c>
      <c r="E5" s="481" t="s">
        <v>1161</v>
      </c>
      <c r="F5" s="481" t="s">
        <v>1162</v>
      </c>
      <c r="G5" s="481" t="s">
        <v>1190</v>
      </c>
      <c r="H5" s="481" t="s">
        <v>1191</v>
      </c>
      <c r="I5" s="162"/>
    </row>
    <row r="6" spans="3:23" ht="12.75" hidden="1" customHeight="1">
      <c r="C6" s="161"/>
      <c r="D6" s="482"/>
      <c r="E6" s="482"/>
      <c r="F6" s="482"/>
      <c r="G6" s="482"/>
      <c r="H6" s="482"/>
      <c r="I6" s="162"/>
    </row>
    <row r="7" spans="3:23" ht="13.15" hidden="1" customHeight="1" thickBot="1">
      <c r="C7" s="245"/>
      <c r="D7" s="483"/>
      <c r="E7" s="483"/>
      <c r="F7" s="483"/>
      <c r="G7" s="483"/>
      <c r="H7" s="483"/>
      <c r="I7" s="162"/>
    </row>
    <row r="8" spans="3:23" ht="12.75" hidden="1" customHeight="1" thickTop="1">
      <c r="C8" s="244"/>
      <c r="D8" s="484"/>
      <c r="E8" s="484"/>
      <c r="F8" s="484"/>
      <c r="G8" s="484"/>
      <c r="H8" s="484"/>
      <c r="I8" s="160"/>
    </row>
    <row r="9" spans="3:23" ht="23.25" hidden="1" customHeight="1">
      <c r="C9" s="161">
        <v>2009</v>
      </c>
      <c r="D9" s="485"/>
      <c r="E9" s="485"/>
      <c r="F9" s="485"/>
      <c r="G9" s="485"/>
      <c r="H9" s="485"/>
      <c r="I9" s="160"/>
    </row>
    <row r="10" spans="3:23" ht="23.25" hidden="1" customHeight="1">
      <c r="C10" s="159"/>
      <c r="D10" s="485"/>
      <c r="E10" s="485"/>
      <c r="F10" s="485"/>
      <c r="G10" s="485"/>
      <c r="H10" s="485"/>
      <c r="I10" s="160"/>
    </row>
    <row r="11" spans="3:23" ht="24.75" hidden="1" customHeight="1">
      <c r="C11" s="159" t="s">
        <v>298</v>
      </c>
      <c r="D11" s="486">
        <v>10.042378096845308</v>
      </c>
      <c r="E11" s="486">
        <v>1.2885734081697975</v>
      </c>
      <c r="F11" s="486">
        <v>0.112170119336166</v>
      </c>
      <c r="G11" s="486">
        <v>1.2885734081697975</v>
      </c>
      <c r="H11" s="486">
        <v>14.275852434262701</v>
      </c>
      <c r="I11" s="160"/>
    </row>
    <row r="12" spans="3:23" ht="23.25" hidden="1" customHeight="1">
      <c r="C12" s="159" t="s">
        <v>299</v>
      </c>
      <c r="D12" s="486">
        <v>10.259999976947386</v>
      </c>
      <c r="E12" s="486">
        <v>1.2871169980786428</v>
      </c>
      <c r="F12" s="486">
        <v>0.11452810114731439</v>
      </c>
      <c r="G12" s="486">
        <v>1.2871169980786428</v>
      </c>
      <c r="H12" s="486">
        <v>14.745158969105162</v>
      </c>
      <c r="I12" s="160"/>
    </row>
    <row r="13" spans="3:23" ht="23.25" hidden="1" customHeight="1">
      <c r="C13" s="159" t="s">
        <v>300</v>
      </c>
      <c r="D13" s="486">
        <v>9.8863867799106746</v>
      </c>
      <c r="E13" s="486">
        <v>1.2478340862442787</v>
      </c>
      <c r="F13" s="486">
        <v>0.10130311595127124</v>
      </c>
      <c r="G13" s="486">
        <v>1.2478340862442787</v>
      </c>
      <c r="H13" s="486">
        <v>14.07695672207606</v>
      </c>
      <c r="I13" s="160"/>
    </row>
    <row r="14" spans="3:23" ht="23.25" hidden="1" customHeight="1">
      <c r="C14" s="159" t="s">
        <v>301</v>
      </c>
      <c r="D14" s="486">
        <v>9.0194012406724955</v>
      </c>
      <c r="E14" s="486">
        <v>1.2115256675357382</v>
      </c>
      <c r="F14" s="486">
        <v>9.1234379214240657E-2</v>
      </c>
      <c r="G14" s="486">
        <v>1.2115256675357382</v>
      </c>
      <c r="H14" s="486">
        <v>13.270916119751858</v>
      </c>
      <c r="I14" s="160"/>
    </row>
    <row r="15" spans="3:23" ht="23.25" hidden="1" customHeight="1">
      <c r="C15" s="159" t="s">
        <v>302</v>
      </c>
      <c r="D15" s="486">
        <v>8.3822835616515423</v>
      </c>
      <c r="E15" s="486">
        <v>1.1774860191139151</v>
      </c>
      <c r="F15" s="486">
        <v>8.686559833256198E-2</v>
      </c>
      <c r="G15" s="486">
        <v>1.1774860191139151</v>
      </c>
      <c r="H15" s="486">
        <v>12.919551738616239</v>
      </c>
      <c r="I15" s="160"/>
    </row>
    <row r="16" spans="3:23" ht="23.25" hidden="1" customHeight="1">
      <c r="C16" s="159" t="s">
        <v>303</v>
      </c>
      <c r="D16" s="486">
        <v>8.055873356373894</v>
      </c>
      <c r="E16" s="486">
        <v>1.1663786596750487</v>
      </c>
      <c r="F16" s="486">
        <v>8.3472371191355935E-2</v>
      </c>
      <c r="G16" s="486">
        <v>1.1663786596750487</v>
      </c>
      <c r="H16" s="486">
        <v>13.182417669725508</v>
      </c>
      <c r="I16" s="160"/>
    </row>
    <row r="17" spans="3:22" ht="23.25" hidden="1" customHeight="1">
      <c r="C17" s="159" t="s">
        <v>304</v>
      </c>
      <c r="D17" s="486">
        <v>7.9559301648155465</v>
      </c>
      <c r="E17" s="486">
        <v>1.1580124410366281</v>
      </c>
      <c r="F17" s="486">
        <v>8.4164928304298059E-2</v>
      </c>
      <c r="G17" s="486">
        <v>1.1580124410366281</v>
      </c>
      <c r="H17" s="486">
        <v>13.014263967976545</v>
      </c>
      <c r="I17" s="160"/>
    </row>
    <row r="18" spans="3:22" ht="23.25" hidden="1" customHeight="1">
      <c r="C18" s="159" t="s">
        <v>305</v>
      </c>
      <c r="D18" s="486">
        <v>7.81</v>
      </c>
      <c r="E18" s="486">
        <v>1.1499999999999999</v>
      </c>
      <c r="F18" s="486">
        <v>0.08</v>
      </c>
      <c r="G18" s="486">
        <v>11.13</v>
      </c>
      <c r="H18" s="486">
        <v>12.65</v>
      </c>
      <c r="I18" s="160"/>
    </row>
    <row r="19" spans="3:22" ht="23.25" hidden="1" customHeight="1">
      <c r="C19" s="159" t="s">
        <v>306</v>
      </c>
      <c r="D19" s="486">
        <v>7.81</v>
      </c>
      <c r="E19" s="486">
        <v>1.1499999999999999</v>
      </c>
      <c r="F19" s="486">
        <v>0.08</v>
      </c>
      <c r="G19" s="486">
        <v>11.13</v>
      </c>
      <c r="H19" s="486">
        <v>12.65</v>
      </c>
      <c r="I19" s="160"/>
    </row>
    <row r="20" spans="3:22" ht="23.25" hidden="1" customHeight="1">
      <c r="C20" s="159" t="s">
        <v>307</v>
      </c>
      <c r="D20" s="486">
        <v>7.74</v>
      </c>
      <c r="E20" s="486">
        <v>1.1499999999999999</v>
      </c>
      <c r="F20" s="486">
        <v>0.09</v>
      </c>
      <c r="G20" s="486">
        <v>11.48</v>
      </c>
      <c r="H20" s="486">
        <v>12.8</v>
      </c>
      <c r="I20" s="160"/>
    </row>
    <row r="21" spans="3:22" ht="23.25" hidden="1" customHeight="1">
      <c r="C21" s="159" t="s">
        <v>308</v>
      </c>
      <c r="D21" s="486">
        <v>7.38</v>
      </c>
      <c r="E21" s="486">
        <v>1.1100000000000001</v>
      </c>
      <c r="F21" s="486">
        <v>0.09</v>
      </c>
      <c r="G21" s="486">
        <v>11.11</v>
      </c>
      <c r="H21" s="486">
        <v>12.21</v>
      </c>
      <c r="I21" s="160"/>
    </row>
    <row r="22" spans="3:22" ht="23.25" hidden="1" customHeight="1">
      <c r="C22" s="159" t="s">
        <v>311</v>
      </c>
      <c r="D22" s="486">
        <v>7.39</v>
      </c>
      <c r="E22" s="486">
        <v>1.1100000000000001</v>
      </c>
      <c r="F22" s="486">
        <v>0.08</v>
      </c>
      <c r="G22" s="486">
        <v>10.56</v>
      </c>
      <c r="H22" s="486">
        <v>11.88</v>
      </c>
      <c r="I22" s="160"/>
    </row>
    <row r="23" spans="3:22" ht="23.25" hidden="1" customHeight="1">
      <c r="C23" s="161">
        <v>2010</v>
      </c>
      <c r="D23" s="486"/>
      <c r="E23" s="486"/>
      <c r="F23" s="486"/>
      <c r="G23" s="486"/>
      <c r="H23" s="486"/>
      <c r="I23" s="160"/>
    </row>
    <row r="24" spans="3:22" ht="9.6" hidden="1" customHeight="1">
      <c r="C24" s="161"/>
      <c r="D24" s="486"/>
      <c r="E24" s="486"/>
      <c r="F24" s="486"/>
      <c r="G24" s="486"/>
      <c r="H24" s="486"/>
      <c r="I24" s="160"/>
    </row>
    <row r="25" spans="3:22" ht="23.25" hidden="1" customHeight="1">
      <c r="C25" s="159" t="s">
        <v>298</v>
      </c>
      <c r="D25" s="486">
        <v>7.62</v>
      </c>
      <c r="E25" s="486">
        <v>6.8259385665529013</v>
      </c>
      <c r="F25" s="486">
        <v>89.84</v>
      </c>
      <c r="G25" s="486">
        <f>1/0.710732054015636</f>
        <v>1.4070000000000003</v>
      </c>
      <c r="H25" s="486">
        <f>1/0.619962802231866</f>
        <v>1.6130000000000004</v>
      </c>
      <c r="I25" s="160"/>
    </row>
    <row r="26" spans="3:22" ht="23.25" hidden="1" customHeight="1">
      <c r="C26" s="159" t="s">
        <v>299</v>
      </c>
      <c r="D26" s="486">
        <v>7.7</v>
      </c>
      <c r="E26" s="486">
        <v>6.92</v>
      </c>
      <c r="F26" s="486">
        <v>89.25</v>
      </c>
      <c r="G26" s="486">
        <f>1.36</f>
        <v>1.36</v>
      </c>
      <c r="H26" s="486">
        <f>1.51</f>
        <v>1.51</v>
      </c>
      <c r="I26" s="160"/>
    </row>
    <row r="27" spans="3:22" ht="23.25" hidden="1" customHeight="1">
      <c r="C27" s="159" t="s">
        <v>300</v>
      </c>
      <c r="D27" s="486">
        <v>7.38</v>
      </c>
      <c r="E27" s="486">
        <v>6.7842605156037994</v>
      </c>
      <c r="F27" s="486">
        <v>93.26</v>
      </c>
      <c r="G27" s="486">
        <f>1/0.74582338902148</f>
        <v>1.3407999999999993</v>
      </c>
      <c r="H27" s="486">
        <f>1/0.663305916688777</f>
        <v>1.5075999999999996</v>
      </c>
      <c r="I27" s="160"/>
    </row>
    <row r="28" spans="3:22" ht="23.25" hidden="1" customHeight="1">
      <c r="C28" s="159" t="s">
        <v>301</v>
      </c>
      <c r="D28" s="486">
        <v>7.3257000000000003</v>
      </c>
      <c r="E28" s="486">
        <v>6.8027210884353746</v>
      </c>
      <c r="F28" s="486">
        <v>94.045000000000002</v>
      </c>
      <c r="G28" s="486">
        <f>1/0.753295668549906</f>
        <v>1.3274999999999997</v>
      </c>
      <c r="H28" s="486">
        <f>1/0.650195058517555</f>
        <v>1.5380000000000007</v>
      </c>
      <c r="I28" s="160"/>
    </row>
    <row r="29" spans="3:22" ht="23.25" hidden="1" customHeight="1">
      <c r="C29" s="159" t="s">
        <v>302</v>
      </c>
      <c r="D29" s="486">
        <v>7.6146000000000003</v>
      </c>
      <c r="E29" s="486">
        <v>7.0323488045007032</v>
      </c>
      <c r="F29" s="486">
        <v>91.44</v>
      </c>
      <c r="G29" s="486">
        <f>1/0.812677773262901</f>
        <v>1.2305000000000004</v>
      </c>
      <c r="H29" s="486">
        <f>1/0.690226394257316</f>
        <v>1.4488000000000008</v>
      </c>
      <c r="I29" s="160"/>
    </row>
    <row r="30" spans="3:22" ht="23.25" hidden="1" customHeight="1" thickBot="1">
      <c r="C30" s="159" t="s">
        <v>303</v>
      </c>
      <c r="D30" s="486">
        <v>7.6275000000000004</v>
      </c>
      <c r="E30" s="486">
        <v>7.1787508973438614</v>
      </c>
      <c r="F30" s="486">
        <v>88.635000000000005</v>
      </c>
      <c r="G30" s="486">
        <f>1/0.81732733959951</f>
        <v>1.2234999999999994</v>
      </c>
      <c r="H30" s="486">
        <f>1/0.664495979799322</f>
        <v>1.5049000000000006</v>
      </c>
      <c r="I30" s="160"/>
    </row>
    <row r="31" spans="3:22" ht="23.25" hidden="1" customHeight="1" thickTop="1">
      <c r="C31" s="159" t="s">
        <v>304</v>
      </c>
      <c r="D31" s="486">
        <v>7.3670999999999998</v>
      </c>
      <c r="E31" s="486">
        <v>6.85</v>
      </c>
      <c r="F31" s="486">
        <v>86.444999999999993</v>
      </c>
      <c r="G31" s="486">
        <f>1.3077</f>
        <v>1.3077000000000001</v>
      </c>
      <c r="H31" s="486">
        <f>1.5614</f>
        <v>1.5613999999999999</v>
      </c>
      <c r="I31" s="280"/>
      <c r="J31" s="280"/>
      <c r="K31" s="277"/>
      <c r="L31" s="271"/>
      <c r="M31" s="271"/>
      <c r="N31" s="271"/>
      <c r="O31" s="271"/>
      <c r="P31" s="271"/>
      <c r="Q31" s="271"/>
      <c r="R31" s="271"/>
      <c r="S31" s="271"/>
      <c r="T31" s="271"/>
      <c r="U31" s="271"/>
      <c r="V31" s="272"/>
    </row>
    <row r="32" spans="3:22" ht="23.25" hidden="1" customHeight="1">
      <c r="C32" s="159" t="s">
        <v>305</v>
      </c>
      <c r="D32" s="486">
        <v>7.3208000000000002</v>
      </c>
      <c r="E32" s="486">
        <v>6.88</v>
      </c>
      <c r="F32" s="486">
        <v>85.5</v>
      </c>
      <c r="G32" s="486">
        <f>1.27</f>
        <v>1.27</v>
      </c>
      <c r="H32" s="486">
        <f>1.5536</f>
        <v>1.5536000000000001</v>
      </c>
      <c r="I32" s="280"/>
      <c r="J32" s="278"/>
      <c r="K32" s="273"/>
      <c r="L32" s="273"/>
      <c r="M32" s="273"/>
      <c r="N32" s="746"/>
      <c r="O32" s="746"/>
      <c r="P32" s="746"/>
      <c r="Q32" s="273"/>
      <c r="R32" s="746"/>
      <c r="S32" s="273"/>
      <c r="T32" s="273"/>
      <c r="U32" s="273"/>
      <c r="V32" s="274"/>
    </row>
    <row r="33" spans="3:22" ht="23.25" hidden="1" customHeight="1">
      <c r="C33" s="159" t="s">
        <v>306</v>
      </c>
      <c r="D33" s="486">
        <v>6.9764999999999997</v>
      </c>
      <c r="E33" s="486">
        <v>6.67</v>
      </c>
      <c r="F33" s="486">
        <v>83.36</v>
      </c>
      <c r="G33" s="486">
        <f>1.3577</f>
        <v>1.3576999999999999</v>
      </c>
      <c r="H33" s="486">
        <f>1.5853</f>
        <v>1.5852999999999999</v>
      </c>
      <c r="I33" s="747"/>
      <c r="J33" s="748"/>
      <c r="K33" s="746"/>
      <c r="L33" s="273"/>
      <c r="M33" s="273"/>
      <c r="N33" s="746"/>
      <c r="O33" s="746"/>
      <c r="P33" s="746"/>
      <c r="Q33" s="746"/>
      <c r="R33" s="746"/>
      <c r="S33" s="746"/>
      <c r="T33" s="273"/>
      <c r="U33" s="746"/>
      <c r="V33" s="746"/>
    </row>
    <row r="34" spans="3:22" ht="23.25" hidden="1" customHeight="1" thickBot="1">
      <c r="C34" s="159" t="s">
        <v>307</v>
      </c>
      <c r="D34" s="486">
        <v>7.0167999999999999</v>
      </c>
      <c r="E34" s="486">
        <v>6.67</v>
      </c>
      <c r="F34" s="486">
        <v>80.66</v>
      </c>
      <c r="G34" s="486">
        <f>1.3881</f>
        <v>1.3880999999999999</v>
      </c>
      <c r="H34" s="486">
        <f>1.5943</f>
        <v>1.5943000000000001</v>
      </c>
      <c r="I34" s="747"/>
      <c r="J34" s="748"/>
      <c r="K34" s="749"/>
      <c r="L34" s="275"/>
      <c r="M34" s="749"/>
      <c r="N34" s="749"/>
      <c r="O34" s="749"/>
      <c r="P34" s="749"/>
      <c r="Q34" s="749"/>
      <c r="R34" s="749"/>
      <c r="S34" s="749"/>
      <c r="T34" s="749"/>
      <c r="U34" s="749"/>
      <c r="V34" s="749"/>
    </row>
    <row r="35" spans="3:22" ht="23.25" hidden="1" customHeight="1" thickTop="1">
      <c r="C35" s="159" t="s">
        <v>308</v>
      </c>
      <c r="D35" s="486">
        <v>7.1349999999999998</v>
      </c>
      <c r="E35" s="486">
        <v>6.51</v>
      </c>
      <c r="F35" s="486">
        <v>84.07</v>
      </c>
      <c r="G35" s="486">
        <f>1.31095</f>
        <v>1.3109500000000001</v>
      </c>
      <c r="H35" s="486">
        <f>1.5552</f>
        <v>1.5551999999999999</v>
      </c>
      <c r="I35" s="747"/>
      <c r="J35" s="748"/>
      <c r="K35" s="750"/>
      <c r="L35" s="750"/>
      <c r="M35" s="750"/>
      <c r="N35" s="750"/>
      <c r="O35" s="750"/>
      <c r="P35" s="750"/>
      <c r="Q35" s="750"/>
      <c r="R35" s="750"/>
      <c r="S35" s="750"/>
      <c r="T35" s="750"/>
      <c r="U35" s="750"/>
      <c r="V35" s="750"/>
    </row>
    <row r="36" spans="3:22" ht="23.25" hidden="1" customHeight="1">
      <c r="C36" s="159" t="s">
        <v>311</v>
      </c>
      <c r="D36" s="486">
        <v>6.62</v>
      </c>
      <c r="E36" s="486">
        <v>6.67</v>
      </c>
      <c r="F36" s="486">
        <v>81.254999999999995</v>
      </c>
      <c r="G36" s="486">
        <f>1.3306</f>
        <v>1.3306</v>
      </c>
      <c r="H36" s="486">
        <f>1.5556</f>
        <v>1.5556000000000001</v>
      </c>
      <c r="I36" s="280"/>
      <c r="J36" s="278"/>
      <c r="K36" s="273"/>
      <c r="L36" s="273"/>
      <c r="M36" s="273"/>
      <c r="N36" s="273"/>
      <c r="O36" s="273"/>
      <c r="P36" s="273"/>
      <c r="Q36" s="273"/>
      <c r="R36" s="273"/>
      <c r="S36" s="273"/>
      <c r="T36" s="273"/>
      <c r="U36" s="273"/>
      <c r="V36" s="273"/>
    </row>
    <row r="37" spans="3:22" ht="23.25" hidden="1" customHeight="1" thickBot="1">
      <c r="C37" s="159"/>
      <c r="D37" s="486"/>
      <c r="E37" s="751"/>
      <c r="F37" s="486"/>
      <c r="G37" s="486"/>
      <c r="H37" s="486"/>
      <c r="I37" s="747"/>
      <c r="J37" s="748"/>
      <c r="K37" s="749"/>
      <c r="L37" s="749"/>
      <c r="M37" s="749"/>
      <c r="N37" s="749"/>
      <c r="O37" s="749"/>
      <c r="P37" s="749"/>
      <c r="Q37" s="749"/>
      <c r="R37" s="749"/>
      <c r="S37" s="749"/>
      <c r="T37" s="749"/>
      <c r="U37" s="749"/>
      <c r="V37" s="749"/>
    </row>
    <row r="38" spans="3:22" ht="23.25" hidden="1" customHeight="1" thickTop="1">
      <c r="C38" s="560">
        <v>2011</v>
      </c>
      <c r="D38" s="560"/>
      <c r="E38" s="605"/>
      <c r="F38" s="560"/>
      <c r="G38" s="560"/>
      <c r="H38" s="560"/>
      <c r="I38" s="747"/>
      <c r="J38" s="748"/>
      <c r="K38" s="750"/>
      <c r="L38" s="750"/>
      <c r="M38" s="750"/>
      <c r="N38" s="750"/>
      <c r="O38" s="750"/>
      <c r="P38" s="750"/>
      <c r="Q38" s="750"/>
      <c r="R38" s="750"/>
      <c r="S38" s="750"/>
      <c r="T38" s="750"/>
      <c r="U38" s="750"/>
      <c r="V38" s="750"/>
    </row>
    <row r="39" spans="3:22" ht="23.25" hidden="1" customHeight="1">
      <c r="C39" s="613"/>
      <c r="D39" s="560"/>
      <c r="E39" s="607"/>
      <c r="F39" s="560"/>
      <c r="G39" s="560"/>
      <c r="H39" s="560"/>
      <c r="I39" s="280"/>
      <c r="J39" s="278"/>
      <c r="K39" s="273"/>
      <c r="L39" s="273"/>
      <c r="M39" s="273"/>
      <c r="N39" s="273"/>
      <c r="O39" s="273"/>
      <c r="P39" s="273"/>
      <c r="Q39" s="273"/>
      <c r="R39" s="273"/>
      <c r="S39" s="273"/>
      <c r="T39" s="273"/>
      <c r="U39" s="273"/>
      <c r="V39" s="273"/>
    </row>
    <row r="40" spans="3:22" ht="23.25" hidden="1" customHeight="1">
      <c r="C40" s="613" t="s">
        <v>298</v>
      </c>
      <c r="D40" s="560">
        <v>7.17</v>
      </c>
      <c r="E40" s="560">
        <v>6.67</v>
      </c>
      <c r="F40" s="560">
        <v>82.01</v>
      </c>
      <c r="G40" s="560">
        <v>1.36</v>
      </c>
      <c r="H40" s="560">
        <v>1.59</v>
      </c>
      <c r="I40" s="280"/>
      <c r="J40" s="278"/>
      <c r="K40" s="273"/>
      <c r="L40" s="273"/>
      <c r="M40" s="273"/>
      <c r="N40" s="273"/>
      <c r="O40" s="273"/>
      <c r="P40" s="273"/>
      <c r="Q40" s="273"/>
      <c r="R40" s="273"/>
      <c r="S40" s="273"/>
      <c r="T40" s="273"/>
      <c r="U40" s="273"/>
      <c r="V40" s="273"/>
    </row>
    <row r="41" spans="3:22" ht="23.25" hidden="1" customHeight="1">
      <c r="C41" s="613" t="s">
        <v>299</v>
      </c>
      <c r="D41" s="560">
        <v>6.99</v>
      </c>
      <c r="E41" s="607">
        <v>6.67</v>
      </c>
      <c r="F41" s="560">
        <v>81.66</v>
      </c>
      <c r="G41" s="560">
        <v>1.38</v>
      </c>
      <c r="H41" s="560">
        <v>1.61</v>
      </c>
      <c r="I41" s="280"/>
      <c r="J41" s="278"/>
      <c r="K41" s="273"/>
      <c r="L41" s="273"/>
      <c r="M41" s="273"/>
      <c r="N41" s="273"/>
      <c r="O41" s="273"/>
      <c r="P41" s="273"/>
      <c r="Q41" s="273"/>
      <c r="R41" s="273"/>
      <c r="S41" s="273"/>
      <c r="T41" s="273"/>
      <c r="U41" s="273"/>
      <c r="V41" s="273"/>
    </row>
    <row r="42" spans="3:22" ht="23.25" hidden="1" customHeight="1">
      <c r="C42" s="613" t="s">
        <v>300</v>
      </c>
      <c r="D42" s="560">
        <v>6.8</v>
      </c>
      <c r="E42" s="607">
        <v>6.55</v>
      </c>
      <c r="F42" s="560">
        <v>82.76</v>
      </c>
      <c r="G42" s="560">
        <v>1.42</v>
      </c>
      <c r="H42" s="560">
        <v>1.61</v>
      </c>
      <c r="I42" s="280"/>
      <c r="J42" s="278"/>
      <c r="K42" s="273"/>
      <c r="L42" s="273"/>
      <c r="M42" s="273"/>
      <c r="N42" s="273"/>
      <c r="O42" s="273"/>
      <c r="P42" s="273"/>
      <c r="Q42" s="273"/>
      <c r="R42" s="273"/>
      <c r="S42" s="273"/>
      <c r="T42" s="273"/>
      <c r="U42" s="273"/>
      <c r="V42" s="273"/>
    </row>
    <row r="43" spans="3:22" ht="23.25" hidden="1" customHeight="1">
      <c r="C43" s="613" t="s">
        <v>301</v>
      </c>
      <c r="D43" s="560">
        <v>6.61</v>
      </c>
      <c r="E43" s="607">
        <v>6.38</v>
      </c>
      <c r="F43" s="560">
        <v>81.569999999999993</v>
      </c>
      <c r="G43" s="560">
        <v>1.48</v>
      </c>
      <c r="H43" s="560">
        <v>1.67</v>
      </c>
      <c r="I43" s="280"/>
      <c r="J43" s="278"/>
      <c r="K43" s="273"/>
      <c r="L43" s="273"/>
      <c r="M43" s="273"/>
      <c r="N43" s="273"/>
      <c r="O43" s="273"/>
      <c r="P43" s="273"/>
      <c r="Q43" s="273"/>
      <c r="R43" s="273"/>
      <c r="S43" s="273"/>
      <c r="T43" s="273"/>
      <c r="U43" s="273"/>
      <c r="V43" s="273"/>
    </row>
    <row r="44" spans="3:22" ht="23.25" hidden="1" customHeight="1">
      <c r="C44" s="613" t="s">
        <v>302</v>
      </c>
      <c r="D44" s="560">
        <v>6.9</v>
      </c>
      <c r="E44" s="607">
        <v>6.61</v>
      </c>
      <c r="F44" s="560">
        <v>81.430000000000007</v>
      </c>
      <c r="G44" s="560">
        <v>1.44</v>
      </c>
      <c r="H44" s="560">
        <v>1.65</v>
      </c>
      <c r="I44" s="280"/>
      <c r="J44" s="278"/>
      <c r="K44" s="273"/>
      <c r="L44" s="273"/>
      <c r="M44" s="273"/>
      <c r="N44" s="273"/>
      <c r="O44" s="273"/>
      <c r="P44" s="273"/>
      <c r="Q44" s="273"/>
      <c r="R44" s="273"/>
      <c r="S44" s="273"/>
      <c r="T44" s="273"/>
      <c r="U44" s="273"/>
      <c r="V44" s="273"/>
    </row>
    <row r="45" spans="3:22" ht="23.25" hidden="1" customHeight="1">
      <c r="C45" s="613" t="s">
        <v>303</v>
      </c>
      <c r="D45" s="560">
        <v>6.79</v>
      </c>
      <c r="E45" s="607">
        <v>6.53</v>
      </c>
      <c r="F45" s="560">
        <v>80.45</v>
      </c>
      <c r="G45" s="560">
        <v>1.45</v>
      </c>
      <c r="H45" s="560">
        <v>1.61</v>
      </c>
      <c r="I45" s="280"/>
      <c r="J45" s="278"/>
      <c r="K45" s="273"/>
      <c r="L45" s="273"/>
      <c r="M45" s="273"/>
      <c r="N45" s="273"/>
      <c r="O45" s="273"/>
      <c r="P45" s="273"/>
      <c r="Q45" s="273"/>
      <c r="R45" s="273"/>
      <c r="S45" s="273"/>
      <c r="T45" s="273"/>
      <c r="U45" s="273"/>
      <c r="V45" s="273"/>
    </row>
    <row r="46" spans="3:22" ht="23.25" hidden="1" customHeight="1">
      <c r="C46" s="613" t="s">
        <v>304</v>
      </c>
      <c r="D46" s="560">
        <v>6.76</v>
      </c>
      <c r="E46" s="607">
        <v>6.51</v>
      </c>
      <c r="F46" s="560">
        <v>77.510000000000005</v>
      </c>
      <c r="G46" s="560">
        <v>1.43</v>
      </c>
      <c r="H46" s="560">
        <v>1.63</v>
      </c>
      <c r="I46" s="280"/>
      <c r="J46" s="278"/>
      <c r="K46" s="273"/>
      <c r="L46" s="273"/>
      <c r="M46" s="273"/>
      <c r="N46" s="273"/>
      <c r="O46" s="273"/>
      <c r="P46" s="273"/>
      <c r="Q46" s="273"/>
      <c r="R46" s="273"/>
      <c r="S46" s="273"/>
      <c r="T46" s="273"/>
      <c r="U46" s="273"/>
      <c r="V46" s="273"/>
    </row>
    <row r="47" spans="3:22" ht="23.25" hidden="1" customHeight="1">
      <c r="C47" s="613" t="s">
        <v>305</v>
      </c>
      <c r="D47" s="560">
        <v>7.05</v>
      </c>
      <c r="E47" s="560">
        <v>6.72</v>
      </c>
      <c r="F47" s="560">
        <v>76.59</v>
      </c>
      <c r="G47" s="560">
        <v>1.44</v>
      </c>
      <c r="H47" s="560">
        <v>1.63</v>
      </c>
      <c r="I47" s="280"/>
      <c r="J47" s="278"/>
      <c r="K47" s="273"/>
      <c r="L47" s="273"/>
      <c r="M47" s="273"/>
      <c r="N47" s="273"/>
      <c r="O47" s="273"/>
      <c r="P47" s="273"/>
      <c r="Q47" s="273"/>
      <c r="R47" s="273"/>
      <c r="S47" s="273"/>
      <c r="T47" s="273"/>
      <c r="U47" s="273"/>
      <c r="V47" s="273"/>
    </row>
    <row r="48" spans="3:22" ht="23.25" hidden="1" customHeight="1">
      <c r="C48" s="613" t="s">
        <v>306</v>
      </c>
      <c r="D48" s="560">
        <v>7.97</v>
      </c>
      <c r="E48" s="560">
        <v>7.31</v>
      </c>
      <c r="F48" s="560">
        <v>76.63</v>
      </c>
      <c r="G48" s="560">
        <v>1.35</v>
      </c>
      <c r="H48" s="560">
        <v>1.56</v>
      </c>
      <c r="I48" s="280"/>
      <c r="J48" s="278"/>
      <c r="K48" s="273"/>
      <c r="L48" s="273"/>
      <c r="M48" s="273"/>
      <c r="N48" s="273"/>
      <c r="O48" s="273"/>
      <c r="P48" s="273"/>
      <c r="Q48" s="273"/>
      <c r="R48" s="273"/>
      <c r="S48" s="273"/>
      <c r="T48" s="273"/>
      <c r="U48" s="273"/>
      <c r="V48" s="273"/>
    </row>
    <row r="49" spans="2:22" ht="23.25" hidden="1" customHeight="1">
      <c r="C49" s="613" t="s">
        <v>307</v>
      </c>
      <c r="D49" s="560">
        <v>7.84</v>
      </c>
      <c r="E49" s="560">
        <v>7.22</v>
      </c>
      <c r="F49" s="560">
        <v>79.47</v>
      </c>
      <c r="G49" s="560">
        <v>1.4</v>
      </c>
      <c r="H49" s="560">
        <v>1.6</v>
      </c>
      <c r="I49" s="280"/>
      <c r="J49" s="278"/>
      <c r="K49" s="273"/>
      <c r="L49" s="273"/>
      <c r="M49" s="273"/>
      <c r="N49" s="273"/>
      <c r="O49" s="273"/>
      <c r="P49" s="273"/>
      <c r="Q49" s="273"/>
      <c r="R49" s="273"/>
      <c r="S49" s="273"/>
      <c r="T49" s="273"/>
      <c r="U49" s="273"/>
      <c r="V49" s="273"/>
    </row>
    <row r="50" spans="2:22" ht="23.25" hidden="1" customHeight="1">
      <c r="C50" s="613" t="s">
        <v>308</v>
      </c>
      <c r="D50" s="560">
        <v>8.3699999999999992</v>
      </c>
      <c r="E50" s="560">
        <v>7.57</v>
      </c>
      <c r="F50" s="560">
        <v>77.900000000000006</v>
      </c>
      <c r="G50" s="560">
        <v>1.33</v>
      </c>
      <c r="H50" s="560">
        <v>1.56</v>
      </c>
      <c r="I50" s="280"/>
      <c r="J50" s="278"/>
      <c r="K50" s="273"/>
      <c r="L50" s="273"/>
      <c r="M50" s="273"/>
      <c r="N50" s="273"/>
      <c r="O50" s="273"/>
      <c r="P50" s="273"/>
      <c r="Q50" s="273"/>
      <c r="R50" s="273"/>
      <c r="S50" s="273"/>
      <c r="T50" s="273"/>
      <c r="U50" s="273"/>
      <c r="V50" s="273"/>
    </row>
    <row r="51" spans="2:22" ht="23.25" hidden="1" customHeight="1">
      <c r="C51" s="613" t="s">
        <v>311</v>
      </c>
      <c r="D51" s="560">
        <v>8.17</v>
      </c>
      <c r="E51" s="560">
        <v>7.54</v>
      </c>
      <c r="F51" s="560">
        <v>77.56</v>
      </c>
      <c r="G51" s="560">
        <v>1.3</v>
      </c>
      <c r="H51" s="560">
        <v>1.54</v>
      </c>
      <c r="I51" s="280"/>
      <c r="J51" s="278"/>
      <c r="K51" s="273"/>
      <c r="L51" s="273"/>
      <c r="M51" s="273"/>
      <c r="N51" s="273"/>
      <c r="O51" s="273"/>
      <c r="P51" s="273"/>
      <c r="Q51" s="273"/>
      <c r="R51" s="273"/>
      <c r="S51" s="273"/>
      <c r="T51" s="273"/>
      <c r="U51" s="273"/>
      <c r="V51" s="273"/>
    </row>
    <row r="52" spans="2:22" ht="23.25" hidden="1" customHeight="1">
      <c r="C52" s="539"/>
      <c r="D52" s="486"/>
      <c r="E52" s="486"/>
      <c r="F52" s="486"/>
      <c r="G52" s="486"/>
      <c r="H52" s="486"/>
      <c r="I52" s="280"/>
      <c r="J52" s="278"/>
      <c r="K52" s="273"/>
      <c r="L52" s="273"/>
      <c r="M52" s="273"/>
      <c r="N52" s="273"/>
      <c r="O52" s="273"/>
      <c r="P52" s="273"/>
      <c r="Q52" s="273"/>
      <c r="R52" s="273"/>
      <c r="S52" s="273"/>
      <c r="T52" s="273"/>
      <c r="U52" s="273"/>
      <c r="V52" s="273"/>
    </row>
    <row r="53" spans="2:22" ht="23.25" hidden="1" customHeight="1">
      <c r="C53" s="560">
        <v>2012</v>
      </c>
      <c r="D53" s="560"/>
      <c r="E53" s="560"/>
      <c r="F53" s="560"/>
      <c r="G53" s="560"/>
      <c r="H53" s="560"/>
      <c r="I53" s="280"/>
      <c r="J53" s="278"/>
      <c r="K53" s="273"/>
      <c r="L53" s="273"/>
      <c r="M53" s="273"/>
      <c r="N53" s="273"/>
      <c r="O53" s="273"/>
      <c r="P53" s="273"/>
      <c r="Q53" s="273"/>
      <c r="R53" s="273"/>
      <c r="S53" s="273"/>
      <c r="T53" s="273"/>
      <c r="U53" s="273"/>
      <c r="V53" s="273"/>
    </row>
    <row r="54" spans="2:22" ht="23.25" hidden="1" customHeight="1">
      <c r="C54" s="613"/>
      <c r="D54" s="560"/>
      <c r="E54" s="560"/>
      <c r="F54" s="560"/>
      <c r="G54" s="560"/>
      <c r="H54" s="560"/>
      <c r="I54" s="280"/>
      <c r="J54" s="278"/>
      <c r="K54" s="273"/>
      <c r="L54" s="273"/>
      <c r="M54" s="273"/>
      <c r="N54" s="273"/>
      <c r="O54" s="273"/>
      <c r="P54" s="273"/>
      <c r="Q54" s="273"/>
      <c r="R54" s="273"/>
      <c r="S54" s="273"/>
      <c r="T54" s="273"/>
      <c r="U54" s="273"/>
      <c r="V54" s="273"/>
    </row>
    <row r="55" spans="2:22" ht="23.25" hidden="1" customHeight="1">
      <c r="C55" s="613" t="s">
        <v>298</v>
      </c>
      <c r="D55" s="560">
        <v>7.82</v>
      </c>
      <c r="E55" s="560">
        <v>7.32</v>
      </c>
      <c r="F55" s="560">
        <v>76.2</v>
      </c>
      <c r="G55" s="560">
        <v>1.32</v>
      </c>
      <c r="H55" s="560">
        <v>1.6</v>
      </c>
      <c r="I55" s="280"/>
      <c r="J55" s="278"/>
      <c r="K55" s="273"/>
      <c r="L55" s="273"/>
      <c r="M55" s="273"/>
      <c r="N55" s="273"/>
      <c r="O55" s="273"/>
      <c r="P55" s="273"/>
      <c r="Q55" s="273"/>
      <c r="R55" s="273"/>
      <c r="S55" s="273"/>
      <c r="T55" s="273"/>
      <c r="U55" s="273"/>
      <c r="V55" s="273"/>
    </row>
    <row r="56" spans="2:22" ht="23.25" hidden="1" customHeight="1">
      <c r="C56" s="613" t="s">
        <v>299</v>
      </c>
      <c r="D56" s="560">
        <v>7.47</v>
      </c>
      <c r="E56" s="560">
        <v>7.13</v>
      </c>
      <c r="F56" s="560">
        <v>80.28</v>
      </c>
      <c r="G56" s="560">
        <v>1.35</v>
      </c>
      <c r="H56" s="560">
        <v>1.6</v>
      </c>
      <c r="I56" s="280"/>
      <c r="J56" s="278"/>
      <c r="K56" s="273"/>
      <c r="L56" s="273"/>
      <c r="M56" s="273"/>
      <c r="N56" s="273"/>
      <c r="O56" s="273"/>
      <c r="P56" s="273"/>
      <c r="Q56" s="273"/>
      <c r="R56" s="273"/>
      <c r="S56" s="273"/>
      <c r="T56" s="273"/>
      <c r="U56" s="273"/>
      <c r="V56" s="273"/>
    </row>
    <row r="57" spans="2:22" ht="23.25" hidden="1" customHeight="1">
      <c r="C57" s="613" t="s">
        <v>300</v>
      </c>
      <c r="D57" s="560">
        <v>7.59</v>
      </c>
      <c r="E57" s="560">
        <v>7.29</v>
      </c>
      <c r="F57" s="560">
        <v>81.92</v>
      </c>
      <c r="G57" s="560">
        <v>1.33</v>
      </c>
      <c r="H57" s="560">
        <v>1.59</v>
      </c>
      <c r="I57" s="280"/>
      <c r="J57" s="278"/>
      <c r="K57" s="273"/>
      <c r="L57" s="273"/>
      <c r="M57" s="273"/>
      <c r="N57" s="273"/>
      <c r="O57" s="273"/>
      <c r="P57" s="273"/>
      <c r="Q57" s="273"/>
      <c r="R57" s="273"/>
      <c r="S57" s="273"/>
      <c r="T57" s="273"/>
      <c r="U57" s="273"/>
      <c r="V57" s="273"/>
    </row>
    <row r="58" spans="2:22" ht="14.1" hidden="1" customHeight="1">
      <c r="B58" s="270" t="s">
        <v>296</v>
      </c>
      <c r="C58" s="613" t="s">
        <v>301</v>
      </c>
      <c r="D58" s="560">
        <v>7.82</v>
      </c>
      <c r="E58" s="560">
        <v>7.41</v>
      </c>
      <c r="F58" s="560">
        <v>80.78</v>
      </c>
      <c r="G58" s="560">
        <v>1.32</v>
      </c>
      <c r="H58" s="560">
        <v>1.61</v>
      </c>
      <c r="I58" s="280"/>
      <c r="J58" s="278"/>
      <c r="K58" s="273"/>
      <c r="L58" s="273"/>
      <c r="M58" s="273"/>
      <c r="N58" s="273"/>
      <c r="O58" s="273"/>
      <c r="P58" s="273"/>
      <c r="Q58" s="273"/>
      <c r="R58" s="273"/>
      <c r="S58" s="273"/>
      <c r="T58" s="273"/>
      <c r="U58" s="273"/>
      <c r="V58" s="273"/>
    </row>
    <row r="59" spans="2:22" ht="14.1" hidden="1" customHeight="1">
      <c r="C59" s="613" t="s">
        <v>302</v>
      </c>
      <c r="D59" s="560">
        <v>8.14</v>
      </c>
      <c r="E59" s="560">
        <v>7.63</v>
      </c>
      <c r="F59" s="560">
        <v>79.8</v>
      </c>
      <c r="G59" s="560">
        <v>1.28</v>
      </c>
      <c r="H59" s="560">
        <v>1.59</v>
      </c>
      <c r="I59" s="280"/>
      <c r="J59" s="278"/>
      <c r="K59" s="273"/>
      <c r="L59" s="273"/>
      <c r="M59" s="273"/>
      <c r="N59" s="273"/>
      <c r="O59" s="273"/>
      <c r="P59" s="273"/>
      <c r="Q59" s="273"/>
      <c r="R59" s="273"/>
      <c r="S59" s="273"/>
      <c r="T59" s="273"/>
      <c r="U59" s="273"/>
      <c r="V59" s="273"/>
    </row>
    <row r="60" spans="2:22" ht="14.1" hidden="1" customHeight="1">
      <c r="C60" s="613" t="s">
        <v>303</v>
      </c>
      <c r="D60" s="560">
        <v>8.3800000000000008</v>
      </c>
      <c r="E60" s="560">
        <v>7.77</v>
      </c>
      <c r="F60" s="560">
        <v>79.42</v>
      </c>
      <c r="G60" s="560">
        <v>1.25</v>
      </c>
      <c r="H60" s="560">
        <v>1.56</v>
      </c>
      <c r="I60" s="280"/>
      <c r="J60" s="278"/>
      <c r="K60" s="273"/>
      <c r="L60" s="273"/>
      <c r="M60" s="273"/>
      <c r="N60" s="273"/>
      <c r="O60" s="273"/>
      <c r="P60" s="273"/>
      <c r="Q60" s="273"/>
      <c r="R60" s="273"/>
      <c r="S60" s="273"/>
      <c r="T60" s="273"/>
      <c r="U60" s="273"/>
      <c r="V60" s="273"/>
    </row>
    <row r="61" spans="2:22" ht="14.1" hidden="1" customHeight="1">
      <c r="C61" s="613" t="s">
        <v>304</v>
      </c>
      <c r="D61" s="560">
        <v>8.18</v>
      </c>
      <c r="E61" s="560">
        <v>7.74</v>
      </c>
      <c r="F61" s="560">
        <v>78.23</v>
      </c>
      <c r="G61" s="560">
        <v>1.23</v>
      </c>
      <c r="H61" s="560">
        <v>1.57</v>
      </c>
      <c r="I61" s="280"/>
      <c r="J61" s="278"/>
      <c r="K61" s="273"/>
      <c r="L61" s="273"/>
      <c r="M61" s="273"/>
      <c r="N61" s="273"/>
      <c r="O61" s="273"/>
      <c r="P61" s="273"/>
      <c r="Q61" s="273"/>
      <c r="R61" s="273"/>
      <c r="S61" s="273"/>
      <c r="T61" s="273"/>
      <c r="U61" s="273"/>
      <c r="V61" s="273"/>
    </row>
    <row r="62" spans="2:22" ht="14.1" hidden="1" customHeight="1">
      <c r="C62" s="613" t="s">
        <v>305</v>
      </c>
      <c r="D62" s="560">
        <v>8.4499999999999993</v>
      </c>
      <c r="E62" s="560">
        <v>7.8</v>
      </c>
      <c r="F62" s="560">
        <v>78.47</v>
      </c>
      <c r="G62" s="560">
        <v>1.25</v>
      </c>
      <c r="H62" s="560">
        <v>1.58</v>
      </c>
      <c r="I62" s="280"/>
      <c r="J62" s="278"/>
      <c r="K62" s="273"/>
      <c r="L62" s="273"/>
      <c r="M62" s="273"/>
      <c r="N62" s="273"/>
      <c r="O62" s="273"/>
      <c r="P62" s="273"/>
      <c r="Q62" s="273"/>
      <c r="R62" s="273"/>
      <c r="S62" s="273"/>
      <c r="T62" s="273"/>
      <c r="U62" s="273"/>
      <c r="V62" s="273"/>
    </row>
    <row r="63" spans="2:22" ht="14.1" hidden="1" customHeight="1">
      <c r="C63" s="613" t="s">
        <v>306</v>
      </c>
      <c r="D63" s="560">
        <v>8.23</v>
      </c>
      <c r="E63" s="560">
        <v>7.65</v>
      </c>
      <c r="F63" s="560">
        <v>77.5</v>
      </c>
      <c r="G63" s="560">
        <v>1.29</v>
      </c>
      <c r="H63" s="560">
        <v>1.63</v>
      </c>
      <c r="I63" s="280"/>
      <c r="J63" s="278"/>
      <c r="K63" s="273"/>
      <c r="L63" s="273"/>
      <c r="M63" s="273"/>
      <c r="N63" s="273"/>
      <c r="O63" s="273"/>
      <c r="P63" s="273"/>
      <c r="Q63" s="273"/>
      <c r="R63" s="273"/>
      <c r="S63" s="273"/>
      <c r="T63" s="273"/>
      <c r="U63" s="273"/>
      <c r="V63" s="273"/>
    </row>
    <row r="64" spans="2:22" ht="14.1" hidden="1" customHeight="1">
      <c r="C64" s="613" t="s">
        <v>307</v>
      </c>
      <c r="D64" s="560">
        <v>8.64</v>
      </c>
      <c r="E64" s="560">
        <v>7.88</v>
      </c>
      <c r="F64" s="560">
        <v>79.78</v>
      </c>
      <c r="G64" s="560">
        <v>1.3</v>
      </c>
      <c r="H64" s="560">
        <v>1.61</v>
      </c>
      <c r="I64" s="280"/>
      <c r="J64" s="278"/>
      <c r="K64" s="273"/>
      <c r="L64" s="273"/>
      <c r="M64" s="273"/>
      <c r="N64" s="273"/>
      <c r="O64" s="273"/>
      <c r="P64" s="273"/>
      <c r="Q64" s="273"/>
      <c r="R64" s="273"/>
      <c r="S64" s="273"/>
      <c r="T64" s="273"/>
      <c r="U64" s="273"/>
      <c r="V64" s="273"/>
    </row>
    <row r="65" spans="3:22" ht="13.15" hidden="1" customHeight="1">
      <c r="C65" s="613" t="s">
        <v>308</v>
      </c>
      <c r="D65" s="560">
        <v>8.7799999999999994</v>
      </c>
      <c r="E65" s="560">
        <v>7.95</v>
      </c>
      <c r="F65" s="560">
        <v>80.94</v>
      </c>
      <c r="G65" s="560">
        <v>1.3</v>
      </c>
      <c r="H65" s="560">
        <v>1.6</v>
      </c>
      <c r="I65" s="280"/>
      <c r="J65" s="278"/>
      <c r="K65" s="273"/>
      <c r="L65" s="273"/>
      <c r="M65" s="273"/>
      <c r="N65" s="273"/>
      <c r="O65" s="273"/>
      <c r="P65" s="273"/>
      <c r="Q65" s="273"/>
      <c r="R65" s="273"/>
      <c r="S65" s="273"/>
      <c r="T65" s="273"/>
      <c r="U65" s="273"/>
      <c r="V65" s="273"/>
    </row>
    <row r="66" spans="3:22" ht="13.15" hidden="1" customHeight="1">
      <c r="C66" s="632" t="s">
        <v>311</v>
      </c>
      <c r="D66" s="633">
        <v>8.48</v>
      </c>
      <c r="E66" s="633">
        <v>7.88</v>
      </c>
      <c r="F66" s="633">
        <v>86.06</v>
      </c>
      <c r="G66" s="633">
        <v>1.319</v>
      </c>
      <c r="H66" s="633">
        <v>1.62</v>
      </c>
      <c r="I66" s="280"/>
      <c r="J66" s="278"/>
      <c r="K66" s="273"/>
      <c r="L66" s="273"/>
      <c r="M66" s="273"/>
      <c r="N66" s="273"/>
      <c r="O66" s="273"/>
      <c r="P66" s="273"/>
      <c r="Q66" s="273"/>
      <c r="R66" s="273"/>
      <c r="S66" s="273"/>
      <c r="T66" s="273"/>
      <c r="U66" s="273"/>
      <c r="V66" s="273"/>
    </row>
    <row r="67" spans="3:22" ht="13.15" hidden="1" customHeight="1" thickBot="1">
      <c r="C67" s="674"/>
      <c r="D67" s="634"/>
      <c r="E67" s="674"/>
      <c r="F67" s="674"/>
      <c r="G67" s="674"/>
      <c r="H67" s="674"/>
      <c r="I67" s="280"/>
      <c r="J67" s="278"/>
      <c r="K67" s="273"/>
      <c r="L67" s="273"/>
      <c r="M67" s="273"/>
      <c r="N67" s="273"/>
      <c r="O67" s="273"/>
      <c r="P67" s="273"/>
      <c r="Q67" s="273"/>
      <c r="R67" s="273"/>
      <c r="S67" s="273"/>
      <c r="T67" s="273"/>
      <c r="U67" s="273"/>
      <c r="V67" s="273"/>
    </row>
    <row r="68" spans="3:22" ht="13.15" hidden="1" customHeight="1" thickTop="1">
      <c r="C68" s="674"/>
      <c r="D68" s="160"/>
      <c r="E68" s="674"/>
      <c r="F68" s="674"/>
      <c r="G68" s="674"/>
      <c r="H68" s="674"/>
      <c r="I68" s="280"/>
      <c r="J68" s="278"/>
      <c r="K68" s="273"/>
      <c r="L68" s="273"/>
      <c r="M68" s="273"/>
      <c r="N68" s="273"/>
      <c r="O68" s="273"/>
      <c r="P68" s="273"/>
      <c r="Q68" s="273"/>
      <c r="R68" s="273"/>
      <c r="S68" s="273"/>
      <c r="T68" s="273"/>
      <c r="U68" s="273"/>
      <c r="V68" s="273"/>
    </row>
    <row r="69" spans="3:22" ht="13.15" hidden="1" customHeight="1">
      <c r="C69" s="674">
        <v>2013</v>
      </c>
      <c r="D69" s="160"/>
      <c r="E69" s="674"/>
      <c r="F69" s="674"/>
      <c r="G69" s="674"/>
      <c r="H69" s="674"/>
      <c r="I69" s="280"/>
      <c r="J69" s="278"/>
      <c r="K69" s="273"/>
      <c r="L69" s="273"/>
      <c r="M69" s="273"/>
      <c r="N69" s="273"/>
      <c r="O69" s="273"/>
      <c r="P69" s="273"/>
      <c r="Q69" s="273"/>
      <c r="R69" s="273"/>
      <c r="S69" s="273"/>
      <c r="T69" s="273"/>
      <c r="U69" s="273"/>
      <c r="V69" s="273"/>
    </row>
    <row r="70" spans="3:22" ht="15.75" hidden="1" customHeight="1">
      <c r="C70" s="674"/>
      <c r="D70" s="160"/>
      <c r="E70" s="674"/>
      <c r="F70" s="674"/>
      <c r="G70" s="674"/>
      <c r="H70" s="674"/>
      <c r="I70" s="280"/>
      <c r="J70" s="278"/>
      <c r="K70" s="273"/>
      <c r="L70" s="273"/>
      <c r="M70" s="273"/>
      <c r="N70" s="273"/>
      <c r="O70" s="273"/>
      <c r="P70" s="273"/>
      <c r="Q70" s="273"/>
      <c r="R70" s="273"/>
      <c r="S70" s="273"/>
      <c r="T70" s="273"/>
      <c r="U70" s="273"/>
      <c r="V70" s="273"/>
    </row>
    <row r="71" spans="3:22" ht="15.75" hidden="1" customHeight="1">
      <c r="C71" s="613" t="s">
        <v>298</v>
      </c>
      <c r="D71" s="560">
        <v>9.0299999999999994</v>
      </c>
      <c r="E71" s="560">
        <v>8.0500000000000007</v>
      </c>
      <c r="F71" s="560">
        <v>90.9</v>
      </c>
      <c r="G71" s="560">
        <v>1.36</v>
      </c>
      <c r="H71" s="560">
        <v>1.58</v>
      </c>
      <c r="I71" s="280"/>
      <c r="J71" s="278"/>
      <c r="K71" s="273"/>
      <c r="L71" s="273"/>
      <c r="M71" s="273"/>
      <c r="N71" s="273"/>
      <c r="O71" s="273"/>
      <c r="P71" s="273"/>
      <c r="Q71" s="273"/>
      <c r="R71" s="273"/>
      <c r="S71" s="273"/>
      <c r="T71" s="273"/>
      <c r="U71" s="273"/>
      <c r="V71" s="273"/>
    </row>
    <row r="72" spans="3:22" ht="15.75" hidden="1" customHeight="1">
      <c r="C72" s="613" t="s">
        <v>299</v>
      </c>
      <c r="D72" s="560">
        <v>8.84</v>
      </c>
      <c r="E72" s="560">
        <v>8.0399999999999991</v>
      </c>
      <c r="F72" s="560">
        <v>92.36</v>
      </c>
      <c r="G72" s="560">
        <v>1.31</v>
      </c>
      <c r="H72" s="560">
        <v>1.52</v>
      </c>
      <c r="I72" s="280"/>
      <c r="J72" s="278"/>
      <c r="K72" s="273"/>
      <c r="L72" s="273"/>
      <c r="M72" s="273"/>
      <c r="N72" s="273"/>
      <c r="O72" s="273"/>
      <c r="P72" s="273"/>
      <c r="Q72" s="273"/>
      <c r="R72" s="273"/>
      <c r="S72" s="273"/>
      <c r="T72" s="273"/>
      <c r="U72" s="273"/>
      <c r="V72" s="273"/>
    </row>
    <row r="73" spans="3:22" ht="15.75" hidden="1" customHeight="1">
      <c r="C73" s="613" t="s">
        <v>300</v>
      </c>
      <c r="D73" s="560">
        <v>9.26</v>
      </c>
      <c r="E73" s="560">
        <v>8.3000000000000007</v>
      </c>
      <c r="F73" s="560">
        <v>94.13</v>
      </c>
      <c r="G73" s="560">
        <v>1.28</v>
      </c>
      <c r="H73" s="560">
        <v>1.51</v>
      </c>
      <c r="I73" s="280"/>
      <c r="J73" s="278"/>
      <c r="K73" s="273"/>
      <c r="L73" s="273"/>
      <c r="M73" s="273"/>
      <c r="N73" s="273"/>
      <c r="O73" s="273"/>
      <c r="P73" s="273"/>
      <c r="Q73" s="273"/>
      <c r="R73" s="273"/>
      <c r="S73" s="273"/>
      <c r="T73" s="273"/>
      <c r="U73" s="273"/>
      <c r="V73" s="273"/>
    </row>
    <row r="74" spans="3:22" ht="16.5" hidden="1" customHeight="1" thickBot="1">
      <c r="C74" s="613" t="s">
        <v>301</v>
      </c>
      <c r="D74" s="675">
        <v>9.34</v>
      </c>
      <c r="E74" s="676">
        <v>8.19</v>
      </c>
      <c r="F74" s="676">
        <v>97.78</v>
      </c>
      <c r="G74" s="676">
        <v>1.302</v>
      </c>
      <c r="H74" s="676">
        <v>1.53</v>
      </c>
      <c r="I74" s="281"/>
      <c r="J74" s="279"/>
      <c r="K74" s="275"/>
      <c r="L74" s="275"/>
      <c r="M74" s="275"/>
      <c r="N74" s="749"/>
      <c r="O74" s="749"/>
      <c r="P74" s="749"/>
      <c r="Q74" s="749"/>
      <c r="R74" s="749"/>
      <c r="S74" s="749"/>
      <c r="T74" s="749"/>
      <c r="U74" s="749"/>
      <c r="V74" s="749"/>
    </row>
    <row r="75" spans="3:22" ht="16.5" hidden="1" customHeight="1" thickTop="1">
      <c r="C75" s="613" t="s">
        <v>302</v>
      </c>
      <c r="D75" s="675">
        <v>10.08</v>
      </c>
      <c r="E75" s="676">
        <v>8.6539999999999999</v>
      </c>
      <c r="F75" s="676">
        <v>100.85</v>
      </c>
      <c r="G75" s="676">
        <v>1.3029999999999999</v>
      </c>
      <c r="H75" s="676">
        <v>1.52</v>
      </c>
    </row>
    <row r="76" spans="3:22" ht="15.75" hidden="1" customHeight="1">
      <c r="C76" s="160"/>
    </row>
    <row r="77" spans="3:22" ht="15.75" hidden="1" customHeight="1">
      <c r="C77" s="160"/>
    </row>
    <row r="78" spans="3:22">
      <c r="C78" s="160"/>
    </row>
    <row r="81" spans="2:7" ht="15.75" customHeight="1">
      <c r="B81" s="1931" t="s">
        <v>1740</v>
      </c>
      <c r="C81" s="1931"/>
      <c r="D81" s="1931"/>
      <c r="E81" s="1931"/>
      <c r="F81" s="1931"/>
      <c r="G81" s="1931"/>
    </row>
    <row r="82" spans="2:7" ht="16.5" thickBot="1">
      <c r="B82" s="737"/>
      <c r="C82" s="737"/>
      <c r="D82" s="737"/>
      <c r="E82" s="737"/>
      <c r="F82" s="737"/>
      <c r="G82" s="737"/>
    </row>
    <row r="83" spans="2:7" ht="16.5" thickTop="1">
      <c r="B83" s="738"/>
      <c r="C83" s="738"/>
      <c r="D83" s="738"/>
      <c r="E83" s="738"/>
      <c r="F83" s="738"/>
      <c r="G83" s="738"/>
    </row>
    <row r="84" spans="2:7" ht="27.75" customHeight="1">
      <c r="B84" s="739"/>
      <c r="C84" s="727" t="s">
        <v>1760</v>
      </c>
      <c r="D84" s="727" t="s">
        <v>1759</v>
      </c>
      <c r="E84" s="727" t="s">
        <v>762</v>
      </c>
      <c r="F84" s="727" t="s">
        <v>1761</v>
      </c>
      <c r="G84" s="727" t="s">
        <v>760</v>
      </c>
    </row>
    <row r="85" spans="2:7">
      <c r="B85" s="727" t="s">
        <v>263</v>
      </c>
      <c r="C85" s="727" t="s">
        <v>1160</v>
      </c>
      <c r="D85" s="727" t="s">
        <v>1161</v>
      </c>
      <c r="E85" s="727" t="s">
        <v>1162</v>
      </c>
      <c r="F85" s="727"/>
      <c r="G85" s="727" t="s">
        <v>1191</v>
      </c>
    </row>
    <row r="86" spans="2:7">
      <c r="B86" s="727"/>
      <c r="C86" s="739"/>
      <c r="D86" s="739"/>
      <c r="E86" s="739"/>
      <c r="F86" s="739"/>
      <c r="G86" s="739"/>
    </row>
    <row r="87" spans="2:7" ht="16.5" thickBot="1">
      <c r="B87" s="740"/>
      <c r="C87" s="741"/>
      <c r="D87" s="741"/>
      <c r="E87" s="741"/>
      <c r="F87" s="741"/>
      <c r="G87" s="741"/>
    </row>
    <row r="88" spans="2:7" ht="16.5" hidden="1" thickTop="1">
      <c r="B88" s="738"/>
      <c r="C88" s="742"/>
      <c r="D88" s="742"/>
      <c r="E88" s="742"/>
      <c r="F88" s="742"/>
      <c r="G88" s="742"/>
    </row>
    <row r="89" spans="2:7" ht="15.75" hidden="1" customHeight="1">
      <c r="B89" s="739"/>
      <c r="C89" s="727"/>
      <c r="D89" s="727"/>
      <c r="E89" s="727"/>
      <c r="F89" s="727"/>
      <c r="G89" s="727"/>
    </row>
    <row r="90" spans="2:7" ht="15.75" hidden="1" customHeight="1">
      <c r="B90" s="728">
        <v>2013</v>
      </c>
      <c r="C90" s="727"/>
      <c r="D90" s="727"/>
      <c r="E90" s="727"/>
      <c r="F90" s="727"/>
      <c r="G90" s="727"/>
    </row>
    <row r="91" spans="2:7" ht="15.75" hidden="1" customHeight="1">
      <c r="B91" s="739" t="s">
        <v>298</v>
      </c>
      <c r="C91" s="728">
        <v>9.0299999999999994</v>
      </c>
      <c r="D91" s="728">
        <v>8.0500000000000007</v>
      </c>
      <c r="E91" s="728">
        <v>90.9</v>
      </c>
      <c r="F91" s="728">
        <v>1.36</v>
      </c>
      <c r="G91" s="728">
        <v>1.58</v>
      </c>
    </row>
    <row r="92" spans="2:7" ht="15.75" hidden="1" customHeight="1">
      <c r="B92" s="739" t="s">
        <v>299</v>
      </c>
      <c r="C92" s="728">
        <v>8.84</v>
      </c>
      <c r="D92" s="728">
        <v>8.0399999999999991</v>
      </c>
      <c r="E92" s="728">
        <v>92.36</v>
      </c>
      <c r="F92" s="728">
        <v>1.31</v>
      </c>
      <c r="G92" s="728">
        <v>1.52</v>
      </c>
    </row>
    <row r="93" spans="2:7" ht="15.75" hidden="1" customHeight="1">
      <c r="B93" s="739" t="s">
        <v>300</v>
      </c>
      <c r="C93" s="728">
        <v>9.26</v>
      </c>
      <c r="D93" s="728">
        <v>8.3000000000000007</v>
      </c>
      <c r="E93" s="728">
        <v>94.13</v>
      </c>
      <c r="F93" s="728">
        <v>1.28</v>
      </c>
      <c r="G93" s="728">
        <v>1.51</v>
      </c>
    </row>
    <row r="94" spans="2:7" ht="15.75" hidden="1" customHeight="1">
      <c r="B94" s="739" t="s">
        <v>301</v>
      </c>
      <c r="C94" s="728">
        <v>8.98</v>
      </c>
      <c r="D94" s="728">
        <v>8.1</v>
      </c>
      <c r="E94" s="728">
        <v>97.76</v>
      </c>
      <c r="F94" s="728">
        <v>1.31</v>
      </c>
      <c r="G94" s="728">
        <v>1.55</v>
      </c>
    </row>
    <row r="95" spans="2:7" ht="15.75" hidden="1" customHeight="1">
      <c r="B95" s="739" t="s">
        <v>302</v>
      </c>
      <c r="C95" s="728">
        <v>10.08</v>
      </c>
      <c r="D95" s="728">
        <v>8.65</v>
      </c>
      <c r="E95" s="728">
        <v>100.85</v>
      </c>
      <c r="F95" s="728">
        <v>1.3</v>
      </c>
      <c r="G95" s="728">
        <v>1.52</v>
      </c>
    </row>
    <row r="96" spans="2:7" ht="15.75" hidden="1" customHeight="1">
      <c r="B96" s="739" t="s">
        <v>303</v>
      </c>
      <c r="C96" s="728">
        <v>9.94</v>
      </c>
      <c r="D96" s="743">
        <v>8.6</v>
      </c>
      <c r="E96" s="728">
        <v>98.74</v>
      </c>
      <c r="F96" s="728">
        <v>1.31</v>
      </c>
      <c r="G96" s="728">
        <v>1.53</v>
      </c>
    </row>
    <row r="97" spans="2:7" ht="15.75" hidden="1" customHeight="1">
      <c r="B97" s="739" t="s">
        <v>304</v>
      </c>
      <c r="C97" s="728">
        <v>9.83</v>
      </c>
      <c r="D97" s="743">
        <v>8.49</v>
      </c>
      <c r="E97" s="728">
        <v>98.31</v>
      </c>
      <c r="F97" s="728">
        <v>1.33</v>
      </c>
      <c r="G97" s="728">
        <v>1.53</v>
      </c>
    </row>
    <row r="98" spans="2:7" ht="15.75" hidden="1" customHeight="1">
      <c r="B98" s="739" t="s">
        <v>305</v>
      </c>
      <c r="C98" s="728">
        <v>10.33</v>
      </c>
      <c r="D98" s="743">
        <v>8.75</v>
      </c>
      <c r="E98" s="728">
        <v>98.18</v>
      </c>
      <c r="F98" s="728">
        <v>1.32</v>
      </c>
      <c r="G98" s="728">
        <v>1.55</v>
      </c>
    </row>
    <row r="99" spans="2:7" ht="15.75" hidden="1" customHeight="1">
      <c r="B99" s="739" t="s">
        <v>306</v>
      </c>
      <c r="C99" s="728">
        <v>10.1</v>
      </c>
      <c r="D99" s="743">
        <v>8.58</v>
      </c>
      <c r="E99" s="728">
        <v>97.92</v>
      </c>
      <c r="F99" s="728">
        <v>1.35</v>
      </c>
      <c r="G99" s="728">
        <v>1.62</v>
      </c>
    </row>
    <row r="100" spans="2:7" ht="15.75" hidden="1" customHeight="1">
      <c r="B100" s="739" t="s">
        <v>307</v>
      </c>
      <c r="C100" s="728">
        <v>9.9499999999999993</v>
      </c>
      <c r="D100" s="743">
        <v>8.5</v>
      </c>
      <c r="E100" s="728">
        <v>98.28</v>
      </c>
      <c r="F100" s="728">
        <v>1.37</v>
      </c>
      <c r="G100" s="728">
        <v>1.6</v>
      </c>
    </row>
    <row r="101" spans="2:7" ht="15.75" hidden="1" customHeight="1">
      <c r="B101" s="739" t="s">
        <v>308</v>
      </c>
      <c r="C101" s="728">
        <v>10.19</v>
      </c>
      <c r="D101" s="743">
        <v>8.64</v>
      </c>
      <c r="E101" s="728">
        <v>102.33</v>
      </c>
      <c r="F101" s="728">
        <v>1.36</v>
      </c>
      <c r="G101" s="728">
        <v>1.64</v>
      </c>
    </row>
    <row r="102" spans="2:7" ht="15.75" hidden="1" customHeight="1">
      <c r="B102" s="739" t="s">
        <v>311</v>
      </c>
      <c r="C102" s="728">
        <v>10.43</v>
      </c>
      <c r="D102" s="743">
        <v>8.7200000000000006</v>
      </c>
      <c r="E102" s="728">
        <v>105.02</v>
      </c>
      <c r="F102" s="728">
        <v>1.38</v>
      </c>
      <c r="G102" s="728">
        <v>1.65</v>
      </c>
    </row>
    <row r="103" spans="2:7" ht="15.75" hidden="1" customHeight="1">
      <c r="B103" s="739"/>
      <c r="C103" s="728"/>
      <c r="D103" s="743"/>
      <c r="E103" s="728"/>
      <c r="F103" s="728"/>
      <c r="G103" s="728"/>
    </row>
    <row r="104" spans="2:7" ht="15.75" hidden="1" customHeight="1">
      <c r="B104" s="728">
        <v>2014</v>
      </c>
      <c r="C104" s="728"/>
      <c r="D104" s="743"/>
      <c r="E104" s="728"/>
      <c r="F104" s="728"/>
      <c r="G104" s="728"/>
    </row>
    <row r="105" spans="2:7" ht="15.75" hidden="1" customHeight="1">
      <c r="B105" s="739"/>
      <c r="C105" s="728"/>
      <c r="D105" s="743"/>
      <c r="E105" s="728"/>
      <c r="F105" s="728"/>
      <c r="G105" s="728"/>
    </row>
    <row r="106" spans="2:7" ht="15.75" hidden="1" customHeight="1">
      <c r="B106" s="739" t="s">
        <v>298</v>
      </c>
      <c r="C106" s="728">
        <v>11.21</v>
      </c>
      <c r="D106" s="743">
        <v>9.09</v>
      </c>
      <c r="E106" s="728">
        <v>102.47</v>
      </c>
      <c r="F106" s="728">
        <v>1.35</v>
      </c>
      <c r="G106" s="728">
        <v>1.65</v>
      </c>
    </row>
    <row r="107" spans="2:7" ht="15.75" hidden="1" customHeight="1">
      <c r="B107" s="739" t="s">
        <v>299</v>
      </c>
      <c r="C107" s="728">
        <v>10.71</v>
      </c>
      <c r="D107" s="743">
        <v>8.85</v>
      </c>
      <c r="E107" s="728">
        <v>101.74</v>
      </c>
      <c r="F107" s="728">
        <v>1.37</v>
      </c>
      <c r="G107" s="728">
        <v>1.67</v>
      </c>
    </row>
    <row r="108" spans="2:7" ht="15" hidden="1" customHeight="1">
      <c r="B108" s="739" t="s">
        <v>300</v>
      </c>
      <c r="C108" s="728">
        <v>10.56</v>
      </c>
      <c r="D108" s="743">
        <v>8.85</v>
      </c>
      <c r="E108" s="728">
        <v>102.38</v>
      </c>
      <c r="F108" s="728">
        <v>1.38</v>
      </c>
      <c r="G108" s="728">
        <v>1.68</v>
      </c>
    </row>
    <row r="109" spans="2:7" ht="15" hidden="1" customHeight="1">
      <c r="B109" s="739" t="s">
        <v>301</v>
      </c>
      <c r="C109" s="728">
        <v>10.57</v>
      </c>
      <c r="D109" s="743">
        <v>8.85</v>
      </c>
      <c r="E109" s="728">
        <v>102.38</v>
      </c>
      <c r="F109" s="728">
        <v>1.38</v>
      </c>
      <c r="G109" s="728">
        <v>1.68</v>
      </c>
    </row>
    <row r="110" spans="2:7" ht="15" hidden="1" customHeight="1">
      <c r="B110" s="739" t="s">
        <v>302</v>
      </c>
      <c r="C110" s="728">
        <v>10.44</v>
      </c>
      <c r="D110" s="743">
        <v>8.73</v>
      </c>
      <c r="E110" s="728">
        <v>101.61</v>
      </c>
      <c r="F110" s="728">
        <v>1.36</v>
      </c>
      <c r="G110" s="728">
        <v>1.67</v>
      </c>
    </row>
    <row r="111" spans="2:7" ht="15" hidden="1" customHeight="1">
      <c r="B111" s="739" t="s">
        <v>303</v>
      </c>
      <c r="C111" s="728">
        <v>10.58</v>
      </c>
      <c r="D111" s="743">
        <v>8.67</v>
      </c>
      <c r="E111" s="728">
        <v>101.3</v>
      </c>
      <c r="F111" s="728">
        <v>1.36</v>
      </c>
      <c r="G111" s="728">
        <v>1.7</v>
      </c>
    </row>
    <row r="112" spans="2:7" ht="15" hidden="1" customHeight="1">
      <c r="B112" s="739" t="s">
        <v>304</v>
      </c>
      <c r="C112" s="728">
        <v>10.68</v>
      </c>
      <c r="D112" s="743">
        <v>8.85</v>
      </c>
      <c r="E112" s="728">
        <v>102.76</v>
      </c>
      <c r="F112" s="728">
        <v>1.36</v>
      </c>
      <c r="G112" s="728">
        <v>1.69</v>
      </c>
    </row>
    <row r="113" spans="2:7" ht="15" hidden="1" customHeight="1">
      <c r="B113" s="739" t="s">
        <v>305</v>
      </c>
      <c r="C113" s="728">
        <v>10.98</v>
      </c>
      <c r="D113" s="743">
        <v>9.07</v>
      </c>
      <c r="E113" s="728">
        <v>107.35</v>
      </c>
      <c r="F113" s="728">
        <v>1.29</v>
      </c>
      <c r="G113" s="728">
        <v>1.63</v>
      </c>
    </row>
    <row r="114" spans="2:7" ht="15" hidden="1" customHeight="1">
      <c r="B114" s="739" t="s">
        <v>306</v>
      </c>
      <c r="C114" s="728">
        <v>11.26</v>
      </c>
      <c r="D114" s="743">
        <v>9.26</v>
      </c>
      <c r="E114" s="728">
        <v>109.39</v>
      </c>
      <c r="F114" s="728">
        <v>1.27</v>
      </c>
      <c r="G114" s="728">
        <v>1.63</v>
      </c>
    </row>
    <row r="115" spans="2:7" ht="15" hidden="1" customHeight="1">
      <c r="B115" s="739" t="s">
        <v>307</v>
      </c>
      <c r="C115" s="757">
        <v>10.9</v>
      </c>
      <c r="D115" s="758">
        <v>9.11</v>
      </c>
      <c r="E115" s="757">
        <v>110.87</v>
      </c>
      <c r="F115" s="757">
        <v>1.2569999999999999</v>
      </c>
      <c r="G115" s="757">
        <v>1.59</v>
      </c>
    </row>
    <row r="116" spans="2:7" ht="15" hidden="1" customHeight="1">
      <c r="B116" s="739" t="s">
        <v>308</v>
      </c>
      <c r="C116" s="757">
        <v>11.02</v>
      </c>
      <c r="D116" s="758">
        <v>9.2170000000000005</v>
      </c>
      <c r="E116" s="757">
        <v>118.21</v>
      </c>
      <c r="F116" s="757">
        <v>1.379</v>
      </c>
      <c r="G116" s="757">
        <v>1.57</v>
      </c>
    </row>
    <row r="117" spans="2:7" ht="15" hidden="1" customHeight="1">
      <c r="B117" s="739" t="s">
        <v>311</v>
      </c>
      <c r="C117" s="757">
        <v>11.559000000000001</v>
      </c>
      <c r="D117" s="758">
        <v>9.51</v>
      </c>
      <c r="E117" s="757">
        <v>119.65</v>
      </c>
      <c r="F117" s="757">
        <f>1.2156</f>
        <v>1.2156</v>
      </c>
      <c r="G117" s="757">
        <v>1.5561500000000001</v>
      </c>
    </row>
    <row r="118" spans="2:7" ht="15" hidden="1" customHeight="1">
      <c r="B118" s="739"/>
      <c r="C118" s="757"/>
      <c r="D118" s="758"/>
      <c r="E118" s="757"/>
      <c r="F118" s="757"/>
      <c r="G118" s="757"/>
    </row>
    <row r="119" spans="2:7" ht="15" hidden="1" customHeight="1">
      <c r="B119" s="728">
        <v>2015</v>
      </c>
      <c r="C119" s="757"/>
      <c r="D119" s="758"/>
      <c r="E119" s="757"/>
      <c r="F119" s="757"/>
      <c r="G119" s="757"/>
    </row>
    <row r="120" spans="2:7" ht="15" hidden="1" customHeight="1">
      <c r="B120" s="727" t="s">
        <v>1343</v>
      </c>
      <c r="C120" s="937">
        <v>11.553000000000001</v>
      </c>
      <c r="D120" s="938">
        <v>9.6107640557424308</v>
      </c>
      <c r="E120" s="937">
        <v>117.85</v>
      </c>
      <c r="F120" s="937">
        <f>1/0.882339965588741</f>
        <v>1.1333500000000005</v>
      </c>
      <c r="G120" s="937">
        <f>1/0.663086002254492</f>
        <v>1.5081000000000009</v>
      </c>
    </row>
    <row r="121" spans="2:7" ht="15" hidden="1" customHeight="1">
      <c r="B121" s="727" t="s">
        <v>1344</v>
      </c>
      <c r="C121" s="937">
        <v>11.553000000000001</v>
      </c>
      <c r="D121" s="938">
        <v>9.6107640557424308</v>
      </c>
      <c r="E121" s="937">
        <v>119.17</v>
      </c>
      <c r="F121" s="937">
        <v>1.1200000000000001</v>
      </c>
      <c r="G121" s="937">
        <v>1.54</v>
      </c>
    </row>
    <row r="122" spans="2:7" ht="15" hidden="1" customHeight="1">
      <c r="B122" s="727" t="s">
        <v>1337</v>
      </c>
      <c r="C122" s="937">
        <v>12.16</v>
      </c>
      <c r="D122" s="938">
        <v>9.9600000000000009</v>
      </c>
      <c r="E122" s="937">
        <v>120.19</v>
      </c>
      <c r="F122" s="937">
        <v>1.079</v>
      </c>
      <c r="G122" s="937">
        <f>1/0.677</f>
        <v>1.4771048744460855</v>
      </c>
    </row>
    <row r="123" spans="2:7" ht="15" hidden="1" customHeight="1">
      <c r="B123" s="727" t="s">
        <v>1338</v>
      </c>
      <c r="C123" s="937">
        <v>11.82</v>
      </c>
      <c r="D123" s="938">
        <v>9.74</v>
      </c>
      <c r="E123" s="937">
        <v>118.6</v>
      </c>
      <c r="F123" s="937">
        <v>1.1100000000000001</v>
      </c>
      <c r="G123" s="937">
        <v>1.54</v>
      </c>
    </row>
    <row r="124" spans="2:7" ht="15" hidden="1" customHeight="1">
      <c r="B124" s="727" t="s">
        <v>302</v>
      </c>
      <c r="C124" s="937">
        <v>12.133750000000001</v>
      </c>
      <c r="D124" s="938">
        <v>9.7560975609756095</v>
      </c>
      <c r="E124" s="937">
        <v>123.86500000000001</v>
      </c>
      <c r="F124" s="937">
        <v>1.0947</v>
      </c>
      <c r="G124" s="937">
        <v>1.53</v>
      </c>
    </row>
    <row r="125" spans="2:7" ht="15" hidden="1" customHeight="1">
      <c r="B125" s="727" t="s">
        <v>303</v>
      </c>
      <c r="C125" s="937">
        <v>12.26</v>
      </c>
      <c r="D125" s="938">
        <v>9.92</v>
      </c>
      <c r="E125" s="937">
        <v>122.31</v>
      </c>
      <c r="F125" s="937">
        <v>1.1191</v>
      </c>
      <c r="G125" s="937">
        <f>1/0.636</f>
        <v>1.5723270440251571</v>
      </c>
    </row>
    <row r="126" spans="2:7" ht="15" hidden="1" customHeight="1">
      <c r="B126" s="727" t="s">
        <v>304</v>
      </c>
      <c r="C126" s="937">
        <v>12.71</v>
      </c>
      <c r="D126" s="938">
        <v>10.67</v>
      </c>
      <c r="E126" s="937">
        <v>124.03</v>
      </c>
      <c r="F126" s="937">
        <f>1/0.914</f>
        <v>1.0940919037199124</v>
      </c>
      <c r="G126" s="937">
        <f>1/0.641</f>
        <v>1.5600624024960998</v>
      </c>
    </row>
    <row r="127" spans="2:7" ht="15" hidden="1" customHeight="1">
      <c r="B127" s="727" t="s">
        <v>1345</v>
      </c>
      <c r="C127" s="939">
        <v>13.31</v>
      </c>
      <c r="D127" s="940">
        <v>10.199999999999999</v>
      </c>
      <c r="E127" s="941">
        <v>121.11</v>
      </c>
      <c r="F127" s="941">
        <v>1.1247</v>
      </c>
      <c r="G127" s="937">
        <v>1.5426500000000001</v>
      </c>
    </row>
    <row r="128" spans="2:7" ht="15" hidden="1" customHeight="1">
      <c r="B128" s="727" t="s">
        <v>1339</v>
      </c>
      <c r="C128" s="939">
        <v>13.9</v>
      </c>
      <c r="D128" s="942">
        <v>10.55</v>
      </c>
      <c r="E128" s="943">
        <v>119.94</v>
      </c>
      <c r="F128" s="943">
        <v>1.1245000000000001</v>
      </c>
      <c r="G128" s="943">
        <v>1.5384615384615383</v>
      </c>
    </row>
    <row r="129" spans="1:7" ht="15" hidden="1" customHeight="1">
      <c r="A129" s="912"/>
      <c r="B129" s="945" t="s">
        <v>1340</v>
      </c>
      <c r="C129" s="944">
        <v>13.85</v>
      </c>
      <c r="D129" s="942">
        <v>10.47</v>
      </c>
      <c r="E129" s="943">
        <v>121.15</v>
      </c>
      <c r="F129" s="943">
        <v>1.0981000000000001</v>
      </c>
      <c r="G129" s="943">
        <v>1.54</v>
      </c>
    </row>
    <row r="130" spans="1:7" ht="15" hidden="1" customHeight="1">
      <c r="A130" s="912"/>
      <c r="B130" s="945" t="s">
        <v>1341</v>
      </c>
      <c r="C130" s="944">
        <v>14.395800000000001</v>
      </c>
      <c r="D130" s="942">
        <v>10.695187165775401</v>
      </c>
      <c r="E130" s="943">
        <v>122.72499999999999</v>
      </c>
      <c r="F130" s="943">
        <v>1.0588500000000001</v>
      </c>
      <c r="G130" s="943">
        <v>1.53145</v>
      </c>
    </row>
    <row r="131" spans="1:7" ht="15" hidden="1" customHeight="1">
      <c r="B131" s="727" t="s">
        <v>1342</v>
      </c>
      <c r="C131" s="944">
        <v>15.56</v>
      </c>
      <c r="D131" s="942">
        <v>11.099</v>
      </c>
      <c r="E131" s="943">
        <v>120.42</v>
      </c>
      <c r="F131" s="943">
        <f>1/0.915</f>
        <v>1.0928961748633879</v>
      </c>
      <c r="G131" s="943">
        <f>1/0.67</f>
        <v>1.4925373134328357</v>
      </c>
    </row>
    <row r="132" spans="1:7" ht="15" hidden="1" customHeight="1">
      <c r="B132" s="727"/>
      <c r="C132" s="944"/>
      <c r="D132" s="942"/>
      <c r="E132" s="943"/>
      <c r="F132" s="943"/>
      <c r="G132" s="943"/>
    </row>
    <row r="133" spans="1:7" ht="15" hidden="1" customHeight="1">
      <c r="B133" s="728">
        <v>2016</v>
      </c>
      <c r="C133" s="944"/>
      <c r="D133" s="942"/>
      <c r="E133" s="943"/>
      <c r="F133" s="943"/>
      <c r="G133" s="943"/>
    </row>
    <row r="134" spans="1:7" ht="15" hidden="1" customHeight="1">
      <c r="B134" s="727" t="s">
        <v>345</v>
      </c>
      <c r="C134" s="944">
        <v>16.09</v>
      </c>
      <c r="D134" s="942">
        <v>11.43</v>
      </c>
      <c r="E134" s="943">
        <v>120.55</v>
      </c>
      <c r="F134" s="943">
        <f>1/0.917</f>
        <v>1.0905125408942202</v>
      </c>
      <c r="G134" s="943">
        <f>1/0.69</f>
        <v>1.4492753623188408</v>
      </c>
    </row>
    <row r="135" spans="1:7" ht="15" hidden="1" customHeight="1">
      <c r="B135" s="727" t="s">
        <v>1746</v>
      </c>
      <c r="C135" s="944">
        <v>16.11</v>
      </c>
      <c r="D135" s="942">
        <v>11.27</v>
      </c>
      <c r="E135" s="943">
        <v>113.03</v>
      </c>
      <c r="F135" s="943">
        <v>1.099</v>
      </c>
      <c r="G135" s="943">
        <v>1.3879999999999999</v>
      </c>
    </row>
    <row r="136" spans="1:7" ht="15" hidden="1" customHeight="1">
      <c r="B136" s="727" t="s">
        <v>335</v>
      </c>
      <c r="C136" s="944">
        <v>15.45</v>
      </c>
      <c r="D136" s="942">
        <v>11.1</v>
      </c>
      <c r="E136" s="943">
        <v>112.95</v>
      </c>
      <c r="F136" s="943">
        <v>1.1100000000000001</v>
      </c>
      <c r="G136" s="943">
        <v>1.42</v>
      </c>
    </row>
    <row r="137" spans="1:7" ht="15" hidden="1" customHeight="1">
      <c r="B137" s="727" t="s">
        <v>336</v>
      </c>
      <c r="C137" s="944">
        <v>14.62</v>
      </c>
      <c r="D137" s="942">
        <v>10.757547712140596</v>
      </c>
      <c r="E137" s="943">
        <v>109.68249999999998</v>
      </c>
      <c r="F137" s="943">
        <v>1.1340036423708497</v>
      </c>
      <c r="G137" s="943">
        <v>1.4305536632278986</v>
      </c>
    </row>
    <row r="138" spans="1:7" ht="15" hidden="1" customHeight="1">
      <c r="B138" s="727" t="s">
        <v>337</v>
      </c>
      <c r="C138" s="944">
        <v>15.32</v>
      </c>
      <c r="D138" s="942">
        <v>10.980036724876134</v>
      </c>
      <c r="E138" s="943">
        <v>108.93225</v>
      </c>
      <c r="F138" s="943">
        <v>1.1340036423708497</v>
      </c>
      <c r="G138" s="943">
        <v>1.4521981842412195</v>
      </c>
    </row>
    <row r="139" spans="1:7" ht="15" hidden="1" customHeight="1">
      <c r="B139" s="727" t="s">
        <v>338</v>
      </c>
      <c r="C139" s="944">
        <v>14.8834</v>
      </c>
      <c r="D139" s="942">
        <v>10.934937124111537</v>
      </c>
      <c r="E139" s="943">
        <v>102.67</v>
      </c>
      <c r="F139" s="943">
        <v>1.1094999999999999</v>
      </c>
      <c r="G139" s="943">
        <v>1.3396999999999999</v>
      </c>
    </row>
    <row r="140" spans="1:7" ht="15" hidden="1" customHeight="1">
      <c r="B140" s="727" t="s">
        <v>339</v>
      </c>
      <c r="C140" s="944">
        <v>14.4277</v>
      </c>
      <c r="D140" s="942">
        <v>10.789199999999999</v>
      </c>
      <c r="E140" s="943">
        <v>103.93980000000001</v>
      </c>
      <c r="F140" s="943">
        <v>1.1069293779056897</v>
      </c>
      <c r="G140" s="943">
        <v>1.3180440226703571</v>
      </c>
    </row>
    <row r="141" spans="1:7" ht="15" hidden="1" customHeight="1">
      <c r="B141" s="727" t="s">
        <v>340</v>
      </c>
      <c r="C141" s="944">
        <v>13.765599999999999</v>
      </c>
      <c r="D141" s="942">
        <v>9.4520999999999997</v>
      </c>
      <c r="E141" s="943">
        <v>101.21899999999999</v>
      </c>
      <c r="F141" s="943">
        <v>1.0960105217010083</v>
      </c>
      <c r="G141" s="943">
        <v>1.2280486307257767</v>
      </c>
    </row>
    <row r="142" spans="1:7" ht="15" hidden="1" customHeight="1">
      <c r="B142" s="727" t="s">
        <v>341</v>
      </c>
      <c r="C142" s="944">
        <v>13.92</v>
      </c>
      <c r="D142" s="942">
        <v>10.58</v>
      </c>
      <c r="E142" s="943">
        <v>101.6</v>
      </c>
      <c r="F142" s="943">
        <v>1.1200000000000001</v>
      </c>
      <c r="G142" s="943">
        <v>1.32</v>
      </c>
    </row>
    <row r="143" spans="1:7" ht="15" hidden="1" customHeight="1">
      <c r="B143" s="727" t="s">
        <v>342</v>
      </c>
      <c r="C143" s="944">
        <v>13.94</v>
      </c>
      <c r="D143" s="942">
        <v>10.65</v>
      </c>
      <c r="E143" s="943">
        <v>103.76</v>
      </c>
      <c r="F143" s="943">
        <v>1.0989010989010988</v>
      </c>
      <c r="G143" s="943">
        <v>1.2345679012345678</v>
      </c>
    </row>
    <row r="144" spans="1:7" ht="15" hidden="1" customHeight="1">
      <c r="B144" s="727" t="s">
        <v>343</v>
      </c>
      <c r="C144" s="944">
        <v>13.940222727272731</v>
      </c>
      <c r="D144" s="942">
        <v>10.687542895713616</v>
      </c>
      <c r="E144" s="943">
        <v>107.99340909090907</v>
      </c>
      <c r="F144" s="943">
        <v>1.0810578453981106</v>
      </c>
      <c r="G144" s="943">
        <v>1.2429791496013998</v>
      </c>
    </row>
    <row r="145" spans="2:7" ht="15" hidden="1" customHeight="1">
      <c r="B145" s="727" t="s">
        <v>344</v>
      </c>
      <c r="C145" s="944">
        <v>13.841639473684211</v>
      </c>
      <c r="D145" s="942">
        <v>10.724660878889139</v>
      </c>
      <c r="E145" s="943">
        <v>115.78947368421051</v>
      </c>
      <c r="F145" s="943">
        <f>1/0.9473</f>
        <v>1.0556317956296843</v>
      </c>
      <c r="G145" s="943">
        <f>1/0.7994</f>
        <v>1.2509382036527397</v>
      </c>
    </row>
    <row r="146" spans="2:7" ht="15" customHeight="1" thickTop="1">
      <c r="B146" s="942"/>
      <c r="C146" s="943"/>
      <c r="D146" s="943"/>
      <c r="E146" s="943"/>
      <c r="F146" s="943"/>
      <c r="G146" s="943"/>
    </row>
    <row r="147" spans="2:7" ht="15" customHeight="1">
      <c r="B147" s="728">
        <v>2017</v>
      </c>
      <c r="C147" s="943"/>
      <c r="D147" s="943"/>
      <c r="E147" s="943"/>
      <c r="F147" s="943"/>
      <c r="G147" s="943"/>
    </row>
    <row r="148" spans="2:7" ht="15" customHeight="1">
      <c r="B148" s="943" t="s">
        <v>345</v>
      </c>
      <c r="C148" s="943">
        <v>13.51455</v>
      </c>
      <c r="D148" s="943">
        <v>10.565240359218173</v>
      </c>
      <c r="E148" s="943">
        <v>113.47499999999999</v>
      </c>
      <c r="F148" s="943">
        <v>1.0700500000000002</v>
      </c>
      <c r="G148" s="943">
        <v>1.2515499999999997</v>
      </c>
    </row>
    <row r="149" spans="2:7" ht="15" customHeight="1">
      <c r="B149" s="943" t="s">
        <v>334</v>
      </c>
      <c r="C149" s="943">
        <v>12.995699999999999</v>
      </c>
      <c r="D149" s="943">
        <v>10.357327809425168</v>
      </c>
      <c r="E149" s="943">
        <v>112.51</v>
      </c>
      <c r="F149" s="943">
        <v>1.0591000000000006</v>
      </c>
      <c r="G149" s="943">
        <v>1.2439</v>
      </c>
    </row>
    <row r="150" spans="2:7" ht="15" customHeight="1">
      <c r="B150" s="943" t="s">
        <v>335</v>
      </c>
      <c r="C150" s="943">
        <v>13.545</v>
      </c>
      <c r="D150" s="943">
        <v>10.554089709762533</v>
      </c>
      <c r="E150" s="943">
        <v>111.875</v>
      </c>
      <c r="F150" s="943">
        <v>1.0678000000000005</v>
      </c>
      <c r="G150" s="943">
        <v>1.2486500000000003</v>
      </c>
    </row>
    <row r="151" spans="2:7" ht="15" customHeight="1">
      <c r="B151" s="943" t="s">
        <v>336</v>
      </c>
      <c r="C151" s="943">
        <v>13.3461</v>
      </c>
      <c r="D151" s="943">
        <v>10.438413361169102</v>
      </c>
      <c r="E151" s="943">
        <v>111.16</v>
      </c>
      <c r="F151" s="943">
        <v>1.0861500000000002</v>
      </c>
      <c r="G151" s="943">
        <v>1.2907999999999991</v>
      </c>
    </row>
    <row r="152" spans="2:7" ht="15" customHeight="1">
      <c r="B152" s="943" t="s">
        <v>337</v>
      </c>
      <c r="C152" s="943">
        <v>13.116199999999999</v>
      </c>
      <c r="D152" s="943">
        <v>10.298661174047373</v>
      </c>
      <c r="E152" s="943">
        <v>110.965</v>
      </c>
      <c r="F152" s="943">
        <v>1.1167999999999996</v>
      </c>
      <c r="G152" s="943">
        <v>1.2800500000000006</v>
      </c>
    </row>
    <row r="153" spans="2:7" ht="15" customHeight="1">
      <c r="B153" s="943" t="s">
        <v>338</v>
      </c>
      <c r="C153" s="943">
        <v>13.014950000000001</v>
      </c>
      <c r="D153" s="943">
        <v>10.224948875255624</v>
      </c>
      <c r="E153" s="943">
        <v>111.94499999999999</v>
      </c>
      <c r="F153" s="943">
        <v>1.1438999999999999</v>
      </c>
      <c r="G153" s="943">
        <v>1.3013000000000008</v>
      </c>
    </row>
    <row r="154" spans="2:7" ht="15" customHeight="1">
      <c r="B154" s="943" t="s">
        <v>339</v>
      </c>
      <c r="C154" s="943">
        <v>12.9986</v>
      </c>
      <c r="D154" s="943">
        <v>10.209290454313425</v>
      </c>
      <c r="E154" s="943">
        <v>110.515</v>
      </c>
      <c r="F154" s="943">
        <v>1.1733499999999999</v>
      </c>
      <c r="G154" s="943">
        <v>1.3127</v>
      </c>
    </row>
    <row r="155" spans="2:7" ht="15" customHeight="1">
      <c r="B155" s="943" t="s">
        <v>340</v>
      </c>
      <c r="C155" s="943">
        <v>13.01525</v>
      </c>
      <c r="D155" s="943">
        <v>10.13684744044602</v>
      </c>
      <c r="E155" s="943">
        <v>110.55</v>
      </c>
      <c r="F155" s="943">
        <v>1.1873000000000002</v>
      </c>
      <c r="G155" s="943">
        <v>1.292</v>
      </c>
    </row>
    <row r="156" spans="2:7" ht="15" customHeight="1">
      <c r="B156" s="943" t="s">
        <v>341</v>
      </c>
      <c r="C156" s="943">
        <v>13.5463</v>
      </c>
      <c r="D156" s="943">
        <v>10.325245224574083</v>
      </c>
      <c r="E156" s="943">
        <v>112.675</v>
      </c>
      <c r="F156" s="943">
        <v>1.1777</v>
      </c>
      <c r="G156" s="943">
        <v>1.3415999999999999</v>
      </c>
    </row>
    <row r="157" spans="2:7" ht="15" customHeight="1">
      <c r="B157" s="943" t="s">
        <v>342</v>
      </c>
      <c r="C157" s="943">
        <v>14.0603</v>
      </c>
      <c r="D157" s="943">
        <v>10.5318588730911</v>
      </c>
      <c r="E157" s="943">
        <v>113.11499999999999</v>
      </c>
      <c r="F157" s="943">
        <v>1.1629499999999999</v>
      </c>
      <c r="G157" s="943">
        <f>1/0.757088238634213</f>
        <v>1.3208499999999996</v>
      </c>
    </row>
    <row r="158" spans="2:7" ht="15" customHeight="1">
      <c r="B158" s="943" t="s">
        <v>343</v>
      </c>
      <c r="C158" s="943">
        <v>13.6625</v>
      </c>
      <c r="D158" s="943">
        <v>10.319917440660475</v>
      </c>
      <c r="E158" s="943">
        <v>112.125</v>
      </c>
      <c r="F158" s="943">
        <v>1.18665</v>
      </c>
      <c r="G158" s="943">
        <v>1.347</v>
      </c>
    </row>
    <row r="159" spans="2:7" ht="15" customHeight="1">
      <c r="B159" s="1288" t="s">
        <v>344</v>
      </c>
      <c r="C159" s="1288">
        <v>12.4</v>
      </c>
      <c r="D159" s="1288">
        <v>9.9601593625498008</v>
      </c>
      <c r="E159" s="1288">
        <v>112.75</v>
      </c>
      <c r="F159" s="1288">
        <v>1.1944999999999999</v>
      </c>
      <c r="G159" s="1288">
        <v>1.35</v>
      </c>
    </row>
    <row r="160" spans="2:7" ht="15" customHeight="1">
      <c r="B160" s="1288"/>
      <c r="C160" s="1288"/>
      <c r="D160" s="1288"/>
      <c r="E160" s="1288"/>
      <c r="F160" s="1288"/>
      <c r="G160" s="1288"/>
    </row>
    <row r="161" spans="2:10" ht="15" customHeight="1">
      <c r="B161" s="728">
        <v>2018</v>
      </c>
      <c r="C161" s="1288"/>
      <c r="D161" s="1288"/>
      <c r="E161" s="1288"/>
      <c r="F161" s="1288"/>
      <c r="G161" s="1288"/>
    </row>
    <row r="162" spans="2:10" ht="15" customHeight="1">
      <c r="B162" s="1288" t="s">
        <v>345</v>
      </c>
      <c r="C162" s="1288">
        <v>12.272731818181818</v>
      </c>
      <c r="D162" s="1288">
        <v>9.7871329802743201</v>
      </c>
      <c r="E162" s="1288">
        <v>111.234772727273</v>
      </c>
      <c r="F162" s="1288">
        <v>1.210507</v>
      </c>
      <c r="G162" s="1288">
        <v>1.3734249999999999</v>
      </c>
      <c r="J162" s="1468"/>
    </row>
    <row r="163" spans="2:10" ht="15" customHeight="1">
      <c r="B163" s="1288" t="s">
        <v>334</v>
      </c>
      <c r="C163" s="1288">
        <v>11.829647368421051</v>
      </c>
      <c r="D163" s="1288">
        <v>9.552691315115613</v>
      </c>
      <c r="E163" s="1288">
        <v>107.88236842105265</v>
      </c>
      <c r="F163" s="1288">
        <v>1.236383</v>
      </c>
      <c r="G163" s="1288">
        <v>1.3985000000000001</v>
      </c>
    </row>
    <row r="164" spans="2:10" ht="15" customHeight="1">
      <c r="B164" s="1288" t="s">
        <v>335</v>
      </c>
      <c r="C164" s="1288">
        <v>11.837899999999999</v>
      </c>
      <c r="D164" s="1288">
        <v>9.5578000000000003</v>
      </c>
      <c r="E164" s="1288">
        <v>106.011</v>
      </c>
      <c r="F164" s="1288">
        <v>1.234</v>
      </c>
      <c r="G164" s="1288">
        <v>1.3966000000000001</v>
      </c>
    </row>
    <row r="165" spans="2:10" ht="15" customHeight="1">
      <c r="B165" s="1288" t="s">
        <v>336</v>
      </c>
      <c r="C165" s="1288">
        <v>12.077199999999999</v>
      </c>
      <c r="D165" s="1288">
        <v>9.6656999999999993</v>
      </c>
      <c r="E165" s="1288">
        <v>107.6105</v>
      </c>
      <c r="F165" s="1288">
        <v>1.228</v>
      </c>
      <c r="G165" s="1288">
        <v>1.4074</v>
      </c>
    </row>
    <row r="166" spans="2:10" ht="15" customHeight="1">
      <c r="B166" s="1288" t="s">
        <v>337</v>
      </c>
      <c r="C166" s="1288">
        <v>12.539928571428572</v>
      </c>
      <c r="D166" s="1288">
        <v>9.9233780378062626</v>
      </c>
      <c r="E166" s="1288">
        <v>109.73309523809522</v>
      </c>
      <c r="F166" s="1288">
        <v>1.1825141053045114</v>
      </c>
      <c r="G166" s="1288">
        <v>1.3476087667376826</v>
      </c>
    </row>
    <row r="167" spans="2:10" ht="15" customHeight="1">
      <c r="B167" s="1288" t="s">
        <v>338</v>
      </c>
      <c r="C167" s="1288">
        <v>13.281404761904762</v>
      </c>
      <c r="D167" s="1288">
        <v>10.214600147479119</v>
      </c>
      <c r="E167" s="1288">
        <v>109.98904761904764</v>
      </c>
      <c r="F167" s="1288">
        <v>1.1677314207635101</v>
      </c>
      <c r="G167" s="1288">
        <v>1.328745486535259</v>
      </c>
    </row>
    <row r="168" spans="2:10" ht="15" customHeight="1">
      <c r="B168" s="1288" t="s">
        <v>339</v>
      </c>
      <c r="C168" s="1416">
        <v>13.421611904761907</v>
      </c>
      <c r="D168" s="1416">
        <v>10.317854147549117</v>
      </c>
      <c r="E168" s="1416">
        <v>111.44190476190475</v>
      </c>
      <c r="F168" s="1416">
        <v>1.1686998705409841</v>
      </c>
      <c r="G168" s="1416">
        <v>1.3173564700879024</v>
      </c>
    </row>
    <row r="169" spans="2:10" ht="15" customHeight="1">
      <c r="B169" s="1288" t="s">
        <v>340</v>
      </c>
      <c r="C169" s="1416">
        <v>14.037390476190472</v>
      </c>
      <c r="D169" s="1416">
        <v>10.561541807417424</v>
      </c>
      <c r="E169" s="1416">
        <v>111.12952380952382</v>
      </c>
      <c r="F169" s="1416">
        <v>1.1560939693338113</v>
      </c>
      <c r="G169" s="1416">
        <v>1.2891940188501041</v>
      </c>
    </row>
    <row r="170" spans="2:10" ht="15" customHeight="1">
      <c r="B170" s="1288" t="s">
        <v>341</v>
      </c>
      <c r="C170" s="1416">
        <v>14.799625000000001</v>
      </c>
      <c r="D170" s="1416">
        <v>10.799704159647005</v>
      </c>
      <c r="E170" s="1416">
        <v>111.92525000000001</v>
      </c>
      <c r="F170" s="1416">
        <v>1.1659101902440381</v>
      </c>
      <c r="G170" s="1416">
        <v>1.3048720115068093</v>
      </c>
    </row>
    <row r="171" spans="2:10" ht="15" customHeight="1">
      <c r="B171" s="1288" t="s">
        <v>342</v>
      </c>
      <c r="C171" s="1416">
        <v>14.538839999999999</v>
      </c>
      <c r="D171" s="1416">
        <v>10.746558307786561</v>
      </c>
      <c r="E171" s="1416">
        <v>112.69625000000001</v>
      </c>
      <c r="F171" s="1416">
        <v>1.1216887500000001</v>
      </c>
      <c r="G171" s="1416">
        <v>1.2698187500000002</v>
      </c>
    </row>
    <row r="172" spans="2:10" ht="15" customHeight="1">
      <c r="B172" s="1288" t="s">
        <v>343</v>
      </c>
      <c r="C172" s="1416">
        <v>14.11</v>
      </c>
      <c r="D172" s="1416">
        <v>10.65</v>
      </c>
      <c r="E172" s="1416">
        <v>113.34</v>
      </c>
      <c r="F172" s="1416">
        <v>1.1368254963525204</v>
      </c>
      <c r="G172" s="1416">
        <v>1.2987012987012987</v>
      </c>
    </row>
    <row r="173" spans="2:10" ht="15" customHeight="1">
      <c r="B173" s="1288" t="s">
        <v>344</v>
      </c>
      <c r="C173" s="1416">
        <v>14.19</v>
      </c>
      <c r="D173" s="1416">
        <v>10.68</v>
      </c>
      <c r="E173" s="1416">
        <v>112.54</v>
      </c>
      <c r="F173" s="1416">
        <v>1.1363636363636365</v>
      </c>
      <c r="G173" s="1416">
        <v>1.2658227848101264</v>
      </c>
    </row>
    <row r="174" spans="2:10" ht="15" customHeight="1">
      <c r="B174" s="1467"/>
      <c r="C174" s="1467"/>
      <c r="D174" s="1467"/>
      <c r="E174" s="1467"/>
      <c r="F174" s="1467"/>
      <c r="G174" s="1467"/>
    </row>
    <row r="175" spans="2:10" ht="15" customHeight="1">
      <c r="B175" s="728">
        <v>2019</v>
      </c>
      <c r="C175" s="1467"/>
      <c r="D175" s="1467"/>
      <c r="E175" s="1467"/>
      <c r="F175" s="1467"/>
      <c r="G175" s="1467"/>
    </row>
    <row r="176" spans="2:10" ht="15" customHeight="1">
      <c r="B176" s="1478" t="s">
        <v>345</v>
      </c>
      <c r="C176" s="1467">
        <v>13.861838636363638</v>
      </c>
      <c r="D176" s="1467">
        <v>10.535963371687563</v>
      </c>
      <c r="E176" s="1467">
        <v>109.15886363636365</v>
      </c>
      <c r="F176" s="1467">
        <v>1.1381321367424213</v>
      </c>
      <c r="G176" s="1467">
        <v>1.285338058805557</v>
      </c>
    </row>
    <row r="177" spans="2:7" ht="15" customHeight="1">
      <c r="B177" s="1478" t="s">
        <v>334</v>
      </c>
      <c r="C177" s="1467">
        <v>13.778905263157894</v>
      </c>
      <c r="D177" s="1467">
        <v>10.49637613525924</v>
      </c>
      <c r="E177" s="1467">
        <v>110.31105263157896</v>
      </c>
      <c r="F177" s="1467">
        <v>1.1449157960635286</v>
      </c>
      <c r="G177" s="1467">
        <v>1.3003668154121355</v>
      </c>
    </row>
    <row r="178" spans="2:7" ht="15" customHeight="1">
      <c r="B178" s="1478" t="s">
        <v>335</v>
      </c>
      <c r="C178" s="1467">
        <v>14.355671428571426</v>
      </c>
      <c r="D178" s="1467">
        <v>10.689596083755291</v>
      </c>
      <c r="E178" s="1467">
        <v>111.1195238095238</v>
      </c>
      <c r="F178" s="1467">
        <v>1.1363636363636365</v>
      </c>
      <c r="G178" s="1467">
        <v>1.3157894736842106</v>
      </c>
    </row>
    <row r="179" spans="2:7" ht="15" customHeight="1">
      <c r="B179" s="1478" t="s">
        <v>336</v>
      </c>
      <c r="C179" s="1467">
        <v>14.3368</v>
      </c>
      <c r="D179" s="1467">
        <v>10.758472296933835</v>
      </c>
      <c r="E179" s="1467">
        <v>111.515</v>
      </c>
      <c r="F179" s="1467">
        <v>1.1188499999999999</v>
      </c>
      <c r="G179" s="1467">
        <v>1.2942</v>
      </c>
    </row>
    <row r="180" spans="2:7" ht="15" customHeight="1">
      <c r="B180" s="1478" t="s">
        <v>337</v>
      </c>
      <c r="C180" s="1467">
        <v>14.426440909090907</v>
      </c>
      <c r="D180" s="1467">
        <v>10.759583673700224</v>
      </c>
      <c r="E180" s="1467">
        <v>109.99431818181816</v>
      </c>
      <c r="F180" s="1467">
        <v>1.1185534812940348</v>
      </c>
      <c r="G180" s="1467">
        <v>1.2851910524711021</v>
      </c>
    </row>
    <row r="181" spans="2:7" ht="15" customHeight="1">
      <c r="B181" s="1478" t="s">
        <v>338</v>
      </c>
      <c r="C181" s="1467"/>
      <c r="D181" s="1467"/>
      <c r="E181" s="1467"/>
      <c r="F181" s="1467"/>
      <c r="G181" s="1467"/>
    </row>
    <row r="182" spans="2:7" ht="15" customHeight="1">
      <c r="B182" s="1478" t="s">
        <v>339</v>
      </c>
      <c r="C182" s="1467"/>
      <c r="D182" s="1467"/>
      <c r="E182" s="1467"/>
      <c r="F182" s="1467"/>
      <c r="G182" s="1467"/>
    </row>
    <row r="183" spans="2:7" ht="15" customHeight="1" thickBot="1">
      <c r="B183" s="902"/>
      <c r="C183" s="1480"/>
      <c r="D183" s="903"/>
      <c r="E183" s="902"/>
      <c r="F183" s="902"/>
      <c r="G183" s="902"/>
    </row>
    <row r="184" spans="2:7" ht="15" customHeight="1" thickTop="1">
      <c r="B184" s="898"/>
      <c r="C184" s="899"/>
      <c r="D184" s="900"/>
      <c r="E184" s="899"/>
      <c r="F184" s="899"/>
      <c r="G184" s="899"/>
    </row>
    <row r="185" spans="2:7" ht="15" customHeight="1">
      <c r="B185" s="1432" t="s">
        <v>1783</v>
      </c>
      <c r="C185" s="935"/>
      <c r="D185" s="900"/>
      <c r="E185" s="899"/>
      <c r="F185" s="899"/>
      <c r="G185" s="899"/>
    </row>
    <row r="186" spans="2:7" ht="15" customHeight="1">
      <c r="B186" s="965"/>
      <c r="C186" s="935"/>
      <c r="D186" s="900"/>
      <c r="E186" s="899"/>
      <c r="F186" s="899"/>
      <c r="G186" s="899"/>
    </row>
    <row r="187" spans="2:7" ht="12.75" customHeight="1">
      <c r="B187" s="1941" t="s">
        <v>1357</v>
      </c>
      <c r="C187" s="1941"/>
      <c r="D187" s="744"/>
      <c r="E187" s="744"/>
      <c r="F187" s="744"/>
      <c r="G187" s="744"/>
    </row>
    <row r="188" spans="2:7" ht="12.75" customHeight="1">
      <c r="B188" s="1942" t="s">
        <v>1358</v>
      </c>
      <c r="C188" s="1942"/>
      <c r="D188" s="911"/>
      <c r="E188" s="744"/>
      <c r="F188" s="911"/>
      <c r="G188" s="744"/>
    </row>
  </sheetData>
  <customSheetViews>
    <customSheetView guid="{705E0D18-9A83-42CA-8732-90923BE2EC7D}" showPageBreaks="1" showGridLines="0" printArea="1" hiddenRows="1" topLeftCell="A80">
      <pane xSplit="2" ySplit="8" topLeftCell="D161" activePane="bottomRight" state="frozen"/>
      <selection pane="bottomRight" activeCell="D171" sqref="D171"/>
      <pageMargins left="0.42" right="0.42" top="0.42" bottom="0.41" header="0.42" footer="0.41"/>
      <printOptions horizontalCentered="1"/>
      <pageSetup scale="61" orientation="landscape" horizontalDpi="300" verticalDpi="300" r:id="rId1"/>
      <headerFooter alignWithMargins="0"/>
    </customSheetView>
    <customSheetView guid="{D45E5F9E-4EA6-40A2-8A1D-3AC67FB8CE54}" showPageBreaks="1" showGridLines="0" printArea="1" hiddenRows="1" topLeftCell="A80">
      <pane xSplit="2" ySplit="8" topLeftCell="C161" activePane="bottomRight" state="frozen"/>
      <selection pane="bottomRight" activeCell="H168" sqref="H168:H169"/>
      <pageMargins left="0.42" right="0.42" top="0.42" bottom="0.41" header="0.42" footer="0.41"/>
      <printOptions horizontalCentered="1"/>
      <pageSetup scale="61" orientation="landscape" horizontalDpi="300" verticalDpi="300" r:id="rId2"/>
      <headerFooter alignWithMargins="0"/>
    </customSheetView>
    <customSheetView guid="{098C004C-808F-436E-8F18-182F927479D1}" showPageBreaks="1" showGridLines="0" printArea="1" hiddenRows="1" topLeftCell="A80">
      <pane xSplit="2" ySplit="8" topLeftCell="C131" activePane="bottomRight" state="frozen"/>
      <selection pane="bottomRight" activeCell="C139" sqref="C139"/>
      <pageMargins left="0.42" right="0.42" top="0.42" bottom="0.41" header="0.42" footer="0.41"/>
      <printOptions horizontalCentered="1"/>
      <pageSetup scale="61" orientation="landscape" horizontalDpi="300" verticalDpi="300" r:id="rId3"/>
      <headerFooter alignWithMargins="0"/>
    </customSheetView>
    <customSheetView guid="{89CA84C2-78F5-4B05-8F1D-B7C5F97BCB4E}" showPageBreaks="1" showGridLines="0" printArea="1" hiddenRows="1" topLeftCell="A80">
      <pane xSplit="2" ySplit="8" topLeftCell="C163" activePane="bottomRight" state="frozen"/>
      <selection pane="bottomRight" activeCell="D165" sqref="D165"/>
      <pageMargins left="0.42" right="0.42" top="0.42" bottom="0.41" header="0.42" footer="0.41"/>
      <printOptions horizontalCentered="1"/>
      <pageSetup scale="61" orientation="landscape" horizontalDpi="300" verticalDpi="300" r:id="rId4"/>
      <headerFooter alignWithMargins="0"/>
    </customSheetView>
  </customSheetViews>
  <mergeCells count="4">
    <mergeCell ref="C1:H1"/>
    <mergeCell ref="B81:G81"/>
    <mergeCell ref="B187:C187"/>
    <mergeCell ref="B188:C188"/>
  </mergeCells>
  <phoneticPr fontId="52" type="noConversion"/>
  <printOptions horizontalCentered="1"/>
  <pageMargins left="0.42" right="0.42" top="0.42" bottom="0.41" header="0.42" footer="0.41"/>
  <pageSetup scale="61" orientation="landscape" horizontalDpi="300" verticalDpi="300" r:id="rId5"/>
  <headerFooter alignWithMargins="0"/>
  <ignoredErrors>
    <ignoredError sqref="F117 F120:G120 G122 G125:G126 F126 F131:G131 F134:G134 F145:G145 G157" unlockedFormula="1"/>
  </ignoredErrors>
  <drawing r:id="rId6"/>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FF0000"/>
  </sheetPr>
  <dimension ref="B1:Y100"/>
  <sheetViews>
    <sheetView showGridLines="0" topLeftCell="A80" zoomScale="80" zoomScaleNormal="80" zoomScaleSheetLayoutView="85" workbookViewId="0">
      <pane xSplit="2" ySplit="7" topLeftCell="C87" activePane="bottomRight" state="frozen"/>
      <selection activeCell="J193" sqref="J193"/>
      <selection pane="topRight" activeCell="J193" sqref="J193"/>
      <selection pane="bottomLeft" activeCell="J193" sqref="J193"/>
      <selection pane="bottomRight" activeCell="J193" sqref="J193"/>
    </sheetView>
  </sheetViews>
  <sheetFormatPr defaultColWidth="12.6640625" defaultRowHeight="15.75"/>
  <cols>
    <col min="1" max="3" width="12.6640625" style="270"/>
    <col min="4" max="4" width="12.109375" style="270" customWidth="1"/>
    <col min="5" max="5" width="12" style="270" customWidth="1"/>
    <col min="6" max="6" width="11.21875" style="270" customWidth="1"/>
    <col min="7" max="7" width="11.44140625" style="270" customWidth="1"/>
    <col min="8" max="9" width="11.21875" style="270" customWidth="1"/>
    <col min="10" max="10" width="17.44140625" style="270" customWidth="1"/>
    <col min="11" max="11" width="2.6640625" style="270" customWidth="1"/>
    <col min="12" max="16384" width="12.6640625" style="270"/>
  </cols>
  <sheetData>
    <row r="1" spans="4:25" ht="23.25" hidden="1" customHeight="1">
      <c r="D1" s="1940" t="s">
        <v>1159</v>
      </c>
      <c r="E1" s="1940"/>
      <c r="F1" s="1940"/>
      <c r="G1" s="1940"/>
      <c r="H1" s="1940"/>
      <c r="I1" s="1940"/>
      <c r="J1" s="1940"/>
      <c r="K1" s="160"/>
      <c r="L1" s="242"/>
      <c r="M1" s="242"/>
      <c r="N1" s="242"/>
      <c r="O1" s="242"/>
      <c r="P1" s="242"/>
      <c r="Q1" s="242"/>
      <c r="R1" s="242"/>
      <c r="S1" s="242"/>
      <c r="T1" s="242"/>
      <c r="U1" s="242"/>
      <c r="V1" s="242"/>
      <c r="W1" s="242"/>
      <c r="X1" s="242"/>
      <c r="Y1" s="242"/>
    </row>
    <row r="2" spans="4:25" ht="13.15" hidden="1" customHeight="1" thickBot="1">
      <c r="D2" s="243"/>
      <c r="E2" s="243"/>
      <c r="F2" s="243"/>
      <c r="G2" s="243"/>
      <c r="H2" s="243"/>
      <c r="I2" s="243"/>
      <c r="J2" s="243"/>
      <c r="K2" s="160"/>
      <c r="L2" s="242"/>
      <c r="M2" s="242"/>
      <c r="N2" s="242"/>
      <c r="O2" s="242"/>
      <c r="P2" s="242"/>
      <c r="Q2" s="242"/>
      <c r="R2" s="242"/>
      <c r="S2" s="242"/>
      <c r="T2" s="242"/>
      <c r="U2" s="242"/>
      <c r="V2" s="242"/>
      <c r="W2" s="242"/>
      <c r="X2" s="242"/>
      <c r="Y2" s="242"/>
    </row>
    <row r="3" spans="4:25" ht="19.5" hidden="1" customHeight="1" thickTop="1">
      <c r="D3" s="244"/>
      <c r="E3" s="480"/>
      <c r="F3" s="480"/>
      <c r="G3" s="480"/>
      <c r="H3" s="480"/>
      <c r="I3" s="480"/>
      <c r="J3" s="480"/>
      <c r="K3" s="162"/>
    </row>
    <row r="4" spans="4:25" ht="24" hidden="1" customHeight="1">
      <c r="D4" s="159"/>
      <c r="E4" s="481" t="s">
        <v>761</v>
      </c>
      <c r="F4" s="481" t="s">
        <v>764</v>
      </c>
      <c r="G4" s="481" t="s">
        <v>762</v>
      </c>
      <c r="H4" s="481" t="s">
        <v>763</v>
      </c>
      <c r="I4" s="1494"/>
      <c r="J4" s="481" t="s">
        <v>760</v>
      </c>
      <c r="K4" s="162"/>
    </row>
    <row r="5" spans="4:25" ht="24" hidden="1" customHeight="1">
      <c r="D5" s="161" t="s">
        <v>263</v>
      </c>
      <c r="E5" s="481" t="s">
        <v>1160</v>
      </c>
      <c r="F5" s="481" t="s">
        <v>1161</v>
      </c>
      <c r="G5" s="481" t="s">
        <v>1162</v>
      </c>
      <c r="H5" s="481" t="s">
        <v>1190</v>
      </c>
      <c r="I5" s="1494"/>
      <c r="J5" s="481" t="s">
        <v>1191</v>
      </c>
      <c r="K5" s="162"/>
    </row>
    <row r="6" spans="4:25" ht="12.75" hidden="1" customHeight="1">
      <c r="D6" s="161"/>
      <c r="E6" s="482"/>
      <c r="F6" s="482"/>
      <c r="G6" s="482"/>
      <c r="H6" s="482"/>
      <c r="I6" s="1495"/>
      <c r="J6" s="482"/>
      <c r="K6" s="162"/>
    </row>
    <row r="7" spans="4:25" ht="13.15" hidden="1" customHeight="1" thickBot="1">
      <c r="D7" s="245"/>
      <c r="E7" s="483"/>
      <c r="F7" s="483"/>
      <c r="G7" s="483"/>
      <c r="H7" s="483"/>
      <c r="I7" s="1496"/>
      <c r="J7" s="483"/>
      <c r="K7" s="162"/>
    </row>
    <row r="8" spans="4:25" ht="12.75" hidden="1" customHeight="1" thickTop="1">
      <c r="D8" s="244"/>
      <c r="E8" s="484"/>
      <c r="F8" s="484"/>
      <c r="G8" s="484"/>
      <c r="H8" s="484"/>
      <c r="I8" s="484"/>
      <c r="J8" s="484"/>
      <c r="K8" s="160"/>
    </row>
    <row r="9" spans="4:25" ht="23.25" hidden="1" customHeight="1">
      <c r="D9" s="161">
        <v>2009</v>
      </c>
      <c r="E9" s="485"/>
      <c r="F9" s="485"/>
      <c r="G9" s="485"/>
      <c r="H9" s="485"/>
      <c r="I9" s="1497"/>
      <c r="J9" s="485"/>
      <c r="K9" s="160"/>
    </row>
    <row r="10" spans="4:25" ht="23.25" hidden="1" customHeight="1">
      <c r="D10" s="159"/>
      <c r="E10" s="485"/>
      <c r="F10" s="485"/>
      <c r="G10" s="485"/>
      <c r="H10" s="485"/>
      <c r="I10" s="1497"/>
      <c r="J10" s="485"/>
      <c r="K10" s="160"/>
    </row>
    <row r="11" spans="4:25" ht="24.75" hidden="1" customHeight="1">
      <c r="D11" s="159" t="s">
        <v>298</v>
      </c>
      <c r="E11" s="486">
        <v>10.042378096845308</v>
      </c>
      <c r="F11" s="486">
        <v>1.2885734081697975</v>
      </c>
      <c r="G11" s="486">
        <v>0.112170119336166</v>
      </c>
      <c r="H11" s="486">
        <v>1.2885734081697975</v>
      </c>
      <c r="I11" s="1498"/>
      <c r="J11" s="486">
        <v>14.275852434262701</v>
      </c>
      <c r="K11" s="160"/>
    </row>
    <row r="12" spans="4:25" ht="23.25" hidden="1" customHeight="1">
      <c r="D12" s="159" t="s">
        <v>299</v>
      </c>
      <c r="E12" s="486">
        <v>10.259999976947386</v>
      </c>
      <c r="F12" s="486">
        <v>1.2871169980786428</v>
      </c>
      <c r="G12" s="486">
        <v>0.11452810114731439</v>
      </c>
      <c r="H12" s="486">
        <v>1.2871169980786428</v>
      </c>
      <c r="I12" s="1498"/>
      <c r="J12" s="486">
        <v>14.745158969105162</v>
      </c>
      <c r="K12" s="160"/>
    </row>
    <row r="13" spans="4:25" ht="23.25" hidden="1" customHeight="1">
      <c r="D13" s="159" t="s">
        <v>300</v>
      </c>
      <c r="E13" s="486">
        <v>9.8863867799106746</v>
      </c>
      <c r="F13" s="486">
        <v>1.2478340862442787</v>
      </c>
      <c r="G13" s="486">
        <v>0.10130311595127124</v>
      </c>
      <c r="H13" s="486">
        <v>1.2478340862442787</v>
      </c>
      <c r="I13" s="1498"/>
      <c r="J13" s="486">
        <v>14.07695672207606</v>
      </c>
      <c r="K13" s="160"/>
    </row>
    <row r="14" spans="4:25" ht="23.25" hidden="1" customHeight="1">
      <c r="D14" s="159" t="s">
        <v>301</v>
      </c>
      <c r="E14" s="486">
        <v>9.0194012406724955</v>
      </c>
      <c r="F14" s="486">
        <v>1.2115256675357382</v>
      </c>
      <c r="G14" s="486">
        <v>9.1234379214240657E-2</v>
      </c>
      <c r="H14" s="486">
        <v>1.2115256675357382</v>
      </c>
      <c r="I14" s="1498"/>
      <c r="J14" s="486">
        <v>13.270916119751858</v>
      </c>
      <c r="K14" s="160"/>
    </row>
    <row r="15" spans="4:25" ht="23.25" hidden="1" customHeight="1">
      <c r="D15" s="159" t="s">
        <v>302</v>
      </c>
      <c r="E15" s="486">
        <v>8.3822835616515423</v>
      </c>
      <c r="F15" s="486">
        <v>1.1774860191139151</v>
      </c>
      <c r="G15" s="486">
        <v>8.686559833256198E-2</v>
      </c>
      <c r="H15" s="486">
        <v>1.1774860191139151</v>
      </c>
      <c r="I15" s="1498"/>
      <c r="J15" s="486">
        <v>12.919551738616239</v>
      </c>
      <c r="K15" s="160"/>
    </row>
    <row r="16" spans="4:25" ht="23.25" hidden="1" customHeight="1">
      <c r="D16" s="159" t="s">
        <v>303</v>
      </c>
      <c r="E16" s="486">
        <v>8.055873356373894</v>
      </c>
      <c r="F16" s="486">
        <v>1.1663786596750487</v>
      </c>
      <c r="G16" s="486">
        <v>8.3472371191355935E-2</v>
      </c>
      <c r="H16" s="486">
        <v>1.1663786596750487</v>
      </c>
      <c r="I16" s="1498"/>
      <c r="J16" s="486">
        <v>13.182417669725508</v>
      </c>
      <c r="K16" s="160"/>
    </row>
    <row r="17" spans="4:24" ht="23.25" hidden="1" customHeight="1">
      <c r="D17" s="159" t="s">
        <v>304</v>
      </c>
      <c r="E17" s="486">
        <v>7.9559301648155465</v>
      </c>
      <c r="F17" s="486">
        <v>1.1580124410366281</v>
      </c>
      <c r="G17" s="486">
        <v>8.4164928304298059E-2</v>
      </c>
      <c r="H17" s="486">
        <v>1.1580124410366281</v>
      </c>
      <c r="I17" s="1498"/>
      <c r="J17" s="486">
        <v>13.014263967976545</v>
      </c>
      <c r="K17" s="160"/>
    </row>
    <row r="18" spans="4:24" ht="23.25" hidden="1" customHeight="1">
      <c r="D18" s="159" t="s">
        <v>305</v>
      </c>
      <c r="E18" s="486">
        <v>7.81</v>
      </c>
      <c r="F18" s="486">
        <v>1.1499999999999999</v>
      </c>
      <c r="G18" s="486">
        <v>0.08</v>
      </c>
      <c r="H18" s="486">
        <v>11.13</v>
      </c>
      <c r="I18" s="1498"/>
      <c r="J18" s="486">
        <v>12.65</v>
      </c>
      <c r="K18" s="160"/>
    </row>
    <row r="19" spans="4:24" ht="23.25" hidden="1" customHeight="1">
      <c r="D19" s="159" t="s">
        <v>306</v>
      </c>
      <c r="E19" s="486">
        <v>7.81</v>
      </c>
      <c r="F19" s="486">
        <v>1.1499999999999999</v>
      </c>
      <c r="G19" s="486">
        <v>0.08</v>
      </c>
      <c r="H19" s="486">
        <v>11.13</v>
      </c>
      <c r="I19" s="1498"/>
      <c r="J19" s="486">
        <v>12.65</v>
      </c>
      <c r="K19" s="160"/>
    </row>
    <row r="20" spans="4:24" ht="23.25" hidden="1" customHeight="1">
      <c r="D20" s="159" t="s">
        <v>307</v>
      </c>
      <c r="E20" s="486">
        <v>7.74</v>
      </c>
      <c r="F20" s="486">
        <v>1.1499999999999999</v>
      </c>
      <c r="G20" s="486">
        <v>0.09</v>
      </c>
      <c r="H20" s="486">
        <v>11.48</v>
      </c>
      <c r="I20" s="1498"/>
      <c r="J20" s="486">
        <v>12.8</v>
      </c>
      <c r="K20" s="160"/>
    </row>
    <row r="21" spans="4:24" ht="23.25" hidden="1" customHeight="1">
      <c r="D21" s="159" t="s">
        <v>308</v>
      </c>
      <c r="E21" s="486">
        <v>7.38</v>
      </c>
      <c r="F21" s="486">
        <v>1.1100000000000001</v>
      </c>
      <c r="G21" s="486">
        <v>0.09</v>
      </c>
      <c r="H21" s="486">
        <v>11.11</v>
      </c>
      <c r="I21" s="1498"/>
      <c r="J21" s="486">
        <v>12.21</v>
      </c>
      <c r="K21" s="160"/>
    </row>
    <row r="22" spans="4:24" ht="23.25" hidden="1" customHeight="1">
      <c r="D22" s="159" t="s">
        <v>311</v>
      </c>
      <c r="E22" s="486">
        <v>7.39</v>
      </c>
      <c r="F22" s="486">
        <v>1.1100000000000001</v>
      </c>
      <c r="G22" s="486">
        <v>0.08</v>
      </c>
      <c r="H22" s="486">
        <v>10.56</v>
      </c>
      <c r="I22" s="1498"/>
      <c r="J22" s="486">
        <v>11.88</v>
      </c>
      <c r="K22" s="160"/>
    </row>
    <row r="23" spans="4:24" ht="23.25" hidden="1" customHeight="1">
      <c r="D23" s="161">
        <v>2010</v>
      </c>
      <c r="E23" s="486"/>
      <c r="F23" s="486"/>
      <c r="G23" s="486"/>
      <c r="H23" s="486"/>
      <c r="I23" s="1498"/>
      <c r="J23" s="486"/>
      <c r="K23" s="160"/>
    </row>
    <row r="24" spans="4:24" ht="9.6" hidden="1" customHeight="1">
      <c r="D24" s="161"/>
      <c r="E24" s="486"/>
      <c r="F24" s="486"/>
      <c r="G24" s="486"/>
      <c r="H24" s="486"/>
      <c r="I24" s="1498"/>
      <c r="J24" s="486"/>
      <c r="K24" s="160"/>
    </row>
    <row r="25" spans="4:24" ht="23.25" hidden="1" customHeight="1">
      <c r="D25" s="159" t="s">
        <v>298</v>
      </c>
      <c r="E25" s="486">
        <v>7.62</v>
      </c>
      <c r="F25" s="486">
        <v>6.8259385665529013</v>
      </c>
      <c r="G25" s="486">
        <v>89.84</v>
      </c>
      <c r="H25" s="486">
        <f>1/0.710732054015636</f>
        <v>1.4070000000000003</v>
      </c>
      <c r="I25" s="1498"/>
      <c r="J25" s="486">
        <f>1/0.619962802231866</f>
        <v>1.6130000000000004</v>
      </c>
      <c r="K25" s="160"/>
    </row>
    <row r="26" spans="4:24" ht="23.25" hidden="1" customHeight="1">
      <c r="D26" s="159" t="s">
        <v>299</v>
      </c>
      <c r="E26" s="486">
        <v>7.7</v>
      </c>
      <c r="F26" s="486">
        <v>6.92</v>
      </c>
      <c r="G26" s="486">
        <v>89.25</v>
      </c>
      <c r="H26" s="486">
        <f>1.36</f>
        <v>1.36</v>
      </c>
      <c r="I26" s="1498"/>
      <c r="J26" s="486">
        <f>1.51</f>
        <v>1.51</v>
      </c>
      <c r="K26" s="160"/>
    </row>
    <row r="27" spans="4:24" ht="23.25" hidden="1" customHeight="1">
      <c r="D27" s="159" t="s">
        <v>300</v>
      </c>
      <c r="E27" s="486">
        <v>7.38</v>
      </c>
      <c r="F27" s="486">
        <v>6.7842605156037994</v>
      </c>
      <c r="G27" s="486">
        <v>93.26</v>
      </c>
      <c r="H27" s="486">
        <f>1/0.74582338902148</f>
        <v>1.3407999999999993</v>
      </c>
      <c r="I27" s="1498"/>
      <c r="J27" s="486">
        <f>1/0.663305916688777</f>
        <v>1.5075999999999996</v>
      </c>
      <c r="K27" s="160"/>
    </row>
    <row r="28" spans="4:24" ht="23.25" hidden="1" customHeight="1">
      <c r="D28" s="159" t="s">
        <v>301</v>
      </c>
      <c r="E28" s="486">
        <v>7.3257000000000003</v>
      </c>
      <c r="F28" s="486">
        <v>6.8027210884353746</v>
      </c>
      <c r="G28" s="486">
        <v>94.045000000000002</v>
      </c>
      <c r="H28" s="486">
        <f>1/0.753295668549906</f>
        <v>1.3274999999999997</v>
      </c>
      <c r="I28" s="1498"/>
      <c r="J28" s="486">
        <f>1/0.650195058517555</f>
        <v>1.5380000000000007</v>
      </c>
      <c r="K28" s="160"/>
    </row>
    <row r="29" spans="4:24" ht="23.25" hidden="1" customHeight="1">
      <c r="D29" s="159" t="s">
        <v>302</v>
      </c>
      <c r="E29" s="486">
        <v>7.6146000000000003</v>
      </c>
      <c r="F29" s="486">
        <v>7.0323488045007032</v>
      </c>
      <c r="G29" s="486">
        <v>91.44</v>
      </c>
      <c r="H29" s="486">
        <f>1/0.812677773262901</f>
        <v>1.2305000000000004</v>
      </c>
      <c r="I29" s="1498"/>
      <c r="J29" s="486">
        <f>1/0.690226394257316</f>
        <v>1.4488000000000008</v>
      </c>
      <c r="K29" s="160"/>
    </row>
    <row r="30" spans="4:24" ht="23.25" hidden="1" customHeight="1" thickBot="1">
      <c r="D30" s="159" t="s">
        <v>303</v>
      </c>
      <c r="E30" s="486">
        <v>7.6275000000000004</v>
      </c>
      <c r="F30" s="486">
        <v>7.1787508973438614</v>
      </c>
      <c r="G30" s="486">
        <v>88.635000000000005</v>
      </c>
      <c r="H30" s="486">
        <f>1/0.81732733959951</f>
        <v>1.2234999999999994</v>
      </c>
      <c r="I30" s="1498"/>
      <c r="J30" s="486">
        <f>1/0.664495979799322</f>
        <v>1.5049000000000006</v>
      </c>
      <c r="K30" s="160"/>
    </row>
    <row r="31" spans="4:24" ht="23.25" hidden="1" customHeight="1" thickTop="1">
      <c r="D31" s="159" t="s">
        <v>304</v>
      </c>
      <c r="E31" s="486">
        <v>7.3670999999999998</v>
      </c>
      <c r="F31" s="486">
        <v>6.85</v>
      </c>
      <c r="G31" s="486">
        <v>86.444999999999993</v>
      </c>
      <c r="H31" s="486">
        <f>1.3077</f>
        <v>1.3077000000000001</v>
      </c>
      <c r="I31" s="1498"/>
      <c r="J31" s="486">
        <f>1.5614</f>
        <v>1.5613999999999999</v>
      </c>
      <c r="K31" s="280"/>
      <c r="L31" s="280"/>
      <c r="M31" s="277"/>
      <c r="N31" s="271"/>
      <c r="O31" s="271"/>
      <c r="P31" s="271"/>
      <c r="Q31" s="271"/>
      <c r="R31" s="271"/>
      <c r="S31" s="271"/>
      <c r="T31" s="271"/>
      <c r="U31" s="271"/>
      <c r="V31" s="271"/>
      <c r="W31" s="271"/>
      <c r="X31" s="272"/>
    </row>
    <row r="32" spans="4:24" ht="23.25" hidden="1" customHeight="1">
      <c r="D32" s="159" t="s">
        <v>305</v>
      </c>
      <c r="E32" s="486">
        <v>7.3208000000000002</v>
      </c>
      <c r="F32" s="486">
        <v>6.88</v>
      </c>
      <c r="G32" s="486">
        <v>85.5</v>
      </c>
      <c r="H32" s="486">
        <f>1.27</f>
        <v>1.27</v>
      </c>
      <c r="I32" s="1498"/>
      <c r="J32" s="486">
        <f>1.5536</f>
        <v>1.5536000000000001</v>
      </c>
      <c r="K32" s="280"/>
      <c r="L32" s="278"/>
      <c r="M32" s="273"/>
      <c r="N32" s="273"/>
      <c r="O32" s="273"/>
      <c r="P32" s="746"/>
      <c r="Q32" s="746"/>
      <c r="R32" s="746"/>
      <c r="S32" s="273"/>
      <c r="T32" s="746"/>
      <c r="U32" s="273"/>
      <c r="V32" s="273"/>
      <c r="W32" s="273"/>
      <c r="X32" s="274"/>
    </row>
    <row r="33" spans="4:24" ht="23.25" hidden="1" customHeight="1">
      <c r="D33" s="159" t="s">
        <v>306</v>
      </c>
      <c r="E33" s="486">
        <v>6.9764999999999997</v>
      </c>
      <c r="F33" s="486">
        <v>6.67</v>
      </c>
      <c r="G33" s="486">
        <v>83.36</v>
      </c>
      <c r="H33" s="486">
        <f>1.3577</f>
        <v>1.3576999999999999</v>
      </c>
      <c r="I33" s="1498"/>
      <c r="J33" s="486">
        <f>1.5853</f>
        <v>1.5852999999999999</v>
      </c>
      <c r="K33" s="747"/>
      <c r="L33" s="748"/>
      <c r="M33" s="746"/>
      <c r="N33" s="273"/>
      <c r="O33" s="273"/>
      <c r="P33" s="746"/>
      <c r="Q33" s="746"/>
      <c r="R33" s="746"/>
      <c r="S33" s="746"/>
      <c r="T33" s="746"/>
      <c r="U33" s="746"/>
      <c r="V33" s="273"/>
      <c r="W33" s="746"/>
      <c r="X33" s="746"/>
    </row>
    <row r="34" spans="4:24" ht="23.25" hidden="1" customHeight="1" thickBot="1">
      <c r="D34" s="159" t="s">
        <v>307</v>
      </c>
      <c r="E34" s="486">
        <v>7.0167999999999999</v>
      </c>
      <c r="F34" s="486">
        <v>6.67</v>
      </c>
      <c r="G34" s="486">
        <v>80.66</v>
      </c>
      <c r="H34" s="486">
        <f>1.3881</f>
        <v>1.3880999999999999</v>
      </c>
      <c r="I34" s="1498"/>
      <c r="J34" s="486">
        <f>1.5943</f>
        <v>1.5943000000000001</v>
      </c>
      <c r="K34" s="747"/>
      <c r="L34" s="748"/>
      <c r="M34" s="749"/>
      <c r="N34" s="275"/>
      <c r="O34" s="749"/>
      <c r="P34" s="749"/>
      <c r="Q34" s="749"/>
      <c r="R34" s="749"/>
      <c r="S34" s="749"/>
      <c r="T34" s="749"/>
      <c r="U34" s="749"/>
      <c r="V34" s="749"/>
      <c r="W34" s="749"/>
      <c r="X34" s="749"/>
    </row>
    <row r="35" spans="4:24" ht="23.25" hidden="1" customHeight="1" thickTop="1">
      <c r="D35" s="159" t="s">
        <v>308</v>
      </c>
      <c r="E35" s="486">
        <v>7.1349999999999998</v>
      </c>
      <c r="F35" s="486">
        <v>6.51</v>
      </c>
      <c r="G35" s="486">
        <v>84.07</v>
      </c>
      <c r="H35" s="486">
        <f>1.31095</f>
        <v>1.3109500000000001</v>
      </c>
      <c r="I35" s="1498"/>
      <c r="J35" s="486">
        <f>1.5552</f>
        <v>1.5551999999999999</v>
      </c>
      <c r="K35" s="747"/>
      <c r="L35" s="748"/>
      <c r="M35" s="750"/>
      <c r="N35" s="750"/>
      <c r="O35" s="750"/>
      <c r="P35" s="750"/>
      <c r="Q35" s="750"/>
      <c r="R35" s="750"/>
      <c r="S35" s="750"/>
      <c r="T35" s="750"/>
      <c r="U35" s="750"/>
      <c r="V35" s="750"/>
      <c r="W35" s="750"/>
      <c r="X35" s="750"/>
    </row>
    <row r="36" spans="4:24" ht="23.25" hidden="1" customHeight="1">
      <c r="D36" s="159" t="s">
        <v>311</v>
      </c>
      <c r="E36" s="486">
        <v>6.62</v>
      </c>
      <c r="F36" s="486">
        <v>6.67</v>
      </c>
      <c r="G36" s="486">
        <v>81.254999999999995</v>
      </c>
      <c r="H36" s="486">
        <f>1.3306</f>
        <v>1.3306</v>
      </c>
      <c r="I36" s="1498"/>
      <c r="J36" s="486">
        <f>1.5556</f>
        <v>1.5556000000000001</v>
      </c>
      <c r="K36" s="280"/>
      <c r="L36" s="278"/>
      <c r="M36" s="273"/>
      <c r="N36" s="273"/>
      <c r="O36" s="273"/>
      <c r="P36" s="273"/>
      <c r="Q36" s="273"/>
      <c r="R36" s="273"/>
      <c r="S36" s="273"/>
      <c r="T36" s="273"/>
      <c r="U36" s="273"/>
      <c r="V36" s="273"/>
      <c r="W36" s="273"/>
      <c r="X36" s="273"/>
    </row>
    <row r="37" spans="4:24" ht="23.25" hidden="1" customHeight="1" thickBot="1">
      <c r="D37" s="159"/>
      <c r="E37" s="486"/>
      <c r="F37" s="751"/>
      <c r="G37" s="486"/>
      <c r="H37" s="486"/>
      <c r="I37" s="1498"/>
      <c r="J37" s="486"/>
      <c r="K37" s="747"/>
      <c r="L37" s="748"/>
      <c r="M37" s="749"/>
      <c r="N37" s="749"/>
      <c r="O37" s="749"/>
      <c r="P37" s="749"/>
      <c r="Q37" s="749"/>
      <c r="R37" s="749"/>
      <c r="S37" s="749"/>
      <c r="T37" s="749"/>
      <c r="U37" s="749"/>
      <c r="V37" s="749"/>
      <c r="W37" s="749"/>
      <c r="X37" s="749"/>
    </row>
    <row r="38" spans="4:24" ht="23.25" hidden="1" customHeight="1" thickTop="1">
      <c r="D38" s="560">
        <v>2011</v>
      </c>
      <c r="E38" s="560"/>
      <c r="F38" s="605"/>
      <c r="G38" s="560"/>
      <c r="H38" s="560"/>
      <c r="I38" s="560"/>
      <c r="J38" s="560"/>
      <c r="K38" s="747"/>
      <c r="L38" s="748"/>
      <c r="M38" s="750"/>
      <c r="N38" s="750"/>
      <c r="O38" s="750"/>
      <c r="P38" s="750"/>
      <c r="Q38" s="750"/>
      <c r="R38" s="750"/>
      <c r="S38" s="750"/>
      <c r="T38" s="750"/>
      <c r="U38" s="750"/>
      <c r="V38" s="750"/>
      <c r="W38" s="750"/>
      <c r="X38" s="750"/>
    </row>
    <row r="39" spans="4:24" ht="23.25" hidden="1" customHeight="1">
      <c r="D39" s="613"/>
      <c r="E39" s="560"/>
      <c r="F39" s="607"/>
      <c r="G39" s="560"/>
      <c r="H39" s="560"/>
      <c r="I39" s="560"/>
      <c r="J39" s="560"/>
      <c r="K39" s="280"/>
      <c r="L39" s="278"/>
      <c r="M39" s="273"/>
      <c r="N39" s="273"/>
      <c r="O39" s="273"/>
      <c r="P39" s="273"/>
      <c r="Q39" s="273"/>
      <c r="R39" s="273"/>
      <c r="S39" s="273"/>
      <c r="T39" s="273"/>
      <c r="U39" s="273"/>
      <c r="V39" s="273"/>
      <c r="W39" s="273"/>
      <c r="X39" s="273"/>
    </row>
    <row r="40" spans="4:24" ht="23.25" hidden="1" customHeight="1">
      <c r="D40" s="613" t="s">
        <v>298</v>
      </c>
      <c r="E40" s="560">
        <v>7.17</v>
      </c>
      <c r="F40" s="560">
        <v>6.67</v>
      </c>
      <c r="G40" s="560">
        <v>82.01</v>
      </c>
      <c r="H40" s="560">
        <v>1.36</v>
      </c>
      <c r="I40" s="560"/>
      <c r="J40" s="560">
        <v>1.59</v>
      </c>
      <c r="K40" s="280"/>
      <c r="L40" s="278"/>
      <c r="M40" s="273"/>
      <c r="N40" s="273"/>
      <c r="O40" s="273"/>
      <c r="P40" s="273"/>
      <c r="Q40" s="273"/>
      <c r="R40" s="273"/>
      <c r="S40" s="273"/>
      <c r="T40" s="273"/>
      <c r="U40" s="273"/>
      <c r="V40" s="273"/>
      <c r="W40" s="273"/>
      <c r="X40" s="273"/>
    </row>
    <row r="41" spans="4:24" ht="23.25" hidden="1" customHeight="1">
      <c r="D41" s="613" t="s">
        <v>299</v>
      </c>
      <c r="E41" s="560">
        <v>6.99</v>
      </c>
      <c r="F41" s="607">
        <v>6.67</v>
      </c>
      <c r="G41" s="560">
        <v>81.66</v>
      </c>
      <c r="H41" s="560">
        <v>1.38</v>
      </c>
      <c r="I41" s="560"/>
      <c r="J41" s="560">
        <v>1.61</v>
      </c>
      <c r="K41" s="280"/>
      <c r="L41" s="278"/>
      <c r="M41" s="273"/>
      <c r="N41" s="273"/>
      <c r="O41" s="273"/>
      <c r="P41" s="273"/>
      <c r="Q41" s="273"/>
      <c r="R41" s="273"/>
      <c r="S41" s="273"/>
      <c r="T41" s="273"/>
      <c r="U41" s="273"/>
      <c r="V41" s="273"/>
      <c r="W41" s="273"/>
      <c r="X41" s="273"/>
    </row>
    <row r="42" spans="4:24" ht="23.25" hidden="1" customHeight="1">
      <c r="D42" s="613" t="s">
        <v>300</v>
      </c>
      <c r="E42" s="560">
        <v>6.8</v>
      </c>
      <c r="F42" s="607">
        <v>6.55</v>
      </c>
      <c r="G42" s="560">
        <v>82.76</v>
      </c>
      <c r="H42" s="560">
        <v>1.42</v>
      </c>
      <c r="I42" s="560"/>
      <c r="J42" s="560">
        <v>1.61</v>
      </c>
      <c r="K42" s="280"/>
      <c r="L42" s="278"/>
      <c r="M42" s="273"/>
      <c r="N42" s="273"/>
      <c r="O42" s="273"/>
      <c r="P42" s="273"/>
      <c r="Q42" s="273"/>
      <c r="R42" s="273"/>
      <c r="S42" s="273"/>
      <c r="T42" s="273"/>
      <c r="U42" s="273"/>
      <c r="V42" s="273"/>
      <c r="W42" s="273"/>
      <c r="X42" s="273"/>
    </row>
    <row r="43" spans="4:24" ht="23.25" hidden="1" customHeight="1">
      <c r="D43" s="613" t="s">
        <v>301</v>
      </c>
      <c r="E43" s="560">
        <v>6.61</v>
      </c>
      <c r="F43" s="607">
        <v>6.38</v>
      </c>
      <c r="G43" s="560">
        <v>81.569999999999993</v>
      </c>
      <c r="H43" s="560">
        <v>1.48</v>
      </c>
      <c r="I43" s="560"/>
      <c r="J43" s="560">
        <v>1.67</v>
      </c>
      <c r="K43" s="280"/>
      <c r="L43" s="278"/>
      <c r="M43" s="273"/>
      <c r="N43" s="273"/>
      <c r="O43" s="273"/>
      <c r="P43" s="273"/>
      <c r="Q43" s="273"/>
      <c r="R43" s="273"/>
      <c r="S43" s="273"/>
      <c r="T43" s="273"/>
      <c r="U43" s="273"/>
      <c r="V43" s="273"/>
      <c r="W43" s="273"/>
      <c r="X43" s="273"/>
    </row>
    <row r="44" spans="4:24" ht="23.25" hidden="1" customHeight="1">
      <c r="D44" s="613" t="s">
        <v>302</v>
      </c>
      <c r="E44" s="560">
        <v>6.9</v>
      </c>
      <c r="F44" s="607">
        <v>6.61</v>
      </c>
      <c r="G44" s="560">
        <v>81.430000000000007</v>
      </c>
      <c r="H44" s="560">
        <v>1.44</v>
      </c>
      <c r="I44" s="560"/>
      <c r="J44" s="560">
        <v>1.65</v>
      </c>
      <c r="K44" s="280"/>
      <c r="L44" s="278"/>
      <c r="M44" s="273"/>
      <c r="N44" s="273"/>
      <c r="O44" s="273"/>
      <c r="P44" s="273"/>
      <c r="Q44" s="273"/>
      <c r="R44" s="273"/>
      <c r="S44" s="273"/>
      <c r="T44" s="273"/>
      <c r="U44" s="273"/>
      <c r="V44" s="273"/>
      <c r="W44" s="273"/>
      <c r="X44" s="273"/>
    </row>
    <row r="45" spans="4:24" ht="23.25" hidden="1" customHeight="1">
      <c r="D45" s="613" t="s">
        <v>303</v>
      </c>
      <c r="E45" s="560">
        <v>6.79</v>
      </c>
      <c r="F45" s="607">
        <v>6.53</v>
      </c>
      <c r="G45" s="560">
        <v>80.45</v>
      </c>
      <c r="H45" s="560">
        <v>1.45</v>
      </c>
      <c r="I45" s="560"/>
      <c r="J45" s="560">
        <v>1.61</v>
      </c>
      <c r="K45" s="280"/>
      <c r="L45" s="278"/>
      <c r="M45" s="273"/>
      <c r="N45" s="273"/>
      <c r="O45" s="273"/>
      <c r="P45" s="273"/>
      <c r="Q45" s="273"/>
      <c r="R45" s="273"/>
      <c r="S45" s="273"/>
      <c r="T45" s="273"/>
      <c r="U45" s="273"/>
      <c r="V45" s="273"/>
      <c r="W45" s="273"/>
      <c r="X45" s="273"/>
    </row>
    <row r="46" spans="4:24" ht="23.25" hidden="1" customHeight="1">
      <c r="D46" s="613" t="s">
        <v>304</v>
      </c>
      <c r="E46" s="560">
        <v>6.76</v>
      </c>
      <c r="F46" s="607">
        <v>6.51</v>
      </c>
      <c r="G46" s="560">
        <v>77.510000000000005</v>
      </c>
      <c r="H46" s="560">
        <v>1.43</v>
      </c>
      <c r="I46" s="560"/>
      <c r="J46" s="560">
        <v>1.63</v>
      </c>
      <c r="K46" s="280"/>
      <c r="L46" s="278"/>
      <c r="M46" s="273"/>
      <c r="N46" s="273"/>
      <c r="O46" s="273"/>
      <c r="P46" s="273"/>
      <c r="Q46" s="273"/>
      <c r="R46" s="273"/>
      <c r="S46" s="273"/>
      <c r="T46" s="273"/>
      <c r="U46" s="273"/>
      <c r="V46" s="273"/>
      <c r="W46" s="273"/>
      <c r="X46" s="273"/>
    </row>
    <row r="47" spans="4:24" ht="23.25" hidden="1" customHeight="1">
      <c r="D47" s="613" t="s">
        <v>305</v>
      </c>
      <c r="E47" s="560">
        <v>7.05</v>
      </c>
      <c r="F47" s="560">
        <v>6.72</v>
      </c>
      <c r="G47" s="560">
        <v>76.59</v>
      </c>
      <c r="H47" s="560">
        <v>1.44</v>
      </c>
      <c r="I47" s="560"/>
      <c r="J47" s="560">
        <v>1.63</v>
      </c>
      <c r="K47" s="280"/>
      <c r="L47" s="278"/>
      <c r="M47" s="273"/>
      <c r="N47" s="273"/>
      <c r="O47" s="273"/>
      <c r="P47" s="273"/>
      <c r="Q47" s="273"/>
      <c r="R47" s="273"/>
      <c r="S47" s="273"/>
      <c r="T47" s="273"/>
      <c r="U47" s="273"/>
      <c r="V47" s="273"/>
      <c r="W47" s="273"/>
      <c r="X47" s="273"/>
    </row>
    <row r="48" spans="4:24" ht="23.25" hidden="1" customHeight="1">
      <c r="D48" s="613" t="s">
        <v>306</v>
      </c>
      <c r="E48" s="560">
        <v>7.97</v>
      </c>
      <c r="F48" s="560">
        <v>7.31</v>
      </c>
      <c r="G48" s="560">
        <v>76.63</v>
      </c>
      <c r="H48" s="560">
        <v>1.35</v>
      </c>
      <c r="I48" s="560"/>
      <c r="J48" s="560">
        <v>1.56</v>
      </c>
      <c r="K48" s="280"/>
      <c r="L48" s="278"/>
      <c r="M48" s="273"/>
      <c r="N48" s="273"/>
      <c r="O48" s="273"/>
      <c r="P48" s="273"/>
      <c r="Q48" s="273"/>
      <c r="R48" s="273"/>
      <c r="S48" s="273"/>
      <c r="T48" s="273"/>
      <c r="U48" s="273"/>
      <c r="V48" s="273"/>
      <c r="W48" s="273"/>
      <c r="X48" s="273"/>
    </row>
    <row r="49" spans="2:24" ht="23.25" hidden="1" customHeight="1">
      <c r="D49" s="613" t="s">
        <v>307</v>
      </c>
      <c r="E49" s="560">
        <v>7.84</v>
      </c>
      <c r="F49" s="560">
        <v>7.22</v>
      </c>
      <c r="G49" s="560">
        <v>79.47</v>
      </c>
      <c r="H49" s="560">
        <v>1.4</v>
      </c>
      <c r="I49" s="560"/>
      <c r="J49" s="560">
        <v>1.6</v>
      </c>
      <c r="K49" s="280"/>
      <c r="L49" s="278"/>
      <c r="M49" s="273"/>
      <c r="N49" s="273"/>
      <c r="O49" s="273"/>
      <c r="P49" s="273"/>
      <c r="Q49" s="273"/>
      <c r="R49" s="273"/>
      <c r="S49" s="273"/>
      <c r="T49" s="273"/>
      <c r="U49" s="273"/>
      <c r="V49" s="273"/>
      <c r="W49" s="273"/>
      <c r="X49" s="273"/>
    </row>
    <row r="50" spans="2:24" ht="23.25" hidden="1" customHeight="1">
      <c r="D50" s="613" t="s">
        <v>308</v>
      </c>
      <c r="E50" s="560">
        <v>8.3699999999999992</v>
      </c>
      <c r="F50" s="560">
        <v>7.57</v>
      </c>
      <c r="G50" s="560">
        <v>77.900000000000006</v>
      </c>
      <c r="H50" s="560">
        <v>1.33</v>
      </c>
      <c r="I50" s="560"/>
      <c r="J50" s="560">
        <v>1.56</v>
      </c>
      <c r="K50" s="280"/>
      <c r="L50" s="278"/>
      <c r="M50" s="273"/>
      <c r="N50" s="273"/>
      <c r="O50" s="273"/>
      <c r="P50" s="273"/>
      <c r="Q50" s="273"/>
      <c r="R50" s="273"/>
      <c r="S50" s="273"/>
      <c r="T50" s="273"/>
      <c r="U50" s="273"/>
      <c r="V50" s="273"/>
      <c r="W50" s="273"/>
      <c r="X50" s="273"/>
    </row>
    <row r="51" spans="2:24" ht="23.25" hidden="1" customHeight="1">
      <c r="D51" s="613" t="s">
        <v>311</v>
      </c>
      <c r="E51" s="560">
        <v>8.17</v>
      </c>
      <c r="F51" s="560">
        <v>7.54</v>
      </c>
      <c r="G51" s="560">
        <v>77.56</v>
      </c>
      <c r="H51" s="560">
        <v>1.3</v>
      </c>
      <c r="I51" s="560"/>
      <c r="J51" s="560">
        <v>1.54</v>
      </c>
      <c r="K51" s="280"/>
      <c r="L51" s="278"/>
      <c r="M51" s="273"/>
      <c r="N51" s="273"/>
      <c r="O51" s="273"/>
      <c r="P51" s="273"/>
      <c r="Q51" s="273"/>
      <c r="R51" s="273"/>
      <c r="S51" s="273"/>
      <c r="T51" s="273"/>
      <c r="U51" s="273"/>
      <c r="V51" s="273"/>
      <c r="W51" s="273"/>
      <c r="X51" s="273"/>
    </row>
    <row r="52" spans="2:24" ht="23.25" hidden="1" customHeight="1">
      <c r="D52" s="539"/>
      <c r="E52" s="486"/>
      <c r="F52" s="486"/>
      <c r="G52" s="486"/>
      <c r="H52" s="486"/>
      <c r="I52" s="1498"/>
      <c r="J52" s="486"/>
      <c r="K52" s="280"/>
      <c r="L52" s="278"/>
      <c r="M52" s="273"/>
      <c r="N52" s="273"/>
      <c r="O52" s="273"/>
      <c r="P52" s="273"/>
      <c r="Q52" s="273"/>
      <c r="R52" s="273"/>
      <c r="S52" s="273"/>
      <c r="T52" s="273"/>
      <c r="U52" s="273"/>
      <c r="V52" s="273"/>
      <c r="W52" s="273"/>
      <c r="X52" s="273"/>
    </row>
    <row r="53" spans="2:24" ht="23.25" hidden="1" customHeight="1">
      <c r="D53" s="560">
        <v>2012</v>
      </c>
      <c r="E53" s="560"/>
      <c r="F53" s="560"/>
      <c r="G53" s="560"/>
      <c r="H53" s="560"/>
      <c r="I53" s="560"/>
      <c r="J53" s="560"/>
      <c r="K53" s="280"/>
      <c r="L53" s="278"/>
      <c r="M53" s="273"/>
      <c r="N53" s="273"/>
      <c r="O53" s="273"/>
      <c r="P53" s="273"/>
      <c r="Q53" s="273"/>
      <c r="R53" s="273"/>
      <c r="S53" s="273"/>
      <c r="T53" s="273"/>
      <c r="U53" s="273"/>
      <c r="V53" s="273"/>
      <c r="W53" s="273"/>
      <c r="X53" s="273"/>
    </row>
    <row r="54" spans="2:24" ht="23.25" hidden="1" customHeight="1">
      <c r="D54" s="613"/>
      <c r="E54" s="560"/>
      <c r="F54" s="560"/>
      <c r="G54" s="560"/>
      <c r="H54" s="560"/>
      <c r="I54" s="560"/>
      <c r="J54" s="560"/>
      <c r="K54" s="280"/>
      <c r="L54" s="278"/>
      <c r="M54" s="273"/>
      <c r="N54" s="273"/>
      <c r="O54" s="273"/>
      <c r="P54" s="273"/>
      <c r="Q54" s="273"/>
      <c r="R54" s="273"/>
      <c r="S54" s="273"/>
      <c r="T54" s="273"/>
      <c r="U54" s="273"/>
      <c r="V54" s="273"/>
      <c r="W54" s="273"/>
      <c r="X54" s="273"/>
    </row>
    <row r="55" spans="2:24" ht="23.25" hidden="1" customHeight="1">
      <c r="D55" s="613" t="s">
        <v>298</v>
      </c>
      <c r="E55" s="560">
        <v>7.82</v>
      </c>
      <c r="F55" s="560">
        <v>7.32</v>
      </c>
      <c r="G55" s="560">
        <v>76.2</v>
      </c>
      <c r="H55" s="560">
        <v>1.32</v>
      </c>
      <c r="I55" s="560"/>
      <c r="J55" s="560">
        <v>1.6</v>
      </c>
      <c r="K55" s="280"/>
      <c r="L55" s="278"/>
      <c r="M55" s="273"/>
      <c r="N55" s="273"/>
      <c r="O55" s="273"/>
      <c r="P55" s="273"/>
      <c r="Q55" s="273"/>
      <c r="R55" s="273"/>
      <c r="S55" s="273"/>
      <c r="T55" s="273"/>
      <c r="U55" s="273"/>
      <c r="V55" s="273"/>
      <c r="W55" s="273"/>
      <c r="X55" s="273"/>
    </row>
    <row r="56" spans="2:24" ht="23.25" hidden="1" customHeight="1">
      <c r="D56" s="613" t="s">
        <v>299</v>
      </c>
      <c r="E56" s="560">
        <v>7.47</v>
      </c>
      <c r="F56" s="560">
        <v>7.13</v>
      </c>
      <c r="G56" s="560">
        <v>80.28</v>
      </c>
      <c r="H56" s="560">
        <v>1.35</v>
      </c>
      <c r="I56" s="560"/>
      <c r="J56" s="560">
        <v>1.6</v>
      </c>
      <c r="K56" s="280"/>
      <c r="L56" s="278"/>
      <c r="M56" s="273"/>
      <c r="N56" s="273"/>
      <c r="O56" s="273"/>
      <c r="P56" s="273"/>
      <c r="Q56" s="273"/>
      <c r="R56" s="273"/>
      <c r="S56" s="273"/>
      <c r="T56" s="273"/>
      <c r="U56" s="273"/>
      <c r="V56" s="273"/>
      <c r="W56" s="273"/>
      <c r="X56" s="273"/>
    </row>
    <row r="57" spans="2:24" ht="23.25" hidden="1" customHeight="1">
      <c r="D57" s="613" t="s">
        <v>300</v>
      </c>
      <c r="E57" s="560">
        <v>7.59</v>
      </c>
      <c r="F57" s="560">
        <v>7.29</v>
      </c>
      <c r="G57" s="560">
        <v>81.92</v>
      </c>
      <c r="H57" s="560">
        <v>1.33</v>
      </c>
      <c r="I57" s="560"/>
      <c r="J57" s="560">
        <v>1.59</v>
      </c>
      <c r="K57" s="280"/>
      <c r="L57" s="278"/>
      <c r="M57" s="273"/>
      <c r="N57" s="273"/>
      <c r="O57" s="273"/>
      <c r="P57" s="273"/>
      <c r="Q57" s="273"/>
      <c r="R57" s="273"/>
      <c r="S57" s="273"/>
      <c r="T57" s="273"/>
      <c r="U57" s="273"/>
      <c r="V57" s="273"/>
      <c r="W57" s="273"/>
      <c r="X57" s="273"/>
    </row>
    <row r="58" spans="2:24" ht="14.1" hidden="1" customHeight="1">
      <c r="B58" s="270" t="s">
        <v>296</v>
      </c>
      <c r="D58" s="613" t="s">
        <v>301</v>
      </c>
      <c r="E58" s="560">
        <v>7.82</v>
      </c>
      <c r="F58" s="560">
        <v>7.41</v>
      </c>
      <c r="G58" s="560">
        <v>80.78</v>
      </c>
      <c r="H58" s="560">
        <v>1.32</v>
      </c>
      <c r="I58" s="560"/>
      <c r="J58" s="560">
        <v>1.61</v>
      </c>
      <c r="K58" s="280"/>
      <c r="L58" s="278"/>
      <c r="M58" s="273"/>
      <c r="N58" s="273"/>
      <c r="O58" s="273"/>
      <c r="P58" s="273"/>
      <c r="Q58" s="273"/>
      <c r="R58" s="273"/>
      <c r="S58" s="273"/>
      <c r="T58" s="273"/>
      <c r="U58" s="273"/>
      <c r="V58" s="273"/>
      <c r="W58" s="273"/>
      <c r="X58" s="273"/>
    </row>
    <row r="59" spans="2:24" ht="14.1" hidden="1" customHeight="1">
      <c r="D59" s="613" t="s">
        <v>302</v>
      </c>
      <c r="E59" s="560">
        <v>8.14</v>
      </c>
      <c r="F59" s="560">
        <v>7.63</v>
      </c>
      <c r="G59" s="560">
        <v>79.8</v>
      </c>
      <c r="H59" s="560">
        <v>1.28</v>
      </c>
      <c r="I59" s="560"/>
      <c r="J59" s="560">
        <v>1.59</v>
      </c>
      <c r="K59" s="280"/>
      <c r="L59" s="278"/>
      <c r="M59" s="273"/>
      <c r="N59" s="273"/>
      <c r="O59" s="273"/>
      <c r="P59" s="273"/>
      <c r="Q59" s="273"/>
      <c r="R59" s="273"/>
      <c r="S59" s="273"/>
      <c r="T59" s="273"/>
      <c r="U59" s="273"/>
      <c r="V59" s="273"/>
      <c r="W59" s="273"/>
      <c r="X59" s="273"/>
    </row>
    <row r="60" spans="2:24" ht="14.1" hidden="1" customHeight="1">
      <c r="D60" s="613" t="s">
        <v>303</v>
      </c>
      <c r="E60" s="560">
        <v>8.3800000000000008</v>
      </c>
      <c r="F60" s="560">
        <v>7.77</v>
      </c>
      <c r="G60" s="560">
        <v>79.42</v>
      </c>
      <c r="H60" s="560">
        <v>1.25</v>
      </c>
      <c r="I60" s="560"/>
      <c r="J60" s="560">
        <v>1.56</v>
      </c>
      <c r="K60" s="280"/>
      <c r="L60" s="278"/>
      <c r="M60" s="273"/>
      <c r="N60" s="273"/>
      <c r="O60" s="273"/>
      <c r="P60" s="273"/>
      <c r="Q60" s="273"/>
      <c r="R60" s="273"/>
      <c r="S60" s="273"/>
      <c r="T60" s="273"/>
      <c r="U60" s="273"/>
      <c r="V60" s="273"/>
      <c r="W60" s="273"/>
      <c r="X60" s="273"/>
    </row>
    <row r="61" spans="2:24" ht="14.1" hidden="1" customHeight="1">
      <c r="D61" s="613" t="s">
        <v>304</v>
      </c>
      <c r="E61" s="560">
        <v>8.18</v>
      </c>
      <c r="F61" s="560">
        <v>7.74</v>
      </c>
      <c r="G61" s="560">
        <v>78.23</v>
      </c>
      <c r="H61" s="560">
        <v>1.23</v>
      </c>
      <c r="I61" s="560"/>
      <c r="J61" s="560">
        <v>1.57</v>
      </c>
      <c r="K61" s="280"/>
      <c r="L61" s="278"/>
      <c r="M61" s="273"/>
      <c r="N61" s="273"/>
      <c r="O61" s="273"/>
      <c r="P61" s="273"/>
      <c r="Q61" s="273"/>
      <c r="R61" s="273"/>
      <c r="S61" s="273"/>
      <c r="T61" s="273"/>
      <c r="U61" s="273"/>
      <c r="V61" s="273"/>
      <c r="W61" s="273"/>
      <c r="X61" s="273"/>
    </row>
    <row r="62" spans="2:24" ht="14.1" hidden="1" customHeight="1">
      <c r="D62" s="613" t="s">
        <v>305</v>
      </c>
      <c r="E62" s="560">
        <v>8.4499999999999993</v>
      </c>
      <c r="F62" s="560">
        <v>7.8</v>
      </c>
      <c r="G62" s="560">
        <v>78.47</v>
      </c>
      <c r="H62" s="560">
        <v>1.25</v>
      </c>
      <c r="I62" s="560"/>
      <c r="J62" s="560">
        <v>1.58</v>
      </c>
      <c r="K62" s="280"/>
      <c r="L62" s="278"/>
      <c r="M62" s="273"/>
      <c r="N62" s="273"/>
      <c r="O62" s="273"/>
      <c r="P62" s="273"/>
      <c r="Q62" s="273"/>
      <c r="R62" s="273"/>
      <c r="S62" s="273"/>
      <c r="T62" s="273"/>
      <c r="U62" s="273"/>
      <c r="V62" s="273"/>
      <c r="W62" s="273"/>
      <c r="X62" s="273"/>
    </row>
    <row r="63" spans="2:24" ht="14.1" hidden="1" customHeight="1">
      <c r="D63" s="613" t="s">
        <v>306</v>
      </c>
      <c r="E63" s="560">
        <v>8.23</v>
      </c>
      <c r="F63" s="560">
        <v>7.65</v>
      </c>
      <c r="G63" s="560">
        <v>77.5</v>
      </c>
      <c r="H63" s="560">
        <v>1.29</v>
      </c>
      <c r="I63" s="560"/>
      <c r="J63" s="560">
        <v>1.63</v>
      </c>
      <c r="K63" s="280"/>
      <c r="L63" s="278"/>
      <c r="M63" s="273"/>
      <c r="N63" s="273"/>
      <c r="O63" s="273"/>
      <c r="P63" s="273"/>
      <c r="Q63" s="273"/>
      <c r="R63" s="273"/>
      <c r="S63" s="273"/>
      <c r="T63" s="273"/>
      <c r="U63" s="273"/>
      <c r="V63" s="273"/>
      <c r="W63" s="273"/>
      <c r="X63" s="273"/>
    </row>
    <row r="64" spans="2:24" ht="14.1" hidden="1" customHeight="1">
      <c r="D64" s="613" t="s">
        <v>307</v>
      </c>
      <c r="E64" s="560">
        <v>8.64</v>
      </c>
      <c r="F64" s="560">
        <v>7.88</v>
      </c>
      <c r="G64" s="560">
        <v>79.78</v>
      </c>
      <c r="H64" s="560">
        <v>1.3</v>
      </c>
      <c r="I64" s="560"/>
      <c r="J64" s="560">
        <v>1.61</v>
      </c>
      <c r="K64" s="280"/>
      <c r="L64" s="278"/>
      <c r="M64" s="273"/>
      <c r="N64" s="273"/>
      <c r="O64" s="273"/>
      <c r="P64" s="273"/>
      <c r="Q64" s="273"/>
      <c r="R64" s="273"/>
      <c r="S64" s="273"/>
      <c r="T64" s="273"/>
      <c r="U64" s="273"/>
      <c r="V64" s="273"/>
      <c r="W64" s="273"/>
      <c r="X64" s="273"/>
    </row>
    <row r="65" spans="4:24" ht="13.15" hidden="1" customHeight="1">
      <c r="D65" s="613" t="s">
        <v>308</v>
      </c>
      <c r="E65" s="560">
        <v>8.7799999999999994</v>
      </c>
      <c r="F65" s="560">
        <v>7.95</v>
      </c>
      <c r="G65" s="560">
        <v>80.94</v>
      </c>
      <c r="H65" s="560">
        <v>1.3</v>
      </c>
      <c r="I65" s="560"/>
      <c r="J65" s="560">
        <v>1.6</v>
      </c>
      <c r="K65" s="280"/>
      <c r="L65" s="278"/>
      <c r="M65" s="273"/>
      <c r="N65" s="273"/>
      <c r="O65" s="273"/>
      <c r="P65" s="273"/>
      <c r="Q65" s="273"/>
      <c r="R65" s="273"/>
      <c r="S65" s="273"/>
      <c r="T65" s="273"/>
      <c r="U65" s="273"/>
      <c r="V65" s="273"/>
      <c r="W65" s="273"/>
      <c r="X65" s="273"/>
    </row>
    <row r="66" spans="4:24" ht="13.15" hidden="1" customHeight="1">
      <c r="D66" s="632" t="s">
        <v>311</v>
      </c>
      <c r="E66" s="633">
        <v>8.48</v>
      </c>
      <c r="F66" s="633">
        <v>7.88</v>
      </c>
      <c r="G66" s="633">
        <v>86.06</v>
      </c>
      <c r="H66" s="633">
        <v>1.319</v>
      </c>
      <c r="I66" s="1499"/>
      <c r="J66" s="633">
        <v>1.62</v>
      </c>
      <c r="K66" s="280"/>
      <c r="L66" s="278"/>
      <c r="M66" s="273"/>
      <c r="N66" s="273"/>
      <c r="O66" s="273"/>
      <c r="P66" s="273"/>
      <c r="Q66" s="273"/>
      <c r="R66" s="273"/>
      <c r="S66" s="273"/>
      <c r="T66" s="273"/>
      <c r="U66" s="273"/>
      <c r="V66" s="273"/>
      <c r="W66" s="273"/>
      <c r="X66" s="273"/>
    </row>
    <row r="67" spans="4:24" ht="13.15" hidden="1" customHeight="1" thickBot="1">
      <c r="D67" s="674"/>
      <c r="E67" s="634"/>
      <c r="F67" s="674"/>
      <c r="G67" s="674"/>
      <c r="H67" s="674"/>
      <c r="I67" s="1500"/>
      <c r="J67" s="674"/>
      <c r="K67" s="280"/>
      <c r="L67" s="278"/>
      <c r="M67" s="273"/>
      <c r="N67" s="273"/>
      <c r="O67" s="273"/>
      <c r="P67" s="273"/>
      <c r="Q67" s="273"/>
      <c r="R67" s="273"/>
      <c r="S67" s="273"/>
      <c r="T67" s="273"/>
      <c r="U67" s="273"/>
      <c r="V67" s="273"/>
      <c r="W67" s="273"/>
      <c r="X67" s="273"/>
    </row>
    <row r="68" spans="4:24" ht="13.15" hidden="1" customHeight="1" thickTop="1">
      <c r="D68" s="674"/>
      <c r="E68" s="160"/>
      <c r="F68" s="674"/>
      <c r="G68" s="674"/>
      <c r="H68" s="674"/>
      <c r="I68" s="1500"/>
      <c r="J68" s="674"/>
      <c r="K68" s="280"/>
      <c r="L68" s="278"/>
      <c r="M68" s="273"/>
      <c r="N68" s="273"/>
      <c r="O68" s="273"/>
      <c r="P68" s="273"/>
      <c r="Q68" s="273"/>
      <c r="R68" s="273"/>
      <c r="S68" s="273"/>
      <c r="T68" s="273"/>
      <c r="U68" s="273"/>
      <c r="V68" s="273"/>
      <c r="W68" s="273"/>
      <c r="X68" s="273"/>
    </row>
    <row r="69" spans="4:24" ht="13.15" hidden="1" customHeight="1">
      <c r="D69" s="674">
        <v>2013</v>
      </c>
      <c r="E69" s="160"/>
      <c r="F69" s="674"/>
      <c r="G69" s="674"/>
      <c r="H69" s="674"/>
      <c r="I69" s="1500"/>
      <c r="J69" s="674"/>
      <c r="K69" s="280"/>
      <c r="L69" s="278"/>
      <c r="M69" s="273"/>
      <c r="N69" s="273"/>
      <c r="O69" s="273"/>
      <c r="P69" s="273"/>
      <c r="Q69" s="273"/>
      <c r="R69" s="273"/>
      <c r="S69" s="273"/>
      <c r="T69" s="273"/>
      <c r="U69" s="273"/>
      <c r="V69" s="273"/>
      <c r="W69" s="273"/>
      <c r="X69" s="273"/>
    </row>
    <row r="70" spans="4:24" ht="15.75" hidden="1" customHeight="1">
      <c r="D70" s="674"/>
      <c r="E70" s="160"/>
      <c r="F70" s="674"/>
      <c r="G70" s="674"/>
      <c r="H70" s="674"/>
      <c r="I70" s="1500"/>
      <c r="J70" s="674"/>
      <c r="K70" s="280"/>
      <c r="L70" s="278"/>
      <c r="M70" s="273"/>
      <c r="N70" s="273"/>
      <c r="O70" s="273"/>
      <c r="P70" s="273"/>
      <c r="Q70" s="273"/>
      <c r="R70" s="273"/>
      <c r="S70" s="273"/>
      <c r="T70" s="273"/>
      <c r="U70" s="273"/>
      <c r="V70" s="273"/>
      <c r="W70" s="273"/>
      <c r="X70" s="273"/>
    </row>
    <row r="71" spans="4:24" ht="15.75" hidden="1" customHeight="1">
      <c r="D71" s="613" t="s">
        <v>298</v>
      </c>
      <c r="E71" s="560">
        <v>9.0299999999999994</v>
      </c>
      <c r="F71" s="560">
        <v>8.0500000000000007</v>
      </c>
      <c r="G71" s="560">
        <v>90.9</v>
      </c>
      <c r="H71" s="560">
        <v>1.36</v>
      </c>
      <c r="I71" s="560"/>
      <c r="J71" s="560">
        <v>1.58</v>
      </c>
      <c r="K71" s="280"/>
      <c r="L71" s="278"/>
      <c r="M71" s="273"/>
      <c r="N71" s="273"/>
      <c r="O71" s="273"/>
      <c r="P71" s="273"/>
      <c r="Q71" s="273"/>
      <c r="R71" s="273"/>
      <c r="S71" s="273"/>
      <c r="T71" s="273"/>
      <c r="U71" s="273"/>
      <c r="V71" s="273"/>
      <c r="W71" s="273"/>
      <c r="X71" s="273"/>
    </row>
    <row r="72" spans="4:24" ht="15.75" hidden="1" customHeight="1">
      <c r="D72" s="613" t="s">
        <v>299</v>
      </c>
      <c r="E72" s="560">
        <v>8.84</v>
      </c>
      <c r="F72" s="560">
        <v>8.0399999999999991</v>
      </c>
      <c r="G72" s="560">
        <v>92.36</v>
      </c>
      <c r="H72" s="560">
        <v>1.31</v>
      </c>
      <c r="I72" s="560"/>
      <c r="J72" s="560">
        <v>1.52</v>
      </c>
      <c r="K72" s="280"/>
      <c r="L72" s="278"/>
      <c r="M72" s="273"/>
      <c r="N72" s="273"/>
      <c r="O72" s="273"/>
      <c r="P72" s="273"/>
      <c r="Q72" s="273"/>
      <c r="R72" s="273"/>
      <c r="S72" s="273"/>
      <c r="T72" s="273"/>
      <c r="U72" s="273"/>
      <c r="V72" s="273"/>
      <c r="W72" s="273"/>
      <c r="X72" s="273"/>
    </row>
    <row r="73" spans="4:24" ht="15.75" hidden="1" customHeight="1">
      <c r="D73" s="613" t="s">
        <v>300</v>
      </c>
      <c r="E73" s="560">
        <v>9.26</v>
      </c>
      <c r="F73" s="560">
        <v>8.3000000000000007</v>
      </c>
      <c r="G73" s="560">
        <v>94.13</v>
      </c>
      <c r="H73" s="560">
        <v>1.28</v>
      </c>
      <c r="I73" s="560"/>
      <c r="J73" s="560">
        <v>1.51</v>
      </c>
      <c r="K73" s="280"/>
      <c r="L73" s="278"/>
      <c r="M73" s="273"/>
      <c r="N73" s="273"/>
      <c r="O73" s="273"/>
      <c r="P73" s="273"/>
      <c r="Q73" s="273"/>
      <c r="R73" s="273"/>
      <c r="S73" s="273"/>
      <c r="T73" s="273"/>
      <c r="U73" s="273"/>
      <c r="V73" s="273"/>
      <c r="W73" s="273"/>
      <c r="X73" s="273"/>
    </row>
    <row r="74" spans="4:24" ht="16.5" hidden="1" customHeight="1" thickBot="1">
      <c r="D74" s="613" t="s">
        <v>301</v>
      </c>
      <c r="E74" s="675">
        <v>9.34</v>
      </c>
      <c r="F74" s="676">
        <v>8.19</v>
      </c>
      <c r="G74" s="676">
        <v>97.78</v>
      </c>
      <c r="H74" s="676">
        <v>1.302</v>
      </c>
      <c r="I74" s="676"/>
      <c r="J74" s="676">
        <v>1.53</v>
      </c>
      <c r="K74" s="281"/>
      <c r="L74" s="279"/>
      <c r="M74" s="275"/>
      <c r="N74" s="275"/>
      <c r="O74" s="275"/>
      <c r="P74" s="749"/>
      <c r="Q74" s="749"/>
      <c r="R74" s="749"/>
      <c r="S74" s="749"/>
      <c r="T74" s="749"/>
      <c r="U74" s="749"/>
      <c r="V74" s="749"/>
      <c r="W74" s="749"/>
      <c r="X74" s="749"/>
    </row>
    <row r="75" spans="4:24" ht="16.5" hidden="1" customHeight="1" thickTop="1">
      <c r="D75" s="613" t="s">
        <v>302</v>
      </c>
      <c r="E75" s="675">
        <v>10.08</v>
      </c>
      <c r="F75" s="676">
        <v>8.6539999999999999</v>
      </c>
      <c r="G75" s="676">
        <v>100.85</v>
      </c>
      <c r="H75" s="676">
        <v>1.3029999999999999</v>
      </c>
      <c r="I75" s="676"/>
      <c r="J75" s="676">
        <v>1.52</v>
      </c>
    </row>
    <row r="76" spans="4:24" ht="15.75" hidden="1" customHeight="1">
      <c r="D76" s="160"/>
    </row>
    <row r="77" spans="4:24" ht="15.75" hidden="1" customHeight="1">
      <c r="D77" s="160"/>
    </row>
    <row r="78" spans="4:24">
      <c r="D78" s="160"/>
    </row>
    <row r="81" spans="2:9" ht="15.75" customHeight="1">
      <c r="B81" s="1931" t="s">
        <v>1740</v>
      </c>
      <c r="C81" s="1931"/>
      <c r="D81" s="1931"/>
      <c r="E81" s="1931"/>
      <c r="F81" s="1931"/>
      <c r="G81" s="1931"/>
      <c r="H81" s="1931"/>
      <c r="I81" s="1493"/>
    </row>
    <row r="82" spans="2:9">
      <c r="B82" s="1501"/>
      <c r="C82" s="1501"/>
      <c r="D82" s="1501"/>
      <c r="E82" s="1501"/>
      <c r="F82" s="1501"/>
      <c r="G82" s="1501"/>
      <c r="H82" s="1501"/>
      <c r="I82" s="1501"/>
    </row>
    <row r="83" spans="2:9">
      <c r="B83" s="898"/>
      <c r="C83" s="898"/>
      <c r="D83" s="898"/>
      <c r="E83" s="898"/>
      <c r="F83" s="898"/>
      <c r="G83" s="898"/>
      <c r="H83" s="898"/>
      <c r="I83" s="898"/>
    </row>
    <row r="84" spans="2:9" ht="27.75" customHeight="1">
      <c r="B84" s="1531"/>
      <c r="C84" s="1532" t="s">
        <v>1791</v>
      </c>
      <c r="D84" s="1532" t="s">
        <v>1760</v>
      </c>
      <c r="E84" s="1533" t="s">
        <v>1759</v>
      </c>
      <c r="F84" s="1532" t="s">
        <v>762</v>
      </c>
      <c r="G84" s="1532" t="s">
        <v>1761</v>
      </c>
      <c r="H84" s="1534" t="s">
        <v>760</v>
      </c>
      <c r="I84" s="1502"/>
    </row>
    <row r="85" spans="2:9">
      <c r="B85" s="1515" t="s">
        <v>263</v>
      </c>
      <c r="C85" s="1509" t="s">
        <v>1792</v>
      </c>
      <c r="D85" s="1509" t="s">
        <v>1160</v>
      </c>
      <c r="E85" s="1515" t="s">
        <v>1161</v>
      </c>
      <c r="F85" s="1509" t="s">
        <v>1162</v>
      </c>
      <c r="G85" s="1509"/>
      <c r="H85" s="1527" t="s">
        <v>1191</v>
      </c>
      <c r="I85" s="1502"/>
    </row>
    <row r="86" spans="2:9" ht="16.5" thickBot="1">
      <c r="B86" s="1516"/>
      <c r="C86" s="1510"/>
      <c r="D86" s="1522"/>
      <c r="E86" s="1524"/>
      <c r="F86" s="1510"/>
      <c r="G86" s="1510"/>
      <c r="H86" s="1528"/>
      <c r="I86" s="898"/>
    </row>
    <row r="87" spans="2:9" ht="15" customHeight="1" thickTop="1">
      <c r="B87" s="1517"/>
      <c r="C87" s="1511"/>
      <c r="D87" s="1511"/>
      <c r="E87" s="1517"/>
      <c r="F87" s="1511"/>
      <c r="G87" s="1511"/>
      <c r="H87" s="1529"/>
      <c r="I87" s="939"/>
    </row>
    <row r="88" spans="2:9" ht="15" customHeight="1">
      <c r="B88" s="1518">
        <v>2019</v>
      </c>
      <c r="C88" s="1513"/>
      <c r="D88" s="1511"/>
      <c r="E88" s="1517"/>
      <c r="F88" s="1511"/>
      <c r="G88" s="1511"/>
      <c r="H88" s="1529"/>
      <c r="I88" s="939"/>
    </row>
    <row r="89" spans="2:9" ht="15" customHeight="1">
      <c r="B89" s="1519" t="s">
        <v>335</v>
      </c>
      <c r="C89" s="1511">
        <v>3.012</v>
      </c>
      <c r="D89" s="1511">
        <v>0.20637066234664081</v>
      </c>
      <c r="E89" s="1517">
        <v>0.27889999999999998</v>
      </c>
      <c r="F89" s="1511">
        <v>2.7199671427969151E-2</v>
      </c>
      <c r="G89" s="1511">
        <v>3.3831500000000001</v>
      </c>
      <c r="H89" s="1529">
        <v>3.9363000000000001</v>
      </c>
      <c r="I89" s="939"/>
    </row>
    <row r="90" spans="2:9" ht="15" customHeight="1">
      <c r="B90" s="1519" t="s">
        <v>336</v>
      </c>
      <c r="C90" s="1511">
        <v>3.2614000000000001</v>
      </c>
      <c r="D90" s="1511">
        <v>0.22748728914771885</v>
      </c>
      <c r="E90" s="1517">
        <v>0.30309999999999998</v>
      </c>
      <c r="F90" s="1511">
        <v>2.9246308019191428E-2</v>
      </c>
      <c r="G90" s="1511">
        <v>3.6490000000000005</v>
      </c>
      <c r="H90" s="1529">
        <v>4.2208500000000004</v>
      </c>
      <c r="I90" s="939"/>
    </row>
    <row r="91" spans="2:9" ht="15" customHeight="1">
      <c r="B91" s="1519" t="s">
        <v>337</v>
      </c>
      <c r="C91" s="1511">
        <v>5.2634999999999996</v>
      </c>
      <c r="D91" s="1511">
        <v>0.35496867401451826</v>
      </c>
      <c r="E91" s="1517">
        <v>0.48310000000000003</v>
      </c>
      <c r="F91" s="1511">
        <v>4.8317931992510721E-2</v>
      </c>
      <c r="G91" s="1511">
        <v>5.8585000000000003</v>
      </c>
      <c r="H91" s="1529">
        <v>6.6390500000000001</v>
      </c>
      <c r="I91" s="939"/>
    </row>
    <row r="92" spans="2:9" ht="15" customHeight="1">
      <c r="B92" s="1519" t="s">
        <v>338</v>
      </c>
      <c r="C92" s="1511">
        <v>6.6219999999999999</v>
      </c>
      <c r="D92" s="1511">
        <v>0.46734431592475761</v>
      </c>
      <c r="E92" s="1517">
        <v>0.62309999999999999</v>
      </c>
      <c r="F92" s="1511">
        <v>6.1511018161128118E-2</v>
      </c>
      <c r="G92" s="1511">
        <v>7.5244499999999999</v>
      </c>
      <c r="H92" s="1529">
        <v>8.3905999999999992</v>
      </c>
      <c r="I92" s="939"/>
    </row>
    <row r="93" spans="2:9" ht="15" customHeight="1">
      <c r="B93" s="1519" t="s">
        <v>339</v>
      </c>
      <c r="C93" s="1511">
        <v>9.19</v>
      </c>
      <c r="D93" s="1511">
        <v>0.64935064935064934</v>
      </c>
      <c r="E93" s="1517">
        <v>0.86206896551724144</v>
      </c>
      <c r="F93" s="1511">
        <v>8.4602368866328256E-2</v>
      </c>
      <c r="G93" s="1511">
        <v>10</v>
      </c>
      <c r="H93" s="1529">
        <v>11.111111111111111</v>
      </c>
      <c r="I93" s="939"/>
    </row>
    <row r="94" spans="2:9" ht="15" customHeight="1">
      <c r="B94" s="1519" t="s">
        <v>340</v>
      </c>
      <c r="C94" s="1514">
        <v>10.512</v>
      </c>
      <c r="D94" s="1511">
        <v>0.68330000000000002</v>
      </c>
      <c r="E94" s="1525">
        <v>0.94579999999999997</v>
      </c>
      <c r="F94" s="1514">
        <v>9.4029591112323049E-2</v>
      </c>
      <c r="G94" s="1514">
        <v>11.6288</v>
      </c>
      <c r="H94" s="1521">
        <v>12.8226</v>
      </c>
      <c r="I94" s="899"/>
    </row>
    <row r="95" spans="2:9" ht="15" customHeight="1" thickBot="1">
      <c r="B95" s="1520" t="s">
        <v>341</v>
      </c>
      <c r="C95" s="1512">
        <v>13.07</v>
      </c>
      <c r="D95" s="1523">
        <v>0.87995930905545028</v>
      </c>
      <c r="E95" s="1526">
        <v>1.1937596622432576</v>
      </c>
      <c r="F95" s="1512">
        <v>0.12165198852933486</v>
      </c>
      <c r="G95" s="1512">
        <v>14.24791084499835</v>
      </c>
      <c r="H95" s="1530">
        <v>16.134816009090407</v>
      </c>
      <c r="I95" s="899"/>
    </row>
    <row r="96" spans="2:9" ht="15" customHeight="1">
      <c r="B96" s="1507"/>
      <c r="C96" s="899"/>
      <c r="D96" s="939"/>
      <c r="E96" s="900"/>
      <c r="F96" s="899"/>
      <c r="G96" s="899"/>
      <c r="H96" s="899"/>
      <c r="I96" s="899"/>
    </row>
    <row r="97" spans="2:9" ht="15" customHeight="1">
      <c r="B97" s="1432" t="s">
        <v>1783</v>
      </c>
      <c r="C97" s="1432"/>
      <c r="D97" s="935"/>
      <c r="E97" s="900"/>
      <c r="F97" s="899"/>
      <c r="G97" s="899"/>
      <c r="H97" s="899"/>
      <c r="I97" s="899" t="s">
        <v>838</v>
      </c>
    </row>
    <row r="98" spans="2:9" ht="15" customHeight="1">
      <c r="B98" s="965"/>
      <c r="C98" s="965"/>
      <c r="D98" s="935"/>
      <c r="E98" s="900"/>
      <c r="F98" s="899"/>
      <c r="G98" s="899"/>
      <c r="H98" s="899"/>
      <c r="I98" s="899"/>
    </row>
    <row r="99" spans="2:9" ht="12.75" customHeight="1">
      <c r="B99" s="1941" t="s">
        <v>1793</v>
      </c>
      <c r="C99" s="1941"/>
      <c r="D99" s="1941"/>
      <c r="E99" s="744"/>
      <c r="F99" s="744"/>
      <c r="G99" s="744"/>
      <c r="H99" s="744"/>
      <c r="I99" s="744"/>
    </row>
    <row r="100" spans="2:9" ht="12.75" customHeight="1">
      <c r="B100" s="1942"/>
      <c r="C100" s="1942"/>
      <c r="D100" s="1942"/>
      <c r="E100" s="911"/>
      <c r="F100" s="744"/>
      <c r="G100" s="911"/>
      <c r="H100" s="744"/>
      <c r="I100" s="744"/>
    </row>
  </sheetData>
  <mergeCells count="4">
    <mergeCell ref="D1:J1"/>
    <mergeCell ref="B81:H81"/>
    <mergeCell ref="B99:D99"/>
    <mergeCell ref="B100:D100"/>
  </mergeCells>
  <printOptions horizontalCentered="1"/>
  <pageMargins left="0.42" right="0.42" top="0.42" bottom="0.41" header="0.42" footer="0.41"/>
  <pageSetup scale="61" orientation="landscape" horizontalDpi="300" verticalDpi="300"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P552"/>
  <sheetViews>
    <sheetView showOutlineSymbols="0" zoomScale="60" zoomScaleNormal="70" workbookViewId="0">
      <pane xSplit="1" ySplit="283" topLeftCell="B284" activePane="bottomRight" state="frozen"/>
      <selection pane="topRight" activeCell="B1" sqref="B1"/>
      <selection pane="bottomLeft" activeCell="A284" sqref="A284"/>
      <selection pane="bottomRight" sqref="A1:IV65536"/>
    </sheetView>
  </sheetViews>
  <sheetFormatPr defaultColWidth="8.6640625" defaultRowHeight="15.75"/>
  <cols>
    <col min="1" max="1" width="9.5546875" style="283" customWidth="1"/>
    <col min="2" max="2" width="22.109375" style="409" customWidth="1"/>
    <col min="3" max="3" width="20" style="409" bestFit="1" customWidth="1"/>
    <col min="4" max="4" width="9.6640625" style="283" customWidth="1"/>
    <col min="5" max="5" width="19" style="409" bestFit="1" customWidth="1"/>
    <col min="6" max="6" width="20" style="409" bestFit="1" customWidth="1"/>
    <col min="7" max="7" width="17.21875" style="409" customWidth="1"/>
    <col min="8" max="8" width="9.21875" style="409" customWidth="1"/>
    <col min="9" max="9" width="20" style="409" bestFit="1" customWidth="1"/>
    <col min="10" max="10" width="13.21875" style="409" bestFit="1" customWidth="1"/>
    <col min="11" max="11" width="21.109375" style="409" bestFit="1" customWidth="1"/>
    <col min="12" max="12" width="23.21875" style="283" customWidth="1"/>
    <col min="13" max="13" width="0.6640625" style="283" customWidth="1"/>
    <col min="14" max="16384" width="8.6640625" style="283"/>
  </cols>
  <sheetData>
    <row r="1" spans="1:16" ht="18" customHeight="1">
      <c r="A1" s="1944" t="s">
        <v>41</v>
      </c>
      <c r="B1" s="1944"/>
      <c r="C1" s="1944"/>
      <c r="D1" s="1944"/>
      <c r="E1" s="1944"/>
      <c r="F1" s="1944"/>
      <c r="G1" s="1944"/>
      <c r="H1" s="1944"/>
      <c r="I1" s="1944"/>
      <c r="J1" s="1944"/>
      <c r="K1" s="1944"/>
      <c r="L1" s="1944"/>
    </row>
    <row r="2" spans="1:16" ht="12.75" customHeight="1">
      <c r="A2" s="366"/>
      <c r="B2" s="367"/>
      <c r="C2" s="367"/>
      <c r="E2" s="367"/>
      <c r="F2" s="367"/>
      <c r="G2" s="367"/>
      <c r="H2" s="367"/>
      <c r="I2" s="367"/>
      <c r="J2" s="367"/>
      <c r="K2" s="367"/>
      <c r="L2" s="282"/>
    </row>
    <row r="3" spans="1:16" ht="15" customHeight="1">
      <c r="A3" s="1945" t="s">
        <v>1039</v>
      </c>
      <c r="B3" s="1945"/>
      <c r="C3" s="1945"/>
      <c r="D3" s="1945"/>
      <c r="E3" s="1945"/>
      <c r="F3" s="1945"/>
      <c r="G3" s="1945"/>
      <c r="H3" s="1945"/>
      <c r="I3" s="1945"/>
      <c r="J3" s="1945"/>
      <c r="K3" s="1945"/>
      <c r="L3" s="1945"/>
    </row>
    <row r="4" spans="1:16" ht="12.75" customHeight="1" thickBot="1">
      <c r="A4" s="282"/>
      <c r="B4" s="367"/>
      <c r="C4" s="367"/>
      <c r="D4" s="282"/>
      <c r="E4" s="367"/>
      <c r="F4" s="367"/>
      <c r="G4" s="367"/>
      <c r="H4" s="367"/>
      <c r="I4" s="367"/>
      <c r="J4" s="367"/>
      <c r="K4" s="367"/>
      <c r="L4" s="282"/>
    </row>
    <row r="5" spans="1:16" ht="12.75" customHeight="1" thickTop="1">
      <c r="A5" s="368"/>
      <c r="B5" s="369"/>
      <c r="C5" s="370"/>
      <c r="D5" s="371"/>
      <c r="E5" s="370"/>
      <c r="F5" s="370"/>
      <c r="G5" s="370"/>
      <c r="H5" s="370"/>
      <c r="I5" s="370"/>
      <c r="J5" s="372"/>
      <c r="K5" s="370"/>
      <c r="L5" s="373"/>
      <c r="M5" s="374"/>
    </row>
    <row r="6" spans="1:16" ht="15" customHeight="1">
      <c r="A6" s="375"/>
      <c r="B6" s="376"/>
      <c r="C6" s="377"/>
      <c r="E6" s="378" t="s">
        <v>42</v>
      </c>
      <c r="F6" s="377"/>
      <c r="G6" s="377"/>
      <c r="H6" s="377"/>
      <c r="I6" s="377"/>
      <c r="J6" s="379"/>
      <c r="K6" s="377"/>
      <c r="L6" s="380"/>
      <c r="M6" s="374"/>
    </row>
    <row r="7" spans="1:16" ht="12.75" customHeight="1" thickBot="1">
      <c r="A7" s="375"/>
      <c r="B7" s="376"/>
      <c r="C7" s="377"/>
      <c r="D7" s="381"/>
      <c r="E7" s="377"/>
      <c r="F7" s="377"/>
      <c r="G7" s="377"/>
      <c r="H7" s="377"/>
      <c r="I7" s="377"/>
      <c r="J7" s="379"/>
      <c r="K7" s="377"/>
      <c r="L7" s="380"/>
      <c r="M7" s="374"/>
    </row>
    <row r="8" spans="1:16" ht="12.75" customHeight="1" thickTop="1">
      <c r="A8" s="368"/>
      <c r="B8" s="369"/>
      <c r="C8" s="369"/>
      <c r="D8" s="368"/>
      <c r="E8" s="369"/>
      <c r="F8" s="369"/>
      <c r="G8" s="369"/>
      <c r="H8" s="369"/>
      <c r="I8" s="369"/>
      <c r="J8" s="369"/>
      <c r="K8" s="382"/>
      <c r="L8" s="383"/>
      <c r="M8" s="374"/>
    </row>
    <row r="9" spans="1:16" ht="16.5" customHeight="1">
      <c r="A9" s="384"/>
      <c r="B9" s="385" t="s">
        <v>43</v>
      </c>
      <c r="C9" s="385"/>
      <c r="D9" s="386" t="s">
        <v>38</v>
      </c>
      <c r="E9" s="385"/>
      <c r="F9" s="385"/>
      <c r="G9" s="385"/>
      <c r="H9" s="385"/>
      <c r="I9" s="385"/>
      <c r="J9" s="385" t="s">
        <v>39</v>
      </c>
      <c r="K9" s="387"/>
      <c r="L9" s="388"/>
      <c r="M9" s="374"/>
    </row>
    <row r="10" spans="1:16" ht="16.5" customHeight="1">
      <c r="A10" s="384"/>
      <c r="B10" s="385" t="s">
        <v>44</v>
      </c>
      <c r="C10" s="385"/>
      <c r="D10" s="386"/>
      <c r="E10" s="385"/>
      <c r="F10" s="385"/>
      <c r="G10" s="385"/>
      <c r="H10" s="385"/>
      <c r="I10" s="385"/>
      <c r="J10" s="385" t="s">
        <v>45</v>
      </c>
      <c r="K10" s="387"/>
      <c r="L10" s="388"/>
      <c r="M10" s="374"/>
    </row>
    <row r="11" spans="1:16" ht="15.75" customHeight="1">
      <c r="A11" s="384"/>
      <c r="B11" s="385" t="s">
        <v>46</v>
      </c>
      <c r="C11" s="385"/>
      <c r="D11" s="386"/>
      <c r="E11" s="385"/>
      <c r="F11" s="385"/>
      <c r="G11" s="385" t="s">
        <v>35</v>
      </c>
      <c r="H11" s="389"/>
      <c r="I11" s="385"/>
      <c r="J11" s="385" t="s">
        <v>47</v>
      </c>
      <c r="K11" s="390"/>
      <c r="L11" s="391"/>
      <c r="M11" s="374"/>
      <c r="P11" s="392"/>
    </row>
    <row r="12" spans="1:16" ht="16.5" customHeight="1">
      <c r="A12" s="386" t="s">
        <v>32</v>
      </c>
      <c r="B12" s="385"/>
      <c r="C12" s="385" t="s">
        <v>48</v>
      </c>
      <c r="D12" s="386" t="s">
        <v>49</v>
      </c>
      <c r="E12" s="385" t="s">
        <v>50</v>
      </c>
      <c r="F12" s="385" t="s">
        <v>37</v>
      </c>
      <c r="G12" s="385" t="s">
        <v>51</v>
      </c>
      <c r="H12" s="385" t="s">
        <v>31</v>
      </c>
      <c r="I12" s="385" t="s">
        <v>37</v>
      </c>
      <c r="J12" s="385" t="s">
        <v>52</v>
      </c>
      <c r="K12" s="385" t="s">
        <v>31</v>
      </c>
      <c r="L12" s="391" t="s">
        <v>287</v>
      </c>
      <c r="M12" s="374"/>
    </row>
    <row r="13" spans="1:16" ht="18.75" customHeight="1">
      <c r="A13" s="375"/>
      <c r="B13" s="385"/>
      <c r="C13" s="385"/>
      <c r="D13" s="386" t="s">
        <v>53</v>
      </c>
      <c r="E13" s="385"/>
      <c r="F13" s="385"/>
      <c r="G13" s="385"/>
      <c r="H13" s="385"/>
      <c r="I13" s="393"/>
      <c r="J13" s="385"/>
      <c r="K13" s="385"/>
      <c r="L13" s="391"/>
      <c r="M13" s="374"/>
    </row>
    <row r="14" spans="1:16" ht="12.75" customHeight="1" thickBot="1">
      <c r="A14" s="394"/>
      <c r="B14" s="395"/>
      <c r="C14" s="395"/>
      <c r="D14" s="396"/>
      <c r="E14" s="395"/>
      <c r="F14" s="395"/>
      <c r="G14" s="395"/>
      <c r="H14" s="395"/>
      <c r="I14" s="395"/>
      <c r="J14" s="395"/>
      <c r="K14" s="395"/>
      <c r="L14" s="397"/>
      <c r="M14" s="374"/>
    </row>
    <row r="15" spans="1:16" ht="12.75" hidden="1" customHeight="1" thickTop="1">
      <c r="A15" s="384"/>
      <c r="B15" s="398"/>
      <c r="C15" s="398"/>
      <c r="D15" s="384"/>
      <c r="E15" s="398"/>
      <c r="F15" s="398"/>
      <c r="G15" s="398"/>
      <c r="H15" s="398"/>
      <c r="I15" s="398"/>
      <c r="J15" s="398"/>
      <c r="K15" s="398"/>
      <c r="L15" s="399"/>
      <c r="M15" s="374"/>
    </row>
    <row r="16" spans="1:16" ht="12.75" hidden="1" customHeight="1">
      <c r="A16" s="400">
        <v>1999</v>
      </c>
      <c r="B16" s="398"/>
      <c r="C16" s="398"/>
      <c r="D16" s="384"/>
      <c r="E16" s="398"/>
      <c r="F16" s="398"/>
      <c r="G16" s="398"/>
      <c r="H16" s="398"/>
      <c r="I16" s="398"/>
      <c r="J16" s="398"/>
      <c r="K16" s="398"/>
      <c r="L16" s="401"/>
      <c r="M16" s="374"/>
    </row>
    <row r="17" spans="1:16" ht="12.75" hidden="1" customHeight="1">
      <c r="A17" s="384"/>
      <c r="B17" s="398"/>
      <c r="C17" s="398"/>
      <c r="D17" s="384"/>
      <c r="E17" s="398"/>
      <c r="F17" s="398"/>
      <c r="G17" s="398"/>
      <c r="H17" s="398"/>
      <c r="I17" s="398"/>
      <c r="J17" s="348"/>
      <c r="K17" s="402"/>
      <c r="L17" s="401"/>
      <c r="M17" s="374"/>
    </row>
    <row r="18" spans="1:16" ht="12.75" hidden="1" customHeight="1">
      <c r="A18" s="384" t="s">
        <v>8</v>
      </c>
      <c r="B18" s="403">
        <v>4.8413999999999993</v>
      </c>
      <c r="C18" s="403">
        <v>4.4146000000000001</v>
      </c>
      <c r="D18" s="348">
        <v>0</v>
      </c>
      <c r="E18" s="392">
        <f>397.5/1000</f>
        <v>0.39750000000000002</v>
      </c>
      <c r="F18" s="392">
        <f t="shared" ref="F18:F29" si="0">SUM(C18:E18)</f>
        <v>4.8121</v>
      </c>
      <c r="G18" s="392">
        <f>21835.6/1000</f>
        <v>21.835599999999999</v>
      </c>
      <c r="H18" s="403">
        <v>3.1100000000000003E-2</v>
      </c>
      <c r="I18" s="392">
        <f t="shared" ref="I18:I29" si="1">SUM(F18:H18,B18)</f>
        <v>31.520199999999999</v>
      </c>
      <c r="J18" s="348">
        <v>8.0000000000000002E-3</v>
      </c>
      <c r="K18" s="403">
        <v>4.8598999999999997</v>
      </c>
      <c r="L18" s="404">
        <f t="shared" ref="L18:L29" si="2">SUM(I18:K18)</f>
        <v>36.388099999999994</v>
      </c>
      <c r="M18" s="374"/>
    </row>
    <row r="19" spans="1:16" ht="12.75" hidden="1" customHeight="1">
      <c r="A19" s="384" t="s">
        <v>9</v>
      </c>
      <c r="B19" s="403">
        <v>4.9478999999999997</v>
      </c>
      <c r="C19" s="403">
        <v>4.7708999999999993</v>
      </c>
      <c r="D19" s="348">
        <v>0</v>
      </c>
      <c r="E19" s="392">
        <v>0.4</v>
      </c>
      <c r="F19" s="392">
        <f t="shared" si="0"/>
        <v>5.1708999999999996</v>
      </c>
      <c r="G19" s="392">
        <v>20.9</v>
      </c>
      <c r="H19" s="348">
        <v>3.6499999999999998E-2</v>
      </c>
      <c r="I19" s="392">
        <f t="shared" si="1"/>
        <v>31.055299999999999</v>
      </c>
      <c r="J19" s="348">
        <v>8.0000000000000002E-3</v>
      </c>
      <c r="K19" s="403">
        <v>4.9556000000000004</v>
      </c>
      <c r="L19" s="404">
        <f t="shared" si="2"/>
        <v>36.018900000000002</v>
      </c>
      <c r="M19" s="374"/>
      <c r="P19" s="392"/>
    </row>
    <row r="20" spans="1:16" ht="12.75" hidden="1" customHeight="1">
      <c r="A20" s="384" t="s">
        <v>10</v>
      </c>
      <c r="B20" s="403">
        <v>5.3470000000000004</v>
      </c>
      <c r="C20" s="392">
        <v>5.3</v>
      </c>
      <c r="D20" s="348">
        <v>0</v>
      </c>
      <c r="E20" s="392">
        <v>0.3</v>
      </c>
      <c r="F20" s="392">
        <f t="shared" si="0"/>
        <v>5.6</v>
      </c>
      <c r="G20" s="348">
        <v>19.867000000000001</v>
      </c>
      <c r="H20" s="405">
        <v>0.38850000000000001</v>
      </c>
      <c r="I20" s="406">
        <f t="shared" si="1"/>
        <v>31.202500000000001</v>
      </c>
      <c r="J20" s="348">
        <v>8.0000000000000002E-3</v>
      </c>
      <c r="K20" s="403">
        <v>3.1314000000000002</v>
      </c>
      <c r="L20" s="404">
        <f t="shared" si="2"/>
        <v>34.341900000000003</v>
      </c>
      <c r="M20" s="374"/>
    </row>
    <row r="21" spans="1:16" ht="12.75" hidden="1" customHeight="1">
      <c r="A21" s="384" t="s">
        <v>11</v>
      </c>
      <c r="B21" s="403">
        <v>5.5987</v>
      </c>
      <c r="C21" s="392">
        <f>5685.5/1000</f>
        <v>5.6855000000000002</v>
      </c>
      <c r="D21" s="348">
        <v>0</v>
      </c>
      <c r="E21" s="392">
        <v>0.3</v>
      </c>
      <c r="F21" s="392">
        <f t="shared" si="0"/>
        <v>5.9855</v>
      </c>
      <c r="G21" s="348">
        <v>18.966200000000001</v>
      </c>
      <c r="H21" s="405">
        <v>0.26530000000000004</v>
      </c>
      <c r="I21" s="406">
        <f t="shared" si="1"/>
        <v>30.815700000000003</v>
      </c>
      <c r="J21" s="348">
        <v>8.0000000000000002E-3</v>
      </c>
      <c r="K21" s="403">
        <v>3.2555000000000001</v>
      </c>
      <c r="L21" s="404">
        <f t="shared" si="2"/>
        <v>34.0792</v>
      </c>
      <c r="M21" s="374"/>
    </row>
    <row r="22" spans="1:16" ht="12.75" hidden="1" customHeight="1">
      <c r="A22" s="384" t="s">
        <v>337</v>
      </c>
      <c r="B22" s="403">
        <v>6.0674999999999999</v>
      </c>
      <c r="C22" s="392">
        <v>5.9</v>
      </c>
      <c r="D22" s="348">
        <v>0</v>
      </c>
      <c r="E22" s="392">
        <v>0.4</v>
      </c>
      <c r="F22" s="392">
        <f t="shared" si="0"/>
        <v>6.3000000000000007</v>
      </c>
      <c r="G22" s="348">
        <v>17.697400000000002</v>
      </c>
      <c r="H22" s="405">
        <v>0.4516</v>
      </c>
      <c r="I22" s="406">
        <f t="shared" si="1"/>
        <v>30.516500000000001</v>
      </c>
      <c r="J22" s="348">
        <v>8.0000000000000002E-3</v>
      </c>
      <c r="K22" s="403">
        <v>3.4879000000000002</v>
      </c>
      <c r="L22" s="404">
        <f t="shared" si="2"/>
        <v>34.0124</v>
      </c>
      <c r="M22" s="374"/>
    </row>
    <row r="23" spans="1:16" ht="12.75" hidden="1" customHeight="1">
      <c r="A23" s="384" t="s">
        <v>346</v>
      </c>
      <c r="B23" s="403">
        <v>6.4773999999999994</v>
      </c>
      <c r="C23" s="392">
        <v>5.4</v>
      </c>
      <c r="D23" s="348">
        <v>0</v>
      </c>
      <c r="E23" s="392">
        <v>0.4</v>
      </c>
      <c r="F23" s="392">
        <f t="shared" si="0"/>
        <v>5.8000000000000007</v>
      </c>
      <c r="G23" s="348">
        <v>16.4604</v>
      </c>
      <c r="H23" s="405">
        <v>0.23849999999999999</v>
      </c>
      <c r="I23" s="406">
        <f t="shared" si="1"/>
        <v>28.976299999999998</v>
      </c>
      <c r="J23" s="348">
        <v>8.0000000000000002E-3</v>
      </c>
      <c r="K23" s="403">
        <v>3.2509999999999999</v>
      </c>
      <c r="L23" s="404">
        <f t="shared" si="2"/>
        <v>32.235299999999995</v>
      </c>
      <c r="M23" s="374"/>
    </row>
    <row r="24" spans="1:16" ht="12.75" hidden="1" customHeight="1">
      <c r="A24" s="384" t="s">
        <v>347</v>
      </c>
      <c r="B24" s="403">
        <v>7.1216999999999997</v>
      </c>
      <c r="C24" s="392">
        <v>8.3000000000000007</v>
      </c>
      <c r="D24" s="348">
        <v>0</v>
      </c>
      <c r="E24" s="392">
        <v>0.4</v>
      </c>
      <c r="F24" s="392">
        <f t="shared" si="0"/>
        <v>8.7000000000000011</v>
      </c>
      <c r="G24" s="348">
        <v>15.3338</v>
      </c>
      <c r="H24" s="405">
        <v>0.24859999999999999</v>
      </c>
      <c r="I24" s="406">
        <f t="shared" si="1"/>
        <v>31.4041</v>
      </c>
      <c r="J24" s="348">
        <v>8.0000000000000002E-3</v>
      </c>
      <c r="K24" s="403">
        <v>3.3433000000000002</v>
      </c>
      <c r="L24" s="404">
        <f t="shared" si="2"/>
        <v>34.755400000000002</v>
      </c>
      <c r="M24" s="374"/>
    </row>
    <row r="25" spans="1:16" ht="12.75" hidden="1" customHeight="1">
      <c r="A25" s="384" t="s">
        <v>12</v>
      </c>
      <c r="B25" s="403">
        <v>7.1195000000000004</v>
      </c>
      <c r="C25" s="392">
        <v>8.4</v>
      </c>
      <c r="D25" s="348">
        <v>0</v>
      </c>
      <c r="E25" s="392">
        <v>0.5</v>
      </c>
      <c r="F25" s="392">
        <f t="shared" si="0"/>
        <v>8.9</v>
      </c>
      <c r="G25" s="348">
        <v>14.7857</v>
      </c>
      <c r="H25" s="405">
        <v>0.23549999999999999</v>
      </c>
      <c r="I25" s="406">
        <f t="shared" si="1"/>
        <v>31.040700000000001</v>
      </c>
      <c r="J25" s="348">
        <v>8.0000000000000002E-3</v>
      </c>
      <c r="K25" s="403">
        <v>3.4363999999999999</v>
      </c>
      <c r="L25" s="404">
        <f t="shared" si="2"/>
        <v>34.485100000000003</v>
      </c>
      <c r="M25" s="374"/>
    </row>
    <row r="26" spans="1:16" ht="12.75" hidden="1" customHeight="1">
      <c r="A26" s="384" t="s">
        <v>13</v>
      </c>
      <c r="B26" s="403">
        <v>6.8248999999999995</v>
      </c>
      <c r="C26" s="392">
        <v>8.6999999999999993</v>
      </c>
      <c r="D26" s="348">
        <v>0</v>
      </c>
      <c r="E26" s="392">
        <v>0.3</v>
      </c>
      <c r="F26" s="392">
        <f t="shared" si="0"/>
        <v>9</v>
      </c>
      <c r="G26" s="348">
        <v>14.6915</v>
      </c>
      <c r="H26" s="405">
        <v>9.4E-2</v>
      </c>
      <c r="I26" s="406">
        <f t="shared" si="1"/>
        <v>30.610399999999998</v>
      </c>
      <c r="J26" s="348">
        <v>8.0000000000000002E-3</v>
      </c>
      <c r="K26" s="403">
        <v>3.3998999999999944</v>
      </c>
      <c r="L26" s="404">
        <f t="shared" si="2"/>
        <v>34.018299999999989</v>
      </c>
      <c r="M26" s="374"/>
    </row>
    <row r="27" spans="1:16" ht="12.75" hidden="1" customHeight="1">
      <c r="A27" s="384" t="s">
        <v>14</v>
      </c>
      <c r="B27" s="403">
        <v>6.8351999999999995</v>
      </c>
      <c r="C27" s="392">
        <f>9975.9/1000</f>
        <v>9.9758999999999993</v>
      </c>
      <c r="D27" s="348">
        <v>0</v>
      </c>
      <c r="E27" s="392">
        <v>0.3</v>
      </c>
      <c r="F27" s="392">
        <f t="shared" si="0"/>
        <v>10.2759</v>
      </c>
      <c r="G27" s="348">
        <v>18.785</v>
      </c>
      <c r="H27" s="405">
        <v>4.4499999999999998E-2</v>
      </c>
      <c r="I27" s="406">
        <f t="shared" si="1"/>
        <v>35.940599999999996</v>
      </c>
      <c r="J27" s="348">
        <v>8.0000000000000002E-3</v>
      </c>
      <c r="K27" s="403">
        <v>2.9494000000000002</v>
      </c>
      <c r="L27" s="404">
        <f t="shared" si="2"/>
        <v>38.897999999999996</v>
      </c>
      <c r="M27" s="374"/>
    </row>
    <row r="28" spans="1:16" ht="12.75" hidden="1" customHeight="1">
      <c r="A28" s="384" t="s">
        <v>15</v>
      </c>
      <c r="B28" s="403">
        <v>7.5463999999999993</v>
      </c>
      <c r="C28" s="392">
        <v>9.4</v>
      </c>
      <c r="D28" s="348">
        <v>0</v>
      </c>
      <c r="E28" s="392">
        <v>0.4</v>
      </c>
      <c r="F28" s="392">
        <f t="shared" si="0"/>
        <v>9.8000000000000007</v>
      </c>
      <c r="G28" s="348">
        <v>17.9621</v>
      </c>
      <c r="H28" s="405">
        <v>3.2799999999999996E-2</v>
      </c>
      <c r="I28" s="406">
        <f t="shared" si="1"/>
        <v>35.341300000000004</v>
      </c>
      <c r="J28" s="348">
        <v>8.0000000000000002E-3</v>
      </c>
      <c r="K28" s="403">
        <v>3.0883999999999943</v>
      </c>
      <c r="L28" s="404">
        <f t="shared" si="2"/>
        <v>38.4377</v>
      </c>
      <c r="M28" s="374"/>
    </row>
    <row r="29" spans="1:16" ht="12.75" hidden="1" customHeight="1">
      <c r="A29" s="384" t="s">
        <v>16</v>
      </c>
      <c r="B29" s="403">
        <v>8.5272999999999985</v>
      </c>
      <c r="C29" s="392">
        <v>8.8000000000000007</v>
      </c>
      <c r="D29" s="348">
        <v>0</v>
      </c>
      <c r="E29" s="392">
        <v>0.4</v>
      </c>
      <c r="F29" s="392">
        <f t="shared" si="0"/>
        <v>9.2000000000000011</v>
      </c>
      <c r="G29" s="348">
        <v>16.4574</v>
      </c>
      <c r="H29" s="407">
        <v>5.6299999999999996E-2</v>
      </c>
      <c r="I29" s="406">
        <f t="shared" si="1"/>
        <v>34.241</v>
      </c>
      <c r="J29" s="348">
        <v>8.0000000000000002E-3</v>
      </c>
      <c r="K29" s="403">
        <v>3.1865000000000001</v>
      </c>
      <c r="L29" s="404">
        <f t="shared" si="2"/>
        <v>37.435500000000005</v>
      </c>
      <c r="M29" s="374"/>
    </row>
    <row r="30" spans="1:16" ht="12.75" hidden="1" customHeight="1">
      <c r="A30" s="384"/>
      <c r="B30" s="392"/>
      <c r="C30" s="392"/>
      <c r="D30" s="348"/>
      <c r="E30" s="392"/>
      <c r="F30" s="392"/>
      <c r="G30" s="392"/>
      <c r="H30" s="392"/>
      <c r="I30" s="392"/>
      <c r="J30" s="403"/>
      <c r="K30" s="392"/>
      <c r="L30" s="404"/>
      <c r="M30" s="374"/>
    </row>
    <row r="31" spans="1:16" ht="12.75" hidden="1" customHeight="1">
      <c r="A31" s="400">
        <v>2000</v>
      </c>
      <c r="B31" s="392"/>
      <c r="C31" s="392"/>
      <c r="D31" s="348"/>
      <c r="E31" s="392"/>
      <c r="F31" s="392"/>
      <c r="G31" s="392"/>
      <c r="H31" s="392"/>
      <c r="I31" s="392"/>
      <c r="J31" s="392"/>
      <c r="K31" s="392"/>
      <c r="L31" s="404"/>
      <c r="M31" s="374"/>
    </row>
    <row r="32" spans="1:16" ht="12.75" hidden="1" customHeight="1">
      <c r="A32" s="384"/>
      <c r="B32" s="392"/>
      <c r="C32" s="392"/>
      <c r="D32" s="348"/>
      <c r="E32" s="392"/>
      <c r="F32" s="392"/>
      <c r="G32" s="392"/>
      <c r="H32" s="392"/>
      <c r="I32" s="392"/>
      <c r="J32" s="392"/>
      <c r="K32" s="406"/>
      <c r="L32" s="404"/>
      <c r="M32" s="374"/>
    </row>
    <row r="33" spans="1:13" ht="12.75" hidden="1" customHeight="1">
      <c r="A33" s="384" t="s">
        <v>8</v>
      </c>
      <c r="B33" s="403">
        <v>7.2164999999999999</v>
      </c>
      <c r="C33" s="403">
        <v>9.9846000000000004</v>
      </c>
      <c r="D33" s="348">
        <v>0</v>
      </c>
      <c r="E33" s="403">
        <v>0.27860000000000001</v>
      </c>
      <c r="F33" s="392">
        <f>SUM(C33:E33)</f>
        <v>10.263200000000001</v>
      </c>
      <c r="G33" s="348">
        <v>15.6836</v>
      </c>
      <c r="H33" s="403">
        <v>2.86E-2</v>
      </c>
      <c r="I33" s="392">
        <f>SUM(F33:H33,B33)</f>
        <v>33.191900000000004</v>
      </c>
      <c r="J33" s="348">
        <v>8.0000000000000002E-3</v>
      </c>
      <c r="K33" s="403">
        <v>3.5583</v>
      </c>
      <c r="L33" s="404">
        <f>SUM(I33:K33)</f>
        <v>36.758200000000009</v>
      </c>
      <c r="M33" s="374"/>
    </row>
    <row r="34" spans="1:13" ht="12.75" hidden="1" customHeight="1">
      <c r="A34" s="384"/>
      <c r="B34" s="403"/>
      <c r="C34" s="392"/>
      <c r="D34" s="348"/>
      <c r="E34" s="392"/>
      <c r="F34" s="392"/>
      <c r="G34" s="392"/>
      <c r="H34" s="406"/>
      <c r="I34" s="392"/>
      <c r="J34" s="392"/>
      <c r="K34" s="406"/>
      <c r="L34" s="404"/>
      <c r="M34" s="374"/>
    </row>
    <row r="35" spans="1:13" ht="12.75" hidden="1" customHeight="1">
      <c r="A35" s="384" t="s">
        <v>9</v>
      </c>
      <c r="B35" s="403">
        <v>7.5415000000000001</v>
      </c>
      <c r="C35" s="403">
        <v>8.9312000000000005</v>
      </c>
      <c r="D35" s="348">
        <v>0</v>
      </c>
      <c r="E35" s="403">
        <v>0.24209999999999998</v>
      </c>
      <c r="F35" s="392">
        <f>SUM(C35:E35)</f>
        <v>9.1733000000000011</v>
      </c>
      <c r="G35" s="348">
        <v>15.146700000000001</v>
      </c>
      <c r="H35" s="403">
        <v>0.13800000000000001</v>
      </c>
      <c r="I35" s="392">
        <f>SUM(F35:H35,B35)</f>
        <v>31.999500000000001</v>
      </c>
      <c r="J35" s="348">
        <v>8.0000000000000002E-3</v>
      </c>
      <c r="K35" s="403">
        <v>4.0762</v>
      </c>
      <c r="L35" s="404">
        <f>SUM(I35:K35)</f>
        <v>36.0837</v>
      </c>
      <c r="M35" s="374"/>
    </row>
    <row r="36" spans="1:13" ht="12.75" hidden="1" customHeight="1">
      <c r="A36" s="384"/>
      <c r="B36" s="403"/>
      <c r="C36" s="392"/>
      <c r="D36" s="348"/>
      <c r="E36" s="392"/>
      <c r="F36" s="392"/>
      <c r="G36" s="392"/>
      <c r="H36" s="406"/>
      <c r="I36" s="392"/>
      <c r="J36" s="392"/>
      <c r="K36" s="406"/>
      <c r="L36" s="404"/>
      <c r="M36" s="374"/>
    </row>
    <row r="37" spans="1:13" ht="12.75" hidden="1" customHeight="1">
      <c r="A37" s="384" t="s">
        <v>10</v>
      </c>
      <c r="B37" s="403">
        <v>7.7412999999999998</v>
      </c>
      <c r="C37" s="403">
        <v>9.126100000000001</v>
      </c>
      <c r="D37" s="348">
        <v>0</v>
      </c>
      <c r="E37" s="403">
        <v>0.30030000000000001</v>
      </c>
      <c r="F37" s="392">
        <f>SUM(C37:E37)</f>
        <v>9.426400000000001</v>
      </c>
      <c r="G37" s="348">
        <v>13.898</v>
      </c>
      <c r="H37" s="403">
        <v>4.3700000000000003E-2</v>
      </c>
      <c r="I37" s="392">
        <f>SUM(F37:H37,B37)</f>
        <v>31.109400000000001</v>
      </c>
      <c r="J37" s="348">
        <v>8.0000000000000002E-3</v>
      </c>
      <c r="K37" s="403">
        <v>4.2694999999999999</v>
      </c>
      <c r="L37" s="404">
        <f>SUM(I37:K37)</f>
        <v>35.386899999999997</v>
      </c>
      <c r="M37" s="374"/>
    </row>
    <row r="38" spans="1:13" ht="12.75" hidden="1" customHeight="1">
      <c r="A38" s="384"/>
      <c r="B38" s="403"/>
      <c r="C38" s="392"/>
      <c r="D38" s="348"/>
      <c r="E38" s="392"/>
      <c r="F38" s="392"/>
      <c r="G38" s="392"/>
      <c r="H38" s="406"/>
      <c r="I38" s="392"/>
      <c r="J38" s="392"/>
      <c r="K38" s="406"/>
      <c r="L38" s="404"/>
      <c r="M38" s="374"/>
    </row>
    <row r="39" spans="1:13" ht="12.75" hidden="1" customHeight="1">
      <c r="A39" s="384" t="s">
        <v>11</v>
      </c>
      <c r="B39" s="403">
        <v>8.1952999999999996</v>
      </c>
      <c r="C39" s="403">
        <v>9.6913999999999998</v>
      </c>
      <c r="D39" s="348">
        <v>0</v>
      </c>
      <c r="E39" s="403">
        <v>0.33400000000000002</v>
      </c>
      <c r="F39" s="392">
        <f>SUM(C39:E39)</f>
        <v>10.025399999999999</v>
      </c>
      <c r="G39" s="348">
        <v>13.153</v>
      </c>
      <c r="H39" s="403">
        <v>4.9399999999999999E-2</v>
      </c>
      <c r="I39" s="392">
        <f>SUM(F39:H39,B39)</f>
        <v>31.423099999999998</v>
      </c>
      <c r="J39" s="348">
        <v>8.0000000000000002E-3</v>
      </c>
      <c r="K39" s="403">
        <v>4.6483999999999996</v>
      </c>
      <c r="L39" s="404">
        <f>SUM(I39:K39)</f>
        <v>36.079499999999996</v>
      </c>
      <c r="M39" s="374"/>
    </row>
    <row r="40" spans="1:13" ht="12.75" hidden="1" customHeight="1">
      <c r="A40" s="384"/>
      <c r="B40" s="403"/>
      <c r="C40" s="392"/>
      <c r="D40" s="348"/>
      <c r="E40" s="392"/>
      <c r="F40" s="392"/>
      <c r="G40" s="392"/>
      <c r="H40" s="406"/>
      <c r="I40" s="392"/>
      <c r="J40" s="392"/>
      <c r="K40" s="406"/>
      <c r="L40" s="404"/>
      <c r="M40" s="374"/>
    </row>
    <row r="41" spans="1:13" ht="12.75" hidden="1" customHeight="1">
      <c r="A41" s="384" t="s">
        <v>337</v>
      </c>
      <c r="B41" s="403">
        <v>8.4272000000000009</v>
      </c>
      <c r="C41" s="403">
        <v>11.381</v>
      </c>
      <c r="D41" s="348">
        <v>0</v>
      </c>
      <c r="E41" s="403">
        <v>0.2999</v>
      </c>
      <c r="F41" s="392">
        <f>SUM(C41:E41)</f>
        <v>11.680899999999999</v>
      </c>
      <c r="G41" s="348">
        <v>12.382</v>
      </c>
      <c r="H41" s="403">
        <v>4.5600000000000002E-2</v>
      </c>
      <c r="I41" s="392">
        <f>SUM(F41:H41,B41)</f>
        <v>32.535699999999999</v>
      </c>
      <c r="J41" s="348">
        <v>8.0000000000000002E-3</v>
      </c>
      <c r="K41" s="403">
        <v>4.8388999999999998</v>
      </c>
      <c r="L41" s="404">
        <f>SUM(I41:K41)</f>
        <v>37.382600000000004</v>
      </c>
      <c r="M41" s="374"/>
    </row>
    <row r="42" spans="1:13" ht="12.75" hidden="1" customHeight="1">
      <c r="A42" s="384"/>
      <c r="B42" s="403"/>
      <c r="C42" s="392"/>
      <c r="D42" s="348"/>
      <c r="E42" s="392"/>
      <c r="F42" s="392"/>
      <c r="G42" s="392"/>
      <c r="H42" s="406"/>
      <c r="I42" s="392"/>
      <c r="J42" s="392"/>
      <c r="K42" s="406"/>
      <c r="L42" s="404"/>
      <c r="M42" s="374"/>
    </row>
    <row r="43" spans="1:13" ht="12.75" hidden="1" customHeight="1">
      <c r="A43" s="384" t="s">
        <v>346</v>
      </c>
      <c r="B43" s="403">
        <v>9.1715999999999998</v>
      </c>
      <c r="C43" s="403">
        <v>12.0878</v>
      </c>
      <c r="D43" s="348">
        <v>0</v>
      </c>
      <c r="E43" s="403">
        <v>0.28310000000000002</v>
      </c>
      <c r="F43" s="392">
        <f>SUM(C43:E43)</f>
        <v>12.370899999999999</v>
      </c>
      <c r="G43" s="348">
        <v>11.5381</v>
      </c>
      <c r="H43" s="403">
        <v>5.11E-2</v>
      </c>
      <c r="I43" s="392">
        <f>SUM(F43:H43,B43)</f>
        <v>33.131700000000002</v>
      </c>
      <c r="J43" s="348">
        <v>8.0000000000000002E-3</v>
      </c>
      <c r="K43" s="403">
        <v>5.4253999999999998</v>
      </c>
      <c r="L43" s="404">
        <f>SUM(I43:K43)</f>
        <v>38.565100000000001</v>
      </c>
      <c r="M43" s="374"/>
    </row>
    <row r="44" spans="1:13" ht="12.75" hidden="1" customHeight="1">
      <c r="A44" s="384"/>
      <c r="B44" s="403"/>
      <c r="C44" s="392"/>
      <c r="D44" s="348"/>
      <c r="E44" s="392"/>
      <c r="F44" s="392"/>
      <c r="G44" s="392"/>
      <c r="H44" s="406"/>
      <c r="I44" s="392"/>
      <c r="J44" s="392"/>
      <c r="K44" s="406"/>
      <c r="L44" s="404"/>
      <c r="M44" s="374"/>
    </row>
    <row r="45" spans="1:13" ht="12.75" hidden="1" customHeight="1">
      <c r="A45" s="384" t="s">
        <v>347</v>
      </c>
      <c r="B45" s="403">
        <v>9.5848999999999993</v>
      </c>
      <c r="C45" s="403">
        <v>10.277700000000001</v>
      </c>
      <c r="D45" s="348">
        <v>0</v>
      </c>
      <c r="E45" s="403">
        <v>0.24640000000000001</v>
      </c>
      <c r="F45" s="392">
        <f>SUM(C45:E45)</f>
        <v>10.524100000000001</v>
      </c>
      <c r="G45" s="348">
        <v>9.9257999999999988</v>
      </c>
      <c r="H45" s="403">
        <v>3.9600000000000003E-2</v>
      </c>
      <c r="I45" s="392">
        <f>SUM(F45:H45,B45)</f>
        <v>30.074399999999997</v>
      </c>
      <c r="J45" s="348">
        <v>8.0000000000000002E-3</v>
      </c>
      <c r="K45" s="403">
        <v>7.2205000000000004</v>
      </c>
      <c r="L45" s="404">
        <f>SUM(I45:K45)</f>
        <v>37.302899999999994</v>
      </c>
      <c r="M45" s="374"/>
    </row>
    <row r="46" spans="1:13" ht="12.75" hidden="1" customHeight="1">
      <c r="A46" s="384"/>
      <c r="B46" s="403"/>
      <c r="C46" s="392"/>
      <c r="D46" s="348"/>
      <c r="E46" s="392"/>
      <c r="F46" s="392"/>
      <c r="G46" s="392"/>
      <c r="H46" s="406"/>
      <c r="I46" s="392"/>
      <c r="J46" s="392"/>
      <c r="K46" s="406"/>
      <c r="L46" s="404"/>
      <c r="M46" s="374"/>
    </row>
    <row r="47" spans="1:13" ht="12.75" hidden="1" customHeight="1">
      <c r="A47" s="384" t="s">
        <v>12</v>
      </c>
      <c r="B47" s="403">
        <v>9.7437999999999985</v>
      </c>
      <c r="C47" s="403">
        <v>12.094799999999999</v>
      </c>
      <c r="D47" s="348">
        <v>0</v>
      </c>
      <c r="E47" s="403">
        <v>0.27829999999999999</v>
      </c>
      <c r="F47" s="392">
        <f>SUM(C47:E47)</f>
        <v>12.373099999999999</v>
      </c>
      <c r="G47" s="348">
        <v>14.9322</v>
      </c>
      <c r="H47" s="403">
        <v>3.9600000000000003E-2</v>
      </c>
      <c r="I47" s="392">
        <f>SUM(F47:H47,B47)</f>
        <v>37.088699999999996</v>
      </c>
      <c r="J47" s="348">
        <v>8.0000000000000002E-3</v>
      </c>
      <c r="K47" s="403">
        <v>5.3250999999999999</v>
      </c>
      <c r="L47" s="404">
        <f>SUM(I47:K47)</f>
        <v>42.421799999999998</v>
      </c>
      <c r="M47" s="374"/>
    </row>
    <row r="48" spans="1:13" ht="12.75" hidden="1" customHeight="1">
      <c r="A48" s="384"/>
      <c r="B48" s="403"/>
      <c r="C48" s="392"/>
      <c r="D48" s="348"/>
      <c r="E48" s="392"/>
      <c r="F48" s="392"/>
      <c r="G48" s="392"/>
      <c r="H48" s="406"/>
      <c r="I48" s="392"/>
      <c r="J48" s="392"/>
      <c r="K48" s="406"/>
      <c r="L48" s="404"/>
      <c r="M48" s="374"/>
    </row>
    <row r="49" spans="1:13" ht="12.75" hidden="1" customHeight="1">
      <c r="A49" s="384" t="s">
        <v>13</v>
      </c>
      <c r="B49" s="403">
        <v>9.4849999999999994</v>
      </c>
      <c r="C49" s="403">
        <v>9.5012999999999987</v>
      </c>
      <c r="D49" s="348">
        <v>0</v>
      </c>
      <c r="E49" s="403">
        <v>0.40799999999999997</v>
      </c>
      <c r="F49" s="392">
        <f>SUM(C49:E49)</f>
        <v>9.9092999999999982</v>
      </c>
      <c r="G49" s="348">
        <v>12.6302</v>
      </c>
      <c r="H49" s="403">
        <v>4.6600000000000003E-2</v>
      </c>
      <c r="I49" s="392">
        <f>SUM(F49:H49,B49)</f>
        <v>32.071100000000001</v>
      </c>
      <c r="J49" s="348">
        <v>8.0000000000000002E-3</v>
      </c>
      <c r="K49" s="403">
        <v>8.5577000000000005</v>
      </c>
      <c r="L49" s="404">
        <f>SUM(I49:K49)</f>
        <v>40.636800000000008</v>
      </c>
      <c r="M49" s="374"/>
    </row>
    <row r="50" spans="1:13" ht="12.75" hidden="1" customHeight="1">
      <c r="A50" s="384"/>
      <c r="B50" s="403"/>
      <c r="C50" s="392"/>
      <c r="D50" s="348"/>
      <c r="E50" s="392"/>
      <c r="F50" s="392"/>
      <c r="G50" s="392"/>
      <c r="H50" s="406"/>
      <c r="I50" s="392"/>
      <c r="J50" s="392"/>
      <c r="K50" s="406"/>
      <c r="L50" s="404"/>
      <c r="M50" s="374"/>
    </row>
    <row r="51" spans="1:13" ht="12.75" hidden="1" customHeight="1">
      <c r="A51" s="384" t="s">
        <v>14</v>
      </c>
      <c r="B51" s="403">
        <v>9.5169999999999995</v>
      </c>
      <c r="C51" s="403">
        <v>9.9141000000000012</v>
      </c>
      <c r="D51" s="348">
        <v>0</v>
      </c>
      <c r="E51" s="403">
        <v>0.3286</v>
      </c>
      <c r="F51" s="392">
        <f>SUM(C51:E51)</f>
        <v>10.242700000000001</v>
      </c>
      <c r="G51" s="348">
        <v>12.325700000000001</v>
      </c>
      <c r="H51" s="403">
        <v>4.3200000000000002E-2</v>
      </c>
      <c r="I51" s="392">
        <f>SUM(F51:H51,B51)</f>
        <v>32.128600000000006</v>
      </c>
      <c r="J51" s="348">
        <v>8.0000000000000002E-3</v>
      </c>
      <c r="K51" s="403">
        <v>8.6518999999999995</v>
      </c>
      <c r="L51" s="404">
        <f>SUM(I51:K51)</f>
        <v>40.788500000000006</v>
      </c>
      <c r="M51" s="374"/>
    </row>
    <row r="52" spans="1:13" ht="12.75" hidden="1" customHeight="1">
      <c r="A52" s="384"/>
      <c r="B52" s="403"/>
      <c r="C52" s="392"/>
      <c r="D52" s="348"/>
      <c r="E52" s="392"/>
      <c r="F52" s="392"/>
      <c r="G52" s="392"/>
      <c r="H52" s="406"/>
      <c r="I52" s="392"/>
      <c r="J52" s="392"/>
      <c r="K52" s="406"/>
      <c r="L52" s="404"/>
      <c r="M52" s="374"/>
    </row>
    <row r="53" spans="1:13" ht="12.75" hidden="1" customHeight="1">
      <c r="A53" s="384" t="s">
        <v>15</v>
      </c>
      <c r="B53" s="403">
        <v>10.8744</v>
      </c>
      <c r="C53" s="403">
        <v>9.8675999999999995</v>
      </c>
      <c r="D53" s="348">
        <v>0</v>
      </c>
      <c r="E53" s="403">
        <v>0.26830000000000004</v>
      </c>
      <c r="F53" s="392">
        <f>SUM(C53:E53)</f>
        <v>10.135899999999999</v>
      </c>
      <c r="G53" s="348">
        <v>12.183299999999999</v>
      </c>
      <c r="H53" s="403">
        <v>0.2069</v>
      </c>
      <c r="I53" s="392">
        <f>SUM(F53:H53,B53)</f>
        <v>33.400500000000001</v>
      </c>
      <c r="J53" s="348">
        <v>8.0000000000000002E-3</v>
      </c>
      <c r="K53" s="403">
        <v>9.039299999999999</v>
      </c>
      <c r="L53" s="404">
        <f>SUM(I53:K53)</f>
        <v>42.447800000000001</v>
      </c>
      <c r="M53" s="374"/>
    </row>
    <row r="54" spans="1:13" ht="12.75" hidden="1" customHeight="1">
      <c r="A54" s="384"/>
      <c r="B54" s="403"/>
      <c r="C54" s="392"/>
      <c r="D54" s="348"/>
      <c r="E54" s="392"/>
      <c r="F54" s="392"/>
      <c r="G54" s="392"/>
      <c r="H54" s="406"/>
      <c r="I54" s="392"/>
      <c r="J54" s="392"/>
      <c r="K54" s="406"/>
      <c r="L54" s="404"/>
      <c r="M54" s="374"/>
    </row>
    <row r="55" spans="1:13" ht="12.75" hidden="1" customHeight="1">
      <c r="A55" s="384" t="s">
        <v>16</v>
      </c>
      <c r="B55" s="403">
        <v>11.641500000000001</v>
      </c>
      <c r="C55" s="403">
        <v>8.7123999999999988</v>
      </c>
      <c r="D55" s="348">
        <v>0</v>
      </c>
      <c r="E55" s="403">
        <v>0.28449999999999998</v>
      </c>
      <c r="F55" s="392">
        <f>SUM(C55:E55)</f>
        <v>8.9968999999999983</v>
      </c>
      <c r="G55" s="348">
        <v>12.0875</v>
      </c>
      <c r="H55" s="403">
        <v>0.1004</v>
      </c>
      <c r="I55" s="392">
        <f>SUM(F55:H55,B55)</f>
        <v>32.826300000000003</v>
      </c>
      <c r="J55" s="348">
        <v>8.0000000000000002E-3</v>
      </c>
      <c r="K55" s="403">
        <v>11.285</v>
      </c>
      <c r="L55" s="404">
        <f>SUM(I55:K55)</f>
        <v>44.11930000000001</v>
      </c>
      <c r="M55" s="374"/>
    </row>
    <row r="56" spans="1:13" ht="12.75" hidden="1" customHeight="1">
      <c r="A56" s="384"/>
      <c r="B56" s="392"/>
      <c r="C56" s="392"/>
      <c r="D56" s="348"/>
      <c r="E56" s="392"/>
      <c r="F56" s="392"/>
      <c r="G56" s="392"/>
      <c r="H56" s="392"/>
      <c r="I56" s="392"/>
      <c r="J56" s="403"/>
      <c r="K56" s="392"/>
      <c r="L56" s="404"/>
      <c r="M56" s="374"/>
    </row>
    <row r="57" spans="1:13" ht="12.75" hidden="1" customHeight="1">
      <c r="A57" s="400">
        <v>2001</v>
      </c>
      <c r="B57" s="392"/>
      <c r="C57" s="392"/>
      <c r="D57" s="348"/>
      <c r="E57" s="392"/>
      <c r="F57" s="392"/>
      <c r="G57" s="392"/>
      <c r="H57" s="392"/>
      <c r="I57" s="392"/>
      <c r="J57" s="392"/>
      <c r="K57" s="392"/>
      <c r="L57" s="404"/>
      <c r="M57" s="374"/>
    </row>
    <row r="58" spans="1:13" ht="12.6" hidden="1" customHeight="1">
      <c r="A58" s="384"/>
      <c r="B58" s="392"/>
      <c r="C58" s="392"/>
      <c r="D58" s="348"/>
      <c r="E58" s="392"/>
      <c r="F58" s="392"/>
      <c r="G58" s="392"/>
      <c r="H58" s="392"/>
      <c r="I58" s="392"/>
      <c r="J58" s="392"/>
      <c r="K58" s="392"/>
      <c r="L58" s="404"/>
      <c r="M58" s="374"/>
    </row>
    <row r="59" spans="1:13" ht="12.75" hidden="1" customHeight="1">
      <c r="A59" s="384" t="s">
        <v>8</v>
      </c>
      <c r="B59" s="392">
        <v>10.0678</v>
      </c>
      <c r="C59" s="392">
        <v>17.839599999999997</v>
      </c>
      <c r="D59" s="348">
        <v>0</v>
      </c>
      <c r="E59" s="392">
        <v>0.3014</v>
      </c>
      <c r="F59" s="392">
        <f>SUM(C59:E59)</f>
        <v>18.140999999999998</v>
      </c>
      <c r="G59" s="392">
        <v>12.0029</v>
      </c>
      <c r="H59" s="392">
        <v>0.2298</v>
      </c>
      <c r="I59" s="392">
        <f>SUM(F59:H59,B59)</f>
        <v>40.441499999999998</v>
      </c>
      <c r="J59" s="392">
        <v>7.9999999999999996E-6</v>
      </c>
      <c r="K59" s="392">
        <v>11.2356</v>
      </c>
      <c r="L59" s="404">
        <f>SUM(I59:K59)</f>
        <v>51.677107999999997</v>
      </c>
      <c r="M59" s="374"/>
    </row>
    <row r="60" spans="1:13" ht="12.75" hidden="1" customHeight="1">
      <c r="A60" s="384"/>
      <c r="B60" s="392"/>
      <c r="C60" s="392"/>
      <c r="D60" s="348"/>
      <c r="E60" s="392"/>
      <c r="F60" s="392"/>
      <c r="G60" s="392"/>
      <c r="H60" s="392"/>
      <c r="I60" s="392"/>
      <c r="J60" s="392"/>
      <c r="K60" s="392"/>
      <c r="L60" s="404"/>
      <c r="M60" s="374"/>
    </row>
    <row r="61" spans="1:13" ht="12.75" hidden="1" customHeight="1">
      <c r="A61" s="384" t="s">
        <v>9</v>
      </c>
      <c r="B61" s="392">
        <v>10.3087</v>
      </c>
      <c r="C61" s="392">
        <v>19.1557</v>
      </c>
      <c r="D61" s="348">
        <v>0</v>
      </c>
      <c r="E61" s="392">
        <v>0.30860000000000004</v>
      </c>
      <c r="F61" s="392">
        <f>SUM(C61:E61)</f>
        <v>19.464299999999998</v>
      </c>
      <c r="G61" s="392">
        <v>12.0029</v>
      </c>
      <c r="H61" s="392">
        <v>5.4899999999999997E-2</v>
      </c>
      <c r="I61" s="392">
        <f>SUM(F61:H61,B61)</f>
        <v>41.830799999999996</v>
      </c>
      <c r="J61" s="392">
        <v>8.0000000000000002E-3</v>
      </c>
      <c r="K61" s="392">
        <v>9.9443999999999999</v>
      </c>
      <c r="L61" s="404">
        <f>SUM(I61:K61)</f>
        <v>51.783200000000001</v>
      </c>
      <c r="M61" s="374"/>
    </row>
    <row r="62" spans="1:13" ht="12.75" hidden="1" customHeight="1">
      <c r="A62" s="384"/>
      <c r="B62" s="392"/>
      <c r="C62" s="392"/>
      <c r="D62" s="348"/>
      <c r="E62" s="392"/>
      <c r="F62" s="392"/>
      <c r="G62" s="392"/>
      <c r="H62" s="392"/>
      <c r="I62" s="392"/>
      <c r="J62" s="392"/>
      <c r="K62" s="392"/>
      <c r="L62" s="404"/>
      <c r="M62" s="374"/>
    </row>
    <row r="63" spans="1:13" ht="12.75" hidden="1" customHeight="1">
      <c r="A63" s="384" t="s">
        <v>9</v>
      </c>
      <c r="B63" s="392">
        <v>10.769</v>
      </c>
      <c r="C63" s="392">
        <v>20.3504</v>
      </c>
      <c r="D63" s="348">
        <v>0</v>
      </c>
      <c r="E63" s="392">
        <v>0.31269999999999998</v>
      </c>
      <c r="F63" s="392">
        <f>SUM(C63:E63)</f>
        <v>20.6631</v>
      </c>
      <c r="G63" s="392">
        <v>11.9945</v>
      </c>
      <c r="H63" s="392">
        <v>5.4899999999999997E-2</v>
      </c>
      <c r="I63" s="392">
        <f>SUM(F63:H63,B63)</f>
        <v>43.481500000000004</v>
      </c>
      <c r="J63" s="392">
        <v>8.0000000000000002E-3</v>
      </c>
      <c r="K63" s="392">
        <v>10.1066</v>
      </c>
      <c r="L63" s="404">
        <f>SUM(I63:K63)</f>
        <v>53.596100000000007</v>
      </c>
      <c r="M63" s="374"/>
    </row>
    <row r="64" spans="1:13" ht="12.75" hidden="1" customHeight="1">
      <c r="A64" s="384"/>
      <c r="B64" s="392"/>
      <c r="C64" s="392"/>
      <c r="D64" s="348"/>
      <c r="E64" s="392"/>
      <c r="F64" s="392"/>
      <c r="G64" s="392"/>
      <c r="H64" s="392"/>
      <c r="I64" s="392"/>
      <c r="J64" s="392"/>
      <c r="K64" s="392"/>
      <c r="L64" s="404"/>
      <c r="M64" s="374"/>
    </row>
    <row r="65" spans="1:13" ht="12.75" hidden="1" customHeight="1">
      <c r="A65" s="384" t="s">
        <v>10</v>
      </c>
      <c r="B65" s="392">
        <v>11.706700000000001</v>
      </c>
      <c r="C65" s="392">
        <v>16.231200000000001</v>
      </c>
      <c r="D65" s="348">
        <v>0</v>
      </c>
      <c r="E65" s="392">
        <v>0.21380000000000002</v>
      </c>
      <c r="F65" s="392">
        <f>SUM(C65:E65)</f>
        <v>16.445</v>
      </c>
      <c r="G65" s="392">
        <v>11.7644</v>
      </c>
      <c r="H65" s="392">
        <v>0.30030000000000001</v>
      </c>
      <c r="I65" s="392">
        <f>SUM(F65:H65,B65)</f>
        <v>40.216400000000007</v>
      </c>
      <c r="J65" s="392">
        <v>8.0000000000000002E-3</v>
      </c>
      <c r="K65" s="392">
        <v>9.8207000000000004</v>
      </c>
      <c r="L65" s="404">
        <f>SUM(I65:K65)</f>
        <v>50.045100000000012</v>
      </c>
      <c r="M65" s="374"/>
    </row>
    <row r="66" spans="1:13" ht="12.75" hidden="1" customHeight="1">
      <c r="A66" s="384"/>
      <c r="B66" s="392"/>
      <c r="C66" s="392"/>
      <c r="D66" s="348"/>
      <c r="E66" s="392"/>
      <c r="F66" s="392"/>
      <c r="G66" s="392"/>
      <c r="H66" s="392"/>
      <c r="I66" s="392"/>
      <c r="J66" s="392"/>
      <c r="K66" s="392"/>
      <c r="L66" s="404"/>
      <c r="M66" s="374"/>
    </row>
    <row r="67" spans="1:13" ht="12.75" hidden="1" customHeight="1">
      <c r="A67" s="384" t="s">
        <v>11</v>
      </c>
      <c r="B67" s="392">
        <v>12.461200000000002</v>
      </c>
      <c r="C67" s="392">
        <v>17.686299999999999</v>
      </c>
      <c r="D67" s="348">
        <v>0</v>
      </c>
      <c r="E67" s="392">
        <v>0.36899999999999999</v>
      </c>
      <c r="F67" s="392">
        <f>SUM(C67:E67)</f>
        <v>18.055299999999999</v>
      </c>
      <c r="G67" s="392">
        <v>11.7897</v>
      </c>
      <c r="H67" s="392">
        <v>0.1303</v>
      </c>
      <c r="I67" s="392">
        <f>SUM(F67:H67,B67)</f>
        <v>42.436499999999995</v>
      </c>
      <c r="J67" s="392">
        <v>8.0000000000000002E-3</v>
      </c>
      <c r="K67" s="392">
        <v>12.174100000000001</v>
      </c>
      <c r="L67" s="404">
        <f>SUM(I67:K67)</f>
        <v>54.618600000000001</v>
      </c>
      <c r="M67" s="374"/>
    </row>
    <row r="68" spans="1:13" ht="12.75" hidden="1" customHeight="1">
      <c r="A68" s="384"/>
      <c r="B68" s="392">
        <v>0</v>
      </c>
      <c r="C68" s="392"/>
      <c r="D68" s="348"/>
      <c r="E68" s="392"/>
      <c r="F68" s="392"/>
      <c r="G68" s="392"/>
      <c r="H68" s="392"/>
      <c r="I68" s="392"/>
      <c r="J68" s="392"/>
      <c r="K68" s="392"/>
      <c r="L68" s="404"/>
      <c r="M68" s="374"/>
    </row>
    <row r="69" spans="1:13" ht="12.75" hidden="1" customHeight="1">
      <c r="A69" s="384" t="s">
        <v>337</v>
      </c>
      <c r="B69" s="392">
        <v>13.881</v>
      </c>
      <c r="C69" s="392">
        <v>16.1084</v>
      </c>
      <c r="D69" s="348">
        <v>0</v>
      </c>
      <c r="E69" s="392">
        <v>0.39779999999999999</v>
      </c>
      <c r="F69" s="392">
        <f>SUM(C69:E69)</f>
        <v>16.5062</v>
      </c>
      <c r="G69" s="392">
        <v>11.5327</v>
      </c>
      <c r="H69" s="392">
        <v>0.1381</v>
      </c>
      <c r="I69" s="392">
        <f>SUM(F69:H69,B69)</f>
        <v>42.058</v>
      </c>
      <c r="J69" s="392">
        <v>8.0000000000000002E-3</v>
      </c>
      <c r="K69" s="392">
        <v>11.934700000000001</v>
      </c>
      <c r="L69" s="404">
        <f>SUM(I69:K69)</f>
        <v>54.000700000000002</v>
      </c>
      <c r="M69" s="374"/>
    </row>
    <row r="70" spans="1:13" ht="12.75" hidden="1" customHeight="1">
      <c r="A70" s="384"/>
      <c r="B70" s="392"/>
      <c r="C70" s="392"/>
      <c r="D70" s="348"/>
      <c r="E70" s="392"/>
      <c r="F70" s="392"/>
      <c r="G70" s="392"/>
      <c r="H70" s="392"/>
      <c r="I70" s="392"/>
      <c r="J70" s="392"/>
      <c r="K70" s="392"/>
      <c r="L70" s="404"/>
      <c r="M70" s="374"/>
    </row>
    <row r="71" spans="1:13" ht="12.75" hidden="1" customHeight="1">
      <c r="A71" s="384" t="s">
        <v>346</v>
      </c>
      <c r="B71" s="392">
        <v>15.3988</v>
      </c>
      <c r="C71" s="392">
        <v>17.7027</v>
      </c>
      <c r="D71" s="348">
        <v>0</v>
      </c>
      <c r="E71" s="392">
        <v>0.58379999999999999</v>
      </c>
      <c r="F71" s="392">
        <f>SUM(C71:E71)</f>
        <v>18.2865</v>
      </c>
      <c r="G71" s="392">
        <v>11.5022</v>
      </c>
      <c r="H71" s="392">
        <v>0.13450000000000001</v>
      </c>
      <c r="I71" s="392">
        <f>SUM(F71:H71,B71)</f>
        <v>45.321999999999996</v>
      </c>
      <c r="J71" s="392">
        <v>8.0000000000000002E-3</v>
      </c>
      <c r="K71" s="392">
        <v>11.038500000000001</v>
      </c>
      <c r="L71" s="404">
        <f>SUM(I71:K71)</f>
        <v>56.368499999999997</v>
      </c>
      <c r="M71" s="374"/>
    </row>
    <row r="72" spans="1:13" ht="12.75" hidden="1" customHeight="1">
      <c r="A72" s="384"/>
      <c r="B72" s="392"/>
      <c r="C72" s="392"/>
      <c r="D72" s="348"/>
      <c r="E72" s="392"/>
      <c r="F72" s="392"/>
      <c r="G72" s="392"/>
      <c r="H72" s="392"/>
      <c r="I72" s="392"/>
      <c r="J72" s="392"/>
      <c r="K72" s="392"/>
      <c r="L72" s="404"/>
      <c r="M72" s="374"/>
    </row>
    <row r="73" spans="1:13" ht="12.75" hidden="1" customHeight="1">
      <c r="A73" s="384" t="s">
        <v>347</v>
      </c>
      <c r="B73" s="392">
        <v>17.391400000000001</v>
      </c>
      <c r="C73" s="392">
        <v>19.290800000000001</v>
      </c>
      <c r="D73" s="348">
        <v>0</v>
      </c>
      <c r="E73" s="392">
        <v>0.44769999999999999</v>
      </c>
      <c r="F73" s="392">
        <f>SUM(C73:E73)</f>
        <v>19.738500000000002</v>
      </c>
      <c r="G73" s="392">
        <v>12.378</v>
      </c>
      <c r="H73" s="392">
        <v>0.1318</v>
      </c>
      <c r="I73" s="392">
        <f>SUM(F73:H73,B73)</f>
        <v>49.639700000000005</v>
      </c>
      <c r="J73" s="392">
        <v>8.0000000000000002E-3</v>
      </c>
      <c r="K73" s="392">
        <v>10.869899999999999</v>
      </c>
      <c r="L73" s="404">
        <f>SUM(I73:K73)</f>
        <v>60.517600000000009</v>
      </c>
      <c r="M73" s="374"/>
    </row>
    <row r="74" spans="1:13" ht="12.75" hidden="1" customHeight="1">
      <c r="A74" s="384"/>
      <c r="B74" s="392"/>
      <c r="C74" s="392"/>
      <c r="D74" s="348"/>
      <c r="E74" s="392"/>
      <c r="F74" s="392"/>
      <c r="G74" s="392"/>
      <c r="H74" s="392"/>
      <c r="I74" s="392"/>
      <c r="J74" s="392"/>
      <c r="K74" s="392"/>
      <c r="L74" s="404"/>
      <c r="M74" s="374"/>
    </row>
    <row r="75" spans="1:13" ht="12.75" hidden="1" customHeight="1">
      <c r="A75" s="384" t="s">
        <v>12</v>
      </c>
      <c r="B75" s="392">
        <v>21.035299999999999</v>
      </c>
      <c r="C75" s="392">
        <v>21.813299999999998</v>
      </c>
      <c r="D75" s="348">
        <v>0</v>
      </c>
      <c r="E75" s="392">
        <v>0.3982</v>
      </c>
      <c r="F75" s="392">
        <f>SUM(C75:E75)</f>
        <v>22.211499999999997</v>
      </c>
      <c r="G75" s="392">
        <v>12.330399999999999</v>
      </c>
      <c r="H75" s="392">
        <v>0.18559999999999999</v>
      </c>
      <c r="I75" s="392">
        <f>SUM(F75:H75,B75)</f>
        <v>55.762799999999999</v>
      </c>
      <c r="J75" s="392">
        <v>8.0000000000000002E-3</v>
      </c>
      <c r="K75" s="392">
        <v>10.5306</v>
      </c>
      <c r="L75" s="404">
        <f>SUM(I75:K75)</f>
        <v>66.301400000000001</v>
      </c>
      <c r="M75" s="374"/>
    </row>
    <row r="76" spans="1:13" ht="12.75" hidden="1" customHeight="1">
      <c r="A76" s="384"/>
      <c r="B76" s="392"/>
      <c r="C76" s="392"/>
      <c r="D76" s="348"/>
      <c r="E76" s="392"/>
      <c r="F76" s="392"/>
      <c r="G76" s="392"/>
      <c r="H76" s="392"/>
      <c r="I76" s="392"/>
      <c r="J76" s="392"/>
      <c r="K76" s="392"/>
      <c r="L76" s="404"/>
      <c r="M76" s="374"/>
    </row>
    <row r="77" spans="1:13" ht="12.75" hidden="1" customHeight="1">
      <c r="A77" s="384" t="s">
        <v>13</v>
      </c>
      <c r="B77" s="392">
        <v>23.0108</v>
      </c>
      <c r="C77" s="392">
        <v>25.1206</v>
      </c>
      <c r="D77" s="348">
        <v>0</v>
      </c>
      <c r="E77" s="392">
        <v>0.3775</v>
      </c>
      <c r="F77" s="392">
        <f>SUM(C77:E77)</f>
        <v>25.498100000000001</v>
      </c>
      <c r="G77" s="392">
        <v>12.3385</v>
      </c>
      <c r="H77" s="392">
        <v>0.2591</v>
      </c>
      <c r="I77" s="392">
        <f>SUM(F77:H77,B77)</f>
        <v>61.106499999999997</v>
      </c>
      <c r="J77" s="392">
        <v>8.0000000000000002E-3</v>
      </c>
      <c r="K77" s="392">
        <v>11.872399999999999</v>
      </c>
      <c r="L77" s="404">
        <f>SUM(I77:K77)</f>
        <v>72.986899999999991</v>
      </c>
      <c r="M77" s="374"/>
    </row>
    <row r="78" spans="1:13" ht="12.75" hidden="1" customHeight="1">
      <c r="A78" s="384"/>
      <c r="B78" s="392"/>
      <c r="C78" s="392"/>
      <c r="D78" s="348"/>
      <c r="E78" s="392"/>
      <c r="F78" s="392"/>
      <c r="G78" s="392"/>
      <c r="H78" s="392"/>
      <c r="I78" s="392"/>
      <c r="J78" s="392"/>
      <c r="K78" s="392"/>
      <c r="L78" s="404"/>
      <c r="M78" s="374"/>
    </row>
    <row r="79" spans="1:13" ht="12.75" hidden="1" customHeight="1">
      <c r="A79" s="384" t="s">
        <v>14</v>
      </c>
      <c r="B79" s="392">
        <v>24.1843</v>
      </c>
      <c r="C79" s="392">
        <v>21.670200000000001</v>
      </c>
      <c r="D79" s="348">
        <v>0</v>
      </c>
      <c r="E79" s="392">
        <v>0.66749999999999998</v>
      </c>
      <c r="F79" s="392">
        <f>SUM(C79:E79)</f>
        <v>22.337700000000002</v>
      </c>
      <c r="G79" s="392">
        <v>12.078100000000001</v>
      </c>
      <c r="H79" s="392">
        <v>0.1646</v>
      </c>
      <c r="I79" s="392">
        <f>SUM(F79:H79,B79)</f>
        <v>58.764700000000005</v>
      </c>
      <c r="J79" s="392">
        <v>8.0000000000000002E-3</v>
      </c>
      <c r="K79" s="392">
        <v>11.9124</v>
      </c>
      <c r="L79" s="404">
        <f>SUM(I79:K79)</f>
        <v>70.685100000000006</v>
      </c>
      <c r="M79" s="374"/>
    </row>
    <row r="80" spans="1:13" ht="12.75" hidden="1" customHeight="1">
      <c r="A80" s="384"/>
      <c r="B80" s="392"/>
      <c r="C80" s="392"/>
      <c r="D80" s="348"/>
      <c r="E80" s="392"/>
      <c r="F80" s="392"/>
      <c r="G80" s="392"/>
      <c r="H80" s="392"/>
      <c r="I80" s="392"/>
      <c r="J80" s="392"/>
      <c r="K80" s="392"/>
      <c r="L80" s="404"/>
      <c r="M80" s="374"/>
    </row>
    <row r="81" spans="1:13" ht="12.75" hidden="1" customHeight="1">
      <c r="A81" s="384" t="s">
        <v>15</v>
      </c>
      <c r="B81" s="392">
        <v>28.148199999999999</v>
      </c>
      <c r="C81" s="392">
        <v>21.490599999999997</v>
      </c>
      <c r="D81" s="348">
        <v>0</v>
      </c>
      <c r="E81" s="392">
        <v>0.42980000000000002</v>
      </c>
      <c r="F81" s="392">
        <f>SUM(C81:E81)</f>
        <v>21.920399999999997</v>
      </c>
      <c r="G81" s="392">
        <v>10.125500000000001</v>
      </c>
      <c r="H81" s="392">
        <v>0.10829999999999999</v>
      </c>
      <c r="I81" s="392">
        <f>SUM(F81:H81,B81)</f>
        <v>60.302399999999992</v>
      </c>
      <c r="J81" s="392">
        <v>8.0000000000000002E-3</v>
      </c>
      <c r="K81" s="392">
        <v>11.404200000000001</v>
      </c>
      <c r="L81" s="404">
        <f>SUM(I81:K81)</f>
        <v>71.71459999999999</v>
      </c>
      <c r="M81" s="374"/>
    </row>
    <row r="82" spans="1:13" ht="12.75" hidden="1" customHeight="1">
      <c r="A82" s="384"/>
      <c r="B82" s="392"/>
      <c r="C82" s="392"/>
      <c r="D82" s="348"/>
      <c r="E82" s="392"/>
      <c r="F82" s="392"/>
      <c r="G82" s="392"/>
      <c r="H82" s="392"/>
      <c r="I82" s="392"/>
      <c r="J82" s="392"/>
      <c r="K82" s="392"/>
      <c r="L82" s="404"/>
      <c r="M82" s="374"/>
    </row>
    <row r="83" spans="1:13" ht="12.75" hidden="1" customHeight="1">
      <c r="A83" s="384" t="s">
        <v>16</v>
      </c>
      <c r="B83" s="392">
        <v>29.792999999999999</v>
      </c>
      <c r="C83" s="392">
        <v>24.426599999999997</v>
      </c>
      <c r="D83" s="348">
        <v>0</v>
      </c>
      <c r="E83" s="392">
        <v>0.4506</v>
      </c>
      <c r="F83" s="392">
        <f>SUM(C83:E83)</f>
        <v>24.877199999999998</v>
      </c>
      <c r="G83" s="392">
        <v>9.5346000000000011</v>
      </c>
      <c r="H83" s="392">
        <v>0.16900000000000001</v>
      </c>
      <c r="I83" s="392">
        <f>SUM(F83:H83,B83)</f>
        <v>64.373799999999989</v>
      </c>
      <c r="J83" s="392">
        <v>8.0000000000000002E-3</v>
      </c>
      <c r="K83" s="392">
        <v>13.0754</v>
      </c>
      <c r="L83" s="404">
        <f>SUM(I83:K83)</f>
        <v>77.457199999999986</v>
      </c>
      <c r="M83" s="374"/>
    </row>
    <row r="84" spans="1:13" ht="12.75" hidden="1" customHeight="1">
      <c r="A84" s="384"/>
      <c r="B84" s="392"/>
      <c r="C84" s="392"/>
      <c r="D84" s="348"/>
      <c r="E84" s="392"/>
      <c r="F84" s="392"/>
      <c r="G84" s="392"/>
      <c r="H84" s="392"/>
      <c r="I84" s="392"/>
      <c r="J84" s="392"/>
      <c r="K84" s="392"/>
      <c r="L84" s="404"/>
      <c r="M84" s="374"/>
    </row>
    <row r="85" spans="1:13" hidden="1">
      <c r="A85" s="408">
        <v>2002</v>
      </c>
      <c r="B85" s="392"/>
      <c r="C85" s="392"/>
      <c r="D85" s="348"/>
      <c r="E85" s="392"/>
      <c r="F85" s="392"/>
      <c r="G85" s="392"/>
      <c r="H85" s="392"/>
      <c r="J85" s="392"/>
      <c r="K85" s="392"/>
      <c r="L85" s="404"/>
      <c r="M85" s="374"/>
    </row>
    <row r="86" spans="1:13" ht="12.75" hidden="1" customHeight="1">
      <c r="A86" s="384"/>
      <c r="B86" s="392"/>
      <c r="C86" s="392"/>
      <c r="D86" s="348"/>
      <c r="E86" s="392"/>
      <c r="F86" s="392"/>
      <c r="G86" s="392"/>
      <c r="H86" s="392"/>
      <c r="I86" s="392"/>
      <c r="J86" s="392"/>
      <c r="K86" s="392"/>
      <c r="L86" s="404"/>
      <c r="M86" s="374"/>
    </row>
    <row r="87" spans="1:13" ht="12.75" hidden="1" customHeight="1">
      <c r="A87" s="384" t="s">
        <v>8</v>
      </c>
      <c r="B87" s="392">
        <v>28.406599999999997</v>
      </c>
      <c r="C87" s="392">
        <v>27.789000000000001</v>
      </c>
      <c r="D87" s="348">
        <v>0</v>
      </c>
      <c r="E87" s="392">
        <v>0.44239999999999996</v>
      </c>
      <c r="F87" s="392">
        <f>SUM(C87:E87)</f>
        <v>28.231400000000001</v>
      </c>
      <c r="G87" s="392">
        <v>10.682</v>
      </c>
      <c r="H87" s="392">
        <v>9.0400000000000008E-2</v>
      </c>
      <c r="I87" s="392">
        <f>SUM(F87:H87,B87)</f>
        <v>67.41040000000001</v>
      </c>
      <c r="J87" s="392">
        <v>8.0000000000000002E-3</v>
      </c>
      <c r="K87" s="392">
        <v>12.8102</v>
      </c>
      <c r="L87" s="404">
        <f>SUM(I87:K87)</f>
        <v>80.2286</v>
      </c>
      <c r="M87" s="374"/>
    </row>
    <row r="88" spans="1:13" ht="12.75" hidden="1" customHeight="1">
      <c r="A88" s="384"/>
      <c r="B88" s="392"/>
      <c r="C88" s="392"/>
      <c r="D88" s="348"/>
      <c r="E88" s="392"/>
      <c r="F88" s="392"/>
      <c r="G88" s="392"/>
      <c r="H88" s="392"/>
      <c r="I88" s="392"/>
      <c r="J88" s="392"/>
      <c r="K88" s="392"/>
      <c r="L88" s="404"/>
      <c r="M88" s="374"/>
    </row>
    <row r="89" spans="1:13" ht="12.75" hidden="1" customHeight="1">
      <c r="A89" s="384" t="s">
        <v>9</v>
      </c>
      <c r="B89" s="392">
        <v>30.6569</v>
      </c>
      <c r="C89" s="392">
        <v>20.460799999999999</v>
      </c>
      <c r="D89" s="348">
        <v>0</v>
      </c>
      <c r="E89" s="392">
        <v>0.44319999999999998</v>
      </c>
      <c r="F89" s="392">
        <f>SUM(C89:E89)</f>
        <v>20.904</v>
      </c>
      <c r="G89" s="392">
        <v>9.7645</v>
      </c>
      <c r="H89" s="392">
        <v>0.1265</v>
      </c>
      <c r="I89" s="392">
        <f>SUM(F89:H89,B89)</f>
        <v>61.451900000000002</v>
      </c>
      <c r="J89" s="392">
        <v>8.0000000000000002E-3</v>
      </c>
      <c r="K89" s="392">
        <v>13.448</v>
      </c>
      <c r="L89" s="404">
        <f>SUM(I89:K89)</f>
        <v>74.907900000000012</v>
      </c>
      <c r="M89" s="374"/>
    </row>
    <row r="90" spans="1:13" ht="12.75" hidden="1" customHeight="1">
      <c r="A90" s="384"/>
      <c r="B90" s="392"/>
      <c r="C90" s="392"/>
      <c r="D90" s="348"/>
      <c r="E90" s="392"/>
      <c r="F90" s="392"/>
      <c r="G90" s="392"/>
      <c r="H90" s="392"/>
      <c r="I90" s="392"/>
      <c r="J90" s="392"/>
      <c r="K90" s="392"/>
      <c r="L90" s="404"/>
      <c r="M90" s="374"/>
    </row>
    <row r="91" spans="1:13" ht="12.75" hidden="1" customHeight="1">
      <c r="A91" s="384" t="s">
        <v>10</v>
      </c>
      <c r="B91" s="392">
        <v>33.690599999999996</v>
      </c>
      <c r="C91" s="392">
        <v>14.6068</v>
      </c>
      <c r="D91" s="348">
        <v>0</v>
      </c>
      <c r="E91" s="392">
        <v>0.75270000000000004</v>
      </c>
      <c r="F91" s="392">
        <f>SUM(C91:E91)</f>
        <v>15.359500000000001</v>
      </c>
      <c r="G91" s="392">
        <v>10.319900000000001</v>
      </c>
      <c r="H91" s="392">
        <v>6.8099999999999994E-2</v>
      </c>
      <c r="I91" s="392">
        <f>SUM(F91:H91,B91)</f>
        <v>59.438099999999999</v>
      </c>
      <c r="J91" s="392">
        <v>8.0000000000000002E-3</v>
      </c>
      <c r="K91" s="392">
        <v>12.998700000000001</v>
      </c>
      <c r="L91" s="404">
        <f>SUM(I91:K91)</f>
        <v>72.444800000000001</v>
      </c>
      <c r="M91" s="374"/>
    </row>
    <row r="92" spans="1:13" ht="12.75" hidden="1" customHeight="1">
      <c r="A92" s="384"/>
      <c r="B92" s="392"/>
      <c r="C92" s="392"/>
      <c r="D92" s="348"/>
      <c r="E92" s="392"/>
      <c r="F92" s="392"/>
      <c r="G92" s="392"/>
      <c r="H92" s="392"/>
      <c r="I92" s="392"/>
      <c r="J92" s="392"/>
      <c r="K92" s="392"/>
      <c r="L92" s="404"/>
      <c r="M92" s="374"/>
    </row>
    <row r="93" spans="1:13" ht="12.75" hidden="1" customHeight="1">
      <c r="A93" s="384" t="s">
        <v>11</v>
      </c>
      <c r="B93" s="392">
        <v>34.630699999999997</v>
      </c>
      <c r="C93" s="392">
        <v>17.686299999999999</v>
      </c>
      <c r="D93" s="348">
        <v>0</v>
      </c>
      <c r="E93" s="392">
        <v>0.74239999999999995</v>
      </c>
      <c r="F93" s="392">
        <f>SUM(C93:E93)</f>
        <v>18.428699999999999</v>
      </c>
      <c r="G93" s="392">
        <v>10.414999999999999</v>
      </c>
      <c r="H93" s="392">
        <v>0.13869999999999999</v>
      </c>
      <c r="I93" s="392">
        <f>SUM(F93:H93,B93)</f>
        <v>63.613099999999996</v>
      </c>
      <c r="J93" s="392">
        <v>8.0000000000000002E-3</v>
      </c>
      <c r="K93" s="392">
        <v>7.9308000000000005</v>
      </c>
      <c r="L93" s="404">
        <f>SUM(I93:K93)</f>
        <v>71.551900000000003</v>
      </c>
      <c r="M93" s="374"/>
    </row>
    <row r="94" spans="1:13" ht="12.75" hidden="1" customHeight="1">
      <c r="A94" s="384"/>
      <c r="B94" s="392"/>
      <c r="C94" s="392"/>
      <c r="D94" s="348"/>
      <c r="E94" s="392"/>
      <c r="F94" s="392"/>
      <c r="G94" s="392"/>
      <c r="H94" s="392"/>
      <c r="I94" s="392"/>
      <c r="J94" s="392"/>
      <c r="K94" s="392"/>
      <c r="L94" s="404"/>
      <c r="M94" s="374"/>
    </row>
    <row r="95" spans="1:13" ht="12.75" hidden="1" customHeight="1">
      <c r="A95" s="384" t="s">
        <v>337</v>
      </c>
      <c r="B95" s="392">
        <v>37.631</v>
      </c>
      <c r="C95" s="392">
        <v>8.1104000000000003</v>
      </c>
      <c r="D95" s="348">
        <v>0</v>
      </c>
      <c r="E95" s="392">
        <v>0.54959999999999998</v>
      </c>
      <c r="F95" s="392">
        <f>SUM(C95:E95)</f>
        <v>8.66</v>
      </c>
      <c r="G95" s="392">
        <v>11.09</v>
      </c>
      <c r="H95" s="392">
        <v>0.1381</v>
      </c>
      <c r="I95" s="392">
        <f>SUM(F95:H95,B95)</f>
        <v>57.519100000000002</v>
      </c>
      <c r="J95" s="392">
        <v>8.0000000000000002E-3</v>
      </c>
      <c r="K95" s="392">
        <v>14.943200000000001</v>
      </c>
      <c r="L95" s="404">
        <f>SUM(I95:K95)</f>
        <v>72.470300000000009</v>
      </c>
      <c r="M95" s="374"/>
    </row>
    <row r="96" spans="1:13" ht="12.75" hidden="1" customHeight="1">
      <c r="A96" s="384"/>
      <c r="B96" s="392"/>
      <c r="C96" s="392"/>
      <c r="D96" s="348"/>
      <c r="E96" s="392"/>
      <c r="F96" s="392"/>
      <c r="G96" s="392"/>
      <c r="H96" s="392"/>
      <c r="I96" s="392"/>
      <c r="J96" s="392"/>
      <c r="K96" s="392"/>
      <c r="L96" s="404"/>
      <c r="M96" s="374"/>
    </row>
    <row r="97" spans="1:13" ht="12.75" hidden="1" customHeight="1">
      <c r="A97" s="384" t="s">
        <v>346</v>
      </c>
      <c r="B97" s="392">
        <v>44.483699999999999</v>
      </c>
      <c r="C97" s="392">
        <v>6.1173999999999999</v>
      </c>
      <c r="D97" s="348">
        <v>0</v>
      </c>
      <c r="E97" s="392">
        <v>0.87179999999999991</v>
      </c>
      <c r="F97" s="392">
        <f>SUM(C97:E97)</f>
        <v>6.9892000000000003</v>
      </c>
      <c r="G97" s="392">
        <v>10.473799999999999</v>
      </c>
      <c r="H97" s="392">
        <v>0.13450000000000001</v>
      </c>
      <c r="I97" s="392">
        <f>SUM(F97:H97,B97)</f>
        <v>62.081199999999995</v>
      </c>
      <c r="J97" s="392">
        <v>8.0000000000000002E-3</v>
      </c>
      <c r="K97" s="392">
        <v>18.0837</v>
      </c>
      <c r="L97" s="404">
        <f>SUM(I97:K97)</f>
        <v>80.172899999999998</v>
      </c>
      <c r="M97" s="374"/>
    </row>
    <row r="98" spans="1:13" ht="12.75" hidden="1" customHeight="1">
      <c r="A98" s="384"/>
      <c r="B98" s="392"/>
      <c r="C98" s="392"/>
      <c r="D98" s="348"/>
      <c r="E98" s="392"/>
      <c r="F98" s="392"/>
      <c r="G98" s="392"/>
      <c r="H98" s="392"/>
      <c r="I98" s="392"/>
      <c r="J98" s="392"/>
      <c r="K98" s="392"/>
      <c r="L98" s="404"/>
      <c r="M98" s="374"/>
    </row>
    <row r="99" spans="1:13" ht="12.75" hidden="1" customHeight="1">
      <c r="A99" s="384" t="s">
        <v>347</v>
      </c>
      <c r="B99" s="392">
        <v>48.9422</v>
      </c>
      <c r="C99" s="392">
        <v>8.3674999999999997</v>
      </c>
      <c r="D99" s="348">
        <v>0</v>
      </c>
      <c r="E99" s="392">
        <v>0.4093</v>
      </c>
      <c r="F99" s="392">
        <f>SUM(C99:E99)</f>
        <v>8.7767999999999997</v>
      </c>
      <c r="G99" s="392">
        <v>10.376799999999999</v>
      </c>
      <c r="H99" s="392">
        <v>-0.33</v>
      </c>
      <c r="I99" s="392">
        <f>SUM(F99:H99,B99)</f>
        <v>67.765799999999999</v>
      </c>
      <c r="J99" s="392">
        <v>8.0000000000000002E-3</v>
      </c>
      <c r="K99" s="392">
        <v>21.393799999999999</v>
      </c>
      <c r="L99" s="404">
        <f>SUM(I99:K99)</f>
        <v>89.167599999999993</v>
      </c>
      <c r="M99" s="374"/>
    </row>
    <row r="100" spans="1:13" ht="12.75" hidden="1" customHeight="1">
      <c r="A100" s="384"/>
      <c r="B100" s="392"/>
      <c r="C100" s="410"/>
      <c r="D100" s="348"/>
      <c r="E100" s="392"/>
      <c r="F100" s="392"/>
      <c r="G100" s="392"/>
      <c r="H100" s="392"/>
      <c r="I100" s="392"/>
      <c r="J100" s="392"/>
      <c r="K100" s="392"/>
      <c r="L100" s="404"/>
      <c r="M100" s="374"/>
    </row>
    <row r="101" spans="1:13" ht="12.75" hidden="1" customHeight="1">
      <c r="A101" s="384" t="s">
        <v>12</v>
      </c>
      <c r="B101" s="392">
        <v>56.207000000000001</v>
      </c>
      <c r="C101" s="392">
        <v>20.170099999999998</v>
      </c>
      <c r="D101" s="348">
        <v>0</v>
      </c>
      <c r="E101" s="392">
        <v>2.581</v>
      </c>
      <c r="F101" s="392">
        <f>SUM(C101:E101)</f>
        <v>22.751099999999997</v>
      </c>
      <c r="G101" s="392">
        <v>10.3614</v>
      </c>
      <c r="H101" s="392">
        <v>0.15240000000000001</v>
      </c>
      <c r="I101" s="392">
        <f>SUM(F101:H101,B101)</f>
        <v>89.471900000000005</v>
      </c>
      <c r="J101" s="392">
        <v>8.0000000000000002E-3</v>
      </c>
      <c r="K101" s="392">
        <v>20.345700000000001</v>
      </c>
      <c r="L101" s="404">
        <f>SUM(I101:K101)</f>
        <v>109.82560000000001</v>
      </c>
      <c r="M101" s="374"/>
    </row>
    <row r="102" spans="1:13" ht="12.75" hidden="1" customHeight="1">
      <c r="A102" s="384"/>
      <c r="B102" s="392"/>
      <c r="C102" s="392"/>
      <c r="D102" s="348"/>
      <c r="E102" s="392"/>
      <c r="F102" s="392"/>
      <c r="G102" s="392"/>
      <c r="H102" s="392"/>
      <c r="I102" s="392"/>
      <c r="J102" s="392"/>
      <c r="K102" s="392"/>
      <c r="L102" s="404"/>
      <c r="M102" s="374"/>
    </row>
    <row r="103" spans="1:13" ht="12.75" hidden="1" customHeight="1">
      <c r="A103" s="384" t="s">
        <v>13</v>
      </c>
      <c r="B103" s="392">
        <v>60.483499999999999</v>
      </c>
      <c r="C103" s="392">
        <v>31.555400000000002</v>
      </c>
      <c r="D103" s="348">
        <v>0</v>
      </c>
      <c r="E103" s="392">
        <v>7.6896000000000004</v>
      </c>
      <c r="F103" s="392">
        <f>SUM(C103:E103)</f>
        <v>39.245000000000005</v>
      </c>
      <c r="G103" s="392">
        <v>10.1386</v>
      </c>
      <c r="H103" s="392">
        <v>9.6000000000000002E-2</v>
      </c>
      <c r="I103" s="392">
        <f>SUM(F103:H103,B103)</f>
        <v>109.9631</v>
      </c>
      <c r="J103" s="392">
        <v>8.0000000000000002E-3</v>
      </c>
      <c r="K103" s="392">
        <v>15.939500000000001</v>
      </c>
      <c r="L103" s="404">
        <f>SUM(I103:K103)</f>
        <v>125.91059999999999</v>
      </c>
      <c r="M103" s="374"/>
    </row>
    <row r="104" spans="1:13" ht="12.75" hidden="1" customHeight="1">
      <c r="A104" s="384"/>
      <c r="B104" s="392"/>
      <c r="C104" s="392"/>
      <c r="D104" s="348"/>
      <c r="E104" s="392"/>
      <c r="F104" s="392"/>
      <c r="G104" s="392"/>
      <c r="H104" s="392"/>
      <c r="I104" s="392"/>
      <c r="J104" s="392"/>
      <c r="K104" s="392"/>
      <c r="L104" s="404"/>
      <c r="M104" s="374"/>
    </row>
    <row r="105" spans="1:13" ht="12.75" hidden="1" customHeight="1">
      <c r="A105" s="384" t="s">
        <v>14</v>
      </c>
      <c r="B105" s="392">
        <v>72.4499</v>
      </c>
      <c r="C105" s="392">
        <v>35.434100000000001</v>
      </c>
      <c r="D105" s="348">
        <v>0</v>
      </c>
      <c r="E105" s="392">
        <v>2.7078000000000002</v>
      </c>
      <c r="F105" s="392">
        <f>SUM(C105:E105)</f>
        <v>38.1419</v>
      </c>
      <c r="G105" s="392">
        <v>10.1919</v>
      </c>
      <c r="H105" s="392">
        <v>0.40560000000000002</v>
      </c>
      <c r="I105" s="392">
        <f>SUM(F105:H105,B105)</f>
        <v>121.1893</v>
      </c>
      <c r="J105" s="392">
        <v>8.0000000000000002E-3</v>
      </c>
      <c r="K105" s="392">
        <v>22.448799999999999</v>
      </c>
      <c r="L105" s="404">
        <f>SUM(I105:K105)</f>
        <v>143.64609999999999</v>
      </c>
      <c r="M105" s="374"/>
    </row>
    <row r="106" spans="1:13" ht="12.75" hidden="1" customHeight="1">
      <c r="A106" s="384"/>
      <c r="B106" s="392"/>
      <c r="C106" s="392"/>
      <c r="D106" s="348"/>
      <c r="E106" s="392"/>
      <c r="F106" s="392"/>
      <c r="G106" s="392"/>
      <c r="H106" s="392"/>
      <c r="I106" s="392"/>
      <c r="J106" s="392"/>
      <c r="K106" s="392"/>
      <c r="L106" s="404"/>
      <c r="M106" s="374"/>
    </row>
    <row r="107" spans="1:13" ht="12.75" hidden="1" customHeight="1">
      <c r="A107" s="384" t="s">
        <v>15</v>
      </c>
      <c r="B107" s="392">
        <v>89.286199999999994</v>
      </c>
      <c r="C107" s="392">
        <v>36.655199999999994</v>
      </c>
      <c r="D107" s="348">
        <v>0</v>
      </c>
      <c r="E107" s="392">
        <v>3.0038</v>
      </c>
      <c r="F107" s="392">
        <f>SUM(C107:E107)</f>
        <v>39.658999999999992</v>
      </c>
      <c r="G107" s="392">
        <v>10.506399999999999</v>
      </c>
      <c r="H107" s="392">
        <v>0.4103</v>
      </c>
      <c r="I107" s="392">
        <f>SUM(F107:H107,B107)</f>
        <v>139.86189999999999</v>
      </c>
      <c r="J107" s="392">
        <v>8.0000000000000002E-3</v>
      </c>
      <c r="K107" s="392">
        <v>22.448700000000002</v>
      </c>
      <c r="L107" s="404">
        <f>SUM(I107:K107)</f>
        <v>162.3186</v>
      </c>
      <c r="M107" s="374"/>
    </row>
    <row r="108" spans="1:13" ht="12.75" hidden="1" customHeight="1">
      <c r="A108" s="384"/>
      <c r="B108" s="392"/>
      <c r="C108" s="392"/>
      <c r="D108" s="348"/>
      <c r="E108" s="392"/>
      <c r="F108" s="392"/>
      <c r="G108" s="392"/>
      <c r="H108" s="392"/>
      <c r="I108" s="392"/>
      <c r="J108" s="392"/>
      <c r="K108" s="392"/>
      <c r="L108" s="404"/>
      <c r="M108" s="374"/>
    </row>
    <row r="109" spans="1:13" ht="12.75" hidden="1" customHeight="1">
      <c r="A109" s="384" t="s">
        <v>16</v>
      </c>
      <c r="B109" s="392">
        <v>95.823800000000006</v>
      </c>
      <c r="C109" s="392">
        <v>50.840300000000006</v>
      </c>
      <c r="D109" s="348">
        <v>0</v>
      </c>
      <c r="E109" s="392">
        <v>1.5832999999999999</v>
      </c>
      <c r="F109" s="392">
        <v>52423.6</v>
      </c>
      <c r="G109" s="392">
        <v>11.132400000000001</v>
      </c>
      <c r="H109" s="392">
        <v>0.16869999999999999</v>
      </c>
      <c r="I109" s="392">
        <v>159548.5</v>
      </c>
      <c r="J109" s="392">
        <v>8.0000000000000002E-3</v>
      </c>
      <c r="K109" s="392">
        <v>23.296700000000001</v>
      </c>
      <c r="L109" s="404">
        <f>SUM(I109:K109)</f>
        <v>159571.80470000001</v>
      </c>
      <c r="M109" s="374"/>
    </row>
    <row r="110" spans="1:13" ht="12.75" hidden="1" customHeight="1">
      <c r="A110" s="384"/>
      <c r="B110" s="392"/>
      <c r="C110" s="392"/>
      <c r="D110" s="348"/>
      <c r="E110" s="392"/>
      <c r="F110" s="392"/>
      <c r="G110" s="392"/>
      <c r="H110" s="392"/>
      <c r="I110" s="392"/>
      <c r="J110" s="392"/>
      <c r="K110" s="392"/>
      <c r="L110" s="404"/>
      <c r="M110" s="374"/>
    </row>
    <row r="111" spans="1:13" hidden="1">
      <c r="A111" s="408">
        <v>2003</v>
      </c>
      <c r="B111" s="392"/>
      <c r="C111" s="392"/>
      <c r="D111" s="348"/>
      <c r="E111" s="392"/>
      <c r="F111" s="392"/>
      <c r="G111" s="392"/>
      <c r="I111" s="392"/>
      <c r="J111" s="392"/>
      <c r="K111" s="392"/>
      <c r="L111" s="404"/>
      <c r="M111" s="374"/>
    </row>
    <row r="112" spans="1:13" ht="12.75" hidden="1" customHeight="1">
      <c r="A112" s="384"/>
      <c r="B112" s="392"/>
      <c r="C112" s="392"/>
      <c r="D112" s="348"/>
      <c r="E112" s="392"/>
      <c r="F112" s="392"/>
      <c r="G112" s="392"/>
      <c r="H112" s="392"/>
      <c r="I112" s="392"/>
      <c r="J112" s="392"/>
      <c r="K112" s="392"/>
      <c r="L112" s="404"/>
      <c r="M112" s="374"/>
    </row>
    <row r="113" spans="1:13" ht="12.75" hidden="1" customHeight="1">
      <c r="A113" s="384" t="s">
        <v>8</v>
      </c>
      <c r="B113" s="392">
        <v>96.147600000000011</v>
      </c>
      <c r="C113" s="392">
        <v>56.907300000000006</v>
      </c>
      <c r="D113" s="392">
        <v>0</v>
      </c>
      <c r="E113" s="392">
        <v>4.2264999999999997</v>
      </c>
      <c r="F113" s="392">
        <f>SUM(C113:E113)</f>
        <v>61.133800000000008</v>
      </c>
      <c r="G113" s="392">
        <v>48.760100000000001</v>
      </c>
      <c r="H113" s="392">
        <v>2.8999999999999998E-3</v>
      </c>
      <c r="I113" s="392">
        <f>SUM(F113:H113,B113)</f>
        <v>206.0444</v>
      </c>
      <c r="J113" s="392">
        <v>8.0000000000000002E-3</v>
      </c>
      <c r="K113" s="392">
        <v>-7.7376000000000005</v>
      </c>
      <c r="L113" s="404">
        <f>SUM(I113:K113)</f>
        <v>198.31479999999999</v>
      </c>
      <c r="M113" s="374"/>
    </row>
    <row r="114" spans="1:13" ht="12.75" hidden="1" customHeight="1">
      <c r="A114" s="384"/>
      <c r="B114" s="392"/>
      <c r="C114" s="392"/>
      <c r="D114" s="348"/>
      <c r="E114" s="392"/>
      <c r="F114" s="392"/>
      <c r="G114" s="392"/>
      <c r="H114" s="392"/>
      <c r="I114" s="392"/>
      <c r="J114" s="392"/>
      <c r="K114" s="392"/>
      <c r="L114" s="404"/>
      <c r="M114" s="374"/>
    </row>
    <row r="115" spans="1:13" ht="12.75" hidden="1" customHeight="1">
      <c r="A115" s="384" t="s">
        <v>9</v>
      </c>
      <c r="B115" s="392">
        <v>101.012</v>
      </c>
      <c r="C115" s="392">
        <v>69.917100000000005</v>
      </c>
      <c r="D115" s="392">
        <v>0</v>
      </c>
      <c r="E115" s="392">
        <v>4.6143999999999998</v>
      </c>
      <c r="F115" s="392">
        <f>SUM(C115:E115)</f>
        <v>74.531500000000008</v>
      </c>
      <c r="G115" s="392">
        <v>48.770499999999998</v>
      </c>
      <c r="H115" s="392">
        <v>0.50719999999999998</v>
      </c>
      <c r="I115" s="392">
        <f>SUM(F115:H115,B115)</f>
        <v>224.8212</v>
      </c>
      <c r="J115" s="392">
        <v>8.0000000000000002E-3</v>
      </c>
      <c r="K115" s="392">
        <v>-1.9312</v>
      </c>
      <c r="L115" s="404">
        <f>SUM(I115:K115)</f>
        <v>222.89800000000002</v>
      </c>
      <c r="M115" s="374"/>
    </row>
    <row r="116" spans="1:13" ht="12.75" hidden="1" customHeight="1">
      <c r="A116" s="384"/>
      <c r="B116" s="392"/>
      <c r="C116" s="392"/>
      <c r="D116" s="348"/>
      <c r="E116" s="392"/>
      <c r="F116" s="392"/>
      <c r="G116" s="392"/>
      <c r="H116" s="392"/>
      <c r="I116" s="392"/>
      <c r="J116" s="392"/>
      <c r="K116" s="392"/>
      <c r="L116" s="404"/>
      <c r="M116" s="374"/>
    </row>
    <row r="117" spans="1:13" ht="12.75" hidden="1" customHeight="1">
      <c r="A117" s="384" t="s">
        <v>10</v>
      </c>
      <c r="B117" s="392">
        <v>107.15</v>
      </c>
      <c r="C117" s="392">
        <v>82.08489999999999</v>
      </c>
      <c r="D117" s="392">
        <v>0</v>
      </c>
      <c r="E117" s="392">
        <v>4.5937000000000001</v>
      </c>
      <c r="F117" s="392">
        <v>86678.6</v>
      </c>
      <c r="G117" s="392">
        <v>59.375800000000005</v>
      </c>
      <c r="H117" s="392">
        <v>0.57740000000000002</v>
      </c>
      <c r="I117" s="392">
        <f>SUM(F117:H117,B117)</f>
        <v>86845.703199999989</v>
      </c>
      <c r="J117" s="392">
        <v>8.0000000000000002E-3</v>
      </c>
      <c r="K117" s="392">
        <v>22.6023</v>
      </c>
      <c r="L117" s="404">
        <f>SUM(I117:K117)</f>
        <v>86868.313499999989</v>
      </c>
      <c r="M117" s="374"/>
    </row>
    <row r="118" spans="1:13" ht="12.75" hidden="1" customHeight="1">
      <c r="A118" s="384"/>
      <c r="B118" s="392"/>
      <c r="C118" s="392"/>
      <c r="D118" s="348"/>
      <c r="E118" s="392"/>
      <c r="F118" s="392"/>
      <c r="G118" s="392"/>
      <c r="H118" s="392"/>
      <c r="I118" s="392"/>
      <c r="J118" s="392"/>
      <c r="K118" s="392"/>
      <c r="L118" s="404"/>
      <c r="M118" s="374"/>
    </row>
    <row r="119" spans="1:13" ht="12.75" hidden="1" customHeight="1">
      <c r="A119" s="384" t="s">
        <v>11</v>
      </c>
      <c r="B119" s="392">
        <v>121.5916</v>
      </c>
      <c r="C119" s="392">
        <v>70.565699999999993</v>
      </c>
      <c r="D119" s="392">
        <v>0</v>
      </c>
      <c r="E119" s="392">
        <v>5.6341000000000001</v>
      </c>
      <c r="F119" s="392">
        <v>76199.8</v>
      </c>
      <c r="G119" s="392">
        <v>201.33179999999999</v>
      </c>
      <c r="H119" s="392">
        <v>0.51719999999999999</v>
      </c>
      <c r="I119" s="392">
        <f>SUM(F119:H119,B119)</f>
        <v>76523.240600000005</v>
      </c>
      <c r="J119" s="392">
        <v>8.0000000000000002E-3</v>
      </c>
      <c r="K119" s="392">
        <v>38.724400000000003</v>
      </c>
      <c r="L119" s="404">
        <f>SUM(I119:K119)</f>
        <v>76561.973000000013</v>
      </c>
      <c r="M119" s="374"/>
    </row>
    <row r="120" spans="1:13" ht="12.75" hidden="1" customHeight="1">
      <c r="A120" s="384"/>
      <c r="B120" s="392"/>
      <c r="C120" s="392">
        <v>0</v>
      </c>
      <c r="D120" s="348"/>
      <c r="E120" s="392"/>
      <c r="F120" s="392"/>
      <c r="G120" s="392"/>
      <c r="H120" s="392"/>
      <c r="I120" s="392"/>
      <c r="J120" s="392"/>
      <c r="K120" s="392"/>
      <c r="L120" s="404"/>
      <c r="M120" s="374"/>
    </row>
    <row r="121" spans="1:13" ht="12.75" hidden="1" customHeight="1">
      <c r="A121" s="384" t="s">
        <v>337</v>
      </c>
      <c r="B121" s="392">
        <v>137.72529999999998</v>
      </c>
      <c r="C121" s="392">
        <v>89.864100000000008</v>
      </c>
      <c r="D121" s="392">
        <v>0</v>
      </c>
      <c r="E121" s="392">
        <v>5.8263999999999996</v>
      </c>
      <c r="F121" s="392">
        <v>95690.5</v>
      </c>
      <c r="G121" s="392">
        <v>183.8818</v>
      </c>
      <c r="H121" s="392">
        <v>1.6531</v>
      </c>
      <c r="I121" s="392">
        <f>SUM(F121:H121,B121)</f>
        <v>96013.760200000004</v>
      </c>
      <c r="J121" s="392">
        <v>8.0000000000000002E-3</v>
      </c>
      <c r="K121" s="392">
        <v>96.194800000000001</v>
      </c>
      <c r="L121" s="404">
        <f>SUM(I121:K121)</f>
        <v>96109.963000000003</v>
      </c>
      <c r="M121" s="374"/>
    </row>
    <row r="122" spans="1:13" ht="12.75" hidden="1" customHeight="1">
      <c r="A122" s="384"/>
      <c r="B122" s="392"/>
      <c r="C122" s="392"/>
      <c r="D122" s="348"/>
      <c r="E122" s="392"/>
      <c r="F122" s="392"/>
      <c r="G122" s="392"/>
      <c r="H122" s="392"/>
      <c r="I122" s="389"/>
      <c r="J122" s="392"/>
      <c r="K122" s="392"/>
      <c r="L122" s="404"/>
      <c r="M122" s="374"/>
    </row>
    <row r="123" spans="1:13" ht="12.75" hidden="1" customHeight="1">
      <c r="A123" s="384" t="s">
        <v>346</v>
      </c>
      <c r="B123" s="392">
        <v>149.68970000000002</v>
      </c>
      <c r="C123" s="392">
        <v>1076.9395</v>
      </c>
      <c r="D123" s="392">
        <v>0</v>
      </c>
      <c r="E123" s="392">
        <v>4.4136999999999995</v>
      </c>
      <c r="F123" s="392">
        <v>112053.2</v>
      </c>
      <c r="G123" s="392">
        <v>178.53790000000001</v>
      </c>
      <c r="H123" s="392">
        <v>3.1300000000000001E-2</v>
      </c>
      <c r="I123" s="392">
        <f>SUM(F123:H123,B123)</f>
        <v>112381.4589</v>
      </c>
      <c r="J123" s="392">
        <v>8.0000000000000002E-3</v>
      </c>
      <c r="K123" s="392">
        <v>128.8528</v>
      </c>
      <c r="L123" s="404">
        <f>SUM(I123:K123)</f>
        <v>112510.31969999999</v>
      </c>
      <c r="M123" s="374"/>
    </row>
    <row r="124" spans="1:13" ht="12.75" hidden="1" customHeight="1">
      <c r="A124" s="384"/>
      <c r="B124" s="392"/>
      <c r="C124" s="392"/>
      <c r="D124" s="348"/>
      <c r="E124" s="392"/>
      <c r="F124" s="392"/>
      <c r="G124" s="392"/>
      <c r="H124" s="392"/>
      <c r="I124" s="392"/>
      <c r="J124" s="392"/>
      <c r="K124" s="392"/>
      <c r="L124" s="404"/>
      <c r="M124" s="374"/>
    </row>
    <row r="125" spans="1:13" ht="12.75" hidden="1" customHeight="1">
      <c r="A125" s="408">
        <v>2003</v>
      </c>
      <c r="B125" s="392"/>
      <c r="C125" s="392"/>
      <c r="D125" s="348"/>
      <c r="E125" s="392"/>
      <c r="F125" s="392"/>
      <c r="G125" s="392"/>
      <c r="H125" s="392"/>
      <c r="I125" s="392"/>
      <c r="J125" s="392"/>
      <c r="K125" s="392"/>
      <c r="L125" s="404"/>
      <c r="M125" s="374"/>
    </row>
    <row r="126" spans="1:13" ht="12.75" hidden="1" customHeight="1">
      <c r="A126" s="384"/>
      <c r="B126" s="392"/>
      <c r="C126" s="392">
        <v>0</v>
      </c>
      <c r="D126" s="348"/>
      <c r="E126" s="392"/>
      <c r="F126" s="392"/>
      <c r="G126" s="392"/>
      <c r="H126" s="392"/>
      <c r="I126" s="392"/>
      <c r="J126" s="392"/>
      <c r="K126" s="392"/>
      <c r="L126" s="404"/>
      <c r="M126" s="374"/>
    </row>
    <row r="127" spans="1:13" hidden="1">
      <c r="A127" s="384" t="s">
        <v>347</v>
      </c>
      <c r="B127" s="392">
        <v>163.92229999999998</v>
      </c>
      <c r="C127" s="392">
        <v>101.7878</v>
      </c>
      <c r="D127" s="392">
        <v>0</v>
      </c>
      <c r="E127" s="392">
        <v>4.9948999999999995</v>
      </c>
      <c r="F127" s="392">
        <v>106782.7</v>
      </c>
      <c r="G127" s="392">
        <v>199.28320000000002</v>
      </c>
      <c r="H127" s="392">
        <v>2.1100000000000001E-2</v>
      </c>
      <c r="I127" s="392">
        <f>SUM(F127:H127,B127)</f>
        <v>107145.92660000001</v>
      </c>
      <c r="J127" s="392">
        <v>8.0000000000000002E-3</v>
      </c>
      <c r="K127" s="392">
        <v>111.0107</v>
      </c>
      <c r="L127" s="404">
        <f>SUM(I127:K127)</f>
        <v>107256.94530000001</v>
      </c>
      <c r="M127" s="374"/>
    </row>
    <row r="128" spans="1:13" hidden="1">
      <c r="A128" s="384"/>
      <c r="B128" s="392"/>
      <c r="C128" s="392"/>
      <c r="D128" s="348"/>
      <c r="E128" s="392"/>
      <c r="F128" s="392"/>
      <c r="G128" s="392"/>
      <c r="H128" s="392"/>
      <c r="I128" s="392"/>
      <c r="J128" s="392">
        <v>0</v>
      </c>
      <c r="K128" s="392">
        <v>0</v>
      </c>
      <c r="L128" s="404"/>
      <c r="M128" s="374"/>
    </row>
    <row r="129" spans="1:13" hidden="1">
      <c r="A129" s="384" t="s">
        <v>12</v>
      </c>
      <c r="B129" s="392">
        <v>189.154</v>
      </c>
      <c r="C129" s="392">
        <v>156.7466</v>
      </c>
      <c r="D129" s="392">
        <v>0</v>
      </c>
      <c r="E129" s="392">
        <v>5.8353999999999999</v>
      </c>
      <c r="F129" s="392">
        <v>162582</v>
      </c>
      <c r="G129" s="392">
        <v>200.8408</v>
      </c>
      <c r="H129" s="392">
        <v>2.9100000000000001E-2</v>
      </c>
      <c r="I129" s="392">
        <f>SUM(F129:H129,B129)</f>
        <v>162972.02390000003</v>
      </c>
      <c r="J129" s="392">
        <v>8.0000000000000002E-3</v>
      </c>
      <c r="K129" s="392">
        <v>105.3918</v>
      </c>
      <c r="L129" s="404">
        <f>SUM(I129:K129)</f>
        <v>163077.42370000004</v>
      </c>
      <c r="M129" s="374"/>
    </row>
    <row r="130" spans="1:13" hidden="1">
      <c r="A130" s="384"/>
      <c r="B130" s="392"/>
      <c r="C130" s="392"/>
      <c r="D130" s="348"/>
      <c r="E130" s="392"/>
      <c r="F130" s="392"/>
      <c r="G130" s="392"/>
      <c r="H130" s="392"/>
      <c r="I130" s="392"/>
      <c r="J130" s="392"/>
      <c r="K130" s="392"/>
      <c r="L130" s="404"/>
      <c r="M130" s="374"/>
    </row>
    <row r="131" spans="1:13" hidden="1">
      <c r="A131" s="384" t="s">
        <v>13</v>
      </c>
      <c r="B131" s="392">
        <v>277.07890000000003</v>
      </c>
      <c r="C131" s="392">
        <v>174.2955</v>
      </c>
      <c r="D131" s="392">
        <v>0</v>
      </c>
      <c r="E131" s="392">
        <v>4.2237999999999998</v>
      </c>
      <c r="F131" s="392">
        <v>178519.3</v>
      </c>
      <c r="G131" s="392">
        <v>211.01839999999999</v>
      </c>
      <c r="H131" s="392">
        <v>3.1199999999999999E-2</v>
      </c>
      <c r="I131" s="392">
        <f>SUM(F131:H131,B131)</f>
        <v>179007.42849999998</v>
      </c>
      <c r="J131" s="392">
        <v>8.0000000000000002E-3</v>
      </c>
      <c r="K131" s="392">
        <v>143.06909999999999</v>
      </c>
      <c r="L131" s="404">
        <f>SUM(I131:K131)</f>
        <v>179150.50559999997</v>
      </c>
      <c r="M131" s="374"/>
    </row>
    <row r="132" spans="1:13" hidden="1">
      <c r="A132" s="384"/>
      <c r="B132" s="392"/>
      <c r="C132" s="392"/>
      <c r="D132" s="348"/>
      <c r="E132" s="392"/>
      <c r="F132" s="392"/>
      <c r="G132" s="392"/>
      <c r="H132" s="392"/>
      <c r="I132" s="392"/>
      <c r="J132" s="392"/>
      <c r="K132" s="392"/>
      <c r="L132" s="404"/>
      <c r="M132" s="374"/>
    </row>
    <row r="133" spans="1:13" hidden="1">
      <c r="A133" s="384" t="s">
        <v>14</v>
      </c>
      <c r="B133" s="392">
        <v>388.87620000000004</v>
      </c>
      <c r="C133" s="392">
        <v>195.38910000000001</v>
      </c>
      <c r="D133" s="392">
        <v>0</v>
      </c>
      <c r="E133" s="392">
        <v>4.6243999999999996</v>
      </c>
      <c r="F133" s="392">
        <v>200013.5</v>
      </c>
      <c r="G133" s="392">
        <v>235.59789999999998</v>
      </c>
      <c r="H133" s="392">
        <v>3.8600000000000002E-2</v>
      </c>
      <c r="I133" s="392">
        <v>824526.2</v>
      </c>
      <c r="J133" s="392">
        <v>8.0000000000000002E-3</v>
      </c>
      <c r="K133" s="392">
        <v>134.19129999999998</v>
      </c>
      <c r="L133" s="404">
        <f>SUM(I133:K133)</f>
        <v>824660.39929999993</v>
      </c>
      <c r="M133" s="374"/>
    </row>
    <row r="134" spans="1:13" hidden="1">
      <c r="A134" s="384"/>
      <c r="B134" s="392"/>
      <c r="C134" s="392"/>
      <c r="D134" s="348"/>
      <c r="E134" s="392"/>
      <c r="F134" s="392"/>
      <c r="G134" s="392"/>
      <c r="H134" s="392"/>
      <c r="I134" s="392"/>
      <c r="J134" s="392"/>
      <c r="K134" s="392"/>
      <c r="L134" s="404"/>
      <c r="M134" s="374"/>
    </row>
    <row r="135" spans="1:13" hidden="1">
      <c r="A135" s="384" t="s">
        <v>15</v>
      </c>
      <c r="B135" s="392">
        <v>541.35350000000005</v>
      </c>
      <c r="C135" s="392">
        <v>169.78270000000001</v>
      </c>
      <c r="D135" s="392">
        <v>0</v>
      </c>
      <c r="E135" s="392">
        <v>6.5423</v>
      </c>
      <c r="F135" s="392">
        <v>176325</v>
      </c>
      <c r="G135" s="392">
        <v>328.13819999999998</v>
      </c>
      <c r="H135" s="392">
        <v>0.4103</v>
      </c>
      <c r="I135" s="392">
        <v>1046227</v>
      </c>
      <c r="J135" s="392">
        <v>8.0000000000000002E-3</v>
      </c>
      <c r="K135" s="392">
        <v>125.5797</v>
      </c>
      <c r="L135" s="404">
        <f>SUM(I135:K135)</f>
        <v>1046352.5877</v>
      </c>
      <c r="M135" s="374"/>
    </row>
    <row r="136" spans="1:13" hidden="1">
      <c r="A136" s="384"/>
      <c r="B136" s="392"/>
      <c r="C136" s="392"/>
      <c r="D136" s="348"/>
      <c r="E136" s="392"/>
      <c r="F136" s="392"/>
      <c r="G136" s="392"/>
      <c r="H136" s="392"/>
      <c r="I136" s="392"/>
      <c r="J136" s="392"/>
      <c r="K136" s="392"/>
      <c r="L136" s="404"/>
      <c r="M136" s="374"/>
    </row>
    <row r="137" spans="1:13" hidden="1">
      <c r="A137" s="384" t="s">
        <v>16</v>
      </c>
      <c r="B137" s="392">
        <v>538.56080000000009</v>
      </c>
      <c r="C137" s="392">
        <v>186.4462</v>
      </c>
      <c r="D137" s="392">
        <v>0</v>
      </c>
      <c r="E137" s="392">
        <v>8.5416000000000007</v>
      </c>
      <c r="F137" s="392">
        <v>194987.8</v>
      </c>
      <c r="G137" s="392">
        <v>241.27289999999999</v>
      </c>
      <c r="H137" s="392">
        <v>4.24E-2</v>
      </c>
      <c r="I137" s="392">
        <v>974863.9</v>
      </c>
      <c r="J137" s="392">
        <v>8.0000000000000002E-3</v>
      </c>
      <c r="K137" s="392">
        <v>216.85900000000001</v>
      </c>
      <c r="L137" s="404">
        <f>SUM(I137:K137)</f>
        <v>975080.76700000011</v>
      </c>
      <c r="M137" s="374"/>
    </row>
    <row r="138" spans="1:13" hidden="1">
      <c r="A138" s="384"/>
      <c r="B138" s="392"/>
      <c r="C138" s="392"/>
      <c r="D138" s="392">
        <v>0</v>
      </c>
      <c r="E138" s="392"/>
      <c r="F138" s="392"/>
      <c r="G138" s="392"/>
      <c r="H138" s="392"/>
      <c r="I138" s="392"/>
      <c r="J138" s="392"/>
      <c r="K138" s="392"/>
      <c r="L138" s="404"/>
      <c r="M138" s="374"/>
    </row>
    <row r="139" spans="1:13" hidden="1">
      <c r="A139" s="408">
        <v>2004</v>
      </c>
      <c r="B139" s="392"/>
      <c r="C139" s="392"/>
      <c r="D139" s="348"/>
      <c r="E139" s="392"/>
      <c r="F139" s="392"/>
      <c r="G139" s="392"/>
      <c r="H139" s="392"/>
      <c r="I139" s="392"/>
      <c r="J139" s="392"/>
      <c r="K139" s="392"/>
      <c r="L139" s="404"/>
      <c r="M139" s="374"/>
    </row>
    <row r="140" spans="1:13" hidden="1">
      <c r="A140" s="384"/>
      <c r="B140" s="392"/>
      <c r="C140" s="392"/>
      <c r="D140" s="348"/>
      <c r="E140" s="392"/>
      <c r="F140" s="392"/>
      <c r="G140" s="392"/>
      <c r="H140" s="392"/>
      <c r="I140" s="392"/>
      <c r="J140" s="392"/>
      <c r="K140" s="392"/>
      <c r="L140" s="404"/>
      <c r="M140" s="374"/>
    </row>
    <row r="141" spans="1:13" hidden="1">
      <c r="A141" s="384" t="s">
        <v>8</v>
      </c>
      <c r="B141" s="392">
        <v>557.67619999999999</v>
      </c>
      <c r="C141" s="392">
        <v>424.4461</v>
      </c>
      <c r="D141" s="392">
        <v>0</v>
      </c>
      <c r="E141" s="392">
        <v>5.1916000000000002</v>
      </c>
      <c r="F141" s="392">
        <v>429637.7</v>
      </c>
      <c r="G141" s="392">
        <v>247.1609</v>
      </c>
      <c r="H141" s="392">
        <v>2.8999999999999998E-3</v>
      </c>
      <c r="I141" s="392">
        <v>1234477.7</v>
      </c>
      <c r="J141" s="392">
        <v>-9.5400000000000013E-2</v>
      </c>
      <c r="K141" s="392">
        <v>806.55230000000006</v>
      </c>
      <c r="L141" s="404">
        <f>SUM(I141:K141)</f>
        <v>1235284.1569000001</v>
      </c>
      <c r="M141" s="374"/>
    </row>
    <row r="142" spans="1:13" hidden="1">
      <c r="A142" s="384"/>
      <c r="B142" s="392"/>
      <c r="C142" s="392"/>
      <c r="D142" s="348"/>
      <c r="E142" s="392"/>
      <c r="F142" s="392"/>
      <c r="G142" s="392"/>
      <c r="H142" s="392"/>
      <c r="I142" s="392"/>
      <c r="J142" s="392"/>
      <c r="K142" s="392"/>
      <c r="L142" s="404"/>
      <c r="M142" s="374"/>
    </row>
    <row r="143" spans="1:13" hidden="1">
      <c r="A143" s="384" t="s">
        <v>9</v>
      </c>
      <c r="B143" s="392">
        <v>608.77260000000001</v>
      </c>
      <c r="C143" s="392">
        <v>304.20100000000002</v>
      </c>
      <c r="D143" s="392">
        <v>0</v>
      </c>
      <c r="E143" s="392">
        <v>3.4276999999999997</v>
      </c>
      <c r="F143" s="392">
        <v>307628.7</v>
      </c>
      <c r="G143" s="392">
        <v>879.54869999999994</v>
      </c>
      <c r="H143" s="392">
        <v>0.50719999999999998</v>
      </c>
      <c r="I143" s="392">
        <v>1796457.2</v>
      </c>
      <c r="J143" s="392">
        <v>8.0000000000000002E-3</v>
      </c>
      <c r="K143" s="392">
        <v>1050.5146000000002</v>
      </c>
      <c r="L143" s="404">
        <f>SUM(I143:K143)</f>
        <v>1797507.7226</v>
      </c>
      <c r="M143" s="374"/>
    </row>
    <row r="144" spans="1:13" hidden="1">
      <c r="A144" s="384"/>
      <c r="B144" s="392"/>
      <c r="C144" s="392"/>
      <c r="D144" s="348"/>
      <c r="E144" s="392"/>
      <c r="F144" s="392"/>
      <c r="G144" s="392"/>
      <c r="H144" s="392"/>
      <c r="I144" s="392"/>
      <c r="J144" s="392"/>
      <c r="K144" s="392"/>
      <c r="L144" s="404"/>
      <c r="M144" s="374"/>
    </row>
    <row r="145" spans="1:13" hidden="1">
      <c r="A145" s="384" t="s">
        <v>10</v>
      </c>
      <c r="B145" s="392">
        <v>661.47259999999994</v>
      </c>
      <c r="C145" s="392">
        <v>373.69819999999999</v>
      </c>
      <c r="D145" s="392">
        <v>0</v>
      </c>
      <c r="E145" s="392">
        <v>22.316599999999998</v>
      </c>
      <c r="F145" s="392">
        <v>396014.8</v>
      </c>
      <c r="G145" s="392">
        <v>1087.4870000000001</v>
      </c>
      <c r="H145" s="392">
        <v>0.57740000000000002</v>
      </c>
      <c r="I145" s="392">
        <v>2145551.7999999998</v>
      </c>
      <c r="J145" s="392">
        <v>8.0000000000000002E-3</v>
      </c>
      <c r="K145" s="392">
        <v>1829.0493999999999</v>
      </c>
      <c r="L145" s="404">
        <f>SUM(I145:K145)</f>
        <v>2147380.8573999996</v>
      </c>
      <c r="M145" s="374"/>
    </row>
    <row r="146" spans="1:13" hidden="1">
      <c r="A146" s="384"/>
      <c r="B146" s="392"/>
      <c r="C146" s="392"/>
      <c r="D146" s="348"/>
      <c r="E146" s="392"/>
      <c r="F146" s="392"/>
      <c r="G146" s="392"/>
      <c r="H146" s="392"/>
      <c r="I146" s="392"/>
      <c r="J146" s="392"/>
      <c r="K146" s="392"/>
      <c r="L146" s="404"/>
      <c r="M146" s="374"/>
    </row>
    <row r="147" spans="1:13" hidden="1">
      <c r="A147" s="384" t="s">
        <v>11</v>
      </c>
      <c r="B147" s="392">
        <v>778.67059999999992</v>
      </c>
      <c r="C147" s="392">
        <v>1059.9114</v>
      </c>
      <c r="D147" s="392">
        <v>0</v>
      </c>
      <c r="E147" s="392">
        <v>28.541799999999999</v>
      </c>
      <c r="F147" s="392">
        <v>1088453.2</v>
      </c>
      <c r="G147" s="392">
        <v>1239.2411999999999</v>
      </c>
      <c r="H147" s="392">
        <v>14.2059</v>
      </c>
      <c r="I147" s="392">
        <f>SUM(F147:H147,B147)</f>
        <v>1090485.3177</v>
      </c>
      <c r="J147" s="392">
        <v>8.0000000000000002E-3</v>
      </c>
      <c r="K147" s="392">
        <v>2140.9639999999999</v>
      </c>
      <c r="L147" s="404">
        <f>SUM(I147:K147)</f>
        <v>1092626.2896999998</v>
      </c>
      <c r="M147" s="374"/>
    </row>
    <row r="148" spans="1:13" hidden="1">
      <c r="A148" s="384"/>
      <c r="B148" s="392"/>
      <c r="C148" s="392"/>
      <c r="D148" s="348"/>
      <c r="E148" s="392"/>
      <c r="F148" s="392"/>
      <c r="G148" s="392"/>
      <c r="H148" s="392"/>
      <c r="I148" s="392"/>
      <c r="J148" s="392"/>
      <c r="K148" s="392"/>
      <c r="L148" s="404"/>
      <c r="M148" s="374"/>
    </row>
    <row r="149" spans="1:13" hidden="1">
      <c r="A149" s="384" t="s">
        <v>337</v>
      </c>
      <c r="B149" s="392">
        <v>970.88260000000002</v>
      </c>
      <c r="C149" s="392">
        <v>1293.2758999999999</v>
      </c>
      <c r="D149" s="392">
        <v>0</v>
      </c>
      <c r="E149" s="392">
        <v>12.0039</v>
      </c>
      <c r="F149" s="392">
        <v>1305279.8</v>
      </c>
      <c r="G149" s="392">
        <v>1346.3733999999999</v>
      </c>
      <c r="H149" s="392">
        <v>27.194500000000001</v>
      </c>
      <c r="I149" s="392">
        <f>SUM(F149:H149,B149)</f>
        <v>1307624.2504999998</v>
      </c>
      <c r="J149" s="392">
        <v>8.0000000000000002E-3</v>
      </c>
      <c r="K149" s="392">
        <v>2041.9486000000002</v>
      </c>
      <c r="L149" s="404">
        <f>SUM(I149:K149)</f>
        <v>1309666.2070999998</v>
      </c>
      <c r="M149" s="374"/>
    </row>
    <row r="150" spans="1:13" hidden="1">
      <c r="A150" s="384"/>
      <c r="B150" s="392"/>
      <c r="C150" s="392"/>
      <c r="D150" s="348"/>
      <c r="E150" s="392"/>
      <c r="F150" s="392"/>
      <c r="G150" s="392"/>
      <c r="H150" s="392"/>
      <c r="I150" s="392"/>
      <c r="J150" s="392"/>
      <c r="K150" s="392"/>
      <c r="L150" s="404"/>
      <c r="M150" s="374"/>
    </row>
    <row r="151" spans="1:13" hidden="1">
      <c r="A151" s="384" t="s">
        <v>346</v>
      </c>
      <c r="B151" s="392">
        <v>1133.3967</v>
      </c>
      <c r="C151" s="392">
        <v>1338.9278999999999</v>
      </c>
      <c r="D151" s="392">
        <v>0</v>
      </c>
      <c r="E151" s="392">
        <v>14.884799999999998</v>
      </c>
      <c r="F151" s="392">
        <v>1353812.7</v>
      </c>
      <c r="G151" s="392">
        <v>1.6062043999999998</v>
      </c>
      <c r="H151" s="392">
        <v>15.3773</v>
      </c>
      <c r="I151" s="392">
        <f>SUM(F151:H151,B151)</f>
        <v>1354963.0802044</v>
      </c>
      <c r="J151" s="392">
        <v>8.0000000000000002E-3</v>
      </c>
      <c r="K151" s="392">
        <v>4057.6602000000003</v>
      </c>
      <c r="L151" s="404">
        <f>SUM(I151:K151)</f>
        <v>1359020.7484044</v>
      </c>
      <c r="M151" s="374"/>
    </row>
    <row r="152" spans="1:13" hidden="1">
      <c r="A152" s="384"/>
      <c r="B152" s="392"/>
      <c r="C152" s="392"/>
      <c r="D152" s="348"/>
      <c r="E152" s="392"/>
      <c r="F152" s="392"/>
      <c r="G152" s="392"/>
      <c r="H152" s="392"/>
      <c r="I152" s="392"/>
      <c r="J152" s="392"/>
      <c r="K152" s="392"/>
      <c r="L152" s="404"/>
      <c r="M152" s="374"/>
    </row>
    <row r="153" spans="1:13" hidden="1">
      <c r="A153" s="384" t="s">
        <v>347</v>
      </c>
      <c r="B153" s="392">
        <v>1269.2045000000001</v>
      </c>
      <c r="C153" s="392">
        <v>270.95949999999999</v>
      </c>
      <c r="D153" s="392">
        <v>0</v>
      </c>
      <c r="E153" s="392">
        <v>7.5013000000000005</v>
      </c>
      <c r="F153" s="392">
        <v>278460.79999999999</v>
      </c>
      <c r="G153" s="392">
        <v>1545.8563999999999</v>
      </c>
      <c r="H153" s="392">
        <v>16.403700000000001</v>
      </c>
      <c r="I153" s="392">
        <f>SUM(F153:H153,B153)</f>
        <v>281292.26459999999</v>
      </c>
      <c r="J153" s="392">
        <v>8.0000000000000002E-3</v>
      </c>
      <c r="K153" s="392">
        <v>2716.1950000000002</v>
      </c>
      <c r="L153" s="404">
        <f>SUM(I153:K153)</f>
        <v>284008.46759999997</v>
      </c>
      <c r="M153" s="374"/>
    </row>
    <row r="154" spans="1:13" hidden="1">
      <c r="A154" s="384"/>
      <c r="B154" s="392"/>
      <c r="C154" s="392"/>
      <c r="D154" s="348"/>
      <c r="E154" s="392"/>
      <c r="F154" s="392"/>
      <c r="G154" s="392"/>
      <c r="H154" s="392"/>
      <c r="I154" s="392"/>
      <c r="J154" s="392"/>
      <c r="K154" s="392"/>
      <c r="L154" s="404"/>
      <c r="M154" s="374"/>
    </row>
    <row r="155" spans="1:13" hidden="1">
      <c r="A155" s="384" t="s">
        <v>12</v>
      </c>
      <c r="B155" s="392">
        <v>1310.6653000000001</v>
      </c>
      <c r="C155" s="392">
        <v>941.10850000000005</v>
      </c>
      <c r="D155" s="392">
        <v>0</v>
      </c>
      <c r="E155" s="392">
        <v>0.31360000000000005</v>
      </c>
      <c r="F155" s="392">
        <v>941422.1</v>
      </c>
      <c r="G155" s="392">
        <v>1707.8023000000001</v>
      </c>
      <c r="H155" s="392">
        <v>17.575900000000001</v>
      </c>
      <c r="I155" s="392">
        <f>SUM(F155:H155,B155)</f>
        <v>944458.14350000001</v>
      </c>
      <c r="J155" s="392">
        <v>8.0000000000000002E-3</v>
      </c>
      <c r="K155" s="392">
        <v>3032.5704000000001</v>
      </c>
      <c r="L155" s="404">
        <f>SUM(I155:K155)</f>
        <v>947490.7219</v>
      </c>
      <c r="M155" s="374"/>
    </row>
    <row r="156" spans="1:13" hidden="1">
      <c r="A156" s="384"/>
      <c r="B156" s="392"/>
      <c r="C156" s="392"/>
      <c r="D156" s="348"/>
      <c r="E156" s="392"/>
      <c r="F156" s="392"/>
      <c r="G156" s="392"/>
      <c r="H156" s="392"/>
      <c r="I156" s="392"/>
      <c r="J156" s="392"/>
      <c r="K156" s="392"/>
      <c r="L156" s="404"/>
      <c r="M156" s="374"/>
    </row>
    <row r="157" spans="1:13" hidden="1">
      <c r="A157" s="384" t="s">
        <v>13</v>
      </c>
      <c r="B157" s="392">
        <v>1378.3018999999999</v>
      </c>
      <c r="C157" s="392">
        <v>825.53980000000001</v>
      </c>
      <c r="D157" s="392">
        <v>0</v>
      </c>
      <c r="E157" s="392">
        <v>56.555300000000003</v>
      </c>
      <c r="F157" s="392">
        <v>882095.1</v>
      </c>
      <c r="G157" s="392">
        <v>1603.1873000000001</v>
      </c>
      <c r="H157" s="392">
        <v>0</v>
      </c>
      <c r="I157" s="392">
        <f>SUM(F157:H157,B157)</f>
        <v>885076.58919999993</v>
      </c>
      <c r="J157" s="392">
        <v>8.0000000000000002E-3</v>
      </c>
      <c r="K157" s="392">
        <v>3735.5666000000001</v>
      </c>
      <c r="L157" s="404">
        <f>SUM(I157:K157)</f>
        <v>888812.16379999998</v>
      </c>
      <c r="M157" s="374"/>
    </row>
    <row r="158" spans="1:13" hidden="1">
      <c r="A158" s="384"/>
      <c r="B158" s="392"/>
      <c r="C158" s="392"/>
      <c r="D158" s="348"/>
      <c r="E158" s="392"/>
      <c r="F158" s="392"/>
      <c r="G158" s="392"/>
      <c r="H158" s="392"/>
      <c r="I158" s="392"/>
      <c r="J158" s="392"/>
      <c r="K158" s="392"/>
      <c r="L158" s="404"/>
      <c r="M158" s="374"/>
    </row>
    <row r="159" spans="1:13" hidden="1">
      <c r="A159" s="384" t="s">
        <v>14</v>
      </c>
      <c r="B159" s="392">
        <v>1448.1588999999999</v>
      </c>
      <c r="C159" s="392">
        <v>189.82839999999999</v>
      </c>
      <c r="D159" s="392">
        <v>0</v>
      </c>
      <c r="E159" s="392">
        <v>67.779800000000009</v>
      </c>
      <c r="F159" s="392">
        <f>+E159+C159</f>
        <v>257.60820000000001</v>
      </c>
      <c r="G159" s="392">
        <v>1459.1268</v>
      </c>
      <c r="H159" s="392">
        <v>0</v>
      </c>
      <c r="I159" s="392">
        <f>SUM(F159:H159,B159)</f>
        <v>3164.8939</v>
      </c>
      <c r="J159" s="392">
        <v>8.0000000000000002E-3</v>
      </c>
      <c r="K159" s="392">
        <v>4598.7089999999998</v>
      </c>
      <c r="L159" s="404">
        <f>SUM(I159:K159)</f>
        <v>7763.6108999999997</v>
      </c>
      <c r="M159" s="374"/>
    </row>
    <row r="160" spans="1:13" hidden="1">
      <c r="A160" s="384"/>
      <c r="B160" s="392"/>
      <c r="C160" s="392"/>
      <c r="D160" s="348"/>
      <c r="E160" s="392"/>
      <c r="F160" s="392"/>
      <c r="G160" s="392"/>
      <c r="H160" s="392"/>
      <c r="I160" s="392"/>
      <c r="J160" s="392"/>
      <c r="K160" s="392"/>
      <c r="L160" s="404"/>
      <c r="M160" s="374"/>
    </row>
    <row r="161" spans="1:13" hidden="1">
      <c r="A161" s="384" t="s">
        <v>15</v>
      </c>
      <c r="B161" s="392">
        <v>1648.0243</v>
      </c>
      <c r="C161" s="392">
        <v>450.3433</v>
      </c>
      <c r="D161" s="392">
        <v>0</v>
      </c>
      <c r="E161" s="392">
        <v>62.014499999999998</v>
      </c>
      <c r="F161" s="392">
        <f>+E161+C161</f>
        <v>512.3578</v>
      </c>
      <c r="G161" s="392">
        <v>1966.9741999999999</v>
      </c>
      <c r="H161" s="392">
        <v>0</v>
      </c>
      <c r="I161" s="392">
        <f>SUM(F161:H161,B161)</f>
        <v>4127.3562999999995</v>
      </c>
      <c r="J161" s="392">
        <v>8.0000000000000002E-3</v>
      </c>
      <c r="K161" s="392">
        <v>6446.7156999999997</v>
      </c>
      <c r="L161" s="404">
        <f>SUM(I161:K161)</f>
        <v>10574.079999999998</v>
      </c>
      <c r="M161" s="374"/>
    </row>
    <row r="162" spans="1:13" hidden="1">
      <c r="A162" s="384"/>
      <c r="B162" s="392"/>
      <c r="C162" s="392"/>
      <c r="D162" s="348"/>
      <c r="E162" s="392"/>
      <c r="F162" s="392"/>
      <c r="G162" s="392"/>
      <c r="H162" s="392"/>
      <c r="I162" s="392"/>
      <c r="J162" s="392"/>
      <c r="K162" s="392"/>
      <c r="L162" s="404"/>
      <c r="M162" s="374"/>
    </row>
    <row r="163" spans="1:13" hidden="1">
      <c r="A163" s="384" t="s">
        <v>16</v>
      </c>
      <c r="B163" s="392">
        <v>1889.3596</v>
      </c>
      <c r="C163" s="392">
        <v>387.6096</v>
      </c>
      <c r="D163" s="392">
        <v>0</v>
      </c>
      <c r="E163" s="392">
        <v>52.5488</v>
      </c>
      <c r="F163" s="392">
        <f>+E163+C163</f>
        <v>440.15840000000003</v>
      </c>
      <c r="G163" s="392">
        <v>2356.5652999999998</v>
      </c>
      <c r="H163" s="392">
        <v>0</v>
      </c>
      <c r="I163" s="392">
        <f>SUM(F163:H163,B163)</f>
        <v>4686.0832999999993</v>
      </c>
      <c r="J163" s="392">
        <v>8.0000000000000002E-3</v>
      </c>
      <c r="K163" s="392">
        <v>6967.1181999999999</v>
      </c>
      <c r="L163" s="404">
        <f>SUM(I163:K163)</f>
        <v>11653.209499999999</v>
      </c>
      <c r="M163" s="374"/>
    </row>
    <row r="164" spans="1:13" hidden="1">
      <c r="A164" s="384"/>
      <c r="B164" s="392"/>
      <c r="C164" s="392"/>
      <c r="D164" s="348"/>
      <c r="E164" s="392"/>
      <c r="F164" s="392"/>
      <c r="G164" s="392"/>
      <c r="H164" s="392"/>
      <c r="I164" s="392"/>
      <c r="J164" s="392"/>
      <c r="K164" s="392"/>
      <c r="L164" s="404"/>
      <c r="M164" s="374"/>
    </row>
    <row r="165" spans="1:13" hidden="1">
      <c r="A165" s="408">
        <v>2005</v>
      </c>
      <c r="B165" s="392"/>
      <c r="C165" s="392"/>
      <c r="D165" s="348"/>
      <c r="E165" s="392"/>
      <c r="F165" s="392"/>
      <c r="G165" s="392"/>
      <c r="H165" s="392"/>
      <c r="I165" s="392"/>
      <c r="J165" s="392"/>
      <c r="K165" s="392"/>
      <c r="L165" s="404"/>
      <c r="M165" s="374"/>
    </row>
    <row r="166" spans="1:13" hidden="1">
      <c r="A166" s="384"/>
      <c r="B166" s="392"/>
      <c r="C166" s="392"/>
      <c r="D166" s="348"/>
      <c r="E166" s="392"/>
      <c r="F166" s="392"/>
      <c r="G166" s="392"/>
      <c r="H166" s="392"/>
      <c r="I166" s="392"/>
      <c r="J166" s="392"/>
      <c r="K166" s="392"/>
      <c r="L166" s="404"/>
      <c r="M166" s="374"/>
    </row>
    <row r="167" spans="1:13" hidden="1">
      <c r="A167" s="384" t="s">
        <v>8</v>
      </c>
      <c r="B167" s="392">
        <v>2029458.2</v>
      </c>
      <c r="C167" s="392">
        <v>362803.7</v>
      </c>
      <c r="D167" s="348">
        <v>0</v>
      </c>
      <c r="E167" s="392">
        <v>50214.8</v>
      </c>
      <c r="F167" s="392">
        <f>+E167+C167</f>
        <v>413018.5</v>
      </c>
      <c r="G167" s="392">
        <v>2371399.2000000002</v>
      </c>
      <c r="H167" s="392">
        <v>0</v>
      </c>
      <c r="I167" s="392">
        <f>SUM(F167:H167,B167)</f>
        <v>4813875.9000000004</v>
      </c>
      <c r="J167" s="392">
        <v>8</v>
      </c>
      <c r="K167" s="392">
        <v>7970826.0999999996</v>
      </c>
      <c r="L167" s="404">
        <f>SUM(I167:K167)</f>
        <v>12784710</v>
      </c>
      <c r="M167" s="374"/>
    </row>
    <row r="168" spans="1:13" hidden="1">
      <c r="A168" s="384"/>
      <c r="B168" s="392"/>
      <c r="C168" s="392"/>
      <c r="D168" s="348"/>
      <c r="E168" s="392"/>
      <c r="F168" s="392"/>
      <c r="G168" s="392"/>
      <c r="H168" s="392"/>
      <c r="I168" s="392"/>
      <c r="J168" s="392"/>
      <c r="K168" s="392"/>
      <c r="L168" s="404"/>
      <c r="M168" s="374"/>
    </row>
    <row r="169" spans="1:13" hidden="1">
      <c r="A169" s="384" t="s">
        <v>9</v>
      </c>
      <c r="B169" s="392">
        <v>2312773.1</v>
      </c>
      <c r="C169" s="392">
        <v>816700</v>
      </c>
      <c r="D169" s="348">
        <v>0</v>
      </c>
      <c r="E169" s="392">
        <v>218230.5</v>
      </c>
      <c r="F169" s="392">
        <f>+E169+C169</f>
        <v>1034930.5</v>
      </c>
      <c r="G169" s="392">
        <v>2293387.4</v>
      </c>
      <c r="H169" s="392">
        <v>0</v>
      </c>
      <c r="I169" s="392">
        <f>SUM(F169:H169,B169)</f>
        <v>5641091</v>
      </c>
      <c r="J169" s="392">
        <v>8</v>
      </c>
      <c r="K169" s="392">
        <v>8439441</v>
      </c>
      <c r="L169" s="404">
        <f>SUM(I169:K169)</f>
        <v>14080540</v>
      </c>
      <c r="M169" s="374"/>
    </row>
    <row r="170" spans="1:13" hidden="1">
      <c r="A170" s="384"/>
      <c r="B170" s="392"/>
      <c r="C170" s="392"/>
      <c r="D170" s="348"/>
      <c r="E170" s="392"/>
      <c r="F170" s="392"/>
      <c r="G170" s="392"/>
      <c r="H170" s="392"/>
      <c r="I170" s="392"/>
      <c r="J170" s="392"/>
      <c r="K170" s="392"/>
      <c r="L170" s="404"/>
      <c r="M170" s="374"/>
    </row>
    <row r="171" spans="1:13" hidden="1">
      <c r="A171" s="384" t="s">
        <v>10</v>
      </c>
      <c r="B171" s="392">
        <v>3220884</v>
      </c>
      <c r="C171" s="392">
        <v>1292449.5</v>
      </c>
      <c r="D171" s="348">
        <v>0</v>
      </c>
      <c r="E171" s="392">
        <v>331348.5</v>
      </c>
      <c r="F171" s="392">
        <f>+E171+C171</f>
        <v>1623798</v>
      </c>
      <c r="G171" s="392">
        <v>2264468.7000000002</v>
      </c>
      <c r="H171" s="392">
        <v>0</v>
      </c>
      <c r="I171" s="392">
        <f>SUM(F171:H171,B171)</f>
        <v>7109150.7000000002</v>
      </c>
      <c r="J171" s="392">
        <v>8</v>
      </c>
      <c r="K171" s="392">
        <v>9156080.8000000007</v>
      </c>
      <c r="L171" s="404">
        <f>SUM(I171:K171)</f>
        <v>16265239.5</v>
      </c>
      <c r="M171" s="374"/>
    </row>
    <row r="172" spans="1:13" hidden="1">
      <c r="A172" s="384"/>
      <c r="B172" s="392"/>
      <c r="C172" s="392"/>
      <c r="D172" s="348"/>
      <c r="E172" s="392"/>
      <c r="F172" s="392"/>
      <c r="G172" s="392"/>
      <c r="H172" s="392"/>
      <c r="I172" s="392"/>
      <c r="J172" s="392"/>
      <c r="K172" s="392"/>
      <c r="L172" s="404"/>
      <c r="M172" s="374"/>
    </row>
    <row r="173" spans="1:13" hidden="1">
      <c r="A173" s="384" t="s">
        <v>11</v>
      </c>
      <c r="B173" s="386">
        <v>3224093.3</v>
      </c>
      <c r="C173" s="392">
        <v>1833178.4</v>
      </c>
      <c r="D173" s="348">
        <v>0</v>
      </c>
      <c r="E173" s="392">
        <v>292008.7</v>
      </c>
      <c r="F173" s="392">
        <f>+E173+C173</f>
        <v>2125187.1</v>
      </c>
      <c r="G173" s="392">
        <v>1880269.2</v>
      </c>
      <c r="H173" s="392">
        <v>0</v>
      </c>
      <c r="I173" s="392">
        <f>SUM(F173:H173,B173)</f>
        <v>7229549.5999999996</v>
      </c>
      <c r="J173" s="392">
        <v>8</v>
      </c>
      <c r="K173" s="392">
        <v>8491129.5</v>
      </c>
      <c r="L173" s="404">
        <f>SUM(I173:K173)</f>
        <v>15720687.1</v>
      </c>
      <c r="M173" s="374"/>
    </row>
    <row r="174" spans="1:13" hidden="1">
      <c r="A174" s="384"/>
      <c r="B174" s="386"/>
      <c r="C174" s="392"/>
      <c r="D174" s="348"/>
      <c r="E174" s="392"/>
      <c r="F174" s="392"/>
      <c r="G174" s="392"/>
      <c r="H174" s="392"/>
      <c r="I174" s="392"/>
      <c r="J174" s="392"/>
      <c r="K174" s="392"/>
      <c r="L174" s="404"/>
      <c r="M174" s="374"/>
    </row>
    <row r="175" spans="1:13" hidden="1">
      <c r="A175" s="384" t="s">
        <v>337</v>
      </c>
      <c r="B175" s="386">
        <v>3772181.1</v>
      </c>
      <c r="C175" s="392">
        <v>2317927.7999999998</v>
      </c>
      <c r="D175" s="348">
        <v>0</v>
      </c>
      <c r="E175" s="392">
        <v>57708.1</v>
      </c>
      <c r="F175" s="392">
        <f>+E175+C175</f>
        <v>2375635.9</v>
      </c>
      <c r="G175" s="392">
        <v>3043296.1</v>
      </c>
      <c r="H175" s="392">
        <v>0</v>
      </c>
      <c r="I175" s="392">
        <v>9191113.0999999996</v>
      </c>
      <c r="J175" s="392">
        <v>8</v>
      </c>
      <c r="K175" s="392">
        <v>8502263.5999999996</v>
      </c>
      <c r="L175" s="404">
        <f>SUM(I175:K175)</f>
        <v>17693384.699999999</v>
      </c>
      <c r="M175" s="374"/>
    </row>
    <row r="176" spans="1:13" hidden="1">
      <c r="A176" s="384"/>
      <c r="B176" s="386"/>
      <c r="C176" s="392"/>
      <c r="D176" s="348"/>
      <c r="E176" s="392"/>
      <c r="F176" s="392"/>
      <c r="G176" s="392"/>
      <c r="H176" s="392"/>
      <c r="I176" s="392"/>
      <c r="J176" s="392"/>
      <c r="K176" s="392"/>
      <c r="L176" s="404"/>
      <c r="M176" s="374"/>
    </row>
    <row r="177" spans="1:13" hidden="1">
      <c r="A177" s="384" t="s">
        <v>346</v>
      </c>
      <c r="B177" s="392">
        <v>1133.3967</v>
      </c>
      <c r="C177" s="392">
        <v>26.3447</v>
      </c>
      <c r="D177" s="392">
        <v>0</v>
      </c>
      <c r="E177" s="392">
        <v>14.884799999999998</v>
      </c>
      <c r="F177" s="392">
        <f>+E177+C177</f>
        <v>41.229500000000002</v>
      </c>
      <c r="G177" s="392">
        <v>1606.2043999999999</v>
      </c>
      <c r="H177" s="392">
        <v>15.3773</v>
      </c>
      <c r="I177" s="392">
        <v>2796207.9</v>
      </c>
      <c r="J177" s="392">
        <v>8.0000000000000002E-3</v>
      </c>
      <c r="K177" s="392">
        <v>2751.6136000000001</v>
      </c>
      <c r="L177" s="404">
        <f>SUM(I177:K177)</f>
        <v>2798959.5215999996</v>
      </c>
      <c r="M177" s="374"/>
    </row>
    <row r="178" spans="1:13" hidden="1">
      <c r="A178" s="384"/>
      <c r="B178" s="386"/>
      <c r="C178" s="392"/>
      <c r="D178" s="348"/>
      <c r="E178" s="392"/>
      <c r="F178" s="392"/>
      <c r="G178" s="392"/>
      <c r="H178" s="392"/>
      <c r="I178" s="392"/>
      <c r="J178" s="392"/>
      <c r="K178" s="392"/>
      <c r="L178" s="404"/>
      <c r="M178" s="374"/>
    </row>
    <row r="179" spans="1:13" hidden="1">
      <c r="A179" s="384" t="s">
        <v>347</v>
      </c>
      <c r="B179" s="392">
        <v>4806.3474000000006</v>
      </c>
      <c r="C179" s="392">
        <v>1432.1888000000001</v>
      </c>
      <c r="D179" s="392">
        <v>0</v>
      </c>
      <c r="E179" s="392">
        <v>113.5425</v>
      </c>
      <c r="F179" s="392">
        <f>+E179+C179</f>
        <v>1545.7313000000001</v>
      </c>
      <c r="G179" s="392">
        <v>9099.9071999999996</v>
      </c>
      <c r="H179" s="392">
        <v>16.403700000000001</v>
      </c>
      <c r="I179" s="392">
        <f>SUM(F179:H179,B179)</f>
        <v>15468.3896</v>
      </c>
      <c r="J179" s="392">
        <v>8.0000000000000002E-3</v>
      </c>
      <c r="K179" s="392">
        <v>-7222.4105999999992</v>
      </c>
      <c r="L179" s="404">
        <f>SUM(I179:K179)</f>
        <v>8245.987000000001</v>
      </c>
      <c r="M179" s="374"/>
    </row>
    <row r="180" spans="1:13" hidden="1">
      <c r="A180" s="384"/>
      <c r="B180" s="386"/>
      <c r="C180" s="392"/>
      <c r="D180" s="348"/>
      <c r="E180" s="392"/>
      <c r="F180" s="392"/>
      <c r="G180" s="392"/>
      <c r="H180" s="392"/>
      <c r="I180" s="392"/>
      <c r="J180" s="392"/>
      <c r="K180" s="392"/>
      <c r="L180" s="404"/>
      <c r="M180" s="374"/>
    </row>
    <row r="181" spans="1:13" hidden="1">
      <c r="A181" s="384" t="s">
        <v>12</v>
      </c>
      <c r="B181" s="392">
        <v>5495.3704000000007</v>
      </c>
      <c r="C181" s="392">
        <v>819.80419999999992</v>
      </c>
      <c r="D181" s="392">
        <v>0</v>
      </c>
      <c r="E181" s="392">
        <v>496.49279999999999</v>
      </c>
      <c r="F181" s="392">
        <f>+E181+C181</f>
        <v>1316.297</v>
      </c>
      <c r="G181" s="392">
        <v>13110.9697</v>
      </c>
      <c r="H181" s="392">
        <v>17.575900000000001</v>
      </c>
      <c r="I181" s="392">
        <f>SUM(F181:H181,B181)</f>
        <v>19940.213</v>
      </c>
      <c r="J181" s="392">
        <v>8.0000000000000002E-3</v>
      </c>
      <c r="K181" s="392">
        <v>-7075.3615</v>
      </c>
      <c r="L181" s="404">
        <f>SUM(I181:K181)</f>
        <v>12864.859500000002</v>
      </c>
      <c r="M181" s="374"/>
    </row>
    <row r="182" spans="1:13" hidden="1">
      <c r="A182" s="384"/>
      <c r="B182" s="386"/>
      <c r="C182" s="392"/>
      <c r="D182" s="348"/>
      <c r="E182" s="392"/>
      <c r="F182" s="392"/>
      <c r="G182" s="392"/>
      <c r="H182" s="392"/>
      <c r="I182" s="392"/>
      <c r="J182" s="392"/>
      <c r="K182" s="392"/>
      <c r="L182" s="404"/>
      <c r="M182" s="374"/>
    </row>
    <row r="183" spans="1:13" hidden="1">
      <c r="A183" s="384" t="s">
        <v>13</v>
      </c>
      <c r="B183" s="392">
        <v>6516.6179000000002</v>
      </c>
      <c r="C183" s="392">
        <v>185.75470000000001</v>
      </c>
      <c r="D183" s="392">
        <v>0</v>
      </c>
      <c r="E183" s="392">
        <v>555.38199999999995</v>
      </c>
      <c r="F183" s="392">
        <f>+E183+C183</f>
        <v>741.13670000000002</v>
      </c>
      <c r="G183" s="392">
        <v>10616.5219</v>
      </c>
      <c r="H183" s="392">
        <v>0</v>
      </c>
      <c r="I183" s="392">
        <f>SUM(F183:H183,B183)</f>
        <v>17874.2765</v>
      </c>
      <c r="J183" s="392">
        <v>8.0000000000000002E-3</v>
      </c>
      <c r="K183" s="392">
        <v>-7695.7177999999994</v>
      </c>
      <c r="L183" s="404">
        <f>SUM(I183:K183)</f>
        <v>10178.566700000003</v>
      </c>
      <c r="M183" s="374"/>
    </row>
    <row r="184" spans="1:13" hidden="1">
      <c r="A184" s="384"/>
      <c r="B184" s="386"/>
      <c r="C184" s="392"/>
      <c r="D184" s="348"/>
      <c r="E184" s="392"/>
      <c r="F184" s="392"/>
      <c r="G184" s="392"/>
      <c r="H184" s="392"/>
      <c r="I184" s="392"/>
      <c r="J184" s="392"/>
      <c r="K184" s="392"/>
      <c r="L184" s="404"/>
      <c r="M184" s="374"/>
    </row>
    <row r="185" spans="1:13" hidden="1">
      <c r="A185" s="384" t="s">
        <v>14</v>
      </c>
      <c r="B185" s="392">
        <v>7635.3326999999999</v>
      </c>
      <c r="C185" s="392">
        <v>170.38900000000001</v>
      </c>
      <c r="D185" s="392">
        <v>0</v>
      </c>
      <c r="E185" s="392">
        <v>512.91650000000004</v>
      </c>
      <c r="F185" s="392">
        <f>+E185+C185</f>
        <v>683.30550000000005</v>
      </c>
      <c r="G185" s="392">
        <v>25600.937600000001</v>
      </c>
      <c r="H185" s="392">
        <v>0</v>
      </c>
      <c r="I185" s="392">
        <f>SUM(F185:H185,B185)</f>
        <v>33919.575799999999</v>
      </c>
      <c r="J185" s="392">
        <v>8.0000000000000002E-3</v>
      </c>
      <c r="K185" s="392">
        <v>-16829.991100000003</v>
      </c>
      <c r="L185" s="404">
        <f>SUM(I185:K185)</f>
        <v>17089.592699999997</v>
      </c>
      <c r="M185" s="374"/>
    </row>
    <row r="186" spans="1:13" hidden="1">
      <c r="A186" s="384"/>
      <c r="B186" s="386"/>
      <c r="C186" s="392"/>
      <c r="D186" s="348"/>
      <c r="E186" s="392"/>
      <c r="F186" s="392"/>
      <c r="G186" s="392"/>
      <c r="H186" s="392"/>
      <c r="I186" s="392"/>
      <c r="J186" s="392"/>
      <c r="K186" s="392"/>
      <c r="L186" s="404"/>
      <c r="M186" s="374"/>
    </row>
    <row r="187" spans="1:13" hidden="1">
      <c r="A187" s="384" t="s">
        <v>15</v>
      </c>
      <c r="B187" s="392">
        <v>9407.1626999999989</v>
      </c>
      <c r="C187" s="392">
        <v>450.34320000000002</v>
      </c>
      <c r="D187" s="392">
        <v>0</v>
      </c>
      <c r="E187" s="392">
        <v>62.014499999999998</v>
      </c>
      <c r="F187" s="392">
        <f>+E187+C187</f>
        <v>512.35770000000002</v>
      </c>
      <c r="G187" s="392">
        <v>15746.2814</v>
      </c>
      <c r="H187" s="392">
        <v>0</v>
      </c>
      <c r="I187" s="392">
        <f>SUM(F187:H187,B187)</f>
        <v>25665.801800000001</v>
      </c>
      <c r="J187" s="392">
        <v>8.0000000000000002E-3</v>
      </c>
      <c r="K187" s="392">
        <v>37216.5815</v>
      </c>
      <c r="L187" s="404">
        <f>SUM(I187:K187)</f>
        <v>62882.391300000003</v>
      </c>
      <c r="M187" s="374"/>
    </row>
    <row r="188" spans="1:13" hidden="1">
      <c r="A188" s="384"/>
      <c r="B188" s="386"/>
      <c r="C188" s="392"/>
      <c r="D188" s="348"/>
      <c r="E188" s="392"/>
      <c r="F188" s="392"/>
      <c r="G188" s="392"/>
      <c r="H188" s="392"/>
      <c r="I188" s="392"/>
      <c r="J188" s="392"/>
      <c r="K188" s="392"/>
      <c r="L188" s="404"/>
      <c r="M188" s="374"/>
    </row>
    <row r="189" spans="1:13" hidden="1">
      <c r="A189" s="384" t="s">
        <v>16</v>
      </c>
      <c r="B189" s="392">
        <v>11578.051800000001</v>
      </c>
      <c r="C189" s="392">
        <v>186.4462</v>
      </c>
      <c r="D189" s="392">
        <v>0</v>
      </c>
      <c r="E189" s="392">
        <v>8.5416000000000007</v>
      </c>
      <c r="F189" s="392">
        <f>+E189+C189</f>
        <v>194.98779999999999</v>
      </c>
      <c r="G189" s="392">
        <v>19319.9362</v>
      </c>
      <c r="H189" s="392">
        <v>0</v>
      </c>
      <c r="I189" s="392">
        <f>SUM(F189:H189,B189)</f>
        <v>31092.9758</v>
      </c>
      <c r="J189" s="392">
        <v>8.0000000000000002E-3</v>
      </c>
      <c r="K189" s="392">
        <v>42676.312399999995</v>
      </c>
      <c r="L189" s="404">
        <f>SUM(I189:K189)</f>
        <v>73769.296199999997</v>
      </c>
      <c r="M189" s="374"/>
    </row>
    <row r="190" spans="1:13" hidden="1">
      <c r="A190" s="384"/>
      <c r="B190" s="386"/>
      <c r="C190" s="392"/>
      <c r="D190" s="348"/>
      <c r="E190" s="392"/>
      <c r="F190" s="392"/>
      <c r="G190" s="392"/>
      <c r="H190" s="392"/>
      <c r="I190" s="392"/>
      <c r="J190" s="392"/>
      <c r="K190" s="392"/>
      <c r="L190" s="404"/>
      <c r="M190" s="374"/>
    </row>
    <row r="191" spans="1:13" hidden="1">
      <c r="A191" s="408">
        <v>2006</v>
      </c>
      <c r="B191" s="386"/>
      <c r="C191" s="392"/>
      <c r="D191" s="348"/>
      <c r="E191" s="392"/>
      <c r="F191" s="392"/>
      <c r="G191" s="392"/>
      <c r="H191" s="392"/>
      <c r="I191" s="392"/>
      <c r="J191" s="392"/>
      <c r="K191" s="392"/>
      <c r="L191" s="404"/>
      <c r="M191" s="374"/>
    </row>
    <row r="192" spans="1:13" hidden="1">
      <c r="A192" s="384"/>
      <c r="B192" s="386"/>
      <c r="C192" s="392"/>
      <c r="D192" s="348"/>
      <c r="E192" s="392"/>
      <c r="F192" s="392"/>
      <c r="G192" s="392"/>
      <c r="H192" s="392"/>
      <c r="I192" s="392"/>
      <c r="J192" s="392"/>
      <c r="K192" s="392"/>
      <c r="L192" s="404"/>
      <c r="M192" s="374"/>
    </row>
    <row r="193" spans="1:13" hidden="1">
      <c r="A193" s="384" t="s">
        <v>8</v>
      </c>
      <c r="B193" s="392">
        <v>12762.766599999999</v>
      </c>
      <c r="C193" s="392">
        <v>478.62520000000001</v>
      </c>
      <c r="D193" s="392">
        <v>0</v>
      </c>
      <c r="E193" s="392">
        <v>707.62909999999999</v>
      </c>
      <c r="F193" s="392">
        <f>+E193+C193</f>
        <v>1186.2543000000001</v>
      </c>
      <c r="G193" s="392">
        <v>32041.712899999999</v>
      </c>
      <c r="H193" s="392">
        <v>0</v>
      </c>
      <c r="I193" s="392">
        <f>SUM(F193:H193,B193)</f>
        <v>45990.733800000002</v>
      </c>
      <c r="J193" s="392">
        <v>8.0000000000000002E-3</v>
      </c>
      <c r="K193" s="392">
        <v>67523.52459999999</v>
      </c>
      <c r="L193" s="404">
        <f>SUM(I193:K193)</f>
        <v>113514.26639999999</v>
      </c>
      <c r="M193" s="374"/>
    </row>
    <row r="194" spans="1:13" hidden="1">
      <c r="A194" s="384"/>
      <c r="B194" s="386"/>
      <c r="C194" s="392"/>
      <c r="D194" s="348"/>
      <c r="E194" s="392"/>
      <c r="F194" s="392"/>
      <c r="G194" s="392">
        <v>0</v>
      </c>
      <c r="H194" s="392">
        <v>0</v>
      </c>
      <c r="I194" s="392"/>
      <c r="J194" s="392"/>
      <c r="K194" s="392"/>
      <c r="L194" s="404"/>
      <c r="M194" s="374"/>
    </row>
    <row r="195" spans="1:13" hidden="1">
      <c r="A195" s="384" t="s">
        <v>9</v>
      </c>
      <c r="B195" s="392">
        <v>15572.2075</v>
      </c>
      <c r="C195" s="392">
        <v>3557.6941000000002</v>
      </c>
      <c r="D195" s="392">
        <v>0</v>
      </c>
      <c r="E195" s="392">
        <v>460.5616</v>
      </c>
      <c r="F195" s="392">
        <f>+E195+C195</f>
        <v>4018.2557000000002</v>
      </c>
      <c r="G195" s="392">
        <v>31812.0409</v>
      </c>
      <c r="H195" s="392">
        <v>0</v>
      </c>
      <c r="I195" s="392">
        <f>SUM(F195:H195,B195)</f>
        <v>51402.504100000006</v>
      </c>
      <c r="J195" s="392">
        <v>8.0000000000000002E-3</v>
      </c>
      <c r="K195" s="392">
        <v>80299.262199999997</v>
      </c>
      <c r="L195" s="404">
        <f>SUM(I195:K195)</f>
        <v>131701.77429999999</v>
      </c>
      <c r="M195" s="374"/>
    </row>
    <row r="196" spans="1:13" hidden="1">
      <c r="A196" s="384"/>
      <c r="B196" s="386"/>
      <c r="C196" s="392"/>
      <c r="D196" s="348"/>
      <c r="E196" s="392"/>
      <c r="F196" s="392"/>
      <c r="G196" s="392"/>
      <c r="H196" s="392"/>
      <c r="I196" s="392"/>
      <c r="J196" s="392"/>
      <c r="K196" s="392"/>
      <c r="L196" s="404"/>
      <c r="M196" s="374"/>
    </row>
    <row r="197" spans="1:13" hidden="1">
      <c r="A197" s="384" t="s">
        <v>10</v>
      </c>
      <c r="B197" s="392">
        <v>18374.422500000001</v>
      </c>
      <c r="C197" s="392">
        <v>7476.0174000000006</v>
      </c>
      <c r="D197" s="392">
        <v>0</v>
      </c>
      <c r="E197" s="392">
        <v>493.61240000000004</v>
      </c>
      <c r="F197" s="392">
        <f>+E197+C197</f>
        <v>7969.6298000000006</v>
      </c>
      <c r="G197" s="392">
        <v>38372.680700000004</v>
      </c>
      <c r="H197" s="392">
        <v>0</v>
      </c>
      <c r="I197" s="392">
        <f>SUM(F197:H197,B197)</f>
        <v>64716.733000000007</v>
      </c>
      <c r="J197" s="392">
        <v>6.0000000000000001E-3</v>
      </c>
      <c r="K197" s="392">
        <v>-34768.866200000004</v>
      </c>
      <c r="L197" s="404">
        <f>SUM(I197:K197)</f>
        <v>29947.872800000005</v>
      </c>
      <c r="M197" s="374"/>
    </row>
    <row r="198" spans="1:13" hidden="1">
      <c r="A198" s="384"/>
      <c r="B198" s="386"/>
      <c r="C198" s="392"/>
      <c r="D198" s="348"/>
      <c r="E198" s="392"/>
      <c r="F198" s="392"/>
      <c r="G198" s="392"/>
      <c r="H198" s="392"/>
      <c r="I198" s="392"/>
      <c r="J198" s="392"/>
      <c r="K198" s="392"/>
      <c r="L198" s="404"/>
      <c r="M198" s="374"/>
    </row>
    <row r="199" spans="1:13" hidden="1">
      <c r="A199" s="384" t="s">
        <v>11</v>
      </c>
      <c r="B199" s="392">
        <v>21661.610399999998</v>
      </c>
      <c r="C199" s="392">
        <v>8710.8448000000008</v>
      </c>
      <c r="D199" s="392">
        <v>0</v>
      </c>
      <c r="E199" s="392">
        <v>1006.3281999999999</v>
      </c>
      <c r="F199" s="392">
        <f>+E199+C199</f>
        <v>9717.1730000000007</v>
      </c>
      <c r="G199" s="392">
        <v>40207.423000000003</v>
      </c>
      <c r="H199" s="392">
        <v>0</v>
      </c>
      <c r="I199" s="392">
        <f>SUM(F199:H199,B199)</f>
        <v>71586.206399999995</v>
      </c>
      <c r="J199" s="392">
        <v>6.0000000000000001E-3</v>
      </c>
      <c r="K199" s="392">
        <v>-43782.813200000004</v>
      </c>
      <c r="L199" s="404">
        <f>SUM(I199:K199)</f>
        <v>27803.399199999985</v>
      </c>
      <c r="M199" s="374"/>
    </row>
    <row r="200" spans="1:13" hidden="1">
      <c r="A200" s="384"/>
      <c r="B200" s="386"/>
      <c r="C200" s="392"/>
      <c r="D200" s="348"/>
      <c r="E200" s="392"/>
      <c r="F200" s="392"/>
      <c r="G200" s="392"/>
      <c r="H200" s="392"/>
      <c r="I200" s="392"/>
      <c r="J200" s="392"/>
      <c r="K200" s="392"/>
      <c r="L200" s="404"/>
      <c r="M200" s="374"/>
    </row>
    <row r="201" spans="1:13" hidden="1">
      <c r="A201" s="384" t="s">
        <v>337</v>
      </c>
      <c r="B201" s="392">
        <v>31344.915499999999</v>
      </c>
      <c r="C201" s="392">
        <v>15963.8161</v>
      </c>
      <c r="D201" s="392">
        <v>0</v>
      </c>
      <c r="E201" s="392">
        <v>1086.4586000000002</v>
      </c>
      <c r="F201" s="392">
        <f>+E201+C201</f>
        <v>17050.274700000002</v>
      </c>
      <c r="G201" s="392">
        <v>39471.119500000001</v>
      </c>
      <c r="H201" s="392">
        <v>0</v>
      </c>
      <c r="I201" s="392">
        <f>SUM(F201:H201,B201)</f>
        <v>87866.309699999998</v>
      </c>
      <c r="J201" s="392">
        <v>6.0000000000000001E-3</v>
      </c>
      <c r="K201" s="392">
        <v>-54910.4061</v>
      </c>
      <c r="L201" s="404">
        <f>SUM(I201:K201)</f>
        <v>32955.909599999992</v>
      </c>
      <c r="M201" s="374"/>
    </row>
    <row r="202" spans="1:13" hidden="1">
      <c r="A202" s="384"/>
      <c r="B202" s="386"/>
      <c r="C202" s="392"/>
      <c r="D202" s="348"/>
      <c r="E202" s="392"/>
      <c r="F202" s="392"/>
      <c r="G202" s="392"/>
      <c r="H202" s="392"/>
      <c r="I202" s="392"/>
      <c r="J202" s="392"/>
      <c r="K202" s="392"/>
      <c r="L202" s="404"/>
      <c r="M202" s="374"/>
    </row>
    <row r="203" spans="1:13" hidden="1">
      <c r="A203" s="384" t="s">
        <v>346</v>
      </c>
      <c r="B203" s="392">
        <v>42009.468200000003</v>
      </c>
      <c r="C203" s="392">
        <v>13946.209699999999</v>
      </c>
      <c r="D203" s="392">
        <v>0</v>
      </c>
      <c r="E203" s="392">
        <v>655.88119999999992</v>
      </c>
      <c r="F203" s="392">
        <f>+E203+C203</f>
        <v>14602.090899999999</v>
      </c>
      <c r="G203" s="392">
        <v>33199.954399999995</v>
      </c>
      <c r="H203" s="392">
        <v>0</v>
      </c>
      <c r="I203" s="392">
        <f>SUM(F203:H203,B203)</f>
        <v>89811.513500000001</v>
      </c>
      <c r="J203" s="392">
        <v>8.0000000000000002E-3</v>
      </c>
      <c r="K203" s="392">
        <v>176427.89330000003</v>
      </c>
      <c r="L203" s="404">
        <f>SUM(I203:K203)</f>
        <v>266239.41480000003</v>
      </c>
      <c r="M203" s="374"/>
    </row>
    <row r="204" spans="1:13" hidden="1">
      <c r="A204" s="384"/>
      <c r="B204" s="386"/>
      <c r="C204" s="392"/>
      <c r="D204" s="348"/>
      <c r="E204" s="392"/>
      <c r="F204" s="392"/>
      <c r="G204" s="392"/>
      <c r="H204" s="392"/>
      <c r="I204" s="392"/>
      <c r="J204" s="392"/>
      <c r="K204" s="392"/>
      <c r="L204" s="404"/>
      <c r="M204" s="374"/>
    </row>
    <row r="205" spans="1:13" hidden="1">
      <c r="A205" s="384" t="s">
        <v>347</v>
      </c>
      <c r="B205" s="392">
        <v>50925.605000000003</v>
      </c>
      <c r="C205" s="392">
        <v>26504.6253</v>
      </c>
      <c r="D205" s="392">
        <v>0</v>
      </c>
      <c r="E205" s="392">
        <v>1275.001</v>
      </c>
      <c r="F205" s="392">
        <f>+E205+C205</f>
        <v>27779.6263</v>
      </c>
      <c r="G205" s="392">
        <v>30397.931499999999</v>
      </c>
      <c r="H205" s="392">
        <v>0</v>
      </c>
      <c r="I205" s="392">
        <f>SUM(F205:H205,B205)</f>
        <v>109103.16279999999</v>
      </c>
      <c r="J205" s="392">
        <v>8.0000000000000002E-3</v>
      </c>
      <c r="K205" s="392">
        <v>229015.864</v>
      </c>
      <c r="L205" s="404">
        <f>SUM(I205:K205)</f>
        <v>338119.03480000002</v>
      </c>
      <c r="M205" s="374"/>
    </row>
    <row r="206" spans="1:13" hidden="1">
      <c r="A206" s="384"/>
      <c r="B206" s="386"/>
      <c r="C206" s="392"/>
      <c r="D206" s="348"/>
      <c r="E206" s="392"/>
      <c r="F206" s="392"/>
      <c r="G206" s="392"/>
      <c r="H206" s="392"/>
      <c r="I206" s="392"/>
      <c r="J206" s="392"/>
      <c r="K206" s="392"/>
      <c r="L206" s="404"/>
      <c r="M206" s="374"/>
    </row>
    <row r="207" spans="1:13" hidden="1">
      <c r="A207" s="384" t="s">
        <v>12</v>
      </c>
      <c r="B207" s="392">
        <v>66172.44279999999</v>
      </c>
      <c r="C207" s="392">
        <v>64514.198499999999</v>
      </c>
      <c r="D207" s="392">
        <v>0</v>
      </c>
      <c r="E207" s="392">
        <v>348.14949999999999</v>
      </c>
      <c r="F207" s="392">
        <f>+E207+C207</f>
        <v>64862.347999999998</v>
      </c>
      <c r="G207" s="392">
        <v>77373.359200000006</v>
      </c>
      <c r="H207" s="392">
        <v>0</v>
      </c>
      <c r="I207" s="392">
        <f>SUM(F207:H207,B207)</f>
        <v>208408.15</v>
      </c>
      <c r="J207" s="392">
        <v>6.0000000000000001E-3</v>
      </c>
      <c r="K207" s="392">
        <v>-124540.32550000001</v>
      </c>
      <c r="L207" s="404">
        <f>SUM(I207:K207)</f>
        <v>83867.830499999982</v>
      </c>
      <c r="M207" s="374"/>
    </row>
    <row r="208" spans="1:13" hidden="1">
      <c r="A208" s="384"/>
      <c r="B208" s="386"/>
      <c r="C208" s="392"/>
      <c r="D208" s="348"/>
      <c r="E208" s="392"/>
      <c r="F208" s="392"/>
      <c r="G208" s="392"/>
      <c r="H208" s="392"/>
      <c r="I208" s="392"/>
      <c r="J208" s="392"/>
      <c r="K208" s="392"/>
      <c r="L208" s="404"/>
      <c r="M208" s="374"/>
    </row>
    <row r="209" spans="1:13" hidden="1">
      <c r="A209" s="384" t="s">
        <v>13</v>
      </c>
      <c r="B209" s="392">
        <v>93841.348700000002</v>
      </c>
      <c r="C209" s="392">
        <v>52383.299899999998</v>
      </c>
      <c r="D209" s="392">
        <v>0</v>
      </c>
      <c r="E209" s="392">
        <v>3760.6261</v>
      </c>
      <c r="F209" s="392">
        <f>56143925.7/1000</f>
        <v>56143.9257</v>
      </c>
      <c r="G209" s="392">
        <v>83883.762599999987</v>
      </c>
      <c r="H209" s="392">
        <v>0</v>
      </c>
      <c r="I209" s="392">
        <f>(SUM(F209:H209,B209))</f>
        <v>233869.03699999998</v>
      </c>
      <c r="J209" s="392">
        <v>8.0000000000000002E-3</v>
      </c>
      <c r="K209" s="392">
        <v>373921.60130000004</v>
      </c>
      <c r="L209" s="404">
        <f>SUM(I209:K209)</f>
        <v>607790.64630000002</v>
      </c>
      <c r="M209" s="374"/>
    </row>
    <row r="210" spans="1:13" hidden="1">
      <c r="A210" s="384"/>
      <c r="B210" s="386"/>
      <c r="C210" s="392"/>
      <c r="D210" s="348"/>
      <c r="E210" s="392"/>
      <c r="F210" s="392"/>
      <c r="G210" s="392"/>
      <c r="H210" s="392"/>
      <c r="I210" s="392"/>
      <c r="J210" s="392"/>
      <c r="K210" s="392"/>
      <c r="L210" s="404"/>
      <c r="M210" s="374"/>
    </row>
    <row r="211" spans="1:13" hidden="1">
      <c r="A211" s="384" t="s">
        <v>14</v>
      </c>
      <c r="B211" s="386">
        <v>123272.9</v>
      </c>
      <c r="C211" s="392">
        <v>54010.7</v>
      </c>
      <c r="D211" s="348">
        <v>0</v>
      </c>
      <c r="E211" s="392">
        <v>13252.9</v>
      </c>
      <c r="F211" s="392">
        <v>67263.600000000006</v>
      </c>
      <c r="G211" s="392">
        <v>83438.399999999994</v>
      </c>
      <c r="H211" s="392">
        <v>0</v>
      </c>
      <c r="I211" s="392">
        <v>273974.90000000002</v>
      </c>
      <c r="J211" s="392">
        <v>0</v>
      </c>
      <c r="K211" s="392">
        <v>498771.9</v>
      </c>
      <c r="L211" s="404">
        <f>SUM(I211:K211)</f>
        <v>772746.8</v>
      </c>
      <c r="M211" s="374"/>
    </row>
    <row r="212" spans="1:13" hidden="1">
      <c r="A212" s="384"/>
      <c r="B212" s="386"/>
      <c r="C212" s="392"/>
      <c r="D212" s="348"/>
      <c r="E212" s="392"/>
      <c r="F212" s="392"/>
      <c r="G212" s="392"/>
      <c r="H212" s="392"/>
      <c r="I212" s="392"/>
      <c r="J212" s="392"/>
      <c r="K212" s="392"/>
      <c r="L212" s="404"/>
      <c r="M212" s="374"/>
    </row>
    <row r="213" spans="1:13" hidden="1">
      <c r="A213" s="384" t="s">
        <v>15</v>
      </c>
      <c r="B213" s="386">
        <v>175364.9</v>
      </c>
      <c r="C213" s="392">
        <v>49874.5</v>
      </c>
      <c r="D213" s="348">
        <v>0</v>
      </c>
      <c r="E213" s="392">
        <v>9062.4</v>
      </c>
      <c r="F213" s="392">
        <v>58936.9</v>
      </c>
      <c r="G213" s="392">
        <v>92995.6</v>
      </c>
      <c r="H213" s="392">
        <v>0</v>
      </c>
      <c r="I213" s="392">
        <v>327297.40000000002</v>
      </c>
      <c r="J213" s="392">
        <v>0</v>
      </c>
      <c r="K213" s="392">
        <v>633404.30000000005</v>
      </c>
      <c r="L213" s="404">
        <v>960701.7</v>
      </c>
      <c r="M213" s="374"/>
    </row>
    <row r="214" spans="1:13" hidden="1">
      <c r="A214" s="384"/>
      <c r="B214" s="386"/>
      <c r="C214" s="392"/>
      <c r="D214" s="348"/>
      <c r="E214" s="392"/>
      <c r="F214" s="392"/>
      <c r="G214" s="392"/>
      <c r="H214" s="392"/>
      <c r="I214" s="392"/>
      <c r="J214" s="392"/>
      <c r="K214" s="392"/>
      <c r="L214" s="404"/>
      <c r="M214" s="374"/>
    </row>
    <row r="215" spans="1:13" hidden="1">
      <c r="A215" s="384" t="s">
        <v>16</v>
      </c>
      <c r="B215" s="386">
        <v>277183.7</v>
      </c>
      <c r="C215" s="392">
        <v>18510.599999999999</v>
      </c>
      <c r="D215" s="348">
        <v>0</v>
      </c>
      <c r="E215" s="392">
        <v>3830</v>
      </c>
      <c r="F215" s="392">
        <v>22340.6</v>
      </c>
      <c r="G215" s="392">
        <v>97927.7</v>
      </c>
      <c r="H215" s="392">
        <v>0</v>
      </c>
      <c r="I215" s="392">
        <f>(SUM(F215:H215,B215))</f>
        <v>397452</v>
      </c>
      <c r="J215" s="392">
        <v>0</v>
      </c>
      <c r="K215" s="392">
        <v>751538.2</v>
      </c>
      <c r="L215" s="404">
        <f>SUM(I215:K215)</f>
        <v>1148990.2</v>
      </c>
      <c r="M215" s="374"/>
    </row>
    <row r="216" spans="1:13" hidden="1">
      <c r="A216" s="384"/>
      <c r="B216" s="386"/>
      <c r="C216" s="392"/>
      <c r="D216" s="348"/>
      <c r="E216" s="392"/>
      <c r="F216" s="392"/>
      <c r="G216" s="392"/>
      <c r="H216" s="392"/>
      <c r="I216" s="392"/>
      <c r="J216" s="392"/>
      <c r="K216" s="392"/>
      <c r="L216" s="404"/>
      <c r="M216" s="374"/>
    </row>
    <row r="217" spans="1:13" hidden="1">
      <c r="A217" s="408">
        <v>2007</v>
      </c>
      <c r="B217" s="386"/>
      <c r="C217" s="392"/>
      <c r="D217" s="348"/>
      <c r="E217" s="392"/>
      <c r="F217" s="392"/>
      <c r="G217" s="392"/>
      <c r="H217" s="392"/>
      <c r="I217" s="392"/>
      <c r="J217" s="392"/>
      <c r="K217" s="392"/>
      <c r="L217" s="404"/>
      <c r="M217" s="374"/>
    </row>
    <row r="218" spans="1:13" hidden="1">
      <c r="A218" s="384"/>
      <c r="B218" s="386"/>
      <c r="C218" s="392"/>
      <c r="D218" s="348"/>
      <c r="E218" s="392"/>
      <c r="F218" s="392"/>
      <c r="G218" s="392"/>
      <c r="H218" s="392"/>
      <c r="I218" s="392"/>
      <c r="J218" s="392"/>
      <c r="K218" s="392"/>
      <c r="L218" s="404"/>
      <c r="M218" s="374"/>
    </row>
    <row r="219" spans="1:13" hidden="1">
      <c r="A219" s="384" t="s">
        <v>8</v>
      </c>
      <c r="B219" s="386">
        <v>324411.59999999998</v>
      </c>
      <c r="C219" s="392">
        <v>46227.7</v>
      </c>
      <c r="D219" s="348">
        <v>0</v>
      </c>
      <c r="E219" s="392">
        <v>3078.1</v>
      </c>
      <c r="F219" s="392">
        <v>49305.8</v>
      </c>
      <c r="G219" s="392">
        <v>101633.60000000001</v>
      </c>
      <c r="H219" s="392">
        <v>0</v>
      </c>
      <c r="I219" s="392">
        <v>475351</v>
      </c>
      <c r="J219" s="392">
        <v>0</v>
      </c>
      <c r="K219" s="392">
        <v>1115910.7</v>
      </c>
      <c r="L219" s="404">
        <f>SUM(I219:K219)</f>
        <v>1591261.7</v>
      </c>
      <c r="M219" s="374"/>
    </row>
    <row r="220" spans="1:13" hidden="1">
      <c r="A220" s="384"/>
      <c r="B220" s="386"/>
      <c r="C220" s="392"/>
      <c r="D220" s="348"/>
      <c r="E220" s="392"/>
      <c r="F220" s="392"/>
      <c r="G220" s="392"/>
      <c r="H220" s="392"/>
      <c r="I220" s="392"/>
      <c r="J220" s="392"/>
      <c r="K220" s="392"/>
      <c r="L220" s="404"/>
      <c r="M220" s="374"/>
    </row>
    <row r="221" spans="1:13" hidden="1">
      <c r="A221" s="384" t="s">
        <v>9</v>
      </c>
      <c r="B221" s="386">
        <v>472036.6</v>
      </c>
      <c r="C221" s="392">
        <v>107665</v>
      </c>
      <c r="D221" s="348">
        <v>0</v>
      </c>
      <c r="E221" s="392">
        <v>4079.6</v>
      </c>
      <c r="F221" s="392">
        <v>111744.6</v>
      </c>
      <c r="G221" s="392">
        <v>9064449.1999999993</v>
      </c>
      <c r="H221" s="392">
        <v>0</v>
      </c>
      <c r="I221" s="392">
        <v>9648230.4000000004</v>
      </c>
      <c r="J221" s="392">
        <v>0</v>
      </c>
      <c r="K221" s="392">
        <v>-7604012.9000000004</v>
      </c>
      <c r="L221" s="404">
        <f>SUM(I221:K221)</f>
        <v>2044217.5</v>
      </c>
      <c r="M221" s="374"/>
    </row>
    <row r="222" spans="1:13" hidden="1">
      <c r="A222" s="384"/>
      <c r="B222" s="386"/>
      <c r="C222" s="392"/>
      <c r="D222" s="348"/>
      <c r="E222" s="392"/>
      <c r="F222" s="392"/>
      <c r="G222" s="392"/>
      <c r="H222" s="392"/>
      <c r="I222" s="392"/>
      <c r="J222" s="392"/>
      <c r="K222" s="392"/>
      <c r="L222" s="404"/>
      <c r="M222" s="374"/>
    </row>
    <row r="223" spans="1:13" hidden="1">
      <c r="A223" s="384" t="s">
        <v>10</v>
      </c>
      <c r="B223" s="386">
        <v>890249.4</v>
      </c>
      <c r="C223" s="392">
        <v>233850.2</v>
      </c>
      <c r="D223" s="348">
        <v>0</v>
      </c>
      <c r="E223" s="392">
        <v>4556.8999999999996</v>
      </c>
      <c r="F223" s="392">
        <v>238407.1</v>
      </c>
      <c r="G223" s="392">
        <v>114527.2</v>
      </c>
      <c r="H223" s="392">
        <v>0</v>
      </c>
      <c r="I223" s="392">
        <v>1243183.7</v>
      </c>
      <c r="J223" s="392">
        <v>0</v>
      </c>
      <c r="K223" s="392">
        <v>1691892.9</v>
      </c>
      <c r="L223" s="404">
        <f>SUM(I223:K223)</f>
        <v>2935076.5999999996</v>
      </c>
      <c r="M223" s="374"/>
    </row>
    <row r="224" spans="1:13" hidden="1">
      <c r="A224" s="384"/>
      <c r="B224" s="386"/>
      <c r="C224" s="392"/>
      <c r="D224" s="348"/>
      <c r="E224" s="392"/>
      <c r="F224" s="392"/>
      <c r="G224" s="392"/>
      <c r="H224" s="392"/>
      <c r="I224" s="392"/>
      <c r="J224" s="392"/>
      <c r="K224" s="392"/>
      <c r="L224" s="404"/>
      <c r="M224" s="374"/>
    </row>
    <row r="225" spans="1:13" hidden="1">
      <c r="A225" s="384" t="s">
        <v>11</v>
      </c>
      <c r="B225" s="386">
        <v>1635153.8</v>
      </c>
      <c r="C225" s="392">
        <v>650455.19999999995</v>
      </c>
      <c r="D225" s="348">
        <v>0</v>
      </c>
      <c r="E225" s="392">
        <v>9761.9</v>
      </c>
      <c r="F225" s="392">
        <v>660217.1</v>
      </c>
      <c r="G225" s="392">
        <v>109972.5</v>
      </c>
      <c r="H225" s="392">
        <v>0</v>
      </c>
      <c r="I225" s="392">
        <v>2405343.4</v>
      </c>
      <c r="J225" s="392">
        <v>0</v>
      </c>
      <c r="K225" s="392">
        <v>2185617.7999999998</v>
      </c>
      <c r="L225" s="404">
        <f>SUM(I225:K225)</f>
        <v>4590961.1999999993</v>
      </c>
      <c r="M225" s="374"/>
    </row>
    <row r="226" spans="1:13" hidden="1">
      <c r="A226" s="384"/>
      <c r="B226" s="386"/>
      <c r="C226" s="392"/>
      <c r="D226" s="348"/>
      <c r="E226" s="392"/>
      <c r="F226" s="392"/>
      <c r="G226" s="392"/>
      <c r="H226" s="392"/>
      <c r="I226" s="392"/>
      <c r="J226" s="392"/>
      <c r="K226" s="392"/>
      <c r="L226" s="404"/>
      <c r="M226" s="374"/>
    </row>
    <row r="227" spans="1:13" hidden="1">
      <c r="A227" s="384" t="s">
        <v>337</v>
      </c>
      <c r="B227" s="386">
        <v>3286738.9</v>
      </c>
      <c r="C227" s="392">
        <v>158688.79999999999</v>
      </c>
      <c r="D227" s="348">
        <v>0</v>
      </c>
      <c r="E227" s="392">
        <v>88164.800000000003</v>
      </c>
      <c r="F227" s="392">
        <v>1673853.6</v>
      </c>
      <c r="G227" s="392">
        <v>110755.9</v>
      </c>
      <c r="H227" s="392">
        <v>0</v>
      </c>
      <c r="I227" s="392">
        <v>5071348.4000000004</v>
      </c>
      <c r="J227" s="392">
        <v>0</v>
      </c>
      <c r="K227" s="392">
        <v>4269260.7</v>
      </c>
      <c r="L227" s="404">
        <f>SUM(I227:K227)</f>
        <v>9340609.1000000015</v>
      </c>
      <c r="M227" s="374"/>
    </row>
    <row r="228" spans="1:13" hidden="1">
      <c r="A228" s="384"/>
      <c r="B228" s="386"/>
      <c r="C228" s="392"/>
      <c r="D228" s="348"/>
      <c r="E228" s="392"/>
      <c r="F228" s="392"/>
      <c r="G228" s="392"/>
      <c r="H228" s="392"/>
      <c r="I228" s="392"/>
      <c r="J228" s="392"/>
      <c r="K228" s="392"/>
      <c r="L228" s="404"/>
      <c r="M228" s="374"/>
    </row>
    <row r="229" spans="1:13" hidden="1">
      <c r="A229" s="384" t="s">
        <v>346</v>
      </c>
      <c r="B229" s="386">
        <v>8336200.7999999998</v>
      </c>
      <c r="C229" s="392">
        <v>3690720.3</v>
      </c>
      <c r="D229" s="348">
        <v>0</v>
      </c>
      <c r="E229" s="392">
        <v>81170.100000000006</v>
      </c>
      <c r="F229" s="392">
        <v>3771890.4</v>
      </c>
      <c r="G229" s="392">
        <v>109585.7</v>
      </c>
      <c r="H229" s="392">
        <v>0</v>
      </c>
      <c r="I229" s="392">
        <v>12217676.9</v>
      </c>
      <c r="J229" s="392">
        <v>0</v>
      </c>
      <c r="K229" s="392">
        <v>9343520.9000000004</v>
      </c>
      <c r="L229" s="404">
        <f>SUM(I229:K229)</f>
        <v>21561197.800000001</v>
      </c>
      <c r="M229" s="374"/>
    </row>
    <row r="230" spans="1:13" hidden="1">
      <c r="A230" s="384"/>
      <c r="B230" s="386"/>
      <c r="C230" s="392"/>
      <c r="D230" s="348"/>
      <c r="E230" s="392"/>
      <c r="F230" s="392"/>
      <c r="G230" s="392"/>
      <c r="H230" s="392"/>
      <c r="I230" s="392"/>
      <c r="J230" s="392"/>
      <c r="K230" s="392"/>
      <c r="L230" s="404"/>
      <c r="M230" s="374"/>
    </row>
    <row r="231" spans="1:13" hidden="1">
      <c r="A231" s="384" t="s">
        <v>347</v>
      </c>
      <c r="B231" s="386">
        <v>13984533.199999999</v>
      </c>
      <c r="C231" s="392">
        <v>7166714.2000000002</v>
      </c>
      <c r="D231" s="348">
        <v>0</v>
      </c>
      <c r="E231" s="392">
        <v>158718</v>
      </c>
      <c r="F231" s="392">
        <v>7325432.2000000002</v>
      </c>
      <c r="G231" s="392">
        <v>105964.7</v>
      </c>
      <c r="H231" s="392">
        <v>0</v>
      </c>
      <c r="I231" s="392">
        <v>21415930.100000001</v>
      </c>
      <c r="J231" s="392">
        <v>0</v>
      </c>
      <c r="K231" s="392">
        <v>13747703.1</v>
      </c>
      <c r="L231" s="404">
        <f>SUM(I231:K231)</f>
        <v>35163633.200000003</v>
      </c>
      <c r="M231" s="374"/>
    </row>
    <row r="232" spans="1:13" hidden="1">
      <c r="A232" s="384"/>
      <c r="B232" s="386"/>
      <c r="C232" s="392"/>
      <c r="D232" s="348"/>
      <c r="E232" s="392"/>
      <c r="F232" s="392"/>
      <c r="G232" s="392"/>
      <c r="H232" s="392"/>
      <c r="I232" s="392"/>
      <c r="J232" s="392"/>
      <c r="K232" s="392"/>
      <c r="L232" s="404"/>
      <c r="M232" s="374"/>
    </row>
    <row r="233" spans="1:13" hidden="1">
      <c r="A233" s="384" t="s">
        <v>12</v>
      </c>
      <c r="B233" s="386">
        <v>18100170.300000001</v>
      </c>
      <c r="C233" s="392">
        <v>10273811.699999999</v>
      </c>
      <c r="D233" s="348">
        <v>0</v>
      </c>
      <c r="E233" s="392">
        <v>347376</v>
      </c>
      <c r="F233" s="392">
        <v>10621187.699999999</v>
      </c>
      <c r="G233" s="392">
        <v>102867.4</v>
      </c>
      <c r="H233" s="392">
        <v>0</v>
      </c>
      <c r="I233" s="392">
        <v>28824225.399999999</v>
      </c>
      <c r="J233" s="392">
        <v>0</v>
      </c>
      <c r="K233" s="392">
        <v>20668653.600000001</v>
      </c>
      <c r="L233" s="404">
        <f>SUM(I233:K233)</f>
        <v>49492879</v>
      </c>
      <c r="M233" s="374"/>
    </row>
    <row r="234" spans="1:13" hidden="1">
      <c r="A234" s="384"/>
      <c r="B234" s="386"/>
      <c r="C234" s="392"/>
      <c r="D234" s="348"/>
      <c r="E234" s="392"/>
      <c r="F234" s="392"/>
      <c r="G234" s="392"/>
      <c r="H234" s="392"/>
      <c r="I234" s="392"/>
      <c r="J234" s="392"/>
      <c r="K234" s="392"/>
      <c r="L234" s="404"/>
      <c r="M234" s="374"/>
    </row>
    <row r="235" spans="1:13" hidden="1">
      <c r="A235" s="384" t="s">
        <v>13</v>
      </c>
      <c r="B235" s="386">
        <v>25200030.5</v>
      </c>
      <c r="C235" s="392">
        <v>13361425.6</v>
      </c>
      <c r="D235" s="348">
        <v>0</v>
      </c>
      <c r="E235" s="392">
        <v>524926.9</v>
      </c>
      <c r="F235" s="392">
        <v>13886352.5</v>
      </c>
      <c r="G235" s="392">
        <v>11049889.4</v>
      </c>
      <c r="H235" s="392">
        <v>0</v>
      </c>
      <c r="I235" s="392">
        <v>50136272.399999999</v>
      </c>
      <c r="J235" s="392">
        <v>0</v>
      </c>
      <c r="K235" s="392">
        <v>32128504.300000001</v>
      </c>
      <c r="L235" s="404">
        <f>SUM(I235:K235)</f>
        <v>82264776.700000003</v>
      </c>
      <c r="M235" s="374"/>
    </row>
    <row r="236" spans="1:13" hidden="1">
      <c r="A236" s="384"/>
      <c r="B236" s="386"/>
      <c r="C236" s="392"/>
      <c r="D236" s="348"/>
      <c r="E236" s="392"/>
      <c r="F236" s="392"/>
      <c r="G236" s="392"/>
      <c r="H236" s="392"/>
      <c r="I236" s="392"/>
      <c r="J236" s="392"/>
      <c r="K236" s="392"/>
      <c r="L236" s="404"/>
      <c r="M236" s="374"/>
    </row>
    <row r="237" spans="1:13" hidden="1">
      <c r="A237" s="384" t="s">
        <v>14</v>
      </c>
      <c r="B237" s="386">
        <v>45457816.299999997</v>
      </c>
      <c r="C237" s="392">
        <v>18205120.899999999</v>
      </c>
      <c r="D237" s="348">
        <v>0</v>
      </c>
      <c r="E237" s="392">
        <v>724599.2</v>
      </c>
      <c r="F237" s="392">
        <v>18929720.100000001</v>
      </c>
      <c r="G237" s="392">
        <v>15262957.5</v>
      </c>
      <c r="H237" s="392">
        <v>0</v>
      </c>
      <c r="I237" s="392">
        <v>79650493.900000006</v>
      </c>
      <c r="J237" s="392">
        <v>0</v>
      </c>
      <c r="K237" s="392">
        <v>102469697.90000001</v>
      </c>
      <c r="L237" s="404">
        <f>SUM(I237:K237)</f>
        <v>182120191.80000001</v>
      </c>
      <c r="M237" s="374"/>
    </row>
    <row r="238" spans="1:13" hidden="1">
      <c r="A238" s="384"/>
      <c r="B238" s="386"/>
      <c r="C238" s="392"/>
      <c r="D238" s="348"/>
      <c r="E238" s="392"/>
      <c r="F238" s="392"/>
      <c r="G238" s="392"/>
      <c r="H238" s="392"/>
      <c r="I238" s="392"/>
      <c r="J238" s="392"/>
      <c r="K238" s="392"/>
      <c r="L238" s="404"/>
      <c r="M238" s="374"/>
    </row>
    <row r="239" spans="1:13" hidden="1">
      <c r="A239" s="384" t="s">
        <v>15</v>
      </c>
      <c r="B239" s="386">
        <v>63821686.899999999</v>
      </c>
      <c r="C239" s="392">
        <v>22970817.899999999</v>
      </c>
      <c r="D239" s="348">
        <v>0</v>
      </c>
      <c r="E239" s="392">
        <v>4620930.5999999996</v>
      </c>
      <c r="F239" s="392">
        <v>27591748.5</v>
      </c>
      <c r="G239" s="392">
        <v>15268602.199999999</v>
      </c>
      <c r="H239" s="392">
        <v>0</v>
      </c>
      <c r="I239" s="392">
        <v>106682037.59999999</v>
      </c>
      <c r="J239" s="392">
        <v>0</v>
      </c>
      <c r="K239" s="392">
        <v>282383617.39999998</v>
      </c>
      <c r="L239" s="404">
        <f>SUM(I239:K239)</f>
        <v>389065655</v>
      </c>
      <c r="M239" s="374"/>
    </row>
    <row r="240" spans="1:13" hidden="1">
      <c r="A240" s="384"/>
      <c r="B240" s="386"/>
      <c r="C240" s="392"/>
      <c r="D240" s="348"/>
      <c r="E240" s="392"/>
      <c r="F240" s="392"/>
      <c r="G240" s="392"/>
      <c r="H240" s="392"/>
      <c r="I240" s="392"/>
      <c r="J240" s="392"/>
      <c r="K240" s="392"/>
      <c r="L240" s="404"/>
      <c r="M240" s="374"/>
    </row>
    <row r="241" spans="1:16" hidden="1">
      <c r="A241" s="384" t="s">
        <v>16</v>
      </c>
      <c r="B241" s="386">
        <v>92008668.700000003</v>
      </c>
      <c r="C241" s="392">
        <v>113394052.59999999</v>
      </c>
      <c r="D241" s="348">
        <v>0</v>
      </c>
      <c r="E241" s="392">
        <v>1371737.9</v>
      </c>
      <c r="F241" s="392">
        <v>114765790.5</v>
      </c>
      <c r="G241" s="392">
        <v>16005062</v>
      </c>
      <c r="H241" s="392">
        <v>0</v>
      </c>
      <c r="I241" s="392">
        <v>222779521.19999999</v>
      </c>
      <c r="J241" s="392">
        <v>0</v>
      </c>
      <c r="K241" s="392">
        <v>519835339.10000002</v>
      </c>
      <c r="L241" s="404">
        <f>SUM(I241:K241)</f>
        <v>742614860.29999995</v>
      </c>
      <c r="M241" s="374"/>
    </row>
    <row r="242" spans="1:16" hidden="1">
      <c r="A242" s="384"/>
      <c r="B242" s="386"/>
      <c r="C242" s="392"/>
      <c r="D242" s="348"/>
      <c r="E242" s="392"/>
      <c r="F242" s="392"/>
      <c r="G242" s="392"/>
      <c r="H242" s="392"/>
      <c r="I242" s="392"/>
      <c r="J242" s="392"/>
      <c r="K242" s="392"/>
      <c r="L242" s="404"/>
      <c r="M242" s="374"/>
    </row>
    <row r="243" spans="1:16" hidden="1">
      <c r="A243" s="408">
        <v>2008</v>
      </c>
      <c r="B243" s="386"/>
      <c r="C243" s="392"/>
      <c r="D243" s="348"/>
      <c r="E243" s="392"/>
      <c r="F243" s="392"/>
      <c r="G243" s="392"/>
      <c r="H243" s="392"/>
      <c r="I243" s="392"/>
      <c r="J243" s="392"/>
      <c r="K243" s="392"/>
      <c r="L243" s="404"/>
      <c r="M243" s="374"/>
    </row>
    <row r="244" spans="1:16" hidden="1">
      <c r="A244" s="411"/>
      <c r="B244" s="386"/>
      <c r="C244" s="392"/>
      <c r="D244" s="348"/>
      <c r="E244" s="392"/>
      <c r="F244" s="392"/>
      <c r="G244" s="392"/>
      <c r="H244" s="392"/>
      <c r="I244" s="392"/>
      <c r="J244" s="392"/>
      <c r="K244" s="392"/>
      <c r="L244" s="404"/>
      <c r="M244" s="374"/>
    </row>
    <row r="245" spans="1:16" hidden="1">
      <c r="A245" s="384" t="s">
        <v>8</v>
      </c>
      <c r="B245" s="348">
        <v>3.3983193360000004E-2</v>
      </c>
      <c r="C245" s="392">
        <v>1.084924078E-2</v>
      </c>
      <c r="D245" s="348">
        <v>0</v>
      </c>
      <c r="E245" s="392">
        <v>1.084924078E-2</v>
      </c>
      <c r="F245" s="392">
        <v>2.169848156E-2</v>
      </c>
      <c r="G245" s="392">
        <v>1.6712414100000001E-3</v>
      </c>
      <c r="H245" s="392">
        <v>0</v>
      </c>
      <c r="I245" s="392">
        <v>5.7352916329999996E-2</v>
      </c>
      <c r="J245" s="392">
        <v>0</v>
      </c>
      <c r="K245" s="392">
        <v>6.0988757160000004E-2</v>
      </c>
      <c r="L245" s="404">
        <f>SUM(I245:K245)</f>
        <v>0.11834167348999999</v>
      </c>
      <c r="M245" s="374"/>
    </row>
    <row r="246" spans="1:16" hidden="1">
      <c r="A246" s="384"/>
      <c r="B246" s="386"/>
      <c r="C246" s="392"/>
      <c r="D246" s="348"/>
      <c r="E246" s="392"/>
      <c r="F246" s="392"/>
      <c r="G246" s="392"/>
      <c r="H246" s="392"/>
      <c r="I246" s="392"/>
      <c r="J246" s="392"/>
      <c r="K246" s="392"/>
      <c r="L246" s="404"/>
      <c r="M246" s="374"/>
    </row>
    <row r="247" spans="1:16" hidden="1">
      <c r="A247" s="384" t="s">
        <v>9</v>
      </c>
      <c r="B247" s="348">
        <v>8.5787640579999991E-2</v>
      </c>
      <c r="C247" s="392">
        <v>8.9884265370000008E-2</v>
      </c>
      <c r="D247" s="348">
        <v>0</v>
      </c>
      <c r="E247" s="392">
        <v>2.9971173699999999E-3</v>
      </c>
      <c r="F247" s="392">
        <v>9.2881382740000004E-2</v>
      </c>
      <c r="G247" s="392">
        <v>1.7230592600000001E-3</v>
      </c>
      <c r="H247" s="392">
        <v>0</v>
      </c>
      <c r="I247" s="392">
        <v>0.18039208258</v>
      </c>
      <c r="J247" s="392">
        <v>0</v>
      </c>
      <c r="K247" s="392">
        <v>6.4047474430000001E-2</v>
      </c>
      <c r="L247" s="404">
        <f>SUM(I247:K247)</f>
        <v>0.24443955701</v>
      </c>
      <c r="M247" s="374"/>
    </row>
    <row r="248" spans="1:16" hidden="1">
      <c r="A248" s="384"/>
      <c r="B248" s="386"/>
      <c r="C248" s="392"/>
      <c r="D248" s="348"/>
      <c r="E248" s="392"/>
      <c r="F248" s="392"/>
      <c r="G248" s="392"/>
      <c r="H248" s="392"/>
      <c r="I248" s="392"/>
      <c r="J248" s="392"/>
      <c r="K248" s="392"/>
      <c r="L248" s="404"/>
      <c r="M248" s="374"/>
    </row>
    <row r="249" spans="1:16" hidden="1">
      <c r="A249" s="384" t="s">
        <v>10</v>
      </c>
      <c r="B249" s="348">
        <v>0.25989410237999999</v>
      </c>
      <c r="C249" s="392">
        <v>0.21518529743000001</v>
      </c>
      <c r="D249" s="348">
        <v>0</v>
      </c>
      <c r="E249" s="392">
        <v>9.1133587499999998E-3</v>
      </c>
      <c r="F249" s="392">
        <v>0.22429865618000003</v>
      </c>
      <c r="G249" s="392">
        <v>1.9133399699999998E-3</v>
      </c>
      <c r="H249" s="392">
        <v>0</v>
      </c>
      <c r="I249" s="392">
        <v>0.48610609853000003</v>
      </c>
      <c r="J249" s="392">
        <v>0</v>
      </c>
      <c r="K249" s="392">
        <v>0.37825077981999999</v>
      </c>
      <c r="L249" s="404">
        <f>SUM(I249:K249)</f>
        <v>0.86435687834999997</v>
      </c>
      <c r="M249" s="374"/>
    </row>
    <row r="250" spans="1:16" hidden="1">
      <c r="A250" s="384"/>
      <c r="B250" s="386"/>
      <c r="C250" s="392"/>
      <c r="D250" s="348"/>
      <c r="E250" s="392"/>
      <c r="F250" s="392"/>
      <c r="G250" s="392"/>
      <c r="H250" s="392"/>
      <c r="I250" s="392"/>
      <c r="J250" s="392"/>
      <c r="K250" s="392"/>
      <c r="L250" s="404"/>
      <c r="M250" s="374"/>
    </row>
    <row r="251" spans="1:16" hidden="1">
      <c r="A251" s="384" t="s">
        <v>11</v>
      </c>
      <c r="B251" s="348">
        <v>0.64874141338000002</v>
      </c>
      <c r="C251" s="392">
        <v>0.51101982866999995</v>
      </c>
      <c r="D251" s="348">
        <v>0</v>
      </c>
      <c r="E251" s="392">
        <v>4.8410720060000002E-2</v>
      </c>
      <c r="F251" s="392">
        <v>0.55943054872999998</v>
      </c>
      <c r="G251" s="392">
        <v>1.8864865699999998E-3</v>
      </c>
      <c r="H251" s="392">
        <v>0</v>
      </c>
      <c r="I251" s="392">
        <v>1.2100584486799999</v>
      </c>
      <c r="J251" s="392">
        <v>0</v>
      </c>
      <c r="K251" s="392">
        <v>0.47101246958000004</v>
      </c>
      <c r="L251" s="404">
        <f>SUM(I251:K251)</f>
        <v>1.6810709182599999</v>
      </c>
      <c r="M251" s="374"/>
    </row>
    <row r="252" spans="1:16" hidden="1">
      <c r="A252" s="384"/>
      <c r="B252" s="386"/>
      <c r="C252" s="392"/>
      <c r="D252" s="348"/>
      <c r="E252" s="392"/>
      <c r="F252" s="392"/>
      <c r="G252" s="392"/>
      <c r="H252" s="392"/>
      <c r="I252" s="392"/>
      <c r="J252" s="392"/>
      <c r="K252" s="392"/>
      <c r="L252" s="404"/>
      <c r="M252" s="374"/>
      <c r="P252" s="283">
        <v>10000000000</v>
      </c>
    </row>
    <row r="253" spans="1:16" hidden="1">
      <c r="A253" s="384" t="s">
        <v>337</v>
      </c>
      <c r="B253" s="348">
        <v>3.9516147852599999</v>
      </c>
      <c r="C253" s="392">
        <v>1.5031089372200002</v>
      </c>
      <c r="D253" s="348">
        <v>0</v>
      </c>
      <c r="E253" s="392">
        <v>5.2120505019999999E-2</v>
      </c>
      <c r="F253" s="392">
        <v>1.5552294422399999</v>
      </c>
      <c r="G253" s="392">
        <v>36.724826000520004</v>
      </c>
      <c r="H253" s="392">
        <v>0</v>
      </c>
      <c r="I253" s="392">
        <v>42.23167022802</v>
      </c>
      <c r="J253" s="392">
        <v>0</v>
      </c>
      <c r="K253" s="392">
        <v>3.2833088636200003</v>
      </c>
      <c r="L253" s="404">
        <f>SUM(I253:K253)</f>
        <v>45.514979091640001</v>
      </c>
      <c r="M253" s="374"/>
    </row>
    <row r="254" spans="1:16" hidden="1">
      <c r="A254" s="384"/>
      <c r="B254" s="386"/>
      <c r="C254" s="392"/>
      <c r="D254" s="348"/>
      <c r="E254" s="392"/>
      <c r="F254" s="392"/>
      <c r="G254" s="392"/>
      <c r="H254" s="392"/>
      <c r="I254" s="392"/>
      <c r="J254" s="392"/>
      <c r="K254" s="392"/>
      <c r="L254" s="404"/>
      <c r="M254" s="374"/>
    </row>
    <row r="255" spans="1:16" hidden="1">
      <c r="A255" s="384" t="s">
        <v>346</v>
      </c>
      <c r="B255" s="412">
        <v>56.896558005269995</v>
      </c>
      <c r="C255" s="413">
        <v>26.81412575997</v>
      </c>
      <c r="D255" s="412">
        <v>0</v>
      </c>
      <c r="E255" s="413">
        <v>0.54809505820000004</v>
      </c>
      <c r="F255" s="413">
        <v>27.362220818170002</v>
      </c>
      <c r="G255" s="413">
        <v>1353.7904091903099</v>
      </c>
      <c r="H255" s="413">
        <v>0</v>
      </c>
      <c r="I255" s="413">
        <v>1438.0491880137499</v>
      </c>
      <c r="J255" s="413">
        <v>0</v>
      </c>
      <c r="K255" s="413">
        <v>614.05971051186998</v>
      </c>
      <c r="L255" s="414">
        <f>SUM(I255:K255)</f>
        <v>2052.1088985256201</v>
      </c>
      <c r="M255" s="374"/>
    </row>
    <row r="256" spans="1:16" hidden="1">
      <c r="A256" s="384"/>
      <c r="B256" s="386"/>
      <c r="C256" s="392"/>
      <c r="D256" s="348"/>
      <c r="E256" s="392"/>
      <c r="F256" s="392"/>
      <c r="G256" s="392"/>
      <c r="H256" s="392"/>
      <c r="I256" s="392"/>
      <c r="J256" s="392"/>
      <c r="K256" s="392"/>
      <c r="L256" s="404"/>
      <c r="M256" s="374"/>
    </row>
    <row r="257" spans="1:13" hidden="1">
      <c r="A257" s="384" t="s">
        <v>347</v>
      </c>
      <c r="B257" s="412">
        <v>401.19142959835</v>
      </c>
      <c r="C257" s="413">
        <v>716.06883607244004</v>
      </c>
      <c r="D257" s="412">
        <v>0</v>
      </c>
      <c r="E257" s="413">
        <v>16.55972573699</v>
      </c>
      <c r="F257" s="413">
        <v>732.62856180942993</v>
      </c>
      <c r="G257" s="413">
        <v>13739.1438144201</v>
      </c>
      <c r="H257" s="413">
        <v>0</v>
      </c>
      <c r="I257" s="413">
        <v>14872.9638058279</v>
      </c>
      <c r="J257" s="413">
        <v>0</v>
      </c>
      <c r="K257" s="413">
        <v>-2616.2652236440199</v>
      </c>
      <c r="L257" s="414">
        <f>SUM(I257:K257)</f>
        <v>12256.698582183879</v>
      </c>
      <c r="M257" s="374"/>
    </row>
    <row r="258" spans="1:13" hidden="1">
      <c r="A258" s="384"/>
      <c r="B258" s="348"/>
      <c r="C258" s="392"/>
      <c r="D258" s="348"/>
      <c r="E258" s="392"/>
      <c r="F258" s="392"/>
      <c r="G258" s="392"/>
      <c r="H258" s="392"/>
      <c r="I258" s="392"/>
      <c r="J258" s="392"/>
      <c r="K258" s="392"/>
      <c r="L258" s="404"/>
      <c r="M258" s="374"/>
    </row>
    <row r="259" spans="1:13" hidden="1">
      <c r="A259" s="384" t="s">
        <v>12</v>
      </c>
      <c r="B259" s="412">
        <v>6098.2</v>
      </c>
      <c r="C259" s="413">
        <v>5102.8</v>
      </c>
      <c r="D259" s="412">
        <v>0</v>
      </c>
      <c r="E259" s="413">
        <v>114.9</v>
      </c>
      <c r="F259" s="413">
        <v>5217.7</v>
      </c>
      <c r="G259" s="413">
        <v>23074</v>
      </c>
      <c r="H259" s="413">
        <v>0</v>
      </c>
      <c r="I259" s="413">
        <v>34389</v>
      </c>
      <c r="J259" s="413">
        <v>0</v>
      </c>
      <c r="K259" s="413">
        <v>281185</v>
      </c>
      <c r="L259" s="414">
        <f>SUM(I259:K259)</f>
        <v>315574</v>
      </c>
      <c r="M259" s="374"/>
    </row>
    <row r="260" spans="1:13" hidden="1">
      <c r="A260" s="384"/>
      <c r="B260" s="348"/>
      <c r="C260" s="392"/>
      <c r="D260" s="348"/>
      <c r="E260" s="392"/>
      <c r="F260" s="392"/>
      <c r="G260" s="392"/>
      <c r="H260" s="392"/>
      <c r="I260" s="392"/>
      <c r="J260" s="392"/>
      <c r="K260" s="392"/>
      <c r="L260" s="404"/>
      <c r="M260" s="374"/>
    </row>
    <row r="261" spans="1:13" hidden="1">
      <c r="A261" s="384" t="s">
        <v>13</v>
      </c>
      <c r="B261" s="412">
        <v>78870</v>
      </c>
      <c r="C261" s="413">
        <v>17694575.800000001</v>
      </c>
      <c r="D261" s="412">
        <v>0</v>
      </c>
      <c r="E261" s="413">
        <v>988044.4</v>
      </c>
      <c r="F261" s="413">
        <v>18682620.199999999</v>
      </c>
      <c r="G261" s="413">
        <v>87126.3</v>
      </c>
      <c r="H261" s="413">
        <v>0</v>
      </c>
      <c r="I261" s="413">
        <v>18848616.5</v>
      </c>
      <c r="J261" s="413">
        <v>0</v>
      </c>
      <c r="K261" s="413">
        <v>31543124</v>
      </c>
      <c r="L261" s="414">
        <f>SUM(I261:K261)</f>
        <v>50391740.5</v>
      </c>
      <c r="M261" s="374"/>
    </row>
    <row r="262" spans="1:13" hidden="1">
      <c r="A262" s="384"/>
      <c r="B262" s="348"/>
      <c r="C262" s="392"/>
      <c r="D262" s="348"/>
      <c r="E262" s="392"/>
      <c r="F262" s="392"/>
      <c r="G262" s="392"/>
      <c r="H262" s="392"/>
      <c r="I262" s="392"/>
      <c r="J262" s="392"/>
      <c r="K262" s="392"/>
      <c r="L262" s="404"/>
      <c r="M262" s="374"/>
    </row>
    <row r="263" spans="1:13" hidden="1">
      <c r="A263" s="384" t="s">
        <v>14</v>
      </c>
      <c r="B263" s="348">
        <v>1678419.7</v>
      </c>
      <c r="C263" s="392">
        <v>1989449785459.3</v>
      </c>
      <c r="D263" s="348">
        <v>0</v>
      </c>
      <c r="E263" s="392">
        <v>170833741508.10001</v>
      </c>
      <c r="F263" s="392">
        <v>2160283526967.3999</v>
      </c>
      <c r="G263" s="392">
        <v>446085.8</v>
      </c>
      <c r="H263" s="392">
        <v>0</v>
      </c>
      <c r="I263" s="392">
        <v>2160285651472.8999</v>
      </c>
      <c r="J263" s="392">
        <v>0</v>
      </c>
      <c r="K263" s="392">
        <v>8206620175901.7002</v>
      </c>
      <c r="L263" s="414">
        <f>SUM(I263:K263)</f>
        <v>10366905827374.6</v>
      </c>
      <c r="M263" s="374"/>
    </row>
    <row r="264" spans="1:13" hidden="1">
      <c r="A264" s="384"/>
      <c r="B264" s="348"/>
      <c r="C264" s="392"/>
      <c r="D264" s="348"/>
      <c r="E264" s="392"/>
      <c r="F264" s="392"/>
      <c r="G264" s="392"/>
      <c r="H264" s="392"/>
      <c r="I264" s="392"/>
      <c r="J264" s="392"/>
      <c r="K264" s="392"/>
      <c r="L264" s="404"/>
      <c r="M264" s="374"/>
    </row>
    <row r="265" spans="1:13" hidden="1">
      <c r="A265" s="384" t="s">
        <v>15</v>
      </c>
      <c r="B265" s="348">
        <v>19312142.300000001</v>
      </c>
      <c r="C265" s="392">
        <v>3.19590054728179E+16</v>
      </c>
      <c r="D265" s="348">
        <v>0</v>
      </c>
      <c r="E265" s="392">
        <v>132217287737661</v>
      </c>
      <c r="F265" s="392">
        <v>3.20912227605556E+16</v>
      </c>
      <c r="G265" s="392">
        <v>45970473.700000003</v>
      </c>
      <c r="H265" s="392">
        <v>0</v>
      </c>
      <c r="I265" s="392">
        <v>3.20912228258382E+16</v>
      </c>
      <c r="J265" s="392">
        <v>0</v>
      </c>
      <c r="K265" s="392">
        <v>5.5920914313035098E+17</v>
      </c>
      <c r="L265" s="414">
        <f>SUM(I265:K265)</f>
        <v>5.9130036595618918E+17</v>
      </c>
      <c r="M265" s="374"/>
    </row>
    <row r="266" spans="1:13" hidden="1">
      <c r="A266" s="384"/>
      <c r="B266" s="348"/>
      <c r="C266" s="392"/>
      <c r="D266" s="348"/>
      <c r="E266" s="392"/>
      <c r="F266" s="392"/>
      <c r="G266" s="392"/>
      <c r="H266" s="392"/>
      <c r="I266" s="392"/>
      <c r="J266" s="392"/>
      <c r="K266" s="392"/>
      <c r="L266" s="404"/>
      <c r="M266" s="374"/>
    </row>
    <row r="267" spans="1:13" hidden="1">
      <c r="A267" s="384" t="s">
        <v>16</v>
      </c>
      <c r="B267" s="348">
        <v>22548076389.400002</v>
      </c>
      <c r="C267" s="392">
        <v>2.26112718297856E+17</v>
      </c>
      <c r="D267" s="348">
        <v>0</v>
      </c>
      <c r="E267" s="392">
        <v>1.2473092392009E+16</v>
      </c>
      <c r="F267" s="392">
        <v>2.3858581068986499E+17</v>
      </c>
      <c r="G267" s="392">
        <v>5116231814.6999998</v>
      </c>
      <c r="H267" s="392">
        <v>0</v>
      </c>
      <c r="I267" s="392">
        <v>2.3858583835417299E+17</v>
      </c>
      <c r="J267" s="392">
        <v>0</v>
      </c>
      <c r="K267" s="392">
        <v>5.4589357950692004E+18</v>
      </c>
      <c r="L267" s="414">
        <f>SUM(I267:K267)</f>
        <v>5.6975216334233733E+18</v>
      </c>
      <c r="M267" s="374"/>
    </row>
    <row r="268" spans="1:13" ht="18.75" hidden="1" customHeight="1" thickBot="1">
      <c r="A268" s="353"/>
      <c r="B268" s="415"/>
      <c r="C268" s="415"/>
      <c r="D268" s="416"/>
      <c r="E268" s="415"/>
      <c r="F268" s="415"/>
      <c r="G268" s="415"/>
      <c r="H268" s="415"/>
      <c r="I268" s="415"/>
      <c r="J268" s="415"/>
      <c r="K268" s="415"/>
      <c r="L268" s="417"/>
      <c r="M268" s="374"/>
    </row>
    <row r="269" spans="1:13" ht="12.75" hidden="1" customHeight="1" thickTop="1">
      <c r="A269" s="418"/>
      <c r="B269" s="419"/>
      <c r="C269" s="419"/>
      <c r="D269" s="307"/>
      <c r="E269" s="419"/>
      <c r="G269" s="419"/>
      <c r="H269" s="419"/>
      <c r="I269" s="419"/>
      <c r="J269" s="419"/>
      <c r="K269" s="419"/>
      <c r="L269" s="307"/>
    </row>
    <row r="270" spans="1:13" ht="15.75" hidden="1" customHeight="1">
      <c r="A270" s="282" t="s">
        <v>54</v>
      </c>
    </row>
    <row r="271" spans="1:13" ht="18" hidden="1" customHeight="1">
      <c r="A271" s="282" t="s">
        <v>55</v>
      </c>
    </row>
    <row r="272" spans="1:13" ht="12.75" hidden="1" customHeight="1">
      <c r="A272" s="282"/>
    </row>
    <row r="273" spans="1:13" ht="20.25" hidden="1" customHeight="1">
      <c r="A273" s="366"/>
    </row>
    <row r="274" spans="1:13" ht="12.75" hidden="1" customHeight="1">
      <c r="A274" s="282"/>
    </row>
    <row r="275" spans="1:13" ht="18" hidden="1" customHeight="1">
      <c r="A275" s="418"/>
      <c r="B275" s="419"/>
      <c r="C275" s="309"/>
      <c r="D275" s="307"/>
      <c r="E275" s="419"/>
      <c r="F275" s="419"/>
      <c r="G275" s="419"/>
      <c r="H275" s="419"/>
      <c r="I275" s="419"/>
      <c r="J275" s="419"/>
      <c r="K275" s="419"/>
      <c r="L275" s="307"/>
    </row>
    <row r="276" spans="1:13" ht="12.75" hidden="1" customHeight="1">
      <c r="A276" s="282"/>
    </row>
    <row r="277" spans="1:13" ht="12.75" hidden="1" customHeight="1">
      <c r="A277" s="282"/>
      <c r="B277" s="420"/>
      <c r="C277" s="420"/>
      <c r="D277" s="403"/>
      <c r="E277" s="420"/>
      <c r="F277" s="420"/>
      <c r="G277" s="420"/>
      <c r="H277" s="420"/>
      <c r="I277" s="420"/>
      <c r="J277" s="420"/>
      <c r="K277" s="420"/>
      <c r="L277" s="403"/>
      <c r="M277" s="374"/>
    </row>
    <row r="278" spans="1:13" ht="16.5" hidden="1" customHeight="1">
      <c r="A278" s="282"/>
      <c r="B278" s="1943"/>
      <c r="C278" s="1943"/>
      <c r="D278" s="1943"/>
      <c r="E278" s="421"/>
      <c r="F278" s="420"/>
      <c r="G278" s="420"/>
      <c r="H278" s="420"/>
      <c r="I278" s="420"/>
      <c r="J278" s="420"/>
      <c r="K278" s="420"/>
      <c r="L278" s="403"/>
      <c r="M278" s="374"/>
    </row>
    <row r="279" spans="1:13" ht="12.75" hidden="1" customHeight="1">
      <c r="A279" s="282"/>
      <c r="B279" s="420"/>
      <c r="C279" s="420"/>
      <c r="D279" s="403"/>
      <c r="E279" s="420"/>
      <c r="F279" s="420"/>
      <c r="G279" s="420"/>
      <c r="H279" s="420"/>
      <c r="I279" s="420"/>
      <c r="J279" s="420"/>
      <c r="K279" s="420"/>
      <c r="L279" s="403"/>
      <c r="M279" s="374"/>
    </row>
    <row r="280" spans="1:13" ht="12.75" hidden="1" customHeight="1">
      <c r="A280" s="282"/>
      <c r="B280" s="420"/>
      <c r="C280" s="420"/>
      <c r="D280" s="403"/>
      <c r="E280" s="420"/>
      <c r="F280" s="420"/>
      <c r="G280" s="420"/>
      <c r="H280" s="420"/>
      <c r="I280" s="420"/>
      <c r="J280" s="420"/>
      <c r="K280" s="420"/>
      <c r="L280" s="403"/>
      <c r="M280" s="374"/>
    </row>
    <row r="281" spans="1:13" ht="19.5" hidden="1" customHeight="1">
      <c r="A281" s="381"/>
      <c r="B281" s="420"/>
      <c r="C281" s="420"/>
      <c r="D281" s="403"/>
      <c r="E281" s="420"/>
      <c r="F281" s="420"/>
      <c r="G281" s="420"/>
      <c r="H281" s="420"/>
      <c r="I281" s="420"/>
      <c r="J281" s="420"/>
      <c r="K281" s="420"/>
      <c r="L281" s="403"/>
      <c r="M281" s="374"/>
    </row>
    <row r="282" spans="1:13" ht="18" hidden="1" customHeight="1">
      <c r="A282" s="381"/>
      <c r="B282" s="420"/>
      <c r="C282" s="420"/>
      <c r="D282" s="403"/>
      <c r="E282" s="420"/>
      <c r="F282" s="420"/>
      <c r="G282" s="420"/>
      <c r="H282" s="420"/>
      <c r="I282" s="420"/>
      <c r="J282" s="420"/>
      <c r="K282" s="420"/>
      <c r="L282" s="403"/>
      <c r="M282" s="374"/>
    </row>
    <row r="283" spans="1:13" ht="12.75" hidden="1" customHeight="1" thickBot="1">
      <c r="A283" s="418"/>
      <c r="B283" s="420"/>
      <c r="C283" s="420"/>
      <c r="D283" s="403"/>
      <c r="E283" s="420"/>
      <c r="F283" s="420"/>
      <c r="G283" s="420"/>
      <c r="H283" s="420"/>
      <c r="I283" s="420"/>
      <c r="J283" s="420"/>
      <c r="K283" s="420"/>
      <c r="L283" s="403"/>
      <c r="M283" s="374"/>
    </row>
    <row r="284" spans="1:13" ht="12.75" customHeight="1" thickTop="1">
      <c r="A284" s="368"/>
      <c r="B284" s="422"/>
      <c r="C284" s="423"/>
      <c r="D284" s="424"/>
      <c r="E284" s="423"/>
      <c r="F284" s="423"/>
      <c r="G284" s="423"/>
      <c r="H284" s="423"/>
      <c r="I284" s="423"/>
      <c r="J284" s="425"/>
      <c r="K284" s="422"/>
      <c r="L284" s="424"/>
      <c r="M284" s="374"/>
    </row>
    <row r="285" spans="1:13" ht="12.75" hidden="1" customHeight="1">
      <c r="A285" s="400"/>
      <c r="B285" s="426"/>
      <c r="C285" s="427"/>
      <c r="D285" s="428"/>
      <c r="E285" s="427"/>
      <c r="F285" s="427"/>
      <c r="G285" s="427"/>
      <c r="H285" s="427"/>
      <c r="I285" s="427"/>
      <c r="J285" s="406"/>
      <c r="K285" s="426"/>
      <c r="L285" s="428"/>
      <c r="M285" s="374"/>
    </row>
    <row r="286" spans="1:13" ht="12.75" hidden="1" customHeight="1">
      <c r="A286" s="375"/>
      <c r="B286" s="426"/>
      <c r="C286" s="427"/>
      <c r="D286" s="428"/>
      <c r="E286" s="427"/>
      <c r="F286" s="427"/>
      <c r="G286" s="427"/>
      <c r="H286" s="427"/>
      <c r="I286" s="427"/>
      <c r="J286" s="406"/>
      <c r="K286" s="426"/>
      <c r="L286" s="428"/>
      <c r="M286" s="374"/>
    </row>
    <row r="287" spans="1:13" ht="12.75" hidden="1" customHeight="1">
      <c r="A287" s="384"/>
      <c r="B287" s="392"/>
      <c r="C287" s="392"/>
      <c r="D287" s="392"/>
      <c r="E287" s="392"/>
      <c r="F287" s="392"/>
      <c r="G287" s="392"/>
      <c r="H287" s="392"/>
      <c r="I287" s="392"/>
      <c r="J287" s="392"/>
      <c r="K287" s="392"/>
      <c r="L287" s="428"/>
      <c r="M287" s="374"/>
    </row>
    <row r="288" spans="1:13" ht="12.75" hidden="1" customHeight="1">
      <c r="A288" s="384"/>
      <c r="B288" s="392"/>
      <c r="C288" s="392"/>
      <c r="D288" s="392"/>
      <c r="E288" s="392"/>
      <c r="F288" s="392"/>
      <c r="G288" s="392"/>
      <c r="H288" s="392"/>
      <c r="I288" s="392"/>
      <c r="J288" s="392"/>
      <c r="K288" s="392"/>
      <c r="L288" s="428"/>
      <c r="M288" s="374"/>
    </row>
    <row r="289" spans="1:13" ht="12.75" hidden="1" customHeight="1">
      <c r="A289" s="384"/>
      <c r="B289" s="392"/>
      <c r="C289" s="392"/>
      <c r="D289" s="392"/>
      <c r="E289" s="392"/>
      <c r="F289" s="392"/>
      <c r="G289" s="392"/>
      <c r="H289" s="392"/>
      <c r="I289" s="392"/>
      <c r="J289" s="392"/>
      <c r="K289" s="392"/>
      <c r="L289" s="428"/>
      <c r="M289" s="374"/>
    </row>
    <row r="290" spans="1:13" ht="12.75" hidden="1" customHeight="1">
      <c r="A290" s="384"/>
      <c r="B290" s="392"/>
      <c r="C290" s="392"/>
      <c r="D290" s="392"/>
      <c r="E290" s="392"/>
      <c r="F290" s="392"/>
      <c r="G290" s="392"/>
      <c r="H290" s="392"/>
      <c r="I290" s="392"/>
      <c r="J290" s="392"/>
      <c r="K290" s="392"/>
      <c r="L290" s="428"/>
      <c r="M290" s="374"/>
    </row>
    <row r="291" spans="1:13" ht="12.75" hidden="1" customHeight="1">
      <c r="A291" s="384"/>
      <c r="B291" s="392"/>
      <c r="C291" s="392"/>
      <c r="D291" s="392"/>
      <c r="E291" s="392"/>
      <c r="F291" s="392"/>
      <c r="G291" s="392"/>
      <c r="H291" s="392"/>
      <c r="I291" s="392"/>
      <c r="J291" s="392"/>
      <c r="K291" s="392"/>
      <c r="L291" s="428"/>
      <c r="M291" s="374"/>
    </row>
    <row r="292" spans="1:13" ht="12.75" hidden="1" customHeight="1">
      <c r="A292" s="384"/>
      <c r="B292" s="392"/>
      <c r="C292" s="392"/>
      <c r="D292" s="392"/>
      <c r="E292" s="392"/>
      <c r="F292" s="392"/>
      <c r="G292" s="392"/>
      <c r="H292" s="392"/>
      <c r="I292" s="392"/>
      <c r="J292" s="392"/>
      <c r="K292" s="392"/>
      <c r="L292" s="428"/>
      <c r="M292" s="374"/>
    </row>
    <row r="293" spans="1:13" ht="12.75" hidden="1" customHeight="1">
      <c r="A293" s="384"/>
      <c r="B293" s="392"/>
      <c r="C293" s="392"/>
      <c r="D293" s="392"/>
      <c r="E293" s="392"/>
      <c r="F293" s="392"/>
      <c r="G293" s="392"/>
      <c r="H293" s="392"/>
      <c r="I293" s="392"/>
      <c r="J293" s="392"/>
      <c r="K293" s="392"/>
      <c r="L293" s="428"/>
      <c r="M293" s="374"/>
    </row>
    <row r="294" spans="1:13" ht="12.75" hidden="1" customHeight="1">
      <c r="A294" s="384"/>
      <c r="B294" s="392"/>
      <c r="C294" s="392"/>
      <c r="D294" s="392"/>
      <c r="E294" s="392"/>
      <c r="F294" s="392"/>
      <c r="G294" s="392"/>
      <c r="H294" s="392"/>
      <c r="I294" s="392"/>
      <c r="J294" s="392"/>
      <c r="K294" s="392"/>
      <c r="L294" s="428"/>
      <c r="M294" s="374"/>
    </row>
    <row r="295" spans="1:13" ht="12.75" hidden="1" customHeight="1">
      <c r="A295" s="384"/>
      <c r="B295" s="392"/>
      <c r="C295" s="392"/>
      <c r="D295" s="392"/>
      <c r="E295" s="392"/>
      <c r="F295" s="392"/>
      <c r="G295" s="392"/>
      <c r="H295" s="392"/>
      <c r="I295" s="392"/>
      <c r="J295" s="392"/>
      <c r="K295" s="392"/>
      <c r="L295" s="428"/>
      <c r="M295" s="374"/>
    </row>
    <row r="296" spans="1:13" ht="12.75" hidden="1" customHeight="1">
      <c r="A296" s="384"/>
      <c r="B296" s="392"/>
      <c r="C296" s="392"/>
      <c r="D296" s="392"/>
      <c r="E296" s="392"/>
      <c r="F296" s="392"/>
      <c r="G296" s="392"/>
      <c r="H296" s="392"/>
      <c r="I296" s="392"/>
      <c r="J296" s="392"/>
      <c r="K296" s="392"/>
      <c r="L296" s="428"/>
      <c r="M296" s="374"/>
    </row>
    <row r="297" spans="1:13" ht="12.75" hidden="1" customHeight="1">
      <c r="A297" s="384"/>
      <c r="B297" s="392"/>
      <c r="C297" s="392"/>
      <c r="D297" s="392"/>
      <c r="E297" s="392"/>
      <c r="F297" s="392"/>
      <c r="G297" s="392"/>
      <c r="H297" s="392"/>
      <c r="I297" s="392"/>
      <c r="J297" s="392"/>
      <c r="K297" s="392"/>
      <c r="L297" s="428"/>
      <c r="M297" s="374"/>
    </row>
    <row r="298" spans="1:13" ht="12.75" hidden="1" customHeight="1">
      <c r="A298" s="384"/>
      <c r="B298" s="392"/>
      <c r="C298" s="392"/>
      <c r="D298" s="392"/>
      <c r="E298" s="392"/>
      <c r="F298" s="392"/>
      <c r="G298" s="392"/>
      <c r="H298" s="392"/>
      <c r="I298" s="392"/>
      <c r="J298" s="392"/>
      <c r="K298" s="392"/>
      <c r="L298" s="428"/>
      <c r="M298" s="374"/>
    </row>
    <row r="299" spans="1:13" ht="12.75" hidden="1" customHeight="1">
      <c r="A299" s="384"/>
      <c r="B299" s="426"/>
      <c r="C299" s="427"/>
      <c r="D299" s="428"/>
      <c r="E299" s="427"/>
      <c r="F299" s="427"/>
      <c r="G299" s="427"/>
      <c r="H299" s="427"/>
      <c r="I299" s="427"/>
      <c r="J299" s="406"/>
      <c r="K299" s="426"/>
      <c r="L299" s="428"/>
      <c r="M299" s="374"/>
    </row>
    <row r="300" spans="1:13" ht="12.75" hidden="1" customHeight="1">
      <c r="A300" s="400"/>
      <c r="B300" s="426"/>
      <c r="C300" s="427"/>
      <c r="D300" s="428"/>
      <c r="E300" s="427"/>
      <c r="F300" s="427"/>
      <c r="G300" s="427"/>
      <c r="H300" s="427"/>
      <c r="I300" s="427"/>
      <c r="J300" s="406"/>
      <c r="K300" s="426"/>
      <c r="L300" s="428"/>
      <c r="M300" s="374"/>
    </row>
    <row r="301" spans="1:13" ht="12.75" hidden="1" customHeight="1">
      <c r="A301" s="384"/>
      <c r="B301" s="426"/>
      <c r="C301" s="427"/>
      <c r="D301" s="428"/>
      <c r="E301" s="427"/>
      <c r="F301" s="427"/>
      <c r="G301" s="427"/>
      <c r="H301" s="427"/>
      <c r="I301" s="427"/>
      <c r="J301" s="406"/>
      <c r="K301" s="426"/>
      <c r="L301" s="428"/>
      <c r="M301" s="374"/>
    </row>
    <row r="302" spans="1:13" ht="12.75" hidden="1" customHeight="1">
      <c r="A302" s="384"/>
      <c r="B302" s="392"/>
      <c r="C302" s="392"/>
      <c r="D302" s="392"/>
      <c r="E302" s="392"/>
      <c r="F302" s="392"/>
      <c r="G302" s="392"/>
      <c r="H302" s="392"/>
      <c r="I302" s="392"/>
      <c r="J302" s="392"/>
      <c r="K302" s="392"/>
      <c r="L302" s="428"/>
      <c r="M302" s="374"/>
    </row>
    <row r="303" spans="1:13" ht="12.75" hidden="1" customHeight="1">
      <c r="A303" s="384"/>
      <c r="B303" s="426"/>
      <c r="C303" s="427"/>
      <c r="D303" s="428"/>
      <c r="E303" s="427"/>
      <c r="F303" s="427"/>
      <c r="G303" s="427"/>
      <c r="H303" s="427"/>
      <c r="I303" s="427"/>
      <c r="J303" s="406"/>
      <c r="K303" s="426"/>
      <c r="L303" s="428"/>
      <c r="M303" s="374"/>
    </row>
    <row r="304" spans="1:13" ht="12.75" hidden="1" customHeight="1">
      <c r="A304" s="384"/>
      <c r="B304" s="392"/>
      <c r="C304" s="392"/>
      <c r="D304" s="392"/>
      <c r="E304" s="392"/>
      <c r="F304" s="392"/>
      <c r="G304" s="392"/>
      <c r="H304" s="392"/>
      <c r="I304" s="392"/>
      <c r="J304" s="392"/>
      <c r="K304" s="392"/>
      <c r="L304" s="428"/>
      <c r="M304" s="374"/>
    </row>
    <row r="305" spans="1:13" ht="12.75" hidden="1" customHeight="1">
      <c r="A305" s="384"/>
      <c r="B305" s="426"/>
      <c r="C305" s="427"/>
      <c r="D305" s="428"/>
      <c r="E305" s="427"/>
      <c r="F305" s="427"/>
      <c r="G305" s="427"/>
      <c r="H305" s="427"/>
      <c r="I305" s="427"/>
      <c r="J305" s="406"/>
      <c r="K305" s="426"/>
      <c r="L305" s="428"/>
      <c r="M305" s="374"/>
    </row>
    <row r="306" spans="1:13" ht="12.75" hidden="1" customHeight="1">
      <c r="A306" s="384"/>
      <c r="B306" s="392"/>
      <c r="C306" s="392"/>
      <c r="D306" s="392"/>
      <c r="E306" s="392"/>
      <c r="F306" s="392"/>
      <c r="G306" s="392"/>
      <c r="H306" s="392"/>
      <c r="I306" s="392"/>
      <c r="J306" s="392"/>
      <c r="K306" s="392"/>
      <c r="L306" s="428"/>
      <c r="M306" s="374"/>
    </row>
    <row r="307" spans="1:13" ht="12.75" hidden="1" customHeight="1">
      <c r="A307" s="384"/>
      <c r="B307" s="426"/>
      <c r="C307" s="427"/>
      <c r="D307" s="428"/>
      <c r="E307" s="427"/>
      <c r="F307" s="427"/>
      <c r="G307" s="427"/>
      <c r="H307" s="427"/>
      <c r="I307" s="427"/>
      <c r="J307" s="406"/>
      <c r="K307" s="426"/>
      <c r="L307" s="428"/>
      <c r="M307" s="374"/>
    </row>
    <row r="308" spans="1:13" ht="12.75" hidden="1" customHeight="1">
      <c r="A308" s="384"/>
      <c r="B308" s="392"/>
      <c r="C308" s="392"/>
      <c r="D308" s="392"/>
      <c r="E308" s="392"/>
      <c r="F308" s="392"/>
      <c r="G308" s="392"/>
      <c r="H308" s="392"/>
      <c r="I308" s="392"/>
      <c r="J308" s="392"/>
      <c r="K308" s="392"/>
      <c r="L308" s="428"/>
      <c r="M308" s="374"/>
    </row>
    <row r="309" spans="1:13" ht="12.75" hidden="1" customHeight="1">
      <c r="A309" s="384"/>
      <c r="B309" s="426"/>
      <c r="C309" s="427"/>
      <c r="D309" s="428"/>
      <c r="E309" s="427"/>
      <c r="F309" s="427"/>
      <c r="G309" s="427"/>
      <c r="H309" s="427"/>
      <c r="I309" s="427"/>
      <c r="J309" s="406"/>
      <c r="K309" s="426"/>
      <c r="L309" s="428"/>
      <c r="M309" s="374"/>
    </row>
    <row r="310" spans="1:13" ht="12.75" hidden="1" customHeight="1">
      <c r="A310" s="384"/>
      <c r="B310" s="392"/>
      <c r="C310" s="392"/>
      <c r="D310" s="392"/>
      <c r="E310" s="392"/>
      <c r="F310" s="392"/>
      <c r="G310" s="392"/>
      <c r="H310" s="392"/>
      <c r="I310" s="392"/>
      <c r="J310" s="392"/>
      <c r="K310" s="392"/>
      <c r="L310" s="428"/>
      <c r="M310" s="374"/>
    </row>
    <row r="311" spans="1:13" ht="12.75" hidden="1" customHeight="1">
      <c r="A311" s="384"/>
      <c r="B311" s="426"/>
      <c r="C311" s="427"/>
      <c r="D311" s="428"/>
      <c r="E311" s="427"/>
      <c r="F311" s="427"/>
      <c r="G311" s="427"/>
      <c r="H311" s="427"/>
      <c r="I311" s="427"/>
      <c r="J311" s="406"/>
      <c r="K311" s="426"/>
      <c r="L311" s="428"/>
      <c r="M311" s="374"/>
    </row>
    <row r="312" spans="1:13" ht="12.75" hidden="1" customHeight="1">
      <c r="A312" s="384"/>
      <c r="B312" s="392"/>
      <c r="C312" s="392"/>
      <c r="D312" s="392"/>
      <c r="E312" s="392"/>
      <c r="F312" s="392"/>
      <c r="G312" s="392"/>
      <c r="H312" s="392"/>
      <c r="I312" s="392"/>
      <c r="J312" s="392"/>
      <c r="K312" s="392"/>
      <c r="L312" s="428"/>
      <c r="M312" s="374"/>
    </row>
    <row r="313" spans="1:13" ht="12.75" hidden="1" customHeight="1">
      <c r="A313" s="384"/>
      <c r="B313" s="426"/>
      <c r="C313" s="427"/>
      <c r="D313" s="428"/>
      <c r="E313" s="427"/>
      <c r="F313" s="427"/>
      <c r="G313" s="427"/>
      <c r="H313" s="427"/>
      <c r="I313" s="427"/>
      <c r="J313" s="406"/>
      <c r="K313" s="426"/>
      <c r="L313" s="428"/>
      <c r="M313" s="374"/>
    </row>
    <row r="314" spans="1:13" ht="12.75" hidden="1" customHeight="1">
      <c r="A314" s="384"/>
      <c r="B314" s="392"/>
      <c r="C314" s="392"/>
      <c r="D314" s="392"/>
      <c r="E314" s="392"/>
      <c r="F314" s="392"/>
      <c r="G314" s="392"/>
      <c r="H314" s="392"/>
      <c r="I314" s="392"/>
      <c r="J314" s="392"/>
      <c r="K314" s="392"/>
      <c r="L314" s="428"/>
      <c r="M314" s="374"/>
    </row>
    <row r="315" spans="1:13" ht="12.75" hidden="1" customHeight="1">
      <c r="A315" s="384"/>
      <c r="B315" s="426"/>
      <c r="C315" s="427"/>
      <c r="D315" s="428"/>
      <c r="E315" s="427"/>
      <c r="F315" s="427"/>
      <c r="G315" s="427"/>
      <c r="H315" s="427"/>
      <c r="I315" s="427"/>
      <c r="J315" s="406"/>
      <c r="K315" s="426"/>
      <c r="L315" s="428"/>
      <c r="M315" s="374"/>
    </row>
    <row r="316" spans="1:13" ht="12.75" hidden="1" customHeight="1">
      <c r="A316" s="384"/>
      <c r="B316" s="392"/>
      <c r="C316" s="392"/>
      <c r="D316" s="392"/>
      <c r="E316" s="392"/>
      <c r="F316" s="392"/>
      <c r="G316" s="392"/>
      <c r="H316" s="392"/>
      <c r="I316" s="392"/>
      <c r="J316" s="392"/>
      <c r="K316" s="392"/>
      <c r="L316" s="428"/>
      <c r="M316" s="374"/>
    </row>
    <row r="317" spans="1:13" ht="12.75" hidden="1" customHeight="1">
      <c r="A317" s="384"/>
      <c r="B317" s="426"/>
      <c r="C317" s="427"/>
      <c r="D317" s="428"/>
      <c r="E317" s="427"/>
      <c r="F317" s="427"/>
      <c r="G317" s="427"/>
      <c r="H317" s="427"/>
      <c r="I317" s="427"/>
      <c r="J317" s="406"/>
      <c r="K317" s="426"/>
      <c r="L317" s="428"/>
      <c r="M317" s="374"/>
    </row>
    <row r="318" spans="1:13" ht="12.75" hidden="1" customHeight="1">
      <c r="A318" s="384"/>
      <c r="B318" s="392"/>
      <c r="C318" s="392"/>
      <c r="D318" s="392"/>
      <c r="E318" s="392"/>
      <c r="F318" s="392"/>
      <c r="G318" s="392"/>
      <c r="H318" s="392"/>
      <c r="I318" s="392"/>
      <c r="J318" s="392"/>
      <c r="K318" s="392"/>
      <c r="L318" s="428"/>
      <c r="M318" s="374"/>
    </row>
    <row r="319" spans="1:13" ht="12.75" hidden="1" customHeight="1">
      <c r="A319" s="384"/>
      <c r="B319" s="426"/>
      <c r="C319" s="427"/>
      <c r="D319" s="428"/>
      <c r="E319" s="427"/>
      <c r="F319" s="427"/>
      <c r="G319" s="427"/>
      <c r="H319" s="427"/>
      <c r="I319" s="427"/>
      <c r="J319" s="406"/>
      <c r="K319" s="426"/>
      <c r="L319" s="428"/>
      <c r="M319" s="374"/>
    </row>
    <row r="320" spans="1:13" ht="12.75" hidden="1" customHeight="1">
      <c r="A320" s="384"/>
      <c r="B320" s="392"/>
      <c r="C320" s="392"/>
      <c r="D320" s="392"/>
      <c r="E320" s="392"/>
      <c r="F320" s="392"/>
      <c r="G320" s="392"/>
      <c r="H320" s="392"/>
      <c r="I320" s="392"/>
      <c r="J320" s="392"/>
      <c r="K320" s="392"/>
      <c r="L320" s="428"/>
      <c r="M320" s="374"/>
    </row>
    <row r="321" spans="1:13" ht="12.75" hidden="1" customHeight="1">
      <c r="A321" s="384"/>
      <c r="B321" s="426"/>
      <c r="C321" s="427"/>
      <c r="D321" s="428"/>
      <c r="E321" s="427"/>
      <c r="F321" s="427"/>
      <c r="G321" s="427"/>
      <c r="H321" s="427"/>
      <c r="I321" s="427"/>
      <c r="J321" s="406"/>
      <c r="K321" s="426"/>
      <c r="L321" s="428"/>
      <c r="M321" s="374"/>
    </row>
    <row r="322" spans="1:13" ht="12.75" hidden="1" customHeight="1">
      <c r="A322" s="384"/>
      <c r="B322" s="392"/>
      <c r="C322" s="392"/>
      <c r="D322" s="392"/>
      <c r="E322" s="392"/>
      <c r="F322" s="392"/>
      <c r="G322" s="392"/>
      <c r="H322" s="392"/>
      <c r="I322" s="392"/>
      <c r="J322" s="392"/>
      <c r="K322" s="392"/>
      <c r="L322" s="428"/>
      <c r="M322" s="374"/>
    </row>
    <row r="323" spans="1:13" ht="12.75" hidden="1" customHeight="1">
      <c r="A323" s="384"/>
      <c r="B323" s="426"/>
      <c r="C323" s="427"/>
      <c r="D323" s="428"/>
      <c r="E323" s="427"/>
      <c r="F323" s="427"/>
      <c r="G323" s="427"/>
      <c r="H323" s="427"/>
      <c r="I323" s="427"/>
      <c r="J323" s="406"/>
      <c r="K323" s="426"/>
      <c r="L323" s="428"/>
      <c r="M323" s="374"/>
    </row>
    <row r="324" spans="1:13" ht="12.75" hidden="1" customHeight="1">
      <c r="A324" s="384"/>
      <c r="B324" s="392"/>
      <c r="C324" s="392"/>
      <c r="D324" s="392"/>
      <c r="E324" s="392"/>
      <c r="F324" s="392"/>
      <c r="G324" s="392"/>
      <c r="H324" s="392"/>
      <c r="I324" s="392"/>
      <c r="J324" s="392"/>
      <c r="K324" s="392"/>
      <c r="L324" s="428"/>
      <c r="M324" s="374"/>
    </row>
    <row r="325" spans="1:13" ht="12.75" hidden="1" customHeight="1">
      <c r="A325" s="384"/>
      <c r="B325" s="426"/>
      <c r="C325" s="427"/>
      <c r="D325" s="428"/>
      <c r="E325" s="427"/>
      <c r="F325" s="427"/>
      <c r="G325" s="427"/>
      <c r="H325" s="427"/>
      <c r="I325" s="427"/>
      <c r="J325" s="406"/>
      <c r="K325" s="426"/>
      <c r="L325" s="428"/>
      <c r="M325" s="374"/>
    </row>
    <row r="326" spans="1:13" ht="12.75" hidden="1" customHeight="1">
      <c r="A326" s="400"/>
      <c r="B326" s="426"/>
      <c r="C326" s="427"/>
      <c r="D326" s="428"/>
      <c r="E326" s="427"/>
      <c r="F326" s="427"/>
      <c r="G326" s="427"/>
      <c r="H326" s="427"/>
      <c r="I326" s="427"/>
      <c r="J326" s="406"/>
      <c r="K326" s="426"/>
      <c r="L326" s="428"/>
      <c r="M326" s="374"/>
    </row>
    <row r="327" spans="1:13" ht="12.75" hidden="1" customHeight="1">
      <c r="A327" s="384"/>
      <c r="B327" s="426"/>
      <c r="C327" s="427"/>
      <c r="D327" s="428"/>
      <c r="E327" s="427"/>
      <c r="F327" s="427"/>
      <c r="G327" s="427"/>
      <c r="H327" s="427"/>
      <c r="I327" s="427"/>
      <c r="J327" s="406"/>
      <c r="K327" s="426"/>
      <c r="L327" s="428"/>
      <c r="M327" s="374"/>
    </row>
    <row r="328" spans="1:13" ht="12.75" hidden="1" customHeight="1">
      <c r="A328" s="384"/>
      <c r="B328" s="392"/>
      <c r="C328" s="392"/>
      <c r="D328" s="392"/>
      <c r="E328" s="392"/>
      <c r="F328" s="392"/>
      <c r="G328" s="392"/>
      <c r="H328" s="392"/>
      <c r="I328" s="392"/>
      <c r="J328" s="392"/>
      <c r="K328" s="392"/>
      <c r="L328" s="428"/>
      <c r="M328" s="374"/>
    </row>
    <row r="329" spans="1:13" ht="12.75" hidden="1" customHeight="1">
      <c r="A329" s="384"/>
      <c r="B329" s="426"/>
      <c r="C329" s="427"/>
      <c r="D329" s="428"/>
      <c r="E329" s="427"/>
      <c r="F329" s="427"/>
      <c r="G329" s="427"/>
      <c r="H329" s="427"/>
      <c r="I329" s="427"/>
      <c r="J329" s="406"/>
      <c r="K329" s="426"/>
      <c r="L329" s="428"/>
      <c r="M329" s="374"/>
    </row>
    <row r="330" spans="1:13" ht="12.75" hidden="1" customHeight="1">
      <c r="A330" s="384"/>
      <c r="B330" s="392"/>
      <c r="C330" s="392"/>
      <c r="D330" s="392"/>
      <c r="E330" s="392"/>
      <c r="F330" s="392"/>
      <c r="G330" s="392"/>
      <c r="H330" s="392"/>
      <c r="I330" s="392"/>
      <c r="J330" s="392"/>
      <c r="K330" s="392"/>
      <c r="L330" s="428"/>
      <c r="M330" s="374"/>
    </row>
    <row r="331" spans="1:13" ht="12.75" hidden="1" customHeight="1">
      <c r="A331" s="384"/>
      <c r="B331" s="426"/>
      <c r="C331" s="427"/>
      <c r="D331" s="428"/>
      <c r="E331" s="427"/>
      <c r="F331" s="427"/>
      <c r="G331" s="427"/>
      <c r="H331" s="427"/>
      <c r="I331" s="427"/>
      <c r="J331" s="406"/>
      <c r="K331" s="426"/>
      <c r="L331" s="428"/>
      <c r="M331" s="374"/>
    </row>
    <row r="332" spans="1:13" ht="12.75" hidden="1" customHeight="1">
      <c r="A332" s="384"/>
      <c r="B332" s="392"/>
      <c r="C332" s="392"/>
      <c r="D332" s="392"/>
      <c r="E332" s="392"/>
      <c r="F332" s="392"/>
      <c r="G332" s="392"/>
      <c r="H332" s="392"/>
      <c r="I332" s="392"/>
      <c r="J332" s="392"/>
      <c r="K332" s="392"/>
      <c r="L332" s="428"/>
      <c r="M332" s="374"/>
    </row>
    <row r="333" spans="1:13" ht="12.75" hidden="1" customHeight="1">
      <c r="A333" s="384"/>
      <c r="B333" s="426"/>
      <c r="C333" s="427"/>
      <c r="D333" s="428"/>
      <c r="E333" s="427"/>
      <c r="F333" s="427"/>
      <c r="G333" s="427"/>
      <c r="H333" s="427"/>
      <c r="I333" s="427"/>
      <c r="J333" s="406"/>
      <c r="K333" s="426"/>
      <c r="L333" s="428"/>
      <c r="M333" s="374"/>
    </row>
    <row r="334" spans="1:13" ht="12.75" hidden="1" customHeight="1">
      <c r="A334" s="384"/>
      <c r="B334" s="392"/>
      <c r="C334" s="392"/>
      <c r="D334" s="392"/>
      <c r="E334" s="392"/>
      <c r="F334" s="392"/>
      <c r="G334" s="392"/>
      <c r="H334" s="392"/>
      <c r="I334" s="392"/>
      <c r="J334" s="392"/>
      <c r="K334" s="392"/>
      <c r="L334" s="428"/>
      <c r="M334" s="374"/>
    </row>
    <row r="335" spans="1:13" ht="12.75" hidden="1" customHeight="1">
      <c r="A335" s="384"/>
      <c r="B335" s="426"/>
      <c r="C335" s="427"/>
      <c r="D335" s="428"/>
      <c r="E335" s="427"/>
      <c r="F335" s="427"/>
      <c r="G335" s="427"/>
      <c r="H335" s="427"/>
      <c r="I335" s="427"/>
      <c r="J335" s="406"/>
      <c r="K335" s="426"/>
      <c r="L335" s="428"/>
      <c r="M335" s="374"/>
    </row>
    <row r="336" spans="1:13" ht="12.75" hidden="1" customHeight="1">
      <c r="A336" s="384"/>
      <c r="B336" s="392"/>
      <c r="C336" s="392"/>
      <c r="D336" s="392"/>
      <c r="E336" s="392"/>
      <c r="F336" s="392"/>
      <c r="G336" s="392"/>
      <c r="H336" s="392"/>
      <c r="I336" s="392"/>
      <c r="J336" s="392"/>
      <c r="K336" s="392"/>
      <c r="L336" s="428"/>
      <c r="M336" s="374"/>
    </row>
    <row r="337" spans="1:13" ht="12.75" hidden="1" customHeight="1">
      <c r="A337" s="384"/>
      <c r="B337" s="426"/>
      <c r="C337" s="427"/>
      <c r="D337" s="428"/>
      <c r="E337" s="427"/>
      <c r="F337" s="427"/>
      <c r="G337" s="427"/>
      <c r="H337" s="427"/>
      <c r="I337" s="427"/>
      <c r="J337" s="406"/>
      <c r="K337" s="426"/>
      <c r="L337" s="428"/>
      <c r="M337" s="374"/>
    </row>
    <row r="338" spans="1:13" ht="12.75" hidden="1" customHeight="1">
      <c r="A338" s="384"/>
      <c r="B338" s="392"/>
      <c r="C338" s="392"/>
      <c r="D338" s="392"/>
      <c r="E338" s="392"/>
      <c r="F338" s="392"/>
      <c r="G338" s="392"/>
      <c r="H338" s="392"/>
      <c r="I338" s="392"/>
      <c r="J338" s="392"/>
      <c r="K338" s="392"/>
      <c r="L338" s="428"/>
      <c r="M338" s="374"/>
    </row>
    <row r="339" spans="1:13" ht="12.75" hidden="1" customHeight="1">
      <c r="A339" s="384"/>
      <c r="B339" s="426"/>
      <c r="C339" s="427"/>
      <c r="D339" s="428"/>
      <c r="E339" s="427"/>
      <c r="F339" s="427"/>
      <c r="G339" s="427"/>
      <c r="H339" s="427"/>
      <c r="I339" s="427"/>
      <c r="J339" s="406"/>
      <c r="K339" s="426"/>
      <c r="L339" s="428"/>
      <c r="M339" s="374"/>
    </row>
    <row r="340" spans="1:13" ht="12.75" hidden="1" customHeight="1">
      <c r="A340" s="384"/>
      <c r="B340" s="392"/>
      <c r="C340" s="392"/>
      <c r="D340" s="392"/>
      <c r="E340" s="392"/>
      <c r="F340" s="392"/>
      <c r="G340" s="392"/>
      <c r="H340" s="392"/>
      <c r="I340" s="392"/>
      <c r="J340" s="392"/>
      <c r="K340" s="392"/>
      <c r="L340" s="428"/>
      <c r="M340" s="374"/>
    </row>
    <row r="341" spans="1:13" ht="12.75" hidden="1" customHeight="1">
      <c r="A341" s="384"/>
      <c r="B341" s="392"/>
      <c r="C341" s="392"/>
      <c r="D341" s="428"/>
      <c r="E341" s="427"/>
      <c r="F341" s="427"/>
      <c r="G341" s="427"/>
      <c r="H341" s="427"/>
      <c r="I341" s="427"/>
      <c r="J341" s="406"/>
      <c r="K341" s="426"/>
      <c r="L341" s="428"/>
      <c r="M341" s="374"/>
    </row>
    <row r="342" spans="1:13" ht="12.75" hidden="1" customHeight="1">
      <c r="A342" s="384"/>
      <c r="B342" s="392"/>
      <c r="C342" s="392"/>
      <c r="D342" s="392"/>
      <c r="E342" s="392"/>
      <c r="F342" s="392"/>
      <c r="G342" s="392"/>
      <c r="H342" s="392"/>
      <c r="I342" s="392"/>
      <c r="J342" s="392"/>
      <c r="K342" s="392"/>
      <c r="L342" s="428"/>
      <c r="M342" s="374"/>
    </row>
    <row r="343" spans="1:13" ht="12.75" hidden="1" customHeight="1">
      <c r="A343" s="384"/>
      <c r="B343" s="426"/>
      <c r="C343" s="427"/>
      <c r="D343" s="428"/>
      <c r="E343" s="427"/>
      <c r="F343" s="427"/>
      <c r="G343" s="427"/>
      <c r="H343" s="427"/>
      <c r="I343" s="427"/>
      <c r="J343" s="406"/>
      <c r="K343" s="426"/>
      <c r="L343" s="428"/>
      <c r="M343" s="374"/>
    </row>
    <row r="344" spans="1:13" ht="12.75" hidden="1" customHeight="1">
      <c r="A344" s="384"/>
      <c r="B344" s="392"/>
      <c r="C344" s="392"/>
      <c r="D344" s="392"/>
      <c r="E344" s="392"/>
      <c r="F344" s="392"/>
      <c r="G344" s="392"/>
      <c r="H344" s="392"/>
      <c r="I344" s="392"/>
      <c r="J344" s="392"/>
      <c r="K344" s="392"/>
      <c r="L344" s="428"/>
      <c r="M344" s="374"/>
    </row>
    <row r="345" spans="1:13" ht="12.75" hidden="1" customHeight="1">
      <c r="A345" s="384"/>
      <c r="B345" s="426"/>
      <c r="C345" s="427"/>
      <c r="D345" s="428"/>
      <c r="E345" s="427"/>
      <c r="F345" s="427"/>
      <c r="G345" s="427"/>
      <c r="H345" s="427"/>
      <c r="I345" s="427"/>
      <c r="J345" s="406"/>
      <c r="K345" s="426"/>
      <c r="L345" s="428"/>
      <c r="M345" s="374"/>
    </row>
    <row r="346" spans="1:13" ht="12.75" hidden="1" customHeight="1">
      <c r="A346" s="384"/>
      <c r="B346" s="392"/>
      <c r="C346" s="392"/>
      <c r="D346" s="392"/>
      <c r="E346" s="392"/>
      <c r="F346" s="392"/>
      <c r="G346" s="392"/>
      <c r="H346" s="392"/>
      <c r="I346" s="392"/>
      <c r="J346" s="392"/>
      <c r="K346" s="392"/>
      <c r="L346" s="428"/>
      <c r="M346" s="374"/>
    </row>
    <row r="347" spans="1:13" ht="12.75" hidden="1" customHeight="1">
      <c r="A347" s="384"/>
      <c r="B347" s="426"/>
      <c r="C347" s="427"/>
      <c r="D347" s="428"/>
      <c r="E347" s="427"/>
      <c r="F347" s="427"/>
      <c r="G347" s="427"/>
      <c r="H347" s="427"/>
      <c r="I347" s="427"/>
      <c r="J347" s="406"/>
      <c r="K347" s="426"/>
      <c r="L347" s="428"/>
      <c r="M347" s="374"/>
    </row>
    <row r="348" spans="1:13" ht="12.75" hidden="1" customHeight="1">
      <c r="A348" s="384"/>
      <c r="B348" s="392"/>
      <c r="C348" s="392"/>
      <c r="D348" s="392"/>
      <c r="E348" s="392"/>
      <c r="F348" s="392"/>
      <c r="G348" s="392"/>
      <c r="H348" s="392"/>
      <c r="I348" s="392"/>
      <c r="J348" s="392"/>
      <c r="K348" s="392"/>
      <c r="L348" s="428"/>
      <c r="M348" s="374"/>
    </row>
    <row r="349" spans="1:13" ht="12.75" hidden="1" customHeight="1">
      <c r="A349" s="384"/>
      <c r="B349" s="426"/>
      <c r="C349" s="427"/>
      <c r="D349" s="428"/>
      <c r="E349" s="427"/>
      <c r="F349" s="427"/>
      <c r="G349" s="427"/>
      <c r="H349" s="427"/>
      <c r="I349" s="427"/>
      <c r="J349" s="406"/>
      <c r="K349" s="426"/>
      <c r="L349" s="428"/>
      <c r="M349" s="374"/>
    </row>
    <row r="350" spans="1:13" ht="12.75" hidden="1" customHeight="1">
      <c r="A350" s="384"/>
      <c r="B350" s="392"/>
      <c r="C350" s="392"/>
      <c r="D350" s="392"/>
      <c r="E350" s="392"/>
      <c r="F350" s="392"/>
      <c r="G350" s="392"/>
      <c r="H350" s="392"/>
      <c r="I350" s="392"/>
      <c r="J350" s="392"/>
      <c r="K350" s="392"/>
      <c r="L350" s="428"/>
      <c r="M350" s="374"/>
    </row>
    <row r="351" spans="1:13" ht="12.75" hidden="1" customHeight="1">
      <c r="A351" s="384"/>
      <c r="B351" s="426"/>
      <c r="C351" s="427"/>
      <c r="D351" s="428"/>
      <c r="E351" s="427"/>
      <c r="F351" s="427"/>
      <c r="G351" s="427"/>
      <c r="H351" s="427"/>
      <c r="I351" s="427"/>
      <c r="J351" s="406"/>
      <c r="K351" s="426"/>
      <c r="L351" s="428"/>
      <c r="M351" s="374"/>
    </row>
    <row r="352" spans="1:13" ht="12.75" hidden="1" customHeight="1">
      <c r="A352" s="384"/>
      <c r="B352" s="392"/>
      <c r="C352" s="392"/>
      <c r="D352" s="392"/>
      <c r="E352" s="392"/>
      <c r="F352" s="392"/>
      <c r="G352" s="392"/>
      <c r="H352" s="392"/>
      <c r="I352" s="392"/>
      <c r="J352" s="392"/>
      <c r="K352" s="392"/>
      <c r="L352" s="428"/>
      <c r="M352" s="374"/>
    </row>
    <row r="353" spans="1:13" ht="12.75" hidden="1" customHeight="1">
      <c r="A353" s="384"/>
      <c r="B353" s="426"/>
      <c r="C353" s="427"/>
      <c r="D353" s="428"/>
      <c r="E353" s="427"/>
      <c r="F353" s="427"/>
      <c r="G353" s="427"/>
      <c r="H353" s="427"/>
      <c r="I353" s="427"/>
      <c r="J353" s="406"/>
      <c r="K353" s="426"/>
      <c r="L353" s="428"/>
      <c r="M353" s="374"/>
    </row>
    <row r="354" spans="1:13" ht="12.75" hidden="1" customHeight="1">
      <c r="A354" s="408"/>
      <c r="B354" s="426"/>
      <c r="C354" s="427"/>
      <c r="D354" s="428"/>
      <c r="E354" s="427"/>
      <c r="F354" s="427"/>
      <c r="G354" s="427"/>
      <c r="H354" s="427"/>
      <c r="I354" s="427"/>
      <c r="J354" s="406"/>
      <c r="K354" s="426"/>
      <c r="L354" s="428"/>
      <c r="M354" s="374"/>
    </row>
    <row r="355" spans="1:13" ht="12.75" hidden="1" customHeight="1">
      <c r="A355" s="384"/>
      <c r="B355" s="426"/>
      <c r="C355" s="427"/>
      <c r="D355" s="428"/>
      <c r="E355" s="427"/>
      <c r="F355" s="427"/>
      <c r="G355" s="427"/>
      <c r="H355" s="427"/>
      <c r="I355" s="427"/>
      <c r="J355" s="406"/>
      <c r="K355" s="426"/>
      <c r="L355" s="428"/>
      <c r="M355" s="374"/>
    </row>
    <row r="356" spans="1:13" ht="12.75" hidden="1" customHeight="1">
      <c r="A356" s="384"/>
      <c r="B356" s="392"/>
      <c r="C356" s="392"/>
      <c r="D356" s="392"/>
      <c r="E356" s="392"/>
      <c r="F356" s="392"/>
      <c r="G356" s="392"/>
      <c r="H356" s="392"/>
      <c r="I356" s="392"/>
      <c r="J356" s="392"/>
      <c r="K356" s="392"/>
      <c r="L356" s="428"/>
      <c r="M356" s="374"/>
    </row>
    <row r="357" spans="1:13" ht="12.75" hidden="1" customHeight="1">
      <c r="A357" s="384"/>
      <c r="B357" s="426"/>
      <c r="C357" s="427"/>
      <c r="D357" s="428"/>
      <c r="E357" s="427"/>
      <c r="F357" s="427"/>
      <c r="G357" s="427"/>
      <c r="H357" s="427"/>
      <c r="I357" s="427"/>
      <c r="J357" s="406"/>
      <c r="K357" s="426"/>
      <c r="L357" s="428"/>
      <c r="M357" s="374"/>
    </row>
    <row r="358" spans="1:13" ht="12.75" hidden="1" customHeight="1">
      <c r="A358" s="384"/>
      <c r="B358" s="392"/>
      <c r="C358" s="392"/>
      <c r="D358" s="392"/>
      <c r="E358" s="392"/>
      <c r="F358" s="392"/>
      <c r="G358" s="392"/>
      <c r="H358" s="392"/>
      <c r="I358" s="392"/>
      <c r="J358" s="392"/>
      <c r="K358" s="392"/>
      <c r="L358" s="428"/>
      <c r="M358" s="374"/>
    </row>
    <row r="359" spans="1:13" ht="12.75" hidden="1" customHeight="1">
      <c r="A359" s="384"/>
      <c r="B359" s="426"/>
      <c r="C359" s="427"/>
      <c r="D359" s="428"/>
      <c r="E359" s="427"/>
      <c r="F359" s="427"/>
      <c r="G359" s="427"/>
      <c r="H359" s="427"/>
      <c r="I359" s="427"/>
      <c r="J359" s="406"/>
      <c r="K359" s="426"/>
      <c r="L359" s="428"/>
      <c r="M359" s="374"/>
    </row>
    <row r="360" spans="1:13" ht="12.75" hidden="1" customHeight="1">
      <c r="A360" s="384"/>
      <c r="B360" s="392"/>
      <c r="C360" s="392"/>
      <c r="D360" s="392"/>
      <c r="E360" s="392"/>
      <c r="F360" s="392"/>
      <c r="G360" s="392"/>
      <c r="H360" s="392"/>
      <c r="I360" s="392"/>
      <c r="J360" s="392"/>
      <c r="K360" s="392"/>
      <c r="L360" s="428"/>
      <c r="M360" s="374"/>
    </row>
    <row r="361" spans="1:13" ht="12.75" hidden="1" customHeight="1">
      <c r="A361" s="384"/>
      <c r="B361" s="426"/>
      <c r="C361" s="427"/>
      <c r="D361" s="428"/>
      <c r="E361" s="427"/>
      <c r="F361" s="427"/>
      <c r="G361" s="427"/>
      <c r="H361" s="427"/>
      <c r="I361" s="427"/>
      <c r="J361" s="406"/>
      <c r="K361" s="426"/>
      <c r="L361" s="428"/>
      <c r="M361" s="374"/>
    </row>
    <row r="362" spans="1:13" ht="12.75" hidden="1" customHeight="1">
      <c r="A362" s="384"/>
      <c r="B362" s="392"/>
      <c r="C362" s="392"/>
      <c r="D362" s="392"/>
      <c r="E362" s="392"/>
      <c r="F362" s="392"/>
      <c r="G362" s="392"/>
      <c r="H362" s="392"/>
      <c r="I362" s="392"/>
      <c r="J362" s="392"/>
      <c r="K362" s="392"/>
      <c r="L362" s="428"/>
      <c r="M362" s="374"/>
    </row>
    <row r="363" spans="1:13" ht="12.75" hidden="1" customHeight="1">
      <c r="A363" s="384"/>
      <c r="B363" s="426"/>
      <c r="C363" s="427"/>
      <c r="D363" s="428"/>
      <c r="E363" s="427"/>
      <c r="F363" s="427"/>
      <c r="G363" s="427"/>
      <c r="H363" s="427"/>
      <c r="I363" s="427"/>
      <c r="J363" s="406"/>
      <c r="K363" s="426"/>
      <c r="L363" s="428"/>
      <c r="M363" s="374"/>
    </row>
    <row r="364" spans="1:13" ht="12.75" hidden="1" customHeight="1">
      <c r="A364" s="384"/>
      <c r="B364" s="392"/>
      <c r="C364" s="392"/>
      <c r="D364" s="392"/>
      <c r="E364" s="392"/>
      <c r="F364" s="392"/>
      <c r="G364" s="392"/>
      <c r="H364" s="392"/>
      <c r="I364" s="392"/>
      <c r="J364" s="392"/>
      <c r="K364" s="392"/>
      <c r="L364" s="428"/>
      <c r="M364" s="374"/>
    </row>
    <row r="365" spans="1:13" ht="12.75" hidden="1" customHeight="1">
      <c r="A365" s="384"/>
      <c r="B365" s="426"/>
      <c r="C365" s="427"/>
      <c r="D365" s="428"/>
      <c r="E365" s="427"/>
      <c r="F365" s="427"/>
      <c r="G365" s="427"/>
      <c r="H365" s="427"/>
      <c r="I365" s="427"/>
      <c r="J365" s="406"/>
      <c r="K365" s="426"/>
      <c r="L365" s="428"/>
      <c r="M365" s="374"/>
    </row>
    <row r="366" spans="1:13" ht="12.75" hidden="1" customHeight="1">
      <c r="A366" s="384"/>
      <c r="B366" s="392"/>
      <c r="C366" s="392"/>
      <c r="D366" s="392"/>
      <c r="E366" s="392"/>
      <c r="F366" s="392"/>
      <c r="G366" s="392"/>
      <c r="H366" s="392"/>
      <c r="I366" s="392"/>
      <c r="J366" s="392"/>
      <c r="K366" s="392"/>
      <c r="L366" s="428"/>
      <c r="M366" s="374"/>
    </row>
    <row r="367" spans="1:13" ht="12.75" hidden="1" customHeight="1">
      <c r="A367" s="384"/>
      <c r="B367" s="426"/>
      <c r="C367" s="427"/>
      <c r="D367" s="428"/>
      <c r="E367" s="427"/>
      <c r="F367" s="427"/>
      <c r="G367" s="427"/>
      <c r="H367" s="427"/>
      <c r="I367" s="427"/>
      <c r="J367" s="406"/>
      <c r="K367" s="426"/>
      <c r="L367" s="428"/>
      <c r="M367" s="374"/>
    </row>
    <row r="368" spans="1:13" ht="12.75" hidden="1" customHeight="1">
      <c r="A368" s="384"/>
      <c r="B368" s="392"/>
      <c r="C368" s="392"/>
      <c r="D368" s="392"/>
      <c r="E368" s="392"/>
      <c r="F368" s="392"/>
      <c r="G368" s="392"/>
      <c r="H368" s="392"/>
      <c r="I368" s="392"/>
      <c r="J368" s="392"/>
      <c r="K368" s="392"/>
      <c r="L368" s="428"/>
      <c r="M368" s="374"/>
    </row>
    <row r="369" spans="1:13" ht="12.75" hidden="1" customHeight="1">
      <c r="A369" s="384"/>
      <c r="B369" s="426"/>
      <c r="C369" s="427"/>
      <c r="D369" s="428"/>
      <c r="E369" s="427"/>
      <c r="F369" s="427"/>
      <c r="G369" s="427"/>
      <c r="H369" s="427"/>
      <c r="I369" s="427"/>
      <c r="J369" s="406"/>
      <c r="K369" s="426"/>
      <c r="L369" s="428"/>
      <c r="M369" s="374"/>
    </row>
    <row r="370" spans="1:13" ht="12.75" hidden="1" customHeight="1">
      <c r="A370" s="384"/>
      <c r="B370" s="392"/>
      <c r="C370" s="392"/>
      <c r="D370" s="392"/>
      <c r="E370" s="392"/>
      <c r="F370" s="392"/>
      <c r="G370" s="392"/>
      <c r="H370" s="392"/>
      <c r="I370" s="392"/>
      <c r="J370" s="392"/>
      <c r="K370" s="392"/>
      <c r="L370" s="428"/>
      <c r="M370" s="374"/>
    </row>
    <row r="371" spans="1:13" ht="12.75" hidden="1" customHeight="1">
      <c r="A371" s="384"/>
      <c r="B371" s="426"/>
      <c r="C371" s="427"/>
      <c r="D371" s="428"/>
      <c r="E371" s="427"/>
      <c r="F371" s="427"/>
      <c r="G371" s="427"/>
      <c r="H371" s="427"/>
      <c r="I371" s="427"/>
      <c r="J371" s="406"/>
      <c r="K371" s="426"/>
      <c r="L371" s="428"/>
      <c r="M371" s="374"/>
    </row>
    <row r="372" spans="1:13" ht="12.75" hidden="1" customHeight="1">
      <c r="A372" s="384"/>
      <c r="B372" s="392"/>
      <c r="C372" s="392"/>
      <c r="D372" s="392"/>
      <c r="E372" s="392"/>
      <c r="F372" s="392"/>
      <c r="G372" s="392"/>
      <c r="H372" s="392"/>
      <c r="I372" s="392"/>
      <c r="J372" s="392"/>
      <c r="K372" s="392"/>
      <c r="L372" s="428"/>
      <c r="M372" s="374"/>
    </row>
    <row r="373" spans="1:13" ht="12.75" hidden="1" customHeight="1">
      <c r="A373" s="384"/>
      <c r="B373" s="426"/>
      <c r="C373" s="427"/>
      <c r="D373" s="428"/>
      <c r="E373" s="427"/>
      <c r="F373" s="427"/>
      <c r="G373" s="427"/>
      <c r="H373" s="427"/>
      <c r="I373" s="427"/>
      <c r="J373" s="406"/>
      <c r="K373" s="426"/>
      <c r="L373" s="428"/>
      <c r="M373" s="374"/>
    </row>
    <row r="374" spans="1:13" ht="12.75" hidden="1" customHeight="1">
      <c r="A374" s="384"/>
      <c r="B374" s="392"/>
      <c r="C374" s="392"/>
      <c r="D374" s="392"/>
      <c r="E374" s="392"/>
      <c r="F374" s="392"/>
      <c r="G374" s="392"/>
      <c r="H374" s="392"/>
      <c r="I374" s="392"/>
      <c r="J374" s="392"/>
      <c r="K374" s="392"/>
      <c r="L374" s="428"/>
      <c r="M374" s="374"/>
    </row>
    <row r="375" spans="1:13" ht="12.75" hidden="1" customHeight="1">
      <c r="A375" s="384"/>
      <c r="B375" s="426"/>
      <c r="C375" s="427"/>
      <c r="D375" s="428"/>
      <c r="E375" s="427"/>
      <c r="F375" s="427"/>
      <c r="G375" s="427"/>
      <c r="H375" s="427"/>
      <c r="I375" s="427"/>
      <c r="J375" s="406"/>
      <c r="K375" s="426"/>
      <c r="L375" s="428"/>
      <c r="M375" s="374"/>
    </row>
    <row r="376" spans="1:13" ht="12.75" hidden="1" customHeight="1">
      <c r="A376" s="384"/>
      <c r="B376" s="392"/>
      <c r="C376" s="392"/>
      <c r="D376" s="392"/>
      <c r="E376" s="392"/>
      <c r="F376" s="392"/>
      <c r="G376" s="392"/>
      <c r="H376" s="392"/>
      <c r="I376" s="392"/>
      <c r="J376" s="392"/>
      <c r="K376" s="392"/>
      <c r="L376" s="428"/>
      <c r="M376" s="374"/>
    </row>
    <row r="377" spans="1:13" ht="12.75" hidden="1" customHeight="1">
      <c r="A377" s="384"/>
      <c r="B377" s="426"/>
      <c r="C377" s="427"/>
      <c r="D377" s="428"/>
      <c r="E377" s="427"/>
      <c r="F377" s="427"/>
      <c r="G377" s="427"/>
      <c r="H377" s="427"/>
      <c r="I377" s="427"/>
      <c r="J377" s="406"/>
      <c r="K377" s="426"/>
      <c r="L377" s="428"/>
      <c r="M377" s="374"/>
    </row>
    <row r="378" spans="1:13" ht="12.75" hidden="1" customHeight="1">
      <c r="A378" s="384"/>
      <c r="B378" s="392"/>
      <c r="C378" s="392"/>
      <c r="D378" s="392"/>
      <c r="E378" s="392"/>
      <c r="F378" s="392"/>
      <c r="G378" s="392"/>
      <c r="H378" s="392"/>
      <c r="I378" s="392"/>
      <c r="J378" s="392"/>
      <c r="K378" s="392"/>
      <c r="L378" s="428"/>
      <c r="M378" s="374"/>
    </row>
    <row r="379" spans="1:13" ht="12.75" hidden="1" customHeight="1">
      <c r="A379" s="384"/>
      <c r="B379" s="426"/>
      <c r="C379" s="427"/>
      <c r="D379" s="428"/>
      <c r="E379" s="427"/>
      <c r="F379" s="427"/>
      <c r="G379" s="427"/>
      <c r="H379" s="427"/>
      <c r="I379" s="427"/>
      <c r="J379" s="406"/>
      <c r="K379" s="426"/>
      <c r="L379" s="428"/>
      <c r="M379" s="374"/>
    </row>
    <row r="380" spans="1:13" hidden="1">
      <c r="A380" s="408"/>
      <c r="B380" s="426"/>
      <c r="C380" s="427"/>
      <c r="D380" s="428"/>
      <c r="E380" s="427"/>
      <c r="F380" s="427"/>
      <c r="G380" s="427"/>
      <c r="H380" s="427"/>
      <c r="I380" s="427"/>
      <c r="J380" s="406"/>
      <c r="K380" s="426"/>
      <c r="L380" s="428"/>
      <c r="M380" s="374"/>
    </row>
    <row r="381" spans="1:13" ht="12.75" hidden="1" customHeight="1">
      <c r="A381" s="384"/>
      <c r="B381" s="426"/>
      <c r="C381" s="427"/>
      <c r="D381" s="428"/>
      <c r="E381" s="427"/>
      <c r="F381" s="427"/>
      <c r="G381" s="427"/>
      <c r="H381" s="427"/>
      <c r="I381" s="427"/>
      <c r="J381" s="406"/>
      <c r="K381" s="426"/>
      <c r="L381" s="428"/>
      <c r="M381" s="374"/>
    </row>
    <row r="382" spans="1:13" ht="12.75" hidden="1" customHeight="1">
      <c r="A382" s="384"/>
      <c r="B382" s="392"/>
      <c r="C382" s="392"/>
      <c r="D382" s="392"/>
      <c r="E382" s="392"/>
      <c r="F382" s="392"/>
      <c r="G382" s="392"/>
      <c r="H382" s="392"/>
      <c r="I382" s="392"/>
      <c r="J382" s="392"/>
      <c r="K382" s="392"/>
      <c r="L382" s="428"/>
      <c r="M382" s="374"/>
    </row>
    <row r="383" spans="1:13" ht="12.75" hidden="1" customHeight="1">
      <c r="A383" s="384"/>
      <c r="B383" s="426"/>
      <c r="C383" s="427"/>
      <c r="D383" s="428"/>
      <c r="E383" s="427"/>
      <c r="F383" s="427"/>
      <c r="G383" s="427"/>
      <c r="H383" s="427"/>
      <c r="I383" s="427"/>
      <c r="J383" s="406"/>
      <c r="K383" s="426"/>
      <c r="L383" s="428"/>
      <c r="M383" s="374"/>
    </row>
    <row r="384" spans="1:13" ht="12.75" hidden="1" customHeight="1">
      <c r="A384" s="384"/>
      <c r="B384" s="392"/>
      <c r="C384" s="392"/>
      <c r="D384" s="392"/>
      <c r="E384" s="392"/>
      <c r="F384" s="392"/>
      <c r="G384" s="392"/>
      <c r="H384" s="392"/>
      <c r="I384" s="392"/>
      <c r="J384" s="392"/>
      <c r="K384" s="392"/>
      <c r="L384" s="428"/>
      <c r="M384" s="374"/>
    </row>
    <row r="385" spans="1:13" ht="12.75" hidden="1" customHeight="1">
      <c r="A385" s="384"/>
      <c r="B385" s="426"/>
      <c r="C385" s="427"/>
      <c r="D385" s="428"/>
      <c r="E385" s="427"/>
      <c r="F385" s="427"/>
      <c r="G385" s="427"/>
      <c r="H385" s="427"/>
      <c r="I385" s="427"/>
      <c r="J385" s="406"/>
      <c r="K385" s="426"/>
      <c r="L385" s="428"/>
      <c r="M385" s="374"/>
    </row>
    <row r="386" spans="1:13" ht="12.75" hidden="1" customHeight="1">
      <c r="A386" s="384"/>
      <c r="B386" s="392"/>
      <c r="C386" s="392"/>
      <c r="D386" s="392"/>
      <c r="E386" s="392"/>
      <c r="F386" s="392"/>
      <c r="G386" s="392"/>
      <c r="H386" s="392"/>
      <c r="I386" s="392"/>
      <c r="J386" s="392"/>
      <c r="K386" s="392"/>
      <c r="L386" s="428"/>
      <c r="M386" s="374"/>
    </row>
    <row r="387" spans="1:13" ht="12.75" hidden="1" customHeight="1">
      <c r="A387" s="384"/>
      <c r="B387" s="426"/>
      <c r="C387" s="427"/>
      <c r="D387" s="428"/>
      <c r="E387" s="427"/>
      <c r="F387" s="427"/>
      <c r="G387" s="427"/>
      <c r="H387" s="427"/>
      <c r="I387" s="427"/>
      <c r="J387" s="406"/>
      <c r="K387" s="426"/>
      <c r="L387" s="428"/>
      <c r="M387" s="374"/>
    </row>
    <row r="388" spans="1:13" ht="12.75" hidden="1" customHeight="1">
      <c r="A388" s="384"/>
      <c r="B388" s="392"/>
      <c r="C388" s="392"/>
      <c r="D388" s="392"/>
      <c r="E388" s="392"/>
      <c r="F388" s="392"/>
      <c r="G388" s="392"/>
      <c r="H388" s="392"/>
      <c r="I388" s="392"/>
      <c r="J388" s="392"/>
      <c r="K388" s="392"/>
      <c r="L388" s="428"/>
      <c r="M388" s="374"/>
    </row>
    <row r="389" spans="1:13" ht="12.75" hidden="1" customHeight="1">
      <c r="A389" s="384"/>
      <c r="B389" s="426"/>
      <c r="C389" s="427"/>
      <c r="D389" s="428"/>
      <c r="E389" s="427"/>
      <c r="F389" s="427"/>
      <c r="G389" s="427"/>
      <c r="H389" s="427"/>
      <c r="I389" s="427"/>
      <c r="J389" s="406"/>
      <c r="K389" s="426"/>
      <c r="L389" s="428"/>
      <c r="M389" s="374"/>
    </row>
    <row r="390" spans="1:13" ht="12.75" hidden="1" customHeight="1">
      <c r="A390" s="384"/>
      <c r="B390" s="392"/>
      <c r="C390" s="392"/>
      <c r="D390" s="392"/>
      <c r="E390" s="392"/>
      <c r="F390" s="392"/>
      <c r="G390" s="392"/>
      <c r="H390" s="392"/>
      <c r="I390" s="392"/>
      <c r="J390" s="392"/>
      <c r="K390" s="392"/>
      <c r="L390" s="428"/>
      <c r="M390" s="374"/>
    </row>
    <row r="391" spans="1:13" ht="12.75" hidden="1" customHeight="1">
      <c r="A391" s="384"/>
      <c r="B391" s="426"/>
      <c r="C391" s="427"/>
      <c r="D391" s="428"/>
      <c r="E391" s="427"/>
      <c r="F391" s="427"/>
      <c r="G391" s="427"/>
      <c r="H391" s="427"/>
      <c r="I391" s="427"/>
      <c r="J391" s="406"/>
      <c r="K391" s="426"/>
      <c r="L391" s="428"/>
      <c r="M391" s="374"/>
    </row>
    <row r="392" spans="1:13" ht="12.75" hidden="1" customHeight="1">
      <c r="A392" s="384"/>
      <c r="B392" s="392"/>
      <c r="C392" s="392"/>
      <c r="D392" s="392"/>
      <c r="E392" s="392"/>
      <c r="F392" s="392"/>
      <c r="G392" s="392"/>
      <c r="H392" s="392"/>
      <c r="I392" s="392"/>
      <c r="J392" s="392"/>
      <c r="K392" s="392"/>
      <c r="L392" s="428"/>
      <c r="M392" s="374"/>
    </row>
    <row r="393" spans="1:13" ht="12.75" hidden="1" customHeight="1">
      <c r="A393" s="384"/>
      <c r="B393" s="426"/>
      <c r="C393" s="427"/>
      <c r="D393" s="428"/>
      <c r="E393" s="427"/>
      <c r="F393" s="427"/>
      <c r="G393" s="427"/>
      <c r="H393" s="427"/>
      <c r="I393" s="427"/>
      <c r="J393" s="406"/>
      <c r="K393" s="426"/>
      <c r="L393" s="428"/>
      <c r="M393" s="374"/>
    </row>
    <row r="394" spans="1:13" ht="12.75" hidden="1" customHeight="1">
      <c r="A394" s="408"/>
      <c r="B394" s="426"/>
      <c r="C394" s="427"/>
      <c r="D394" s="428"/>
      <c r="E394" s="427"/>
      <c r="F394" s="427"/>
      <c r="G394" s="427"/>
      <c r="H394" s="427"/>
      <c r="I394" s="427"/>
      <c r="J394" s="406"/>
      <c r="K394" s="426"/>
      <c r="L394" s="428"/>
      <c r="M394" s="374"/>
    </row>
    <row r="395" spans="1:13" ht="12.75" hidden="1" customHeight="1">
      <c r="A395" s="384"/>
      <c r="B395" s="426"/>
      <c r="C395" s="427"/>
      <c r="D395" s="428"/>
      <c r="E395" s="427"/>
      <c r="F395" s="427"/>
      <c r="G395" s="427"/>
      <c r="H395" s="427"/>
      <c r="I395" s="427"/>
      <c r="J395" s="406"/>
      <c r="K395" s="426"/>
      <c r="L395" s="428"/>
      <c r="M395" s="374"/>
    </row>
    <row r="396" spans="1:13" hidden="1">
      <c r="A396" s="384"/>
      <c r="B396" s="392"/>
      <c r="C396" s="392"/>
      <c r="D396" s="392"/>
      <c r="E396" s="392"/>
      <c r="F396" s="392"/>
      <c r="G396" s="392"/>
      <c r="H396" s="392"/>
      <c r="I396" s="392"/>
      <c r="J396" s="392"/>
      <c r="K396" s="392"/>
      <c r="L396" s="428"/>
      <c r="M396" s="374"/>
    </row>
    <row r="397" spans="1:13" hidden="1">
      <c r="A397" s="384"/>
      <c r="B397" s="426"/>
      <c r="C397" s="427"/>
      <c r="D397" s="428"/>
      <c r="E397" s="427"/>
      <c r="F397" s="427"/>
      <c r="G397" s="427"/>
      <c r="H397" s="427"/>
      <c r="I397" s="427"/>
      <c r="J397" s="406"/>
      <c r="K397" s="426"/>
      <c r="L397" s="428"/>
      <c r="M397" s="374"/>
    </row>
    <row r="398" spans="1:13" hidden="1">
      <c r="A398" s="384"/>
      <c r="B398" s="392"/>
      <c r="C398" s="392"/>
      <c r="D398" s="392"/>
      <c r="E398" s="392"/>
      <c r="F398" s="392"/>
      <c r="G398" s="392"/>
      <c r="H398" s="392"/>
      <c r="I398" s="392"/>
      <c r="J398" s="392"/>
      <c r="K398" s="392"/>
      <c r="L398" s="428"/>
      <c r="M398" s="374"/>
    </row>
    <row r="399" spans="1:13" hidden="1">
      <c r="A399" s="384"/>
      <c r="B399" s="426"/>
      <c r="C399" s="427"/>
      <c r="D399" s="428"/>
      <c r="E399" s="427"/>
      <c r="F399" s="427"/>
      <c r="G399" s="427"/>
      <c r="H399" s="427"/>
      <c r="I399" s="427"/>
      <c r="J399" s="406"/>
      <c r="K399" s="426"/>
      <c r="L399" s="428"/>
      <c r="M399" s="374"/>
    </row>
    <row r="400" spans="1:13" hidden="1">
      <c r="A400" s="384"/>
      <c r="B400" s="392"/>
      <c r="C400" s="392"/>
      <c r="D400" s="392"/>
      <c r="E400" s="392"/>
      <c r="F400" s="392"/>
      <c r="G400" s="392"/>
      <c r="H400" s="392"/>
      <c r="I400" s="392"/>
      <c r="J400" s="392"/>
      <c r="K400" s="392"/>
      <c r="L400" s="428"/>
      <c r="M400" s="374"/>
    </row>
    <row r="401" spans="1:13" hidden="1">
      <c r="A401" s="384"/>
      <c r="B401" s="426"/>
      <c r="C401" s="427"/>
      <c r="D401" s="428"/>
      <c r="E401" s="427"/>
      <c r="F401" s="427"/>
      <c r="G401" s="427"/>
      <c r="H401" s="427"/>
      <c r="I401" s="427"/>
      <c r="J401" s="406"/>
      <c r="K401" s="426"/>
      <c r="L401" s="428"/>
      <c r="M401" s="374"/>
    </row>
    <row r="402" spans="1:13" hidden="1">
      <c r="A402" s="384"/>
      <c r="B402" s="392"/>
      <c r="C402" s="392"/>
      <c r="D402" s="392"/>
      <c r="E402" s="392"/>
      <c r="F402" s="392"/>
      <c r="G402" s="392"/>
      <c r="H402" s="392"/>
      <c r="I402" s="392"/>
      <c r="J402" s="392"/>
      <c r="K402" s="392"/>
      <c r="L402" s="428"/>
      <c r="M402" s="374"/>
    </row>
    <row r="403" spans="1:13" hidden="1">
      <c r="A403" s="384"/>
      <c r="B403" s="426"/>
      <c r="C403" s="427"/>
      <c r="D403" s="428"/>
      <c r="E403" s="427"/>
      <c r="F403" s="427"/>
      <c r="G403" s="427"/>
      <c r="H403" s="427"/>
      <c r="I403" s="427"/>
      <c r="J403" s="406"/>
      <c r="K403" s="426"/>
      <c r="L403" s="428"/>
      <c r="M403" s="374"/>
    </row>
    <row r="404" spans="1:13" hidden="1">
      <c r="A404" s="384"/>
      <c r="B404" s="392"/>
      <c r="C404" s="392"/>
      <c r="D404" s="392"/>
      <c r="E404" s="392"/>
      <c r="F404" s="392"/>
      <c r="G404" s="392"/>
      <c r="H404" s="392"/>
      <c r="I404" s="392"/>
      <c r="J404" s="392"/>
      <c r="K404" s="392"/>
      <c r="L404" s="428"/>
      <c r="M404" s="374"/>
    </row>
    <row r="405" spans="1:13" hidden="1">
      <c r="A405" s="384"/>
      <c r="B405" s="426"/>
      <c r="C405" s="427"/>
      <c r="D405" s="428"/>
      <c r="E405" s="427"/>
      <c r="F405" s="427"/>
      <c r="G405" s="427"/>
      <c r="H405" s="427"/>
      <c r="I405" s="427"/>
      <c r="J405" s="406"/>
      <c r="K405" s="426"/>
      <c r="L405" s="428"/>
      <c r="M405" s="374"/>
    </row>
    <row r="406" spans="1:13" hidden="1">
      <c r="A406" s="384"/>
      <c r="B406" s="392"/>
      <c r="C406" s="392"/>
      <c r="D406" s="392"/>
      <c r="E406" s="392"/>
      <c r="F406" s="392"/>
      <c r="G406" s="392"/>
      <c r="H406" s="392"/>
      <c r="I406" s="392"/>
      <c r="J406" s="392"/>
      <c r="K406" s="392"/>
      <c r="L406" s="428"/>
      <c r="M406" s="374"/>
    </row>
    <row r="407" spans="1:13" hidden="1">
      <c r="A407" s="384"/>
      <c r="B407" s="426"/>
      <c r="C407" s="427"/>
      <c r="D407" s="428"/>
      <c r="E407" s="427"/>
      <c r="F407" s="427"/>
      <c r="G407" s="427"/>
      <c r="H407" s="427"/>
      <c r="I407" s="427"/>
      <c r="J407" s="406"/>
      <c r="K407" s="426"/>
      <c r="L407" s="428"/>
      <c r="M407" s="374"/>
    </row>
    <row r="408" spans="1:13" hidden="1">
      <c r="A408" s="408"/>
      <c r="B408" s="426"/>
      <c r="C408" s="427"/>
      <c r="D408" s="428"/>
      <c r="E408" s="427"/>
      <c r="F408" s="427"/>
      <c r="G408" s="427"/>
      <c r="H408" s="427"/>
      <c r="I408" s="427"/>
      <c r="J408" s="406"/>
      <c r="K408" s="426"/>
      <c r="L408" s="428"/>
      <c r="M408" s="374"/>
    </row>
    <row r="409" spans="1:13" hidden="1">
      <c r="A409" s="384"/>
      <c r="B409" s="392"/>
      <c r="C409" s="392"/>
      <c r="D409" s="348"/>
      <c r="E409" s="392"/>
      <c r="F409" s="392"/>
      <c r="G409" s="392"/>
      <c r="H409" s="392"/>
      <c r="I409" s="392"/>
      <c r="J409" s="392"/>
      <c r="K409" s="426"/>
      <c r="L409" s="428"/>
      <c r="M409" s="374"/>
    </row>
    <row r="410" spans="1:13" hidden="1">
      <c r="A410" s="384"/>
      <c r="B410" s="392"/>
      <c r="C410" s="392"/>
      <c r="D410" s="392"/>
      <c r="E410" s="392"/>
      <c r="F410" s="392"/>
      <c r="G410" s="392"/>
      <c r="H410" s="392"/>
      <c r="I410" s="392"/>
      <c r="J410" s="392"/>
      <c r="K410" s="392"/>
      <c r="L410" s="428"/>
      <c r="M410" s="374"/>
    </row>
    <row r="411" spans="1:13" hidden="1">
      <c r="A411" s="384"/>
      <c r="B411" s="392"/>
      <c r="C411" s="392"/>
      <c r="D411" s="348"/>
      <c r="E411" s="392"/>
      <c r="F411" s="392"/>
      <c r="G411" s="392"/>
      <c r="H411" s="392"/>
      <c r="I411" s="392"/>
      <c r="J411" s="392"/>
      <c r="K411" s="426"/>
      <c r="L411" s="428"/>
      <c r="M411" s="374"/>
    </row>
    <row r="412" spans="1:13" hidden="1">
      <c r="A412" s="384"/>
      <c r="B412" s="392"/>
      <c r="C412" s="392"/>
      <c r="D412" s="392"/>
      <c r="E412" s="392"/>
      <c r="F412" s="392"/>
      <c r="G412" s="392"/>
      <c r="H412" s="392"/>
      <c r="I412" s="392"/>
      <c r="J412" s="392"/>
      <c r="K412" s="392"/>
      <c r="L412" s="428"/>
      <c r="M412" s="374"/>
    </row>
    <row r="413" spans="1:13" hidden="1">
      <c r="A413" s="384"/>
      <c r="B413" s="392"/>
      <c r="C413" s="392"/>
      <c r="D413" s="348"/>
      <c r="E413" s="392"/>
      <c r="F413" s="392"/>
      <c r="G413" s="392"/>
      <c r="H413" s="392"/>
      <c r="I413" s="392"/>
      <c r="J413" s="392"/>
      <c r="K413" s="426"/>
      <c r="L413" s="428"/>
      <c r="M413" s="374"/>
    </row>
    <row r="414" spans="1:13" hidden="1">
      <c r="A414" s="384"/>
      <c r="B414" s="392"/>
      <c r="C414" s="392"/>
      <c r="D414" s="392"/>
      <c r="E414" s="392"/>
      <c r="F414" s="392"/>
      <c r="G414" s="392"/>
      <c r="H414" s="392"/>
      <c r="I414" s="392"/>
      <c r="J414" s="392"/>
      <c r="K414" s="392"/>
      <c r="L414" s="428"/>
      <c r="M414" s="374"/>
    </row>
    <row r="415" spans="1:13" hidden="1">
      <c r="A415" s="384"/>
      <c r="B415" s="392"/>
      <c r="C415" s="392"/>
      <c r="D415" s="348"/>
      <c r="E415" s="392"/>
      <c r="F415" s="392"/>
      <c r="G415" s="392"/>
      <c r="H415" s="392"/>
      <c r="I415" s="392"/>
      <c r="J415" s="392"/>
      <c r="K415" s="426"/>
      <c r="L415" s="428"/>
      <c r="M415" s="374"/>
    </row>
    <row r="416" spans="1:13" hidden="1">
      <c r="A416" s="384"/>
      <c r="B416" s="392"/>
      <c r="C416" s="392"/>
      <c r="D416" s="392"/>
      <c r="E416" s="392"/>
      <c r="F416" s="392"/>
      <c r="G416" s="392"/>
      <c r="H416" s="392"/>
      <c r="I416" s="392"/>
      <c r="J416" s="392"/>
      <c r="K416" s="392"/>
      <c r="L416" s="428"/>
      <c r="M416" s="374"/>
    </row>
    <row r="417" spans="1:13" hidden="1">
      <c r="A417" s="384"/>
      <c r="B417" s="392"/>
      <c r="C417" s="392"/>
      <c r="D417" s="348"/>
      <c r="E417" s="392"/>
      <c r="F417" s="392"/>
      <c r="G417" s="392"/>
      <c r="H417" s="392"/>
      <c r="I417" s="392"/>
      <c r="J417" s="392"/>
      <c r="K417" s="426"/>
      <c r="L417" s="428"/>
      <c r="M417" s="374"/>
    </row>
    <row r="418" spans="1:13" hidden="1">
      <c r="A418" s="384"/>
      <c r="B418" s="392"/>
      <c r="C418" s="392"/>
      <c r="D418" s="392"/>
      <c r="E418" s="392"/>
      <c r="F418" s="392"/>
      <c r="G418" s="392"/>
      <c r="H418" s="392"/>
      <c r="I418" s="392"/>
      <c r="J418" s="392"/>
      <c r="K418" s="392"/>
      <c r="L418" s="428"/>
      <c r="M418" s="374"/>
    </row>
    <row r="419" spans="1:13" hidden="1">
      <c r="A419" s="384"/>
      <c r="B419" s="392"/>
      <c r="C419" s="392"/>
      <c r="D419" s="348"/>
      <c r="E419" s="392"/>
      <c r="F419" s="392"/>
      <c r="G419" s="392"/>
      <c r="H419" s="392"/>
      <c r="I419" s="392"/>
      <c r="J419" s="392"/>
      <c r="K419" s="426"/>
      <c r="L419" s="428"/>
      <c r="M419" s="374"/>
    </row>
    <row r="420" spans="1:13" hidden="1">
      <c r="A420" s="384"/>
      <c r="B420" s="392"/>
      <c r="C420" s="392"/>
      <c r="D420" s="392"/>
      <c r="E420" s="392"/>
      <c r="F420" s="392"/>
      <c r="G420" s="392"/>
      <c r="H420" s="392"/>
      <c r="I420" s="392"/>
      <c r="J420" s="392"/>
      <c r="K420" s="392"/>
      <c r="L420" s="428"/>
      <c r="M420" s="374"/>
    </row>
    <row r="421" spans="1:13" hidden="1">
      <c r="A421" s="384"/>
      <c r="B421" s="392"/>
      <c r="C421" s="392"/>
      <c r="D421" s="348"/>
      <c r="E421" s="392"/>
      <c r="F421" s="392"/>
      <c r="G421" s="392"/>
      <c r="H421" s="392"/>
      <c r="I421" s="392"/>
      <c r="J421" s="392"/>
      <c r="K421" s="426"/>
      <c r="L421" s="428"/>
      <c r="M421" s="374"/>
    </row>
    <row r="422" spans="1:13" hidden="1">
      <c r="A422" s="384"/>
      <c r="B422" s="392"/>
      <c r="C422" s="392"/>
      <c r="D422" s="392"/>
      <c r="E422" s="392"/>
      <c r="F422" s="392"/>
      <c r="G422" s="392"/>
      <c r="H422" s="392"/>
      <c r="I422" s="392"/>
      <c r="J422" s="392"/>
      <c r="K422" s="392"/>
      <c r="L422" s="428"/>
      <c r="M422" s="374"/>
    </row>
    <row r="423" spans="1:13" hidden="1">
      <c r="A423" s="384"/>
      <c r="B423" s="392"/>
      <c r="C423" s="392"/>
      <c r="D423" s="348"/>
      <c r="E423" s="392"/>
      <c r="F423" s="392"/>
      <c r="G423" s="392"/>
      <c r="H423" s="392"/>
      <c r="I423" s="392"/>
      <c r="J423" s="392"/>
      <c r="K423" s="426"/>
      <c r="L423" s="428"/>
      <c r="M423" s="374"/>
    </row>
    <row r="424" spans="1:13" hidden="1">
      <c r="A424" s="384"/>
      <c r="B424" s="392"/>
      <c r="C424" s="392"/>
      <c r="D424" s="392"/>
      <c r="E424" s="392"/>
      <c r="F424" s="392"/>
      <c r="G424" s="392"/>
      <c r="H424" s="392"/>
      <c r="I424" s="392"/>
      <c r="J424" s="392"/>
      <c r="K424" s="392"/>
      <c r="L424" s="428"/>
      <c r="M424" s="374"/>
    </row>
    <row r="425" spans="1:13" hidden="1">
      <c r="A425" s="384"/>
      <c r="B425" s="392"/>
      <c r="C425" s="392"/>
      <c r="D425" s="348"/>
      <c r="E425" s="392"/>
      <c r="F425" s="392"/>
      <c r="G425" s="392"/>
      <c r="H425" s="392"/>
      <c r="I425" s="392"/>
      <c r="J425" s="392"/>
      <c r="K425" s="426"/>
      <c r="L425" s="428"/>
      <c r="M425" s="374"/>
    </row>
    <row r="426" spans="1:13" hidden="1">
      <c r="A426" s="384"/>
      <c r="B426" s="392"/>
      <c r="C426" s="392"/>
      <c r="D426" s="392"/>
      <c r="E426" s="392"/>
      <c r="F426" s="392"/>
      <c r="G426" s="392"/>
      <c r="H426" s="392"/>
      <c r="I426" s="392"/>
      <c r="J426" s="392"/>
      <c r="K426" s="392"/>
      <c r="L426" s="428"/>
      <c r="M426" s="374"/>
    </row>
    <row r="427" spans="1:13" hidden="1">
      <c r="A427" s="384"/>
      <c r="B427" s="392"/>
      <c r="C427" s="392"/>
      <c r="D427" s="348"/>
      <c r="E427" s="392"/>
      <c r="F427" s="392"/>
      <c r="G427" s="392"/>
      <c r="H427" s="392"/>
      <c r="I427" s="392"/>
      <c r="J427" s="392"/>
      <c r="K427" s="426"/>
      <c r="L427" s="428"/>
      <c r="M427" s="374"/>
    </row>
    <row r="428" spans="1:13" hidden="1">
      <c r="A428" s="392"/>
      <c r="B428" s="392"/>
      <c r="C428" s="392"/>
      <c r="D428" s="392"/>
      <c r="E428" s="392"/>
      <c r="F428" s="392"/>
      <c r="G428" s="392"/>
      <c r="H428" s="392"/>
      <c r="I428" s="392"/>
      <c r="J428" s="392"/>
      <c r="K428" s="392"/>
      <c r="L428" s="428"/>
      <c r="M428" s="374"/>
    </row>
    <row r="429" spans="1:13" hidden="1">
      <c r="A429" s="384"/>
      <c r="B429" s="392"/>
      <c r="C429" s="392"/>
      <c r="D429" s="348"/>
      <c r="E429" s="392"/>
      <c r="F429" s="392"/>
      <c r="G429" s="392"/>
      <c r="H429" s="392"/>
      <c r="I429" s="392"/>
      <c r="J429" s="392"/>
      <c r="K429" s="426"/>
      <c r="L429" s="428"/>
      <c r="M429" s="374"/>
    </row>
    <row r="430" spans="1:13" hidden="1">
      <c r="A430" s="384"/>
      <c r="B430" s="392"/>
      <c r="C430" s="392"/>
      <c r="D430" s="392"/>
      <c r="E430" s="392"/>
      <c r="F430" s="392"/>
      <c r="G430" s="392"/>
      <c r="H430" s="392"/>
      <c r="I430" s="392"/>
      <c r="J430" s="392"/>
      <c r="K430" s="392"/>
      <c r="L430" s="428"/>
      <c r="M430" s="374"/>
    </row>
    <row r="431" spans="1:13" hidden="1">
      <c r="A431" s="384"/>
      <c r="B431" s="392"/>
      <c r="C431" s="392"/>
      <c r="D431" s="348"/>
      <c r="E431" s="392"/>
      <c r="F431" s="392"/>
      <c r="G431" s="392"/>
      <c r="H431" s="392"/>
      <c r="I431" s="392"/>
      <c r="J431" s="392"/>
      <c r="K431" s="426"/>
      <c r="L431" s="428"/>
      <c r="M431" s="374"/>
    </row>
    <row r="432" spans="1:13" hidden="1">
      <c r="A432" s="384"/>
      <c r="B432" s="392"/>
      <c r="C432" s="392"/>
      <c r="D432" s="392"/>
      <c r="E432" s="392"/>
      <c r="F432" s="392"/>
      <c r="G432" s="392"/>
      <c r="H432" s="392"/>
      <c r="I432" s="392"/>
      <c r="J432" s="392"/>
      <c r="K432" s="392"/>
      <c r="L432" s="428"/>
      <c r="M432" s="374"/>
    </row>
    <row r="433" spans="1:13" hidden="1">
      <c r="A433" s="384"/>
      <c r="B433" s="392"/>
      <c r="C433" s="392"/>
      <c r="D433" s="348"/>
      <c r="E433" s="392"/>
      <c r="F433" s="392"/>
      <c r="G433" s="392"/>
      <c r="H433" s="392"/>
      <c r="I433" s="392"/>
      <c r="J433" s="392"/>
      <c r="K433" s="426"/>
      <c r="L433" s="428"/>
      <c r="M433" s="374"/>
    </row>
    <row r="434" spans="1:13" hidden="1">
      <c r="A434" s="408"/>
      <c r="B434" s="392"/>
      <c r="C434" s="392"/>
      <c r="D434" s="348"/>
      <c r="E434" s="392"/>
      <c r="F434" s="392"/>
      <c r="G434" s="392"/>
      <c r="H434" s="392"/>
      <c r="I434" s="392"/>
      <c r="J434" s="392"/>
      <c r="K434" s="426"/>
      <c r="L434" s="428"/>
      <c r="M434" s="374"/>
    </row>
    <row r="435" spans="1:13" hidden="1">
      <c r="A435" s="384"/>
      <c r="B435" s="392"/>
      <c r="C435" s="392"/>
      <c r="D435" s="348"/>
      <c r="E435" s="392"/>
      <c r="F435" s="392"/>
      <c r="G435" s="392"/>
      <c r="H435" s="392"/>
      <c r="I435" s="392"/>
      <c r="J435" s="392"/>
      <c r="K435" s="426"/>
      <c r="L435" s="428"/>
      <c r="M435" s="374"/>
    </row>
    <row r="436" spans="1:13" hidden="1">
      <c r="A436" s="384"/>
      <c r="B436" s="392"/>
      <c r="C436" s="392"/>
      <c r="D436" s="392"/>
      <c r="E436" s="392"/>
      <c r="F436" s="392"/>
      <c r="G436" s="392"/>
      <c r="H436" s="392"/>
      <c r="I436" s="392"/>
      <c r="J436" s="392"/>
      <c r="K436" s="392"/>
      <c r="L436" s="428"/>
      <c r="M436" s="374"/>
    </row>
    <row r="437" spans="1:13" hidden="1">
      <c r="A437" s="384"/>
      <c r="B437" s="392"/>
      <c r="C437" s="392"/>
      <c r="D437" s="348"/>
      <c r="E437" s="392"/>
      <c r="F437" s="392"/>
      <c r="G437" s="392"/>
      <c r="H437" s="392"/>
      <c r="I437" s="392"/>
      <c r="J437" s="392"/>
      <c r="K437" s="426"/>
      <c r="L437" s="428"/>
      <c r="M437" s="374"/>
    </row>
    <row r="438" spans="1:13" hidden="1">
      <c r="A438" s="384"/>
      <c r="B438" s="392"/>
      <c r="C438" s="392"/>
      <c r="D438" s="392"/>
      <c r="E438" s="392"/>
      <c r="F438" s="392"/>
      <c r="G438" s="392"/>
      <c r="H438" s="392"/>
      <c r="I438" s="392"/>
      <c r="J438" s="392"/>
      <c r="K438" s="392"/>
      <c r="L438" s="428"/>
      <c r="M438" s="374"/>
    </row>
    <row r="439" spans="1:13" hidden="1">
      <c r="A439" s="384"/>
      <c r="B439" s="392"/>
      <c r="C439" s="392"/>
      <c r="D439" s="348"/>
      <c r="E439" s="392"/>
      <c r="F439" s="392"/>
      <c r="G439" s="392"/>
      <c r="H439" s="392"/>
      <c r="I439" s="392"/>
      <c r="J439" s="392"/>
      <c r="K439" s="426"/>
      <c r="L439" s="428"/>
      <c r="M439" s="374"/>
    </row>
    <row r="440" spans="1:13" hidden="1">
      <c r="A440" s="384"/>
      <c r="B440" s="392"/>
      <c r="C440" s="392"/>
      <c r="D440" s="392"/>
      <c r="E440" s="392"/>
      <c r="F440" s="392"/>
      <c r="G440" s="392"/>
      <c r="H440" s="392"/>
      <c r="I440" s="392"/>
      <c r="J440" s="392"/>
      <c r="K440" s="392"/>
      <c r="L440" s="428"/>
      <c r="M440" s="374"/>
    </row>
    <row r="441" spans="1:13" hidden="1">
      <c r="A441" s="384"/>
      <c r="B441" s="392"/>
      <c r="C441" s="392"/>
      <c r="D441" s="348"/>
      <c r="E441" s="392"/>
      <c r="F441" s="392"/>
      <c r="G441" s="392"/>
      <c r="H441" s="392"/>
      <c r="I441" s="392"/>
      <c r="J441" s="392"/>
      <c r="K441" s="426"/>
      <c r="L441" s="428"/>
      <c r="M441" s="374"/>
    </row>
    <row r="442" spans="1:13" hidden="1">
      <c r="A442" s="384"/>
      <c r="B442" s="392"/>
      <c r="C442" s="392"/>
      <c r="D442" s="392"/>
      <c r="E442" s="392"/>
      <c r="F442" s="392"/>
      <c r="G442" s="392"/>
      <c r="H442" s="392"/>
      <c r="I442" s="392"/>
      <c r="J442" s="392"/>
      <c r="K442" s="392"/>
      <c r="L442" s="428"/>
      <c r="M442" s="374"/>
    </row>
    <row r="443" spans="1:13" hidden="1">
      <c r="A443" s="384"/>
      <c r="B443" s="392"/>
      <c r="C443" s="392"/>
      <c r="D443" s="348"/>
      <c r="E443" s="392"/>
      <c r="F443" s="392"/>
      <c r="G443" s="392"/>
      <c r="H443" s="392"/>
      <c r="I443" s="392"/>
      <c r="J443" s="392"/>
      <c r="K443" s="426"/>
      <c r="L443" s="428"/>
      <c r="M443" s="374"/>
    </row>
    <row r="444" spans="1:13" hidden="1">
      <c r="A444" s="384"/>
      <c r="B444" s="392"/>
      <c r="C444" s="392"/>
      <c r="D444" s="392"/>
      <c r="E444" s="392"/>
      <c r="F444" s="392"/>
      <c r="G444" s="392"/>
      <c r="H444" s="392"/>
      <c r="I444" s="392"/>
      <c r="J444" s="392"/>
      <c r="K444" s="392"/>
      <c r="L444" s="348"/>
      <c r="M444" s="374"/>
    </row>
    <row r="445" spans="1:13" hidden="1">
      <c r="A445" s="384"/>
      <c r="B445" s="392"/>
      <c r="C445" s="392"/>
      <c r="D445" s="348"/>
      <c r="E445" s="392"/>
      <c r="F445" s="392"/>
      <c r="G445" s="392"/>
      <c r="H445" s="392"/>
      <c r="I445" s="392"/>
      <c r="J445" s="392"/>
      <c r="K445" s="392"/>
      <c r="L445" s="348"/>
      <c r="M445" s="374"/>
    </row>
    <row r="446" spans="1:13" hidden="1">
      <c r="A446" s="384"/>
      <c r="B446" s="392"/>
      <c r="C446" s="392"/>
      <c r="D446" s="392"/>
      <c r="E446" s="392"/>
      <c r="F446" s="392"/>
      <c r="G446" s="392"/>
      <c r="H446" s="392"/>
      <c r="I446" s="392"/>
      <c r="J446" s="392"/>
      <c r="K446" s="392"/>
      <c r="L446" s="348"/>
      <c r="M446" s="374"/>
    </row>
    <row r="447" spans="1:13" hidden="1">
      <c r="A447" s="429"/>
      <c r="B447" s="389"/>
      <c r="C447" s="389"/>
      <c r="D447" s="429"/>
      <c r="E447" s="389"/>
      <c r="F447" s="389"/>
      <c r="G447" s="389"/>
      <c r="H447" s="389"/>
      <c r="I447" s="389"/>
      <c r="J447" s="389"/>
      <c r="K447" s="389"/>
      <c r="L447" s="429"/>
    </row>
    <row r="448" spans="1:13" hidden="1">
      <c r="A448" s="384"/>
      <c r="B448" s="392"/>
      <c r="C448" s="392"/>
      <c r="D448" s="392"/>
      <c r="E448" s="392"/>
      <c r="F448" s="392"/>
      <c r="G448" s="392"/>
      <c r="H448" s="392"/>
      <c r="I448" s="392"/>
      <c r="J448" s="392"/>
      <c r="K448" s="392"/>
      <c r="L448" s="348"/>
      <c r="M448" s="374"/>
    </row>
    <row r="449" spans="1:13" hidden="1">
      <c r="A449" s="384"/>
      <c r="B449" s="392"/>
      <c r="C449" s="392"/>
      <c r="D449" s="348"/>
      <c r="E449" s="392"/>
      <c r="F449" s="392"/>
      <c r="G449" s="392"/>
      <c r="H449" s="392"/>
      <c r="I449" s="392"/>
      <c r="J449" s="392"/>
      <c r="K449" s="392"/>
      <c r="L449" s="348"/>
      <c r="M449" s="374"/>
    </row>
    <row r="450" spans="1:13" hidden="1">
      <c r="A450" s="384"/>
      <c r="B450" s="392"/>
      <c r="C450" s="392"/>
      <c r="D450" s="392"/>
      <c r="E450" s="392"/>
      <c r="F450" s="392"/>
      <c r="G450" s="392"/>
      <c r="H450" s="392"/>
      <c r="I450" s="392"/>
      <c r="J450" s="392"/>
      <c r="K450" s="392"/>
      <c r="L450" s="348"/>
      <c r="M450" s="374"/>
    </row>
    <row r="451" spans="1:13" hidden="1">
      <c r="A451" s="384"/>
      <c r="B451" s="392"/>
      <c r="C451" s="392"/>
      <c r="D451" s="348"/>
      <c r="E451" s="392"/>
      <c r="F451" s="392"/>
      <c r="G451" s="392"/>
      <c r="H451" s="392"/>
      <c r="I451" s="392"/>
      <c r="J451" s="392"/>
      <c r="K451" s="392"/>
      <c r="L451" s="348"/>
      <c r="M451" s="374"/>
    </row>
    <row r="452" spans="1:13" hidden="1">
      <c r="A452" s="384"/>
      <c r="B452" s="392"/>
      <c r="C452" s="392"/>
      <c r="D452" s="392"/>
      <c r="E452" s="392"/>
      <c r="F452" s="392"/>
      <c r="G452" s="392"/>
      <c r="H452" s="392"/>
      <c r="I452" s="392"/>
      <c r="J452" s="392"/>
      <c r="K452" s="392"/>
      <c r="L452" s="348"/>
      <c r="M452" s="374"/>
    </row>
    <row r="453" spans="1:13" hidden="1">
      <c r="A453" s="384"/>
      <c r="B453" s="392"/>
      <c r="C453" s="392"/>
      <c r="D453" s="348"/>
      <c r="E453" s="392"/>
      <c r="F453" s="392"/>
      <c r="G453" s="392"/>
      <c r="H453" s="392"/>
      <c r="I453" s="392"/>
      <c r="J453" s="392"/>
      <c r="K453" s="392"/>
      <c r="L453" s="348"/>
      <c r="M453" s="374"/>
    </row>
    <row r="454" spans="1:13" hidden="1">
      <c r="A454" s="384"/>
      <c r="B454" s="392"/>
      <c r="C454" s="392"/>
      <c r="D454" s="392"/>
      <c r="E454" s="392"/>
      <c r="F454" s="392"/>
      <c r="G454" s="392"/>
      <c r="H454" s="392"/>
      <c r="I454" s="392"/>
      <c r="J454" s="392"/>
      <c r="K454" s="392"/>
      <c r="L454" s="348"/>
      <c r="M454" s="374"/>
    </row>
    <row r="455" spans="1:13" hidden="1">
      <c r="A455" s="384"/>
      <c r="B455" s="392"/>
      <c r="C455" s="392"/>
      <c r="D455" s="348"/>
      <c r="E455" s="392"/>
      <c r="F455" s="392"/>
      <c r="G455" s="392"/>
      <c r="H455" s="392"/>
      <c r="I455" s="392"/>
      <c r="J455" s="392"/>
      <c r="K455" s="392"/>
      <c r="L455" s="348"/>
      <c r="M455" s="374"/>
    </row>
    <row r="456" spans="1:13" hidden="1">
      <c r="A456" s="384"/>
      <c r="B456" s="392"/>
      <c r="C456" s="392"/>
      <c r="D456" s="392"/>
      <c r="E456" s="392"/>
      <c r="F456" s="392"/>
      <c r="G456" s="392"/>
      <c r="H456" s="392"/>
      <c r="I456" s="392"/>
      <c r="J456" s="392"/>
      <c r="K456" s="392"/>
      <c r="L456" s="348"/>
      <c r="M456" s="374"/>
    </row>
    <row r="457" spans="1:13" hidden="1">
      <c r="A457" s="384"/>
      <c r="B457" s="392"/>
      <c r="C457" s="392"/>
      <c r="D457" s="348"/>
      <c r="E457" s="392"/>
      <c r="F457" s="392"/>
      <c r="G457" s="392"/>
      <c r="H457" s="392"/>
      <c r="I457" s="392"/>
      <c r="J457" s="392"/>
      <c r="K457" s="392"/>
      <c r="L457" s="348"/>
      <c r="M457" s="374"/>
    </row>
    <row r="458" spans="1:13" hidden="1">
      <c r="A458" s="384"/>
      <c r="B458" s="392"/>
      <c r="C458" s="392"/>
      <c r="D458" s="392"/>
      <c r="E458" s="392"/>
      <c r="F458" s="392"/>
      <c r="G458" s="392"/>
      <c r="H458" s="392"/>
      <c r="I458" s="392"/>
      <c r="J458" s="392"/>
      <c r="K458" s="392"/>
      <c r="L458" s="348"/>
      <c r="M458" s="374"/>
    </row>
    <row r="459" spans="1:13" hidden="1">
      <c r="A459" s="384"/>
      <c r="B459" s="392"/>
      <c r="C459" s="392"/>
      <c r="D459" s="348"/>
      <c r="E459" s="392"/>
      <c r="F459" s="392"/>
      <c r="G459" s="392"/>
      <c r="H459" s="392"/>
      <c r="I459" s="392"/>
      <c r="J459" s="392"/>
      <c r="K459" s="392"/>
      <c r="L459" s="348"/>
      <c r="M459" s="374"/>
    </row>
    <row r="460" spans="1:13" hidden="1">
      <c r="A460" s="408">
        <v>2009</v>
      </c>
      <c r="B460" s="392"/>
      <c r="C460" s="309"/>
      <c r="D460" s="348"/>
      <c r="E460" s="392"/>
      <c r="F460" s="392"/>
      <c r="G460" s="392"/>
      <c r="H460" s="392"/>
      <c r="I460" s="392"/>
      <c r="J460" s="392"/>
      <c r="K460" s="392"/>
      <c r="L460" s="348"/>
      <c r="M460" s="374"/>
    </row>
    <row r="461" spans="1:13" hidden="1">
      <c r="A461" s="411"/>
      <c r="B461" s="392"/>
      <c r="C461" s="392"/>
      <c r="D461" s="348"/>
      <c r="E461" s="392"/>
      <c r="F461" s="392"/>
      <c r="G461" s="392"/>
      <c r="H461" s="392"/>
      <c r="I461" s="392"/>
      <c r="J461" s="392"/>
      <c r="K461" s="392"/>
      <c r="L461" s="348"/>
      <c r="M461" s="374"/>
    </row>
    <row r="462" spans="1:13" hidden="1">
      <c r="A462" s="384" t="s">
        <v>8</v>
      </c>
      <c r="B462" s="413">
        <v>1150.9000000000001</v>
      </c>
      <c r="C462" s="413">
        <v>8524106</v>
      </c>
      <c r="D462" s="413">
        <v>0</v>
      </c>
      <c r="E462" s="413">
        <v>1241644</v>
      </c>
      <c r="F462" s="413">
        <f>B462+C462+D462+E462</f>
        <v>9766900.9000000004</v>
      </c>
      <c r="G462" s="413">
        <v>538016868</v>
      </c>
      <c r="H462" s="413">
        <v>0</v>
      </c>
      <c r="I462" s="413">
        <f>SUM(F462:H462)</f>
        <v>547783768.89999998</v>
      </c>
      <c r="J462" s="413">
        <v>149948195.69999999</v>
      </c>
      <c r="K462" s="413">
        <v>544742013.29999995</v>
      </c>
      <c r="L462" s="413">
        <f>SUM(I462:K462)</f>
        <v>1242473977.8999999</v>
      </c>
      <c r="M462" s="374"/>
    </row>
    <row r="463" spans="1:13" hidden="1">
      <c r="A463" s="384"/>
      <c r="B463" s="430"/>
      <c r="C463" s="413"/>
      <c r="D463" s="413"/>
      <c r="E463" s="413"/>
      <c r="F463" s="413"/>
      <c r="G463" s="413"/>
      <c r="H463" s="413"/>
      <c r="I463" s="413"/>
      <c r="J463" s="413"/>
      <c r="K463" s="413"/>
      <c r="L463" s="413"/>
      <c r="M463" s="374"/>
    </row>
    <row r="464" spans="1:13" hidden="1">
      <c r="A464" s="384" t="s">
        <v>9</v>
      </c>
      <c r="B464" s="413">
        <v>29117.4</v>
      </c>
      <c r="C464" s="413">
        <v>32906140</v>
      </c>
      <c r="D464" s="413">
        <v>0</v>
      </c>
      <c r="E464" s="413">
        <v>2700288</v>
      </c>
      <c r="F464" s="413">
        <f>B464+C464+D464+E464</f>
        <v>35635545.399999999</v>
      </c>
      <c r="G464" s="413">
        <v>509745084.10000002</v>
      </c>
      <c r="H464" s="413">
        <v>0</v>
      </c>
      <c r="I464" s="413">
        <f>SUM(F464:H464)</f>
        <v>545380629.5</v>
      </c>
      <c r="J464" s="413">
        <v>149948195.69999999</v>
      </c>
      <c r="K464" s="413">
        <v>576350401.39999998</v>
      </c>
      <c r="L464" s="413">
        <f>SUM(I464:K464)</f>
        <v>1271679226.5999999</v>
      </c>
      <c r="M464" s="374"/>
    </row>
    <row r="465" spans="1:13" hidden="1">
      <c r="A465" s="384"/>
      <c r="B465" s="413"/>
      <c r="C465" s="413"/>
      <c r="D465" s="413"/>
      <c r="E465" s="413"/>
      <c r="F465" s="413"/>
      <c r="G465" s="413"/>
      <c r="H465" s="413"/>
      <c r="I465" s="413"/>
      <c r="J465" s="413"/>
      <c r="K465" s="413"/>
      <c r="L465" s="413"/>
      <c r="M465" s="374"/>
    </row>
    <row r="466" spans="1:13" hidden="1">
      <c r="A466" s="384" t="s">
        <v>10</v>
      </c>
      <c r="B466" s="413">
        <v>28031.1</v>
      </c>
      <c r="C466" s="413">
        <v>34958370</v>
      </c>
      <c r="D466" s="413">
        <v>0</v>
      </c>
      <c r="E466" s="413">
        <v>2802281</v>
      </c>
      <c r="F466" s="413">
        <f>B466+C466+D466+E466</f>
        <v>37788682.100000001</v>
      </c>
      <c r="G466" s="413">
        <v>510190454.80000001</v>
      </c>
      <c r="H466" s="413">
        <v>0</v>
      </c>
      <c r="I466" s="413">
        <f>SUM(F466:H466)</f>
        <v>547979136.89999998</v>
      </c>
      <c r="J466" s="413">
        <v>149948195.69999999</v>
      </c>
      <c r="K466" s="413">
        <v>7945641450.8999996</v>
      </c>
      <c r="L466" s="413">
        <f>SUM(I466:K466)</f>
        <v>8643568783.5</v>
      </c>
      <c r="M466" s="374"/>
    </row>
    <row r="467" spans="1:13" hidden="1">
      <c r="A467" s="384"/>
      <c r="B467" s="413"/>
      <c r="C467" s="413"/>
      <c r="D467" s="413"/>
      <c r="E467" s="413"/>
      <c r="F467" s="413"/>
      <c r="G467" s="413"/>
      <c r="H467" s="413"/>
      <c r="I467" s="413"/>
      <c r="J467" s="413"/>
      <c r="K467" s="413"/>
      <c r="L467" s="413"/>
      <c r="M467" s="374"/>
    </row>
    <row r="468" spans="1:13" hidden="1">
      <c r="A468" s="384" t="s">
        <v>11</v>
      </c>
      <c r="B468" s="413">
        <v>0</v>
      </c>
      <c r="C468" s="413">
        <v>33534827.5</v>
      </c>
      <c r="D468" s="413">
        <v>0</v>
      </c>
      <c r="E468" s="413">
        <v>164445.70000000001</v>
      </c>
      <c r="F468" s="413">
        <f>B468+C468+D468+E468</f>
        <v>33699273.200000003</v>
      </c>
      <c r="G468" s="413">
        <v>704504584.70000005</v>
      </c>
      <c r="H468" s="413">
        <v>0</v>
      </c>
      <c r="I468" s="413">
        <f>SUM(F468:H468)</f>
        <v>738203857.9000001</v>
      </c>
      <c r="J468" s="413">
        <v>574379743.20000005</v>
      </c>
      <c r="K468" s="413">
        <v>473867852.60000002</v>
      </c>
      <c r="L468" s="413">
        <f>SUM(I468:K468)</f>
        <v>1786451453.7000003</v>
      </c>
      <c r="M468" s="374"/>
    </row>
    <row r="469" spans="1:13" hidden="1">
      <c r="A469" s="384"/>
      <c r="B469" s="413"/>
      <c r="C469" s="413"/>
      <c r="D469" s="413"/>
      <c r="E469" s="413"/>
      <c r="F469" s="413"/>
      <c r="G469" s="413"/>
      <c r="H469" s="413"/>
      <c r="I469" s="413"/>
      <c r="J469" s="413"/>
      <c r="K469" s="413"/>
      <c r="L469" s="413"/>
      <c r="M469" s="374"/>
    </row>
    <row r="470" spans="1:13" hidden="1">
      <c r="A470" s="384" t="s">
        <v>337</v>
      </c>
      <c r="B470" s="413">
        <v>0</v>
      </c>
      <c r="C470" s="413">
        <v>47650677.600000001</v>
      </c>
      <c r="D470" s="413">
        <v>0</v>
      </c>
      <c r="E470" s="413">
        <v>164445.70000000001</v>
      </c>
      <c r="F470" s="413">
        <f>B470+C470+D470+E470</f>
        <v>47815123.300000004</v>
      </c>
      <c r="G470" s="413">
        <v>769924258.10000002</v>
      </c>
      <c r="H470" s="413">
        <v>0</v>
      </c>
      <c r="I470" s="413">
        <f>SUM(F470:H470)</f>
        <v>817739381.39999998</v>
      </c>
      <c r="J470" s="413">
        <v>580385921.20000005</v>
      </c>
      <c r="K470" s="413">
        <v>402657246.60000002</v>
      </c>
      <c r="L470" s="413">
        <f>SUM(I470:K470)</f>
        <v>1800782549.1999998</v>
      </c>
      <c r="M470" s="374"/>
    </row>
    <row r="471" spans="1:13" hidden="1">
      <c r="A471" s="431"/>
      <c r="B471" s="413"/>
      <c r="C471" s="413"/>
      <c r="D471" s="413"/>
      <c r="E471" s="413"/>
      <c r="F471" s="413"/>
      <c r="G471" s="413"/>
      <c r="H471" s="413"/>
      <c r="I471" s="413"/>
      <c r="J471" s="413"/>
      <c r="K471" s="413"/>
      <c r="L471" s="413"/>
      <c r="M471" s="374"/>
    </row>
    <row r="472" spans="1:13" hidden="1">
      <c r="A472" s="431" t="s">
        <v>346</v>
      </c>
      <c r="B472" s="413">
        <v>0</v>
      </c>
      <c r="C472" s="413">
        <v>68060619.799999997</v>
      </c>
      <c r="D472" s="413">
        <v>0</v>
      </c>
      <c r="E472" s="413">
        <v>174719.8</v>
      </c>
      <c r="F472" s="413">
        <f>B472+C472+D472+E472</f>
        <v>68235339.599999994</v>
      </c>
      <c r="G472" s="413">
        <v>769660005.70000005</v>
      </c>
      <c r="H472" s="413">
        <v>0</v>
      </c>
      <c r="I472" s="413">
        <f>SUM(F472:H472)</f>
        <v>837895345.30000007</v>
      </c>
      <c r="J472" s="413">
        <v>573763297.89999998</v>
      </c>
      <c r="K472" s="413">
        <v>410463531.10000002</v>
      </c>
      <c r="L472" s="413">
        <f>SUM(I472:K472)</f>
        <v>1822122174.3000002</v>
      </c>
      <c r="M472" s="374"/>
    </row>
    <row r="473" spans="1:13" hidden="1">
      <c r="A473" s="431"/>
      <c r="B473" s="413"/>
      <c r="C473" s="413"/>
      <c r="D473" s="413"/>
      <c r="E473" s="413"/>
      <c r="F473" s="413"/>
      <c r="G473" s="413"/>
      <c r="H473" s="413"/>
      <c r="I473" s="413"/>
      <c r="J473" s="413"/>
      <c r="K473" s="413"/>
      <c r="L473" s="413"/>
      <c r="M473" s="374"/>
    </row>
    <row r="474" spans="1:13" hidden="1">
      <c r="A474" s="431" t="s">
        <v>347</v>
      </c>
      <c r="B474" s="413">
        <v>0</v>
      </c>
      <c r="C474" s="413">
        <v>66910449.299999997</v>
      </c>
      <c r="D474" s="413">
        <v>0</v>
      </c>
      <c r="E474" s="413">
        <v>181630.5</v>
      </c>
      <c r="F474" s="413">
        <f>B474+C474+D474+E474</f>
        <v>67092079.799999997</v>
      </c>
      <c r="G474" s="413">
        <v>770475112.79999995</v>
      </c>
      <c r="H474" s="413">
        <v>0</v>
      </c>
      <c r="I474" s="413">
        <f>SUM(F474:H474)</f>
        <v>837567192.5999999</v>
      </c>
      <c r="J474" s="413">
        <v>568939558.60000002</v>
      </c>
      <c r="K474" s="413">
        <v>408936721.19999999</v>
      </c>
      <c r="L474" s="413">
        <f>SUM(I474:K474)</f>
        <v>1815443472.3999999</v>
      </c>
      <c r="M474" s="374"/>
    </row>
    <row r="475" spans="1:13" hidden="1">
      <c r="A475" s="431"/>
      <c r="B475" s="413"/>
      <c r="C475" s="413"/>
      <c r="D475" s="413"/>
      <c r="E475" s="413"/>
      <c r="F475" s="413"/>
      <c r="G475" s="413"/>
      <c r="H475" s="413"/>
      <c r="I475" s="413"/>
      <c r="J475" s="413"/>
      <c r="K475" s="413"/>
      <c r="L475" s="413"/>
      <c r="M475" s="374"/>
    </row>
    <row r="476" spans="1:13" hidden="1">
      <c r="A476" s="431" t="s">
        <v>12</v>
      </c>
      <c r="B476" s="413">
        <v>0</v>
      </c>
      <c r="C476" s="413">
        <v>88339134</v>
      </c>
      <c r="D476" s="413">
        <v>0</v>
      </c>
      <c r="E476" s="413">
        <v>180728</v>
      </c>
      <c r="F476" s="413">
        <f>B476+C476+D476+E476</f>
        <v>88519862</v>
      </c>
      <c r="G476" s="413">
        <v>1199469447</v>
      </c>
      <c r="H476" s="413">
        <v>0</v>
      </c>
      <c r="I476" s="413">
        <f>SUM(F476:H476)</f>
        <v>1287989309</v>
      </c>
      <c r="J476" s="413">
        <v>550791903</v>
      </c>
      <c r="K476" s="413">
        <v>423330539</v>
      </c>
      <c r="L476" s="413">
        <f>SUM(I476:K476)</f>
        <v>2262111751</v>
      </c>
      <c r="M476" s="374"/>
    </row>
    <row r="477" spans="1:13" hidden="1">
      <c r="A477" s="431"/>
      <c r="B477" s="413"/>
      <c r="C477" s="413"/>
      <c r="D477" s="413"/>
      <c r="E477" s="413"/>
      <c r="F477" s="413"/>
      <c r="G477" s="413"/>
      <c r="H477" s="413"/>
      <c r="I477" s="413"/>
      <c r="J477" s="413"/>
      <c r="K477" s="413"/>
      <c r="L477" s="413"/>
      <c r="M477" s="374"/>
    </row>
    <row r="478" spans="1:13" hidden="1">
      <c r="A478" s="431" t="s">
        <v>13</v>
      </c>
      <c r="B478" s="413">
        <v>0</v>
      </c>
      <c r="C478" s="413">
        <v>99187683</v>
      </c>
      <c r="D478" s="413">
        <v>0</v>
      </c>
      <c r="E478" s="413">
        <v>189398</v>
      </c>
      <c r="F478" s="413">
        <f>B478+C478+D478+E478</f>
        <v>99377081</v>
      </c>
      <c r="G478" s="413">
        <v>1221223275</v>
      </c>
      <c r="H478" s="413">
        <v>0</v>
      </c>
      <c r="I478" s="413">
        <f>SUM(F478:H478)</f>
        <v>1320600356</v>
      </c>
      <c r="J478" s="413">
        <v>544614018</v>
      </c>
      <c r="K478" s="413">
        <v>425643151</v>
      </c>
      <c r="L478" s="413">
        <f>SUM(I478:K478)</f>
        <v>2290857525</v>
      </c>
      <c r="M478" s="374"/>
    </row>
    <row r="479" spans="1:13" hidden="1">
      <c r="A479" s="431"/>
      <c r="B479" s="413"/>
      <c r="C479" s="413"/>
      <c r="D479" s="413"/>
      <c r="E479" s="413"/>
      <c r="F479" s="413"/>
      <c r="G479" s="413"/>
      <c r="H479" s="413"/>
      <c r="I479" s="413"/>
      <c r="J479" s="413"/>
      <c r="K479" s="413"/>
      <c r="L479" s="413"/>
      <c r="M479" s="374"/>
    </row>
    <row r="480" spans="1:13" hidden="1">
      <c r="A480" s="431" t="s">
        <v>14</v>
      </c>
      <c r="B480" s="413">
        <v>0</v>
      </c>
      <c r="C480" s="413">
        <v>104939692</v>
      </c>
      <c r="D480" s="413">
        <v>0</v>
      </c>
      <c r="E480" s="413">
        <v>188630</v>
      </c>
      <c r="F480" s="413">
        <f>B480+C480+D480+E480</f>
        <v>105128322</v>
      </c>
      <c r="G480" s="413">
        <v>1319977388</v>
      </c>
      <c r="H480" s="413">
        <v>0</v>
      </c>
      <c r="I480" s="413">
        <f>SUM(F480:H480)</f>
        <v>1425105710</v>
      </c>
      <c r="J480" s="413">
        <v>545849396</v>
      </c>
      <c r="K480" s="413">
        <v>329100917</v>
      </c>
      <c r="L480" s="413">
        <f>SUM(I480:K480)</f>
        <v>2300056023</v>
      </c>
      <c r="M480" s="374"/>
    </row>
    <row r="481" spans="1:13" hidden="1">
      <c r="A481" s="431"/>
      <c r="B481" s="413"/>
      <c r="C481" s="413"/>
      <c r="D481" s="413"/>
      <c r="E481" s="413"/>
      <c r="F481" s="413"/>
      <c r="G481" s="413"/>
      <c r="H481" s="413"/>
      <c r="I481" s="413"/>
      <c r="J481" s="413"/>
      <c r="K481" s="413"/>
      <c r="L481" s="413"/>
      <c r="M481" s="374"/>
    </row>
    <row r="482" spans="1:13" hidden="1">
      <c r="A482" s="431" t="s">
        <v>15</v>
      </c>
      <c r="B482" s="413">
        <v>0</v>
      </c>
      <c r="C482" s="413">
        <v>93881231</v>
      </c>
      <c r="D482" s="413">
        <v>0</v>
      </c>
      <c r="E482" s="413">
        <v>189421</v>
      </c>
      <c r="F482" s="413">
        <f>B482+C482+D482+E482</f>
        <v>94070652</v>
      </c>
      <c r="G482" s="413">
        <v>1319399144</v>
      </c>
      <c r="H482" s="413">
        <v>0</v>
      </c>
      <c r="I482" s="413">
        <f>SUM(F482:H482)</f>
        <v>1413469796</v>
      </c>
      <c r="J482" s="413">
        <v>558944631</v>
      </c>
      <c r="K482" s="413">
        <v>335636389</v>
      </c>
      <c r="L482" s="413">
        <f>SUM(I482:K482)</f>
        <v>2308050816</v>
      </c>
      <c r="M482" s="374"/>
    </row>
    <row r="483" spans="1:13" hidden="1">
      <c r="A483" s="431"/>
      <c r="B483" s="413"/>
      <c r="C483" s="413"/>
      <c r="D483" s="413"/>
      <c r="E483" s="413"/>
      <c r="F483" s="413"/>
      <c r="G483" s="413"/>
      <c r="H483" s="413"/>
      <c r="I483" s="413"/>
      <c r="J483" s="413"/>
      <c r="K483" s="413"/>
      <c r="L483" s="413"/>
      <c r="M483" s="374"/>
    </row>
    <row r="484" spans="1:13" hidden="1">
      <c r="A484" s="431" t="s">
        <v>16</v>
      </c>
      <c r="B484" s="413">
        <v>0</v>
      </c>
      <c r="C484" s="413">
        <v>125081176</v>
      </c>
      <c r="D484" s="413">
        <v>0</v>
      </c>
      <c r="E484" s="413">
        <v>187399</v>
      </c>
      <c r="F484" s="413">
        <v>125268575</v>
      </c>
      <c r="G484" s="413">
        <v>1295065790</v>
      </c>
      <c r="H484" s="413">
        <v>0</v>
      </c>
      <c r="I484" s="413">
        <v>1420334365</v>
      </c>
      <c r="J484" s="413">
        <v>-1131128211</v>
      </c>
      <c r="K484" s="413">
        <v>395083823</v>
      </c>
      <c r="L484" s="413">
        <f>SUM(I484:K484)</f>
        <v>684289977</v>
      </c>
      <c r="M484" s="374"/>
    </row>
    <row r="485" spans="1:13" hidden="1">
      <c r="A485" s="431"/>
      <c r="B485" s="413"/>
      <c r="C485" s="413"/>
      <c r="D485" s="413"/>
      <c r="E485" s="413"/>
      <c r="F485" s="413"/>
      <c r="G485" s="413"/>
      <c r="H485" s="413"/>
      <c r="I485" s="413"/>
      <c r="J485" s="413"/>
      <c r="K485" s="413"/>
      <c r="L485" s="413"/>
      <c r="M485" s="374"/>
    </row>
    <row r="486" spans="1:13">
      <c r="A486" s="408">
        <v>2010</v>
      </c>
      <c r="B486" s="413"/>
      <c r="C486" s="413"/>
      <c r="D486" s="413"/>
      <c r="E486" s="413"/>
      <c r="F486" s="413"/>
      <c r="G486" s="413"/>
      <c r="H486" s="413"/>
      <c r="I486" s="413"/>
      <c r="J486" s="413"/>
      <c r="K486" s="413"/>
      <c r="L486" s="413"/>
      <c r="M486" s="374"/>
    </row>
    <row r="487" spans="1:13">
      <c r="A487" s="431"/>
      <c r="B487" s="413"/>
      <c r="C487" s="413"/>
      <c r="D487" s="413"/>
      <c r="E487" s="413"/>
      <c r="F487" s="413"/>
      <c r="G487" s="413"/>
      <c r="H487" s="413"/>
      <c r="I487" s="413"/>
      <c r="J487" s="413"/>
      <c r="K487" s="413"/>
      <c r="L487" s="413"/>
      <c r="M487" s="374"/>
    </row>
    <row r="488" spans="1:13">
      <c r="A488" s="384" t="s">
        <v>8</v>
      </c>
      <c r="B488" s="413">
        <v>0</v>
      </c>
      <c r="C488" s="413">
        <v>140.084553</v>
      </c>
      <c r="D488" s="413">
        <v>0</v>
      </c>
      <c r="E488" s="413">
        <v>0.18612799999999999</v>
      </c>
      <c r="F488" s="413">
        <v>140.270681</v>
      </c>
      <c r="G488" s="413">
        <v>1779.8429679999999</v>
      </c>
      <c r="H488" s="413">
        <v>0</v>
      </c>
      <c r="I488" s="413">
        <v>1920.1136489999999</v>
      </c>
      <c r="J488" s="413">
        <v>-1116.3674129999999</v>
      </c>
      <c r="K488" s="413">
        <v>-100.760139</v>
      </c>
      <c r="L488" s="413">
        <v>702.98609699999997</v>
      </c>
      <c r="M488" s="374"/>
    </row>
    <row r="489" spans="1:13">
      <c r="A489" s="384"/>
      <c r="B489" s="413"/>
      <c r="C489" s="413"/>
      <c r="D489" s="413"/>
      <c r="E489" s="413"/>
      <c r="F489" s="413"/>
      <c r="G489" s="413"/>
      <c r="H489" s="413"/>
      <c r="I489" s="413"/>
      <c r="J489" s="413"/>
      <c r="K489" s="413"/>
      <c r="L489" s="413"/>
      <c r="M489" s="374"/>
    </row>
    <row r="490" spans="1:13">
      <c r="A490" s="384" t="s">
        <v>9</v>
      </c>
      <c r="B490" s="413">
        <v>0</v>
      </c>
      <c r="C490" s="413">
        <v>130.83460099999999</v>
      </c>
      <c r="D490" s="413">
        <v>0</v>
      </c>
      <c r="E490" s="413">
        <v>0.183897</v>
      </c>
      <c r="F490" s="413">
        <v>131.01849799999999</v>
      </c>
      <c r="G490" s="413">
        <v>1287.173444</v>
      </c>
      <c r="H490" s="413">
        <v>0</v>
      </c>
      <c r="I490" s="413">
        <v>1418.1919419999999</v>
      </c>
      <c r="J490" s="413">
        <v>-1122.17848</v>
      </c>
      <c r="K490" s="413">
        <v>391.20579400000003</v>
      </c>
      <c r="L490" s="413">
        <v>687.21925599999997</v>
      </c>
      <c r="M490" s="374"/>
    </row>
    <row r="491" spans="1:13">
      <c r="A491" s="384"/>
      <c r="B491" s="413"/>
      <c r="C491" s="413"/>
      <c r="D491" s="413"/>
      <c r="E491" s="413"/>
      <c r="F491" s="413"/>
      <c r="G491" s="413"/>
      <c r="H491" s="413"/>
      <c r="I491" s="413"/>
      <c r="J491" s="413"/>
      <c r="K491" s="413">
        <v>0</v>
      </c>
      <c r="L491" s="413"/>
      <c r="M491" s="374"/>
    </row>
    <row r="492" spans="1:13">
      <c r="A492" s="384" t="s">
        <v>10</v>
      </c>
      <c r="B492" s="413">
        <v>0</v>
      </c>
      <c r="C492" s="413">
        <v>163.87781200000001</v>
      </c>
      <c r="D492" s="413">
        <v>0</v>
      </c>
      <c r="E492" s="413">
        <v>0.184334</v>
      </c>
      <c r="F492" s="413">
        <v>164.06214600000001</v>
      </c>
      <c r="G492" s="413">
        <v>1285.2679479999999</v>
      </c>
      <c r="H492" s="413">
        <v>0</v>
      </c>
      <c r="I492" s="413">
        <v>1449.3300939999999</v>
      </c>
      <c r="J492" s="413">
        <v>-1127.741342</v>
      </c>
      <c r="K492" s="413">
        <v>401.71771200000001</v>
      </c>
      <c r="L492" s="413">
        <v>723.30646400000001</v>
      </c>
      <c r="M492" s="374"/>
    </row>
    <row r="493" spans="1:13">
      <c r="A493" s="384"/>
      <c r="B493" s="413"/>
      <c r="C493" s="413"/>
      <c r="D493" s="413"/>
      <c r="E493" s="413"/>
      <c r="F493" s="413"/>
      <c r="G493" s="413"/>
      <c r="H493" s="413"/>
      <c r="I493" s="413"/>
      <c r="J493" s="413"/>
      <c r="K493" s="413"/>
      <c r="L493" s="413"/>
      <c r="M493" s="374"/>
    </row>
    <row r="494" spans="1:13">
      <c r="A494" s="384" t="s">
        <v>11</v>
      </c>
      <c r="B494" s="413">
        <v>0</v>
      </c>
      <c r="C494" s="413">
        <v>188.56372099999999</v>
      </c>
      <c r="D494" s="413">
        <v>0</v>
      </c>
      <c r="E494" s="413">
        <v>0.18392600000000001</v>
      </c>
      <c r="F494" s="413">
        <v>188.747647</v>
      </c>
      <c r="G494" s="413">
        <v>1142.944107</v>
      </c>
      <c r="H494" s="413">
        <v>0</v>
      </c>
      <c r="I494" s="413">
        <v>1331.6917539999999</v>
      </c>
      <c r="J494" s="413">
        <v>-1126.5972079999999</v>
      </c>
      <c r="K494" s="413">
        <v>550.29423699999995</v>
      </c>
      <c r="L494" s="413">
        <f>SUM(I494:K494)</f>
        <v>755.38878299999999</v>
      </c>
      <c r="M494" s="374"/>
    </row>
    <row r="495" spans="1:13">
      <c r="A495" s="431"/>
      <c r="B495" s="413"/>
      <c r="C495" s="413"/>
      <c r="D495" s="413"/>
      <c r="E495" s="413"/>
      <c r="F495" s="413"/>
      <c r="G495" s="413"/>
      <c r="H495" s="413"/>
      <c r="I495" s="413"/>
      <c r="J495" s="413"/>
      <c r="K495" s="413"/>
      <c r="L495" s="413"/>
      <c r="M495" s="374"/>
    </row>
    <row r="496" spans="1:13">
      <c r="A496" s="384" t="s">
        <v>337</v>
      </c>
      <c r="B496" s="413">
        <v>0</v>
      </c>
      <c r="C496" s="413">
        <v>200.579238</v>
      </c>
      <c r="D496" s="413">
        <v>0</v>
      </c>
      <c r="E496" s="413">
        <v>0.177481</v>
      </c>
      <c r="F496" s="413">
        <v>200.756719</v>
      </c>
      <c r="G496" s="413">
        <v>1109.3246979999999</v>
      </c>
      <c r="H496" s="413">
        <v>0</v>
      </c>
      <c r="I496" s="413">
        <v>1310.0814170000001</v>
      </c>
      <c r="J496" s="413">
        <v>-1126.0204630000001</v>
      </c>
      <c r="K496" s="413">
        <v>536.71018500000002</v>
      </c>
      <c r="L496" s="413">
        <f>SUM(I496:K496)</f>
        <v>720.77113900000006</v>
      </c>
      <c r="M496" s="374"/>
    </row>
    <row r="497" spans="1:13">
      <c r="A497" s="431"/>
      <c r="B497" s="413"/>
      <c r="C497" s="413"/>
      <c r="D497" s="413"/>
      <c r="E497" s="413"/>
      <c r="F497" s="413"/>
      <c r="G497" s="413"/>
      <c r="H497" s="413"/>
      <c r="I497" s="413"/>
      <c r="J497" s="413"/>
      <c r="K497" s="413"/>
      <c r="L497" s="413"/>
      <c r="M497" s="374"/>
    </row>
    <row r="498" spans="1:13">
      <c r="A498" s="431" t="s">
        <v>346</v>
      </c>
      <c r="B498" s="413">
        <v>0</v>
      </c>
      <c r="C498" s="413">
        <v>211.89455799999999</v>
      </c>
      <c r="D498" s="413">
        <v>0</v>
      </c>
      <c r="E498" s="413">
        <v>0.175926</v>
      </c>
      <c r="F498" s="413">
        <v>212.07048399999999</v>
      </c>
      <c r="G498" s="413">
        <v>1127.5750969999999</v>
      </c>
      <c r="H498" s="413">
        <v>0</v>
      </c>
      <c r="I498" s="413">
        <v>1339.645581</v>
      </c>
      <c r="J498" s="413">
        <v>-1135.247646</v>
      </c>
      <c r="K498" s="413">
        <v>532.74438399999997</v>
      </c>
      <c r="L498" s="413">
        <f>SUM(I498:K498)</f>
        <v>737.14231899999993</v>
      </c>
      <c r="M498" s="374"/>
    </row>
    <row r="499" spans="1:13">
      <c r="A499" s="431"/>
      <c r="B499" s="413"/>
      <c r="C499" s="413"/>
      <c r="D499" s="413"/>
      <c r="E499" s="413"/>
      <c r="F499" s="413"/>
      <c r="G499" s="413"/>
      <c r="H499" s="413"/>
      <c r="I499" s="413"/>
      <c r="J499" s="413"/>
      <c r="K499" s="413"/>
      <c r="L499" s="413"/>
      <c r="M499" s="374"/>
    </row>
    <row r="500" spans="1:13">
      <c r="A500" s="431" t="s">
        <v>347</v>
      </c>
      <c r="B500" s="413">
        <v>0</v>
      </c>
      <c r="C500" s="413">
        <v>205.997681</v>
      </c>
      <c r="D500" s="413">
        <v>0</v>
      </c>
      <c r="E500" s="413">
        <v>0.18021899999999999</v>
      </c>
      <c r="F500" s="413">
        <v>206.17789999999999</v>
      </c>
      <c r="G500" s="413">
        <v>1111.8021719999999</v>
      </c>
      <c r="H500" s="413">
        <v>0</v>
      </c>
      <c r="I500" s="413">
        <v>1317.9800720000001</v>
      </c>
      <c r="J500" s="413">
        <v>-1135.4276789999999</v>
      </c>
      <c r="K500" s="413">
        <v>553.79677000000004</v>
      </c>
      <c r="L500" s="413">
        <f>SUM(I500:K500)</f>
        <v>736.3491630000002</v>
      </c>
      <c r="M500" s="374"/>
    </row>
    <row r="501" spans="1:13">
      <c r="A501" s="431"/>
      <c r="B501" s="413"/>
      <c r="C501" s="413"/>
      <c r="D501" s="413"/>
      <c r="E501" s="413"/>
      <c r="F501" s="413"/>
      <c r="G501" s="413"/>
      <c r="H501" s="413"/>
      <c r="I501" s="413"/>
      <c r="J501" s="413"/>
      <c r="K501" s="413"/>
      <c r="L501" s="413"/>
      <c r="M501" s="374"/>
    </row>
    <row r="502" spans="1:13">
      <c r="A502" s="431" t="s">
        <v>12</v>
      </c>
      <c r="B502" s="413">
        <v>0</v>
      </c>
      <c r="C502" s="413">
        <v>218.071721</v>
      </c>
      <c r="D502" s="413">
        <v>0</v>
      </c>
      <c r="E502" s="413">
        <v>0.63768400000000003</v>
      </c>
      <c r="F502" s="413">
        <v>218.709405</v>
      </c>
      <c r="G502" s="413">
        <v>1099.0613960000001</v>
      </c>
      <c r="H502" s="413">
        <v>0</v>
      </c>
      <c r="I502" s="413">
        <v>1317.7708009999999</v>
      </c>
      <c r="J502" s="413">
        <v>-1133.4575830000001</v>
      </c>
      <c r="K502" s="413">
        <v>564.67254500000001</v>
      </c>
      <c r="L502" s="413">
        <f>SUM(I502:K502)</f>
        <v>748.98576299999979</v>
      </c>
      <c r="M502" s="374"/>
    </row>
    <row r="503" spans="1:13">
      <c r="A503" s="431"/>
      <c r="B503" s="413"/>
      <c r="C503" s="413"/>
      <c r="D503" s="413"/>
      <c r="E503" s="413"/>
      <c r="F503" s="413"/>
      <c r="G503" s="413"/>
      <c r="H503" s="413"/>
      <c r="I503" s="413"/>
      <c r="J503" s="413"/>
      <c r="K503" s="413"/>
      <c r="L503" s="413"/>
      <c r="M503" s="374"/>
    </row>
    <row r="504" spans="1:13">
      <c r="A504" s="431" t="s">
        <v>13</v>
      </c>
      <c r="B504" s="413">
        <v>0</v>
      </c>
      <c r="C504" s="413">
        <v>212.82893300000001</v>
      </c>
      <c r="D504" s="413">
        <v>0</v>
      </c>
      <c r="E504" s="413">
        <v>0.18682499999999999</v>
      </c>
      <c r="F504" s="413">
        <v>213.01575800000001</v>
      </c>
      <c r="G504" s="413">
        <v>1113.00668</v>
      </c>
      <c r="H504" s="413">
        <v>0</v>
      </c>
      <c r="I504" s="413">
        <v>1326.022438</v>
      </c>
      <c r="J504" s="413">
        <v>-1130.421873</v>
      </c>
      <c r="K504" s="413">
        <v>564.70390099999997</v>
      </c>
      <c r="L504" s="413">
        <f>SUM(I504:K504)</f>
        <v>760.30446599999993</v>
      </c>
      <c r="M504" s="374"/>
    </row>
    <row r="505" spans="1:13">
      <c r="A505" s="431"/>
      <c r="B505" s="413"/>
      <c r="C505" s="413"/>
      <c r="D505" s="413"/>
      <c r="E505" s="413"/>
      <c r="F505" s="413"/>
      <c r="G505" s="413"/>
      <c r="H505" s="413"/>
      <c r="I505" s="413"/>
      <c r="J505" s="413"/>
      <c r="K505" s="413"/>
      <c r="L505" s="413"/>
      <c r="M505" s="374"/>
    </row>
    <row r="506" spans="1:13">
      <c r="A506" s="431" t="s">
        <v>14</v>
      </c>
      <c r="B506" s="413">
        <v>0</v>
      </c>
      <c r="C506" s="413">
        <v>196.67245399999999</v>
      </c>
      <c r="D506" s="413">
        <v>0</v>
      </c>
      <c r="E506" s="413">
        <v>0.18515799999999999</v>
      </c>
      <c r="F506" s="413">
        <v>196.85761199999999</v>
      </c>
      <c r="G506" s="413">
        <v>1123.080516</v>
      </c>
      <c r="H506" s="413">
        <v>0</v>
      </c>
      <c r="I506" s="413">
        <v>1319.938128</v>
      </c>
      <c r="J506" s="413">
        <v>-1145.3366900000001</v>
      </c>
      <c r="K506" s="413">
        <v>577.42829300000005</v>
      </c>
      <c r="L506" s="413">
        <f>SUM(I506:K506)</f>
        <v>752.02973099999997</v>
      </c>
      <c r="M506" s="374"/>
    </row>
    <row r="507" spans="1:13">
      <c r="A507" s="431"/>
      <c r="B507" s="413"/>
      <c r="C507" s="413"/>
      <c r="D507" s="413"/>
      <c r="E507" s="413"/>
      <c r="F507" s="413"/>
      <c r="G507" s="413"/>
      <c r="H507" s="413"/>
      <c r="I507" s="413"/>
      <c r="J507" s="413"/>
      <c r="K507" s="413"/>
      <c r="L507" s="413"/>
      <c r="M507" s="374"/>
    </row>
    <row r="508" spans="1:13">
      <c r="A508" s="431" t="s">
        <v>15</v>
      </c>
      <c r="B508" s="413">
        <v>0</v>
      </c>
      <c r="C508" s="413">
        <v>200.95863800000001</v>
      </c>
      <c r="D508" s="413">
        <v>0</v>
      </c>
      <c r="E508" s="413">
        <v>0.18240500000000001</v>
      </c>
      <c r="F508" s="413">
        <v>201.141043</v>
      </c>
      <c r="G508" s="413">
        <v>1113.1952229999999</v>
      </c>
      <c r="H508" s="413">
        <v>0</v>
      </c>
      <c r="I508" s="413">
        <v>1314.336266</v>
      </c>
      <c r="J508" s="413">
        <v>-1144.9567999999999</v>
      </c>
      <c r="K508" s="413">
        <v>583.81525599999998</v>
      </c>
      <c r="L508" s="413">
        <f>SUM(I508:K508)</f>
        <v>753.19472200000007</v>
      </c>
      <c r="M508" s="374"/>
    </row>
    <row r="509" spans="1:13">
      <c r="A509" s="431"/>
      <c r="B509" s="413"/>
      <c r="C509" s="413"/>
      <c r="D509" s="413"/>
      <c r="E509" s="413"/>
      <c r="F509" s="413"/>
      <c r="G509" s="413"/>
      <c r="H509" s="413"/>
      <c r="I509" s="413"/>
      <c r="J509" s="413"/>
      <c r="K509" s="413"/>
      <c r="L509" s="413"/>
      <c r="M509" s="374"/>
    </row>
    <row r="510" spans="1:13">
      <c r="A510" s="431" t="s">
        <v>16</v>
      </c>
      <c r="B510" s="413">
        <v>0</v>
      </c>
      <c r="C510" s="413">
        <v>255.98448300000001</v>
      </c>
      <c r="D510" s="413">
        <v>0</v>
      </c>
      <c r="E510" s="413">
        <v>0.186802</v>
      </c>
      <c r="F510" s="413">
        <v>256.17128500000001</v>
      </c>
      <c r="G510" s="413">
        <v>1114.8151989999999</v>
      </c>
      <c r="H510" s="413">
        <v>0</v>
      </c>
      <c r="I510" s="413">
        <v>1370.986484</v>
      </c>
      <c r="J510" s="413">
        <v>-1146.095718</v>
      </c>
      <c r="K510" s="413">
        <v>568.38605700000005</v>
      </c>
      <c r="L510" s="413">
        <f>SUM(I510:K510)</f>
        <v>793.27682300000004</v>
      </c>
      <c r="M510" s="374"/>
    </row>
    <row r="511" spans="1:13" ht="16.5" thickBot="1">
      <c r="A511" s="353"/>
      <c r="B511" s="415"/>
      <c r="C511" s="416"/>
      <c r="D511" s="416"/>
      <c r="E511" s="415"/>
      <c r="F511" s="415"/>
      <c r="G511" s="415"/>
      <c r="H511" s="415"/>
      <c r="I511" s="415"/>
      <c r="J511" s="415"/>
      <c r="K511" s="415"/>
      <c r="L511" s="416"/>
      <c r="M511" s="374"/>
    </row>
    <row r="512" spans="1:13" ht="16.5" thickTop="1">
      <c r="A512" s="282"/>
      <c r="B512" s="420"/>
      <c r="C512" s="403"/>
      <c r="D512" s="403"/>
      <c r="E512" s="420"/>
      <c r="F512" s="420"/>
      <c r="G512" s="420"/>
      <c r="H512" s="420"/>
      <c r="I512" s="420"/>
      <c r="J512" s="420"/>
      <c r="K512" s="420"/>
      <c r="L512" s="403"/>
      <c r="M512" s="374"/>
    </row>
    <row r="513" spans="1:13">
      <c r="A513" s="432"/>
      <c r="B513" s="420"/>
      <c r="C513" s="403"/>
      <c r="D513" s="403"/>
      <c r="E513" s="420"/>
      <c r="F513" s="420"/>
      <c r="G513" s="420"/>
      <c r="H513" s="420"/>
      <c r="I513" s="420"/>
      <c r="J513" s="420"/>
      <c r="K513" s="420"/>
      <c r="L513" s="403"/>
      <c r="M513" s="374"/>
    </row>
    <row r="514" spans="1:13">
      <c r="A514" s="282"/>
      <c r="B514" s="420"/>
      <c r="C514" s="403"/>
      <c r="D514" s="403"/>
      <c r="E514" s="420"/>
      <c r="F514" s="420"/>
      <c r="G514" s="420"/>
      <c r="H514" s="420"/>
      <c r="I514" s="420"/>
      <c r="J514" s="420"/>
      <c r="K514" s="420"/>
      <c r="L514" s="403"/>
      <c r="M514" s="374"/>
    </row>
    <row r="515" spans="1:13">
      <c r="A515" s="282"/>
      <c r="B515" s="420"/>
      <c r="C515" s="403"/>
      <c r="D515" s="403"/>
      <c r="E515" s="420"/>
      <c r="F515" s="420"/>
      <c r="G515" s="420"/>
      <c r="H515" s="420"/>
      <c r="I515" s="420"/>
      <c r="J515" s="420"/>
      <c r="K515" s="420"/>
      <c r="L515" s="403"/>
      <c r="M515" s="374"/>
    </row>
    <row r="516" spans="1:13">
      <c r="A516" s="433"/>
      <c r="B516" s="420"/>
      <c r="C516" s="403">
        <v>1000000</v>
      </c>
      <c r="D516" s="403"/>
      <c r="E516" s="420"/>
      <c r="F516" s="420"/>
      <c r="G516" s="420"/>
      <c r="H516" s="420"/>
      <c r="I516" s="420"/>
      <c r="J516" s="420"/>
      <c r="K516" s="420"/>
      <c r="L516" s="403"/>
      <c r="M516" s="374"/>
    </row>
    <row r="517" spans="1:13">
      <c r="A517" s="433"/>
      <c r="B517" s="420"/>
      <c r="C517" s="403"/>
      <c r="D517" s="403"/>
      <c r="E517" s="420"/>
      <c r="F517" s="420"/>
      <c r="G517" s="420"/>
      <c r="H517" s="420"/>
      <c r="I517" s="420"/>
      <c r="J517" s="420"/>
      <c r="K517" s="420"/>
      <c r="L517" s="403"/>
      <c r="M517" s="374"/>
    </row>
    <row r="518" spans="1:13">
      <c r="A518" s="433"/>
      <c r="B518" s="420"/>
      <c r="C518" s="403"/>
      <c r="D518" s="403"/>
      <c r="E518" s="420"/>
      <c r="F518" s="420"/>
      <c r="G518" s="420"/>
      <c r="H518" s="420"/>
      <c r="I518" s="420"/>
      <c r="J518" s="420"/>
      <c r="K518" s="420"/>
      <c r="L518" s="403"/>
      <c r="M518" s="374"/>
    </row>
    <row r="519" spans="1:13">
      <c r="A519" s="433"/>
      <c r="B519" s="420"/>
      <c r="C519" s="403"/>
      <c r="D519" s="403"/>
      <c r="E519" s="420"/>
      <c r="F519" s="420"/>
      <c r="G519" s="420"/>
      <c r="H519" s="420"/>
      <c r="I519" s="420"/>
      <c r="J519" s="420"/>
      <c r="K519" s="420"/>
      <c r="L519" s="403"/>
      <c r="M519" s="374"/>
    </row>
    <row r="520" spans="1:13">
      <c r="A520" s="433"/>
      <c r="B520" s="420"/>
      <c r="C520" s="403"/>
      <c r="D520" s="403"/>
      <c r="E520" s="420"/>
      <c r="F520" s="420"/>
      <c r="G520" s="420"/>
      <c r="H520" s="420"/>
      <c r="I520" s="420"/>
      <c r="J520" s="420"/>
      <c r="K520" s="420"/>
      <c r="L520" s="403"/>
      <c r="M520" s="374"/>
    </row>
    <row r="521" spans="1:13">
      <c r="A521" s="433"/>
      <c r="B521" s="420"/>
      <c r="C521" s="403"/>
      <c r="D521" s="403"/>
      <c r="E521" s="420"/>
      <c r="F521" s="420"/>
      <c r="G521" s="420"/>
      <c r="H521" s="420"/>
      <c r="I521" s="420"/>
      <c r="J521" s="420"/>
      <c r="K521" s="420"/>
      <c r="L521" s="403"/>
      <c r="M521" s="374"/>
    </row>
    <row r="522" spans="1:13">
      <c r="A522" s="433"/>
      <c r="B522" s="420"/>
      <c r="C522" s="403"/>
      <c r="D522" s="403"/>
      <c r="E522" s="420"/>
      <c r="F522" s="420"/>
      <c r="G522" s="420"/>
      <c r="H522" s="420"/>
      <c r="I522" s="420"/>
      <c r="J522" s="420"/>
      <c r="K522" s="420"/>
      <c r="L522" s="403"/>
      <c r="M522" s="374"/>
    </row>
    <row r="523" spans="1:13">
      <c r="A523" s="433"/>
      <c r="B523" s="420"/>
      <c r="C523" s="403"/>
      <c r="D523" s="403"/>
      <c r="E523" s="420"/>
      <c r="F523" s="420"/>
      <c r="G523" s="420"/>
      <c r="H523" s="420"/>
      <c r="I523" s="420"/>
      <c r="J523" s="420"/>
      <c r="K523" s="420"/>
      <c r="L523" s="403"/>
      <c r="M523" s="374"/>
    </row>
    <row r="524" spans="1:13" ht="16.5" thickBot="1">
      <c r="A524" s="434"/>
      <c r="B524" s="420"/>
      <c r="C524" s="420"/>
      <c r="D524" s="403"/>
      <c r="E524" s="420"/>
      <c r="F524" s="420"/>
      <c r="G524" s="420"/>
      <c r="H524" s="420"/>
      <c r="I524" s="420"/>
      <c r="J524" s="420"/>
      <c r="K524" s="420"/>
      <c r="L524" s="403"/>
      <c r="M524" s="374"/>
    </row>
    <row r="525" spans="1:13" ht="16.5" thickTop="1">
      <c r="A525" s="435"/>
      <c r="B525" s="420"/>
      <c r="C525" s="420"/>
      <c r="D525" s="403"/>
      <c r="E525" s="420"/>
      <c r="F525" s="420"/>
      <c r="G525" s="420"/>
      <c r="H525" s="420"/>
      <c r="I525" s="420"/>
      <c r="J525" s="420"/>
      <c r="K525" s="420"/>
      <c r="L525" s="403"/>
      <c r="M525" s="374"/>
    </row>
    <row r="526" spans="1:13">
      <c r="A526" s="433"/>
      <c r="B526" s="420"/>
      <c r="C526" s="420"/>
      <c r="D526" s="403"/>
      <c r="E526" s="420"/>
      <c r="F526" s="420"/>
      <c r="G526" s="420"/>
      <c r="H526" s="420"/>
      <c r="I526" s="420"/>
      <c r="J526" s="420"/>
      <c r="K526" s="420"/>
      <c r="L526" s="403"/>
      <c r="M526" s="374"/>
    </row>
    <row r="527" spans="1:13">
      <c r="A527" s="433"/>
      <c r="B527" s="420"/>
      <c r="C527" s="420"/>
      <c r="D527" s="403"/>
      <c r="E527" s="420"/>
      <c r="F527" s="420"/>
      <c r="G527" s="420"/>
      <c r="H527" s="420"/>
      <c r="I527" s="420"/>
      <c r="J527" s="420"/>
      <c r="K527" s="420"/>
      <c r="L527" s="403"/>
      <c r="M527" s="374"/>
    </row>
    <row r="528" spans="1:13">
      <c r="A528" s="433"/>
      <c r="B528" s="420"/>
      <c r="C528" s="420"/>
      <c r="D528" s="403"/>
      <c r="E528" s="420"/>
      <c r="F528" s="420"/>
      <c r="G528" s="420"/>
      <c r="H528" s="420"/>
      <c r="I528" s="420"/>
      <c r="J528" s="420"/>
      <c r="K528" s="420"/>
      <c r="L528" s="403"/>
      <c r="M528" s="374"/>
    </row>
    <row r="529" spans="1:13">
      <c r="A529" s="433"/>
      <c r="B529" s="420"/>
      <c r="C529" s="420"/>
      <c r="D529" s="403"/>
      <c r="E529" s="420"/>
      <c r="F529" s="420"/>
      <c r="G529" s="420"/>
      <c r="H529" s="420"/>
      <c r="I529" s="420"/>
      <c r="J529" s="420"/>
      <c r="K529" s="420"/>
      <c r="L529" s="403"/>
      <c r="M529" s="374"/>
    </row>
    <row r="530" spans="1:13">
      <c r="A530" s="433"/>
      <c r="B530" s="420"/>
      <c r="C530" s="420"/>
      <c r="D530" s="403"/>
      <c r="E530" s="420"/>
      <c r="F530" s="420"/>
      <c r="G530" s="420"/>
      <c r="H530" s="420"/>
      <c r="I530" s="420"/>
      <c r="J530" s="420"/>
      <c r="K530" s="420"/>
      <c r="L530" s="403"/>
      <c r="M530" s="374"/>
    </row>
    <row r="531" spans="1:13">
      <c r="A531" s="433"/>
      <c r="B531" s="420"/>
      <c r="C531" s="420"/>
      <c r="D531" s="403"/>
      <c r="E531" s="420"/>
      <c r="F531" s="420"/>
      <c r="G531" s="420"/>
      <c r="H531" s="420"/>
      <c r="I531" s="420"/>
      <c r="J531" s="420"/>
      <c r="K531" s="420"/>
      <c r="L531" s="403"/>
      <c r="M531" s="374"/>
    </row>
    <row r="532" spans="1:13">
      <c r="A532" s="433"/>
      <c r="B532" s="420"/>
      <c r="C532" s="420"/>
      <c r="D532" s="403"/>
      <c r="E532" s="420"/>
      <c r="F532" s="420"/>
      <c r="G532" s="420"/>
      <c r="H532" s="420"/>
      <c r="I532" s="420"/>
      <c r="J532" s="420"/>
      <c r="K532" s="420"/>
      <c r="L532" s="403"/>
      <c r="M532" s="374"/>
    </row>
    <row r="533" spans="1:13" ht="15.75" customHeight="1">
      <c r="A533" s="433"/>
      <c r="B533" s="420"/>
      <c r="C533" s="420"/>
      <c r="D533" s="403"/>
      <c r="E533" s="420"/>
      <c r="F533" s="420"/>
      <c r="G533" s="420"/>
      <c r="H533" s="420"/>
      <c r="I533" s="420"/>
      <c r="J533" s="420"/>
      <c r="K533" s="420"/>
      <c r="L533" s="403"/>
      <c r="M533" s="374"/>
    </row>
    <row r="534" spans="1:13" ht="16.899999999999999" customHeight="1">
      <c r="A534" s="436"/>
      <c r="B534" s="437"/>
      <c r="C534" s="437"/>
      <c r="D534" s="438"/>
      <c r="E534" s="437"/>
      <c r="F534" s="437"/>
      <c r="G534" s="437"/>
      <c r="H534" s="437"/>
      <c r="I534" s="437"/>
      <c r="J534" s="437"/>
      <c r="K534" s="437"/>
      <c r="L534" s="439"/>
    </row>
    <row r="535" spans="1:13" ht="18.75">
      <c r="B535" s="440"/>
      <c r="C535" s="440"/>
      <c r="D535" s="438"/>
      <c r="E535" s="440"/>
      <c r="F535" s="440"/>
      <c r="G535" s="440"/>
      <c r="H535" s="440"/>
      <c r="I535" s="440"/>
      <c r="J535" s="440"/>
      <c r="K535" s="440"/>
      <c r="L535" s="438"/>
    </row>
    <row r="536" spans="1:13" ht="18.75">
      <c r="A536" s="438"/>
      <c r="B536" s="440"/>
      <c r="C536" s="440"/>
      <c r="D536" s="438"/>
      <c r="E536" s="440"/>
      <c r="F536" s="440"/>
      <c r="G536" s="440"/>
      <c r="H536" s="440"/>
      <c r="I536" s="440"/>
      <c r="J536" s="440"/>
      <c r="K536" s="440"/>
      <c r="L536" s="438"/>
    </row>
    <row r="537" spans="1:13" ht="18.75">
      <c r="A537" s="438"/>
      <c r="B537" s="440"/>
      <c r="C537" s="440"/>
      <c r="D537" s="438"/>
      <c r="E537" s="440"/>
      <c r="F537" s="440"/>
      <c r="G537" s="440"/>
      <c r="H537" s="440"/>
      <c r="I537" s="440"/>
      <c r="J537" s="440"/>
      <c r="K537" s="440"/>
      <c r="L537" s="438"/>
    </row>
    <row r="538" spans="1:13" ht="18.75">
      <c r="A538" s="438"/>
      <c r="B538" s="440"/>
      <c r="C538" s="440"/>
      <c r="D538" s="438"/>
      <c r="E538" s="440"/>
      <c r="F538" s="440"/>
      <c r="G538" s="440"/>
      <c r="H538" s="440"/>
      <c r="I538" s="440"/>
      <c r="J538" s="440"/>
      <c r="K538" s="440"/>
      <c r="L538" s="438"/>
    </row>
    <row r="539" spans="1:13" ht="18.75">
      <c r="A539" s="438"/>
      <c r="B539" s="440"/>
      <c r="C539" s="440"/>
      <c r="D539" s="438"/>
      <c r="E539" s="440"/>
      <c r="F539" s="440"/>
      <c r="G539" s="440"/>
      <c r="H539" s="440"/>
      <c r="I539" s="440"/>
      <c r="J539" s="440"/>
      <c r="K539" s="440"/>
      <c r="L539" s="438"/>
    </row>
    <row r="540" spans="1:13" ht="18.75">
      <c r="A540" s="438"/>
      <c r="B540" s="440"/>
      <c r="C540" s="440"/>
      <c r="D540" s="438"/>
      <c r="E540" s="440"/>
      <c r="F540" s="440"/>
      <c r="G540" s="440"/>
      <c r="H540" s="440"/>
      <c r="I540" s="440"/>
      <c r="J540" s="440"/>
      <c r="K540" s="440"/>
      <c r="L540" s="438"/>
    </row>
    <row r="541" spans="1:13" ht="18.75">
      <c r="A541" s="438"/>
      <c r="B541" s="440"/>
      <c r="C541" s="440"/>
      <c r="D541" s="438"/>
      <c r="E541" s="440"/>
      <c r="F541" s="440"/>
      <c r="G541" s="440"/>
      <c r="H541" s="440"/>
      <c r="I541" s="440"/>
      <c r="J541" s="440"/>
      <c r="K541" s="440"/>
      <c r="L541" s="438"/>
    </row>
    <row r="542" spans="1:13" ht="18.75">
      <c r="A542" s="438"/>
      <c r="B542" s="440"/>
      <c r="C542" s="440"/>
      <c r="D542" s="438"/>
      <c r="E542" s="440"/>
      <c r="F542" s="440"/>
      <c r="G542" s="440"/>
      <c r="H542" s="440"/>
      <c r="I542" s="440"/>
      <c r="J542" s="440"/>
      <c r="K542" s="440"/>
      <c r="L542" s="438"/>
    </row>
    <row r="543" spans="1:13" ht="18.75">
      <c r="A543" s="438"/>
      <c r="B543" s="440"/>
      <c r="C543" s="440"/>
      <c r="D543" s="438"/>
      <c r="E543" s="440"/>
      <c r="F543" s="440"/>
      <c r="G543" s="440"/>
      <c r="H543" s="440"/>
      <c r="I543" s="440"/>
      <c r="J543" s="440"/>
      <c r="K543" s="440"/>
      <c r="L543" s="438"/>
    </row>
    <row r="544" spans="1:13" ht="18.75">
      <c r="A544" s="438"/>
      <c r="B544" s="440"/>
      <c r="C544" s="440"/>
      <c r="D544" s="438"/>
      <c r="E544" s="440"/>
      <c r="F544" s="440"/>
      <c r="G544" s="440"/>
      <c r="H544" s="440"/>
      <c r="I544" s="440"/>
      <c r="J544" s="440"/>
      <c r="K544" s="440"/>
      <c r="L544" s="438"/>
    </row>
    <row r="545" spans="1:12" ht="18.75">
      <c r="A545" s="438"/>
      <c r="B545" s="440"/>
      <c r="C545" s="440"/>
      <c r="D545" s="438"/>
      <c r="E545" s="440"/>
      <c r="F545" s="440"/>
      <c r="G545" s="440"/>
      <c r="H545" s="440"/>
      <c r="I545" s="440"/>
      <c r="J545" s="440"/>
      <c r="K545" s="440"/>
      <c r="L545" s="438"/>
    </row>
    <row r="546" spans="1:12" ht="18.75">
      <c r="A546" s="438"/>
      <c r="B546" s="440"/>
      <c r="C546" s="440"/>
      <c r="D546" s="438"/>
      <c r="E546" s="440"/>
      <c r="F546" s="440"/>
      <c r="G546" s="440"/>
      <c r="H546" s="440"/>
      <c r="I546" s="440"/>
      <c r="J546" s="440"/>
      <c r="K546" s="440"/>
      <c r="L546" s="438"/>
    </row>
    <row r="547" spans="1:12" ht="18.75">
      <c r="A547" s="438"/>
      <c r="B547" s="440"/>
      <c r="C547" s="440"/>
      <c r="D547" s="438"/>
      <c r="E547" s="440"/>
      <c r="F547" s="440"/>
      <c r="G547" s="440"/>
      <c r="H547" s="440"/>
      <c r="I547" s="440"/>
      <c r="J547" s="440"/>
      <c r="K547" s="440"/>
      <c r="L547" s="438"/>
    </row>
    <row r="548" spans="1:12" ht="18.75">
      <c r="A548" s="438"/>
      <c r="B548" s="440"/>
      <c r="C548" s="440"/>
      <c r="D548" s="438"/>
      <c r="E548" s="440"/>
      <c r="F548" s="440"/>
      <c r="G548" s="440"/>
      <c r="H548" s="440"/>
      <c r="I548" s="440"/>
      <c r="J548" s="440"/>
      <c r="K548" s="440"/>
      <c r="L548" s="438"/>
    </row>
    <row r="549" spans="1:12" ht="18.75">
      <c r="A549" s="438"/>
      <c r="B549" s="440"/>
      <c r="C549" s="440"/>
      <c r="D549" s="438"/>
      <c r="E549" s="440"/>
      <c r="F549" s="440"/>
      <c r="G549" s="440"/>
      <c r="H549" s="440"/>
      <c r="I549" s="440"/>
      <c r="J549" s="440"/>
      <c r="K549" s="440"/>
      <c r="L549" s="438"/>
    </row>
    <row r="550" spans="1:12" ht="18.75">
      <c r="A550" s="438"/>
      <c r="B550" s="440"/>
      <c r="C550" s="440"/>
      <c r="D550" s="438"/>
      <c r="E550" s="440"/>
      <c r="F550" s="440"/>
      <c r="G550" s="440"/>
      <c r="H550" s="440"/>
      <c r="I550" s="440"/>
      <c r="J550" s="440"/>
      <c r="K550" s="440"/>
      <c r="L550" s="438"/>
    </row>
    <row r="551" spans="1:12" ht="18.75">
      <c r="A551" s="438"/>
      <c r="B551" s="440"/>
      <c r="C551" s="440"/>
      <c r="D551" s="438"/>
      <c r="E551" s="440"/>
      <c r="F551" s="440"/>
      <c r="G551" s="440"/>
      <c r="H551" s="440"/>
      <c r="I551" s="440"/>
      <c r="J551" s="440"/>
      <c r="K551" s="440"/>
      <c r="L551" s="438"/>
    </row>
    <row r="552" spans="1:12" ht="18.75">
      <c r="A552" s="438"/>
      <c r="B552" s="440"/>
      <c r="C552" s="440"/>
      <c r="D552" s="438"/>
      <c r="E552" s="440"/>
      <c r="F552" s="440"/>
      <c r="G552" s="440"/>
      <c r="H552" s="440"/>
      <c r="I552" s="440"/>
      <c r="J552" s="440"/>
      <c r="K552" s="440"/>
      <c r="L552" s="438"/>
    </row>
  </sheetData>
  <customSheetViews>
    <customSheetView guid="{705E0D18-9A83-42CA-8732-90923BE2EC7D}"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1"/>
      <headerFooter alignWithMargins="0"/>
    </customSheetView>
    <customSheetView guid="{D45E5F9E-4EA6-40A2-8A1D-3AC67FB8CE54}"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2"/>
      <headerFooter alignWithMargins="0"/>
    </customSheetView>
    <customSheetView guid="{098C004C-808F-436E-8F18-182F927479D1}"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3"/>
      <headerFooter alignWithMargins="0"/>
    </customSheetView>
    <customSheetView guid="{89CA84C2-78F5-4B05-8F1D-B7C5F97BCB4E}"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4"/>
      <headerFooter alignWithMargins="0"/>
    </customSheetView>
  </customSheetViews>
  <mergeCells count="3">
    <mergeCell ref="B278:D278"/>
    <mergeCell ref="A1:L1"/>
    <mergeCell ref="A3:L3"/>
  </mergeCells>
  <phoneticPr fontId="31" type="noConversion"/>
  <printOptions horizontalCentered="1"/>
  <pageMargins left="0.5" right="0" top="0.5" bottom="0.5" header="0.5" footer="0.5"/>
  <pageSetup paperSize="9" scale="57" orientation="landscape" horizontalDpi="300" verticalDpi="300" r:id="rId5"/>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B4:O332"/>
  <sheetViews>
    <sheetView zoomScale="60" zoomScaleNormal="60" workbookViewId="0">
      <pane xSplit="2" ySplit="297" topLeftCell="D298" activePane="bottomRight" state="frozen"/>
      <selection pane="topRight" activeCell="C1" sqref="C1"/>
      <selection pane="bottomLeft" activeCell="A298" sqref="A298"/>
      <selection pane="bottomRight" sqref="A1:IV65536"/>
    </sheetView>
  </sheetViews>
  <sheetFormatPr defaultColWidth="8.77734375" defaultRowHeight="15"/>
  <cols>
    <col min="1" max="1" width="8.77734375" style="216"/>
    <col min="2" max="2" width="10.77734375" style="216" customWidth="1"/>
    <col min="3" max="3" width="15.6640625" style="216" customWidth="1"/>
    <col min="4" max="4" width="15" style="216" customWidth="1"/>
    <col min="5" max="5" width="15.5546875" style="216" customWidth="1"/>
    <col min="6" max="6" width="19.5546875" style="216" bestFit="1" customWidth="1"/>
    <col min="7" max="7" width="8.77734375" style="216"/>
    <col min="8" max="8" width="20.77734375" style="216" bestFit="1" customWidth="1"/>
    <col min="9" max="9" width="13.77734375" style="216" customWidth="1"/>
    <col min="10" max="10" width="8.77734375" style="216"/>
    <col min="11" max="11" width="21.5546875" style="216" bestFit="1" customWidth="1"/>
    <col min="12" max="13" width="22.5546875" style="216" bestFit="1" customWidth="1"/>
    <col min="14" max="14" width="15.21875" style="216" customWidth="1"/>
    <col min="15" max="16384" width="8.77734375" style="216"/>
  </cols>
  <sheetData>
    <row r="4" spans="2:15" ht="15.75">
      <c r="B4" s="1944" t="s">
        <v>56</v>
      </c>
      <c r="C4" s="1944"/>
      <c r="D4" s="1944"/>
      <c r="E4" s="1944"/>
      <c r="F4" s="1944"/>
      <c r="G4" s="1944"/>
      <c r="H4" s="1944"/>
      <c r="I4" s="1944"/>
      <c r="J4" s="1944"/>
      <c r="K4" s="1944"/>
      <c r="L4" s="1944"/>
      <c r="M4" s="1944"/>
      <c r="N4" s="283"/>
    </row>
    <row r="5" spans="2:15" ht="15.75">
      <c r="B5" s="282"/>
      <c r="C5" s="409"/>
      <c r="D5" s="409"/>
      <c r="E5" s="283"/>
      <c r="F5" s="409"/>
      <c r="G5" s="409"/>
      <c r="H5" s="409"/>
      <c r="I5" s="409"/>
      <c r="J5" s="409"/>
      <c r="K5" s="409"/>
      <c r="L5" s="409"/>
      <c r="M5" s="283"/>
      <c r="N5" s="283"/>
    </row>
    <row r="6" spans="2:15" ht="15.75">
      <c r="B6" s="1945" t="s">
        <v>1039</v>
      </c>
      <c r="C6" s="1945"/>
      <c r="D6" s="1945"/>
      <c r="E6" s="1945"/>
      <c r="F6" s="1945"/>
      <c r="G6" s="1945"/>
      <c r="H6" s="1945"/>
      <c r="I6" s="1945"/>
      <c r="J6" s="1945"/>
      <c r="K6" s="1945"/>
      <c r="L6" s="1945"/>
      <c r="M6" s="1945"/>
      <c r="N6" s="309"/>
      <c r="O6" s="309"/>
    </row>
    <row r="7" spans="2:15" ht="16.5" thickBot="1">
      <c r="B7" s="282"/>
      <c r="C7" s="409"/>
      <c r="D7" s="409"/>
      <c r="E7" s="283"/>
      <c r="F7" s="409"/>
      <c r="G7" s="409"/>
      <c r="H7" s="409"/>
      <c r="I7" s="409"/>
      <c r="J7" s="409"/>
      <c r="K7" s="409"/>
      <c r="L7" s="409"/>
      <c r="M7" s="283"/>
      <c r="N7" s="283"/>
    </row>
    <row r="8" spans="2:15" ht="16.5" thickTop="1">
      <c r="B8" s="441"/>
      <c r="C8" s="442"/>
      <c r="D8" s="442"/>
      <c r="E8" s="443"/>
      <c r="F8" s="444"/>
      <c r="G8" s="445"/>
      <c r="H8" s="444"/>
      <c r="I8" s="445"/>
      <c r="J8" s="442"/>
      <c r="K8" s="442"/>
      <c r="L8" s="446"/>
      <c r="M8" s="447" t="s">
        <v>355</v>
      </c>
      <c r="N8" s="374"/>
    </row>
    <row r="9" spans="2:15" ht="15.75">
      <c r="B9" s="448"/>
      <c r="C9" s="1946" t="s">
        <v>57</v>
      </c>
      <c r="D9" s="1943"/>
      <c r="E9" s="1947"/>
      <c r="F9" s="449" t="s">
        <v>58</v>
      </c>
      <c r="G9" s="450"/>
      <c r="H9" s="451" t="s">
        <v>59</v>
      </c>
      <c r="I9" s="450" t="s">
        <v>60</v>
      </c>
      <c r="J9" s="420" t="s">
        <v>61</v>
      </c>
      <c r="K9" s="420"/>
      <c r="L9" s="427"/>
      <c r="M9" s="428"/>
      <c r="N9" s="374"/>
    </row>
    <row r="10" spans="2:15" ht="16.5" thickBot="1">
      <c r="B10" s="448"/>
      <c r="C10" s="420"/>
      <c r="D10" s="420"/>
      <c r="E10" s="403"/>
      <c r="F10" s="451"/>
      <c r="G10" s="450"/>
      <c r="H10" s="451"/>
      <c r="I10" s="450"/>
      <c r="J10" s="420"/>
      <c r="K10" s="420"/>
      <c r="L10" s="427"/>
      <c r="M10" s="428"/>
      <c r="N10" s="374"/>
    </row>
    <row r="11" spans="2:15" ht="16.5" thickTop="1">
      <c r="B11" s="452"/>
      <c r="C11" s="446" t="s">
        <v>355</v>
      </c>
      <c r="D11" s="446"/>
      <c r="E11" s="447" t="s">
        <v>355</v>
      </c>
      <c r="F11" s="446"/>
      <c r="G11" s="446"/>
      <c r="H11" s="446"/>
      <c r="I11" s="446"/>
      <c r="J11" s="446"/>
      <c r="K11" s="442"/>
      <c r="L11" s="446"/>
      <c r="M11" s="447"/>
      <c r="N11" s="374"/>
    </row>
    <row r="12" spans="2:15" ht="15.75">
      <c r="B12" s="453" t="s">
        <v>32</v>
      </c>
      <c r="C12" s="427" t="s">
        <v>62</v>
      </c>
      <c r="D12" s="427" t="s">
        <v>31</v>
      </c>
      <c r="E12" s="428" t="s">
        <v>37</v>
      </c>
      <c r="F12" s="427" t="s">
        <v>63</v>
      </c>
      <c r="G12" s="427" t="s">
        <v>31</v>
      </c>
      <c r="H12" s="427" t="s">
        <v>49</v>
      </c>
      <c r="I12" s="427" t="s">
        <v>31</v>
      </c>
      <c r="J12" s="427" t="s">
        <v>53</v>
      </c>
      <c r="K12" s="420" t="s">
        <v>31</v>
      </c>
      <c r="L12" s="427" t="s">
        <v>31</v>
      </c>
      <c r="M12" s="428" t="s">
        <v>287</v>
      </c>
      <c r="N12" s="374"/>
    </row>
    <row r="13" spans="2:15" ht="15.75">
      <c r="B13" s="454"/>
      <c r="C13" s="427"/>
      <c r="D13" s="427"/>
      <c r="E13" s="428"/>
      <c r="F13" s="427"/>
      <c r="G13" s="427"/>
      <c r="H13" s="427" t="s">
        <v>64</v>
      </c>
      <c r="I13" s="427"/>
      <c r="J13" s="427" t="s">
        <v>36</v>
      </c>
      <c r="K13" s="420"/>
      <c r="L13" s="427"/>
      <c r="M13" s="428"/>
      <c r="N13" s="374"/>
    </row>
    <row r="14" spans="2:15" ht="16.5" thickBot="1">
      <c r="B14" s="455"/>
      <c r="C14" s="427"/>
      <c r="D14" s="427"/>
      <c r="E14" s="428"/>
      <c r="F14" s="427"/>
      <c r="G14" s="427"/>
      <c r="H14" s="456"/>
      <c r="I14" s="456"/>
      <c r="J14" s="427"/>
      <c r="K14" s="420"/>
      <c r="L14" s="456"/>
      <c r="M14" s="428"/>
      <c r="N14" s="374"/>
    </row>
    <row r="15" spans="2:15" ht="16.5" hidden="1" thickTop="1">
      <c r="B15" s="457"/>
      <c r="C15" s="446"/>
      <c r="D15" s="446"/>
      <c r="E15" s="447"/>
      <c r="F15" s="446"/>
      <c r="G15" s="446"/>
      <c r="H15" s="446"/>
      <c r="I15" s="446"/>
      <c r="J15" s="446"/>
      <c r="K15" s="458"/>
      <c r="L15" s="459"/>
      <c r="M15" s="447"/>
      <c r="N15" s="374"/>
    </row>
    <row r="16" spans="2:15" ht="15.75" hidden="1">
      <c r="B16" s="460">
        <v>1999</v>
      </c>
      <c r="C16" s="427"/>
      <c r="D16" s="427"/>
      <c r="E16" s="428"/>
      <c r="F16" s="427"/>
      <c r="G16" s="427"/>
      <c r="H16" s="427"/>
      <c r="I16" s="427"/>
      <c r="J16" s="427"/>
      <c r="K16" s="406"/>
      <c r="L16" s="426"/>
      <c r="M16" s="428"/>
      <c r="N16" s="374"/>
    </row>
    <row r="17" spans="2:14" ht="15.75" hidden="1">
      <c r="B17" s="461"/>
      <c r="C17" s="427"/>
      <c r="D17" s="427"/>
      <c r="E17" s="428"/>
      <c r="F17" s="427"/>
      <c r="G17" s="427"/>
      <c r="H17" s="427"/>
      <c r="I17" s="427"/>
      <c r="J17" s="427"/>
      <c r="K17" s="406"/>
      <c r="L17" s="426"/>
      <c r="M17" s="428"/>
      <c r="N17" s="374"/>
    </row>
    <row r="18" spans="2:14" ht="15.75" hidden="1">
      <c r="B18" s="431" t="s">
        <v>8</v>
      </c>
      <c r="C18" s="392">
        <v>3.2199</v>
      </c>
      <c r="D18" s="392">
        <v>4.6661000000000001</v>
      </c>
      <c r="E18" s="392">
        <v>7.8860000000000001</v>
      </c>
      <c r="F18" s="392">
        <v>1.8522000000000001</v>
      </c>
      <c r="G18" s="392">
        <v>0.52190000000000003</v>
      </c>
      <c r="H18" s="392">
        <v>5.2938000000000001</v>
      </c>
      <c r="I18" s="392">
        <v>3.9420999999999999</v>
      </c>
      <c r="J18" s="392">
        <v>0</v>
      </c>
      <c r="K18" s="392">
        <v>0.62890000000000001</v>
      </c>
      <c r="L18" s="392">
        <v>16.263200000000001</v>
      </c>
      <c r="M18" s="428">
        <v>36388.1</v>
      </c>
      <c r="N18" s="374"/>
    </row>
    <row r="19" spans="2:14" ht="15.75" hidden="1">
      <c r="B19" s="431" t="s">
        <v>9</v>
      </c>
      <c r="C19" s="392">
        <v>3.4008000000000003</v>
      </c>
      <c r="D19" s="392">
        <v>5.0427</v>
      </c>
      <c r="E19" s="392">
        <v>8.4435000000000002</v>
      </c>
      <c r="F19" s="392">
        <v>0.86629999999999996</v>
      </c>
      <c r="G19" s="392">
        <v>0.52190000000000003</v>
      </c>
      <c r="H19" s="392">
        <v>6.6113</v>
      </c>
      <c r="I19" s="392">
        <v>3.2181999999999999</v>
      </c>
      <c r="J19" s="392">
        <v>0</v>
      </c>
      <c r="K19" s="392">
        <v>0.63849999999999996</v>
      </c>
      <c r="L19" s="392">
        <v>15.7394</v>
      </c>
      <c r="M19" s="428">
        <v>36039.1</v>
      </c>
      <c r="N19" s="374"/>
    </row>
    <row r="20" spans="2:14" ht="15.75" hidden="1">
      <c r="B20" s="431" t="s">
        <v>10</v>
      </c>
      <c r="C20" s="392">
        <v>3.4794</v>
      </c>
      <c r="D20" s="392">
        <v>4.9511000000000003</v>
      </c>
      <c r="E20" s="392">
        <v>8.4305000000000003</v>
      </c>
      <c r="F20" s="392">
        <v>0.34699999999999998</v>
      </c>
      <c r="G20" s="392">
        <v>0.52190000000000003</v>
      </c>
      <c r="H20" s="392">
        <v>5.52</v>
      </c>
      <c r="I20" s="392">
        <v>4.1651000000000007</v>
      </c>
      <c r="J20" s="392">
        <v>0</v>
      </c>
      <c r="K20" s="392">
        <v>0.6362000000000001</v>
      </c>
      <c r="L20" s="392">
        <v>14.793799999999999</v>
      </c>
      <c r="M20" s="428">
        <v>34414.5</v>
      </c>
      <c r="N20" s="374"/>
    </row>
    <row r="21" spans="2:14" ht="15.75" hidden="1">
      <c r="B21" s="431" t="s">
        <v>11</v>
      </c>
      <c r="C21" s="392">
        <v>3.2365999999999997</v>
      </c>
      <c r="D21" s="392">
        <v>5.3247999999999998</v>
      </c>
      <c r="E21" s="392">
        <v>8.561399999999999</v>
      </c>
      <c r="F21" s="392">
        <v>0.39339999999999997</v>
      </c>
      <c r="G21" s="392">
        <v>0.52190000000000003</v>
      </c>
      <c r="H21" s="392">
        <v>4.8431000000000006</v>
      </c>
      <c r="I21" s="392">
        <v>4.5266999999999999</v>
      </c>
      <c r="J21" s="392">
        <v>0</v>
      </c>
      <c r="K21" s="392">
        <v>0.67120000000000002</v>
      </c>
      <c r="L21" s="392">
        <v>14.571299999999999</v>
      </c>
      <c r="M21" s="428">
        <v>34089</v>
      </c>
      <c r="N21" s="374"/>
    </row>
    <row r="22" spans="2:14" ht="15.75" hidden="1">
      <c r="B22" s="431" t="s">
        <v>337</v>
      </c>
      <c r="C22" s="392">
        <v>3.2463000000000002</v>
      </c>
      <c r="D22" s="392">
        <v>5.6618000000000004</v>
      </c>
      <c r="E22" s="392">
        <v>8.908100000000001</v>
      </c>
      <c r="F22" s="392">
        <v>0.46129999999999999</v>
      </c>
      <c r="G22" s="392">
        <v>0.52190000000000003</v>
      </c>
      <c r="H22" s="392">
        <v>4.7652000000000001</v>
      </c>
      <c r="I22" s="392">
        <v>3.5325000000000002</v>
      </c>
      <c r="J22" s="392">
        <v>0</v>
      </c>
      <c r="K22" s="392">
        <v>0.7712</v>
      </c>
      <c r="L22" s="392">
        <v>15.0662</v>
      </c>
      <c r="M22" s="428">
        <v>34026.400000000001</v>
      </c>
      <c r="N22" s="374"/>
    </row>
    <row r="23" spans="2:14" ht="15.75" hidden="1">
      <c r="B23" s="431" t="s">
        <v>346</v>
      </c>
      <c r="C23" s="392">
        <v>3.2608999999999999</v>
      </c>
      <c r="D23" s="392">
        <v>6.5664999999999996</v>
      </c>
      <c r="E23" s="392">
        <v>9.827399999999999</v>
      </c>
      <c r="F23" s="392">
        <v>0.3579</v>
      </c>
      <c r="G23" s="392">
        <v>0.52190000000000003</v>
      </c>
      <c r="H23" s="392">
        <v>3.1356999999999999</v>
      </c>
      <c r="I23" s="392">
        <v>3.5409999999999999</v>
      </c>
      <c r="J23" s="392">
        <v>0</v>
      </c>
      <c r="K23" s="392">
        <v>0.76960000000000006</v>
      </c>
      <c r="L23" s="392">
        <v>14.044499999999999</v>
      </c>
      <c r="M23" s="428">
        <v>32198</v>
      </c>
      <c r="N23" s="374"/>
    </row>
    <row r="24" spans="2:14" ht="15.75" hidden="1">
      <c r="B24" s="431" t="s">
        <v>347</v>
      </c>
      <c r="C24" s="392">
        <v>3.4897</v>
      </c>
      <c r="D24" s="392">
        <v>9.7064000000000004</v>
      </c>
      <c r="E24" s="392">
        <v>13.196099999999999</v>
      </c>
      <c r="F24" s="392">
        <v>1.8029999999999999</v>
      </c>
      <c r="G24" s="392">
        <v>0.52190000000000003</v>
      </c>
      <c r="H24" s="392">
        <v>0.18009999999999998</v>
      </c>
      <c r="I24" s="392">
        <v>3.9205000000000001</v>
      </c>
      <c r="J24" s="392">
        <v>0</v>
      </c>
      <c r="K24" s="392">
        <v>0.77049999999999996</v>
      </c>
      <c r="L24" s="392">
        <v>14.4369</v>
      </c>
      <c r="M24" s="428">
        <v>34829</v>
      </c>
      <c r="N24" s="374"/>
    </row>
    <row r="25" spans="2:14" ht="15.75" hidden="1">
      <c r="B25" s="431" t="s">
        <v>12</v>
      </c>
      <c r="C25" s="392">
        <v>3.4751999999999996</v>
      </c>
      <c r="D25" s="392">
        <v>8.5725999999999996</v>
      </c>
      <c r="E25" s="392">
        <v>12.047799999999999</v>
      </c>
      <c r="F25" s="392">
        <v>2.5994000000000002</v>
      </c>
      <c r="G25" s="392">
        <v>0</v>
      </c>
      <c r="H25" s="392">
        <v>-1.2467999999999999</v>
      </c>
      <c r="I25" s="392">
        <v>5.1849999999999996</v>
      </c>
      <c r="J25" s="392">
        <v>0</v>
      </c>
      <c r="K25" s="392">
        <v>0.77049999999999996</v>
      </c>
      <c r="L25" s="392">
        <v>15.122399999999999</v>
      </c>
      <c r="M25" s="428">
        <v>34478.300000000003</v>
      </c>
      <c r="N25" s="374"/>
    </row>
    <row r="26" spans="2:14" ht="15.75" hidden="1">
      <c r="B26" s="431" t="s">
        <v>13</v>
      </c>
      <c r="C26" s="392">
        <v>3.5459999999999998</v>
      </c>
      <c r="D26" s="392">
        <v>8.8767000000000014</v>
      </c>
      <c r="E26" s="392">
        <v>12.422700000000001</v>
      </c>
      <c r="F26" s="392">
        <v>0</v>
      </c>
      <c r="G26" s="392">
        <v>0</v>
      </c>
      <c r="H26" s="392">
        <v>-0.70760000000000001</v>
      </c>
      <c r="I26" s="392">
        <v>6.0653999999999995</v>
      </c>
      <c r="J26" s="392">
        <v>0</v>
      </c>
      <c r="K26" s="392">
        <v>0.76960000000000006</v>
      </c>
      <c r="L26" s="392">
        <v>15.5555</v>
      </c>
      <c r="M26" s="428">
        <v>34105.599999999999</v>
      </c>
      <c r="N26" s="374"/>
    </row>
    <row r="27" spans="2:14" ht="15.75" hidden="1">
      <c r="B27" s="431" t="s">
        <v>14</v>
      </c>
      <c r="C27" s="392">
        <v>4.0392999999999999</v>
      </c>
      <c r="D27" s="392">
        <v>11.3445</v>
      </c>
      <c r="E27" s="392">
        <v>15.383799999999999</v>
      </c>
      <c r="F27" s="392">
        <v>0</v>
      </c>
      <c r="G27" s="392">
        <v>0.52190000000000003</v>
      </c>
      <c r="H27" s="392">
        <v>5.6189</v>
      </c>
      <c r="I27" s="392">
        <v>1.6202999999999999</v>
      </c>
      <c r="J27" s="392">
        <v>0</v>
      </c>
      <c r="K27" s="392">
        <v>0.76960000000000006</v>
      </c>
      <c r="L27" s="392">
        <v>15</v>
      </c>
      <c r="M27" s="428">
        <v>38914.5</v>
      </c>
      <c r="N27" s="374"/>
    </row>
    <row r="28" spans="2:14" ht="15.75" hidden="1">
      <c r="B28" s="431" t="s">
        <v>15</v>
      </c>
      <c r="C28" s="392">
        <v>4.4527000000000001</v>
      </c>
      <c r="D28" s="392">
        <v>10.3483</v>
      </c>
      <c r="E28" s="392">
        <v>14.801</v>
      </c>
      <c r="F28" s="392">
        <v>0</v>
      </c>
      <c r="G28" s="392">
        <v>0.52190000000000003</v>
      </c>
      <c r="H28" s="392">
        <v>5.0377999999999998</v>
      </c>
      <c r="I28" s="392">
        <v>2.5048000000000004</v>
      </c>
      <c r="J28" s="392">
        <v>0</v>
      </c>
      <c r="K28" s="392">
        <v>0.76960000000000006</v>
      </c>
      <c r="L28" s="392">
        <v>14.826000000000001</v>
      </c>
      <c r="M28" s="428">
        <v>38461.1</v>
      </c>
      <c r="N28" s="374"/>
    </row>
    <row r="29" spans="2:14" ht="15.75" hidden="1">
      <c r="B29" s="431" t="s">
        <v>16</v>
      </c>
      <c r="C29" s="392">
        <v>4.0179</v>
      </c>
      <c r="D29" s="392">
        <v>10.2088</v>
      </c>
      <c r="E29" s="392">
        <v>14.226700000000001</v>
      </c>
      <c r="F29" s="392">
        <v>0</v>
      </c>
      <c r="G29" s="392">
        <v>0.52190000000000003</v>
      </c>
      <c r="H29" s="392">
        <v>3.9358</v>
      </c>
      <c r="I29" s="392">
        <v>3.6880000000000002</v>
      </c>
      <c r="J29" s="392">
        <v>0</v>
      </c>
      <c r="K29" s="392">
        <v>0.76960000000000006</v>
      </c>
      <c r="L29" s="392">
        <v>14.351799999999999</v>
      </c>
      <c r="M29" s="428">
        <v>37493.800000000003</v>
      </c>
      <c r="N29" s="374"/>
    </row>
    <row r="30" spans="2:14" ht="15.75" hidden="1">
      <c r="B30" s="431"/>
      <c r="C30" s="427"/>
      <c r="D30" s="427"/>
      <c r="E30" s="428"/>
      <c r="F30" s="427"/>
      <c r="G30" s="427"/>
      <c r="H30" s="427"/>
      <c r="I30" s="427"/>
      <c r="J30" s="427"/>
      <c r="K30" s="406"/>
      <c r="L30" s="426"/>
      <c r="M30" s="428"/>
      <c r="N30" s="374"/>
    </row>
    <row r="31" spans="2:14" ht="15.75" hidden="1">
      <c r="B31" s="460">
        <v>2000</v>
      </c>
      <c r="C31" s="427"/>
      <c r="D31" s="427"/>
      <c r="E31" s="428"/>
      <c r="F31" s="427"/>
      <c r="G31" s="427"/>
      <c r="H31" s="427"/>
      <c r="I31" s="427"/>
      <c r="J31" s="427"/>
      <c r="K31" s="406"/>
      <c r="L31" s="426"/>
      <c r="M31" s="428"/>
      <c r="N31" s="374"/>
    </row>
    <row r="32" spans="2:14" ht="15.75" hidden="1">
      <c r="B32" s="431"/>
      <c r="C32" s="427"/>
      <c r="D32" s="427"/>
      <c r="E32" s="428"/>
      <c r="F32" s="427"/>
      <c r="G32" s="427"/>
      <c r="H32" s="427"/>
      <c r="I32" s="427"/>
      <c r="J32" s="427"/>
      <c r="K32" s="406"/>
      <c r="L32" s="426"/>
      <c r="M32" s="428"/>
      <c r="N32" s="374"/>
    </row>
    <row r="33" spans="2:14" ht="15.75" hidden="1">
      <c r="B33" s="431" t="s">
        <v>8</v>
      </c>
      <c r="C33" s="392">
        <v>3.5594000000000001</v>
      </c>
      <c r="D33" s="392">
        <v>9.1442999999999994</v>
      </c>
      <c r="E33" s="392">
        <v>12.703700000000001</v>
      </c>
      <c r="F33" s="392">
        <v>0</v>
      </c>
      <c r="G33" s="392">
        <v>0.52190000000000003</v>
      </c>
      <c r="H33" s="392">
        <v>7.1520000000000001</v>
      </c>
      <c r="I33" s="392">
        <v>1.6769000000000001</v>
      </c>
      <c r="J33" s="392">
        <v>0</v>
      </c>
      <c r="K33" s="392">
        <v>0.92520000000000002</v>
      </c>
      <c r="L33" s="392">
        <v>13.778499999999999</v>
      </c>
      <c r="M33" s="428">
        <v>36758.199999999997</v>
      </c>
      <c r="N33" s="374"/>
    </row>
    <row r="34" spans="2:14" ht="15.75" hidden="1">
      <c r="B34" s="431"/>
      <c r="C34" s="427"/>
      <c r="D34" s="427"/>
      <c r="E34" s="428"/>
      <c r="F34" s="427"/>
      <c r="G34" s="427"/>
      <c r="H34" s="427"/>
      <c r="I34" s="427"/>
      <c r="J34" s="427"/>
      <c r="K34" s="406"/>
      <c r="L34" s="426"/>
      <c r="M34" s="428"/>
      <c r="N34" s="374"/>
    </row>
    <row r="35" spans="2:14" ht="15.75" hidden="1">
      <c r="B35" s="431" t="s">
        <v>9</v>
      </c>
      <c r="C35" s="392">
        <v>2.5828000000000002</v>
      </c>
      <c r="D35" s="392">
        <v>9.0977999999999994</v>
      </c>
      <c r="E35" s="392">
        <v>11.6806</v>
      </c>
      <c r="F35" s="392">
        <v>0</v>
      </c>
      <c r="G35" s="392">
        <v>0.52190000000000003</v>
      </c>
      <c r="H35" s="392">
        <v>5.8391999999999999</v>
      </c>
      <c r="I35" s="392">
        <v>3.7048000000000001</v>
      </c>
      <c r="J35" s="392">
        <v>0</v>
      </c>
      <c r="K35" s="392">
        <v>0.92520000000000002</v>
      </c>
      <c r="L35" s="392">
        <v>13.412000000000001</v>
      </c>
      <c r="M35" s="428">
        <v>36083.699999999997</v>
      </c>
      <c r="N35" s="374"/>
    </row>
    <row r="36" spans="2:14" ht="15.75" hidden="1">
      <c r="B36" s="431"/>
      <c r="C36" s="427"/>
      <c r="D36" s="427"/>
      <c r="E36" s="428"/>
      <c r="F36" s="427"/>
      <c r="G36" s="427"/>
      <c r="H36" s="427"/>
      <c r="I36" s="427"/>
      <c r="J36" s="427"/>
      <c r="K36" s="406"/>
      <c r="L36" s="426"/>
      <c r="M36" s="428"/>
      <c r="N36" s="374"/>
    </row>
    <row r="37" spans="2:14" ht="15.75" hidden="1">
      <c r="B37" s="431" t="s">
        <v>10</v>
      </c>
      <c r="C37" s="392">
        <v>2.4401999999999999</v>
      </c>
      <c r="D37" s="392">
        <v>8.2221000000000011</v>
      </c>
      <c r="E37" s="392">
        <v>10.6623</v>
      </c>
      <c r="F37" s="392">
        <v>0</v>
      </c>
      <c r="G37" s="392">
        <v>0.52190000000000003</v>
      </c>
      <c r="H37" s="392">
        <v>7.1618000000000004</v>
      </c>
      <c r="I37" s="392">
        <v>2.6201999999999996</v>
      </c>
      <c r="J37" s="392">
        <v>0</v>
      </c>
      <c r="K37" s="392">
        <v>1.2257</v>
      </c>
      <c r="L37" s="392">
        <v>13.195</v>
      </c>
      <c r="M37" s="428">
        <v>35386.9</v>
      </c>
      <c r="N37" s="374"/>
    </row>
    <row r="38" spans="2:14" ht="15.75" hidden="1">
      <c r="B38" s="431"/>
      <c r="C38" s="427"/>
      <c r="D38" s="427"/>
      <c r="E38" s="428"/>
      <c r="F38" s="427"/>
      <c r="G38" s="427"/>
      <c r="H38" s="427"/>
      <c r="I38" s="427"/>
      <c r="J38" s="427"/>
      <c r="K38" s="406"/>
      <c r="L38" s="426"/>
      <c r="M38" s="428"/>
      <c r="N38" s="374"/>
    </row>
    <row r="39" spans="2:14" ht="15.75" hidden="1">
      <c r="B39" s="431" t="s">
        <v>11</v>
      </c>
      <c r="C39" s="392">
        <v>2.3250999999999999</v>
      </c>
      <c r="D39" s="392">
        <v>7.5712999999999999</v>
      </c>
      <c r="E39" s="392">
        <v>9.8963999999999999</v>
      </c>
      <c r="F39" s="392">
        <v>0</v>
      </c>
      <c r="G39" s="392">
        <v>0.52190000000000003</v>
      </c>
      <c r="H39" s="392">
        <v>8.3904999999999994</v>
      </c>
      <c r="I39" s="392">
        <v>2.9639000000000002</v>
      </c>
      <c r="J39" s="392">
        <v>0</v>
      </c>
      <c r="K39" s="392">
        <v>1.2287999999999999</v>
      </c>
      <c r="L39" s="392">
        <v>13.077999999999999</v>
      </c>
      <c r="M39" s="428">
        <v>36079.5</v>
      </c>
      <c r="N39" s="374"/>
    </row>
    <row r="40" spans="2:14" ht="15.75" hidden="1">
      <c r="B40" s="431"/>
      <c r="C40" s="427"/>
      <c r="D40" s="427"/>
      <c r="E40" s="428"/>
      <c r="F40" s="427"/>
      <c r="G40" s="427"/>
      <c r="H40" s="427"/>
      <c r="I40" s="427"/>
      <c r="J40" s="427"/>
      <c r="K40" s="406"/>
      <c r="L40" s="426"/>
      <c r="M40" s="428"/>
      <c r="N40" s="374"/>
    </row>
    <row r="41" spans="2:14" ht="15.75" hidden="1">
      <c r="B41" s="431" t="s">
        <v>337</v>
      </c>
      <c r="C41" s="392">
        <v>2.3124000000000002</v>
      </c>
      <c r="D41" s="392">
        <v>5.6618999999999993</v>
      </c>
      <c r="E41" s="392">
        <v>7.9743000000000004</v>
      </c>
      <c r="F41" s="392">
        <v>0</v>
      </c>
      <c r="G41" s="392">
        <v>0.52190000000000003</v>
      </c>
      <c r="H41" s="392">
        <v>10.303000000000001</v>
      </c>
      <c r="I41" s="392">
        <v>2.0749</v>
      </c>
      <c r="J41" s="392">
        <v>0</v>
      </c>
      <c r="K41" s="392">
        <v>1.2287999999999999</v>
      </c>
      <c r="L41" s="392">
        <v>15.2797</v>
      </c>
      <c r="M41" s="428">
        <v>37382.6</v>
      </c>
      <c r="N41" s="374"/>
    </row>
    <row r="42" spans="2:14" ht="15.75" hidden="1">
      <c r="B42" s="431"/>
      <c r="C42" s="427"/>
      <c r="D42" s="427"/>
      <c r="E42" s="428"/>
      <c r="F42" s="427"/>
      <c r="G42" s="427"/>
      <c r="H42" s="427"/>
      <c r="I42" s="427"/>
      <c r="J42" s="427"/>
      <c r="K42" s="406"/>
      <c r="L42" s="426"/>
      <c r="M42" s="428"/>
      <c r="N42" s="374"/>
    </row>
    <row r="43" spans="2:14" ht="15.75" hidden="1">
      <c r="B43" s="431" t="s">
        <v>346</v>
      </c>
      <c r="C43" s="392">
        <v>2.1345000000000001</v>
      </c>
      <c r="D43" s="392">
        <v>7.4192999999999998</v>
      </c>
      <c r="E43" s="392">
        <v>9.553799999999999</v>
      </c>
      <c r="F43" s="392">
        <v>0.2409</v>
      </c>
      <c r="G43" s="392">
        <v>0.52190000000000003</v>
      </c>
      <c r="H43" s="392">
        <v>10.126100000000001</v>
      </c>
      <c r="I43" s="392">
        <v>3.6052</v>
      </c>
      <c r="J43" s="392">
        <v>0</v>
      </c>
      <c r="K43" s="392">
        <v>1.3186</v>
      </c>
      <c r="L43" s="392">
        <v>13.198600000000001</v>
      </c>
      <c r="M43" s="428">
        <v>38565.1</v>
      </c>
      <c r="N43" s="374"/>
    </row>
    <row r="44" spans="2:14" ht="15.75" hidden="1">
      <c r="B44" s="431"/>
      <c r="C44" s="427"/>
      <c r="D44" s="427"/>
      <c r="E44" s="428"/>
      <c r="F44" s="427"/>
      <c r="G44" s="427"/>
      <c r="H44" s="427"/>
      <c r="I44" s="427"/>
      <c r="J44" s="427"/>
      <c r="K44" s="406"/>
      <c r="L44" s="426"/>
      <c r="M44" s="428"/>
      <c r="N44" s="374"/>
    </row>
    <row r="45" spans="2:14" ht="15.75" hidden="1">
      <c r="B45" s="431" t="s">
        <v>347</v>
      </c>
      <c r="C45" s="392">
        <v>1.6391</v>
      </c>
      <c r="D45" s="392">
        <v>7.3401000000000005</v>
      </c>
      <c r="E45" s="392">
        <v>8.9792000000000005</v>
      </c>
      <c r="F45" s="392">
        <v>1.7044999999999999</v>
      </c>
      <c r="G45" s="392">
        <v>0.52190000000000003</v>
      </c>
      <c r="H45" s="392">
        <v>9.6342999999999996</v>
      </c>
      <c r="I45" s="392">
        <v>2.4845999999999999</v>
      </c>
      <c r="J45" s="392">
        <v>0</v>
      </c>
      <c r="K45" s="392">
        <v>1.3089999999999999</v>
      </c>
      <c r="L45" s="392">
        <v>12.6694</v>
      </c>
      <c r="M45" s="428">
        <v>37302.9</v>
      </c>
      <c r="N45" s="374"/>
    </row>
    <row r="46" spans="2:14" ht="15.75" hidden="1">
      <c r="B46" s="431"/>
      <c r="C46" s="427"/>
      <c r="D46" s="427"/>
      <c r="E46" s="428"/>
      <c r="F46" s="427"/>
      <c r="G46" s="427"/>
      <c r="H46" s="427"/>
      <c r="I46" s="427"/>
      <c r="J46" s="427"/>
      <c r="K46" s="406"/>
      <c r="L46" s="426"/>
      <c r="M46" s="428"/>
      <c r="N46" s="374"/>
    </row>
    <row r="47" spans="2:14" ht="15.75" hidden="1">
      <c r="B47" s="431" t="s">
        <v>12</v>
      </c>
      <c r="C47" s="392">
        <v>1.7353000000000001</v>
      </c>
      <c r="D47" s="392">
        <v>8.3022000000000009</v>
      </c>
      <c r="E47" s="392">
        <v>10.0375</v>
      </c>
      <c r="F47" s="392">
        <v>1.7044999999999999</v>
      </c>
      <c r="G47" s="392">
        <v>0</v>
      </c>
      <c r="H47" s="392">
        <v>12.116700000000002</v>
      </c>
      <c r="I47" s="392">
        <v>2.8378000000000001</v>
      </c>
      <c r="J47" s="392">
        <v>0</v>
      </c>
      <c r="K47" s="392">
        <v>1.3089999999999999</v>
      </c>
      <c r="L47" s="392">
        <v>14.4163</v>
      </c>
      <c r="M47" s="428">
        <v>42421.8</v>
      </c>
      <c r="N47" s="374"/>
    </row>
    <row r="48" spans="2:14" ht="15.75" hidden="1">
      <c r="B48" s="431"/>
      <c r="C48" s="427"/>
      <c r="D48" s="427"/>
      <c r="E48" s="428"/>
      <c r="F48" s="427"/>
      <c r="G48" s="427"/>
      <c r="H48" s="427"/>
      <c r="I48" s="427"/>
      <c r="J48" s="427"/>
      <c r="K48" s="406"/>
      <c r="L48" s="426"/>
      <c r="M48" s="428"/>
      <c r="N48" s="374"/>
    </row>
    <row r="49" spans="2:14" ht="15.75" hidden="1">
      <c r="B49" s="431" t="s">
        <v>13</v>
      </c>
      <c r="C49" s="392">
        <v>1.9784999999999999</v>
      </c>
      <c r="D49" s="392">
        <v>9.9863</v>
      </c>
      <c r="E49" s="392">
        <v>11.964799999999999</v>
      </c>
      <c r="F49" s="392">
        <v>1.8620999999999999</v>
      </c>
      <c r="G49" s="392">
        <v>0</v>
      </c>
      <c r="H49" s="392">
        <v>7.1198000000000006</v>
      </c>
      <c r="I49" s="392">
        <v>3.0874000000000001</v>
      </c>
      <c r="J49" s="392">
        <v>0</v>
      </c>
      <c r="K49" s="392">
        <v>1.3089999999999999</v>
      </c>
      <c r="L49" s="392">
        <v>15.293700000000001</v>
      </c>
      <c r="M49" s="428">
        <v>40636.800000000003</v>
      </c>
      <c r="N49" s="374"/>
    </row>
    <row r="50" spans="2:14" ht="15.75" hidden="1">
      <c r="B50" s="431"/>
      <c r="C50" s="427"/>
      <c r="D50" s="427"/>
      <c r="E50" s="428"/>
      <c r="F50" s="427"/>
      <c r="G50" s="427"/>
      <c r="H50" s="427"/>
      <c r="I50" s="427"/>
      <c r="J50" s="427"/>
      <c r="K50" s="406"/>
      <c r="L50" s="426"/>
      <c r="M50" s="428"/>
      <c r="N50" s="374"/>
    </row>
    <row r="51" spans="2:14" ht="15.75" hidden="1">
      <c r="B51" s="431" t="s">
        <v>14</v>
      </c>
      <c r="C51" s="392">
        <v>2.1853000000000002</v>
      </c>
      <c r="D51" s="392">
        <v>10.278799999999999</v>
      </c>
      <c r="E51" s="392">
        <v>12.4641</v>
      </c>
      <c r="F51" s="392">
        <v>1.8614000000000002</v>
      </c>
      <c r="G51" s="392">
        <v>0.52190000000000003</v>
      </c>
      <c r="H51" s="392">
        <v>5.6047000000000002</v>
      </c>
      <c r="I51" s="392">
        <v>4.6150000000000002</v>
      </c>
      <c r="J51" s="392">
        <v>0</v>
      </c>
      <c r="K51" s="392">
        <v>1.3086</v>
      </c>
      <c r="L51" s="392">
        <v>14.7128</v>
      </c>
      <c r="M51" s="428">
        <v>41088.5</v>
      </c>
      <c r="N51" s="374"/>
    </row>
    <row r="52" spans="2:14" ht="15.75" hidden="1">
      <c r="B52" s="431"/>
      <c r="C52" s="427"/>
      <c r="D52" s="427"/>
      <c r="E52" s="428"/>
      <c r="F52" s="427"/>
      <c r="G52" s="427"/>
      <c r="H52" s="427"/>
      <c r="I52" s="427"/>
      <c r="J52" s="427"/>
      <c r="K52" s="406"/>
      <c r="L52" s="426"/>
      <c r="M52" s="428"/>
      <c r="N52" s="374"/>
    </row>
    <row r="53" spans="2:14" ht="15.75" hidden="1">
      <c r="B53" s="431" t="s">
        <v>15</v>
      </c>
      <c r="C53" s="392">
        <v>2.4177</v>
      </c>
      <c r="D53" s="392">
        <v>11.058399999999999</v>
      </c>
      <c r="E53" s="392">
        <v>13.476100000000001</v>
      </c>
      <c r="F53" s="392">
        <v>1.8614000000000002</v>
      </c>
      <c r="G53" s="392">
        <v>0.52190000000000003</v>
      </c>
      <c r="H53" s="392">
        <v>4.0494000000000003</v>
      </c>
      <c r="I53" s="392">
        <v>5.9287000000000001</v>
      </c>
      <c r="J53" s="392">
        <v>0</v>
      </c>
      <c r="K53" s="392">
        <v>1.5555000000000001</v>
      </c>
      <c r="L53" s="392">
        <v>15.054799999999998</v>
      </c>
      <c r="M53" s="428">
        <v>42447.8</v>
      </c>
      <c r="N53" s="374"/>
    </row>
    <row r="54" spans="2:14" ht="15.75" hidden="1">
      <c r="B54" s="431"/>
      <c r="C54" s="427"/>
      <c r="D54" s="427"/>
      <c r="E54" s="428"/>
      <c r="F54" s="427"/>
      <c r="G54" s="427"/>
      <c r="H54" s="427"/>
      <c r="I54" s="427"/>
      <c r="J54" s="427"/>
      <c r="K54" s="406"/>
      <c r="L54" s="426"/>
      <c r="M54" s="428"/>
      <c r="N54" s="374"/>
    </row>
    <row r="55" spans="2:14" ht="15.75" hidden="1">
      <c r="B55" s="431" t="s">
        <v>16</v>
      </c>
      <c r="C55" s="392">
        <v>2.4983</v>
      </c>
      <c r="D55" s="392">
        <v>10.61</v>
      </c>
      <c r="E55" s="392">
        <v>13.1083</v>
      </c>
      <c r="F55" s="392">
        <v>4.1784999999999997</v>
      </c>
      <c r="G55" s="392">
        <v>0.52190000000000003</v>
      </c>
      <c r="H55" s="392">
        <v>0.4541</v>
      </c>
      <c r="I55" s="392">
        <v>8.6760999999999999</v>
      </c>
      <c r="J55" s="392">
        <v>0</v>
      </c>
      <c r="K55" s="392">
        <v>1.5555000000000001</v>
      </c>
      <c r="L55" s="392">
        <v>15.6249</v>
      </c>
      <c r="M55" s="428">
        <v>44119.3</v>
      </c>
      <c r="N55" s="374"/>
    </row>
    <row r="56" spans="2:14" ht="15.75" hidden="1">
      <c r="B56" s="431"/>
      <c r="C56" s="427"/>
      <c r="D56" s="427"/>
      <c r="E56" s="428"/>
      <c r="F56" s="427"/>
      <c r="G56" s="427"/>
      <c r="H56" s="427"/>
      <c r="I56" s="427"/>
      <c r="J56" s="427"/>
      <c r="K56" s="406"/>
      <c r="L56" s="426"/>
      <c r="M56" s="428"/>
      <c r="N56" s="374"/>
    </row>
    <row r="57" spans="2:14" ht="15.75" hidden="1">
      <c r="B57" s="460">
        <v>2001</v>
      </c>
      <c r="C57" s="427"/>
      <c r="D57" s="427"/>
      <c r="E57" s="428"/>
      <c r="F57" s="427"/>
      <c r="G57" s="427"/>
      <c r="H57" s="427"/>
      <c r="I57" s="427"/>
      <c r="J57" s="427"/>
      <c r="K57" s="406"/>
      <c r="L57" s="426"/>
      <c r="M57" s="428"/>
      <c r="N57" s="374"/>
    </row>
    <row r="58" spans="2:14" ht="15.75" hidden="1">
      <c r="B58" s="431"/>
      <c r="C58" s="427"/>
      <c r="D58" s="427"/>
      <c r="E58" s="428"/>
      <c r="F58" s="427"/>
      <c r="G58" s="427"/>
      <c r="H58" s="427"/>
      <c r="I58" s="427"/>
      <c r="J58" s="427"/>
      <c r="K58" s="406"/>
      <c r="L58" s="426"/>
      <c r="M58" s="428"/>
      <c r="N58" s="374"/>
    </row>
    <row r="59" spans="2:14" ht="15.75" hidden="1">
      <c r="B59" s="431" t="s">
        <v>8</v>
      </c>
      <c r="C59" s="392">
        <v>2.5979000000000001</v>
      </c>
      <c r="D59" s="392">
        <v>10.1273</v>
      </c>
      <c r="E59" s="392">
        <f>(SUM(C59:D59))/1000</f>
        <v>1.2725200000000001E-2</v>
      </c>
      <c r="F59" s="392">
        <v>8.0385000000000009</v>
      </c>
      <c r="G59" s="392">
        <v>0.52190000000000003</v>
      </c>
      <c r="H59" s="392">
        <v>7.0507</v>
      </c>
      <c r="I59" s="392">
        <v>7.5933999999999999</v>
      </c>
      <c r="J59" s="392">
        <v>0</v>
      </c>
      <c r="K59" s="392">
        <v>1.5550999999999999</v>
      </c>
      <c r="L59" s="392">
        <v>14.200299999999999</v>
      </c>
      <c r="M59" s="428">
        <f>SUM(F59:L59,E59)</f>
        <v>38.972625199999996</v>
      </c>
      <c r="N59" s="374"/>
    </row>
    <row r="60" spans="2:14" ht="15.75" hidden="1">
      <c r="B60" s="431"/>
      <c r="C60" s="427"/>
      <c r="D60" s="427"/>
      <c r="E60" s="428"/>
      <c r="F60" s="427"/>
      <c r="G60" s="427"/>
      <c r="H60" s="427"/>
      <c r="I60" s="427"/>
      <c r="J60" s="427"/>
      <c r="K60" s="406"/>
      <c r="L60" s="426"/>
      <c r="M60" s="428"/>
      <c r="N60" s="374"/>
    </row>
    <row r="61" spans="2:14" ht="15.75" hidden="1">
      <c r="B61" s="431" t="s">
        <v>9</v>
      </c>
      <c r="C61" s="392">
        <v>2.5841999999999996</v>
      </c>
      <c r="D61" s="392">
        <v>9.9232000000000014</v>
      </c>
      <c r="E61" s="392">
        <f>(SUM(C61:D61))/1000</f>
        <v>1.25074E-2</v>
      </c>
      <c r="F61" s="392">
        <v>4.1779999999999999</v>
      </c>
      <c r="G61" s="392">
        <v>0.52190000000000003</v>
      </c>
      <c r="H61" s="392">
        <v>11.3276</v>
      </c>
      <c r="I61" s="392">
        <v>7.3813000000000004</v>
      </c>
      <c r="J61" s="392">
        <v>0</v>
      </c>
      <c r="K61" s="392">
        <v>1.5550999999999999</v>
      </c>
      <c r="L61" s="392">
        <v>14.3119</v>
      </c>
      <c r="M61" s="428">
        <f>SUM(F61:L61,E61)</f>
        <v>39.288307399999994</v>
      </c>
      <c r="N61" s="374"/>
    </row>
    <row r="62" spans="2:14" ht="15.75" hidden="1">
      <c r="B62" s="431"/>
      <c r="C62" s="427"/>
      <c r="D62" s="427"/>
      <c r="E62" s="428">
        <f>SUM(C62:D62)</f>
        <v>0</v>
      </c>
      <c r="F62" s="427"/>
      <c r="G62" s="427"/>
      <c r="H62" s="427"/>
      <c r="I62" s="427"/>
      <c r="J62" s="427"/>
      <c r="K62" s="406"/>
      <c r="L62" s="426"/>
      <c r="M62" s="428">
        <f>SUM(F62:L62,E62)</f>
        <v>0</v>
      </c>
      <c r="N62" s="374"/>
    </row>
    <row r="63" spans="2:14" ht="15.75" hidden="1">
      <c r="B63" s="431" t="s">
        <v>9</v>
      </c>
      <c r="C63" s="392">
        <v>2.5841999999999996</v>
      </c>
      <c r="D63" s="392">
        <v>9.9847000000000001</v>
      </c>
      <c r="E63" s="392">
        <f>(SUM(C63:D63))/1000</f>
        <v>1.2568899999999999E-2</v>
      </c>
      <c r="F63" s="392">
        <v>4.1779999999999999</v>
      </c>
      <c r="G63" s="392">
        <v>0.52190000000000003</v>
      </c>
      <c r="H63" s="392">
        <v>12.636299999999999</v>
      </c>
      <c r="I63" s="392">
        <v>7.7673999999999994</v>
      </c>
      <c r="J63" s="392">
        <v>0</v>
      </c>
      <c r="K63" s="392">
        <v>1.5550999999999999</v>
      </c>
      <c r="L63" s="392">
        <v>14.368499999999999</v>
      </c>
      <c r="M63" s="428">
        <f>SUM(F63:L63,E63)</f>
        <v>41.039768899999991</v>
      </c>
      <c r="N63" s="374"/>
    </row>
    <row r="64" spans="2:14" ht="15.75" hidden="1">
      <c r="B64" s="431"/>
      <c r="C64" s="427"/>
      <c r="D64" s="427"/>
      <c r="E64" s="428"/>
      <c r="F64" s="427"/>
      <c r="G64" s="427"/>
      <c r="H64" s="427"/>
      <c r="I64" s="427"/>
      <c r="J64" s="427"/>
      <c r="K64" s="406"/>
      <c r="L64" s="426"/>
      <c r="M64" s="428"/>
      <c r="N64" s="374"/>
    </row>
    <row r="65" spans="2:14" ht="15.75" hidden="1">
      <c r="B65" s="431" t="s">
        <v>10</v>
      </c>
      <c r="C65" s="392">
        <v>2.4346999999999999</v>
      </c>
      <c r="D65" s="392">
        <v>8.2297999999999991</v>
      </c>
      <c r="E65" s="392">
        <f>(SUM(C65:D65))/1000</f>
        <v>1.0664499999999999E-2</v>
      </c>
      <c r="F65" s="392">
        <v>3.8611999999999997</v>
      </c>
      <c r="G65" s="392">
        <v>0.52190000000000003</v>
      </c>
      <c r="H65" s="392">
        <v>10.796299999999999</v>
      </c>
      <c r="I65" s="392">
        <v>7.2506000000000004</v>
      </c>
      <c r="J65" s="392">
        <v>0</v>
      </c>
      <c r="K65" s="392">
        <v>1.5550999999999999</v>
      </c>
      <c r="L65" s="392">
        <v>15.3955</v>
      </c>
      <c r="M65" s="428">
        <f>SUM(F65:L65,E65)</f>
        <v>39.391264499999998</v>
      </c>
      <c r="N65" s="374"/>
    </row>
    <row r="66" spans="2:14" ht="15.75" hidden="1">
      <c r="B66" s="431"/>
      <c r="C66" s="427"/>
      <c r="D66" s="427"/>
      <c r="E66" s="428"/>
      <c r="F66" s="427"/>
      <c r="G66" s="427"/>
      <c r="H66" s="427"/>
      <c r="I66" s="427"/>
      <c r="J66" s="427"/>
      <c r="K66" s="406"/>
      <c r="L66" s="426"/>
      <c r="M66" s="428"/>
      <c r="N66" s="374"/>
    </row>
    <row r="67" spans="2:14" ht="15.75" hidden="1">
      <c r="B67" s="431" t="s">
        <v>11</v>
      </c>
      <c r="C67" s="392">
        <v>2.6650999999999998</v>
      </c>
      <c r="D67" s="392">
        <v>8.9529999999999994</v>
      </c>
      <c r="E67" s="392">
        <f>(SUM(C67:D67))/1000</f>
        <v>1.1618099999999998E-2</v>
      </c>
      <c r="F67" s="392">
        <v>9.3612000000000002</v>
      </c>
      <c r="G67" s="392">
        <v>0.52190000000000003</v>
      </c>
      <c r="H67" s="392">
        <v>9.4762999999999984</v>
      </c>
      <c r="I67" s="392">
        <f>(4920100299/1000)/1000</f>
        <v>4920.1002989999997</v>
      </c>
      <c r="J67" s="392">
        <v>0.72499999999999998</v>
      </c>
      <c r="K67" s="392">
        <v>1.5550999999999999</v>
      </c>
      <c r="L67" s="392">
        <v>14.655799999999999</v>
      </c>
      <c r="M67" s="428">
        <f>SUM(F67:L67,E67)</f>
        <v>4956.4072170999998</v>
      </c>
      <c r="N67" s="374"/>
    </row>
    <row r="68" spans="2:14" ht="15.75" hidden="1">
      <c r="B68" s="431"/>
      <c r="C68" s="427"/>
      <c r="D68" s="427"/>
      <c r="E68" s="428"/>
      <c r="F68" s="427"/>
      <c r="G68" s="427"/>
      <c r="H68" s="427"/>
      <c r="I68" s="427">
        <f>4698281252/1000</f>
        <v>4698281.2520000003</v>
      </c>
      <c r="J68" s="427">
        <v>20</v>
      </c>
      <c r="K68" s="406"/>
      <c r="L68" s="426"/>
      <c r="M68" s="428"/>
      <c r="N68" s="374"/>
    </row>
    <row r="69" spans="2:14" ht="15.75" hidden="1">
      <c r="B69" s="431" t="s">
        <v>337</v>
      </c>
      <c r="C69" s="392">
        <v>2.5143</v>
      </c>
      <c r="D69" s="392">
        <v>8.5971000000000011</v>
      </c>
      <c r="E69" s="392">
        <f>(SUM(C69:D69))/1000</f>
        <v>1.1111400000000002E-2</v>
      </c>
      <c r="F69" s="392">
        <v>9.3726000000000003</v>
      </c>
      <c r="G69" s="392">
        <v>0.52190000000000003</v>
      </c>
      <c r="H69" s="392">
        <v>8.1018000000000008</v>
      </c>
      <c r="I69" s="392">
        <f>(6895867959/1000)/1000</f>
        <v>6895.8679590000002</v>
      </c>
      <c r="J69" s="392">
        <v>0</v>
      </c>
      <c r="K69" s="392">
        <v>1.5550999999999999</v>
      </c>
      <c r="L69" s="392">
        <v>14.692200000000001</v>
      </c>
      <c r="M69" s="428">
        <f>SUM(F69:L69,E69)</f>
        <v>6930.1226704000001</v>
      </c>
      <c r="N69" s="374"/>
    </row>
    <row r="70" spans="2:14" ht="15.75" hidden="1">
      <c r="B70" s="431"/>
      <c r="C70" s="427"/>
      <c r="D70" s="427"/>
      <c r="E70" s="428"/>
      <c r="F70" s="427"/>
      <c r="G70" s="427"/>
      <c r="H70" s="427"/>
      <c r="I70" s="427"/>
      <c r="J70" s="427"/>
      <c r="K70" s="406"/>
      <c r="L70" s="426"/>
      <c r="M70" s="428"/>
      <c r="N70" s="374"/>
    </row>
    <row r="71" spans="2:14" ht="15.75" hidden="1">
      <c r="B71" s="431" t="s">
        <v>346</v>
      </c>
      <c r="C71" s="392">
        <v>2.3721999999999999</v>
      </c>
      <c r="D71" s="392">
        <v>7.9218999999999999</v>
      </c>
      <c r="E71" s="392">
        <f>(SUM(C71:D71))/1000</f>
        <v>1.02941E-2</v>
      </c>
      <c r="F71" s="392">
        <v>9.1540999999999997</v>
      </c>
      <c r="G71" s="392">
        <v>0.52190000000000003</v>
      </c>
      <c r="H71" s="392">
        <v>11.341200000000001</v>
      </c>
      <c r="I71" s="392">
        <v>9.7357000000000014</v>
      </c>
      <c r="J71" s="392">
        <v>0</v>
      </c>
      <c r="K71" s="392">
        <v>1.5548</v>
      </c>
      <c r="L71" s="392">
        <v>13.7667</v>
      </c>
      <c r="M71" s="428">
        <f>SUM(F71:L71,E71)</f>
        <v>46.084694100000007</v>
      </c>
      <c r="N71" s="374"/>
    </row>
    <row r="72" spans="2:14" ht="15.75" hidden="1">
      <c r="B72" s="431"/>
      <c r="C72" s="392">
        <v>0</v>
      </c>
      <c r="D72" s="392">
        <v>0</v>
      </c>
      <c r="E72" s="428"/>
      <c r="F72" s="427"/>
      <c r="G72" s="427"/>
      <c r="H72" s="427"/>
      <c r="I72" s="427"/>
      <c r="J72" s="427"/>
      <c r="K72" s="406"/>
      <c r="L72" s="426"/>
      <c r="M72" s="428"/>
      <c r="N72" s="374"/>
    </row>
    <row r="73" spans="2:14" ht="15.75" hidden="1">
      <c r="B73" s="431" t="s">
        <v>347</v>
      </c>
      <c r="C73" s="392">
        <v>2.6059000000000001</v>
      </c>
      <c r="D73" s="392">
        <v>7.3098999999999998</v>
      </c>
      <c r="E73" s="392">
        <f>(SUM(C73:D73))/1000</f>
        <v>9.9158000000000007E-3</v>
      </c>
      <c r="F73" s="392">
        <v>9.1328999999999994</v>
      </c>
      <c r="G73" s="392">
        <v>0.52190000000000003</v>
      </c>
      <c r="H73" s="392">
        <v>11.9003</v>
      </c>
      <c r="I73" s="392">
        <v>12.649100000000001</v>
      </c>
      <c r="J73" s="392">
        <v>0</v>
      </c>
      <c r="K73" s="392">
        <v>1.5548</v>
      </c>
      <c r="L73" s="392">
        <v>14.842799999999999</v>
      </c>
      <c r="M73" s="428">
        <f>SUM(F73:L73,E73)</f>
        <v>50.611715799999999</v>
      </c>
      <c r="N73" s="374"/>
    </row>
    <row r="74" spans="2:14" ht="15.75" hidden="1">
      <c r="B74" s="431"/>
      <c r="C74" s="427"/>
      <c r="D74" s="427"/>
      <c r="E74" s="428"/>
      <c r="F74" s="427"/>
      <c r="G74" s="427"/>
      <c r="H74" s="427"/>
      <c r="I74" s="427"/>
      <c r="J74" s="427"/>
      <c r="K74" s="406"/>
      <c r="L74" s="426"/>
      <c r="M74" s="428"/>
      <c r="N74" s="374"/>
    </row>
    <row r="75" spans="2:14" ht="15.75" hidden="1">
      <c r="B75" s="431" t="s">
        <v>12</v>
      </c>
      <c r="C75" s="392">
        <v>2.7109000000000001</v>
      </c>
      <c r="D75" s="392">
        <v>5.5564999999999998</v>
      </c>
      <c r="E75" s="392">
        <f>(SUM(C75:D75))/1000</f>
        <v>8.2674000000000011E-3</v>
      </c>
      <c r="F75" s="392">
        <v>9.3565000000000005</v>
      </c>
      <c r="G75" s="392">
        <v>0.52190000000000003</v>
      </c>
      <c r="H75" s="392">
        <v>12.840999999999999</v>
      </c>
      <c r="I75" s="392">
        <v>18.108799999999999</v>
      </c>
      <c r="J75" s="392">
        <v>0</v>
      </c>
      <c r="K75" s="392">
        <v>1.5548</v>
      </c>
      <c r="L75" s="392">
        <v>15.651</v>
      </c>
      <c r="M75" s="428">
        <f>SUM(F75:L75,E75)</f>
        <v>58.042267399999993</v>
      </c>
      <c r="N75" s="374"/>
    </row>
    <row r="76" spans="2:14" ht="15.75" hidden="1">
      <c r="B76" s="431"/>
      <c r="C76" s="427"/>
      <c r="D76" s="427"/>
      <c r="E76" s="428"/>
      <c r="F76" s="427"/>
      <c r="G76" s="427"/>
      <c r="H76" s="427"/>
      <c r="I76" s="427"/>
      <c r="J76" s="427"/>
      <c r="K76" s="406"/>
      <c r="L76" s="426"/>
      <c r="M76" s="428"/>
      <c r="N76" s="374"/>
    </row>
    <row r="77" spans="2:14" ht="15.75" hidden="1">
      <c r="B77" s="431" t="s">
        <v>13</v>
      </c>
      <c r="C77" s="392">
        <v>2.7219000000000002</v>
      </c>
      <c r="D77" s="392">
        <v>6.4885000000000002</v>
      </c>
      <c r="E77" s="392">
        <f>(SUM(C77:D77))/1000</f>
        <v>9.2104000000000005E-3</v>
      </c>
      <c r="F77" s="392">
        <v>15.504700000000001</v>
      </c>
      <c r="G77" s="392">
        <v>0.52190000000000003</v>
      </c>
      <c r="H77" s="392">
        <v>11.2376</v>
      </c>
      <c r="I77" s="392">
        <v>18.295999999999999</v>
      </c>
      <c r="J77" s="392">
        <v>0</v>
      </c>
      <c r="K77" s="392">
        <v>1.5548</v>
      </c>
      <c r="L77" s="392">
        <v>16.6615</v>
      </c>
      <c r="M77" s="428">
        <f>SUM(F77:L77,E77)</f>
        <v>63.785710399999999</v>
      </c>
      <c r="N77" s="374"/>
    </row>
    <row r="78" spans="2:14" ht="15.75" hidden="1">
      <c r="B78" s="431"/>
      <c r="C78" s="427"/>
      <c r="D78" s="427"/>
      <c r="E78" s="428"/>
      <c r="F78" s="427"/>
      <c r="G78" s="427"/>
      <c r="H78" s="427"/>
      <c r="I78" s="427"/>
      <c r="J78" s="427"/>
      <c r="K78" s="406"/>
      <c r="L78" s="426"/>
      <c r="M78" s="428"/>
      <c r="N78" s="374"/>
    </row>
    <row r="79" spans="2:14" ht="15.75" hidden="1">
      <c r="B79" s="431" t="s">
        <v>14</v>
      </c>
      <c r="C79" s="392">
        <v>2.9064000000000001</v>
      </c>
      <c r="D79" s="392">
        <v>5.2012999999999998</v>
      </c>
      <c r="E79" s="392">
        <f>(SUM(C79:D79))/1000</f>
        <v>8.1076999999999989E-3</v>
      </c>
      <c r="F79" s="392">
        <v>15.504700000000001</v>
      </c>
      <c r="G79" s="392">
        <v>0.52190000000000003</v>
      </c>
      <c r="H79" s="392">
        <v>9.0015000000000001</v>
      </c>
      <c r="I79" s="392">
        <v>19.872599999999998</v>
      </c>
      <c r="J79" s="392">
        <v>0</v>
      </c>
      <c r="K79" s="392">
        <v>1.3948</v>
      </c>
      <c r="L79" s="392">
        <v>16.2819</v>
      </c>
      <c r="M79" s="428">
        <f>SUM(F79:L79,E79)</f>
        <v>62.585507700000001</v>
      </c>
      <c r="N79" s="374"/>
    </row>
    <row r="80" spans="2:14" ht="15.75" hidden="1">
      <c r="B80" s="431"/>
      <c r="C80" s="427"/>
      <c r="D80" s="427"/>
      <c r="E80" s="428"/>
      <c r="F80" s="427"/>
      <c r="G80" s="427"/>
      <c r="H80" s="427"/>
      <c r="I80" s="427"/>
      <c r="J80" s="427"/>
      <c r="K80" s="406"/>
      <c r="L80" s="426"/>
      <c r="M80" s="428"/>
      <c r="N80" s="374"/>
    </row>
    <row r="81" spans="2:14" ht="15.75" hidden="1">
      <c r="B81" s="431" t="s">
        <v>15</v>
      </c>
      <c r="C81" s="392">
        <v>1.6565000000000001</v>
      </c>
      <c r="D81" s="392">
        <v>4.8363000000000005</v>
      </c>
      <c r="E81" s="392">
        <f>(SUM(C81:D81))/1000</f>
        <v>6.4928000000000008E-3</v>
      </c>
      <c r="F81" s="392">
        <v>14.282299999999999</v>
      </c>
      <c r="G81" s="392">
        <v>0.52190000000000003</v>
      </c>
      <c r="H81" s="392">
        <v>11.262700000000001</v>
      </c>
      <c r="I81" s="392">
        <v>22.400700000000001</v>
      </c>
      <c r="J81" s="392">
        <v>0</v>
      </c>
      <c r="K81" s="392">
        <v>1.3948</v>
      </c>
      <c r="L81" s="392">
        <v>15.359399999999999</v>
      </c>
      <c r="M81" s="428">
        <f>SUM(F81:L81,E81)</f>
        <v>65.228292800000006</v>
      </c>
      <c r="N81" s="374"/>
    </row>
    <row r="82" spans="2:14" ht="15.75" hidden="1">
      <c r="B82" s="431"/>
      <c r="C82" s="427"/>
      <c r="D82" s="427"/>
      <c r="E82" s="428"/>
      <c r="F82" s="427"/>
      <c r="G82" s="427"/>
      <c r="H82" s="427"/>
      <c r="I82" s="427"/>
      <c r="J82" s="427"/>
      <c r="K82" s="406"/>
      <c r="L82" s="426"/>
      <c r="M82" s="428"/>
      <c r="N82" s="374"/>
    </row>
    <row r="83" spans="2:14" ht="15.75" hidden="1">
      <c r="B83" s="431" t="s">
        <v>16</v>
      </c>
      <c r="C83" s="392">
        <v>1.5145</v>
      </c>
      <c r="D83" s="392">
        <v>3.6184000000000003</v>
      </c>
      <c r="E83" s="392">
        <f>(SUM(C83:D83))/1000</f>
        <v>5.1329000000000001E-3</v>
      </c>
      <c r="F83" s="392">
        <v>25.315300000000001</v>
      </c>
      <c r="G83" s="392">
        <v>0.52190000000000003</v>
      </c>
      <c r="H83" s="392">
        <v>0.4541</v>
      </c>
      <c r="I83" s="392">
        <v>28.607500000000002</v>
      </c>
      <c r="J83" s="392">
        <v>0</v>
      </c>
      <c r="K83" s="392">
        <v>1.7830999999999999</v>
      </c>
      <c r="L83" s="392">
        <v>15.6424</v>
      </c>
      <c r="M83" s="428">
        <f>SUM(F83:L83,E83)</f>
        <v>72.3294329</v>
      </c>
      <c r="N83" s="374"/>
    </row>
    <row r="84" spans="2:14" ht="15.75" hidden="1">
      <c r="B84" s="431"/>
      <c r="C84" s="427"/>
      <c r="D84" s="427"/>
      <c r="E84" s="428"/>
      <c r="F84" s="427"/>
      <c r="G84" s="427"/>
      <c r="H84" s="427"/>
      <c r="I84" s="427"/>
      <c r="J84" s="427"/>
      <c r="K84" s="406"/>
      <c r="L84" s="426"/>
      <c r="M84" s="428"/>
      <c r="N84" s="374"/>
    </row>
    <row r="85" spans="2:14" ht="15.75" hidden="1">
      <c r="B85" s="462">
        <v>2002</v>
      </c>
      <c r="C85" s="427"/>
      <c r="D85" s="427"/>
      <c r="E85" s="428"/>
      <c r="F85" s="427"/>
      <c r="G85" s="427"/>
      <c r="H85" s="427"/>
      <c r="I85" s="427"/>
      <c r="J85" s="427"/>
      <c r="K85" s="406"/>
      <c r="L85" s="426"/>
      <c r="M85" s="428"/>
      <c r="N85" s="374"/>
    </row>
    <row r="86" spans="2:14" ht="15.75" hidden="1">
      <c r="B86" s="431"/>
      <c r="C86" s="427"/>
      <c r="D86" s="427"/>
      <c r="E86" s="428"/>
      <c r="F86" s="427"/>
      <c r="G86" s="427"/>
      <c r="H86" s="427"/>
      <c r="I86" s="427"/>
      <c r="J86" s="427"/>
      <c r="K86" s="406"/>
      <c r="L86" s="426"/>
      <c r="M86" s="428"/>
      <c r="N86" s="374"/>
    </row>
    <row r="87" spans="2:14" ht="15.75" hidden="1">
      <c r="B87" s="431" t="s">
        <v>8</v>
      </c>
      <c r="C87" s="392">
        <v>1.6077999999999999</v>
      </c>
      <c r="D87" s="392">
        <v>4.3239999999999998</v>
      </c>
      <c r="E87" s="392">
        <f>(SUM(C87:D87))/1000</f>
        <v>5.9318000000000001E-3</v>
      </c>
      <c r="F87" s="392">
        <v>13.3011</v>
      </c>
      <c r="G87" s="392">
        <v>0.52190000000000003</v>
      </c>
      <c r="H87" s="392">
        <v>19.622499999999999</v>
      </c>
      <c r="I87" s="392">
        <v>22.942400000000003</v>
      </c>
      <c r="J87" s="392">
        <v>0</v>
      </c>
      <c r="K87" s="392">
        <v>1.7830999999999999</v>
      </c>
      <c r="L87" s="392">
        <v>16.125799999999998</v>
      </c>
      <c r="M87" s="428">
        <f>SUM(F87:L87,E87)</f>
        <v>74.302731799999989</v>
      </c>
      <c r="N87" s="374"/>
    </row>
    <row r="88" spans="2:14" ht="15.75" hidden="1">
      <c r="B88" s="431"/>
      <c r="C88" s="427"/>
      <c r="D88" s="427"/>
      <c r="E88" s="428"/>
      <c r="F88" s="427"/>
      <c r="G88" s="427"/>
      <c r="H88" s="427"/>
      <c r="I88" s="427"/>
      <c r="J88" s="427"/>
      <c r="K88" s="406"/>
      <c r="L88" s="426"/>
      <c r="M88" s="428"/>
      <c r="N88" s="374"/>
    </row>
    <row r="89" spans="2:14" ht="15.75" hidden="1">
      <c r="B89" s="431" t="s">
        <v>9</v>
      </c>
      <c r="C89" s="392">
        <v>0.93059999999999998</v>
      </c>
      <c r="D89" s="392">
        <v>4.3613</v>
      </c>
      <c r="E89" s="392">
        <f>(SUM(C89:D89))/1000</f>
        <v>5.2919000000000004E-3</v>
      </c>
      <c r="F89" s="392">
        <v>25.811599999999999</v>
      </c>
      <c r="G89" s="392">
        <v>0.52190000000000003</v>
      </c>
      <c r="H89" s="392">
        <v>4.3037000000000001</v>
      </c>
      <c r="I89" s="392">
        <v>20.770199999999999</v>
      </c>
      <c r="J89" s="392">
        <v>0</v>
      </c>
      <c r="K89" s="392">
        <v>1.7830999999999999</v>
      </c>
      <c r="L89" s="392">
        <v>16.4255</v>
      </c>
      <c r="M89" s="428">
        <f>SUM(F89:L89,E89)</f>
        <v>69.621291899999989</v>
      </c>
      <c r="N89" s="374"/>
    </row>
    <row r="90" spans="2:14" ht="15.75" hidden="1">
      <c r="B90" s="431"/>
      <c r="C90" s="427"/>
      <c r="D90" s="427"/>
      <c r="E90" s="428"/>
      <c r="F90" s="427"/>
      <c r="G90" s="427"/>
      <c r="H90" s="427"/>
      <c r="I90" s="427"/>
      <c r="J90" s="427"/>
      <c r="K90" s="406"/>
      <c r="L90" s="426"/>
      <c r="M90" s="428"/>
      <c r="N90" s="374"/>
    </row>
    <row r="91" spans="2:14" ht="15.75" hidden="1">
      <c r="B91" s="431" t="s">
        <v>10</v>
      </c>
      <c r="C91" s="392">
        <v>0.81140000000000001</v>
      </c>
      <c r="D91" s="392">
        <v>4.3311000000000002</v>
      </c>
      <c r="E91" s="392">
        <f>(SUM(C91:D91))/1000</f>
        <v>5.1425000000000004E-3</v>
      </c>
      <c r="F91" s="392">
        <v>25.173400000000001</v>
      </c>
      <c r="G91" s="392">
        <v>0.40300000000000002</v>
      </c>
      <c r="H91" s="392">
        <v>0.6502</v>
      </c>
      <c r="I91" s="392">
        <v>21.857299999999999</v>
      </c>
      <c r="J91" s="392">
        <v>0</v>
      </c>
      <c r="K91" s="392">
        <v>2.5008000000000004</v>
      </c>
      <c r="L91" s="392">
        <v>16.717599999999997</v>
      </c>
      <c r="M91" s="428">
        <f>SUM(F91:L91,E91)</f>
        <v>67.307442500000008</v>
      </c>
      <c r="N91" s="374"/>
    </row>
    <row r="92" spans="2:14" ht="15.75" hidden="1">
      <c r="B92" s="431"/>
      <c r="C92" s="427"/>
      <c r="D92" s="427"/>
      <c r="E92" s="428"/>
      <c r="F92" s="427"/>
      <c r="G92" s="427"/>
      <c r="H92" s="427"/>
      <c r="I92" s="427"/>
      <c r="J92" s="427"/>
      <c r="K92" s="406"/>
      <c r="L92" s="426"/>
      <c r="M92" s="428"/>
      <c r="N92" s="374"/>
    </row>
    <row r="93" spans="2:14" ht="15.75" hidden="1">
      <c r="B93" s="431" t="s">
        <v>11</v>
      </c>
      <c r="C93" s="392">
        <v>0.96320000000000006</v>
      </c>
      <c r="D93" s="392">
        <v>4.0670000000000002</v>
      </c>
      <c r="E93" s="392">
        <f>(SUM(C93:D93))/1000</f>
        <v>5.0302000000000003E-3</v>
      </c>
      <c r="F93" s="392">
        <v>28.894500000000001</v>
      </c>
      <c r="G93" s="392">
        <v>0.52190000000000003</v>
      </c>
      <c r="H93" s="392">
        <v>-1.3982999999999999</v>
      </c>
      <c r="I93" s="392">
        <v>19.717500000000001</v>
      </c>
      <c r="J93" s="392">
        <v>0</v>
      </c>
      <c r="K93" s="392">
        <v>1.5387999999999999</v>
      </c>
      <c r="L93" s="392">
        <v>17.247299999999999</v>
      </c>
      <c r="M93" s="428">
        <f>SUM(F93:L93,E93)</f>
        <v>66.526730200000003</v>
      </c>
      <c r="N93" s="374"/>
    </row>
    <row r="94" spans="2:14" ht="15.75" hidden="1">
      <c r="B94" s="431"/>
      <c r="C94" s="427"/>
      <c r="D94" s="427"/>
      <c r="E94" s="428"/>
      <c r="F94" s="427"/>
      <c r="G94" s="427"/>
      <c r="H94" s="427"/>
      <c r="I94" s="427"/>
      <c r="J94" s="427"/>
      <c r="K94" s="406"/>
      <c r="L94" s="426"/>
      <c r="M94" s="428"/>
      <c r="N94" s="374"/>
    </row>
    <row r="95" spans="2:14" ht="15.75" hidden="1">
      <c r="B95" s="431" t="s">
        <v>337</v>
      </c>
      <c r="C95" s="392">
        <v>1.0884</v>
      </c>
      <c r="D95" s="392">
        <v>3.9948999999999999</v>
      </c>
      <c r="E95" s="392">
        <f>(SUM(C95:D95))/1000</f>
        <v>5.0832999999999998E-3</v>
      </c>
      <c r="F95" s="392">
        <v>21.931000000000001</v>
      </c>
      <c r="G95" s="392">
        <v>0.52190000000000003</v>
      </c>
      <c r="H95" s="392">
        <v>7.0644999999999998</v>
      </c>
      <c r="I95" s="392">
        <v>24.764099999999999</v>
      </c>
      <c r="J95" s="392">
        <v>0</v>
      </c>
      <c r="K95" s="392">
        <v>1.5387999999999999</v>
      </c>
      <c r="L95" s="392">
        <v>11.566700000000001</v>
      </c>
      <c r="M95" s="428">
        <f>SUM(F95:L95,E95)</f>
        <v>67.392083299999996</v>
      </c>
      <c r="N95" s="374"/>
    </row>
    <row r="96" spans="2:14" ht="15.75" hidden="1">
      <c r="B96" s="431"/>
      <c r="C96" s="427"/>
      <c r="D96" s="427"/>
      <c r="E96" s="428"/>
      <c r="F96" s="427"/>
      <c r="G96" s="427"/>
      <c r="H96" s="427"/>
      <c r="I96" s="427"/>
      <c r="J96" s="427"/>
      <c r="K96" s="406"/>
      <c r="L96" s="426"/>
      <c r="M96" s="428"/>
      <c r="N96" s="374"/>
    </row>
    <row r="97" spans="2:14" ht="15.75" hidden="1">
      <c r="B97" s="431" t="s">
        <v>346</v>
      </c>
      <c r="C97" s="392">
        <v>0.79389999999999994</v>
      </c>
      <c r="D97" s="392">
        <v>3.8244000000000002</v>
      </c>
      <c r="E97" s="392">
        <f>(SUM(C97:D97))/1000</f>
        <v>4.6183000000000005E-3</v>
      </c>
      <c r="F97" s="392">
        <v>27.8978</v>
      </c>
      <c r="G97" s="392">
        <v>0.52190000000000003</v>
      </c>
      <c r="H97" s="392">
        <v>-2.3344</v>
      </c>
      <c r="I97" s="392">
        <v>27.3232</v>
      </c>
      <c r="J97" s="392">
        <v>0</v>
      </c>
      <c r="K97" s="392">
        <v>1.5387999999999999</v>
      </c>
      <c r="L97" s="392">
        <v>20.607299999999999</v>
      </c>
      <c r="M97" s="428">
        <f>SUM(F97:L97,E97)</f>
        <v>75.559218300000012</v>
      </c>
      <c r="N97" s="374"/>
    </row>
    <row r="98" spans="2:14" ht="15.75" hidden="1">
      <c r="B98" s="431"/>
      <c r="C98" s="427"/>
      <c r="D98" s="427"/>
      <c r="E98" s="428"/>
      <c r="F98" s="427"/>
      <c r="G98" s="427"/>
      <c r="H98" s="427"/>
      <c r="I98" s="427"/>
      <c r="J98" s="427"/>
      <c r="K98" s="406"/>
      <c r="L98" s="426"/>
      <c r="M98" s="428"/>
      <c r="N98" s="374"/>
    </row>
    <row r="99" spans="2:14" ht="15.75" hidden="1">
      <c r="B99" s="431" t="s">
        <v>347</v>
      </c>
      <c r="C99" s="392">
        <v>0.94840000000000002</v>
      </c>
      <c r="D99" s="392">
        <v>3.6718999999999999</v>
      </c>
      <c r="E99" s="392">
        <f>(SUM(C99:D99))/1000</f>
        <v>4.6202999999999999E-3</v>
      </c>
      <c r="F99" s="392">
        <v>34.4587</v>
      </c>
      <c r="G99" s="392">
        <v>0.52190000000000003</v>
      </c>
      <c r="H99" s="392">
        <v>5.0900000000000001E-2</v>
      </c>
      <c r="I99" s="392">
        <v>23.5259</v>
      </c>
      <c r="J99" s="392">
        <v>0</v>
      </c>
      <c r="K99" s="392">
        <v>1.7213000000000001</v>
      </c>
      <c r="L99" s="392">
        <v>24.268599999999999</v>
      </c>
      <c r="M99" s="428">
        <f>SUM(F99:L99,E99)</f>
        <v>84.551920300000006</v>
      </c>
      <c r="N99" s="374"/>
    </row>
    <row r="100" spans="2:14" ht="15.75" hidden="1">
      <c r="B100" s="431"/>
      <c r="C100" s="427"/>
      <c r="D100" s="427"/>
      <c r="E100" s="428"/>
      <c r="F100" s="427"/>
      <c r="G100" s="427"/>
      <c r="H100" s="427"/>
      <c r="I100" s="427"/>
      <c r="J100" s="427"/>
      <c r="K100" s="406"/>
      <c r="L100" s="426"/>
      <c r="M100" s="428"/>
      <c r="N100" s="374"/>
    </row>
    <row r="101" spans="2:14" ht="15.75" hidden="1">
      <c r="B101" s="431" t="s">
        <v>12</v>
      </c>
      <c r="C101" s="392">
        <v>0.96610000000000007</v>
      </c>
      <c r="D101" s="392">
        <v>4.4666999999999994</v>
      </c>
      <c r="E101" s="392">
        <f>(SUM(C101:D101))/1000</f>
        <v>5.4327999999999998E-3</v>
      </c>
      <c r="F101" s="392">
        <v>34.891400000000004</v>
      </c>
      <c r="G101" s="392">
        <v>0.52190000000000003</v>
      </c>
      <c r="H101" s="392">
        <v>-4.4398999999999997</v>
      </c>
      <c r="I101" s="392">
        <v>32.124299999999998</v>
      </c>
      <c r="J101" s="392">
        <v>0</v>
      </c>
      <c r="K101" s="392">
        <v>1.7213000000000001</v>
      </c>
      <c r="L101" s="392">
        <v>39.573800000000006</v>
      </c>
      <c r="M101" s="428">
        <f>SUM(F101:L101,E101)</f>
        <v>104.3982328</v>
      </c>
      <c r="N101" s="374"/>
    </row>
    <row r="102" spans="2:14" ht="15.75" hidden="1">
      <c r="B102" s="431"/>
      <c r="C102" s="427"/>
      <c r="D102" s="427"/>
      <c r="E102" s="428"/>
      <c r="F102" s="427"/>
      <c r="G102" s="427"/>
      <c r="H102" s="427"/>
      <c r="I102" s="427"/>
      <c r="J102" s="427"/>
      <c r="K102" s="406"/>
      <c r="L102" s="426"/>
      <c r="M102" s="428"/>
      <c r="N102" s="374"/>
    </row>
    <row r="103" spans="2:14" ht="15.75" hidden="1">
      <c r="B103" s="431" t="s">
        <v>13</v>
      </c>
      <c r="C103" s="392">
        <v>0.87020000000000008</v>
      </c>
      <c r="D103" s="392">
        <v>4.7836000000000007</v>
      </c>
      <c r="E103" s="392">
        <f>(SUM(C103:D103))/1000</f>
        <v>5.6538000000000005E-3</v>
      </c>
      <c r="F103" s="392">
        <v>42.962699999999998</v>
      </c>
      <c r="G103" s="392">
        <v>0.52190000000000003</v>
      </c>
      <c r="H103" s="392">
        <v>-4.0842000000000001</v>
      </c>
      <c r="I103" s="392">
        <v>24.212499999999999</v>
      </c>
      <c r="J103" s="392">
        <v>0</v>
      </c>
      <c r="K103" s="392">
        <v>1.7213000000000001</v>
      </c>
      <c r="L103" s="392">
        <v>54.922599999999996</v>
      </c>
      <c r="M103" s="428">
        <f>SUM(F103:L103,E103)</f>
        <v>120.2624538</v>
      </c>
      <c r="N103" s="374"/>
    </row>
    <row r="104" spans="2:14" ht="15.75" hidden="1">
      <c r="B104" s="431"/>
      <c r="C104" s="427"/>
      <c r="D104" s="427"/>
      <c r="E104" s="428"/>
      <c r="F104" s="427"/>
      <c r="G104" s="427"/>
      <c r="H104" s="427"/>
      <c r="I104" s="427"/>
      <c r="J104" s="427"/>
      <c r="K104" s="406"/>
      <c r="L104" s="426"/>
      <c r="M104" s="428"/>
      <c r="N104" s="374"/>
    </row>
    <row r="105" spans="2:14" ht="15.75" hidden="1">
      <c r="B105" s="431" t="s">
        <v>14</v>
      </c>
      <c r="C105" s="392">
        <v>0.84670000000000001</v>
      </c>
      <c r="D105" s="392">
        <v>6.6242000000000001</v>
      </c>
      <c r="E105" s="392">
        <f>(SUM(C105:D105))/1000</f>
        <v>7.4708999999999999E-3</v>
      </c>
      <c r="F105" s="392">
        <v>43.758400000000002</v>
      </c>
      <c r="G105" s="392">
        <v>0.52190000000000003</v>
      </c>
      <c r="H105" s="392">
        <v>-4.2927</v>
      </c>
      <c r="I105" s="392">
        <v>23.860599999999998</v>
      </c>
      <c r="J105" s="392">
        <v>0</v>
      </c>
      <c r="K105" s="392">
        <v>1.7213000000000001</v>
      </c>
      <c r="L105" s="392">
        <v>70.605699999999999</v>
      </c>
      <c r="M105" s="428">
        <f>SUM(F105:L105,E105)</f>
        <v>136.18267090000001</v>
      </c>
      <c r="N105" s="374"/>
    </row>
    <row r="106" spans="2:14" ht="15.75" hidden="1">
      <c r="B106" s="431"/>
      <c r="C106" s="427"/>
      <c r="D106" s="427"/>
      <c r="E106" s="428"/>
      <c r="F106" s="427"/>
      <c r="G106" s="427"/>
      <c r="H106" s="427"/>
      <c r="I106" s="427"/>
      <c r="J106" s="427"/>
      <c r="K106" s="406"/>
      <c r="L106" s="426"/>
      <c r="M106" s="428"/>
      <c r="N106" s="374"/>
    </row>
    <row r="107" spans="2:14" ht="15.75" hidden="1">
      <c r="B107" s="431" t="s">
        <v>15</v>
      </c>
      <c r="C107" s="392">
        <v>0.85060000000000002</v>
      </c>
      <c r="D107" s="392">
        <v>5.7443999999999997</v>
      </c>
      <c r="E107" s="392">
        <f>(SUM(C107:D107))/1000</f>
        <v>6.5950000000000002E-3</v>
      </c>
      <c r="F107" s="392">
        <v>62.255300000000005</v>
      </c>
      <c r="G107" s="392">
        <v>0.52190000000000003</v>
      </c>
      <c r="H107" s="392">
        <v>-16.100300000000001</v>
      </c>
      <c r="I107" s="392">
        <v>43.416400000000003</v>
      </c>
      <c r="J107" s="392">
        <v>0</v>
      </c>
      <c r="K107" s="392">
        <v>1.7213000000000001</v>
      </c>
      <c r="L107" s="392">
        <v>63.908999999999999</v>
      </c>
      <c r="M107" s="428">
        <f>SUM(F107:L107,E107)</f>
        <v>155.73019500000001</v>
      </c>
      <c r="N107" s="374"/>
    </row>
    <row r="108" spans="2:14" ht="15.75" hidden="1">
      <c r="B108" s="431"/>
      <c r="C108" s="427"/>
      <c r="D108" s="427"/>
      <c r="E108" s="428"/>
      <c r="F108" s="427"/>
      <c r="G108" s="427"/>
      <c r="H108" s="427"/>
      <c r="I108" s="427"/>
      <c r="J108" s="427"/>
      <c r="K108" s="406"/>
      <c r="L108" s="426"/>
      <c r="M108" s="428"/>
      <c r="N108" s="374"/>
    </row>
    <row r="109" spans="2:14" ht="15.75" hidden="1">
      <c r="B109" s="431" t="s">
        <v>16</v>
      </c>
      <c r="C109" s="392">
        <v>1.2519</v>
      </c>
      <c r="D109" s="392">
        <v>4.5614999999999997</v>
      </c>
      <c r="E109" s="392">
        <v>5.8133999999999997</v>
      </c>
      <c r="F109" s="392">
        <v>61.868699999999997</v>
      </c>
      <c r="G109" s="392">
        <v>0.52190000000000003</v>
      </c>
      <c r="H109" s="392">
        <v>-9.1629000000000005</v>
      </c>
      <c r="I109" s="392">
        <v>63.874199999999995</v>
      </c>
      <c r="J109" s="392">
        <v>0</v>
      </c>
      <c r="K109" s="392">
        <v>1.7463</v>
      </c>
      <c r="L109" s="392">
        <v>58.191600000000001</v>
      </c>
      <c r="M109" s="428">
        <f>SUM(F109:L109,E109)</f>
        <v>182.85320000000002</v>
      </c>
      <c r="N109" s="374"/>
    </row>
    <row r="110" spans="2:14" ht="15.75" hidden="1">
      <c r="B110" s="431"/>
      <c r="C110" s="427"/>
      <c r="D110" s="427"/>
      <c r="E110" s="428"/>
      <c r="F110" s="427"/>
      <c r="G110" s="427"/>
      <c r="H110" s="427"/>
      <c r="I110" s="427"/>
      <c r="J110" s="427"/>
      <c r="K110" s="406"/>
      <c r="L110" s="426"/>
      <c r="M110" s="428"/>
      <c r="N110" s="374"/>
    </row>
    <row r="111" spans="2:14" ht="15.75" hidden="1">
      <c r="B111" s="462">
        <v>2003</v>
      </c>
      <c r="C111" s="427"/>
      <c r="D111" s="427"/>
      <c r="E111" s="428"/>
      <c r="F111" s="427"/>
      <c r="G111" s="427"/>
      <c r="H111" s="427"/>
      <c r="I111" s="427"/>
      <c r="J111" s="427"/>
      <c r="K111" s="406"/>
      <c r="L111" s="426"/>
      <c r="M111" s="428"/>
      <c r="N111" s="374"/>
    </row>
    <row r="112" spans="2:14" ht="15.75" hidden="1">
      <c r="B112" s="431"/>
      <c r="C112" s="427"/>
      <c r="D112" s="427"/>
      <c r="E112" s="428"/>
      <c r="F112" s="427"/>
      <c r="G112" s="427"/>
      <c r="H112" s="427"/>
      <c r="I112" s="427"/>
      <c r="J112" s="427"/>
      <c r="K112" s="406"/>
      <c r="L112" s="426"/>
      <c r="M112" s="428"/>
      <c r="N112" s="374"/>
    </row>
    <row r="113" spans="2:14" ht="15.75" hidden="1">
      <c r="B113" s="431" t="s">
        <v>8</v>
      </c>
      <c r="C113" s="392">
        <v>1.2519</v>
      </c>
      <c r="D113" s="392">
        <v>4.5653000000000006</v>
      </c>
      <c r="E113" s="392">
        <f>(SUM(C113:D113))/1000</f>
        <v>5.8172000000000007E-3</v>
      </c>
      <c r="F113" s="392">
        <v>70.859700000000004</v>
      </c>
      <c r="G113" s="392">
        <v>0.52190000000000003</v>
      </c>
      <c r="H113" s="392">
        <v>25.6752</v>
      </c>
      <c r="I113" s="392">
        <v>33.317800000000005</v>
      </c>
      <c r="J113" s="392">
        <v>0</v>
      </c>
      <c r="K113" s="392">
        <v>1.7462000000000001E-6</v>
      </c>
      <c r="L113" s="392">
        <v>60.376800000000003</v>
      </c>
      <c r="M113" s="428">
        <f>SUM(F113:L113,E113)</f>
        <v>190.75721894620003</v>
      </c>
      <c r="N113" s="374"/>
    </row>
    <row r="114" spans="2:14" ht="15.75" hidden="1">
      <c r="B114" s="431"/>
      <c r="C114" s="427"/>
      <c r="D114" s="427"/>
      <c r="E114" s="428"/>
      <c r="F114" s="427"/>
      <c r="G114" s="427"/>
      <c r="H114" s="427"/>
      <c r="I114" s="427"/>
      <c r="J114" s="427"/>
      <c r="K114" s="406"/>
      <c r="L114" s="426"/>
      <c r="M114" s="428"/>
      <c r="N114" s="374"/>
    </row>
    <row r="115" spans="2:14" ht="15.75" hidden="1">
      <c r="B115" s="431" t="s">
        <v>9</v>
      </c>
      <c r="C115" s="392">
        <v>1.2519</v>
      </c>
      <c r="D115" s="392">
        <v>2.8714</v>
      </c>
      <c r="E115" s="392">
        <f>(SUM(C115:D115))/1000</f>
        <v>4.1233000000000007E-3</v>
      </c>
      <c r="F115" s="392">
        <v>75.156800000000004</v>
      </c>
      <c r="G115" s="392">
        <v>0</v>
      </c>
      <c r="H115" s="392">
        <v>28.849</v>
      </c>
      <c r="I115" s="392">
        <v>48.101699999999994</v>
      </c>
      <c r="J115" s="392">
        <v>0</v>
      </c>
      <c r="K115" s="392">
        <v>1.7463</v>
      </c>
      <c r="L115" s="392">
        <v>64.920900000000003</v>
      </c>
      <c r="M115" s="428">
        <f>SUM(F115:L115,E115)</f>
        <v>218.7788233</v>
      </c>
      <c r="N115" s="374"/>
    </row>
    <row r="116" spans="2:14" ht="15.75" hidden="1">
      <c r="B116" s="431"/>
      <c r="C116" s="427"/>
      <c r="D116" s="427"/>
      <c r="E116" s="428"/>
      <c r="F116" s="427"/>
      <c r="G116" s="427"/>
      <c r="H116" s="427"/>
      <c r="I116" s="427"/>
      <c r="J116" s="427"/>
      <c r="K116" s="406"/>
      <c r="L116" s="426"/>
      <c r="M116" s="428"/>
      <c r="N116" s="374"/>
    </row>
    <row r="117" spans="2:14" ht="15.75" hidden="1">
      <c r="B117" s="431" t="s">
        <v>10</v>
      </c>
      <c r="C117" s="392">
        <v>1.1957</v>
      </c>
      <c r="D117" s="392">
        <v>9.7668999999999997</v>
      </c>
      <c r="E117" s="392">
        <f>(SUM(C117:D117))/1000</f>
        <v>1.0962599999999999E-2</v>
      </c>
      <c r="F117" s="392">
        <v>104.55500000000001</v>
      </c>
      <c r="G117" s="392">
        <v>0</v>
      </c>
      <c r="H117" s="392">
        <v>10.631500000000001</v>
      </c>
      <c r="I117" s="392">
        <v>46.081800000000001</v>
      </c>
      <c r="J117" s="392">
        <v>0</v>
      </c>
      <c r="K117" s="392">
        <v>1.7463</v>
      </c>
      <c r="L117" s="392">
        <v>102.41489999999999</v>
      </c>
      <c r="M117" s="428">
        <f>SUM(F117:L117,E117)</f>
        <v>265.44046259999999</v>
      </c>
      <c r="N117" s="374"/>
    </row>
    <row r="118" spans="2:14" ht="15.75" hidden="1">
      <c r="B118" s="431"/>
      <c r="C118" s="427"/>
      <c r="D118" s="427"/>
      <c r="E118" s="428"/>
      <c r="F118" s="427"/>
      <c r="G118" s="427"/>
      <c r="H118" s="427"/>
      <c r="I118" s="427"/>
      <c r="J118" s="427"/>
      <c r="K118" s="406"/>
      <c r="L118" s="426"/>
      <c r="M118" s="428"/>
      <c r="N118" s="374"/>
    </row>
    <row r="119" spans="2:14" ht="15.75" hidden="1">
      <c r="B119" s="431" t="s">
        <v>11</v>
      </c>
      <c r="C119" s="392">
        <v>1.2412999999999998</v>
      </c>
      <c r="D119" s="392">
        <v>61.303199999999997</v>
      </c>
      <c r="E119" s="392">
        <v>62.544499999999999</v>
      </c>
      <c r="F119" s="392">
        <v>98.351900000000001</v>
      </c>
      <c r="G119" s="392">
        <v>0</v>
      </c>
      <c r="H119" s="392">
        <v>26.205599999999997</v>
      </c>
      <c r="I119" s="392">
        <v>40.543900000000001</v>
      </c>
      <c r="J119" s="392">
        <v>0</v>
      </c>
      <c r="K119" s="392">
        <v>1.7463</v>
      </c>
      <c r="L119" s="392">
        <v>208.98060000000001</v>
      </c>
      <c r="M119" s="428">
        <f>SUM(F119:L119,E119)</f>
        <v>438.37279999999998</v>
      </c>
      <c r="N119" s="374"/>
    </row>
    <row r="120" spans="2:14" ht="15.75" hidden="1">
      <c r="B120" s="431"/>
      <c r="C120" s="427"/>
      <c r="D120" s="427"/>
      <c r="E120" s="428"/>
      <c r="F120" s="427"/>
      <c r="G120" s="427"/>
      <c r="H120" s="427"/>
      <c r="I120" s="427"/>
      <c r="J120" s="427"/>
      <c r="K120" s="406"/>
      <c r="L120" s="426"/>
      <c r="M120" s="428"/>
      <c r="N120" s="374"/>
    </row>
    <row r="121" spans="2:14" ht="15.75" hidden="1">
      <c r="B121" s="431" t="s">
        <v>337</v>
      </c>
      <c r="C121" s="392">
        <v>-0.99509999999999998</v>
      </c>
      <c r="D121" s="392">
        <v>57.112400000000001</v>
      </c>
      <c r="E121" s="392">
        <v>58.107500000000002</v>
      </c>
      <c r="F121" s="392">
        <v>185.584</v>
      </c>
      <c r="G121" s="392">
        <v>0</v>
      </c>
      <c r="H121" s="392">
        <v>13.263999999999999</v>
      </c>
      <c r="I121" s="392">
        <v>37.423999999999999</v>
      </c>
      <c r="J121" s="392">
        <v>0</v>
      </c>
      <c r="K121" s="392">
        <v>1.7463</v>
      </c>
      <c r="L121" s="392">
        <v>219.02770000000001</v>
      </c>
      <c r="M121" s="428">
        <f>SUM(F121:L121,E121)</f>
        <v>515.15350000000001</v>
      </c>
      <c r="N121" s="374"/>
    </row>
    <row r="122" spans="2:14" ht="15.75" hidden="1">
      <c r="B122" s="431"/>
      <c r="C122" s="427"/>
      <c r="D122" s="427"/>
      <c r="E122" s="428"/>
      <c r="F122" s="427"/>
      <c r="G122" s="427"/>
      <c r="H122" s="427"/>
      <c r="I122" s="427"/>
      <c r="J122" s="427"/>
      <c r="K122" s="406"/>
      <c r="L122" s="426"/>
      <c r="M122" s="428"/>
      <c r="N122" s="374"/>
    </row>
    <row r="123" spans="2:14" ht="15.75" hidden="1">
      <c r="B123" s="431" t="s">
        <v>346</v>
      </c>
      <c r="C123" s="392">
        <v>17.468599999999999</v>
      </c>
      <c r="D123" s="392">
        <v>58.776900000000005</v>
      </c>
      <c r="E123" s="392">
        <v>76.445499999999996</v>
      </c>
      <c r="F123" s="392">
        <v>200.4606</v>
      </c>
      <c r="G123" s="392">
        <v>0</v>
      </c>
      <c r="H123" s="392">
        <v>9.6159999999999997</v>
      </c>
      <c r="I123" s="392">
        <v>43.122</v>
      </c>
      <c r="J123" s="392">
        <v>0</v>
      </c>
      <c r="K123" s="392">
        <v>5.7462999999999997</v>
      </c>
      <c r="L123" s="392">
        <v>233.7825</v>
      </c>
      <c r="M123" s="428">
        <f>SUM(F123:L123,E123)</f>
        <v>569.17290000000003</v>
      </c>
      <c r="N123" s="374"/>
    </row>
    <row r="124" spans="2:14" ht="15.75" hidden="1">
      <c r="B124" s="431"/>
      <c r="C124" s="427"/>
      <c r="D124" s="427"/>
      <c r="E124" s="428"/>
      <c r="F124" s="427"/>
      <c r="G124" s="427"/>
      <c r="H124" s="427"/>
      <c r="I124" s="427"/>
      <c r="J124" s="427"/>
      <c r="K124" s="406"/>
      <c r="L124" s="426"/>
      <c r="M124" s="428"/>
      <c r="N124" s="374"/>
    </row>
    <row r="125" spans="2:14" ht="15.75" hidden="1">
      <c r="B125" s="462">
        <v>2003</v>
      </c>
      <c r="C125" s="427"/>
      <c r="D125" s="427"/>
      <c r="E125" s="428"/>
      <c r="F125" s="427"/>
      <c r="G125" s="427"/>
      <c r="H125" s="427"/>
      <c r="I125" s="427"/>
      <c r="J125" s="427"/>
      <c r="K125" s="406"/>
      <c r="L125" s="426"/>
      <c r="M125" s="428"/>
      <c r="N125" s="374"/>
    </row>
    <row r="126" spans="2:14" ht="15.75" hidden="1">
      <c r="B126" s="431"/>
      <c r="C126" s="427"/>
      <c r="D126" s="427"/>
      <c r="E126" s="428"/>
      <c r="F126" s="427"/>
      <c r="G126" s="427"/>
      <c r="H126" s="427"/>
      <c r="I126" s="427"/>
      <c r="J126" s="427"/>
      <c r="K126" s="406"/>
      <c r="L126" s="426"/>
      <c r="M126" s="428"/>
      <c r="N126" s="374"/>
    </row>
    <row r="127" spans="2:14" ht="15.75" hidden="1">
      <c r="B127" s="431" t="s">
        <v>347</v>
      </c>
      <c r="C127" s="392">
        <v>15.5199</v>
      </c>
      <c r="D127" s="392">
        <v>52.438900000000004</v>
      </c>
      <c r="E127" s="392">
        <v>67.958799999999997</v>
      </c>
      <c r="F127" s="392">
        <v>211.16929999999999</v>
      </c>
      <c r="G127" s="392">
        <v>0</v>
      </c>
      <c r="H127" s="392">
        <v>-12.468</v>
      </c>
      <c r="I127" s="392">
        <v>48.1145</v>
      </c>
      <c r="J127" s="392">
        <v>0</v>
      </c>
      <c r="K127" s="392">
        <v>5.7462999999999997</v>
      </c>
      <c r="L127" s="392">
        <v>260.50709999999998</v>
      </c>
      <c r="M127" s="428">
        <f>SUM(F127:L127,E127)</f>
        <v>581.02799999999991</v>
      </c>
      <c r="N127" s="374"/>
    </row>
    <row r="128" spans="2:14" ht="15.75" hidden="1">
      <c r="B128" s="431"/>
      <c r="C128" s="427"/>
      <c r="D128" s="427"/>
      <c r="E128" s="428"/>
      <c r="F128" s="427"/>
      <c r="G128" s="427"/>
      <c r="H128" s="427"/>
      <c r="I128" s="427"/>
      <c r="J128" s="427"/>
      <c r="K128" s="406"/>
      <c r="L128" s="426"/>
      <c r="M128" s="428"/>
      <c r="N128" s="374"/>
    </row>
    <row r="129" spans="2:14" ht="15.75" hidden="1">
      <c r="B129" s="431" t="s">
        <v>12</v>
      </c>
      <c r="C129" s="392">
        <v>14.417399999999999</v>
      </c>
      <c r="D129" s="392">
        <v>60.134800000000006</v>
      </c>
      <c r="E129" s="392">
        <v>74.552199999999999</v>
      </c>
      <c r="F129" s="392">
        <v>211.13670000000002</v>
      </c>
      <c r="G129" s="392">
        <v>0</v>
      </c>
      <c r="H129" s="392">
        <v>-17.663</v>
      </c>
      <c r="I129" s="392">
        <v>95.986999999999995</v>
      </c>
      <c r="J129" s="392">
        <v>0</v>
      </c>
      <c r="K129" s="392">
        <v>5.7462999999999997</v>
      </c>
      <c r="L129" s="392">
        <v>288.24650000000003</v>
      </c>
      <c r="M129" s="428">
        <f>SUM(F129:L129,E129)</f>
        <v>658.00570000000005</v>
      </c>
      <c r="N129" s="374"/>
    </row>
    <row r="130" spans="2:14" ht="15.75" hidden="1">
      <c r="B130" s="431"/>
      <c r="C130" s="427"/>
      <c r="D130" s="427"/>
      <c r="E130" s="428"/>
      <c r="F130" s="427"/>
      <c r="G130" s="427"/>
      <c r="H130" s="427"/>
      <c r="I130" s="427"/>
      <c r="J130" s="427"/>
      <c r="K130" s="406"/>
      <c r="L130" s="426"/>
      <c r="M130" s="428"/>
      <c r="N130" s="374"/>
    </row>
    <row r="131" spans="2:14" ht="15.75" hidden="1">
      <c r="B131" s="431" t="s">
        <v>13</v>
      </c>
      <c r="C131" s="392">
        <v>16.2743</v>
      </c>
      <c r="D131" s="392">
        <v>58.943199999999997</v>
      </c>
      <c r="E131" s="392">
        <v>75.217500000000001</v>
      </c>
      <c r="F131" s="392">
        <v>276.79559999999998</v>
      </c>
      <c r="G131" s="392">
        <v>0</v>
      </c>
      <c r="H131" s="392">
        <v>20.928699999999999</v>
      </c>
      <c r="I131" s="392">
        <v>139.01439999999999</v>
      </c>
      <c r="J131" s="392">
        <v>0</v>
      </c>
      <c r="K131" s="392">
        <v>5.7213000000000003</v>
      </c>
      <c r="L131" s="392">
        <v>292.04740000000004</v>
      </c>
      <c r="M131" s="428">
        <f>SUM(F131:L131,E131)</f>
        <v>809.72489999999993</v>
      </c>
      <c r="N131" s="374"/>
    </row>
    <row r="132" spans="2:14" ht="15.75" hidden="1">
      <c r="B132" s="431"/>
      <c r="C132" s="427"/>
      <c r="D132" s="427"/>
      <c r="E132" s="428"/>
      <c r="F132" s="427"/>
      <c r="G132" s="427"/>
      <c r="H132" s="427"/>
      <c r="I132" s="427"/>
      <c r="J132" s="427"/>
      <c r="K132" s="406"/>
      <c r="L132" s="426"/>
      <c r="M132" s="428"/>
      <c r="N132" s="374"/>
    </row>
    <row r="133" spans="2:14" ht="15.75" hidden="1">
      <c r="B133" s="431" t="s">
        <v>14</v>
      </c>
      <c r="C133" s="392">
        <v>15.499799999999999</v>
      </c>
      <c r="D133" s="392">
        <v>82.0124</v>
      </c>
      <c r="E133" s="392">
        <v>97.512199999999993</v>
      </c>
      <c r="F133" s="392">
        <v>285.40909999999997</v>
      </c>
      <c r="G133" s="392">
        <v>0</v>
      </c>
      <c r="H133" s="392">
        <v>52.798099999999998</v>
      </c>
      <c r="I133" s="392">
        <v>210.6765</v>
      </c>
      <c r="J133" s="392">
        <v>0</v>
      </c>
      <c r="K133" s="392">
        <v>5.7213000000000003</v>
      </c>
      <c r="L133" s="392">
        <v>306.60829999999999</v>
      </c>
      <c r="M133" s="428">
        <f>SUM(F133:L133,E133)</f>
        <v>958.72550000000001</v>
      </c>
      <c r="N133" s="374"/>
    </row>
    <row r="134" spans="2:14" ht="15.75" hidden="1">
      <c r="B134" s="431"/>
      <c r="C134" s="427"/>
      <c r="D134" s="427"/>
      <c r="E134" s="428"/>
      <c r="F134" s="427"/>
      <c r="G134" s="427"/>
      <c r="H134" s="427"/>
      <c r="I134" s="427"/>
      <c r="J134" s="427"/>
      <c r="K134" s="406"/>
      <c r="L134" s="426"/>
      <c r="M134" s="428"/>
      <c r="N134" s="374"/>
    </row>
    <row r="135" spans="2:14" ht="15.75" hidden="1">
      <c r="B135" s="431" t="s">
        <v>15</v>
      </c>
      <c r="C135" s="392">
        <v>19.216200000000001</v>
      </c>
      <c r="D135" s="392">
        <v>67.990600000000001</v>
      </c>
      <c r="E135" s="392">
        <v>87.206800000000001</v>
      </c>
      <c r="F135" s="392">
        <v>297.21590000000003</v>
      </c>
      <c r="G135" s="392">
        <v>0</v>
      </c>
      <c r="H135" s="392">
        <v>19.778599999999997</v>
      </c>
      <c r="I135" s="392">
        <v>284.63940000000002</v>
      </c>
      <c r="J135" s="392">
        <v>0</v>
      </c>
      <c r="K135" s="392">
        <v>5.7213000000000003</v>
      </c>
      <c r="L135" s="392">
        <v>477.2527</v>
      </c>
      <c r="M135" s="428">
        <f>SUM(F135:L135,E135)</f>
        <v>1171.8146999999999</v>
      </c>
      <c r="N135" s="374"/>
    </row>
    <row r="136" spans="2:14" ht="15.75" hidden="1">
      <c r="B136" s="431"/>
      <c r="C136" s="427"/>
      <c r="D136" s="427"/>
      <c r="E136" s="428"/>
      <c r="F136" s="427"/>
      <c r="G136" s="427"/>
      <c r="H136" s="427"/>
      <c r="I136" s="427"/>
      <c r="J136" s="427"/>
      <c r="K136" s="406"/>
      <c r="L136" s="426"/>
      <c r="M136" s="428"/>
      <c r="N136" s="374"/>
    </row>
    <row r="137" spans="2:14" ht="15.75" hidden="1">
      <c r="B137" s="431" t="s">
        <v>16</v>
      </c>
      <c r="C137" s="392">
        <v>19.2075</v>
      </c>
      <c r="D137" s="392">
        <v>70.282800000000009</v>
      </c>
      <c r="E137" s="392">
        <v>89.490300000000005</v>
      </c>
      <c r="F137" s="392">
        <v>289.70459999999997</v>
      </c>
      <c r="G137" s="392">
        <v>0</v>
      </c>
      <c r="H137" s="392">
        <v>2.2854000000000001</v>
      </c>
      <c r="I137" s="392">
        <v>425.33340000000004</v>
      </c>
      <c r="J137" s="392">
        <v>0</v>
      </c>
      <c r="K137" s="392">
        <v>5.7213000000000003</v>
      </c>
      <c r="L137" s="392">
        <v>379.19590000000005</v>
      </c>
      <c r="M137" s="428">
        <f>SUM(F137:L137,E137)</f>
        <v>1191.7309</v>
      </c>
      <c r="N137" s="374"/>
    </row>
    <row r="138" spans="2:14" ht="15.75" hidden="1">
      <c r="B138" s="431"/>
      <c r="C138" s="427"/>
      <c r="D138" s="427"/>
      <c r="E138" s="428"/>
      <c r="F138" s="427"/>
      <c r="G138" s="427"/>
      <c r="H138" s="427"/>
      <c r="I138" s="427"/>
      <c r="J138" s="427"/>
      <c r="K138" s="406"/>
      <c r="L138" s="426"/>
      <c r="M138" s="428"/>
      <c r="N138" s="374"/>
    </row>
    <row r="139" spans="2:14" ht="15.75" hidden="1">
      <c r="B139" s="462">
        <v>2004</v>
      </c>
      <c r="C139" s="427"/>
      <c r="D139" s="427"/>
      <c r="E139" s="428"/>
      <c r="F139" s="427"/>
      <c r="G139" s="427"/>
      <c r="H139" s="427"/>
      <c r="I139" s="427"/>
      <c r="J139" s="427"/>
      <c r="K139" s="406"/>
      <c r="L139" s="426"/>
      <c r="M139" s="428"/>
      <c r="N139" s="374"/>
    </row>
    <row r="140" spans="2:14" ht="15.75" hidden="1">
      <c r="B140" s="384"/>
      <c r="C140" s="392"/>
      <c r="D140" s="392"/>
      <c r="E140" s="348"/>
      <c r="F140" s="392"/>
      <c r="G140" s="392"/>
      <c r="H140" s="392"/>
      <c r="I140" s="392"/>
      <c r="J140" s="392"/>
      <c r="K140" s="392"/>
      <c r="L140" s="426"/>
      <c r="M140" s="428"/>
      <c r="N140" s="374"/>
    </row>
    <row r="141" spans="2:14" ht="15.75" hidden="1">
      <c r="B141" s="384" t="s">
        <v>8</v>
      </c>
      <c r="C141" s="392">
        <v>3.5289999999999999</v>
      </c>
      <c r="D141" s="392">
        <v>115.79939999999999</v>
      </c>
      <c r="E141" s="392">
        <v>119.32839999999999</v>
      </c>
      <c r="F141" s="392">
        <v>305.97909999999996</v>
      </c>
      <c r="G141" s="392">
        <v>0</v>
      </c>
      <c r="H141" s="392">
        <v>-122.68010000000001</v>
      </c>
      <c r="I141" s="392">
        <v>909.07719999999995</v>
      </c>
      <c r="J141" s="392">
        <v>0</v>
      </c>
      <c r="K141" s="392">
        <v>5.7213000000000003</v>
      </c>
      <c r="L141" s="392">
        <v>823.50869999999998</v>
      </c>
      <c r="M141" s="428">
        <f>SUM(F141:L141,E141)</f>
        <v>2040.9345999999996</v>
      </c>
      <c r="N141" s="374"/>
    </row>
    <row r="142" spans="2:14" ht="15.75" hidden="1">
      <c r="B142" s="384"/>
      <c r="C142" s="392"/>
      <c r="D142" s="392"/>
      <c r="E142" s="348"/>
      <c r="F142" s="392"/>
      <c r="G142" s="392"/>
      <c r="H142" s="392"/>
      <c r="I142" s="392"/>
      <c r="J142" s="392"/>
      <c r="K142" s="392"/>
      <c r="L142" s="426"/>
      <c r="M142" s="428"/>
      <c r="N142" s="374"/>
    </row>
    <row r="143" spans="2:14" ht="15.75" hidden="1">
      <c r="B143" s="384" t="s">
        <v>9</v>
      </c>
      <c r="C143" s="392">
        <v>3.5341</v>
      </c>
      <c r="D143" s="392">
        <v>399.6336</v>
      </c>
      <c r="E143" s="392">
        <v>403.16770000000002</v>
      </c>
      <c r="F143" s="392">
        <v>301.38040000000001</v>
      </c>
      <c r="G143" s="392">
        <v>0</v>
      </c>
      <c r="H143" s="392">
        <v>-409.0917</v>
      </c>
      <c r="I143" s="392">
        <v>1420.741</v>
      </c>
      <c r="J143" s="392">
        <v>0</v>
      </c>
      <c r="K143" s="392">
        <v>5.7213000000000003</v>
      </c>
      <c r="L143" s="392">
        <v>1125.0611000000001</v>
      </c>
      <c r="M143" s="428">
        <f>SUM(F143:L143,E143)</f>
        <v>2846.9798000000001</v>
      </c>
      <c r="N143" s="374"/>
    </row>
    <row r="144" spans="2:14" ht="15.75" hidden="1">
      <c r="B144" s="384"/>
      <c r="C144" s="392"/>
      <c r="D144" s="392"/>
      <c r="E144" s="348"/>
      <c r="F144" s="392"/>
      <c r="G144" s="392"/>
      <c r="H144" s="392"/>
      <c r="I144" s="392"/>
      <c r="J144" s="392"/>
      <c r="K144" s="392"/>
      <c r="L144" s="426"/>
      <c r="M144" s="428"/>
      <c r="N144" s="374"/>
    </row>
    <row r="145" spans="2:14" ht="15.75" hidden="1">
      <c r="B145" s="384" t="s">
        <v>10</v>
      </c>
      <c r="C145" s="392">
        <v>4.5983000000000001</v>
      </c>
      <c r="D145" s="392">
        <v>724.63699999999994</v>
      </c>
      <c r="E145" s="392">
        <v>729.23530000000005</v>
      </c>
      <c r="F145" s="392">
        <v>295.73759999999999</v>
      </c>
      <c r="G145" s="392">
        <v>0</v>
      </c>
      <c r="H145" s="392">
        <v>-355.24549999999999</v>
      </c>
      <c r="I145" s="392">
        <v>1992.9268999999999</v>
      </c>
      <c r="J145" s="392">
        <v>0</v>
      </c>
      <c r="K145" s="392">
        <v>5.7213000000000003</v>
      </c>
      <c r="L145" s="392">
        <v>1306.2336</v>
      </c>
      <c r="M145" s="428">
        <f>SUM(F145:L145,E145)</f>
        <v>3974.6091999999999</v>
      </c>
      <c r="N145" s="374"/>
    </row>
    <row r="146" spans="2:14" ht="15.75" hidden="1">
      <c r="B146" s="384"/>
      <c r="C146" s="392"/>
      <c r="D146" s="392"/>
      <c r="E146" s="348"/>
      <c r="F146" s="392"/>
      <c r="G146" s="392"/>
      <c r="H146" s="392"/>
      <c r="I146" s="392"/>
      <c r="J146" s="392"/>
      <c r="K146" s="392"/>
      <c r="L146" s="426"/>
      <c r="M146" s="428"/>
      <c r="N146" s="374"/>
    </row>
    <row r="147" spans="2:14" ht="15.75" hidden="1">
      <c r="B147" s="384" t="s">
        <v>11</v>
      </c>
      <c r="C147" s="392">
        <v>38.927599999999998</v>
      </c>
      <c r="D147" s="392">
        <v>875.64119999999991</v>
      </c>
      <c r="E147" s="392">
        <v>914.56880000000001</v>
      </c>
      <c r="F147" s="392">
        <v>265.81140000000005</v>
      </c>
      <c r="G147" s="392">
        <v>0</v>
      </c>
      <c r="H147" s="392">
        <v>62.831900000000005</v>
      </c>
      <c r="I147" s="392">
        <v>2525.3344999999999</v>
      </c>
      <c r="J147" s="392">
        <v>0</v>
      </c>
      <c r="K147" s="392">
        <v>5.7213000000000003</v>
      </c>
      <c r="L147" s="392">
        <v>1487.2750000000001</v>
      </c>
      <c r="M147" s="428">
        <f>SUM(F147:L147,E147)</f>
        <v>5261.5429000000004</v>
      </c>
      <c r="N147" s="374"/>
    </row>
    <row r="148" spans="2:14" ht="15.75" hidden="1">
      <c r="B148" s="384"/>
      <c r="C148" s="392"/>
      <c r="D148" s="392"/>
      <c r="E148" s="348"/>
      <c r="F148" s="392"/>
      <c r="G148" s="392"/>
      <c r="H148" s="392"/>
      <c r="I148" s="392"/>
      <c r="J148" s="392"/>
      <c r="K148" s="392"/>
      <c r="L148" s="426"/>
      <c r="M148" s="428"/>
      <c r="N148" s="374"/>
    </row>
    <row r="149" spans="2:14" ht="15.75" hidden="1">
      <c r="B149" s="384" t="s">
        <v>337</v>
      </c>
      <c r="C149" s="392">
        <v>38.927599999999998</v>
      </c>
      <c r="D149" s="392">
        <v>803.38519999999994</v>
      </c>
      <c r="E149" s="392">
        <v>842.31280000000004</v>
      </c>
      <c r="F149" s="392">
        <v>187.86840000000001</v>
      </c>
      <c r="G149" s="392">
        <v>0</v>
      </c>
      <c r="H149" s="392">
        <v>-169.37090000000001</v>
      </c>
      <c r="I149" s="392">
        <v>2823.6382000000003</v>
      </c>
      <c r="J149" s="392">
        <v>0</v>
      </c>
      <c r="K149" s="392">
        <v>22.106300000000001</v>
      </c>
      <c r="L149" s="392">
        <v>1985.1321</v>
      </c>
      <c r="M149" s="428">
        <f>SUM(F149:L149,E149)</f>
        <v>5691.6868999999997</v>
      </c>
      <c r="N149" s="374"/>
    </row>
    <row r="150" spans="2:14" ht="15.75" hidden="1">
      <c r="B150" s="384"/>
      <c r="C150" s="392"/>
      <c r="D150" s="392"/>
      <c r="E150" s="348"/>
      <c r="F150" s="392"/>
      <c r="G150" s="392"/>
      <c r="H150" s="392"/>
      <c r="I150" s="392"/>
      <c r="J150" s="392"/>
      <c r="K150" s="392"/>
      <c r="L150" s="426"/>
      <c r="M150" s="428"/>
      <c r="N150" s="374"/>
    </row>
    <row r="151" spans="2:14" ht="15.75" hidden="1">
      <c r="B151" s="384" t="s">
        <v>346</v>
      </c>
      <c r="C151" s="392">
        <v>165.60290000000001</v>
      </c>
      <c r="D151" s="392">
        <v>792.96940000000006</v>
      </c>
      <c r="E151" s="392">
        <v>958.57230000000004</v>
      </c>
      <c r="F151" s="392">
        <v>623.00509999999997</v>
      </c>
      <c r="G151" s="392">
        <v>0</v>
      </c>
      <c r="H151" s="392">
        <v>-300.32279999999997</v>
      </c>
      <c r="I151" s="392">
        <v>4027.0619999999999</v>
      </c>
      <c r="J151" s="392">
        <v>0</v>
      </c>
      <c r="K151" s="392">
        <v>22.106300000000001</v>
      </c>
      <c r="L151" s="392">
        <v>2836.0364</v>
      </c>
      <c r="M151" s="428">
        <f>SUM(F151:L151,E151)</f>
        <v>8166.4593000000004</v>
      </c>
      <c r="N151" s="374"/>
    </row>
    <row r="152" spans="2:14" ht="15.75" hidden="1">
      <c r="B152" s="384"/>
      <c r="C152" s="392"/>
      <c r="D152" s="392"/>
      <c r="E152" s="348"/>
      <c r="F152" s="392"/>
      <c r="G152" s="392"/>
      <c r="H152" s="392"/>
      <c r="I152" s="392"/>
      <c r="J152" s="392"/>
      <c r="K152" s="392"/>
      <c r="L152" s="426"/>
      <c r="M152" s="428"/>
      <c r="N152" s="374"/>
    </row>
    <row r="153" spans="2:14" ht="15.75" hidden="1">
      <c r="B153" s="384" t="s">
        <v>347</v>
      </c>
      <c r="C153" s="392">
        <v>56.924500000000002</v>
      </c>
      <c r="D153" s="392">
        <v>1258.4593</v>
      </c>
      <c r="E153" s="392">
        <v>1315.3838000000001</v>
      </c>
      <c r="F153" s="392">
        <v>120.8618</v>
      </c>
      <c r="G153" s="392">
        <v>0</v>
      </c>
      <c r="H153" s="392">
        <v>-568.32359999999994</v>
      </c>
      <c r="I153" s="392">
        <v>1928.3803</v>
      </c>
      <c r="J153" s="392">
        <v>0</v>
      </c>
      <c r="K153" s="392">
        <v>24.206299999999999</v>
      </c>
      <c r="L153" s="392">
        <v>3005.6197999999999</v>
      </c>
      <c r="M153" s="428">
        <f>SUM(F153:L153,E153)</f>
        <v>5826.1283999999996</v>
      </c>
      <c r="N153" s="374"/>
    </row>
    <row r="154" spans="2:14" ht="15.75" hidden="1">
      <c r="B154" s="384"/>
      <c r="C154" s="392"/>
      <c r="D154" s="392"/>
      <c r="E154" s="348"/>
      <c r="F154" s="392"/>
      <c r="G154" s="392"/>
      <c r="H154" s="392"/>
      <c r="I154" s="392"/>
      <c r="J154" s="392"/>
      <c r="K154" s="392"/>
      <c r="L154" s="426"/>
      <c r="M154" s="428"/>
      <c r="N154" s="374"/>
    </row>
    <row r="155" spans="2:14" ht="15.75" hidden="1">
      <c r="B155" s="384" t="s">
        <v>12</v>
      </c>
      <c r="C155" s="392">
        <v>1.0234000000000001</v>
      </c>
      <c r="D155" s="392">
        <v>1537.7645</v>
      </c>
      <c r="E155" s="392">
        <v>1538.7878999999998</v>
      </c>
      <c r="F155" s="392">
        <v>126.0217</v>
      </c>
      <c r="G155" s="392">
        <v>0</v>
      </c>
      <c r="H155" s="392">
        <v>-273.36529999999999</v>
      </c>
      <c r="I155" s="392">
        <v>2098.2685000000001</v>
      </c>
      <c r="J155" s="392">
        <v>0</v>
      </c>
      <c r="K155" s="392">
        <v>24.206299999999999</v>
      </c>
      <c r="L155" s="392">
        <v>3496.1248999999998</v>
      </c>
      <c r="M155" s="428">
        <f>SUM(F155:L155,E155)</f>
        <v>7010.0439999999999</v>
      </c>
      <c r="N155" s="374"/>
    </row>
    <row r="156" spans="2:14" ht="15.75" hidden="1">
      <c r="B156" s="384"/>
      <c r="C156" s="392"/>
      <c r="D156" s="392"/>
      <c r="E156" s="348"/>
      <c r="F156" s="392"/>
      <c r="G156" s="392"/>
      <c r="H156" s="392"/>
      <c r="I156" s="392"/>
      <c r="J156" s="392"/>
      <c r="K156" s="392"/>
      <c r="L156" s="426"/>
      <c r="M156" s="428"/>
      <c r="N156" s="374"/>
    </row>
    <row r="157" spans="2:14" ht="15.75" hidden="1">
      <c r="B157" s="384" t="s">
        <v>13</v>
      </c>
      <c r="C157" s="392">
        <v>159.92099999999999</v>
      </c>
      <c r="D157" s="392">
        <v>1233.8704</v>
      </c>
      <c r="E157" s="392">
        <v>1393.7913999999998</v>
      </c>
      <c r="F157" s="392">
        <v>94.772800000000004</v>
      </c>
      <c r="G157" s="392">
        <v>0</v>
      </c>
      <c r="H157" s="392">
        <v>-312.20159999999998</v>
      </c>
      <c r="I157" s="392">
        <v>2720.0039999999999</v>
      </c>
      <c r="J157" s="392">
        <v>0</v>
      </c>
      <c r="K157" s="392">
        <v>22.223200000000002</v>
      </c>
      <c r="L157" s="392">
        <v>3680.5691000000002</v>
      </c>
      <c r="M157" s="428">
        <f>SUM(F157:L157,E157)</f>
        <v>7599.1589000000004</v>
      </c>
      <c r="N157" s="374"/>
    </row>
    <row r="158" spans="2:14" ht="15.75" hidden="1">
      <c r="B158" s="384"/>
      <c r="C158" s="392"/>
      <c r="D158" s="392"/>
      <c r="E158" s="348"/>
      <c r="F158" s="392"/>
      <c r="G158" s="392"/>
      <c r="H158" s="392"/>
      <c r="I158" s="392"/>
      <c r="J158" s="392"/>
      <c r="K158" s="392"/>
      <c r="L158" s="426"/>
      <c r="M158" s="428"/>
      <c r="N158" s="374"/>
    </row>
    <row r="159" spans="2:14" ht="15.75" hidden="1">
      <c r="B159" s="392" t="s">
        <v>14</v>
      </c>
      <c r="C159" s="392">
        <v>55.847900000000003</v>
      </c>
      <c r="D159" s="392">
        <v>1386.739</v>
      </c>
      <c r="E159" s="392">
        <v>1442.5869</v>
      </c>
      <c r="F159" s="392">
        <v>1055.7519</v>
      </c>
      <c r="G159" s="392">
        <v>0</v>
      </c>
      <c r="H159" s="392">
        <v>-289.75059999999996</v>
      </c>
      <c r="I159" s="392">
        <v>2423.7089000000001</v>
      </c>
      <c r="J159" s="392">
        <v>0</v>
      </c>
      <c r="K159" s="392">
        <v>22.223200000000002</v>
      </c>
      <c r="L159" s="392">
        <v>3109.0906</v>
      </c>
      <c r="M159" s="428">
        <f>SUM(F159:L159,E159)</f>
        <v>7763.6108999999997</v>
      </c>
      <c r="N159" s="374"/>
    </row>
    <row r="160" spans="2:14" ht="15.75" hidden="1">
      <c r="B160" s="384"/>
      <c r="C160" s="392"/>
      <c r="D160" s="392"/>
      <c r="E160" s="348"/>
      <c r="F160" s="392"/>
      <c r="G160" s="392"/>
      <c r="H160" s="392"/>
      <c r="I160" s="392"/>
      <c r="J160" s="392"/>
      <c r="K160" s="392"/>
      <c r="L160" s="426"/>
      <c r="M160" s="428"/>
      <c r="N160" s="374"/>
    </row>
    <row r="161" spans="2:14" ht="15.75" hidden="1">
      <c r="B161" s="384" t="s">
        <v>15</v>
      </c>
      <c r="C161" s="392">
        <v>73.61630000000001</v>
      </c>
      <c r="D161" s="392">
        <v>1485.1379999999999</v>
      </c>
      <c r="E161" s="392">
        <v>1558.7543000000001</v>
      </c>
      <c r="F161" s="392">
        <v>864.85709999999995</v>
      </c>
      <c r="G161" s="392">
        <v>0</v>
      </c>
      <c r="H161" s="392">
        <v>-265.58709999999996</v>
      </c>
      <c r="I161" s="392">
        <v>3262.6673999999998</v>
      </c>
      <c r="J161" s="392">
        <v>0</v>
      </c>
      <c r="K161" s="392">
        <v>22.223200000000002</v>
      </c>
      <c r="L161" s="392">
        <v>5131.1659</v>
      </c>
      <c r="M161" s="428">
        <f>SUM(F161:L161,E161)</f>
        <v>10574.0808</v>
      </c>
      <c r="N161" s="374"/>
    </row>
    <row r="162" spans="2:14" ht="15.75" hidden="1">
      <c r="B162" s="384"/>
      <c r="C162" s="392"/>
      <c r="D162" s="392"/>
      <c r="E162" s="348"/>
      <c r="F162" s="392"/>
      <c r="G162" s="392"/>
      <c r="H162" s="392"/>
      <c r="I162" s="392"/>
      <c r="J162" s="392"/>
      <c r="K162" s="392"/>
      <c r="L162" s="426"/>
      <c r="M162" s="428"/>
      <c r="N162" s="374"/>
    </row>
    <row r="163" spans="2:14" ht="15.75" hidden="1">
      <c r="B163" s="384" t="s">
        <v>16</v>
      </c>
      <c r="C163" s="392">
        <v>119.05889999999999</v>
      </c>
      <c r="D163" s="392">
        <v>1521.9465</v>
      </c>
      <c r="E163" s="392">
        <v>1641.0054</v>
      </c>
      <c r="F163" s="392">
        <v>900.84669999999994</v>
      </c>
      <c r="G163" s="392">
        <v>0</v>
      </c>
      <c r="H163" s="392">
        <v>-393.42609999999996</v>
      </c>
      <c r="I163" s="392">
        <v>3258.3923</v>
      </c>
      <c r="J163" s="392">
        <v>0</v>
      </c>
      <c r="K163" s="392">
        <v>27.026799999999998</v>
      </c>
      <c r="L163" s="392">
        <v>6219.3644000000004</v>
      </c>
      <c r="M163" s="428">
        <f>SUM(F163:L163,E163)</f>
        <v>11653.209500000001</v>
      </c>
      <c r="N163" s="374"/>
    </row>
    <row r="164" spans="2:14" ht="15.75" hidden="1">
      <c r="B164" s="384"/>
      <c r="C164" s="392"/>
      <c r="D164" s="392"/>
      <c r="E164" s="348"/>
      <c r="F164" s="392"/>
      <c r="G164" s="392"/>
      <c r="H164" s="392"/>
      <c r="I164" s="392"/>
      <c r="J164" s="392"/>
      <c r="K164" s="392"/>
      <c r="L164" s="426"/>
      <c r="M164" s="428"/>
      <c r="N164" s="374"/>
    </row>
    <row r="165" spans="2:14" ht="15.75" hidden="1">
      <c r="B165" s="408">
        <v>2005</v>
      </c>
      <c r="C165" s="392"/>
      <c r="D165" s="392"/>
      <c r="E165" s="348"/>
      <c r="F165" s="392"/>
      <c r="G165" s="392"/>
      <c r="H165" s="392"/>
      <c r="I165" s="392"/>
      <c r="J165" s="392"/>
      <c r="K165" s="392"/>
      <c r="L165" s="426"/>
      <c r="M165" s="428"/>
      <c r="N165" s="374"/>
    </row>
    <row r="166" spans="2:14" ht="15.75" hidden="1">
      <c r="B166" s="384"/>
      <c r="C166" s="392"/>
      <c r="D166" s="392"/>
      <c r="E166" s="348"/>
      <c r="F166" s="392"/>
      <c r="G166" s="392"/>
      <c r="H166" s="392"/>
      <c r="I166" s="392"/>
      <c r="J166" s="392"/>
      <c r="K166" s="392"/>
      <c r="L166" s="426"/>
      <c r="M166" s="428"/>
      <c r="N166" s="374"/>
    </row>
    <row r="167" spans="2:14" ht="15.75" hidden="1">
      <c r="B167" s="384" t="s">
        <v>8</v>
      </c>
      <c r="C167" s="392">
        <v>51.282499999999999</v>
      </c>
      <c r="D167" s="392">
        <v>1303.1723</v>
      </c>
      <c r="E167" s="392">
        <f>(SUM(C167:D167))/1000</f>
        <v>1.3544548000000001</v>
      </c>
      <c r="F167" s="392">
        <v>889.5806</v>
      </c>
      <c r="G167" s="392">
        <v>0</v>
      </c>
      <c r="H167" s="392">
        <v>418.49290000000002</v>
      </c>
      <c r="I167" s="392">
        <v>2743.4868999999999</v>
      </c>
      <c r="J167" s="392">
        <v>0</v>
      </c>
      <c r="K167" s="392">
        <v>72.682699999999997</v>
      </c>
      <c r="L167" s="392">
        <v>7306.0120999999999</v>
      </c>
      <c r="M167" s="428">
        <f>SUM(F167:L167,E167)</f>
        <v>11431.6096548</v>
      </c>
      <c r="N167" s="374"/>
    </row>
    <row r="168" spans="2:14" ht="15.75" hidden="1">
      <c r="B168" s="384"/>
      <c r="C168" s="392"/>
      <c r="D168" s="392"/>
      <c r="E168" s="348"/>
      <c r="F168" s="392"/>
      <c r="G168" s="392"/>
      <c r="H168" s="392"/>
      <c r="I168" s="392"/>
      <c r="J168" s="392"/>
      <c r="K168" s="392"/>
      <c r="L168" s="426"/>
      <c r="M168" s="428"/>
      <c r="N168" s="374"/>
    </row>
    <row r="169" spans="2:14" ht="15.75" hidden="1">
      <c r="B169" s="384" t="s">
        <v>9</v>
      </c>
      <c r="C169" s="392">
        <v>44.808999999999997</v>
      </c>
      <c r="D169" s="392">
        <v>1101.1411000000001</v>
      </c>
      <c r="E169" s="392">
        <f>(SUM(C169:D169))/1000</f>
        <v>1.1459501000000001</v>
      </c>
      <c r="F169" s="392">
        <v>855.93380000000002</v>
      </c>
      <c r="G169" s="392">
        <v>0</v>
      </c>
      <c r="H169" s="392">
        <v>-416.78209999999996</v>
      </c>
      <c r="I169" s="392">
        <v>3652.4957999999997</v>
      </c>
      <c r="J169" s="392">
        <v>0</v>
      </c>
      <c r="K169" s="392">
        <v>104.8954</v>
      </c>
      <c r="L169" s="392">
        <v>8738.0470000000005</v>
      </c>
      <c r="M169" s="428">
        <f>SUM(F169:L169,E169)</f>
        <v>12935.7358501</v>
      </c>
      <c r="N169" s="374"/>
    </row>
    <row r="170" spans="2:14" ht="15.75" hidden="1">
      <c r="B170" s="384"/>
      <c r="C170" s="392"/>
      <c r="D170" s="392"/>
      <c r="E170" s="348"/>
      <c r="F170" s="392"/>
      <c r="G170" s="392"/>
      <c r="H170" s="392"/>
      <c r="I170" s="392"/>
      <c r="J170" s="392"/>
      <c r="K170" s="392"/>
      <c r="L170" s="426"/>
      <c r="M170" s="428"/>
      <c r="N170" s="374"/>
    </row>
    <row r="171" spans="2:14" ht="15.75" hidden="1">
      <c r="B171" s="384" t="s">
        <v>10</v>
      </c>
      <c r="C171" s="392">
        <v>28.603300000000001</v>
      </c>
      <c r="D171" s="392">
        <v>1078.2233000000001</v>
      </c>
      <c r="E171" s="392">
        <f>(SUM(C171:D171))/1000</f>
        <v>1.1068266</v>
      </c>
      <c r="F171" s="392">
        <v>850.74869999999999</v>
      </c>
      <c r="G171" s="392">
        <v>0</v>
      </c>
      <c r="H171" s="392">
        <v>1170.7228</v>
      </c>
      <c r="I171" s="392">
        <v>4646.7218000000003</v>
      </c>
      <c r="J171" s="392">
        <v>0</v>
      </c>
      <c r="K171" s="392">
        <v>104.8954</v>
      </c>
      <c r="L171" s="392">
        <v>8385.3242000000009</v>
      </c>
      <c r="M171" s="428">
        <f>SUM(F171:L171,E171)</f>
        <v>15159.519726600003</v>
      </c>
      <c r="N171" s="374"/>
    </row>
    <row r="172" spans="2:14" ht="15.75" hidden="1">
      <c r="B172" s="384"/>
      <c r="C172" s="392"/>
      <c r="D172" s="392"/>
      <c r="E172" s="348"/>
      <c r="F172" s="392"/>
      <c r="G172" s="392"/>
      <c r="H172" s="392"/>
      <c r="I172" s="392"/>
      <c r="J172" s="392"/>
      <c r="K172" s="392"/>
      <c r="L172" s="426"/>
      <c r="M172" s="428"/>
      <c r="N172" s="374"/>
    </row>
    <row r="173" spans="2:14" ht="15.75" hidden="1">
      <c r="B173" s="384" t="s">
        <v>11</v>
      </c>
      <c r="C173" s="392">
        <v>43.2303</v>
      </c>
      <c r="D173" s="392">
        <v>786.55469999999991</v>
      </c>
      <c r="E173" s="392">
        <f>(SUM(C173:D173))/1000</f>
        <v>0.82978499999999988</v>
      </c>
      <c r="F173" s="392">
        <v>828.20349999999996</v>
      </c>
      <c r="G173" s="392">
        <v>0</v>
      </c>
      <c r="H173" s="392">
        <v>-135.6454</v>
      </c>
      <c r="I173" s="392">
        <v>4022.2111</v>
      </c>
      <c r="J173" s="392">
        <v>0</v>
      </c>
      <c r="K173" s="392">
        <v>104.8954</v>
      </c>
      <c r="L173" s="392">
        <v>10071.237499999999</v>
      </c>
      <c r="M173" s="428">
        <f>SUM(F173:L173,E173)</f>
        <v>14891.731884999999</v>
      </c>
      <c r="N173" s="374"/>
    </row>
    <row r="174" spans="2:14" ht="15.75" hidden="1">
      <c r="B174" s="384"/>
      <c r="C174" s="392"/>
      <c r="D174" s="392"/>
      <c r="E174" s="348"/>
      <c r="F174" s="392"/>
      <c r="G174" s="392"/>
      <c r="H174" s="392"/>
      <c r="I174" s="392"/>
      <c r="J174" s="392"/>
      <c r="K174" s="392"/>
      <c r="L174" s="426"/>
      <c r="M174" s="428"/>
      <c r="N174" s="374"/>
    </row>
    <row r="175" spans="2:14" ht="15.75" hidden="1">
      <c r="B175" s="431" t="s">
        <v>337</v>
      </c>
      <c r="C175" s="392">
        <v>64.423400000000001</v>
      </c>
      <c r="D175" s="392">
        <v>1374.9367</v>
      </c>
      <c r="E175" s="392">
        <v>1439.3601000000001</v>
      </c>
      <c r="F175" s="392">
        <v>819.49739999999997</v>
      </c>
      <c r="G175" s="392">
        <v>0</v>
      </c>
      <c r="H175" s="392">
        <v>101.5763</v>
      </c>
      <c r="I175" s="392">
        <v>3179.6509000000001</v>
      </c>
      <c r="J175" s="392">
        <v>0</v>
      </c>
      <c r="K175" s="392">
        <v>104.8954</v>
      </c>
      <c r="L175" s="392">
        <v>12048.404699999999</v>
      </c>
      <c r="M175" s="348">
        <f>SUM(F175:L175,E175)</f>
        <v>17693.3848</v>
      </c>
      <c r="N175" s="374"/>
    </row>
    <row r="176" spans="2:14" ht="15.75" hidden="1">
      <c r="B176" s="431"/>
      <c r="C176" s="392"/>
      <c r="D176" s="392"/>
      <c r="E176" s="348"/>
      <c r="F176" s="392"/>
      <c r="G176" s="392"/>
      <c r="H176" s="392"/>
      <c r="I176" s="392"/>
      <c r="J176" s="392"/>
      <c r="K176" s="392"/>
      <c r="L176" s="392"/>
      <c r="M176" s="348"/>
      <c r="N176" s="374"/>
    </row>
    <row r="177" spans="2:14" ht="15.75" hidden="1">
      <c r="B177" s="431" t="s">
        <v>346</v>
      </c>
      <c r="C177" s="392">
        <v>0</v>
      </c>
      <c r="D177" s="392">
        <v>792.96940000000006</v>
      </c>
      <c r="E177" s="392">
        <v>792.96940000000006</v>
      </c>
      <c r="F177" s="392">
        <v>623.00509999999997</v>
      </c>
      <c r="G177" s="392">
        <v>0</v>
      </c>
      <c r="H177" s="392">
        <v>-300.32279999999997</v>
      </c>
      <c r="I177" s="392">
        <v>4027.0619999999999</v>
      </c>
      <c r="J177" s="392">
        <v>0</v>
      </c>
      <c r="K177" s="392">
        <v>22.106300000000001</v>
      </c>
      <c r="L177" s="392">
        <v>383.0095</v>
      </c>
      <c r="M177" s="348">
        <f>SUM(F177:L177,E177)</f>
        <v>5547.8295000000007</v>
      </c>
      <c r="N177" s="374"/>
    </row>
    <row r="178" spans="2:14" ht="15.75" hidden="1">
      <c r="B178" s="463"/>
      <c r="C178" s="389"/>
      <c r="D178" s="389"/>
      <c r="E178" s="429"/>
      <c r="F178" s="389"/>
      <c r="G178" s="389"/>
      <c r="H178" s="389"/>
      <c r="I178" s="389"/>
      <c r="J178" s="389"/>
      <c r="K178" s="389"/>
      <c r="L178" s="389"/>
      <c r="M178" s="429"/>
      <c r="N178" s="283"/>
    </row>
    <row r="179" spans="2:14" ht="15.75" hidden="1">
      <c r="B179" s="431" t="s">
        <v>347</v>
      </c>
      <c r="C179" s="392">
        <v>86.0244</v>
      </c>
      <c r="D179" s="392">
        <v>1253.9981</v>
      </c>
      <c r="E179" s="392">
        <v>1340.0225</v>
      </c>
      <c r="F179" s="392">
        <v>822.78290000000004</v>
      </c>
      <c r="G179" s="392">
        <v>0</v>
      </c>
      <c r="H179" s="392">
        <v>284.9119</v>
      </c>
      <c r="I179" s="392">
        <v>3176.9544000000001</v>
      </c>
      <c r="J179" s="392">
        <v>0</v>
      </c>
      <c r="K179" s="392">
        <v>223.0591</v>
      </c>
      <c r="L179" s="392">
        <v>2398.2563</v>
      </c>
      <c r="M179" s="348">
        <f>SUM(F179:L179,E179)</f>
        <v>8245.9871000000003</v>
      </c>
      <c r="N179" s="374"/>
    </row>
    <row r="180" spans="2:14" ht="15.75" hidden="1">
      <c r="B180" s="431"/>
      <c r="C180" s="392"/>
      <c r="D180" s="392"/>
      <c r="E180" s="348"/>
      <c r="F180" s="392"/>
      <c r="G180" s="392"/>
      <c r="H180" s="392"/>
      <c r="I180" s="392"/>
      <c r="J180" s="392"/>
      <c r="K180" s="392"/>
      <c r="L180" s="392"/>
      <c r="M180" s="348"/>
      <c r="N180" s="374"/>
    </row>
    <row r="181" spans="2:14" ht="15.75" hidden="1">
      <c r="B181" s="431" t="s">
        <v>12</v>
      </c>
      <c r="C181" s="392">
        <v>147.32029999999997</v>
      </c>
      <c r="D181" s="392">
        <v>4624.9798000000001</v>
      </c>
      <c r="E181" s="392">
        <v>4772.3000999999995</v>
      </c>
      <c r="F181" s="392">
        <v>787.49430000000007</v>
      </c>
      <c r="G181" s="392">
        <v>0</v>
      </c>
      <c r="H181" s="392">
        <v>703.62909999999999</v>
      </c>
      <c r="I181" s="392">
        <v>3868.3531000000003</v>
      </c>
      <c r="J181" s="392">
        <v>0</v>
      </c>
      <c r="K181" s="392">
        <v>226.1173</v>
      </c>
      <c r="L181" s="392">
        <v>2506.9657000000002</v>
      </c>
      <c r="M181" s="348">
        <f>SUM(F181:L181,E181)</f>
        <v>12864.8596</v>
      </c>
      <c r="N181" s="374"/>
    </row>
    <row r="182" spans="2:14" ht="15.75" hidden="1">
      <c r="B182" s="431"/>
      <c r="C182" s="392"/>
      <c r="D182" s="392"/>
      <c r="E182" s="348"/>
      <c r="F182" s="392"/>
      <c r="G182" s="392"/>
      <c r="H182" s="392"/>
      <c r="I182" s="392"/>
      <c r="J182" s="392"/>
      <c r="K182" s="392"/>
      <c r="L182" s="392"/>
      <c r="M182" s="348"/>
      <c r="N182" s="374"/>
    </row>
    <row r="183" spans="2:14" ht="15.75" hidden="1">
      <c r="B183" s="431" t="s">
        <v>13</v>
      </c>
      <c r="C183" s="392">
        <v>196.90100000000001</v>
      </c>
      <c r="D183" s="392">
        <v>1235.518</v>
      </c>
      <c r="E183" s="392">
        <v>1432.4190000000001</v>
      </c>
      <c r="F183" s="392">
        <v>800.39499999999998</v>
      </c>
      <c r="G183" s="392">
        <v>0</v>
      </c>
      <c r="H183" s="392">
        <v>202.0223</v>
      </c>
      <c r="I183" s="392">
        <v>4079.8516</v>
      </c>
      <c r="J183" s="392">
        <v>0</v>
      </c>
      <c r="K183" s="392">
        <v>451.1173</v>
      </c>
      <c r="L183" s="392">
        <v>3212.7615000000001</v>
      </c>
      <c r="M183" s="348">
        <f>SUM(F183:L183,E183)</f>
        <v>10178.566699999999</v>
      </c>
      <c r="N183" s="374"/>
    </row>
    <row r="184" spans="2:14" ht="15.75" hidden="1">
      <c r="B184" s="431"/>
      <c r="C184" s="392"/>
      <c r="D184" s="392"/>
      <c r="E184" s="348"/>
      <c r="F184" s="392"/>
      <c r="G184" s="392"/>
      <c r="H184" s="392"/>
      <c r="I184" s="392"/>
      <c r="J184" s="392"/>
      <c r="K184" s="392"/>
      <c r="L184" s="392"/>
      <c r="M184" s="348"/>
      <c r="N184" s="374"/>
    </row>
    <row r="185" spans="2:14" ht="15.75" hidden="1">
      <c r="B185" s="431" t="s">
        <v>14</v>
      </c>
      <c r="C185" s="392">
        <v>515.64639999999997</v>
      </c>
      <c r="D185" s="392">
        <v>1399.4809</v>
      </c>
      <c r="E185" s="392">
        <v>1915.1273000000001</v>
      </c>
      <c r="F185" s="392">
        <v>810.32719999999995</v>
      </c>
      <c r="G185" s="392">
        <v>0</v>
      </c>
      <c r="H185" s="392">
        <v>1291.9543000000001</v>
      </c>
      <c r="I185" s="392">
        <v>4875.1382999999996</v>
      </c>
      <c r="J185" s="392">
        <v>0</v>
      </c>
      <c r="K185" s="392">
        <v>449.09690000000001</v>
      </c>
      <c r="L185" s="392">
        <v>7747.9488000000001</v>
      </c>
      <c r="M185" s="348">
        <f>SUM(F185:L185,E185)</f>
        <v>17089.592799999999</v>
      </c>
      <c r="N185" s="374"/>
    </row>
    <row r="186" spans="2:14" ht="15.75" hidden="1">
      <c r="B186" s="431"/>
      <c r="C186" s="392"/>
      <c r="D186" s="392"/>
      <c r="E186" s="348"/>
      <c r="F186" s="392"/>
      <c r="G186" s="392"/>
      <c r="H186" s="392"/>
      <c r="I186" s="392"/>
      <c r="J186" s="392"/>
      <c r="K186" s="392"/>
      <c r="L186" s="392"/>
      <c r="M186" s="348"/>
      <c r="N186" s="374"/>
    </row>
    <row r="187" spans="2:14" ht="15.75" hidden="1">
      <c r="B187" s="431" t="s">
        <v>15</v>
      </c>
      <c r="C187" s="392">
        <v>92.290800000000004</v>
      </c>
      <c r="D187" s="392">
        <v>7787.0024999999996</v>
      </c>
      <c r="E187" s="392">
        <v>7879.2932999999994</v>
      </c>
      <c r="F187" s="392">
        <v>770.55740000000003</v>
      </c>
      <c r="G187" s="392">
        <v>0</v>
      </c>
      <c r="H187" s="392">
        <v>1281.9203</v>
      </c>
      <c r="I187" s="392">
        <v>5077.0977999999996</v>
      </c>
      <c r="J187" s="392">
        <v>0</v>
      </c>
      <c r="K187" s="392">
        <v>503.6585</v>
      </c>
      <c r="L187" s="392">
        <v>47369.864200000004</v>
      </c>
      <c r="M187" s="348">
        <f>SUM(F187:L187,E187)</f>
        <v>62882.391499999998</v>
      </c>
      <c r="N187" s="374"/>
    </row>
    <row r="188" spans="2:14" ht="15.75" hidden="1">
      <c r="B188" s="431"/>
      <c r="C188" s="392"/>
      <c r="D188" s="392"/>
      <c r="E188" s="348"/>
      <c r="F188" s="392"/>
      <c r="G188" s="392"/>
      <c r="H188" s="392"/>
      <c r="I188" s="392"/>
      <c r="J188" s="392"/>
      <c r="K188" s="392"/>
      <c r="L188" s="392"/>
      <c r="M188" s="348"/>
      <c r="N188" s="374"/>
    </row>
    <row r="189" spans="2:14" ht="15.75" hidden="1">
      <c r="B189" s="431" t="s">
        <v>16</v>
      </c>
      <c r="C189" s="392">
        <v>495.91879999999998</v>
      </c>
      <c r="D189" s="392">
        <v>8182.2714999999998</v>
      </c>
      <c r="E189" s="392">
        <v>8678.1903000000002</v>
      </c>
      <c r="F189" s="392">
        <v>828.75119999999993</v>
      </c>
      <c r="G189" s="392">
        <v>0</v>
      </c>
      <c r="H189" s="392">
        <v>-2439.3762000000002</v>
      </c>
      <c r="I189" s="392">
        <v>4657.7765999999992</v>
      </c>
      <c r="J189" s="392">
        <v>0</v>
      </c>
      <c r="K189" s="392">
        <v>3154.1194999999998</v>
      </c>
      <c r="L189" s="392">
        <v>58889.834799999997</v>
      </c>
      <c r="M189" s="348">
        <f>SUM(F189:L189,E189)</f>
        <v>73769.296199999997</v>
      </c>
      <c r="N189" s="374"/>
    </row>
    <row r="190" spans="2:14" ht="15.75" hidden="1">
      <c r="B190" s="431"/>
      <c r="C190" s="392"/>
      <c r="D190" s="392"/>
      <c r="E190" s="348"/>
      <c r="F190" s="392"/>
      <c r="G190" s="392"/>
      <c r="H190" s="392"/>
      <c r="I190" s="392"/>
      <c r="J190" s="392"/>
      <c r="K190" s="392"/>
      <c r="L190" s="392"/>
      <c r="M190" s="348"/>
      <c r="N190" s="374"/>
    </row>
    <row r="191" spans="2:14" ht="15.75" hidden="1">
      <c r="B191" s="464">
        <v>2006</v>
      </c>
      <c r="C191" s="392"/>
      <c r="D191" s="392"/>
      <c r="E191" s="348"/>
      <c r="F191" s="392"/>
      <c r="G191" s="392"/>
      <c r="H191" s="392"/>
      <c r="I191" s="392"/>
      <c r="J191" s="392"/>
      <c r="K191" s="392"/>
      <c r="L191" s="392"/>
      <c r="M191" s="348"/>
      <c r="N191" s="374"/>
    </row>
    <row r="192" spans="2:14" ht="15.75" hidden="1">
      <c r="B192" s="384"/>
      <c r="C192" s="392"/>
      <c r="D192" s="392"/>
      <c r="E192" s="348"/>
      <c r="F192" s="392"/>
      <c r="G192" s="392"/>
      <c r="H192" s="392"/>
      <c r="I192" s="392"/>
      <c r="J192" s="392"/>
      <c r="K192" s="392"/>
      <c r="L192" s="392"/>
      <c r="M192" s="348"/>
      <c r="N192" s="374"/>
    </row>
    <row r="193" spans="2:14" ht="15.75" hidden="1">
      <c r="B193" s="436" t="s">
        <v>8</v>
      </c>
      <c r="C193" s="392">
        <v>1040.6033</v>
      </c>
      <c r="D193" s="392">
        <v>10323.2016</v>
      </c>
      <c r="E193" s="392">
        <f>(SUM(C193:D193))/1000</f>
        <v>11.363804900000002</v>
      </c>
      <c r="F193" s="392">
        <v>827.56419999999991</v>
      </c>
      <c r="G193" s="392">
        <v>0</v>
      </c>
      <c r="H193" s="392">
        <v>-1444.8079</v>
      </c>
      <c r="I193" s="392">
        <v>4335.3760000000002</v>
      </c>
      <c r="J193" s="392">
        <v>0</v>
      </c>
      <c r="K193" s="392">
        <v>3322.0468999999998</v>
      </c>
      <c r="L193" s="392">
        <v>95110.282400000011</v>
      </c>
      <c r="M193" s="348">
        <f>SUM(F193:L193,E193)</f>
        <v>102161.82540490001</v>
      </c>
      <c r="N193" s="374"/>
    </row>
    <row r="194" spans="2:14" ht="15.75" hidden="1">
      <c r="B194" s="436"/>
      <c r="C194" s="429"/>
      <c r="D194" s="392"/>
      <c r="E194" s="348"/>
      <c r="F194" s="392"/>
      <c r="G194" s="392"/>
      <c r="H194" s="392"/>
      <c r="I194" s="392"/>
      <c r="J194" s="392"/>
      <c r="K194" s="392"/>
      <c r="L194" s="429"/>
      <c r="M194" s="429"/>
      <c r="N194" s="374"/>
    </row>
    <row r="195" spans="2:14" ht="15.75" hidden="1">
      <c r="B195" s="436" t="s">
        <v>9</v>
      </c>
      <c r="C195" s="392">
        <v>604.63909999999998</v>
      </c>
      <c r="D195" s="392">
        <v>11048.285199999998</v>
      </c>
      <c r="E195" s="392">
        <f>(SUM(C195:D195))/1000</f>
        <v>11.652924299999999</v>
      </c>
      <c r="F195" s="392">
        <v>847.64190000000008</v>
      </c>
      <c r="G195" s="392">
        <v>0</v>
      </c>
      <c r="H195" s="392">
        <v>618.63499999999999</v>
      </c>
      <c r="I195" s="392">
        <v>8965.9816999999985</v>
      </c>
      <c r="J195" s="392">
        <v>0</v>
      </c>
      <c r="K195" s="392">
        <v>3558.3352</v>
      </c>
      <c r="L195" s="392">
        <v>106058.25629999999</v>
      </c>
      <c r="M195" s="348">
        <f>SUM(F195:L195,E195)</f>
        <v>120060.50302429999</v>
      </c>
      <c r="N195" s="374"/>
    </row>
    <row r="196" spans="2:14" ht="15.75" hidden="1">
      <c r="B196" s="436"/>
      <c r="C196" s="429"/>
      <c r="D196" s="392"/>
      <c r="E196" s="348"/>
      <c r="F196" s="429"/>
      <c r="G196" s="429"/>
      <c r="H196" s="429"/>
      <c r="I196" s="392"/>
      <c r="J196" s="429"/>
      <c r="K196" s="392"/>
      <c r="L196" s="392"/>
      <c r="M196" s="348"/>
      <c r="N196" s="374"/>
    </row>
    <row r="197" spans="2:14" ht="15.75" hidden="1">
      <c r="B197" s="436" t="s">
        <v>10</v>
      </c>
      <c r="C197" s="392">
        <v>725.77539999999999</v>
      </c>
      <c r="D197" s="392">
        <v>12410.8645</v>
      </c>
      <c r="E197" s="392">
        <f>(SUM(C197:D197))/1000</f>
        <v>13.1366399</v>
      </c>
      <c r="F197" s="392">
        <v>852.93280000000004</v>
      </c>
      <c r="G197" s="392">
        <v>0</v>
      </c>
      <c r="H197" s="392">
        <v>-1565.1489999999999</v>
      </c>
      <c r="I197" s="392">
        <v>10684.538600000002</v>
      </c>
      <c r="J197" s="392">
        <v>0</v>
      </c>
      <c r="K197" s="392">
        <v>3558.9360000000001</v>
      </c>
      <c r="L197" s="392">
        <v>3279.9744999999998</v>
      </c>
      <c r="M197" s="348">
        <f>SUM(F197:L197,E197)</f>
        <v>16824.369539899999</v>
      </c>
      <c r="N197" s="374"/>
    </row>
    <row r="198" spans="2:14" ht="15.75" hidden="1">
      <c r="B198" s="436"/>
      <c r="C198" s="392"/>
      <c r="D198" s="392"/>
      <c r="E198" s="348"/>
      <c r="F198" s="392"/>
      <c r="G198" s="392"/>
      <c r="H198" s="392"/>
      <c r="I198" s="392"/>
      <c r="J198" s="392"/>
      <c r="K198" s="392"/>
      <c r="L198" s="392"/>
      <c r="M198" s="348"/>
      <c r="N198" s="374"/>
    </row>
    <row r="199" spans="2:14" ht="15.75" hidden="1">
      <c r="B199" s="436" t="s">
        <v>11</v>
      </c>
      <c r="C199" s="392">
        <v>772.84860000000003</v>
      </c>
      <c r="D199" s="392">
        <v>14146.562300000001</v>
      </c>
      <c r="E199" s="392">
        <v>14919.410900000001</v>
      </c>
      <c r="F199" s="392">
        <v>863.19439999999997</v>
      </c>
      <c r="G199" s="392">
        <v>0</v>
      </c>
      <c r="H199" s="392">
        <v>-3477.4843999999998</v>
      </c>
      <c r="I199" s="392">
        <v>8482.7461000000003</v>
      </c>
      <c r="J199" s="392">
        <v>0</v>
      </c>
      <c r="K199" s="392">
        <v>3558.9360000000001</v>
      </c>
      <c r="L199" s="392">
        <v>3456.5962000000004</v>
      </c>
      <c r="M199" s="348">
        <f>SUM(F199:L199,E199)</f>
        <v>27803.3992</v>
      </c>
      <c r="N199" s="374"/>
    </row>
    <row r="200" spans="2:14" ht="15.75" hidden="1">
      <c r="B200" s="436"/>
      <c r="C200" s="392"/>
      <c r="D200" s="392"/>
      <c r="E200" s="348"/>
      <c r="F200" s="392"/>
      <c r="G200" s="392"/>
      <c r="H200" s="392"/>
      <c r="I200" s="392"/>
      <c r="J200" s="392"/>
      <c r="K200" s="392"/>
      <c r="L200" s="392"/>
      <c r="M200" s="348"/>
      <c r="N200" s="374"/>
    </row>
    <row r="201" spans="2:14" ht="15.75" hidden="1">
      <c r="B201" s="436" t="s">
        <v>337</v>
      </c>
      <c r="C201" s="392">
        <v>755.57309999999995</v>
      </c>
      <c r="D201" s="392">
        <v>13584.8187</v>
      </c>
      <c r="E201" s="392">
        <v>14340.391800000001</v>
      </c>
      <c r="F201" s="392">
        <v>1641.9111</v>
      </c>
      <c r="G201" s="392">
        <v>0</v>
      </c>
      <c r="H201" s="392">
        <v>2256.864</v>
      </c>
      <c r="I201" s="392">
        <v>9048.9161000000004</v>
      </c>
      <c r="J201" s="392">
        <v>0</v>
      </c>
      <c r="K201" s="392">
        <v>3558.9352000000003</v>
      </c>
      <c r="L201" s="392">
        <v>2108.8915000000002</v>
      </c>
      <c r="M201" s="348">
        <f>SUM(F201:L201,E201)</f>
        <v>32955.909700000004</v>
      </c>
      <c r="N201" s="374"/>
    </row>
    <row r="202" spans="2:14" ht="15.75" hidden="1">
      <c r="B202" s="436"/>
      <c r="C202" s="392"/>
      <c r="D202" s="392"/>
      <c r="E202" s="348"/>
      <c r="F202" s="392"/>
      <c r="G202" s="392"/>
      <c r="H202" s="392"/>
      <c r="I202" s="392"/>
      <c r="J202" s="392"/>
      <c r="K202" s="392"/>
      <c r="L202" s="392"/>
      <c r="M202" s="348"/>
      <c r="N202" s="374"/>
    </row>
    <row r="203" spans="2:14" ht="15.75" hidden="1">
      <c r="B203" s="436" t="s">
        <v>346</v>
      </c>
      <c r="C203" s="392">
        <v>675.8963</v>
      </c>
      <c r="D203" s="392">
        <v>12950.147800000001</v>
      </c>
      <c r="E203" s="392">
        <v>13626.044099999999</v>
      </c>
      <c r="F203" s="392">
        <v>847.51609999999994</v>
      </c>
      <c r="G203" s="392">
        <v>0</v>
      </c>
      <c r="H203" s="392">
        <v>299.89890000000003</v>
      </c>
      <c r="I203" s="392">
        <v>6603.393</v>
      </c>
      <c r="J203" s="392">
        <v>0</v>
      </c>
      <c r="K203" s="392">
        <v>9035.8726999999999</v>
      </c>
      <c r="L203" s="392">
        <v>235826.68909999999</v>
      </c>
      <c r="M203" s="348">
        <f>SUM(F203:L203,E203)</f>
        <v>266239.41389999999</v>
      </c>
      <c r="N203" s="374"/>
    </row>
    <row r="204" spans="2:14" ht="15.75" hidden="1">
      <c r="B204" s="436"/>
      <c r="C204" s="392"/>
      <c r="D204" s="392"/>
      <c r="E204" s="348"/>
      <c r="F204" s="392"/>
      <c r="G204" s="392"/>
      <c r="H204" s="392"/>
      <c r="I204" s="392"/>
      <c r="J204" s="392"/>
      <c r="K204" s="392"/>
      <c r="L204" s="392"/>
      <c r="M204" s="348"/>
      <c r="N204" s="374"/>
    </row>
    <row r="205" spans="2:14" ht="15.75" hidden="1">
      <c r="B205" s="436" t="s">
        <v>347</v>
      </c>
      <c r="C205" s="392">
        <v>710.35669999999993</v>
      </c>
      <c r="D205" s="392">
        <v>13034.8621</v>
      </c>
      <c r="E205" s="392">
        <v>13745.218800000001</v>
      </c>
      <c r="F205" s="392">
        <v>14.3178</v>
      </c>
      <c r="G205" s="392">
        <v>0</v>
      </c>
      <c r="H205" s="392">
        <v>-775.41680000000008</v>
      </c>
      <c r="I205" s="392">
        <v>10105.3135</v>
      </c>
      <c r="J205" s="392">
        <v>0</v>
      </c>
      <c r="K205" s="392">
        <v>12602.238599999999</v>
      </c>
      <c r="L205" s="392">
        <v>302427.36300000001</v>
      </c>
      <c r="M205" s="348">
        <f>SUM(F205:L205,E205)</f>
        <v>338119.03489999997</v>
      </c>
      <c r="N205" s="374"/>
    </row>
    <row r="206" spans="2:14" ht="15.75" hidden="1">
      <c r="B206" s="436"/>
      <c r="C206" s="392"/>
      <c r="D206" s="392"/>
      <c r="E206" s="348"/>
      <c r="F206" s="392"/>
      <c r="G206" s="392"/>
      <c r="H206" s="392"/>
      <c r="I206" s="392"/>
      <c r="J206" s="392"/>
      <c r="K206" s="392"/>
      <c r="L206" s="392"/>
      <c r="M206" s="348"/>
      <c r="N206" s="374"/>
    </row>
    <row r="207" spans="2:14" ht="15.75" hidden="1">
      <c r="B207" s="436" t="s">
        <v>12</v>
      </c>
      <c r="C207" s="392">
        <v>322.81380000000001</v>
      </c>
      <c r="D207" s="392">
        <v>40518.085299999999</v>
      </c>
      <c r="E207" s="392">
        <v>40840.899100000002</v>
      </c>
      <c r="F207" s="392">
        <v>925.93259999999998</v>
      </c>
      <c r="G207" s="392">
        <v>0</v>
      </c>
      <c r="H207" s="392">
        <v>-777.96580000000006</v>
      </c>
      <c r="I207" s="392">
        <v>6273.0667999999996</v>
      </c>
      <c r="J207" s="392">
        <v>0</v>
      </c>
      <c r="K207" s="392">
        <v>33005.428200000002</v>
      </c>
      <c r="L207" s="392">
        <v>3600.4697000000001</v>
      </c>
      <c r="M207" s="348">
        <f>SUM(F207:L207,E207)</f>
        <v>83867.830600000016</v>
      </c>
      <c r="N207" s="374"/>
    </row>
    <row r="208" spans="2:14" ht="15.75" hidden="1">
      <c r="B208" s="436"/>
      <c r="C208" s="392"/>
      <c r="D208" s="392"/>
      <c r="E208" s="348"/>
      <c r="F208" s="392"/>
      <c r="G208" s="392"/>
      <c r="H208" s="392"/>
      <c r="I208" s="392"/>
      <c r="J208" s="392"/>
      <c r="K208" s="392"/>
      <c r="L208" s="392"/>
      <c r="M208" s="348"/>
      <c r="N208" s="374"/>
    </row>
    <row r="209" spans="2:14" ht="15.75" hidden="1">
      <c r="B209" s="436" t="s">
        <v>13</v>
      </c>
      <c r="C209" s="392">
        <v>861.11159999999995</v>
      </c>
      <c r="D209" s="392">
        <v>40801.915300000001</v>
      </c>
      <c r="E209" s="392">
        <v>41663.026899999997</v>
      </c>
      <c r="F209" s="392">
        <v>688.61569999999995</v>
      </c>
      <c r="G209" s="392">
        <v>0</v>
      </c>
      <c r="H209" s="392">
        <v>-15208.941999999999</v>
      </c>
      <c r="I209" s="392">
        <v>7065.6800999999996</v>
      </c>
      <c r="J209" s="392">
        <v>0</v>
      </c>
      <c r="K209" s="392">
        <v>56542.943399999996</v>
      </c>
      <c r="L209" s="392">
        <v>517039.3222</v>
      </c>
      <c r="M209" s="348">
        <f>SUM(F209:L209,E209)</f>
        <v>607790.64629999991</v>
      </c>
      <c r="N209" s="374"/>
    </row>
    <row r="210" spans="2:14" ht="15.75" hidden="1">
      <c r="B210" s="436"/>
      <c r="C210" s="392"/>
      <c r="D210" s="392"/>
      <c r="E210" s="348"/>
      <c r="F210" s="392"/>
      <c r="G210" s="392"/>
      <c r="H210" s="392"/>
      <c r="I210" s="392"/>
      <c r="J210" s="392"/>
      <c r="K210" s="392"/>
      <c r="L210" s="392"/>
      <c r="M210" s="348"/>
      <c r="N210" s="374"/>
    </row>
    <row r="211" spans="2:14" ht="15.75" hidden="1">
      <c r="B211" s="436" t="s">
        <v>14</v>
      </c>
      <c r="C211" s="392">
        <v>1227.9000000000001</v>
      </c>
      <c r="D211" s="392">
        <v>37841.199999999997</v>
      </c>
      <c r="E211" s="348">
        <v>39069.1</v>
      </c>
      <c r="F211" s="392">
        <v>589.20000000000005</v>
      </c>
      <c r="G211" s="392">
        <v>0</v>
      </c>
      <c r="H211" s="392">
        <v>463.1</v>
      </c>
      <c r="I211" s="392">
        <v>20767.3</v>
      </c>
      <c r="J211" s="392">
        <v>0</v>
      </c>
      <c r="K211" s="392">
        <v>48719.5</v>
      </c>
      <c r="L211" s="392">
        <v>663138.6</v>
      </c>
      <c r="M211" s="348">
        <v>772746.8</v>
      </c>
      <c r="N211" s="374"/>
    </row>
    <row r="212" spans="2:14" ht="15.75" hidden="1">
      <c r="B212" s="436"/>
      <c r="C212" s="392"/>
      <c r="D212" s="392"/>
      <c r="E212" s="348"/>
      <c r="F212" s="392"/>
      <c r="G212" s="392"/>
      <c r="H212" s="392"/>
      <c r="I212" s="392"/>
      <c r="J212" s="392"/>
      <c r="K212" s="392"/>
      <c r="L212" s="392"/>
      <c r="M212" s="348"/>
      <c r="N212" s="374"/>
    </row>
    <row r="213" spans="2:14" ht="15.75" hidden="1">
      <c r="B213" s="436" t="s">
        <v>15</v>
      </c>
      <c r="C213" s="392">
        <v>2645.4</v>
      </c>
      <c r="D213" s="348">
        <v>34195.5</v>
      </c>
      <c r="E213" s="348">
        <v>36840.9</v>
      </c>
      <c r="F213" s="392">
        <v>434.2</v>
      </c>
      <c r="G213" s="392">
        <v>0</v>
      </c>
      <c r="H213" s="392">
        <v>-11995.9</v>
      </c>
      <c r="I213" s="392">
        <v>31798</v>
      </c>
      <c r="J213" s="392">
        <v>0</v>
      </c>
      <c r="K213" s="392">
        <v>60678.1</v>
      </c>
      <c r="L213" s="392">
        <v>842946.5</v>
      </c>
      <c r="M213" s="348">
        <v>960701.7</v>
      </c>
      <c r="N213" s="374"/>
    </row>
    <row r="214" spans="2:14" ht="15.75" hidden="1">
      <c r="B214" s="436"/>
      <c r="C214" s="392"/>
      <c r="D214" s="348"/>
      <c r="E214" s="348"/>
      <c r="F214" s="392"/>
      <c r="G214" s="392"/>
      <c r="H214" s="392"/>
      <c r="I214" s="392"/>
      <c r="J214" s="392"/>
      <c r="K214" s="392"/>
      <c r="L214" s="392"/>
      <c r="M214" s="348"/>
      <c r="N214" s="374"/>
    </row>
    <row r="215" spans="2:14" ht="15.75" hidden="1">
      <c r="B215" s="436" t="s">
        <v>16</v>
      </c>
      <c r="C215" s="392">
        <v>2402.6</v>
      </c>
      <c r="D215" s="348">
        <v>17866.7</v>
      </c>
      <c r="E215" s="465">
        <v>20269.3</v>
      </c>
      <c r="F215" s="392">
        <v>3.9</v>
      </c>
      <c r="G215" s="392">
        <v>0</v>
      </c>
      <c r="H215" s="392">
        <v>-66143.5</v>
      </c>
      <c r="I215" s="406">
        <v>39731.699999999997</v>
      </c>
      <c r="J215" s="392">
        <v>0</v>
      </c>
      <c r="K215" s="392">
        <v>78146</v>
      </c>
      <c r="L215" s="392">
        <v>1076982.8</v>
      </c>
      <c r="M215" s="348">
        <v>1148990.2</v>
      </c>
      <c r="N215" s="374"/>
    </row>
    <row r="216" spans="2:14" ht="15.75" hidden="1">
      <c r="B216" s="436"/>
      <c r="C216" s="392"/>
      <c r="D216" s="348"/>
      <c r="E216" s="348"/>
      <c r="F216" s="392"/>
      <c r="G216" s="392"/>
      <c r="H216" s="392"/>
      <c r="I216" s="392"/>
      <c r="J216" s="392"/>
      <c r="K216" s="392"/>
      <c r="L216" s="392"/>
      <c r="M216" s="348"/>
      <c r="N216" s="374"/>
    </row>
    <row r="217" spans="2:14" ht="15.75" hidden="1">
      <c r="B217" s="466">
        <v>2007</v>
      </c>
      <c r="C217" s="392"/>
      <c r="D217" s="348"/>
      <c r="E217" s="348"/>
      <c r="F217" s="392"/>
      <c r="G217" s="392"/>
      <c r="H217" s="392"/>
      <c r="I217" s="392"/>
      <c r="J217" s="392"/>
      <c r="K217" s="392"/>
      <c r="L217" s="392"/>
      <c r="M217" s="348"/>
      <c r="N217" s="374"/>
    </row>
    <row r="218" spans="2:14" ht="15.75" hidden="1">
      <c r="B218" s="436"/>
      <c r="C218" s="392"/>
      <c r="D218" s="348"/>
      <c r="E218" s="348"/>
      <c r="F218" s="392"/>
      <c r="G218" s="392"/>
      <c r="H218" s="392"/>
      <c r="I218" s="392"/>
      <c r="J218" s="392"/>
      <c r="K218" s="392"/>
      <c r="L218" s="392"/>
      <c r="M218" s="348"/>
      <c r="N218" s="374"/>
    </row>
    <row r="219" spans="2:14" ht="15.75" hidden="1">
      <c r="B219" s="436" t="s">
        <v>8</v>
      </c>
      <c r="C219" s="392">
        <v>1551.5</v>
      </c>
      <c r="D219" s="348">
        <v>22551.9</v>
      </c>
      <c r="E219" s="348">
        <v>24103.4</v>
      </c>
      <c r="F219" s="392">
        <v>3.9</v>
      </c>
      <c r="G219" s="392">
        <v>0</v>
      </c>
      <c r="H219" s="392">
        <v>-16210</v>
      </c>
      <c r="I219" s="392">
        <v>5492</v>
      </c>
      <c r="J219" s="392">
        <v>0</v>
      </c>
      <c r="K219" s="392">
        <v>209722.5</v>
      </c>
      <c r="L219" s="392">
        <v>1368150</v>
      </c>
      <c r="M219" s="348">
        <v>1591261.7</v>
      </c>
      <c r="N219" s="374"/>
    </row>
    <row r="220" spans="2:14" ht="15.75" hidden="1">
      <c r="B220" s="436"/>
      <c r="C220" s="392"/>
      <c r="D220" s="348"/>
      <c r="E220" s="348"/>
      <c r="F220" s="392"/>
      <c r="G220" s="392"/>
      <c r="H220" s="392"/>
      <c r="I220" s="392"/>
      <c r="J220" s="392"/>
      <c r="K220" s="392"/>
      <c r="L220" s="392"/>
      <c r="M220" s="348"/>
      <c r="N220" s="374"/>
    </row>
    <row r="221" spans="2:14" ht="15.75" hidden="1">
      <c r="B221" s="436" t="s">
        <v>9</v>
      </c>
      <c r="C221" s="392">
        <v>1843</v>
      </c>
      <c r="D221" s="348">
        <v>32684.799999999999</v>
      </c>
      <c r="E221" s="348">
        <v>34527.800000000003</v>
      </c>
      <c r="F221" s="392">
        <v>1.7</v>
      </c>
      <c r="G221" s="392">
        <v>0</v>
      </c>
      <c r="H221" s="392">
        <v>21976.1</v>
      </c>
      <c r="I221" s="392">
        <v>44008.2</v>
      </c>
      <c r="J221" s="392">
        <v>0</v>
      </c>
      <c r="K221" s="392">
        <v>267699.3</v>
      </c>
      <c r="L221" s="392">
        <v>1676004.5</v>
      </c>
      <c r="M221" s="348">
        <v>2044217.5</v>
      </c>
      <c r="N221" s="374"/>
    </row>
    <row r="222" spans="2:14" ht="15.75" hidden="1">
      <c r="B222" s="436"/>
      <c r="C222" s="392"/>
      <c r="D222" s="348"/>
      <c r="E222" s="348"/>
      <c r="F222" s="392"/>
      <c r="G222" s="392"/>
      <c r="H222" s="392"/>
      <c r="I222" s="392"/>
      <c r="J222" s="392"/>
      <c r="K222" s="392"/>
      <c r="L222" s="392"/>
      <c r="M222" s="348"/>
      <c r="N222" s="374"/>
    </row>
    <row r="223" spans="2:14" ht="15.75" hidden="1">
      <c r="B223" s="436" t="s">
        <v>10</v>
      </c>
      <c r="C223" s="392">
        <v>1352.1</v>
      </c>
      <c r="D223" s="348">
        <v>33875</v>
      </c>
      <c r="E223" s="348">
        <v>35227.1</v>
      </c>
      <c r="F223" s="392">
        <v>1.7</v>
      </c>
      <c r="G223" s="392">
        <v>0</v>
      </c>
      <c r="H223" s="392">
        <v>-113251.8</v>
      </c>
      <c r="I223" s="392">
        <v>98469</v>
      </c>
      <c r="J223" s="392">
        <v>0</v>
      </c>
      <c r="K223" s="392">
        <v>700805.2</v>
      </c>
      <c r="L223" s="392">
        <v>2213825.5</v>
      </c>
      <c r="M223" s="348">
        <v>2935076.6</v>
      </c>
      <c r="N223" s="374"/>
    </row>
    <row r="224" spans="2:14" ht="15.75" hidden="1">
      <c r="B224" s="436"/>
      <c r="C224" s="392"/>
      <c r="D224" s="348"/>
      <c r="E224" s="348"/>
      <c r="F224" s="392"/>
      <c r="G224" s="392"/>
      <c r="H224" s="392"/>
      <c r="I224" s="392"/>
      <c r="J224" s="392"/>
      <c r="K224" s="392"/>
      <c r="L224" s="392"/>
      <c r="M224" s="348"/>
      <c r="N224" s="374"/>
    </row>
    <row r="225" spans="2:14" ht="15.75" hidden="1">
      <c r="B225" s="436" t="s">
        <v>11</v>
      </c>
      <c r="C225" s="392">
        <v>667.1</v>
      </c>
      <c r="D225" s="348">
        <v>22714.1</v>
      </c>
      <c r="E225" s="348">
        <v>23381.200000000001</v>
      </c>
      <c r="F225" s="392">
        <v>1.7</v>
      </c>
      <c r="G225" s="392">
        <v>0</v>
      </c>
      <c r="H225" s="392">
        <v>67090.3</v>
      </c>
      <c r="I225" s="392">
        <v>179961</v>
      </c>
      <c r="J225" s="392">
        <v>0</v>
      </c>
      <c r="K225" s="392">
        <v>910762.4</v>
      </c>
      <c r="L225" s="392">
        <v>3409764.7</v>
      </c>
      <c r="M225" s="348">
        <v>4590961.2</v>
      </c>
      <c r="N225" s="374"/>
    </row>
    <row r="226" spans="2:14" ht="15.75" hidden="1">
      <c r="B226" s="436"/>
      <c r="C226" s="392"/>
      <c r="D226" s="348"/>
      <c r="E226" s="348"/>
      <c r="F226" s="392"/>
      <c r="G226" s="392"/>
      <c r="H226" s="392"/>
      <c r="I226" s="392"/>
      <c r="J226" s="392"/>
      <c r="K226" s="392"/>
      <c r="L226" s="392"/>
      <c r="M226" s="348"/>
      <c r="N226" s="374"/>
    </row>
    <row r="227" spans="2:14" ht="15.75" hidden="1">
      <c r="B227" s="436" t="s">
        <v>337</v>
      </c>
      <c r="C227" s="392">
        <v>1521.9</v>
      </c>
      <c r="D227" s="348">
        <v>27992.1</v>
      </c>
      <c r="E227" s="348">
        <v>29514</v>
      </c>
      <c r="F227" s="392">
        <v>980.9</v>
      </c>
      <c r="G227" s="392">
        <v>0</v>
      </c>
      <c r="H227" s="392">
        <v>36972.1</v>
      </c>
      <c r="I227" s="392">
        <v>87042.8</v>
      </c>
      <c r="J227" s="392">
        <v>0</v>
      </c>
      <c r="K227" s="392">
        <v>2074872.1</v>
      </c>
      <c r="L227" s="392">
        <v>7111227.2999999998</v>
      </c>
      <c r="M227" s="348">
        <v>9340609.0999999996</v>
      </c>
      <c r="N227" s="374"/>
    </row>
    <row r="228" spans="2:14" ht="15.75" hidden="1">
      <c r="B228" s="436"/>
      <c r="C228" s="392"/>
      <c r="D228" s="348"/>
      <c r="E228" s="348"/>
      <c r="F228" s="392"/>
      <c r="G228" s="392"/>
      <c r="H228" s="392"/>
      <c r="I228" s="392"/>
      <c r="J228" s="392"/>
      <c r="K228" s="392"/>
      <c r="L228" s="392"/>
      <c r="M228" s="348"/>
      <c r="N228" s="374"/>
    </row>
    <row r="229" spans="2:14" ht="15.75" hidden="1">
      <c r="B229" s="436" t="s">
        <v>346</v>
      </c>
      <c r="C229" s="392">
        <v>835.7</v>
      </c>
      <c r="D229" s="348">
        <v>35786</v>
      </c>
      <c r="E229" s="348">
        <v>36621.699999999997</v>
      </c>
      <c r="F229" s="392">
        <v>68065.8</v>
      </c>
      <c r="G229" s="392">
        <v>0</v>
      </c>
      <c r="H229" s="392">
        <v>-1183375.8999999999</v>
      </c>
      <c r="I229" s="392">
        <v>435564.1</v>
      </c>
      <c r="J229" s="392">
        <v>0</v>
      </c>
      <c r="K229" s="392">
        <v>6861003.2999999998</v>
      </c>
      <c r="L229" s="392">
        <v>15343318.9</v>
      </c>
      <c r="M229" s="348">
        <v>21561197.800000001</v>
      </c>
      <c r="N229" s="374"/>
    </row>
    <row r="230" spans="2:14" ht="15.75" hidden="1">
      <c r="B230" s="436"/>
      <c r="C230" s="392"/>
      <c r="D230" s="348"/>
      <c r="E230" s="348"/>
      <c r="F230" s="392"/>
      <c r="G230" s="392"/>
      <c r="H230" s="392"/>
      <c r="I230" s="392"/>
      <c r="J230" s="392"/>
      <c r="K230" s="392"/>
      <c r="L230" s="392"/>
      <c r="M230" s="348"/>
      <c r="N230" s="374"/>
    </row>
    <row r="231" spans="2:14" ht="15.75" hidden="1">
      <c r="B231" s="436" t="s">
        <v>347</v>
      </c>
      <c r="C231" s="392">
        <v>974</v>
      </c>
      <c r="D231" s="348">
        <v>35144.9</v>
      </c>
      <c r="E231" s="348">
        <v>36118.9</v>
      </c>
      <c r="F231" s="392">
        <v>68472.399999999994</v>
      </c>
      <c r="G231" s="392">
        <v>0</v>
      </c>
      <c r="H231" s="392">
        <v>-1109208.1000000001</v>
      </c>
      <c r="I231" s="392">
        <v>815447.1</v>
      </c>
      <c r="J231" s="392">
        <v>0</v>
      </c>
      <c r="K231" s="392">
        <v>5727901.5</v>
      </c>
      <c r="L231" s="392">
        <v>29624901.5</v>
      </c>
      <c r="M231" s="348">
        <f>SUM(F231:L231,E231)</f>
        <v>35163633.299999997</v>
      </c>
      <c r="N231" s="374"/>
    </row>
    <row r="232" spans="2:14" ht="15.75" hidden="1">
      <c r="B232" s="436"/>
      <c r="C232" s="392"/>
      <c r="D232" s="348"/>
      <c r="E232" s="348"/>
      <c r="F232" s="392"/>
      <c r="G232" s="392"/>
      <c r="H232" s="392"/>
      <c r="I232" s="392"/>
      <c r="J232" s="392"/>
      <c r="K232" s="392"/>
      <c r="L232" s="392"/>
      <c r="M232" s="348"/>
      <c r="N232" s="374"/>
    </row>
    <row r="233" spans="2:14" ht="15.75" hidden="1">
      <c r="B233" s="436" t="s">
        <v>12</v>
      </c>
      <c r="C233" s="392">
        <v>1453.6</v>
      </c>
      <c r="D233" s="348">
        <v>39528.5</v>
      </c>
      <c r="E233" s="348">
        <v>40982.1</v>
      </c>
      <c r="F233" s="392">
        <v>68472.399999999994</v>
      </c>
      <c r="G233" s="392">
        <v>0</v>
      </c>
      <c r="H233" s="392">
        <v>-2638817.2999999998</v>
      </c>
      <c r="I233" s="392">
        <v>732861.3</v>
      </c>
      <c r="J233" s="392">
        <v>0</v>
      </c>
      <c r="K233" s="392">
        <v>6894445.5999999996</v>
      </c>
      <c r="L233" s="392">
        <v>4439434.9000000004</v>
      </c>
      <c r="M233" s="348">
        <v>49492879</v>
      </c>
      <c r="N233" s="374"/>
    </row>
    <row r="234" spans="2:14" ht="15.75" hidden="1">
      <c r="B234" s="436"/>
      <c r="C234" s="392"/>
      <c r="D234" s="348"/>
      <c r="E234" s="348"/>
      <c r="F234" s="392"/>
      <c r="G234" s="392"/>
      <c r="H234" s="392"/>
      <c r="I234" s="392"/>
      <c r="J234" s="392"/>
      <c r="K234" s="392"/>
      <c r="L234" s="392"/>
      <c r="M234" s="348"/>
      <c r="N234" s="374"/>
    </row>
    <row r="235" spans="2:14" ht="15.75" hidden="1">
      <c r="B235" s="436" t="s">
        <v>13</v>
      </c>
      <c r="C235" s="392">
        <v>182141.1</v>
      </c>
      <c r="D235" s="348">
        <v>4302548</v>
      </c>
      <c r="E235" s="348">
        <v>4484689.0999999996</v>
      </c>
      <c r="F235" s="392">
        <v>68470.7</v>
      </c>
      <c r="G235" s="392">
        <v>0</v>
      </c>
      <c r="H235" s="392">
        <v>-9003583.3000000007</v>
      </c>
      <c r="I235" s="392">
        <v>741013.2</v>
      </c>
      <c r="J235" s="392">
        <v>0</v>
      </c>
      <c r="K235" s="392">
        <v>13383062</v>
      </c>
      <c r="L235" s="392">
        <v>72591125</v>
      </c>
      <c r="M235" s="348">
        <v>82264776.700000003</v>
      </c>
      <c r="N235" s="374"/>
    </row>
    <row r="236" spans="2:14" ht="15.75" hidden="1">
      <c r="B236" s="436"/>
      <c r="C236" s="392"/>
      <c r="D236" s="348"/>
      <c r="E236" s="348"/>
      <c r="F236" s="392"/>
      <c r="G236" s="392"/>
      <c r="H236" s="392"/>
      <c r="I236" s="392"/>
      <c r="J236" s="392"/>
      <c r="K236" s="392"/>
      <c r="L236" s="392"/>
      <c r="M236" s="348"/>
      <c r="N236" s="374"/>
    </row>
    <row r="237" spans="2:14" ht="15.75" hidden="1">
      <c r="B237" s="436" t="s">
        <v>14</v>
      </c>
      <c r="C237" s="392">
        <v>238861</v>
      </c>
      <c r="D237" s="348">
        <v>5876258.9000000004</v>
      </c>
      <c r="E237" s="348">
        <v>6115119.9000000004</v>
      </c>
      <c r="F237" s="392">
        <v>68469.7</v>
      </c>
      <c r="G237" s="392">
        <v>0</v>
      </c>
      <c r="H237" s="392">
        <v>-6801687.9000000004</v>
      </c>
      <c r="I237" s="392">
        <v>1499978.8</v>
      </c>
      <c r="J237" s="392">
        <v>0</v>
      </c>
      <c r="K237" s="392">
        <v>59253801.5</v>
      </c>
      <c r="L237" s="392">
        <v>121984509.8</v>
      </c>
      <c r="M237" s="348">
        <f>SUM(F237:L237,E237)</f>
        <v>182120191.80000001</v>
      </c>
      <c r="N237" s="374"/>
    </row>
    <row r="238" spans="2:14" ht="15.75" hidden="1">
      <c r="B238" s="436"/>
      <c r="C238" s="392"/>
      <c r="D238" s="348"/>
      <c r="E238" s="348"/>
      <c r="F238" s="392"/>
      <c r="G238" s="392"/>
      <c r="H238" s="392"/>
      <c r="I238" s="392"/>
      <c r="J238" s="392"/>
      <c r="K238" s="392"/>
      <c r="L238" s="392"/>
      <c r="M238" s="348"/>
      <c r="N238" s="374"/>
    </row>
    <row r="239" spans="2:14" ht="15.75" hidden="1">
      <c r="B239" s="436" t="s">
        <v>15</v>
      </c>
      <c r="C239" s="392">
        <v>189176.5</v>
      </c>
      <c r="D239" s="348">
        <v>4939885.5</v>
      </c>
      <c r="E239" s="348">
        <v>5129062</v>
      </c>
      <c r="F239" s="392">
        <v>68470.7</v>
      </c>
      <c r="G239" s="392">
        <v>0</v>
      </c>
      <c r="H239" s="392">
        <v>-10455827.1</v>
      </c>
      <c r="I239" s="392">
        <v>3265387.8</v>
      </c>
      <c r="J239" s="392">
        <v>0</v>
      </c>
      <c r="K239" s="392">
        <v>162661493.59999999</v>
      </c>
      <c r="L239" s="392">
        <v>228397068</v>
      </c>
      <c r="M239" s="348">
        <f>SUM(F239:L239,E239)</f>
        <v>389065655</v>
      </c>
      <c r="N239" s="374"/>
    </row>
    <row r="240" spans="2:14" ht="15.75" hidden="1">
      <c r="B240" s="436"/>
      <c r="C240" s="392"/>
      <c r="D240" s="348"/>
      <c r="E240" s="348"/>
      <c r="F240" s="392"/>
      <c r="G240" s="392"/>
      <c r="H240" s="392"/>
      <c r="I240" s="392"/>
      <c r="J240" s="392"/>
      <c r="K240" s="392"/>
      <c r="L240" s="392"/>
      <c r="M240" s="348"/>
      <c r="N240" s="374"/>
    </row>
    <row r="241" spans="2:14" ht="15.75" hidden="1">
      <c r="B241" s="436" t="s">
        <v>16</v>
      </c>
      <c r="C241" s="392">
        <v>2313649</v>
      </c>
      <c r="D241" s="348">
        <v>4366549.2</v>
      </c>
      <c r="E241" s="348">
        <v>6680198.2000000002</v>
      </c>
      <c r="F241" s="392">
        <v>68470.7</v>
      </c>
      <c r="G241" s="392">
        <v>0</v>
      </c>
      <c r="H241" s="392">
        <v>-40603928.200000003</v>
      </c>
      <c r="I241" s="392">
        <v>18637086.199999999</v>
      </c>
      <c r="J241" s="392">
        <v>0</v>
      </c>
      <c r="K241" s="392">
        <v>353180442.19999999</v>
      </c>
      <c r="L241" s="392">
        <v>404652591.30000001</v>
      </c>
      <c r="M241" s="348">
        <f>SUM(F241:L241,E241)</f>
        <v>742614860.4000001</v>
      </c>
      <c r="N241" s="374"/>
    </row>
    <row r="242" spans="2:14" ht="15.75" hidden="1">
      <c r="B242" s="436"/>
      <c r="C242" s="392"/>
      <c r="D242" s="348"/>
      <c r="E242" s="348"/>
      <c r="F242" s="392"/>
      <c r="G242" s="392"/>
      <c r="H242" s="392"/>
      <c r="I242" s="392"/>
      <c r="J242" s="392"/>
      <c r="K242" s="392"/>
      <c r="L242" s="392"/>
      <c r="M242" s="348"/>
      <c r="N242" s="374"/>
    </row>
    <row r="243" spans="2:14" ht="15.75" hidden="1">
      <c r="B243" s="466">
        <v>2008</v>
      </c>
      <c r="C243" s="392"/>
      <c r="D243" s="348"/>
      <c r="E243" s="348"/>
      <c r="F243" s="392"/>
      <c r="G243" s="392"/>
      <c r="H243" s="392"/>
      <c r="I243" s="392"/>
      <c r="J243" s="392"/>
      <c r="K243" s="392"/>
      <c r="L243" s="392"/>
      <c r="M243" s="348"/>
      <c r="N243" s="374"/>
    </row>
    <row r="244" spans="2:14" ht="15.75" hidden="1">
      <c r="B244" s="436"/>
      <c r="C244" s="392"/>
      <c r="D244" s="348"/>
      <c r="E244" s="348"/>
      <c r="F244" s="392"/>
      <c r="G244" s="392"/>
      <c r="H244" s="392"/>
      <c r="I244" s="392"/>
      <c r="J244" s="392"/>
      <c r="K244" s="392"/>
      <c r="L244" s="392"/>
      <c r="M244" s="348"/>
      <c r="N244" s="374"/>
    </row>
    <row r="245" spans="2:14" ht="15.75" hidden="1">
      <c r="B245" s="436" t="s">
        <v>8</v>
      </c>
      <c r="C245" s="392">
        <v>1.0812710000000001E-5</v>
      </c>
      <c r="D245" s="348">
        <v>5.1800489999999995E-4</v>
      </c>
      <c r="E245" s="348">
        <v>5.2881760999999995E-4</v>
      </c>
      <c r="F245" s="392">
        <v>6.8470699999999996E-6</v>
      </c>
      <c r="G245" s="392">
        <v>0</v>
      </c>
      <c r="H245" s="392">
        <v>3.9364315600000001E-3</v>
      </c>
      <c r="I245" s="392">
        <v>6.4216741899999997E-3</v>
      </c>
      <c r="J245" s="392">
        <v>0</v>
      </c>
      <c r="K245" s="392">
        <v>2.9828235250000001E-2</v>
      </c>
      <c r="L245" s="392">
        <v>7.7619667810000001E-2</v>
      </c>
      <c r="M245" s="348">
        <v>0.11834167349000001</v>
      </c>
      <c r="N245" s="467"/>
    </row>
    <row r="246" spans="2:14" ht="15.75" hidden="1">
      <c r="B246" s="436"/>
      <c r="C246" s="392"/>
      <c r="D246" s="348"/>
      <c r="E246" s="348"/>
      <c r="F246" s="392"/>
      <c r="G246" s="392"/>
      <c r="H246" s="392"/>
      <c r="I246" s="392"/>
      <c r="J246" s="392"/>
      <c r="K246" s="392"/>
      <c r="L246" s="392"/>
      <c r="M246" s="348"/>
      <c r="N246" s="467"/>
    </row>
    <row r="247" spans="2:14" ht="15.75" hidden="1">
      <c r="B247" s="436" t="s">
        <v>9</v>
      </c>
      <c r="C247" s="392">
        <v>3.8095029999999996E-5</v>
      </c>
      <c r="D247" s="348">
        <v>4.0349261000000003E-4</v>
      </c>
      <c r="E247" s="348">
        <v>4.4158764000000006E-4</v>
      </c>
      <c r="F247" s="392">
        <v>6.8470699999999996E-6</v>
      </c>
      <c r="G247" s="392">
        <v>0</v>
      </c>
      <c r="H247" s="392">
        <v>5.3756484220000005E-2</v>
      </c>
      <c r="I247" s="392">
        <v>2.9789795399999997E-3</v>
      </c>
      <c r="J247" s="392">
        <v>0</v>
      </c>
      <c r="K247" s="392">
        <v>3.5535172389999994E-2</v>
      </c>
      <c r="L247" s="392">
        <v>0.15172048615</v>
      </c>
      <c r="M247" s="348">
        <v>0.24443955701</v>
      </c>
      <c r="N247" s="467"/>
    </row>
    <row r="248" spans="2:14" ht="15.75" hidden="1">
      <c r="B248" s="436"/>
      <c r="C248" s="392"/>
      <c r="D248" s="348"/>
      <c r="E248" s="348"/>
      <c r="F248" s="392"/>
      <c r="G248" s="392"/>
      <c r="H248" s="392"/>
      <c r="I248" s="392"/>
      <c r="J248" s="392"/>
      <c r="K248" s="392"/>
      <c r="L248" s="392"/>
      <c r="M248" s="348"/>
      <c r="N248" s="467"/>
    </row>
    <row r="249" spans="2:14" ht="15.75" hidden="1">
      <c r="B249" s="436" t="s">
        <v>10</v>
      </c>
      <c r="C249" s="392">
        <v>3.0590483000000001E-4</v>
      </c>
      <c r="D249" s="348">
        <v>4.0929201000000003E-4</v>
      </c>
      <c r="E249" s="348">
        <v>7.1519684000000009E-4</v>
      </c>
      <c r="F249" s="392">
        <v>6.8470699999999996E-6</v>
      </c>
      <c r="G249" s="392">
        <v>0</v>
      </c>
      <c r="H249" s="392">
        <v>0.20016010042000001</v>
      </c>
      <c r="I249" s="392">
        <v>5.4252834399999995E-3</v>
      </c>
      <c r="J249" s="392">
        <v>0</v>
      </c>
      <c r="K249" s="392">
        <v>0.20819547720999998</v>
      </c>
      <c r="L249" s="392">
        <v>0.40098397336999997</v>
      </c>
      <c r="M249" s="348">
        <v>0.86435687834999997</v>
      </c>
      <c r="N249" s="467"/>
    </row>
    <row r="250" spans="2:14" ht="15.75" hidden="1">
      <c r="B250" s="436"/>
      <c r="C250" s="392"/>
      <c r="D250" s="348"/>
      <c r="E250" s="348"/>
      <c r="F250" s="392"/>
      <c r="G250" s="392"/>
      <c r="H250" s="392"/>
      <c r="I250" s="392"/>
      <c r="J250" s="392"/>
      <c r="K250" s="392"/>
      <c r="L250" s="392"/>
      <c r="M250" s="348"/>
      <c r="N250" s="467"/>
    </row>
    <row r="251" spans="2:14" ht="15.75" hidden="1">
      <c r="B251" s="436" t="s">
        <v>11</v>
      </c>
      <c r="C251" s="392">
        <v>0.11752060597000001</v>
      </c>
      <c r="D251" s="348">
        <v>3.2693195999999999E-4</v>
      </c>
      <c r="E251" s="348">
        <v>0.11784753793</v>
      </c>
      <c r="F251" s="392">
        <v>5.8978800000000002E-6</v>
      </c>
      <c r="G251" s="392">
        <v>0</v>
      </c>
      <c r="H251" s="392">
        <v>5.006006851E-2</v>
      </c>
      <c r="I251" s="392">
        <v>2.1800000430000001E-2</v>
      </c>
      <c r="J251" s="392">
        <v>0</v>
      </c>
      <c r="K251" s="392">
        <v>0.22359842429000001</v>
      </c>
      <c r="L251" s="392">
        <v>0.81721808921999994</v>
      </c>
      <c r="M251" s="348">
        <v>1.6810709182600001</v>
      </c>
      <c r="N251" s="467"/>
    </row>
    <row r="252" spans="2:14" ht="15.75" hidden="1">
      <c r="B252" s="436"/>
      <c r="C252" s="392"/>
      <c r="D252" s="348"/>
      <c r="E252" s="348"/>
      <c r="F252" s="392"/>
      <c r="G252" s="392"/>
      <c r="H252" s="392"/>
      <c r="I252" s="392"/>
      <c r="J252" s="392"/>
      <c r="K252" s="392"/>
      <c r="L252" s="392"/>
      <c r="M252" s="348"/>
      <c r="N252" s="467"/>
    </row>
    <row r="253" spans="2:14" ht="15.75" hidden="1">
      <c r="B253" s="436" t="s">
        <v>337</v>
      </c>
      <c r="C253" s="392">
        <v>1.3513965997200001</v>
      </c>
      <c r="D253" s="348">
        <v>7.5608579071100008</v>
      </c>
      <c r="E253" s="348">
        <v>8.912254506830001</v>
      </c>
      <c r="F253" s="392">
        <v>1.020977E-4</v>
      </c>
      <c r="G253" s="392">
        <v>0</v>
      </c>
      <c r="H253" s="392">
        <v>0.36101421939</v>
      </c>
      <c r="I253" s="392">
        <v>2.9962286369999997E-2</v>
      </c>
      <c r="J253" s="392">
        <v>0</v>
      </c>
      <c r="K253" s="392">
        <v>1.55931919402</v>
      </c>
      <c r="L253" s="392">
        <v>34.652326787329997</v>
      </c>
      <c r="M253" s="348">
        <v>45.514979091640001</v>
      </c>
      <c r="N253" s="467"/>
    </row>
    <row r="254" spans="2:14" ht="15.75" hidden="1">
      <c r="B254" s="436"/>
      <c r="C254" s="392"/>
      <c r="D254" s="348"/>
      <c r="E254" s="348"/>
      <c r="F254" s="392"/>
      <c r="G254" s="392"/>
      <c r="H254" s="392"/>
      <c r="I254" s="392"/>
      <c r="J254" s="392"/>
      <c r="K254" s="392"/>
      <c r="L254" s="392"/>
      <c r="M254" s="348"/>
      <c r="N254" s="467"/>
    </row>
    <row r="255" spans="2:14" ht="15.75" hidden="1">
      <c r="B255" s="436" t="s">
        <v>346</v>
      </c>
      <c r="C255" s="392">
        <v>4.6100030784300001</v>
      </c>
      <c r="D255" s="348">
        <v>80.801040697609992</v>
      </c>
      <c r="E255" s="348">
        <v>85.411043776040003</v>
      </c>
      <c r="F255" s="392">
        <v>1E-4</v>
      </c>
      <c r="G255" s="392">
        <v>0</v>
      </c>
      <c r="H255" s="392">
        <v>8.1725518351000002</v>
      </c>
      <c r="I255" s="392">
        <v>13.877538334960001</v>
      </c>
      <c r="J255" s="392">
        <v>0</v>
      </c>
      <c r="K255" s="392">
        <v>510.86349784177997</v>
      </c>
      <c r="L255" s="392">
        <v>1433.78416673774</v>
      </c>
      <c r="M255" s="348">
        <v>2052.1088985256201</v>
      </c>
      <c r="N255" s="467"/>
    </row>
    <row r="256" spans="2:14" ht="15.75" hidden="1">
      <c r="B256" s="436"/>
      <c r="C256" s="392"/>
      <c r="D256" s="348"/>
      <c r="E256" s="348"/>
      <c r="F256" s="392"/>
      <c r="G256" s="392"/>
      <c r="H256" s="392"/>
      <c r="I256" s="392"/>
      <c r="J256" s="392"/>
      <c r="K256" s="392"/>
      <c r="L256" s="392"/>
      <c r="M256" s="348"/>
      <c r="N256" s="467"/>
    </row>
    <row r="257" spans="2:14" ht="15.75" hidden="1">
      <c r="B257" s="436" t="s">
        <v>347</v>
      </c>
      <c r="C257" s="468">
        <v>9.2200061568600002</v>
      </c>
      <c r="D257" s="469">
        <v>702.65995953521997</v>
      </c>
      <c r="E257" s="469">
        <v>711.87996569207996</v>
      </c>
      <c r="F257" s="468">
        <v>9.840548000000001E-5</v>
      </c>
      <c r="G257" s="468">
        <v>0</v>
      </c>
      <c r="H257" s="468">
        <v>-29.023378071070002</v>
      </c>
      <c r="I257" s="468">
        <v>1.62438605231</v>
      </c>
      <c r="J257" s="468">
        <v>0</v>
      </c>
      <c r="K257" s="468">
        <v>0</v>
      </c>
      <c r="L257" s="468">
        <v>11572.2175101051</v>
      </c>
      <c r="M257" s="469">
        <v>12256.698582183901</v>
      </c>
      <c r="N257" s="467"/>
    </row>
    <row r="258" spans="2:14" ht="15.75" hidden="1">
      <c r="B258" s="436"/>
      <c r="C258" s="392"/>
      <c r="D258" s="348"/>
      <c r="E258" s="348"/>
      <c r="F258" s="392"/>
      <c r="G258" s="392"/>
      <c r="H258" s="392"/>
      <c r="I258" s="392"/>
      <c r="J258" s="392"/>
      <c r="K258" s="392"/>
      <c r="L258" s="392"/>
      <c r="M258" s="348"/>
      <c r="N258" s="403"/>
    </row>
    <row r="259" spans="2:14" ht="15.75" hidden="1">
      <c r="B259" s="384" t="s">
        <v>12</v>
      </c>
      <c r="C259" s="413">
        <v>35.799999999999997</v>
      </c>
      <c r="D259" s="412">
        <v>9453.7999999999993</v>
      </c>
      <c r="E259" s="412">
        <v>9489.6</v>
      </c>
      <c r="F259" s="413">
        <v>0</v>
      </c>
      <c r="G259" s="413">
        <v>0</v>
      </c>
      <c r="H259" s="413">
        <v>-1244.5999999999999</v>
      </c>
      <c r="I259" s="413">
        <v>4393.7</v>
      </c>
      <c r="J259" s="413">
        <v>0</v>
      </c>
      <c r="K259" s="413">
        <v>92264.3</v>
      </c>
      <c r="L259" s="413">
        <v>210672</v>
      </c>
      <c r="M259" s="412">
        <v>315574.90000000002</v>
      </c>
      <c r="N259" s="403"/>
    </row>
    <row r="260" spans="2:14" ht="15.75" hidden="1">
      <c r="B260" s="384"/>
      <c r="C260" s="392"/>
      <c r="D260" s="348"/>
      <c r="E260" s="348"/>
      <c r="F260" s="392"/>
      <c r="G260" s="392"/>
      <c r="H260" s="392"/>
      <c r="I260" s="392"/>
      <c r="J260" s="392"/>
      <c r="K260" s="392"/>
      <c r="L260" s="392"/>
      <c r="M260" s="348"/>
      <c r="N260" s="403"/>
    </row>
    <row r="261" spans="2:14" ht="15.75" hidden="1">
      <c r="B261" s="384" t="s">
        <v>13</v>
      </c>
      <c r="C261" s="413">
        <v>235.5</v>
      </c>
      <c r="D261" s="412">
        <v>13884.2</v>
      </c>
      <c r="E261" s="412">
        <v>14119.7</v>
      </c>
      <c r="F261" s="413">
        <v>0</v>
      </c>
      <c r="G261" s="413">
        <v>0</v>
      </c>
      <c r="H261" s="413">
        <v>-245140.4</v>
      </c>
      <c r="I261" s="413">
        <v>1190448.7</v>
      </c>
      <c r="J261" s="413">
        <v>0</v>
      </c>
      <c r="K261" s="413">
        <v>15833515.6</v>
      </c>
      <c r="L261" s="413">
        <v>33598796.899999999</v>
      </c>
      <c r="M261" s="412">
        <v>50391740.5</v>
      </c>
      <c r="N261" s="403"/>
    </row>
    <row r="262" spans="2:14" ht="15.75" hidden="1">
      <c r="B262" s="384"/>
      <c r="C262" s="413"/>
      <c r="D262" s="412"/>
      <c r="E262" s="412"/>
      <c r="F262" s="413"/>
      <c r="G262" s="413"/>
      <c r="H262" s="413"/>
      <c r="I262" s="413"/>
      <c r="J262" s="413"/>
      <c r="K262" s="413"/>
      <c r="L262" s="413"/>
      <c r="M262" s="412"/>
      <c r="N262" s="403"/>
    </row>
    <row r="263" spans="2:14" ht="15.75" hidden="1">
      <c r="B263" s="384" t="s">
        <v>14</v>
      </c>
      <c r="C263" s="413">
        <v>2501.9</v>
      </c>
      <c r="D263" s="412">
        <v>62526.400000000001</v>
      </c>
      <c r="E263" s="412">
        <v>65028.3</v>
      </c>
      <c r="F263" s="413">
        <v>0</v>
      </c>
      <c r="G263" s="413">
        <v>0</v>
      </c>
      <c r="H263" s="413">
        <v>-2637680290.1999998</v>
      </c>
      <c r="I263" s="413">
        <v>54325949872.900002</v>
      </c>
      <c r="J263" s="413">
        <v>0</v>
      </c>
      <c r="K263" s="413">
        <v>8286326817306.4004</v>
      </c>
      <c r="L263" s="413">
        <v>2028890675457.2</v>
      </c>
      <c r="M263" s="412">
        <v>10366905827374.6</v>
      </c>
      <c r="N263" s="403"/>
    </row>
    <row r="264" spans="2:14" ht="15.75" hidden="1">
      <c r="B264" s="384"/>
      <c r="C264" s="413"/>
      <c r="D264" s="412"/>
      <c r="E264" s="412"/>
      <c r="F264" s="413"/>
      <c r="G264" s="413"/>
      <c r="H264" s="413"/>
      <c r="I264" s="413"/>
      <c r="J264" s="413"/>
      <c r="K264" s="413"/>
      <c r="L264" s="413"/>
      <c r="M264" s="412"/>
      <c r="N264" s="403"/>
    </row>
    <row r="265" spans="2:14" ht="15.75" hidden="1">
      <c r="B265" s="384" t="s">
        <v>15</v>
      </c>
      <c r="C265" s="413">
        <v>219143.8</v>
      </c>
      <c r="D265" s="412">
        <v>6315280.5999999996</v>
      </c>
      <c r="E265" s="412">
        <v>6534424.4000000004</v>
      </c>
      <c r="F265" s="413">
        <v>0</v>
      </c>
      <c r="G265" s="413">
        <v>0</v>
      </c>
      <c r="H265" s="413">
        <v>3477324302988190</v>
      </c>
      <c r="I265" s="413">
        <v>26222856243.700001</v>
      </c>
      <c r="J265" s="413">
        <v>0</v>
      </c>
      <c r="K265" s="413">
        <v>5.4576784089204998E+17</v>
      </c>
      <c r="L265" s="413">
        <v>4.20551745317602E+16</v>
      </c>
      <c r="M265" s="412">
        <v>5.9130036595618906E+17</v>
      </c>
      <c r="N265" s="403"/>
    </row>
    <row r="266" spans="2:14" ht="15.75" hidden="1">
      <c r="B266" s="384"/>
      <c r="C266" s="413"/>
      <c r="D266" s="412"/>
      <c r="E266" s="412"/>
      <c r="F266" s="413"/>
      <c r="G266" s="413"/>
      <c r="H266" s="413"/>
      <c r="I266" s="413"/>
      <c r="J266" s="413"/>
      <c r="K266" s="413"/>
      <c r="L266" s="413"/>
      <c r="M266" s="412"/>
      <c r="N266" s="403"/>
    </row>
    <row r="267" spans="2:14" ht="15.75" hidden="1">
      <c r="B267" s="384" t="s">
        <v>16</v>
      </c>
      <c r="C267" s="413">
        <v>8055631.7000000002</v>
      </c>
      <c r="D267" s="412">
        <v>393079902.5</v>
      </c>
      <c r="E267" s="412">
        <v>401135534.19999999</v>
      </c>
      <c r="F267" s="413">
        <v>4000000000000000</v>
      </c>
      <c r="G267" s="413">
        <v>0</v>
      </c>
      <c r="H267" s="413">
        <v>-4.0569288471624096E+16</v>
      </c>
      <c r="I267" s="413">
        <v>26287513386.299999</v>
      </c>
      <c r="J267" s="413">
        <v>0</v>
      </c>
      <c r="K267" s="413">
        <v>6.2572301658402099E+17</v>
      </c>
      <c r="L267" s="413">
        <v>5.1083678786223196E+18</v>
      </c>
      <c r="M267" s="412">
        <v>5.6975216334233702E+18</v>
      </c>
      <c r="N267" s="403"/>
    </row>
    <row r="268" spans="2:14" ht="16.5" hidden="1" thickBot="1">
      <c r="B268" s="470"/>
      <c r="C268" s="471"/>
      <c r="D268" s="471"/>
      <c r="E268" s="472"/>
      <c r="F268" s="471"/>
      <c r="G268" s="471"/>
      <c r="H268" s="471"/>
      <c r="I268" s="471"/>
      <c r="J268" s="471"/>
      <c r="K268" s="471"/>
      <c r="L268" s="471"/>
      <c r="M268" s="472"/>
      <c r="N268" s="374"/>
    </row>
    <row r="269" spans="2:14" ht="16.5" hidden="1" thickTop="1">
      <c r="B269" s="435"/>
      <c r="C269" s="442"/>
      <c r="D269" s="442"/>
      <c r="E269" s="443"/>
      <c r="F269" s="442"/>
      <c r="G269" s="442"/>
      <c r="H269" s="442"/>
      <c r="I269" s="442"/>
      <c r="J269" s="442"/>
      <c r="K269" s="442"/>
      <c r="L269" s="442"/>
      <c r="M269" s="443"/>
      <c r="N269" s="374"/>
    </row>
    <row r="270" spans="2:14" hidden="1"/>
    <row r="271" spans="2:14" hidden="1"/>
    <row r="272" spans="2:14" ht="15.75" hidden="1" thickBot="1">
      <c r="C272" s="473">
        <v>10000000000</v>
      </c>
    </row>
    <row r="273" spans="2:14" ht="16.5" hidden="1" thickTop="1">
      <c r="B273" s="474">
        <v>2009</v>
      </c>
      <c r="C273" s="475"/>
      <c r="D273" s="476"/>
      <c r="E273" s="476"/>
      <c r="F273" s="475"/>
      <c r="G273" s="475"/>
      <c r="H273" s="475"/>
      <c r="I273" s="475"/>
      <c r="J273" s="475"/>
      <c r="K273" s="475"/>
      <c r="L273" s="475"/>
      <c r="M273" s="476"/>
    </row>
    <row r="274" spans="2:14" ht="15.75" hidden="1">
      <c r="B274" s="436"/>
      <c r="C274" s="392"/>
      <c r="D274" s="348"/>
      <c r="E274" s="348"/>
      <c r="F274" s="392"/>
      <c r="G274" s="392"/>
      <c r="H274" s="392"/>
      <c r="I274" s="392"/>
      <c r="J274" s="392"/>
      <c r="K274" s="392"/>
      <c r="L274" s="392"/>
      <c r="M274" s="348"/>
    </row>
    <row r="275" spans="2:14" ht="15.75" hidden="1">
      <c r="B275" s="436" t="s">
        <v>8</v>
      </c>
      <c r="C275" s="413">
        <v>1.0812710000000001E-5</v>
      </c>
      <c r="D275" s="412">
        <v>68.949376000000001</v>
      </c>
      <c r="E275" s="412">
        <f>C275+D275</f>
        <v>68.949386812710003</v>
      </c>
      <c r="F275" s="413">
        <v>0.1142857</v>
      </c>
      <c r="G275" s="413">
        <v>-6.9999999999999994E-5</v>
      </c>
      <c r="H275" s="413">
        <v>1015.5032808999999</v>
      </c>
      <c r="I275" s="413">
        <v>1.3999999999999999E-6</v>
      </c>
      <c r="J275" s="413">
        <v>0</v>
      </c>
      <c r="K275" s="413">
        <v>15.4855429</v>
      </c>
      <c r="L275" s="413">
        <v>142.421561</v>
      </c>
      <c r="M275" s="412">
        <f>E275+F275+G275+H275+I275+J275+K275+L275</f>
        <v>1242.4739887127098</v>
      </c>
      <c r="N275" s="477"/>
    </row>
    <row r="276" spans="2:14" ht="15.75" hidden="1">
      <c r="B276" s="436"/>
      <c r="C276" s="413"/>
      <c r="D276" s="412">
        <v>0</v>
      </c>
      <c r="E276" s="412"/>
      <c r="F276" s="413"/>
      <c r="G276" s="413"/>
      <c r="H276" s="413"/>
      <c r="I276" s="413"/>
      <c r="J276" s="413"/>
      <c r="K276" s="413"/>
      <c r="L276" s="413"/>
      <c r="M276" s="412"/>
    </row>
    <row r="277" spans="2:14" ht="15.75" hidden="1">
      <c r="B277" s="436" t="s">
        <v>9</v>
      </c>
      <c r="C277" s="413">
        <v>3.8095029999999996E-5</v>
      </c>
      <c r="D277" s="412">
        <v>76.007940000000005</v>
      </c>
      <c r="E277" s="412">
        <f>C277+D277</f>
        <v>76.007978095030012</v>
      </c>
      <c r="F277" s="413">
        <v>0.1142857</v>
      </c>
      <c r="G277" s="413">
        <v>-3.4480000000000003E-4</v>
      </c>
      <c r="H277" s="413">
        <v>1025.2251348</v>
      </c>
      <c r="I277" s="413">
        <v>8.4000000000000009E-6</v>
      </c>
      <c r="J277" s="413">
        <v>0</v>
      </c>
      <c r="K277" s="413">
        <v>15.4855429</v>
      </c>
      <c r="L277" s="413">
        <v>154.84665959999998</v>
      </c>
      <c r="M277" s="412">
        <f>E277+F277+G277+H277+I277+J277+K277+L277</f>
        <v>1271.67926469503</v>
      </c>
    </row>
    <row r="278" spans="2:14" ht="15.75" hidden="1">
      <c r="B278" s="436"/>
      <c r="C278" s="413"/>
      <c r="D278" s="412">
        <v>0</v>
      </c>
      <c r="E278" s="412"/>
      <c r="F278" s="413"/>
      <c r="G278" s="413"/>
      <c r="H278" s="413"/>
      <c r="I278" s="413"/>
      <c r="J278" s="413"/>
      <c r="K278" s="413"/>
      <c r="L278" s="413"/>
      <c r="M278" s="412"/>
    </row>
    <row r="279" spans="2:14" ht="15.75" hidden="1">
      <c r="B279" s="436" t="s">
        <v>10</v>
      </c>
      <c r="C279" s="413">
        <v>3.0590483000000001E-4</v>
      </c>
      <c r="D279" s="412">
        <v>78.532039999999995</v>
      </c>
      <c r="E279" s="412">
        <f>C279+D279</f>
        <v>78.532345904829995</v>
      </c>
      <c r="F279" s="413">
        <v>0.1142857</v>
      </c>
      <c r="G279" s="413">
        <v>-3.4480000000000003E-4</v>
      </c>
      <c r="H279" s="413">
        <v>1030.0427296</v>
      </c>
      <c r="I279" s="413">
        <v>4.0439999999999996E-4</v>
      </c>
      <c r="J279" s="413">
        <v>0</v>
      </c>
      <c r="K279" s="413">
        <v>15.4855429</v>
      </c>
      <c r="L279" s="413">
        <v>7519.3941256999997</v>
      </c>
      <c r="M279" s="412">
        <f>E279+F279+G279+H279+I279+J279+K279+L279</f>
        <v>8643.5690894048294</v>
      </c>
    </row>
    <row r="280" spans="2:14" ht="15.75" hidden="1">
      <c r="B280" s="436"/>
      <c r="C280" s="413"/>
      <c r="D280" s="412">
        <v>0</v>
      </c>
      <c r="E280" s="412"/>
      <c r="F280" s="413"/>
      <c r="G280" s="413"/>
      <c r="H280" s="413"/>
      <c r="I280" s="413"/>
      <c r="J280" s="413"/>
      <c r="K280" s="413"/>
      <c r="L280" s="413"/>
      <c r="M280" s="412"/>
    </row>
    <row r="281" spans="2:14" ht="15.75" hidden="1">
      <c r="B281" s="436" t="s">
        <v>11</v>
      </c>
      <c r="C281" s="413">
        <v>0</v>
      </c>
      <c r="D281" s="412">
        <v>53.185958299999996</v>
      </c>
      <c r="E281" s="412">
        <f>C281+D281</f>
        <v>53.185958299999996</v>
      </c>
      <c r="F281" s="413">
        <v>5.8978800000000002E-6</v>
      </c>
      <c r="G281" s="413">
        <v>0</v>
      </c>
      <c r="H281" s="413">
        <v>1554.7452880000001</v>
      </c>
      <c r="I281" s="413">
        <v>4.0561E-2</v>
      </c>
      <c r="J281" s="413">
        <v>0</v>
      </c>
      <c r="K281" s="413">
        <v>35.457618600000004</v>
      </c>
      <c r="L281" s="413">
        <v>143.02202780000002</v>
      </c>
      <c r="M281" s="412">
        <f>E281+F281+G281+H281+I281+J281+K281+L281</f>
        <v>1786.4514595978799</v>
      </c>
    </row>
    <row r="282" spans="2:14" ht="15.75" hidden="1">
      <c r="B282" s="436"/>
      <c r="C282" s="413"/>
      <c r="D282" s="412">
        <v>0</v>
      </c>
      <c r="E282" s="412"/>
      <c r="F282" s="413"/>
      <c r="G282" s="413"/>
      <c r="H282" s="413"/>
      <c r="I282" s="413"/>
      <c r="J282" s="413"/>
      <c r="K282" s="413"/>
      <c r="L282" s="413"/>
      <c r="M282" s="412"/>
    </row>
    <row r="283" spans="2:14" ht="15.75" hidden="1">
      <c r="B283" s="436" t="s">
        <v>337</v>
      </c>
      <c r="C283" s="413">
        <v>0</v>
      </c>
      <c r="D283" s="412">
        <v>60.491001799999999</v>
      </c>
      <c r="E283" s="412">
        <f>C283+D283</f>
        <v>60.491001799999999</v>
      </c>
      <c r="F283" s="413">
        <v>1.020977E-4</v>
      </c>
      <c r="G283" s="413">
        <v>0</v>
      </c>
      <c r="H283" s="413">
        <v>1554.2594750000001</v>
      </c>
      <c r="I283" s="413">
        <v>7.2908000000000001E-2</v>
      </c>
      <c r="J283" s="413">
        <v>0</v>
      </c>
      <c r="K283" s="413">
        <v>41.463796600000002</v>
      </c>
      <c r="L283" s="413">
        <v>144.49536749999999</v>
      </c>
      <c r="M283" s="412">
        <f>E283+F283+G283+H283+I283+J283+K283+L283</f>
        <v>1800.7826509977001</v>
      </c>
    </row>
    <row r="284" spans="2:14" ht="15.75" hidden="1">
      <c r="B284" s="436"/>
      <c r="C284" s="413"/>
      <c r="D284" s="412">
        <v>0</v>
      </c>
      <c r="E284" s="412"/>
      <c r="F284" s="413"/>
      <c r="G284" s="413"/>
      <c r="H284" s="413"/>
      <c r="I284" s="413"/>
      <c r="J284" s="413"/>
      <c r="K284" s="413"/>
      <c r="L284" s="413"/>
      <c r="M284" s="412"/>
    </row>
    <row r="285" spans="2:14" ht="15.75" hidden="1">
      <c r="B285" s="436" t="s">
        <v>346</v>
      </c>
      <c r="C285" s="413">
        <v>0</v>
      </c>
      <c r="D285" s="412">
        <v>84.266728999999998</v>
      </c>
      <c r="E285" s="412">
        <f>C285+D285</f>
        <v>84.266728999999998</v>
      </c>
      <c r="F285" s="413">
        <v>1E-4</v>
      </c>
      <c r="G285" s="413">
        <v>0</v>
      </c>
      <c r="H285" s="413">
        <v>1554.0493723</v>
      </c>
      <c r="I285" s="413">
        <v>0.121435</v>
      </c>
      <c r="J285" s="413">
        <v>0</v>
      </c>
      <c r="K285" s="413">
        <v>34.841173299999994</v>
      </c>
      <c r="L285" s="413">
        <v>148.8434647</v>
      </c>
      <c r="M285" s="412">
        <f>E285+F285+G285+H285+I285+J285+K285+L285</f>
        <v>1822.1222742999998</v>
      </c>
    </row>
    <row r="286" spans="2:14" ht="15.75" hidden="1">
      <c r="B286" s="436"/>
      <c r="C286" s="413"/>
      <c r="D286" s="412">
        <v>0</v>
      </c>
      <c r="E286" s="412"/>
      <c r="F286" s="413"/>
      <c r="G286" s="413"/>
      <c r="H286" s="413"/>
      <c r="I286" s="413"/>
      <c r="J286" s="413"/>
      <c r="K286" s="413"/>
      <c r="L286" s="413"/>
      <c r="M286" s="412"/>
    </row>
    <row r="287" spans="2:14" ht="15.75" hidden="1">
      <c r="B287" s="436" t="s">
        <v>347</v>
      </c>
      <c r="C287" s="413">
        <v>0</v>
      </c>
      <c r="D287" s="412">
        <v>74.8585317</v>
      </c>
      <c r="E287" s="412">
        <f>C287+D287</f>
        <v>74.8585317</v>
      </c>
      <c r="F287" s="413">
        <v>9.840548000000001E-5</v>
      </c>
      <c r="G287" s="413">
        <v>0</v>
      </c>
      <c r="H287" s="413">
        <v>1554.551414</v>
      </c>
      <c r="I287" s="413">
        <v>0.122485</v>
      </c>
      <c r="J287" s="413">
        <v>0</v>
      </c>
      <c r="K287" s="413">
        <v>30.017433899999997</v>
      </c>
      <c r="L287" s="413">
        <v>155.89360780000001</v>
      </c>
      <c r="M287" s="412">
        <f>E287+F287+G287+H287+I287+J287+K287+L287</f>
        <v>1815.44357080548</v>
      </c>
    </row>
    <row r="288" spans="2:14" ht="15.75" hidden="1">
      <c r="B288" s="436"/>
      <c r="C288" s="413"/>
      <c r="D288" s="412">
        <v>0</v>
      </c>
      <c r="E288" s="412"/>
      <c r="F288" s="413"/>
      <c r="G288" s="413"/>
      <c r="H288" s="413"/>
      <c r="I288" s="413"/>
      <c r="J288" s="413"/>
      <c r="K288" s="413"/>
      <c r="L288" s="413"/>
      <c r="M288" s="412"/>
    </row>
    <row r="289" spans="2:13" ht="15.75" hidden="1">
      <c r="B289" s="436" t="s">
        <v>12</v>
      </c>
      <c r="C289" s="413">
        <v>0</v>
      </c>
      <c r="D289" s="412">
        <v>494.24576100000002</v>
      </c>
      <c r="E289" s="412">
        <v>494.24576100000002</v>
      </c>
      <c r="F289" s="413">
        <v>0</v>
      </c>
      <c r="G289" s="413">
        <v>0</v>
      </c>
      <c r="H289" s="413">
        <v>1555.8202597</v>
      </c>
      <c r="I289" s="413">
        <v>0.88539199999999996</v>
      </c>
      <c r="J289" s="413">
        <v>0</v>
      </c>
      <c r="K289" s="413">
        <v>28.217244000000001</v>
      </c>
      <c r="L289" s="413">
        <v>182.94309430000001</v>
      </c>
      <c r="M289" s="412">
        <f>E289+F289+G289+H289+I289+J289+K289+L289</f>
        <v>2262.1117510000004</v>
      </c>
    </row>
    <row r="290" spans="2:13" ht="15.75" hidden="1">
      <c r="B290" s="436"/>
      <c r="C290" s="413"/>
      <c r="D290" s="412">
        <v>0</v>
      </c>
      <c r="E290" s="412"/>
      <c r="F290" s="413"/>
      <c r="G290" s="413"/>
      <c r="H290" s="413"/>
      <c r="I290" s="413"/>
      <c r="J290" s="413"/>
      <c r="K290" s="413"/>
      <c r="L290" s="413"/>
      <c r="M290" s="412"/>
    </row>
    <row r="291" spans="2:13" ht="15.75" hidden="1">
      <c r="B291" s="436" t="s">
        <v>13</v>
      </c>
      <c r="C291" s="413">
        <v>0</v>
      </c>
      <c r="D291" s="412">
        <v>523.352621</v>
      </c>
      <c r="E291" s="412">
        <v>523.352621</v>
      </c>
      <c r="F291" s="413">
        <v>0</v>
      </c>
      <c r="G291" s="413">
        <v>0</v>
      </c>
      <c r="H291" s="413">
        <v>1574.0903824000002</v>
      </c>
      <c r="I291" s="413">
        <v>0.894984</v>
      </c>
      <c r="J291" s="413">
        <v>0</v>
      </c>
      <c r="K291" s="413">
        <v>22.489846</v>
      </c>
      <c r="L291" s="413">
        <v>170.02969160000001</v>
      </c>
      <c r="M291" s="412">
        <f>E291+F291+G291+H291+I291+J291+K291+L291</f>
        <v>2290.8575250000004</v>
      </c>
    </row>
    <row r="292" spans="2:13" ht="15.75" hidden="1">
      <c r="B292" s="436"/>
      <c r="C292" s="413"/>
      <c r="D292" s="412">
        <v>0</v>
      </c>
      <c r="E292" s="412"/>
      <c r="F292" s="413"/>
      <c r="G292" s="413"/>
      <c r="H292" s="413"/>
      <c r="I292" s="413"/>
      <c r="J292" s="413"/>
      <c r="K292" s="413"/>
      <c r="L292" s="413"/>
      <c r="M292" s="412"/>
    </row>
    <row r="293" spans="2:13" ht="15.75" hidden="1">
      <c r="B293" s="436" t="s">
        <v>14</v>
      </c>
      <c r="C293" s="413">
        <v>0</v>
      </c>
      <c r="D293" s="412">
        <v>518.04861900000003</v>
      </c>
      <c r="E293" s="412">
        <v>518.04861900000003</v>
      </c>
      <c r="F293" s="413">
        <v>0</v>
      </c>
      <c r="G293" s="413">
        <v>0</v>
      </c>
      <c r="H293" s="413">
        <v>1576.9815560999998</v>
      </c>
      <c r="I293" s="413">
        <v>0.91395199999999999</v>
      </c>
      <c r="J293" s="413">
        <v>0</v>
      </c>
      <c r="K293" s="413">
        <v>24.423732000000001</v>
      </c>
      <c r="L293" s="413">
        <v>179.68816390000001</v>
      </c>
      <c r="M293" s="412">
        <f>E293+F293+G293+H293+I293+J293+K293+L293</f>
        <v>2300.0560229999996</v>
      </c>
    </row>
    <row r="294" spans="2:13" ht="15.75" hidden="1">
      <c r="B294" s="436"/>
      <c r="C294" s="413"/>
      <c r="D294" s="412">
        <v>0</v>
      </c>
      <c r="E294" s="412"/>
      <c r="F294" s="413"/>
      <c r="G294" s="413"/>
      <c r="H294" s="413"/>
      <c r="I294" s="413"/>
      <c r="J294" s="413"/>
      <c r="K294" s="413"/>
      <c r="L294" s="413"/>
      <c r="M294" s="412"/>
    </row>
    <row r="295" spans="2:13" ht="15.75" hidden="1">
      <c r="B295" s="436" t="s">
        <v>15</v>
      </c>
      <c r="C295" s="413">
        <v>0</v>
      </c>
      <c r="D295" s="412">
        <v>508.10840999999999</v>
      </c>
      <c r="E295" s="412">
        <v>508.10840999999999</v>
      </c>
      <c r="F295" s="413">
        <v>0</v>
      </c>
      <c r="G295" s="413">
        <v>0</v>
      </c>
      <c r="H295" s="413">
        <v>1595.0956695</v>
      </c>
      <c r="I295" s="413">
        <v>0.89970099999999997</v>
      </c>
      <c r="J295" s="413">
        <v>0</v>
      </c>
      <c r="K295" s="413">
        <v>22.964396000000001</v>
      </c>
      <c r="L295" s="413">
        <v>180.9826395</v>
      </c>
      <c r="M295" s="412">
        <f>E295+F295+G295+H295+I295+J295+K295+L295</f>
        <v>2308.0508159999995</v>
      </c>
    </row>
    <row r="296" spans="2:13" ht="15.75" hidden="1">
      <c r="B296" s="436"/>
      <c r="C296" s="413"/>
      <c r="D296" s="412">
        <v>0</v>
      </c>
      <c r="E296" s="412"/>
      <c r="F296" s="413"/>
      <c r="G296" s="413"/>
      <c r="H296" s="413"/>
      <c r="I296" s="413"/>
      <c r="J296" s="413"/>
      <c r="K296" s="413"/>
      <c r="L296" s="413"/>
      <c r="M296" s="412"/>
    </row>
    <row r="297" spans="2:13" ht="15.75" hidden="1">
      <c r="B297" s="436" t="s">
        <v>16</v>
      </c>
      <c r="C297" s="392">
        <v>0</v>
      </c>
      <c r="D297" s="348">
        <v>526.33102299999996</v>
      </c>
      <c r="E297" s="348">
        <v>526.33102299999996</v>
      </c>
      <c r="F297" s="392">
        <v>0</v>
      </c>
      <c r="G297" s="392">
        <v>0</v>
      </c>
      <c r="H297" s="392">
        <v>-1.8575839999999999</v>
      </c>
      <c r="I297" s="392">
        <v>0.93455299999999997</v>
      </c>
      <c r="J297" s="392">
        <v>0</v>
      </c>
      <c r="K297" s="392">
        <v>15.937091800000001</v>
      </c>
      <c r="L297" s="392">
        <v>142.94489320000005</v>
      </c>
      <c r="M297" s="348">
        <v>684.28997700000002</v>
      </c>
    </row>
    <row r="298" spans="2:13" ht="16.5" thickTop="1">
      <c r="B298" s="436"/>
      <c r="C298" s="413"/>
      <c r="D298" s="412"/>
      <c r="E298" s="412"/>
      <c r="F298" s="413"/>
      <c r="G298" s="413"/>
      <c r="H298" s="413"/>
      <c r="I298" s="413"/>
      <c r="J298" s="413"/>
      <c r="K298" s="413"/>
      <c r="L298" s="413"/>
      <c r="M298" s="412"/>
    </row>
    <row r="299" spans="2:13" ht="15.75">
      <c r="B299" s="466">
        <v>2010</v>
      </c>
      <c r="C299" s="413"/>
      <c r="D299" s="412"/>
      <c r="E299" s="412"/>
      <c r="F299" s="413"/>
      <c r="G299" s="413"/>
      <c r="H299" s="413"/>
      <c r="I299" s="413"/>
      <c r="J299" s="413"/>
      <c r="K299" s="413"/>
      <c r="L299" s="413"/>
      <c r="M299" s="412"/>
    </row>
    <row r="300" spans="2:13" ht="15.75">
      <c r="B300" s="436"/>
      <c r="C300" s="413"/>
      <c r="D300" s="412"/>
      <c r="E300" s="412"/>
      <c r="F300" s="413"/>
      <c r="G300" s="413"/>
      <c r="H300" s="413"/>
      <c r="I300" s="413"/>
      <c r="J300" s="413"/>
      <c r="K300" s="413"/>
      <c r="L300" s="413"/>
      <c r="M300" s="412"/>
    </row>
    <row r="301" spans="2:13" ht="15.75">
      <c r="B301" s="436" t="s">
        <v>8</v>
      </c>
      <c r="C301" s="413">
        <v>0</v>
      </c>
      <c r="D301" s="412">
        <v>68.949376000000001</v>
      </c>
      <c r="E301" s="412">
        <v>68.949376000000001</v>
      </c>
      <c r="F301" s="413">
        <v>0</v>
      </c>
      <c r="G301" s="413">
        <v>0</v>
      </c>
      <c r="H301" s="413">
        <v>-1.6359589999999999</v>
      </c>
      <c r="I301" s="413">
        <v>0.94680900000000001</v>
      </c>
      <c r="J301" s="413">
        <v>0</v>
      </c>
      <c r="K301" s="413">
        <v>20.865197999999999</v>
      </c>
      <c r="L301" s="413">
        <v>613.86067300000002</v>
      </c>
      <c r="M301" s="412">
        <v>702.98609699999997</v>
      </c>
    </row>
    <row r="302" spans="2:13" ht="15.75">
      <c r="B302" s="436"/>
      <c r="C302" s="413"/>
      <c r="D302" s="412"/>
      <c r="E302" s="412"/>
      <c r="F302" s="413"/>
      <c r="G302" s="413"/>
      <c r="H302" s="413"/>
      <c r="I302" s="413"/>
      <c r="J302" s="413"/>
      <c r="K302" s="413"/>
      <c r="L302" s="413"/>
      <c r="M302" s="412"/>
    </row>
    <row r="303" spans="2:13" ht="15.75">
      <c r="B303" s="436" t="s">
        <v>9</v>
      </c>
      <c r="C303" s="392">
        <v>0</v>
      </c>
      <c r="D303" s="348">
        <v>76.007940000000005</v>
      </c>
      <c r="E303" s="348">
        <v>76.007940000000005</v>
      </c>
      <c r="F303" s="392">
        <v>0</v>
      </c>
      <c r="G303" s="392">
        <v>0</v>
      </c>
      <c r="H303" s="392">
        <v>-1.704574</v>
      </c>
      <c r="I303" s="392">
        <v>0.95578200000000002</v>
      </c>
      <c r="J303" s="392">
        <v>0</v>
      </c>
      <c r="K303" s="392">
        <v>16.938524999999998</v>
      </c>
      <c r="L303" s="392">
        <v>595.02158299999996</v>
      </c>
      <c r="M303" s="348">
        <v>687.21925599999997</v>
      </c>
    </row>
    <row r="304" spans="2:13" ht="15.75">
      <c r="B304" s="436"/>
      <c r="C304" s="413"/>
      <c r="D304" s="412"/>
      <c r="E304" s="412"/>
      <c r="F304" s="413"/>
      <c r="G304" s="413"/>
      <c r="H304" s="413"/>
      <c r="I304" s="413"/>
      <c r="J304" s="413"/>
      <c r="K304" s="413"/>
      <c r="L304" s="413"/>
      <c r="M304" s="412"/>
    </row>
    <row r="305" spans="2:13" ht="15.75">
      <c r="B305" s="436" t="s">
        <v>10</v>
      </c>
      <c r="C305" s="392">
        <v>0</v>
      </c>
      <c r="D305" s="348">
        <v>78.532039999999995</v>
      </c>
      <c r="E305" s="348">
        <v>78.532039999999995</v>
      </c>
      <c r="F305" s="392">
        <v>0</v>
      </c>
      <c r="G305" s="392">
        <v>0</v>
      </c>
      <c r="H305" s="392">
        <v>-1.9590780000000001</v>
      </c>
      <c r="I305" s="392">
        <v>0.96694899999999995</v>
      </c>
      <c r="J305" s="392">
        <v>0</v>
      </c>
      <c r="K305" s="392">
        <v>16.938524999999998</v>
      </c>
      <c r="L305" s="392">
        <v>628.82802800000002</v>
      </c>
      <c r="M305" s="348">
        <v>723.30646400000001</v>
      </c>
    </row>
    <row r="306" spans="2:13" ht="15.75">
      <c r="B306" s="436"/>
      <c r="C306" s="413"/>
      <c r="D306" s="412"/>
      <c r="E306" s="412"/>
      <c r="F306" s="413"/>
      <c r="G306" s="413"/>
      <c r="H306" s="413"/>
      <c r="I306" s="413"/>
      <c r="J306" s="413"/>
      <c r="K306" s="413"/>
      <c r="L306" s="413"/>
      <c r="M306" s="412"/>
    </row>
    <row r="307" spans="2:13" ht="15.75">
      <c r="B307" s="436" t="s">
        <v>11</v>
      </c>
      <c r="C307" s="413">
        <v>0</v>
      </c>
      <c r="D307" s="412">
        <v>396.03949399999999</v>
      </c>
      <c r="E307" s="412">
        <f>+D307+C307</f>
        <v>396.03949399999999</v>
      </c>
      <c r="F307" s="413">
        <v>0</v>
      </c>
      <c r="G307" s="413">
        <v>0</v>
      </c>
      <c r="H307" s="413">
        <v>-2.2859539999999998</v>
      </c>
      <c r="I307" s="413">
        <v>0.97196899999999997</v>
      </c>
      <c r="J307" s="413">
        <v>0</v>
      </c>
      <c r="K307" s="413">
        <v>19.031853999999999</v>
      </c>
      <c r="L307" s="413">
        <v>341.63141999999999</v>
      </c>
      <c r="M307" s="412">
        <f>E307+F307+G307+H307+I307+J307+K307+L307</f>
        <v>755.38878299999999</v>
      </c>
    </row>
    <row r="308" spans="2:13" ht="15.75">
      <c r="B308" s="436"/>
      <c r="C308" s="413"/>
      <c r="D308" s="412"/>
      <c r="E308" s="412"/>
      <c r="F308" s="413"/>
      <c r="G308" s="413"/>
      <c r="H308" s="413"/>
      <c r="I308" s="413"/>
      <c r="J308" s="413"/>
      <c r="K308" s="413"/>
      <c r="L308" s="413"/>
      <c r="M308" s="412"/>
    </row>
    <row r="309" spans="2:13" ht="15.75">
      <c r="B309" s="436" t="s">
        <v>337</v>
      </c>
      <c r="C309" s="413">
        <v>0</v>
      </c>
      <c r="D309" s="412">
        <v>398.75381800000002</v>
      </c>
      <c r="E309" s="412">
        <f>+D309+C309</f>
        <v>398.75381800000002</v>
      </c>
      <c r="F309" s="413">
        <v>0</v>
      </c>
      <c r="G309" s="413">
        <v>0</v>
      </c>
      <c r="H309" s="413">
        <v>-2.285857</v>
      </c>
      <c r="I309" s="413">
        <v>0.97807200000000005</v>
      </c>
      <c r="J309" s="413">
        <v>0</v>
      </c>
      <c r="K309" s="413">
        <v>14.556438</v>
      </c>
      <c r="L309" s="413">
        <v>308.76866799999999</v>
      </c>
      <c r="M309" s="412">
        <f>E309+F309+G309+H309+I309+J309+K309+L309</f>
        <v>720.77113899999995</v>
      </c>
    </row>
    <row r="310" spans="2:13" ht="15.75">
      <c r="B310" s="436"/>
      <c r="C310" s="413"/>
      <c r="D310" s="412"/>
      <c r="E310" s="412"/>
      <c r="F310" s="413"/>
      <c r="G310" s="413"/>
      <c r="H310" s="413"/>
      <c r="I310" s="413"/>
      <c r="J310" s="413"/>
      <c r="K310" s="413"/>
      <c r="L310" s="413"/>
      <c r="M310" s="412"/>
    </row>
    <row r="311" spans="2:13" ht="15.75">
      <c r="B311" s="436" t="s">
        <v>346</v>
      </c>
      <c r="C311" s="413">
        <v>0</v>
      </c>
      <c r="D311" s="412">
        <v>411.00572599999998</v>
      </c>
      <c r="E311" s="412">
        <f>+D311+C311</f>
        <v>411.00572599999998</v>
      </c>
      <c r="F311" s="413">
        <v>0</v>
      </c>
      <c r="G311" s="413">
        <v>0</v>
      </c>
      <c r="H311" s="413">
        <v>-2.5206819999999999</v>
      </c>
      <c r="I311" s="413">
        <v>0.97931199999999996</v>
      </c>
      <c r="J311" s="413">
        <v>0</v>
      </c>
      <c r="K311" s="413">
        <v>15.245575000000001</v>
      </c>
      <c r="L311" s="413">
        <v>312.432388</v>
      </c>
      <c r="M311" s="412">
        <f>E311+F311+G311+H311+I311+J311+K311+L311</f>
        <v>737.14231899999993</v>
      </c>
    </row>
    <row r="312" spans="2:13" ht="15.75">
      <c r="B312" s="436"/>
      <c r="C312" s="413"/>
      <c r="D312" s="412"/>
      <c r="E312" s="412"/>
      <c r="F312" s="413"/>
      <c r="G312" s="413"/>
      <c r="H312" s="413"/>
      <c r="I312" s="413"/>
      <c r="J312" s="413"/>
      <c r="K312" s="413"/>
      <c r="L312" s="413"/>
      <c r="M312" s="412"/>
    </row>
    <row r="313" spans="2:13" ht="15.75">
      <c r="B313" s="436" t="s">
        <v>347</v>
      </c>
      <c r="C313" s="413">
        <v>0</v>
      </c>
      <c r="D313" s="412">
        <v>412.660774</v>
      </c>
      <c r="E313" s="412">
        <v>412.660774</v>
      </c>
      <c r="F313" s="413">
        <v>0</v>
      </c>
      <c r="G313" s="413">
        <v>0</v>
      </c>
      <c r="H313" s="413">
        <v>-1.9934259999999999</v>
      </c>
      <c r="I313" s="413">
        <v>0.98567199999999999</v>
      </c>
      <c r="J313" s="413">
        <v>0</v>
      </c>
      <c r="K313" s="413">
        <v>15.154014</v>
      </c>
      <c r="L313" s="413">
        <v>309.54212899999999</v>
      </c>
      <c r="M313" s="412">
        <f>E313+F313+G313+H313+I313+J313+K313+L313</f>
        <v>736.34916300000009</v>
      </c>
    </row>
    <row r="314" spans="2:13" ht="15.75">
      <c r="B314" s="436"/>
      <c r="C314" s="413"/>
      <c r="D314" s="412"/>
      <c r="E314" s="412"/>
      <c r="F314" s="413"/>
      <c r="G314" s="413"/>
      <c r="H314" s="413"/>
      <c r="I314" s="413"/>
      <c r="J314" s="413"/>
      <c r="K314" s="413"/>
      <c r="L314" s="413"/>
      <c r="M314" s="412"/>
    </row>
    <row r="315" spans="2:13" ht="15.75">
      <c r="B315" s="436" t="s">
        <v>12</v>
      </c>
      <c r="C315" s="413">
        <v>0</v>
      </c>
      <c r="D315" s="412">
        <v>424.26716900000002</v>
      </c>
      <c r="E315" s="412">
        <v>424.26716900000002</v>
      </c>
      <c r="F315" s="413">
        <v>0</v>
      </c>
      <c r="G315" s="413">
        <v>0</v>
      </c>
      <c r="H315" s="413">
        <v>-2.0925189999999998</v>
      </c>
      <c r="I315" s="413">
        <v>0.99165999999999999</v>
      </c>
      <c r="J315" s="413">
        <v>0</v>
      </c>
      <c r="K315" s="413">
        <v>13.702024</v>
      </c>
      <c r="L315" s="413">
        <v>312.11742900000002</v>
      </c>
      <c r="M315" s="412">
        <f>E315+F315+G315+H315+I315+J315+K315+L315</f>
        <v>748.98576300000013</v>
      </c>
    </row>
    <row r="316" spans="2:13" ht="15.75">
      <c r="B316" s="436"/>
      <c r="C316" s="413"/>
      <c r="D316" s="412"/>
      <c r="E316" s="412"/>
      <c r="F316" s="413"/>
      <c r="G316" s="413"/>
      <c r="H316" s="413"/>
      <c r="I316" s="413"/>
      <c r="J316" s="413"/>
      <c r="K316" s="413"/>
      <c r="L316" s="413"/>
      <c r="M316" s="412"/>
    </row>
    <row r="317" spans="2:13" ht="15.75">
      <c r="B317" s="436" t="s">
        <v>13</v>
      </c>
      <c r="C317" s="413">
        <v>0</v>
      </c>
      <c r="D317" s="412">
        <v>427.69556899999998</v>
      </c>
      <c r="E317" s="412">
        <f>+D317+C317</f>
        <v>427.69556899999998</v>
      </c>
      <c r="F317" s="413">
        <v>0</v>
      </c>
      <c r="G317" s="413">
        <v>0</v>
      </c>
      <c r="H317" s="413">
        <v>-2.553677</v>
      </c>
      <c r="I317" s="413">
        <v>1.000351</v>
      </c>
      <c r="J317" s="413">
        <v>0</v>
      </c>
      <c r="K317" s="413">
        <v>13.391698999999999</v>
      </c>
      <c r="L317" s="413">
        <v>320.77052400000002</v>
      </c>
      <c r="M317" s="412">
        <f>E317+F317+G317+H317+I317+J317+K317+L317</f>
        <v>760.30446600000005</v>
      </c>
    </row>
    <row r="318" spans="2:13" ht="15.75">
      <c r="B318" s="436"/>
      <c r="C318" s="413"/>
      <c r="D318" s="412"/>
      <c r="E318" s="412"/>
      <c r="F318" s="413"/>
      <c r="G318" s="413"/>
      <c r="H318" s="413"/>
      <c r="I318" s="413"/>
      <c r="J318" s="413"/>
      <c r="K318" s="413"/>
      <c r="L318" s="413"/>
      <c r="M318" s="412"/>
    </row>
    <row r="319" spans="2:13" ht="15.75">
      <c r="B319" s="436" t="s">
        <v>14</v>
      </c>
      <c r="C319" s="413">
        <v>0</v>
      </c>
      <c r="D319" s="412">
        <v>414.60118999999997</v>
      </c>
      <c r="E319" s="412">
        <v>414.60118999999997</v>
      </c>
      <c r="F319" s="413">
        <v>0</v>
      </c>
      <c r="G319" s="413">
        <v>0</v>
      </c>
      <c r="H319" s="413">
        <v>-2.8297759999999998</v>
      </c>
      <c r="I319" s="413">
        <v>1.0160560000000001</v>
      </c>
      <c r="J319" s="413">
        <v>0</v>
      </c>
      <c r="K319" s="413">
        <v>13.695171999999999</v>
      </c>
      <c r="L319" s="413">
        <v>325.54708900000003</v>
      </c>
      <c r="M319" s="412">
        <f>E319+F319+G319+H319+I319+J319+K319+L319</f>
        <v>752.02973100000008</v>
      </c>
    </row>
    <row r="320" spans="2:13" ht="15.75">
      <c r="B320" s="436"/>
      <c r="C320" s="413"/>
      <c r="D320" s="412"/>
      <c r="E320" s="412"/>
      <c r="F320" s="413"/>
      <c r="G320" s="413"/>
      <c r="H320" s="413"/>
      <c r="I320" s="413"/>
      <c r="J320" s="413"/>
      <c r="K320" s="413"/>
      <c r="L320" s="413"/>
      <c r="M320" s="412"/>
    </row>
    <row r="321" spans="2:13" ht="15.75">
      <c r="B321" s="436" t="s">
        <v>15</v>
      </c>
      <c r="C321" s="413">
        <v>0</v>
      </c>
      <c r="D321" s="412">
        <v>413.66602999999998</v>
      </c>
      <c r="E321" s="412">
        <v>413.66602999999998</v>
      </c>
      <c r="F321" s="413">
        <v>0</v>
      </c>
      <c r="G321" s="413">
        <v>0</v>
      </c>
      <c r="H321" s="413">
        <v>-3.9135770000000001</v>
      </c>
      <c r="I321" s="413">
        <v>1.217285</v>
      </c>
      <c r="J321" s="413">
        <v>0</v>
      </c>
      <c r="K321" s="413">
        <v>13.194430000000001</v>
      </c>
      <c r="L321" s="413">
        <v>329.030554</v>
      </c>
      <c r="M321" s="412">
        <f>E321+F321+G321+H321+I321+J321+K321+L321</f>
        <v>753.19472199999996</v>
      </c>
    </row>
    <row r="322" spans="2:13" ht="15.75">
      <c r="B322" s="436"/>
      <c r="C322" s="413"/>
      <c r="D322" s="412"/>
      <c r="E322" s="412"/>
      <c r="F322" s="413"/>
      <c r="G322" s="413"/>
      <c r="H322" s="413"/>
      <c r="I322" s="413"/>
      <c r="J322" s="413"/>
      <c r="K322" s="413"/>
      <c r="L322" s="413"/>
      <c r="M322" s="412"/>
    </row>
    <row r="323" spans="2:13" ht="15.75">
      <c r="B323" s="436" t="s">
        <v>16</v>
      </c>
      <c r="C323" s="413">
        <v>0</v>
      </c>
      <c r="D323" s="412">
        <v>484.200132</v>
      </c>
      <c r="E323" s="412">
        <v>484.200132</v>
      </c>
      <c r="F323" s="413">
        <v>0</v>
      </c>
      <c r="G323" s="413">
        <v>0</v>
      </c>
      <c r="H323" s="413">
        <v>-4.7292009999999998</v>
      </c>
      <c r="I323" s="413">
        <v>1.219077</v>
      </c>
      <c r="J323" s="413">
        <v>0</v>
      </c>
      <c r="K323" s="413">
        <v>12.242725999999999</v>
      </c>
      <c r="L323" s="413">
        <v>300.34408819999999</v>
      </c>
      <c r="M323" s="412">
        <f>E323+F323+G323+H323+I323+J323+K323+L323</f>
        <v>793.27682219999997</v>
      </c>
    </row>
    <row r="324" spans="2:13" ht="16.5" thickBot="1">
      <c r="B324" s="470"/>
      <c r="C324" s="478"/>
      <c r="D324" s="478"/>
      <c r="E324" s="479"/>
      <c r="F324" s="478"/>
      <c r="G324" s="478"/>
      <c r="H324" s="478"/>
      <c r="I324" s="478"/>
      <c r="J324" s="478"/>
      <c r="K324" s="478"/>
      <c r="L324" s="478"/>
      <c r="M324" s="479"/>
    </row>
    <row r="325" spans="2:13" ht="15.75" thickTop="1"/>
    <row r="332" spans="2:13">
      <c r="D332" s="216">
        <v>1000000</v>
      </c>
    </row>
  </sheetData>
  <customSheetViews>
    <customSheetView guid="{705E0D18-9A83-42CA-8732-90923BE2EC7D}"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1"/>
      <headerFooter alignWithMargins="0"/>
    </customSheetView>
    <customSheetView guid="{D45E5F9E-4EA6-40A2-8A1D-3AC67FB8CE54}"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2"/>
      <headerFooter alignWithMargins="0"/>
    </customSheetView>
    <customSheetView guid="{098C004C-808F-436E-8F18-182F927479D1}"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3"/>
      <headerFooter alignWithMargins="0"/>
    </customSheetView>
    <customSheetView guid="{89CA84C2-78F5-4B05-8F1D-B7C5F97BCB4E}"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4"/>
      <headerFooter alignWithMargins="0"/>
    </customSheetView>
  </customSheetViews>
  <mergeCells count="3">
    <mergeCell ref="C9:E9"/>
    <mergeCell ref="B4:M4"/>
    <mergeCell ref="B6:M6"/>
  </mergeCells>
  <phoneticPr fontId="52" type="noConversion"/>
  <pageMargins left="0.17" right="0.17" top="0.22" bottom="0.46" header="0.5" footer="0.5"/>
  <pageSetup scale="55" orientation="landscape" horizontalDpi="300" verticalDpi="300" r:id="rId5"/>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autoPageBreaks="0" fitToPage="1"/>
  </sheetPr>
  <dimension ref="A1:AA350"/>
  <sheetViews>
    <sheetView showOutlineSymbols="0" zoomScale="60" zoomScaleNormal="70" workbookViewId="0">
      <pane xSplit="1" ySplit="150" topLeftCell="E151" activePane="bottomRight" state="frozen"/>
      <selection pane="topRight" activeCell="B1" sqref="B1"/>
      <selection pane="bottomLeft" activeCell="A151" sqref="A151"/>
      <selection pane="bottomRight" sqref="A1:IV65536"/>
    </sheetView>
  </sheetViews>
  <sheetFormatPr defaultColWidth="8.6640625" defaultRowHeight="15.75"/>
  <cols>
    <col min="1" max="1" width="10" style="283" customWidth="1"/>
    <col min="2" max="2" width="15.21875" style="283" customWidth="1"/>
    <col min="3" max="3" width="13" style="283" customWidth="1"/>
    <col min="4" max="4" width="12.77734375" style="283" customWidth="1"/>
    <col min="5" max="5" width="9.5546875" style="283" bestFit="1" customWidth="1"/>
    <col min="6" max="6" width="12.5546875" style="283" customWidth="1"/>
    <col min="7" max="7" width="11.77734375" style="283" customWidth="1"/>
    <col min="8" max="8" width="8.6640625" style="283" customWidth="1"/>
    <col min="9" max="9" width="15.6640625" style="283" customWidth="1"/>
    <col min="10" max="10" width="13.44140625" style="283" customWidth="1"/>
    <col min="11" max="11" width="14" style="283" customWidth="1"/>
    <col min="12" max="12" width="11.77734375" style="283" customWidth="1"/>
    <col min="13" max="13" width="13.44140625" style="283" customWidth="1"/>
    <col min="14" max="14" width="8.6640625" style="283" customWidth="1"/>
    <col min="15" max="15" width="16.77734375" style="283" bestFit="1" customWidth="1"/>
    <col min="16" max="16384" width="8.6640625" style="283"/>
  </cols>
  <sheetData>
    <row r="1" spans="1:27" ht="26.25" customHeight="1">
      <c r="A1" s="282"/>
      <c r="B1" s="282"/>
      <c r="C1" s="282"/>
      <c r="D1" s="282"/>
      <c r="E1" s="282"/>
      <c r="F1" s="282"/>
      <c r="G1" s="282"/>
      <c r="H1" s="282"/>
      <c r="I1" s="282"/>
      <c r="J1" s="282"/>
      <c r="K1" s="282"/>
      <c r="L1" s="282"/>
      <c r="M1" s="282"/>
      <c r="N1" s="282"/>
      <c r="O1" s="282"/>
      <c r="P1" s="282"/>
      <c r="Q1" s="282"/>
      <c r="R1" s="282"/>
      <c r="S1" s="282"/>
      <c r="T1" s="282"/>
      <c r="U1" s="282"/>
      <c r="V1" s="282"/>
      <c r="W1" s="282"/>
      <c r="X1" s="282"/>
      <c r="Y1" s="282"/>
      <c r="Z1" s="282"/>
      <c r="AA1" s="282"/>
    </row>
    <row r="2" spans="1:27" ht="24" customHeight="1">
      <c r="A2" s="1951" t="s">
        <v>1009</v>
      </c>
      <c r="B2" s="1951"/>
      <c r="C2" s="1951"/>
      <c r="D2" s="1951"/>
      <c r="E2" s="1951"/>
      <c r="F2" s="1951"/>
      <c r="G2" s="1951"/>
      <c r="H2" s="1951"/>
      <c r="I2" s="1951"/>
      <c r="J2" s="1951"/>
      <c r="K2" s="1951"/>
      <c r="L2" s="1951"/>
      <c r="M2" s="1951"/>
      <c r="N2" s="282"/>
      <c r="O2" s="282"/>
      <c r="P2" s="282"/>
      <c r="Q2" s="282"/>
      <c r="R2" s="282"/>
      <c r="S2" s="282"/>
      <c r="T2" s="282"/>
      <c r="U2" s="282"/>
      <c r="V2" s="282"/>
      <c r="W2" s="282"/>
      <c r="X2" s="282"/>
      <c r="Y2" s="282"/>
      <c r="Z2" s="282"/>
      <c r="AA2" s="282"/>
    </row>
    <row r="3" spans="1:27" ht="16.899999999999999" customHeight="1">
      <c r="A3" s="284"/>
      <c r="B3" s="285"/>
      <c r="C3" s="285"/>
      <c r="D3" s="285"/>
      <c r="E3" s="285"/>
      <c r="F3" s="285"/>
      <c r="G3" s="285"/>
      <c r="H3" s="285"/>
      <c r="I3" s="285"/>
      <c r="J3" s="285"/>
      <c r="K3" s="285"/>
      <c r="L3" s="285"/>
      <c r="M3" s="285"/>
      <c r="N3" s="282"/>
      <c r="O3" s="282"/>
      <c r="P3" s="282"/>
      <c r="Q3" s="282"/>
      <c r="R3" s="282"/>
      <c r="S3" s="282"/>
      <c r="T3" s="282"/>
      <c r="U3" s="282"/>
      <c r="V3" s="282"/>
      <c r="W3" s="282"/>
      <c r="X3" s="282"/>
      <c r="Y3" s="282"/>
      <c r="Z3" s="282"/>
      <c r="AA3" s="282"/>
    </row>
    <row r="4" spans="1:27" ht="22.5" customHeight="1">
      <c r="A4" s="1945" t="s">
        <v>1039</v>
      </c>
      <c r="B4" s="1945"/>
      <c r="C4" s="1945"/>
      <c r="D4" s="1945"/>
      <c r="E4" s="1945"/>
      <c r="F4" s="1945"/>
      <c r="G4" s="1945"/>
      <c r="H4" s="1945"/>
      <c r="I4" s="1945"/>
      <c r="J4" s="1945"/>
      <c r="K4" s="1945"/>
      <c r="L4" s="1945"/>
      <c r="M4" s="1945"/>
      <c r="N4" s="282"/>
      <c r="O4" s="282"/>
      <c r="P4" s="282"/>
      <c r="Q4" s="282"/>
      <c r="R4" s="282"/>
      <c r="S4" s="282"/>
      <c r="T4" s="282"/>
      <c r="U4" s="282"/>
      <c r="V4" s="282"/>
      <c r="W4" s="282"/>
      <c r="X4" s="282"/>
      <c r="Y4" s="282"/>
      <c r="Z4" s="282"/>
      <c r="AA4" s="282"/>
    </row>
    <row r="5" spans="1:27" ht="16.899999999999999" customHeight="1" thickBot="1">
      <c r="A5" s="285"/>
      <c r="B5" s="285"/>
      <c r="C5" s="285"/>
      <c r="D5" s="285"/>
      <c r="E5" s="285"/>
      <c r="F5" s="285"/>
      <c r="G5" s="285"/>
      <c r="H5" s="285"/>
      <c r="I5" s="285"/>
      <c r="J5" s="285"/>
      <c r="K5" s="285"/>
      <c r="L5" s="285"/>
      <c r="M5" s="285"/>
      <c r="N5" s="282"/>
      <c r="O5" s="282"/>
      <c r="P5" s="282"/>
      <c r="Q5" s="282"/>
      <c r="R5" s="282"/>
      <c r="S5" s="282"/>
      <c r="T5" s="282"/>
      <c r="U5" s="282"/>
      <c r="V5" s="282"/>
      <c r="W5" s="282"/>
      <c r="X5" s="282"/>
      <c r="Y5" s="282"/>
      <c r="Z5" s="282"/>
      <c r="AA5" s="282"/>
    </row>
    <row r="6" spans="1:27" ht="16.899999999999999" customHeight="1" thickTop="1">
      <c r="A6" s="286"/>
      <c r="B6" s="287"/>
      <c r="C6" s="287"/>
      <c r="D6" s="287"/>
      <c r="E6" s="287"/>
      <c r="F6" s="287"/>
      <c r="G6" s="287"/>
      <c r="H6" s="287"/>
      <c r="I6" s="287"/>
      <c r="J6" s="287"/>
      <c r="K6" s="286"/>
      <c r="L6" s="286"/>
      <c r="M6" s="286"/>
      <c r="N6" s="288"/>
      <c r="O6" s="282"/>
      <c r="P6" s="282"/>
      <c r="Q6" s="282"/>
      <c r="R6" s="282"/>
      <c r="S6" s="282"/>
      <c r="T6" s="282"/>
      <c r="U6" s="282"/>
      <c r="V6" s="282"/>
      <c r="W6" s="282"/>
      <c r="X6" s="282"/>
      <c r="Y6" s="282"/>
      <c r="Z6" s="282"/>
      <c r="AA6" s="282"/>
    </row>
    <row r="7" spans="1:27" ht="20.25" customHeight="1">
      <c r="A7" s="289"/>
      <c r="B7" s="1948" t="s">
        <v>1010</v>
      </c>
      <c r="C7" s="1949"/>
      <c r="D7" s="1949"/>
      <c r="E7" s="1949"/>
      <c r="F7" s="1949"/>
      <c r="G7" s="1949"/>
      <c r="H7" s="1949"/>
      <c r="I7" s="1949"/>
      <c r="J7" s="1950"/>
      <c r="K7" s="289"/>
      <c r="L7" s="289"/>
      <c r="M7" s="289"/>
      <c r="N7" s="288"/>
      <c r="O7" s="282"/>
      <c r="P7" s="282"/>
      <c r="Q7" s="282"/>
      <c r="R7" s="282"/>
      <c r="S7" s="282"/>
      <c r="T7" s="282"/>
      <c r="U7" s="282"/>
      <c r="V7" s="282"/>
      <c r="W7" s="282"/>
      <c r="X7" s="282"/>
      <c r="Y7" s="282"/>
      <c r="Z7" s="282"/>
      <c r="AA7" s="282"/>
    </row>
    <row r="8" spans="1:27" ht="21.75" customHeight="1" thickBot="1">
      <c r="A8" s="290" t="s">
        <v>32</v>
      </c>
      <c r="B8" s="291"/>
      <c r="C8" s="291"/>
      <c r="D8" s="291"/>
      <c r="E8" s="291"/>
      <c r="F8" s="291"/>
      <c r="G8" s="291"/>
      <c r="H8" s="291"/>
      <c r="I8" s="291"/>
      <c r="J8" s="291"/>
      <c r="K8" s="290" t="s">
        <v>39</v>
      </c>
      <c r="L8" s="290" t="s">
        <v>31</v>
      </c>
      <c r="M8" s="290" t="s">
        <v>287</v>
      </c>
      <c r="N8" s="288"/>
      <c r="O8" s="282"/>
      <c r="P8" s="282"/>
      <c r="Q8" s="282"/>
      <c r="R8" s="282"/>
      <c r="S8" s="282"/>
      <c r="T8" s="282"/>
      <c r="U8" s="282"/>
      <c r="V8" s="282"/>
      <c r="W8" s="282"/>
      <c r="X8" s="282"/>
      <c r="Y8" s="282"/>
      <c r="Z8" s="282"/>
      <c r="AA8" s="282"/>
    </row>
    <row r="9" spans="1:27" ht="16.899999999999999" customHeight="1" thickTop="1">
      <c r="A9" s="290"/>
      <c r="B9" s="292"/>
      <c r="C9" s="286"/>
      <c r="D9" s="286"/>
      <c r="E9" s="286"/>
      <c r="F9" s="286"/>
      <c r="G9" s="286"/>
      <c r="H9" s="286"/>
      <c r="I9" s="286"/>
      <c r="J9" s="293"/>
      <c r="K9" s="290"/>
      <c r="L9" s="290"/>
      <c r="M9" s="290"/>
      <c r="N9" s="288"/>
      <c r="O9" s="282"/>
      <c r="P9" s="282"/>
      <c r="Q9" s="282"/>
      <c r="R9" s="282"/>
      <c r="S9" s="282"/>
      <c r="T9" s="282"/>
      <c r="U9" s="282"/>
      <c r="V9" s="282"/>
      <c r="W9" s="282"/>
      <c r="X9" s="282"/>
      <c r="Y9" s="282"/>
      <c r="Z9" s="282"/>
      <c r="AA9" s="282"/>
    </row>
    <row r="10" spans="1:27" ht="21.75" customHeight="1">
      <c r="A10" s="289"/>
      <c r="B10" s="290" t="s">
        <v>1011</v>
      </c>
      <c r="C10" s="290" t="s">
        <v>1012</v>
      </c>
      <c r="D10" s="290" t="s">
        <v>65</v>
      </c>
      <c r="E10" s="290" t="s">
        <v>1013</v>
      </c>
      <c r="F10" s="290" t="s">
        <v>66</v>
      </c>
      <c r="G10" s="290" t="s">
        <v>1014</v>
      </c>
      <c r="H10" s="290" t="s">
        <v>1015</v>
      </c>
      <c r="I10" s="290" t="s">
        <v>1016</v>
      </c>
      <c r="J10" s="294" t="s">
        <v>37</v>
      </c>
      <c r="K10" s="290" t="s">
        <v>766</v>
      </c>
      <c r="L10" s="289"/>
      <c r="M10" s="289"/>
      <c r="N10" s="288"/>
      <c r="O10" s="282"/>
      <c r="P10" s="282"/>
      <c r="Q10" s="282"/>
      <c r="R10" s="282"/>
      <c r="S10" s="282"/>
      <c r="T10" s="282"/>
      <c r="U10" s="282"/>
      <c r="V10" s="282"/>
      <c r="W10" s="282"/>
      <c r="X10" s="282"/>
      <c r="Y10" s="282"/>
      <c r="Z10" s="282"/>
      <c r="AA10" s="282"/>
    </row>
    <row r="11" spans="1:27" ht="24" customHeight="1">
      <c r="A11" s="289"/>
      <c r="B11" s="290" t="s">
        <v>67</v>
      </c>
      <c r="C11" s="290" t="s">
        <v>68</v>
      </c>
      <c r="D11" s="290" t="s">
        <v>68</v>
      </c>
      <c r="E11" s="290" t="s">
        <v>68</v>
      </c>
      <c r="F11" s="290" t="s">
        <v>69</v>
      </c>
      <c r="G11" s="290" t="s">
        <v>296</v>
      </c>
      <c r="H11" s="290" t="s">
        <v>70</v>
      </c>
      <c r="I11" s="290" t="s">
        <v>1017</v>
      </c>
      <c r="J11" s="290"/>
      <c r="K11" s="290" t="s">
        <v>1008</v>
      </c>
      <c r="L11" s="289"/>
      <c r="M11" s="289"/>
      <c r="N11" s="288"/>
      <c r="O11" s="282"/>
      <c r="P11" s="282"/>
      <c r="Q11" s="282"/>
      <c r="R11" s="282"/>
      <c r="S11" s="282"/>
      <c r="T11" s="282"/>
      <c r="U11" s="282"/>
      <c r="V11" s="282"/>
      <c r="W11" s="282"/>
      <c r="X11" s="282"/>
      <c r="Y11" s="282"/>
      <c r="Z11" s="282"/>
      <c r="AA11" s="282"/>
    </row>
    <row r="12" spans="1:27" ht="16.899999999999999" customHeight="1" thickBot="1">
      <c r="A12" s="295"/>
      <c r="B12" s="296"/>
      <c r="C12" s="296"/>
      <c r="D12" s="296"/>
      <c r="E12" s="296"/>
      <c r="F12" s="296"/>
      <c r="G12" s="296"/>
      <c r="H12" s="296"/>
      <c r="I12" s="296"/>
      <c r="J12" s="295"/>
      <c r="K12" s="296"/>
      <c r="L12" s="295"/>
      <c r="M12" s="295"/>
      <c r="N12" s="288"/>
      <c r="O12" s="282"/>
      <c r="P12" s="282"/>
      <c r="Q12" s="282"/>
      <c r="R12" s="282"/>
      <c r="S12" s="282"/>
      <c r="T12" s="282"/>
      <c r="U12" s="282"/>
      <c r="V12" s="282"/>
      <c r="W12" s="282"/>
      <c r="X12" s="282"/>
      <c r="Y12" s="282"/>
      <c r="Z12" s="282"/>
      <c r="AA12" s="282"/>
    </row>
    <row r="13" spans="1:27" ht="16.899999999999999" hidden="1" customHeight="1" thickTop="1">
      <c r="A13" s="297"/>
      <c r="B13" s="298"/>
      <c r="C13" s="298"/>
      <c r="D13" s="298"/>
      <c r="E13" s="298"/>
      <c r="F13" s="298"/>
      <c r="G13" s="298"/>
      <c r="H13" s="298"/>
      <c r="I13" s="298"/>
      <c r="J13" s="299"/>
      <c r="K13" s="298"/>
      <c r="L13" s="299"/>
      <c r="M13" s="299"/>
      <c r="N13" s="288"/>
      <c r="O13" s="282"/>
      <c r="P13" s="282"/>
      <c r="Q13" s="282"/>
      <c r="R13" s="282"/>
      <c r="S13" s="282"/>
      <c r="T13" s="282"/>
      <c r="U13" s="282"/>
      <c r="V13" s="282"/>
      <c r="W13" s="282"/>
      <c r="X13" s="282"/>
      <c r="Y13" s="282"/>
      <c r="Z13" s="282"/>
      <c r="AA13" s="282"/>
    </row>
    <row r="14" spans="1:27" ht="12.75" hidden="1" customHeight="1">
      <c r="A14" s="297">
        <v>1999</v>
      </c>
      <c r="B14" s="290"/>
      <c r="C14" s="290"/>
      <c r="D14" s="290"/>
      <c r="E14" s="290"/>
      <c r="F14" s="290"/>
      <c r="G14" s="290"/>
      <c r="H14" s="290"/>
      <c r="I14" s="290"/>
      <c r="J14" s="289"/>
      <c r="K14" s="290"/>
      <c r="L14" s="289"/>
      <c r="M14" s="289"/>
      <c r="N14" s="288"/>
      <c r="O14" s="282"/>
      <c r="P14" s="282"/>
      <c r="Q14" s="282"/>
      <c r="R14" s="282"/>
      <c r="S14" s="282"/>
      <c r="T14" s="282"/>
      <c r="U14" s="282"/>
      <c r="V14" s="282"/>
      <c r="W14" s="282"/>
      <c r="X14" s="282"/>
      <c r="Y14" s="282"/>
      <c r="Z14" s="282"/>
      <c r="AA14" s="282"/>
    </row>
    <row r="15" spans="1:27" ht="12.75" hidden="1" customHeight="1">
      <c r="A15" s="300"/>
      <c r="B15" s="300"/>
      <c r="C15" s="300"/>
      <c r="D15" s="300"/>
      <c r="E15" s="300"/>
      <c r="F15" s="300"/>
      <c r="G15" s="300"/>
      <c r="H15" s="300"/>
      <c r="I15" s="300"/>
      <c r="J15" s="300"/>
      <c r="K15" s="300"/>
      <c r="L15" s="300"/>
      <c r="M15" s="300"/>
      <c r="N15" s="288"/>
      <c r="O15" s="282"/>
      <c r="P15" s="282"/>
      <c r="Q15" s="282"/>
      <c r="R15" s="282"/>
      <c r="S15" s="282"/>
      <c r="T15" s="282"/>
      <c r="U15" s="282"/>
      <c r="V15" s="282"/>
      <c r="W15" s="282"/>
      <c r="X15" s="282"/>
      <c r="Y15" s="282"/>
      <c r="Z15" s="282"/>
      <c r="AA15" s="282"/>
    </row>
    <row r="16" spans="1:27" ht="12.75" hidden="1" customHeight="1">
      <c r="A16" s="289" t="s">
        <v>8</v>
      </c>
      <c r="B16" s="301">
        <v>0.02</v>
      </c>
      <c r="C16" s="301">
        <v>0.245</v>
      </c>
      <c r="D16" s="301">
        <v>8.8000000000000005E-3</v>
      </c>
      <c r="E16" s="301">
        <v>6.9000000000000006E-2</v>
      </c>
      <c r="F16" s="301">
        <v>0.34849999999999998</v>
      </c>
      <c r="G16" s="301">
        <v>1.6399999999999998E-2</v>
      </c>
      <c r="H16" s="301">
        <v>0.11</v>
      </c>
      <c r="I16" s="301">
        <v>1.409135</v>
      </c>
      <c r="J16" s="301">
        <v>2.2268349999999999</v>
      </c>
      <c r="K16" s="301">
        <v>0.45250599999999996</v>
      </c>
      <c r="L16" s="301">
        <v>0.44819700000000012</v>
      </c>
      <c r="M16" s="301">
        <v>3.1275379999999999</v>
      </c>
      <c r="N16" s="288"/>
      <c r="O16" s="282"/>
      <c r="P16" s="282"/>
      <c r="Q16" s="282"/>
      <c r="R16" s="282"/>
      <c r="S16" s="282"/>
      <c r="T16" s="282"/>
      <c r="U16" s="282"/>
      <c r="V16" s="282"/>
      <c r="W16" s="282"/>
      <c r="X16" s="282"/>
      <c r="Y16" s="282"/>
      <c r="Z16" s="282"/>
      <c r="AA16" s="282"/>
    </row>
    <row r="17" spans="1:27" ht="12.75" hidden="1" customHeight="1">
      <c r="A17" s="289" t="s">
        <v>9</v>
      </c>
      <c r="B17" s="301">
        <v>3.0000000000000001E-3</v>
      </c>
      <c r="C17" s="301">
        <v>0.43080000000000002</v>
      </c>
      <c r="D17" s="301">
        <v>2E-3</v>
      </c>
      <c r="E17" s="301">
        <v>6.3E-2</v>
      </c>
      <c r="F17" s="301">
        <v>0.36760000000000004</v>
      </c>
      <c r="G17" s="301">
        <v>6.1799999999999994E-2</v>
      </c>
      <c r="H17" s="301">
        <v>0.11</v>
      </c>
      <c r="I17" s="301">
        <v>0.98548800000000003</v>
      </c>
      <c r="J17" s="301">
        <v>2.0236879999999999</v>
      </c>
      <c r="K17" s="301">
        <v>0.41829100000000002</v>
      </c>
      <c r="L17" s="301">
        <v>0.50188399999999955</v>
      </c>
      <c r="M17" s="301">
        <v>2.9438629999999999</v>
      </c>
      <c r="N17" s="288"/>
      <c r="O17" s="282"/>
      <c r="P17" s="282"/>
      <c r="Q17" s="282"/>
      <c r="R17" s="282"/>
      <c r="S17" s="282"/>
      <c r="T17" s="282"/>
      <c r="U17" s="282"/>
      <c r="V17" s="282"/>
      <c r="W17" s="282"/>
      <c r="X17" s="282"/>
      <c r="Y17" s="282"/>
      <c r="Z17" s="282"/>
      <c r="AA17" s="282"/>
    </row>
    <row r="18" spans="1:27" ht="12.75" hidden="1" customHeight="1">
      <c r="A18" s="289" t="s">
        <v>10</v>
      </c>
      <c r="B18" s="301">
        <v>0</v>
      </c>
      <c r="C18" s="301">
        <v>0.56747400000000003</v>
      </c>
      <c r="D18" s="301">
        <v>9.4E-2</v>
      </c>
      <c r="E18" s="301">
        <v>5.7500000000000002E-2</v>
      </c>
      <c r="F18" s="301">
        <v>0.73368</v>
      </c>
      <c r="G18" s="301">
        <v>0.16700000000000001</v>
      </c>
      <c r="H18" s="301">
        <v>0.11</v>
      </c>
      <c r="I18" s="301">
        <v>1.1058800000000002</v>
      </c>
      <c r="J18" s="301">
        <v>2.835534</v>
      </c>
      <c r="K18" s="301">
        <v>0.40593200000000002</v>
      </c>
      <c r="L18" s="301">
        <v>0.57554499999999997</v>
      </c>
      <c r="M18" s="301">
        <v>3.8170109999999999</v>
      </c>
      <c r="N18" s="288"/>
      <c r="O18" s="282"/>
      <c r="P18" s="282"/>
      <c r="Q18" s="282"/>
      <c r="R18" s="282"/>
      <c r="S18" s="282"/>
      <c r="T18" s="282"/>
      <c r="U18" s="282"/>
      <c r="V18" s="282"/>
      <c r="W18" s="282"/>
      <c r="X18" s="282"/>
      <c r="Y18" s="282"/>
      <c r="Z18" s="282"/>
      <c r="AA18" s="282"/>
    </row>
    <row r="19" spans="1:27" ht="12.75" hidden="1" customHeight="1">
      <c r="A19" s="289" t="s">
        <v>11</v>
      </c>
      <c r="B19" s="301">
        <v>0.18245699999999998</v>
      </c>
      <c r="C19" s="301">
        <v>0.459561</v>
      </c>
      <c r="D19" s="301">
        <v>0.37196800000000002</v>
      </c>
      <c r="E19" s="301">
        <v>5.0700000000000002E-2</v>
      </c>
      <c r="F19" s="301">
        <v>0.82479100000000005</v>
      </c>
      <c r="G19" s="301">
        <v>0.2283</v>
      </c>
      <c r="H19" s="301">
        <v>0.13800000000000001</v>
      </c>
      <c r="I19" s="301">
        <v>1.2522219999999999</v>
      </c>
      <c r="J19" s="301">
        <v>3.5079990000000003</v>
      </c>
      <c r="K19" s="301">
        <v>0.40699599999999997</v>
      </c>
      <c r="L19" s="301">
        <v>0.61766199999999982</v>
      </c>
      <c r="M19" s="301">
        <v>4.5326570000000004</v>
      </c>
      <c r="N19" s="288"/>
      <c r="O19" s="282"/>
      <c r="P19" s="282"/>
      <c r="Q19" s="282"/>
      <c r="R19" s="282"/>
      <c r="S19" s="282"/>
      <c r="T19" s="282"/>
      <c r="U19" s="282"/>
      <c r="V19" s="282"/>
      <c r="W19" s="282"/>
      <c r="X19" s="282"/>
      <c r="Y19" s="282"/>
      <c r="Z19" s="282"/>
      <c r="AA19" s="282"/>
    </row>
    <row r="20" spans="1:27" ht="12.75" hidden="1" customHeight="1">
      <c r="A20" s="289" t="s">
        <v>337</v>
      </c>
      <c r="B20" s="301">
        <v>0</v>
      </c>
      <c r="C20" s="301">
        <v>0.72922600000000004</v>
      </c>
      <c r="D20" s="301">
        <v>8.5897000000000001E-2</v>
      </c>
      <c r="E20" s="301">
        <v>0.15329699999999999</v>
      </c>
      <c r="F20" s="301">
        <v>0.76362399999999997</v>
      </c>
      <c r="G20" s="301">
        <v>0.21209999999999998</v>
      </c>
      <c r="H20" s="301">
        <v>0.13800000000000001</v>
      </c>
      <c r="I20" s="301">
        <v>1.1409910000000001</v>
      </c>
      <c r="J20" s="301">
        <v>3.2231350000000001</v>
      </c>
      <c r="K20" s="301">
        <v>0.39991300000000002</v>
      </c>
      <c r="L20" s="301">
        <v>0.63382000000000005</v>
      </c>
      <c r="M20" s="301">
        <v>4.2568680000000008</v>
      </c>
      <c r="N20" s="288"/>
      <c r="O20" s="282"/>
      <c r="P20" s="282"/>
      <c r="Q20" s="282"/>
      <c r="R20" s="282"/>
      <c r="S20" s="282"/>
      <c r="T20" s="282"/>
      <c r="U20" s="282"/>
      <c r="V20" s="282"/>
      <c r="W20" s="282"/>
      <c r="X20" s="282"/>
      <c r="Y20" s="282"/>
      <c r="Z20" s="282"/>
      <c r="AA20" s="282"/>
    </row>
    <row r="21" spans="1:27" ht="12.75" hidden="1" customHeight="1">
      <c r="A21" s="289" t="s">
        <v>346</v>
      </c>
      <c r="B21" s="301">
        <v>0.10629999999999999</v>
      </c>
      <c r="C21" s="301">
        <v>0.29455000000000003</v>
      </c>
      <c r="D21" s="301">
        <v>0.17089799999999999</v>
      </c>
      <c r="E21" s="301">
        <v>0.13214099999999998</v>
      </c>
      <c r="F21" s="301">
        <v>0.62639599999999995</v>
      </c>
      <c r="G21" s="301">
        <v>0.14130000000000001</v>
      </c>
      <c r="H21" s="301">
        <v>0.13800000000000001</v>
      </c>
      <c r="I21" s="301">
        <v>1.1599280000000001</v>
      </c>
      <c r="J21" s="301">
        <v>2.7695129999999999</v>
      </c>
      <c r="K21" s="301">
        <v>0.38664299999999996</v>
      </c>
      <c r="L21" s="301">
        <v>0.62701900000000022</v>
      </c>
      <c r="M21" s="301">
        <v>3.7831750000000004</v>
      </c>
      <c r="N21" s="288"/>
      <c r="O21" s="282"/>
      <c r="P21" s="282"/>
      <c r="Q21" s="282"/>
      <c r="R21" s="282"/>
      <c r="S21" s="282"/>
      <c r="T21" s="282"/>
      <c r="U21" s="282"/>
      <c r="V21" s="282"/>
      <c r="W21" s="282"/>
      <c r="X21" s="282"/>
      <c r="Y21" s="282"/>
      <c r="Z21" s="282"/>
      <c r="AA21" s="282"/>
    </row>
    <row r="22" spans="1:27" ht="12.75" hidden="1" customHeight="1">
      <c r="A22" s="289" t="s">
        <v>347</v>
      </c>
      <c r="B22" s="301">
        <v>0.22618000000000002</v>
      </c>
      <c r="C22" s="301">
        <v>0.54085400000000006</v>
      </c>
      <c r="D22" s="301">
        <v>0.11275</v>
      </c>
      <c r="E22" s="301">
        <v>0.30406299999999997</v>
      </c>
      <c r="F22" s="301">
        <v>0.397312</v>
      </c>
      <c r="G22" s="301">
        <v>6.0000000000000001E-3</v>
      </c>
      <c r="H22" s="301">
        <v>0.13800000000000001</v>
      </c>
      <c r="I22" s="301">
        <v>1.4135199999999999</v>
      </c>
      <c r="J22" s="301">
        <v>3.1386790000000002</v>
      </c>
      <c r="K22" s="301">
        <v>0.36507100000000003</v>
      </c>
      <c r="L22" s="301">
        <v>1.0209319999999997</v>
      </c>
      <c r="M22" s="301">
        <v>4.5246819999999994</v>
      </c>
      <c r="N22" s="288"/>
      <c r="O22" s="282"/>
      <c r="P22" s="282"/>
      <c r="Q22" s="282"/>
      <c r="R22" s="282"/>
      <c r="S22" s="282"/>
      <c r="T22" s="282"/>
      <c r="U22" s="282"/>
      <c r="V22" s="282"/>
      <c r="W22" s="282"/>
      <c r="X22" s="282"/>
      <c r="Y22" s="282"/>
      <c r="Z22" s="282"/>
      <c r="AA22" s="282"/>
    </row>
    <row r="23" spans="1:27" ht="12.75" hidden="1" customHeight="1">
      <c r="A23" s="289" t="s">
        <v>12</v>
      </c>
      <c r="B23" s="301">
        <v>0.145291</v>
      </c>
      <c r="C23" s="301">
        <v>0.22690000000000002</v>
      </c>
      <c r="D23" s="301">
        <v>0.1555</v>
      </c>
      <c r="E23" s="301">
        <v>5.4634000000000002E-2</v>
      </c>
      <c r="F23" s="301">
        <v>0.39350599999999997</v>
      </c>
      <c r="G23" s="301">
        <v>2.1299999999999999E-2</v>
      </c>
      <c r="H23" s="301">
        <v>0.13800000000000001</v>
      </c>
      <c r="I23" s="301">
        <v>1.3130709999999999</v>
      </c>
      <c r="J23" s="301">
        <v>2.4482019999999998</v>
      </c>
      <c r="K23" s="301">
        <v>0.36247299999999999</v>
      </c>
      <c r="L23" s="301">
        <v>1.0853970000000004</v>
      </c>
      <c r="M23" s="301">
        <v>3.8960720000000002</v>
      </c>
      <c r="N23" s="288"/>
      <c r="O23" s="282"/>
      <c r="P23" s="282"/>
      <c r="Q23" s="282"/>
      <c r="R23" s="282"/>
      <c r="S23" s="282"/>
      <c r="T23" s="282"/>
      <c r="U23" s="282"/>
      <c r="V23" s="282"/>
      <c r="W23" s="282"/>
      <c r="X23" s="282"/>
      <c r="Y23" s="282"/>
      <c r="Z23" s="282"/>
      <c r="AA23" s="282"/>
    </row>
    <row r="24" spans="1:27" ht="12.75" hidden="1" customHeight="1">
      <c r="A24" s="289" t="s">
        <v>13</v>
      </c>
      <c r="B24" s="301">
        <v>1.0817929999999998</v>
      </c>
      <c r="C24" s="301">
        <v>0.2404</v>
      </c>
      <c r="D24" s="301">
        <v>0.18090400000000001</v>
      </c>
      <c r="E24" s="301">
        <v>6.2209E-2</v>
      </c>
      <c r="F24" s="301">
        <v>0.45442100000000002</v>
      </c>
      <c r="G24" s="301">
        <v>2.2499999999999999E-2</v>
      </c>
      <c r="H24" s="301">
        <v>2.8000000000000001E-2</v>
      </c>
      <c r="I24" s="301">
        <v>1.14002</v>
      </c>
      <c r="J24" s="301">
        <v>3.2102469999999999</v>
      </c>
      <c r="K24" s="301">
        <v>0.39728600000000003</v>
      </c>
      <c r="L24" s="301">
        <v>1.3091979999999999</v>
      </c>
      <c r="M24" s="301">
        <v>4.9167309999999995</v>
      </c>
      <c r="N24" s="288"/>
      <c r="O24" s="282"/>
      <c r="P24" s="282"/>
      <c r="Q24" s="282"/>
      <c r="R24" s="282"/>
      <c r="S24" s="282"/>
      <c r="T24" s="282"/>
      <c r="U24" s="282"/>
      <c r="V24" s="282"/>
      <c r="W24" s="282"/>
      <c r="X24" s="282"/>
      <c r="Y24" s="282"/>
      <c r="Z24" s="282"/>
      <c r="AA24" s="282"/>
    </row>
    <row r="25" spans="1:27" ht="12.75" hidden="1" customHeight="1">
      <c r="A25" s="289" t="s">
        <v>14</v>
      </c>
      <c r="B25" s="301">
        <v>3.4229999999999998E-3</v>
      </c>
      <c r="C25" s="301">
        <v>0.20652500000000001</v>
      </c>
      <c r="D25" s="301">
        <v>7.0358000000000004E-2</v>
      </c>
      <c r="E25" s="301">
        <v>0.212501</v>
      </c>
      <c r="F25" s="301">
        <v>0.54972299999999996</v>
      </c>
      <c r="G25" s="301">
        <v>0</v>
      </c>
      <c r="H25" s="301">
        <v>2.8000000000000001E-2</v>
      </c>
      <c r="I25" s="301">
        <v>1.4042809999999999</v>
      </c>
      <c r="J25" s="301">
        <v>2.4748109999999999</v>
      </c>
      <c r="K25" s="301">
        <v>0.53231200000000001</v>
      </c>
      <c r="L25" s="301">
        <v>1.3831450000000001</v>
      </c>
      <c r="M25" s="301">
        <v>4.3902679999999998</v>
      </c>
      <c r="N25" s="288"/>
      <c r="O25" s="282"/>
      <c r="P25" s="282"/>
      <c r="Q25" s="282"/>
      <c r="R25" s="282"/>
      <c r="S25" s="282"/>
      <c r="T25" s="282"/>
      <c r="U25" s="282"/>
      <c r="V25" s="282"/>
      <c r="W25" s="282"/>
      <c r="X25" s="282"/>
      <c r="Y25" s="282"/>
      <c r="Z25" s="282"/>
      <c r="AA25" s="282"/>
    </row>
    <row r="26" spans="1:27" ht="12.75" hidden="1" customHeight="1">
      <c r="A26" s="289" t="s">
        <v>15</v>
      </c>
      <c r="B26" s="301">
        <v>0.69423900000000005</v>
      </c>
      <c r="C26" s="301">
        <v>0.16053999999999999</v>
      </c>
      <c r="D26" s="301">
        <v>1.9350000000000001E-3</v>
      </c>
      <c r="E26" s="301">
        <v>0.20936600000000002</v>
      </c>
      <c r="F26" s="301">
        <v>0.41362900000000002</v>
      </c>
      <c r="G26" s="301">
        <v>4.675E-2</v>
      </c>
      <c r="H26" s="301">
        <v>2.8000000000000001E-2</v>
      </c>
      <c r="I26" s="301">
        <v>1.4750750000000001</v>
      </c>
      <c r="J26" s="301">
        <v>3.0295339999999999</v>
      </c>
      <c r="K26" s="301">
        <v>0.57449899999999998</v>
      </c>
      <c r="L26" s="301">
        <v>1.4778459999999995</v>
      </c>
      <c r="M26" s="301">
        <v>5.0818789999999998</v>
      </c>
      <c r="N26" s="288"/>
      <c r="O26" s="282"/>
      <c r="P26" s="282"/>
      <c r="Q26" s="282"/>
      <c r="R26" s="282"/>
      <c r="S26" s="282"/>
      <c r="T26" s="282"/>
      <c r="U26" s="282"/>
      <c r="V26" s="282"/>
      <c r="W26" s="282"/>
      <c r="X26" s="282"/>
      <c r="Y26" s="282"/>
      <c r="Z26" s="282"/>
      <c r="AA26" s="282"/>
    </row>
    <row r="27" spans="1:27" ht="12.75" hidden="1" customHeight="1">
      <c r="A27" s="289" t="s">
        <v>16</v>
      </c>
      <c r="B27" s="301">
        <v>0</v>
      </c>
      <c r="C27" s="301">
        <v>0.11579</v>
      </c>
      <c r="D27" s="301">
        <v>7.0000000000000007E-2</v>
      </c>
      <c r="E27" s="301">
        <v>2.4315999999999997E-2</v>
      </c>
      <c r="F27" s="301">
        <v>0.28614999999999996</v>
      </c>
      <c r="G27" s="301">
        <v>0.1002</v>
      </c>
      <c r="H27" s="301">
        <v>2.8000000000000001E-2</v>
      </c>
      <c r="I27" s="301">
        <v>1.2507470000000001</v>
      </c>
      <c r="J27" s="301">
        <v>1.875203</v>
      </c>
      <c r="K27" s="301">
        <v>0.534215</v>
      </c>
      <c r="L27" s="301">
        <v>1.2144879999999998</v>
      </c>
      <c r="M27" s="301">
        <v>3.6239059999999998</v>
      </c>
      <c r="N27" s="288"/>
      <c r="O27" s="282"/>
      <c r="P27" s="282"/>
      <c r="Q27" s="282"/>
      <c r="R27" s="282"/>
      <c r="S27" s="282"/>
      <c r="T27" s="282"/>
      <c r="U27" s="282"/>
      <c r="V27" s="282"/>
      <c r="W27" s="282"/>
      <c r="X27" s="282"/>
      <c r="Y27" s="282"/>
      <c r="Z27" s="282"/>
      <c r="AA27" s="282"/>
    </row>
    <row r="28" spans="1:27" ht="12.75" hidden="1" customHeight="1">
      <c r="A28" s="289"/>
      <c r="B28" s="301"/>
      <c r="C28" s="301"/>
      <c r="D28" s="301"/>
      <c r="E28" s="301"/>
      <c r="F28" s="301"/>
      <c r="G28" s="301"/>
      <c r="H28" s="301"/>
      <c r="I28" s="301"/>
      <c r="J28" s="301"/>
      <c r="K28" s="301"/>
      <c r="L28" s="301"/>
      <c r="M28" s="301"/>
      <c r="N28" s="288"/>
      <c r="O28" s="282"/>
      <c r="P28" s="282"/>
      <c r="Q28" s="282"/>
      <c r="R28" s="282"/>
      <c r="S28" s="282"/>
      <c r="T28" s="282"/>
      <c r="U28" s="282"/>
      <c r="V28" s="282"/>
      <c r="W28" s="282"/>
      <c r="X28" s="282"/>
      <c r="Y28" s="282"/>
      <c r="Z28" s="282"/>
      <c r="AA28" s="282"/>
    </row>
    <row r="29" spans="1:27" ht="16.899999999999999" hidden="1" customHeight="1">
      <c r="A29" s="297" t="s">
        <v>710</v>
      </c>
      <c r="B29" s="301"/>
      <c r="C29" s="301"/>
      <c r="D29" s="301"/>
      <c r="E29" s="301"/>
      <c r="F29" s="301"/>
      <c r="G29" s="301"/>
      <c r="H29" s="301"/>
      <c r="I29" s="301"/>
      <c r="J29" s="301"/>
      <c r="K29" s="301"/>
      <c r="L29" s="301"/>
      <c r="M29" s="301"/>
      <c r="N29" s="288"/>
      <c r="O29" s="282"/>
      <c r="P29" s="282"/>
      <c r="Q29" s="282"/>
      <c r="R29" s="282"/>
      <c r="S29" s="282"/>
      <c r="T29" s="282"/>
      <c r="U29" s="282"/>
      <c r="V29" s="282"/>
      <c r="W29" s="282"/>
      <c r="X29" s="282"/>
      <c r="Y29" s="282"/>
      <c r="Z29" s="282"/>
      <c r="AA29" s="282"/>
    </row>
    <row r="30" spans="1:27" ht="16.899999999999999" hidden="1" customHeight="1">
      <c r="A30" s="289"/>
      <c r="B30" s="301"/>
      <c r="C30" s="301"/>
      <c r="D30" s="301"/>
      <c r="E30" s="301"/>
      <c r="F30" s="301"/>
      <c r="G30" s="301"/>
      <c r="H30" s="301"/>
      <c r="I30" s="301"/>
      <c r="J30" s="301"/>
      <c r="K30" s="301"/>
      <c r="L30" s="301"/>
      <c r="M30" s="301"/>
      <c r="N30" s="288"/>
      <c r="O30" s="282"/>
      <c r="P30" s="282"/>
      <c r="Q30" s="282"/>
      <c r="R30" s="282"/>
      <c r="S30" s="282"/>
      <c r="T30" s="282"/>
      <c r="U30" s="282"/>
      <c r="V30" s="282"/>
      <c r="W30" s="282"/>
      <c r="X30" s="282"/>
      <c r="Y30" s="282"/>
      <c r="Z30" s="282"/>
      <c r="AA30" s="282"/>
    </row>
    <row r="31" spans="1:27" ht="16.899999999999999" hidden="1" customHeight="1">
      <c r="A31" s="289" t="s">
        <v>8</v>
      </c>
      <c r="B31" s="301">
        <v>7.0699999999999999E-2</v>
      </c>
      <c r="C31" s="301">
        <v>0.76619999999999999</v>
      </c>
      <c r="D31" s="301">
        <v>0.39339999999999997</v>
      </c>
      <c r="E31" s="301">
        <v>0.2051</v>
      </c>
      <c r="F31" s="301">
        <v>0.68400000000000005</v>
      </c>
      <c r="G31" s="301">
        <v>5.2600000000000001E-2</v>
      </c>
      <c r="H31" s="301">
        <v>0.14000000000000001</v>
      </c>
      <c r="I31" s="301">
        <v>1.7085999999999999</v>
      </c>
      <c r="J31" s="301">
        <v>4.0205000000000002</v>
      </c>
      <c r="K31" s="301">
        <v>0.66179999999999994</v>
      </c>
      <c r="L31" s="301">
        <v>2.0200999999999998</v>
      </c>
      <c r="M31" s="301">
        <v>6.7023999999999999</v>
      </c>
      <c r="N31" s="288"/>
      <c r="O31" s="282"/>
      <c r="P31" s="282"/>
      <c r="Q31" s="282"/>
      <c r="R31" s="282"/>
      <c r="S31" s="282"/>
      <c r="T31" s="282"/>
      <c r="U31" s="282"/>
      <c r="V31" s="282"/>
      <c r="W31" s="282"/>
      <c r="X31" s="282"/>
      <c r="Y31" s="282"/>
      <c r="Z31" s="282"/>
      <c r="AA31" s="282"/>
    </row>
    <row r="32" spans="1:27" ht="16.899999999999999" hidden="1" customHeight="1">
      <c r="A32" s="289" t="s">
        <v>9</v>
      </c>
      <c r="B32" s="301">
        <v>4.4999999999999998E-2</v>
      </c>
      <c r="C32" s="301">
        <v>0.15930000000000002</v>
      </c>
      <c r="D32" s="301">
        <v>0.1741</v>
      </c>
      <c r="E32" s="301">
        <v>1.1900000000000001E-2</v>
      </c>
      <c r="F32" s="301">
        <v>0.46379999999999999</v>
      </c>
      <c r="G32" s="301">
        <v>5.1400000000000001E-2</v>
      </c>
      <c r="H32" s="301">
        <v>0.14000000000000001</v>
      </c>
      <c r="I32" s="301">
        <v>1.7425999999999999</v>
      </c>
      <c r="J32" s="301">
        <v>2.7881</v>
      </c>
      <c r="K32" s="301">
        <v>0.68589999999999995</v>
      </c>
      <c r="L32" s="301">
        <v>1.8174999999999999</v>
      </c>
      <c r="M32" s="301">
        <v>5.2915000000000001</v>
      </c>
      <c r="N32" s="288"/>
      <c r="O32" s="282"/>
      <c r="P32" s="282"/>
      <c r="Q32" s="282"/>
      <c r="R32" s="282"/>
      <c r="S32" s="282"/>
      <c r="T32" s="282"/>
      <c r="U32" s="282"/>
      <c r="V32" s="282"/>
      <c r="W32" s="282"/>
      <c r="X32" s="282"/>
      <c r="Y32" s="282"/>
      <c r="Z32" s="282"/>
      <c r="AA32" s="282"/>
    </row>
    <row r="33" spans="1:27" ht="16.899999999999999" hidden="1" customHeight="1">
      <c r="A33" s="289" t="s">
        <v>10</v>
      </c>
      <c r="B33" s="301">
        <v>9.2999999999999999E-2</v>
      </c>
      <c r="C33" s="301">
        <v>0.23860000000000001</v>
      </c>
      <c r="D33" s="301">
        <v>4.3E-3</v>
      </c>
      <c r="E33" s="301">
        <v>2.41E-2</v>
      </c>
      <c r="F33" s="301">
        <v>0.35149999999999998</v>
      </c>
      <c r="G33" s="301">
        <v>0.08</v>
      </c>
      <c r="H33" s="301">
        <v>0.14000000000000001</v>
      </c>
      <c r="I33" s="301">
        <v>1.7690999999999999</v>
      </c>
      <c r="J33" s="301">
        <v>2.7004999999999999</v>
      </c>
      <c r="K33" s="301">
        <v>0.79589999999999994</v>
      </c>
      <c r="L33" s="301">
        <v>1.3932</v>
      </c>
      <c r="M33" s="301">
        <v>4.8896000000000006</v>
      </c>
      <c r="N33" s="288"/>
      <c r="O33" s="282"/>
      <c r="P33" s="282"/>
      <c r="Q33" s="282"/>
      <c r="R33" s="282"/>
      <c r="S33" s="282"/>
      <c r="T33" s="282"/>
      <c r="U33" s="282"/>
      <c r="V33" s="282"/>
      <c r="W33" s="282"/>
      <c r="X33" s="282"/>
      <c r="Y33" s="282"/>
      <c r="Z33" s="282"/>
      <c r="AA33" s="282"/>
    </row>
    <row r="34" spans="1:27" ht="16.899999999999999" hidden="1" customHeight="1">
      <c r="A34" s="289" t="s">
        <v>11</v>
      </c>
      <c r="B34" s="301">
        <v>0.39950000000000002</v>
      </c>
      <c r="C34" s="301">
        <v>0.28910000000000002</v>
      </c>
      <c r="D34" s="301">
        <v>0</v>
      </c>
      <c r="E34" s="301">
        <v>7.46E-2</v>
      </c>
      <c r="F34" s="301">
        <v>0.58120000000000005</v>
      </c>
      <c r="G34" s="301">
        <v>7.6100000000000001E-2</v>
      </c>
      <c r="H34" s="301">
        <v>0.14000000000000001</v>
      </c>
      <c r="I34" s="301">
        <v>1.9801</v>
      </c>
      <c r="J34" s="301">
        <v>3.5406</v>
      </c>
      <c r="K34" s="301">
        <v>0.87450000000000006</v>
      </c>
      <c r="L34" s="301">
        <v>1.7515999999999998</v>
      </c>
      <c r="M34" s="301">
        <v>6.1668000000000003</v>
      </c>
      <c r="N34" s="288"/>
      <c r="O34" s="282"/>
      <c r="P34" s="282"/>
      <c r="Q34" s="282"/>
      <c r="R34" s="282"/>
      <c r="S34" s="282"/>
      <c r="T34" s="282"/>
      <c r="U34" s="282"/>
      <c r="V34" s="282"/>
      <c r="W34" s="282"/>
      <c r="X34" s="282"/>
      <c r="Y34" s="282"/>
      <c r="Z34" s="282"/>
      <c r="AA34" s="282"/>
    </row>
    <row r="35" spans="1:27" ht="16.899999999999999" hidden="1" customHeight="1">
      <c r="A35" s="289" t="s">
        <v>337</v>
      </c>
      <c r="B35" s="301">
        <v>0.30099999999999999</v>
      </c>
      <c r="C35" s="301">
        <v>0.33310000000000001</v>
      </c>
      <c r="D35" s="301">
        <v>0.1613</v>
      </c>
      <c r="E35" s="301">
        <v>0.12079999999999999</v>
      </c>
      <c r="F35" s="301">
        <v>0.31489999999999996</v>
      </c>
      <c r="G35" s="301">
        <v>0.10299999999999999</v>
      </c>
      <c r="H35" s="301">
        <v>0.14000000000000001</v>
      </c>
      <c r="I35" s="301">
        <v>1.6384000000000001</v>
      </c>
      <c r="J35" s="301">
        <v>3.1124000000000001</v>
      </c>
      <c r="K35" s="301">
        <v>0.86050000000000004</v>
      </c>
      <c r="L35" s="301">
        <v>1.9299000000000002</v>
      </c>
      <c r="M35" s="301">
        <v>5.9028999999999998</v>
      </c>
      <c r="N35" s="288"/>
      <c r="O35" s="282"/>
      <c r="P35" s="282"/>
      <c r="Q35" s="282"/>
      <c r="R35" s="282"/>
      <c r="S35" s="282"/>
      <c r="T35" s="282"/>
      <c r="U35" s="282"/>
      <c r="V35" s="282"/>
      <c r="W35" s="282"/>
      <c r="X35" s="282"/>
      <c r="Y35" s="282"/>
      <c r="Z35" s="282"/>
      <c r="AA35" s="282"/>
    </row>
    <row r="36" spans="1:27" ht="16.899999999999999" hidden="1" customHeight="1">
      <c r="A36" s="289" t="s">
        <v>346</v>
      </c>
      <c r="B36" s="301">
        <v>0.43610000000000004</v>
      </c>
      <c r="C36" s="301">
        <v>0.57250000000000001</v>
      </c>
      <c r="D36" s="301">
        <v>6.3399999999999998E-2</v>
      </c>
      <c r="E36" s="301">
        <v>2.75E-2</v>
      </c>
      <c r="F36" s="301">
        <v>0.2555</v>
      </c>
      <c r="G36" s="301">
        <v>0.04</v>
      </c>
      <c r="H36" s="301">
        <v>0.14000000000000001</v>
      </c>
      <c r="I36" s="301">
        <v>2.1107</v>
      </c>
      <c r="J36" s="301">
        <v>3.6456</v>
      </c>
      <c r="K36" s="301">
        <v>0.8852000000000001</v>
      </c>
      <c r="L36" s="301">
        <v>1.2938000000000001</v>
      </c>
      <c r="M36" s="301">
        <v>5.8246000000000002</v>
      </c>
      <c r="N36" s="288"/>
      <c r="O36" s="282"/>
      <c r="P36" s="282"/>
      <c r="Q36" s="282"/>
      <c r="R36" s="282"/>
      <c r="S36" s="282"/>
      <c r="T36" s="282"/>
      <c r="U36" s="282"/>
      <c r="V36" s="282"/>
      <c r="W36" s="282"/>
      <c r="X36" s="282"/>
      <c r="Y36" s="282"/>
      <c r="Z36" s="282"/>
      <c r="AA36" s="282"/>
    </row>
    <row r="37" spans="1:27" ht="16.899999999999999" hidden="1" customHeight="1">
      <c r="A37" s="289" t="s">
        <v>347</v>
      </c>
      <c r="B37" s="301">
        <v>1.1227</v>
      </c>
      <c r="C37" s="301">
        <v>0.43060000000000004</v>
      </c>
      <c r="D37" s="301">
        <v>0.1391</v>
      </c>
      <c r="E37" s="301">
        <v>9.8500000000000004E-2</v>
      </c>
      <c r="F37" s="301">
        <v>0.97870000000000001</v>
      </c>
      <c r="G37" s="301">
        <v>9.9000000000000005E-2</v>
      </c>
      <c r="H37" s="301">
        <v>0.14000000000000001</v>
      </c>
      <c r="I37" s="301">
        <v>2.3849</v>
      </c>
      <c r="J37" s="301">
        <v>5.3936000000000002</v>
      </c>
      <c r="K37" s="301">
        <v>0.95189999999999997</v>
      </c>
      <c r="L37" s="301">
        <v>1.6755</v>
      </c>
      <c r="M37" s="301">
        <v>8.0208999999999993</v>
      </c>
      <c r="N37" s="288"/>
      <c r="O37" s="282"/>
      <c r="P37" s="282"/>
      <c r="Q37" s="282"/>
      <c r="R37" s="282"/>
      <c r="S37" s="282"/>
      <c r="T37" s="282"/>
      <c r="U37" s="282"/>
      <c r="V37" s="282"/>
      <c r="W37" s="282"/>
      <c r="X37" s="282"/>
      <c r="Y37" s="282"/>
      <c r="Z37" s="282"/>
      <c r="AA37" s="282"/>
    </row>
    <row r="38" spans="1:27" ht="16.899999999999999" hidden="1" customHeight="1">
      <c r="A38" s="289" t="s">
        <v>12</v>
      </c>
      <c r="B38" s="301">
        <v>0.50549999999999995</v>
      </c>
      <c r="C38" s="301">
        <v>0.27550000000000002</v>
      </c>
      <c r="D38" s="301">
        <v>6.5299999999999997E-2</v>
      </c>
      <c r="E38" s="301">
        <v>4.7700000000000006E-2</v>
      </c>
      <c r="F38" s="301">
        <v>0.63790000000000002</v>
      </c>
      <c r="G38" s="301">
        <v>0.11890000000000001</v>
      </c>
      <c r="H38" s="301">
        <v>0.14000000000000001</v>
      </c>
      <c r="I38" s="301">
        <v>1.9439000000000002</v>
      </c>
      <c r="J38" s="301">
        <v>3.7345999999999999</v>
      </c>
      <c r="K38" s="301">
        <v>1.0135000000000001</v>
      </c>
      <c r="L38" s="301">
        <v>1.6294000000000002</v>
      </c>
      <c r="M38" s="301">
        <v>6.3776000000000002</v>
      </c>
      <c r="N38" s="288"/>
      <c r="O38" s="282"/>
      <c r="P38" s="282"/>
      <c r="Q38" s="282"/>
      <c r="R38" s="282"/>
      <c r="S38" s="282"/>
      <c r="T38" s="282"/>
      <c r="U38" s="282"/>
      <c r="V38" s="282"/>
      <c r="W38" s="282"/>
      <c r="X38" s="282"/>
      <c r="Y38" s="282"/>
      <c r="Z38" s="282"/>
      <c r="AA38" s="282"/>
    </row>
    <row r="39" spans="1:27" ht="16.899999999999999" hidden="1" customHeight="1">
      <c r="A39" s="289" t="s">
        <v>13</v>
      </c>
      <c r="B39" s="301">
        <v>0.37380000000000002</v>
      </c>
      <c r="C39" s="301">
        <v>0.30930000000000002</v>
      </c>
      <c r="D39" s="301">
        <v>1.26E-2</v>
      </c>
      <c r="E39" s="301">
        <v>1.8600000000000002E-2</v>
      </c>
      <c r="F39" s="301">
        <v>0.63970000000000005</v>
      </c>
      <c r="G39" s="301">
        <v>0.14809999999999998</v>
      </c>
      <c r="H39" s="301">
        <v>0.14000000000000001</v>
      </c>
      <c r="I39" s="301">
        <v>1.9036</v>
      </c>
      <c r="J39" s="301">
        <v>3.5456999999999996</v>
      </c>
      <c r="K39" s="301">
        <v>1.1502000000000001</v>
      </c>
      <c r="L39" s="301">
        <v>1.6005</v>
      </c>
      <c r="M39" s="301">
        <v>6.2963999999999993</v>
      </c>
      <c r="N39" s="288"/>
      <c r="O39" s="282"/>
      <c r="P39" s="282"/>
      <c r="Q39" s="282"/>
      <c r="R39" s="282"/>
      <c r="S39" s="282"/>
      <c r="T39" s="282"/>
      <c r="U39" s="282"/>
      <c r="V39" s="282"/>
      <c r="W39" s="282"/>
      <c r="X39" s="282"/>
      <c r="Y39" s="282"/>
      <c r="Z39" s="282"/>
      <c r="AA39" s="282"/>
    </row>
    <row r="40" spans="1:27" ht="16.899999999999999" hidden="1" customHeight="1">
      <c r="A40" s="289" t="s">
        <v>14</v>
      </c>
      <c r="B40" s="301">
        <v>1.7235</v>
      </c>
      <c r="C40" s="301">
        <v>0.48039999999999999</v>
      </c>
      <c r="D40" s="301">
        <v>5.9400000000000001E-2</v>
      </c>
      <c r="E40" s="301">
        <v>6.59E-2</v>
      </c>
      <c r="F40" s="301">
        <v>1.0677000000000001</v>
      </c>
      <c r="G40" s="301">
        <v>0.24890000000000001</v>
      </c>
      <c r="H40" s="301">
        <v>0.14000000000000001</v>
      </c>
      <c r="I40" s="301">
        <v>3.0921999999999996</v>
      </c>
      <c r="J40" s="301">
        <v>6.8780000000000001</v>
      </c>
      <c r="K40" s="301">
        <v>1.2869000000000002</v>
      </c>
      <c r="L40" s="301">
        <v>2.4528000000000003</v>
      </c>
      <c r="M40" s="301">
        <v>10.617599999999999</v>
      </c>
      <c r="N40" s="288"/>
      <c r="O40" s="282"/>
      <c r="P40" s="282"/>
      <c r="Q40" s="282"/>
      <c r="R40" s="282"/>
      <c r="S40" s="282"/>
      <c r="T40" s="282"/>
      <c r="U40" s="282"/>
      <c r="V40" s="282"/>
      <c r="W40" s="282"/>
      <c r="X40" s="282"/>
      <c r="Y40" s="282"/>
      <c r="Z40" s="282"/>
      <c r="AA40" s="282"/>
    </row>
    <row r="41" spans="1:27" ht="16.899999999999999" hidden="1" customHeight="1">
      <c r="A41" s="289" t="s">
        <v>15</v>
      </c>
      <c r="B41" s="301">
        <v>1.1382000000000001</v>
      </c>
      <c r="C41" s="301">
        <v>0.44800000000000001</v>
      </c>
      <c r="D41" s="301">
        <v>7.0999999999999995E-3</v>
      </c>
      <c r="E41" s="301">
        <v>4.5600000000000002E-2</v>
      </c>
      <c r="F41" s="301">
        <v>0.91900000000000004</v>
      </c>
      <c r="G41" s="301">
        <v>0.27660000000000001</v>
      </c>
      <c r="H41" s="301">
        <v>0.15819999999999998</v>
      </c>
      <c r="I41" s="301">
        <v>2.7240000000000002</v>
      </c>
      <c r="J41" s="301">
        <v>5.7166999999999994</v>
      </c>
      <c r="K41" s="301">
        <v>1.3842999999999999</v>
      </c>
      <c r="L41" s="301">
        <v>3.3815</v>
      </c>
      <c r="M41" s="301">
        <v>10.4824</v>
      </c>
      <c r="N41" s="288"/>
      <c r="O41" s="282"/>
      <c r="P41" s="282"/>
      <c r="Q41" s="282"/>
      <c r="R41" s="282"/>
      <c r="S41" s="282"/>
      <c r="T41" s="282"/>
      <c r="U41" s="282"/>
      <c r="V41" s="282"/>
      <c r="W41" s="282"/>
      <c r="X41" s="282"/>
      <c r="Y41" s="282"/>
      <c r="Z41" s="282"/>
      <c r="AA41" s="282"/>
    </row>
    <row r="42" spans="1:27" ht="16.899999999999999" hidden="1" customHeight="1">
      <c r="A42" s="289" t="s">
        <v>16</v>
      </c>
      <c r="B42" s="301">
        <v>0.74320000000000008</v>
      </c>
      <c r="C42" s="301">
        <v>0.77889999999999993</v>
      </c>
      <c r="D42" s="301">
        <v>2.01E-2</v>
      </c>
      <c r="E42" s="301">
        <v>0.16819999999999999</v>
      </c>
      <c r="F42" s="301">
        <v>0.78670000000000007</v>
      </c>
      <c r="G42" s="301">
        <v>0.1014</v>
      </c>
      <c r="H42" s="301">
        <v>0.15819999999999998</v>
      </c>
      <c r="I42" s="301">
        <v>3.0310000000000001</v>
      </c>
      <c r="J42" s="301">
        <v>5.7877000000000001</v>
      </c>
      <c r="K42" s="301">
        <v>1.4068000000000001</v>
      </c>
      <c r="L42" s="301">
        <v>5.5415000000000001</v>
      </c>
      <c r="M42" s="301">
        <v>12.736000000000001</v>
      </c>
      <c r="N42" s="288"/>
      <c r="O42" s="282"/>
      <c r="P42" s="282"/>
      <c r="Q42" s="282"/>
      <c r="R42" s="282"/>
      <c r="S42" s="282"/>
      <c r="T42" s="282"/>
      <c r="U42" s="282"/>
      <c r="V42" s="282"/>
      <c r="W42" s="282"/>
      <c r="X42" s="282"/>
      <c r="Y42" s="282"/>
      <c r="Z42" s="282"/>
      <c r="AA42" s="282"/>
    </row>
    <row r="43" spans="1:27" ht="16.899999999999999" hidden="1" customHeight="1">
      <c r="A43" s="289"/>
      <c r="B43" s="301"/>
      <c r="C43" s="301"/>
      <c r="D43" s="301"/>
      <c r="E43" s="301"/>
      <c r="F43" s="301"/>
      <c r="G43" s="301"/>
      <c r="H43" s="301"/>
      <c r="I43" s="301"/>
      <c r="J43" s="301"/>
      <c r="K43" s="301"/>
      <c r="L43" s="301"/>
      <c r="M43" s="301"/>
      <c r="N43" s="288"/>
      <c r="O43" s="282"/>
      <c r="P43" s="282"/>
      <c r="Q43" s="282"/>
      <c r="R43" s="282"/>
      <c r="S43" s="282"/>
      <c r="T43" s="282"/>
      <c r="U43" s="282"/>
      <c r="V43" s="282"/>
      <c r="W43" s="282"/>
      <c r="X43" s="282"/>
      <c r="Y43" s="282"/>
      <c r="Z43" s="282"/>
      <c r="AA43" s="282"/>
    </row>
    <row r="44" spans="1:27" ht="16.899999999999999" hidden="1" customHeight="1">
      <c r="A44" s="297" t="s">
        <v>40</v>
      </c>
      <c r="B44" s="301"/>
      <c r="C44" s="301"/>
      <c r="D44" s="301"/>
      <c r="E44" s="301"/>
      <c r="F44" s="301"/>
      <c r="G44" s="301"/>
      <c r="H44" s="301"/>
      <c r="I44" s="301"/>
      <c r="J44" s="301"/>
      <c r="K44" s="301"/>
      <c r="L44" s="301"/>
      <c r="M44" s="301"/>
      <c r="N44" s="288"/>
      <c r="O44" s="282"/>
      <c r="P44" s="282"/>
      <c r="Q44" s="282"/>
      <c r="R44" s="282"/>
      <c r="S44" s="282"/>
      <c r="T44" s="282"/>
      <c r="U44" s="282"/>
      <c r="V44" s="282"/>
      <c r="W44" s="282"/>
      <c r="X44" s="282"/>
      <c r="Y44" s="282"/>
      <c r="Z44" s="282"/>
      <c r="AA44" s="282"/>
    </row>
    <row r="45" spans="1:27" ht="16.899999999999999" hidden="1" customHeight="1">
      <c r="A45" s="289"/>
      <c r="B45" s="301"/>
      <c r="C45" s="301"/>
      <c r="D45" s="301"/>
      <c r="E45" s="301"/>
      <c r="F45" s="301"/>
      <c r="G45" s="301"/>
      <c r="H45" s="301"/>
      <c r="I45" s="301"/>
      <c r="J45" s="301"/>
      <c r="K45" s="301"/>
      <c r="L45" s="301"/>
      <c r="M45" s="301"/>
      <c r="N45" s="288"/>
      <c r="O45" s="282"/>
      <c r="P45" s="282"/>
      <c r="Q45" s="282"/>
      <c r="R45" s="282"/>
      <c r="S45" s="282"/>
      <c r="T45" s="282"/>
      <c r="U45" s="282"/>
      <c r="V45" s="282"/>
      <c r="W45" s="282"/>
      <c r="X45" s="282"/>
      <c r="Y45" s="282"/>
      <c r="Z45" s="282"/>
      <c r="AA45" s="282"/>
    </row>
    <row r="46" spans="1:27" ht="16.899999999999999" hidden="1" customHeight="1">
      <c r="A46" s="289" t="s">
        <v>8</v>
      </c>
      <c r="B46" s="301">
        <v>1.0116000000000001</v>
      </c>
      <c r="C46" s="301">
        <v>0.21930000000000002</v>
      </c>
      <c r="D46" s="301">
        <v>0.1012</v>
      </c>
      <c r="E46" s="301">
        <v>0.22740000000000002</v>
      </c>
      <c r="F46" s="301">
        <v>2.4001000000000001</v>
      </c>
      <c r="G46" s="301">
        <v>0.1066</v>
      </c>
      <c r="H46" s="301">
        <v>0.15819999999999998</v>
      </c>
      <c r="I46" s="301">
        <v>5.3878000000000004</v>
      </c>
      <c r="J46" s="301">
        <f t="shared" ref="J46:J57" si="0">(SUM(B46:I46))/1000</f>
        <v>9.6122000000000013E-3</v>
      </c>
      <c r="K46" s="301">
        <v>2.2370000000000001</v>
      </c>
      <c r="L46" s="301">
        <v>6.8731</v>
      </c>
      <c r="M46" s="301">
        <f t="shared" ref="M46:M57" si="1">(SUM(J46:L46))/1000</f>
        <v>9.1197122000000012E-3</v>
      </c>
      <c r="N46" s="288"/>
      <c r="O46" s="282"/>
      <c r="P46" s="282"/>
      <c r="Q46" s="282"/>
      <c r="R46" s="282"/>
      <c r="S46" s="282"/>
      <c r="T46" s="282"/>
      <c r="U46" s="282"/>
      <c r="V46" s="282"/>
      <c r="W46" s="282"/>
      <c r="X46" s="282"/>
      <c r="Y46" s="282"/>
      <c r="Z46" s="282"/>
      <c r="AA46" s="282"/>
    </row>
    <row r="47" spans="1:27" ht="16.899999999999999" hidden="1" customHeight="1">
      <c r="A47" s="289" t="s">
        <v>9</v>
      </c>
      <c r="B47" s="301">
        <v>0.29649999999999999</v>
      </c>
      <c r="C47" s="301">
        <v>3.3E-3</v>
      </c>
      <c r="D47" s="301">
        <v>0</v>
      </c>
      <c r="E47" s="301">
        <v>0.12720000000000001</v>
      </c>
      <c r="F47" s="301">
        <v>0.86829999999999996</v>
      </c>
      <c r="G47" s="301">
        <v>2.35E-2</v>
      </c>
      <c r="H47" s="301">
        <v>0.15819999999999998</v>
      </c>
      <c r="I47" s="301">
        <v>4.6630000000000003</v>
      </c>
      <c r="J47" s="301">
        <f t="shared" si="0"/>
        <v>6.1400000000000005E-3</v>
      </c>
      <c r="K47" s="301">
        <v>2.3799000000000001</v>
      </c>
      <c r="L47" s="301">
        <v>7.2706</v>
      </c>
      <c r="M47" s="301">
        <f t="shared" si="1"/>
        <v>9.6566399999999993E-3</v>
      </c>
      <c r="N47" s="288"/>
      <c r="O47" s="282"/>
      <c r="P47" s="282"/>
      <c r="Q47" s="282"/>
      <c r="R47" s="282"/>
      <c r="S47" s="282"/>
      <c r="T47" s="282"/>
      <c r="U47" s="282"/>
      <c r="V47" s="282"/>
      <c r="W47" s="282"/>
      <c r="X47" s="282"/>
      <c r="Y47" s="282"/>
      <c r="Z47" s="282"/>
      <c r="AA47" s="282"/>
    </row>
    <row r="48" spans="1:27" ht="16.899999999999999" hidden="1" customHeight="1">
      <c r="A48" s="289" t="s">
        <v>10</v>
      </c>
      <c r="B48" s="301">
        <v>0.71450000000000002</v>
      </c>
      <c r="C48" s="301">
        <v>0.1714</v>
      </c>
      <c r="D48" s="301">
        <v>0.1</v>
      </c>
      <c r="E48" s="301">
        <v>4.5899999999999996E-2</v>
      </c>
      <c r="F48" s="301">
        <v>0.99170000000000003</v>
      </c>
      <c r="G48" s="301">
        <v>8.5599999999999996E-2</v>
      </c>
      <c r="H48" s="301">
        <v>0.13019999999999998</v>
      </c>
      <c r="I48" s="301">
        <v>4.9291</v>
      </c>
      <c r="J48" s="301">
        <f t="shared" si="0"/>
        <v>7.1684000000000001E-3</v>
      </c>
      <c r="K48" s="301">
        <v>2.8426</v>
      </c>
      <c r="L48" s="301">
        <v>7.6368</v>
      </c>
      <c r="M48" s="301">
        <f t="shared" si="1"/>
        <v>1.04865684E-2</v>
      </c>
      <c r="N48" s="288"/>
      <c r="O48" s="282"/>
      <c r="P48" s="282"/>
      <c r="Q48" s="282"/>
      <c r="R48" s="282"/>
      <c r="S48" s="282"/>
      <c r="T48" s="282"/>
      <c r="U48" s="282"/>
      <c r="V48" s="282"/>
      <c r="W48" s="282"/>
      <c r="X48" s="282"/>
      <c r="Y48" s="282"/>
      <c r="Z48" s="282"/>
      <c r="AA48" s="282"/>
    </row>
    <row r="49" spans="1:27" ht="16.899999999999999" hidden="1" customHeight="1">
      <c r="A49" s="289" t="s">
        <v>11</v>
      </c>
      <c r="B49" s="301">
        <v>0.48169999999999996</v>
      </c>
      <c r="C49" s="301">
        <v>3.3999999999999998E-3</v>
      </c>
      <c r="D49" s="301">
        <v>7.3499999999999996E-2</v>
      </c>
      <c r="E49" s="301">
        <v>0.45679999999999998</v>
      </c>
      <c r="F49" s="301">
        <v>0.43369999999999997</v>
      </c>
      <c r="G49" s="301">
        <v>8.8599999999999998E-2</v>
      </c>
      <c r="H49" s="301">
        <v>0.13019999999999998</v>
      </c>
      <c r="I49" s="301">
        <v>5.0762</v>
      </c>
      <c r="J49" s="301">
        <f t="shared" si="0"/>
        <v>6.7440999999999994E-3</v>
      </c>
      <c r="K49" s="301">
        <v>3.1218000000000004</v>
      </c>
      <c r="L49" s="301">
        <v>9.0767999999999986</v>
      </c>
      <c r="M49" s="301">
        <f t="shared" si="1"/>
        <v>1.22053441E-2</v>
      </c>
      <c r="N49" s="288"/>
      <c r="O49" s="282"/>
      <c r="P49" s="282"/>
      <c r="Q49" s="282"/>
      <c r="R49" s="282"/>
      <c r="S49" s="282"/>
      <c r="T49" s="282"/>
      <c r="U49" s="282"/>
      <c r="V49" s="282"/>
      <c r="W49" s="282"/>
      <c r="X49" s="282"/>
      <c r="Y49" s="282"/>
      <c r="Z49" s="282"/>
      <c r="AA49" s="282"/>
    </row>
    <row r="50" spans="1:27" ht="16.899999999999999" hidden="1" customHeight="1">
      <c r="A50" s="289" t="s">
        <v>337</v>
      </c>
      <c r="B50" s="301">
        <v>1.8360000000000001</v>
      </c>
      <c r="C50" s="301">
        <v>0.1817</v>
      </c>
      <c r="D50" s="301">
        <v>4.7000000000000002E-3</v>
      </c>
      <c r="E50" s="301">
        <v>0.8197000000000001</v>
      </c>
      <c r="F50" s="301">
        <v>0.4708</v>
      </c>
      <c r="G50" s="301">
        <v>4.53E-2</v>
      </c>
      <c r="H50" s="301">
        <v>0.13019999999999998</v>
      </c>
      <c r="I50" s="301">
        <v>3.8289</v>
      </c>
      <c r="J50" s="301">
        <f t="shared" si="0"/>
        <v>7.3173000000000005E-3</v>
      </c>
      <c r="K50" s="301">
        <v>3.4714999999999998</v>
      </c>
      <c r="L50" s="301">
        <v>17.02</v>
      </c>
      <c r="M50" s="301">
        <f t="shared" si="1"/>
        <v>2.04988173E-2</v>
      </c>
      <c r="N50" s="288"/>
      <c r="O50" s="282"/>
      <c r="P50" s="282"/>
      <c r="Q50" s="282"/>
      <c r="R50" s="282"/>
      <c r="S50" s="282"/>
      <c r="T50" s="282"/>
      <c r="U50" s="282"/>
      <c r="V50" s="282"/>
      <c r="W50" s="282"/>
      <c r="X50" s="282"/>
      <c r="Y50" s="282"/>
      <c r="Z50" s="282"/>
      <c r="AA50" s="282"/>
    </row>
    <row r="51" spans="1:27" ht="16.899999999999999" hidden="1" customHeight="1">
      <c r="A51" s="289" t="s">
        <v>346</v>
      </c>
      <c r="B51" s="301">
        <v>1.3535999999999999</v>
      </c>
      <c r="C51" s="301">
        <v>0.17749999999999999</v>
      </c>
      <c r="D51" s="301">
        <v>0.8</v>
      </c>
      <c r="E51" s="301">
        <v>0.92789999999999995</v>
      </c>
      <c r="F51" s="301">
        <v>0.79120000000000001</v>
      </c>
      <c r="G51" s="301">
        <v>0.19650000000000001</v>
      </c>
      <c r="H51" s="301">
        <v>0.13019999999999998</v>
      </c>
      <c r="I51" s="301">
        <v>3.8971999999999998</v>
      </c>
      <c r="J51" s="301">
        <f t="shared" si="0"/>
        <v>8.2741000000000012E-3</v>
      </c>
      <c r="K51" s="301">
        <v>3.6499000000000001</v>
      </c>
      <c r="L51" s="301">
        <v>12.603200000000001</v>
      </c>
      <c r="M51" s="301">
        <f t="shared" si="1"/>
        <v>1.62613741E-2</v>
      </c>
      <c r="N51" s="288"/>
      <c r="O51" s="282"/>
      <c r="P51" s="282"/>
      <c r="Q51" s="282"/>
      <c r="R51" s="282"/>
      <c r="S51" s="282"/>
      <c r="T51" s="282"/>
      <c r="U51" s="282"/>
      <c r="V51" s="282"/>
      <c r="W51" s="282"/>
      <c r="X51" s="282"/>
      <c r="Y51" s="282"/>
      <c r="Z51" s="282"/>
      <c r="AA51" s="282"/>
    </row>
    <row r="52" spans="1:27" ht="16.899999999999999" hidden="1" customHeight="1">
      <c r="A52" s="289" t="s">
        <v>347</v>
      </c>
      <c r="B52" s="301">
        <v>0.1288</v>
      </c>
      <c r="C52" s="301">
        <v>0.3054</v>
      </c>
      <c r="D52" s="301">
        <v>0.15</v>
      </c>
      <c r="E52" s="301">
        <v>0.83199999999999996</v>
      </c>
      <c r="F52" s="301">
        <v>1.2612000000000001</v>
      </c>
      <c r="G52" s="301">
        <v>0.1237</v>
      </c>
      <c r="H52" s="301">
        <v>0.13019999999999998</v>
      </c>
      <c r="I52" s="301">
        <v>6.4329000000000001</v>
      </c>
      <c r="J52" s="301">
        <f t="shared" si="0"/>
        <v>9.3641999999999996E-3</v>
      </c>
      <c r="K52" s="301">
        <v>3.8973</v>
      </c>
      <c r="L52" s="301">
        <v>11.946</v>
      </c>
      <c r="M52" s="301">
        <f t="shared" si="1"/>
        <v>1.5852664199999998E-2</v>
      </c>
      <c r="N52" s="288"/>
      <c r="O52" s="282"/>
      <c r="P52" s="282"/>
      <c r="Q52" s="282"/>
      <c r="R52" s="282"/>
      <c r="S52" s="282"/>
      <c r="T52" s="282"/>
      <c r="U52" s="282"/>
      <c r="V52" s="282"/>
      <c r="W52" s="282"/>
      <c r="X52" s="282"/>
      <c r="Y52" s="282"/>
      <c r="Z52" s="282"/>
      <c r="AA52" s="282"/>
    </row>
    <row r="53" spans="1:27" ht="16.899999999999999" hidden="1" customHeight="1">
      <c r="A53" s="289" t="s">
        <v>12</v>
      </c>
      <c r="B53" s="301">
        <v>0.6472</v>
      </c>
      <c r="C53" s="301">
        <v>0.2334</v>
      </c>
      <c r="D53" s="301">
        <v>0.34910000000000002</v>
      </c>
      <c r="E53" s="301">
        <v>0.64770000000000005</v>
      </c>
      <c r="F53" s="301">
        <v>1.0324</v>
      </c>
      <c r="G53" s="301">
        <v>0.113</v>
      </c>
      <c r="H53" s="301">
        <v>0.13019999999999998</v>
      </c>
      <c r="I53" s="301">
        <v>4.4880000000000004</v>
      </c>
      <c r="J53" s="301">
        <f t="shared" si="0"/>
        <v>7.6410000000000002E-3</v>
      </c>
      <c r="K53" s="301">
        <v>4.0125999999999999</v>
      </c>
      <c r="L53" s="301">
        <v>11.1614</v>
      </c>
      <c r="M53" s="301">
        <f t="shared" si="1"/>
        <v>1.5181640999999999E-2</v>
      </c>
      <c r="N53" s="288"/>
      <c r="O53" s="282"/>
      <c r="P53" s="282"/>
      <c r="Q53" s="282"/>
      <c r="R53" s="282"/>
      <c r="S53" s="282"/>
      <c r="T53" s="282"/>
      <c r="U53" s="282"/>
      <c r="V53" s="282"/>
      <c r="W53" s="282"/>
      <c r="X53" s="282"/>
      <c r="Y53" s="282"/>
      <c r="Z53" s="282"/>
      <c r="AA53" s="282"/>
    </row>
    <row r="54" spans="1:27" ht="16.899999999999999" hidden="1" customHeight="1">
      <c r="A54" s="289" t="s">
        <v>13</v>
      </c>
      <c r="B54" s="301">
        <v>0.2399</v>
      </c>
      <c r="C54" s="301">
        <v>0.2334</v>
      </c>
      <c r="D54" s="301">
        <v>0.1</v>
      </c>
      <c r="E54" s="301">
        <v>0.85639999999999994</v>
      </c>
      <c r="F54" s="301">
        <v>0.73009999999999997</v>
      </c>
      <c r="G54" s="301">
        <v>0.1421</v>
      </c>
      <c r="H54" s="301">
        <v>0.13019999999999998</v>
      </c>
      <c r="I54" s="301">
        <v>5.1619999999999999</v>
      </c>
      <c r="J54" s="301">
        <f t="shared" si="0"/>
        <v>7.5940999999999995E-3</v>
      </c>
      <c r="K54" s="301">
        <v>4.3161000000000005</v>
      </c>
      <c r="L54" s="301">
        <v>9.3544999999999998</v>
      </c>
      <c r="M54" s="301">
        <f t="shared" si="1"/>
        <v>1.3678194100000001E-2</v>
      </c>
      <c r="N54" s="288"/>
      <c r="O54" s="282"/>
      <c r="P54" s="282"/>
      <c r="Q54" s="282"/>
      <c r="R54" s="282"/>
      <c r="S54" s="282"/>
      <c r="T54" s="282"/>
      <c r="U54" s="282"/>
      <c r="V54" s="282"/>
      <c r="W54" s="282"/>
      <c r="X54" s="282"/>
      <c r="Y54" s="282"/>
      <c r="Z54" s="282"/>
      <c r="AA54" s="282"/>
    </row>
    <row r="55" spans="1:27" ht="16.899999999999999" hidden="1" customHeight="1">
      <c r="A55" s="289" t="s">
        <v>14</v>
      </c>
      <c r="B55" s="301">
        <v>2.8035999999999999</v>
      </c>
      <c r="C55" s="301">
        <v>0.55000000000000004</v>
      </c>
      <c r="D55" s="301">
        <v>0.12140000000000001</v>
      </c>
      <c r="E55" s="301">
        <v>1.0945</v>
      </c>
      <c r="F55" s="301">
        <v>1.1822999999999999</v>
      </c>
      <c r="G55" s="301">
        <v>7.3599999999999999E-2</v>
      </c>
      <c r="H55" s="301">
        <v>0.13019999999999998</v>
      </c>
      <c r="I55" s="301">
        <v>4.9115000000000002</v>
      </c>
      <c r="J55" s="301">
        <f t="shared" si="0"/>
        <v>1.0867100000000001E-2</v>
      </c>
      <c r="K55" s="301">
        <v>4.3366999999999996</v>
      </c>
      <c r="L55" s="301">
        <v>9.1917000000000009</v>
      </c>
      <c r="M55" s="301">
        <f t="shared" si="1"/>
        <v>1.35392671E-2</v>
      </c>
      <c r="N55" s="288"/>
      <c r="O55" s="282"/>
      <c r="P55" s="282"/>
      <c r="Q55" s="282"/>
      <c r="R55" s="282"/>
      <c r="S55" s="282"/>
      <c r="T55" s="282"/>
      <c r="U55" s="282"/>
      <c r="V55" s="282"/>
      <c r="W55" s="282"/>
      <c r="X55" s="282"/>
      <c r="Y55" s="282"/>
      <c r="Z55" s="282"/>
      <c r="AA55" s="282"/>
    </row>
    <row r="56" spans="1:27" ht="16.899999999999999" hidden="1" customHeight="1">
      <c r="A56" s="289" t="s">
        <v>15</v>
      </c>
      <c r="B56" s="301">
        <v>0.23169999999999999</v>
      </c>
      <c r="C56" s="301">
        <v>0.245</v>
      </c>
      <c r="D56" s="301">
        <v>3.0000000000000001E-3</v>
      </c>
      <c r="E56" s="301">
        <v>1.1305000000000001</v>
      </c>
      <c r="F56" s="301">
        <v>1.1942999999999999</v>
      </c>
      <c r="G56" s="301">
        <v>7.0000000000000001E-3</v>
      </c>
      <c r="H56" s="301">
        <v>0.13019999999999998</v>
      </c>
      <c r="I56" s="301">
        <v>5.4166999999999996</v>
      </c>
      <c r="J56" s="301">
        <f t="shared" si="0"/>
        <v>8.3584000000000002E-3</v>
      </c>
      <c r="K56" s="301">
        <v>5.7696000000000005</v>
      </c>
      <c r="L56" s="301">
        <v>8.9457999999999984</v>
      </c>
      <c r="M56" s="301">
        <f t="shared" si="1"/>
        <v>1.4723758399999998E-2</v>
      </c>
      <c r="N56" s="288"/>
      <c r="O56" s="282"/>
      <c r="P56" s="282"/>
      <c r="Q56" s="282"/>
      <c r="R56" s="282"/>
      <c r="S56" s="282"/>
      <c r="T56" s="282"/>
      <c r="U56" s="282"/>
      <c r="V56" s="282"/>
      <c r="W56" s="282"/>
      <c r="X56" s="282"/>
      <c r="Y56" s="282"/>
      <c r="Z56" s="282"/>
      <c r="AA56" s="282"/>
    </row>
    <row r="57" spans="1:27" ht="16.899999999999999" hidden="1" customHeight="1">
      <c r="A57" s="289" t="s">
        <v>16</v>
      </c>
      <c r="B57" s="301">
        <v>0.61229999999999996</v>
      </c>
      <c r="C57" s="301">
        <v>1.4999999999999999E-2</v>
      </c>
      <c r="D57" s="301">
        <v>0</v>
      </c>
      <c r="E57" s="301">
        <v>0.83839999999999992</v>
      </c>
      <c r="F57" s="301">
        <v>0.5222</v>
      </c>
      <c r="G57" s="301">
        <v>0.1075</v>
      </c>
      <c r="H57" s="301">
        <v>1.8200000000000001E-2</v>
      </c>
      <c r="I57" s="301">
        <v>5.4476000000000004</v>
      </c>
      <c r="J57" s="301">
        <f t="shared" si="0"/>
        <v>7.5612000000000014E-3</v>
      </c>
      <c r="K57" s="301">
        <v>5.3129</v>
      </c>
      <c r="L57" s="301">
        <v>8.7172000000000001</v>
      </c>
      <c r="M57" s="301">
        <f t="shared" si="1"/>
        <v>1.4037661199999999E-2</v>
      </c>
      <c r="N57" s="288"/>
      <c r="O57" s="282"/>
      <c r="P57" s="282"/>
      <c r="Q57" s="282"/>
      <c r="R57" s="282"/>
      <c r="S57" s="282"/>
      <c r="T57" s="282"/>
      <c r="U57" s="282"/>
      <c r="V57" s="282"/>
      <c r="W57" s="282"/>
      <c r="X57" s="282"/>
      <c r="Y57" s="282"/>
      <c r="Z57" s="282"/>
      <c r="AA57" s="282"/>
    </row>
    <row r="58" spans="1:27" ht="16.899999999999999" hidden="1" customHeight="1">
      <c r="A58" s="289"/>
      <c r="B58" s="301"/>
      <c r="C58" s="301"/>
      <c r="D58" s="301"/>
      <c r="E58" s="301"/>
      <c r="F58" s="301"/>
      <c r="G58" s="301"/>
      <c r="H58" s="301"/>
      <c r="I58" s="301"/>
      <c r="J58" s="301"/>
      <c r="K58" s="301"/>
      <c r="L58" s="301"/>
      <c r="M58" s="301"/>
      <c r="N58" s="288"/>
      <c r="O58" s="282"/>
      <c r="P58" s="282"/>
      <c r="Q58" s="282"/>
      <c r="R58" s="282"/>
      <c r="S58" s="282"/>
      <c r="T58" s="282"/>
      <c r="U58" s="282"/>
      <c r="V58" s="282"/>
      <c r="W58" s="282"/>
      <c r="X58" s="282"/>
      <c r="Y58" s="282"/>
      <c r="Z58" s="282"/>
      <c r="AA58" s="282"/>
    </row>
    <row r="59" spans="1:27" ht="18.75" hidden="1" customHeight="1">
      <c r="A59" s="302">
        <v>2002</v>
      </c>
      <c r="B59" s="301"/>
      <c r="C59" s="301"/>
      <c r="D59" s="301"/>
      <c r="E59" s="301"/>
      <c r="F59" s="301"/>
      <c r="G59" s="301"/>
      <c r="H59" s="301"/>
      <c r="I59" s="301"/>
      <c r="J59" s="301"/>
      <c r="K59" s="301"/>
      <c r="L59" s="301"/>
      <c r="M59" s="301"/>
      <c r="N59" s="288"/>
      <c r="O59" s="282"/>
      <c r="P59" s="282"/>
      <c r="Q59" s="282"/>
      <c r="R59" s="282"/>
      <c r="S59" s="282"/>
      <c r="T59" s="282"/>
      <c r="U59" s="282"/>
      <c r="V59" s="282"/>
      <c r="W59" s="282"/>
      <c r="X59" s="282"/>
      <c r="Y59" s="282"/>
      <c r="Z59" s="282"/>
      <c r="AA59" s="282"/>
    </row>
    <row r="60" spans="1:27" ht="16.899999999999999" hidden="1" customHeight="1">
      <c r="A60" s="289"/>
      <c r="B60" s="301"/>
      <c r="C60" s="301"/>
      <c r="D60" s="301"/>
      <c r="E60" s="301"/>
      <c r="F60" s="301"/>
      <c r="G60" s="301"/>
      <c r="H60" s="301"/>
      <c r="I60" s="301"/>
      <c r="J60" s="301"/>
      <c r="K60" s="301"/>
      <c r="L60" s="301"/>
      <c r="M60" s="301"/>
      <c r="N60" s="288"/>
      <c r="O60" s="282"/>
      <c r="P60" s="282"/>
      <c r="Q60" s="282"/>
      <c r="R60" s="282"/>
      <c r="S60" s="282"/>
      <c r="T60" s="282"/>
      <c r="U60" s="282"/>
      <c r="V60" s="282"/>
      <c r="W60" s="282"/>
      <c r="X60" s="282"/>
      <c r="Y60" s="282"/>
      <c r="Z60" s="282"/>
      <c r="AA60" s="282"/>
    </row>
    <row r="61" spans="1:27" ht="16.899999999999999" hidden="1" customHeight="1">
      <c r="A61" s="289" t="s">
        <v>8</v>
      </c>
      <c r="B61" s="301">
        <v>0.1351</v>
      </c>
      <c r="C61" s="301">
        <v>0.1701</v>
      </c>
      <c r="D61" s="301">
        <v>2.2000000000000001E-3</v>
      </c>
      <c r="E61" s="301">
        <v>1.0659000000000001</v>
      </c>
      <c r="F61" s="301">
        <v>0.60709999999999997</v>
      </c>
      <c r="G61" s="301">
        <v>5.2200000000000003E-2</v>
      </c>
      <c r="H61" s="301">
        <v>0</v>
      </c>
      <c r="I61" s="301">
        <v>8.6632999999999996</v>
      </c>
      <c r="J61" s="301">
        <f t="shared" ref="J61:J72" si="2">(SUM(B61:I61))/1000</f>
        <v>1.06959E-2</v>
      </c>
      <c r="K61" s="301">
        <v>4.0960000000000001</v>
      </c>
      <c r="L61" s="301">
        <v>9.1997</v>
      </c>
      <c r="M61" s="301">
        <f t="shared" ref="M61:M72" si="3">(SUM(J61:L61))/1000</f>
        <v>1.33063959E-2</v>
      </c>
      <c r="N61" s="288"/>
      <c r="O61" s="282"/>
      <c r="P61" s="282"/>
      <c r="Q61" s="282"/>
      <c r="R61" s="282"/>
      <c r="S61" s="282"/>
      <c r="T61" s="282"/>
      <c r="U61" s="282"/>
      <c r="V61" s="282"/>
      <c r="W61" s="282"/>
      <c r="X61" s="282"/>
      <c r="Y61" s="282"/>
      <c r="Z61" s="282"/>
      <c r="AA61" s="282"/>
    </row>
    <row r="62" spans="1:27" ht="16.899999999999999" hidden="1" customHeight="1">
      <c r="A62" s="289" t="s">
        <v>9</v>
      </c>
      <c r="B62" s="301">
        <v>0.44110000000000005</v>
      </c>
      <c r="C62" s="301">
        <v>0.27010000000000001</v>
      </c>
      <c r="D62" s="301">
        <v>8.199999999999999E-3</v>
      </c>
      <c r="E62" s="301">
        <v>0.37889999999999996</v>
      </c>
      <c r="F62" s="301">
        <v>0.61060000000000003</v>
      </c>
      <c r="G62" s="301">
        <v>7.9000000000000001E-2</v>
      </c>
      <c r="H62" s="301">
        <v>0</v>
      </c>
      <c r="I62" s="301">
        <v>9.8062000000000005</v>
      </c>
      <c r="J62" s="301">
        <f t="shared" si="2"/>
        <v>1.1594100000000001E-2</v>
      </c>
      <c r="K62" s="301">
        <v>3.4356999999999998</v>
      </c>
      <c r="L62" s="301">
        <v>11.792200000000001</v>
      </c>
      <c r="M62" s="301">
        <f t="shared" si="3"/>
        <v>1.5239494100000002E-2</v>
      </c>
      <c r="N62" s="288"/>
      <c r="O62" s="282"/>
      <c r="P62" s="282"/>
      <c r="Q62" s="282"/>
      <c r="R62" s="282"/>
      <c r="S62" s="282"/>
      <c r="T62" s="282"/>
      <c r="U62" s="282"/>
      <c r="V62" s="282"/>
      <c r="W62" s="282"/>
      <c r="X62" s="282"/>
      <c r="Y62" s="282"/>
      <c r="Z62" s="282"/>
      <c r="AA62" s="282"/>
    </row>
    <row r="63" spans="1:27" ht="16.899999999999999" hidden="1" customHeight="1">
      <c r="A63" s="289" t="s">
        <v>10</v>
      </c>
      <c r="B63" s="301">
        <v>1.2367000000000001</v>
      </c>
      <c r="C63" s="301">
        <v>0.12959999999999999</v>
      </c>
      <c r="D63" s="301">
        <v>0</v>
      </c>
      <c r="E63" s="301">
        <v>0.3196</v>
      </c>
      <c r="F63" s="301">
        <v>1.1725000000000001</v>
      </c>
      <c r="G63" s="301">
        <v>6.3E-2</v>
      </c>
      <c r="H63" s="301">
        <v>0</v>
      </c>
      <c r="I63" s="301">
        <v>11.7127</v>
      </c>
      <c r="J63" s="301">
        <f t="shared" si="2"/>
        <v>1.4634100000000001E-2</v>
      </c>
      <c r="K63" s="301">
        <v>2.9140999999999999</v>
      </c>
      <c r="L63" s="301">
        <v>11.188600000000001</v>
      </c>
      <c r="M63" s="301">
        <f t="shared" si="3"/>
        <v>1.41173341E-2</v>
      </c>
      <c r="N63" s="288"/>
      <c r="O63" s="282"/>
      <c r="P63" s="282"/>
      <c r="Q63" s="282"/>
      <c r="R63" s="282"/>
      <c r="S63" s="282"/>
      <c r="T63" s="282"/>
      <c r="U63" s="282"/>
      <c r="V63" s="282"/>
      <c r="W63" s="282"/>
      <c r="X63" s="282"/>
      <c r="Y63" s="282"/>
      <c r="Z63" s="282"/>
      <c r="AA63" s="282"/>
    </row>
    <row r="64" spans="1:27" ht="16.899999999999999" hidden="1" customHeight="1">
      <c r="A64" s="289" t="s">
        <v>11</v>
      </c>
      <c r="B64" s="301">
        <v>2.4158000000000004</v>
      </c>
      <c r="C64" s="301">
        <v>0.21659999999999999</v>
      </c>
      <c r="D64" s="301">
        <v>0</v>
      </c>
      <c r="E64" s="301">
        <v>0.52870000000000006</v>
      </c>
      <c r="F64" s="301">
        <v>1.4220999999999999</v>
      </c>
      <c r="G64" s="301">
        <v>0.3629</v>
      </c>
      <c r="H64" s="301">
        <v>0.112</v>
      </c>
      <c r="I64" s="301">
        <v>13.051399999999999</v>
      </c>
      <c r="J64" s="301">
        <f t="shared" si="2"/>
        <v>1.8109500000000001E-2</v>
      </c>
      <c r="K64" s="301">
        <v>3.2044999999999999</v>
      </c>
      <c r="L64" s="301">
        <v>22.598800000000001</v>
      </c>
      <c r="M64" s="301">
        <f t="shared" si="3"/>
        <v>2.58214095E-2</v>
      </c>
      <c r="N64" s="288"/>
      <c r="O64" s="282"/>
      <c r="P64" s="282"/>
      <c r="Q64" s="282"/>
      <c r="R64" s="282"/>
      <c r="S64" s="282"/>
      <c r="T64" s="282"/>
      <c r="U64" s="282"/>
      <c r="V64" s="282"/>
      <c r="W64" s="282"/>
      <c r="X64" s="282"/>
      <c r="Y64" s="282"/>
      <c r="Z64" s="282"/>
      <c r="AA64" s="282"/>
    </row>
    <row r="65" spans="1:27" ht="16.899999999999999" hidden="1" customHeight="1">
      <c r="A65" s="289" t="s">
        <v>337</v>
      </c>
      <c r="B65" s="301">
        <v>2.7979000000000003</v>
      </c>
      <c r="C65" s="301">
        <v>0.26850000000000002</v>
      </c>
      <c r="D65" s="301">
        <v>0.34100000000000003</v>
      </c>
      <c r="E65" s="301">
        <v>1.1291</v>
      </c>
      <c r="F65" s="301">
        <v>1.8332999999999999</v>
      </c>
      <c r="G65" s="301">
        <v>0.65179999999999993</v>
      </c>
      <c r="H65" s="301">
        <v>0.112</v>
      </c>
      <c r="I65" s="301">
        <v>14.111799999999999</v>
      </c>
      <c r="J65" s="301">
        <f t="shared" si="2"/>
        <v>2.1245399999999998E-2</v>
      </c>
      <c r="K65" s="301">
        <v>4.5521000000000003</v>
      </c>
      <c r="L65" s="301">
        <v>28.479599999999998</v>
      </c>
      <c r="M65" s="301">
        <f t="shared" si="3"/>
        <v>3.3052945399999999E-2</v>
      </c>
      <c r="N65" s="288"/>
      <c r="O65" s="282"/>
      <c r="P65" s="282"/>
      <c r="Q65" s="282"/>
      <c r="R65" s="282"/>
      <c r="S65" s="282"/>
      <c r="T65" s="282"/>
      <c r="U65" s="282"/>
      <c r="V65" s="282"/>
      <c r="W65" s="282"/>
      <c r="X65" s="282"/>
      <c r="Y65" s="282"/>
      <c r="Z65" s="282"/>
      <c r="AA65" s="282"/>
    </row>
    <row r="66" spans="1:27" ht="20.25" hidden="1" customHeight="1">
      <c r="A66" s="289" t="s">
        <v>346</v>
      </c>
      <c r="B66" s="301">
        <v>1.1692</v>
      </c>
      <c r="C66" s="301">
        <v>0.113</v>
      </c>
      <c r="D66" s="301">
        <v>0.25869999999999999</v>
      </c>
      <c r="E66" s="301">
        <v>0.89729999999999999</v>
      </c>
      <c r="F66" s="301">
        <v>2.3498000000000001</v>
      </c>
      <c r="G66" s="301">
        <v>0.18330000000000002</v>
      </c>
      <c r="H66" s="301">
        <v>0.112</v>
      </c>
      <c r="I66" s="301">
        <v>18.401199999999999</v>
      </c>
      <c r="J66" s="301">
        <f t="shared" si="2"/>
        <v>2.3484500000000002E-2</v>
      </c>
      <c r="K66" s="301">
        <v>4.7275</v>
      </c>
      <c r="L66" s="301">
        <v>17.541599999999999</v>
      </c>
      <c r="M66" s="301">
        <f t="shared" si="3"/>
        <v>2.22925845E-2</v>
      </c>
      <c r="N66" s="288"/>
      <c r="O66" s="282"/>
      <c r="P66" s="282"/>
      <c r="Q66" s="282"/>
      <c r="R66" s="282"/>
      <c r="S66" s="282"/>
      <c r="T66" s="282"/>
      <c r="U66" s="282"/>
      <c r="V66" s="282"/>
      <c r="W66" s="282"/>
      <c r="X66" s="282"/>
      <c r="Y66" s="282"/>
      <c r="Z66" s="282"/>
      <c r="AA66" s="282"/>
    </row>
    <row r="67" spans="1:27" ht="20.25" hidden="1" customHeight="1">
      <c r="A67" s="289" t="s">
        <v>347</v>
      </c>
      <c r="B67" s="301">
        <v>0.32189999999999996</v>
      </c>
      <c r="C67" s="301">
        <v>0.87779999999999991</v>
      </c>
      <c r="D67" s="301">
        <v>0.26</v>
      </c>
      <c r="E67" s="301">
        <v>2.4535999999999998</v>
      </c>
      <c r="F67" s="301">
        <v>2.2046999999999999</v>
      </c>
      <c r="G67" s="301">
        <v>0.42780000000000001</v>
      </c>
      <c r="H67" s="301">
        <v>0.112</v>
      </c>
      <c r="I67" s="301">
        <v>17.642900000000001</v>
      </c>
      <c r="J67" s="301">
        <f t="shared" si="2"/>
        <v>2.4300699999999998E-2</v>
      </c>
      <c r="K67" s="301">
        <v>4.4154</v>
      </c>
      <c r="L67" s="301">
        <v>17.414900000000003</v>
      </c>
      <c r="M67" s="301">
        <f t="shared" si="3"/>
        <v>2.1854600700000001E-2</v>
      </c>
      <c r="N67" s="288"/>
      <c r="O67" s="282"/>
      <c r="P67" s="282"/>
      <c r="Q67" s="282"/>
      <c r="R67" s="282"/>
      <c r="S67" s="282"/>
      <c r="T67" s="282"/>
      <c r="U67" s="282"/>
      <c r="V67" s="282"/>
      <c r="W67" s="282"/>
      <c r="X67" s="282"/>
      <c r="Y67" s="282"/>
      <c r="Z67" s="282"/>
      <c r="AA67" s="282"/>
    </row>
    <row r="68" spans="1:27" ht="20.25" hidden="1" customHeight="1">
      <c r="A68" s="289" t="s">
        <v>12</v>
      </c>
      <c r="B68" s="301">
        <v>2.5576999999999996</v>
      </c>
      <c r="C68" s="301">
        <v>1.3389000000000002</v>
      </c>
      <c r="D68" s="301">
        <v>0.33710000000000001</v>
      </c>
      <c r="E68" s="301">
        <v>1.8271999999999999</v>
      </c>
      <c r="F68" s="301">
        <v>2.0979999999999999</v>
      </c>
      <c r="G68" s="301">
        <v>0.502</v>
      </c>
      <c r="H68" s="301">
        <v>0.112</v>
      </c>
      <c r="I68" s="301">
        <v>15.780700000000001</v>
      </c>
      <c r="J68" s="301">
        <f t="shared" si="2"/>
        <v>2.4553600000000002E-2</v>
      </c>
      <c r="K68" s="301">
        <v>4.6515000000000004</v>
      </c>
      <c r="L68" s="301">
        <v>17.209199999999999</v>
      </c>
      <c r="M68" s="301">
        <f t="shared" si="3"/>
        <v>2.1885253599999998E-2</v>
      </c>
      <c r="N68" s="288"/>
      <c r="O68" s="282"/>
      <c r="P68" s="282"/>
      <c r="Q68" s="282"/>
      <c r="R68" s="282"/>
      <c r="S68" s="282"/>
      <c r="T68" s="282"/>
      <c r="U68" s="282"/>
      <c r="V68" s="282"/>
      <c r="W68" s="282"/>
      <c r="X68" s="282"/>
      <c r="Y68" s="282"/>
      <c r="Z68" s="282"/>
      <c r="AA68" s="282"/>
    </row>
    <row r="69" spans="1:27" ht="20.25" hidden="1" customHeight="1">
      <c r="A69" s="289" t="s">
        <v>13</v>
      </c>
      <c r="B69" s="301">
        <v>7.8011999999999997</v>
      </c>
      <c r="C69" s="301">
        <v>0.14299999999999999</v>
      </c>
      <c r="D69" s="301">
        <v>0.32880000000000004</v>
      </c>
      <c r="E69" s="301">
        <v>1.4854000000000001</v>
      </c>
      <c r="F69" s="301">
        <v>2.6301000000000001</v>
      </c>
      <c r="G69" s="301">
        <v>0.3251</v>
      </c>
      <c r="H69" s="301">
        <v>0.112</v>
      </c>
      <c r="I69" s="301">
        <v>17.872499999999999</v>
      </c>
      <c r="J69" s="301">
        <f t="shared" si="2"/>
        <v>3.0698099999999999E-2</v>
      </c>
      <c r="K69" s="301">
        <v>4.9634999999999998</v>
      </c>
      <c r="L69" s="301">
        <v>16.819599999999998</v>
      </c>
      <c r="M69" s="301">
        <f t="shared" si="3"/>
        <v>2.18137981E-2</v>
      </c>
      <c r="N69" s="288"/>
      <c r="O69" s="282"/>
      <c r="P69" s="282"/>
      <c r="Q69" s="282"/>
      <c r="R69" s="282"/>
      <c r="S69" s="282"/>
      <c r="T69" s="282"/>
      <c r="U69" s="282"/>
      <c r="V69" s="282"/>
      <c r="W69" s="282"/>
      <c r="X69" s="282"/>
      <c r="Y69" s="282"/>
      <c r="Z69" s="282"/>
      <c r="AA69" s="282"/>
    </row>
    <row r="70" spans="1:27" ht="20.25" hidden="1" customHeight="1">
      <c r="A70" s="289" t="s">
        <v>14</v>
      </c>
      <c r="B70" s="301">
        <v>3.6914000000000002</v>
      </c>
      <c r="C70" s="301">
        <v>3.0000000000000001E-3</v>
      </c>
      <c r="D70" s="301">
        <v>2.2100000000000002E-2</v>
      </c>
      <c r="E70" s="301">
        <v>1.0634000000000001</v>
      </c>
      <c r="F70" s="301">
        <v>2.8088000000000002</v>
      </c>
      <c r="G70" s="301">
        <v>0.30060000000000003</v>
      </c>
      <c r="H70" s="301">
        <v>0.112</v>
      </c>
      <c r="I70" s="301">
        <v>26.389400000000002</v>
      </c>
      <c r="J70" s="301">
        <f t="shared" si="2"/>
        <v>3.4390700000000003E-2</v>
      </c>
      <c r="K70" s="301">
        <v>5.0973000000000006</v>
      </c>
      <c r="L70" s="301">
        <v>17.605400000000003</v>
      </c>
      <c r="M70" s="301">
        <f t="shared" si="3"/>
        <v>2.2737090700000004E-2</v>
      </c>
      <c r="N70" s="288"/>
      <c r="O70" s="282"/>
      <c r="P70" s="282"/>
      <c r="Q70" s="282"/>
      <c r="R70" s="282"/>
      <c r="S70" s="282"/>
      <c r="T70" s="282"/>
      <c r="U70" s="282"/>
      <c r="V70" s="282"/>
      <c r="W70" s="282"/>
      <c r="X70" s="282"/>
      <c r="Y70" s="282"/>
      <c r="Z70" s="282"/>
      <c r="AA70" s="282"/>
    </row>
    <row r="71" spans="1:27" ht="20.25" hidden="1" customHeight="1">
      <c r="A71" s="289" t="s">
        <v>15</v>
      </c>
      <c r="B71" s="301">
        <v>1.1240000000000001</v>
      </c>
      <c r="C71" s="301">
        <v>0.68159999999999998</v>
      </c>
      <c r="D71" s="301">
        <v>0.13419999999999999</v>
      </c>
      <c r="E71" s="301">
        <v>1.8511</v>
      </c>
      <c r="F71" s="301">
        <v>2.7195</v>
      </c>
      <c r="G71" s="301">
        <v>1.3829</v>
      </c>
      <c r="H71" s="301">
        <v>0.112</v>
      </c>
      <c r="I71" s="301">
        <v>33.991300000000003</v>
      </c>
      <c r="J71" s="301">
        <f t="shared" si="2"/>
        <v>4.1996600000000002E-2</v>
      </c>
      <c r="K71" s="301">
        <v>5.1501000000000001</v>
      </c>
      <c r="L71" s="301">
        <v>18.722999999999999</v>
      </c>
      <c r="M71" s="301">
        <f t="shared" si="3"/>
        <v>2.3915096599999998E-2</v>
      </c>
      <c r="N71" s="288"/>
      <c r="O71" s="282"/>
      <c r="P71" s="282"/>
      <c r="Q71" s="282"/>
      <c r="R71" s="282"/>
      <c r="S71" s="282"/>
      <c r="T71" s="282"/>
      <c r="U71" s="282"/>
      <c r="V71" s="282"/>
      <c r="W71" s="282"/>
      <c r="X71" s="282"/>
      <c r="Y71" s="282"/>
      <c r="Z71" s="282"/>
      <c r="AA71" s="282"/>
    </row>
    <row r="72" spans="1:27" ht="20.25" hidden="1" customHeight="1">
      <c r="A72" s="289" t="s">
        <v>16</v>
      </c>
      <c r="B72" s="301">
        <v>1.5764</v>
      </c>
      <c r="C72" s="301">
        <v>0.53170000000000006</v>
      </c>
      <c r="D72" s="301">
        <v>2.6600000000000002E-2</v>
      </c>
      <c r="E72" s="301">
        <v>0.2122</v>
      </c>
      <c r="F72" s="301">
        <v>2.0761999999999996</v>
      </c>
      <c r="G72" s="301">
        <v>1.9439000000000002</v>
      </c>
      <c r="H72" s="301">
        <v>0.112</v>
      </c>
      <c r="I72" s="301">
        <v>27.949099999999998</v>
      </c>
      <c r="J72" s="301">
        <f t="shared" si="2"/>
        <v>3.4428100000000003E-2</v>
      </c>
      <c r="K72" s="301">
        <v>5.6295000000000002</v>
      </c>
      <c r="L72" s="301">
        <v>20.302099999999999</v>
      </c>
      <c r="M72" s="301">
        <f t="shared" si="3"/>
        <v>2.59660281E-2</v>
      </c>
      <c r="N72" s="288"/>
      <c r="O72" s="282"/>
      <c r="P72" s="282"/>
      <c r="Q72" s="282"/>
      <c r="R72" s="282"/>
      <c r="S72" s="282"/>
      <c r="T72" s="282"/>
      <c r="U72" s="282"/>
      <c r="V72" s="282"/>
      <c r="W72" s="282"/>
      <c r="X72" s="282"/>
      <c r="Y72" s="282"/>
      <c r="Z72" s="282"/>
      <c r="AA72" s="282"/>
    </row>
    <row r="73" spans="1:27" ht="16.899999999999999" hidden="1" customHeight="1">
      <c r="A73" s="289"/>
      <c r="B73" s="301">
        <v>0</v>
      </c>
      <c r="C73" s="301">
        <v>0</v>
      </c>
      <c r="D73" s="301">
        <v>0</v>
      </c>
      <c r="E73" s="301">
        <v>0</v>
      </c>
      <c r="F73" s="301">
        <v>0</v>
      </c>
      <c r="G73" s="301">
        <v>0</v>
      </c>
      <c r="H73" s="301">
        <v>0</v>
      </c>
      <c r="I73" s="301">
        <v>0</v>
      </c>
      <c r="J73" s="301">
        <v>0</v>
      </c>
      <c r="K73" s="301">
        <v>0</v>
      </c>
      <c r="L73" s="301">
        <v>0</v>
      </c>
      <c r="M73" s="301">
        <v>0</v>
      </c>
      <c r="N73" s="288"/>
      <c r="O73" s="282"/>
      <c r="P73" s="282"/>
      <c r="Q73" s="282"/>
      <c r="R73" s="282"/>
      <c r="S73" s="282"/>
      <c r="T73" s="282"/>
      <c r="U73" s="282"/>
      <c r="V73" s="282"/>
      <c r="W73" s="282"/>
      <c r="X73" s="282"/>
      <c r="Y73" s="282"/>
      <c r="Z73" s="282"/>
      <c r="AA73" s="282"/>
    </row>
    <row r="74" spans="1:27" ht="18.75" hidden="1" customHeight="1">
      <c r="A74" s="302">
        <v>2003</v>
      </c>
      <c r="B74" s="301"/>
      <c r="C74" s="301"/>
      <c r="D74" s="301"/>
      <c r="E74" s="301"/>
      <c r="F74" s="301"/>
      <c r="G74" s="301"/>
      <c r="H74" s="301"/>
      <c r="I74" s="301"/>
      <c r="J74" s="301"/>
      <c r="K74" s="301"/>
      <c r="L74" s="301"/>
      <c r="M74" s="301"/>
      <c r="N74" s="288"/>
      <c r="O74" s="282"/>
      <c r="P74" s="282"/>
      <c r="Q74" s="282"/>
      <c r="R74" s="282"/>
      <c r="S74" s="282"/>
      <c r="T74" s="282"/>
      <c r="U74" s="282"/>
      <c r="V74" s="282"/>
      <c r="W74" s="282"/>
      <c r="X74" s="282"/>
      <c r="Y74" s="282"/>
      <c r="Z74" s="282"/>
      <c r="AA74" s="282"/>
    </row>
    <row r="75" spans="1:27" ht="16.899999999999999" hidden="1" customHeight="1">
      <c r="A75" s="289"/>
      <c r="B75" s="301"/>
      <c r="C75" s="301"/>
      <c r="D75" s="301"/>
      <c r="E75" s="301"/>
      <c r="F75" s="301"/>
      <c r="G75" s="301"/>
      <c r="H75" s="301"/>
      <c r="I75" s="301"/>
      <c r="J75" s="301"/>
      <c r="K75" s="301"/>
      <c r="L75" s="301"/>
      <c r="M75" s="301"/>
      <c r="N75" s="288"/>
      <c r="O75" s="282"/>
      <c r="P75" s="282"/>
      <c r="Q75" s="282"/>
      <c r="R75" s="282"/>
      <c r="S75" s="282"/>
      <c r="T75" s="282"/>
      <c r="U75" s="282"/>
      <c r="V75" s="282"/>
      <c r="W75" s="282"/>
      <c r="X75" s="282"/>
      <c r="Y75" s="282"/>
      <c r="Z75" s="282"/>
      <c r="AA75" s="282"/>
    </row>
    <row r="76" spans="1:27" ht="20.25" hidden="1" customHeight="1">
      <c r="A76" s="289" t="s">
        <v>8</v>
      </c>
      <c r="B76" s="301">
        <v>1.9084000000000001</v>
      </c>
      <c r="C76" s="301">
        <v>2.0000000000000001E-4</v>
      </c>
      <c r="D76" s="301">
        <v>1.4E-3</v>
      </c>
      <c r="E76" s="301">
        <v>1.8619000000000001</v>
      </c>
      <c r="F76" s="301">
        <v>3.3096000000000001</v>
      </c>
      <c r="G76" s="301">
        <v>0.54159999999999997</v>
      </c>
      <c r="H76" s="301">
        <v>0.112</v>
      </c>
      <c r="I76" s="301">
        <v>36.466699999999996</v>
      </c>
      <c r="J76" s="301">
        <f t="shared" ref="J76:J81" si="4">(SUM(B76:I76))/1000</f>
        <v>4.4201799999999999E-2</v>
      </c>
      <c r="K76" s="301">
        <v>5.2614000000000001</v>
      </c>
      <c r="L76" s="301">
        <v>20.922599999999999</v>
      </c>
      <c r="M76" s="301">
        <f t="shared" ref="M76:M81" si="5">(SUM(J76:L76))/1000</f>
        <v>2.62282018E-2</v>
      </c>
      <c r="N76" s="288"/>
      <c r="O76" s="282"/>
      <c r="P76" s="282"/>
      <c r="Q76" s="282"/>
      <c r="R76" s="282"/>
      <c r="S76" s="282"/>
      <c r="T76" s="282"/>
      <c r="U76" s="282"/>
      <c r="V76" s="282"/>
      <c r="W76" s="282"/>
      <c r="X76" s="282"/>
      <c r="Y76" s="282"/>
      <c r="Z76" s="282"/>
      <c r="AA76" s="282"/>
    </row>
    <row r="77" spans="1:27" ht="20.25" hidden="1" customHeight="1">
      <c r="A77" s="289" t="s">
        <v>9</v>
      </c>
      <c r="B77" s="301">
        <v>4.6074999999999999</v>
      </c>
      <c r="C77" s="301">
        <v>0.20219999999999999</v>
      </c>
      <c r="D77" s="301">
        <v>0.27200000000000002</v>
      </c>
      <c r="E77" s="301">
        <v>0.31539999999999996</v>
      </c>
      <c r="F77" s="301">
        <v>2.2129000000000003</v>
      </c>
      <c r="G77" s="301">
        <v>0.49160000000000004</v>
      </c>
      <c r="H77" s="301">
        <v>0.112</v>
      </c>
      <c r="I77" s="301">
        <v>41.657800000000002</v>
      </c>
      <c r="J77" s="301">
        <f t="shared" si="4"/>
        <v>4.9871400000000003E-2</v>
      </c>
      <c r="K77" s="301">
        <v>5.6961000000000004</v>
      </c>
      <c r="L77" s="301">
        <v>18.5304</v>
      </c>
      <c r="M77" s="301">
        <f t="shared" si="5"/>
        <v>2.4276371400000003E-2</v>
      </c>
      <c r="N77" s="288"/>
      <c r="O77" s="282"/>
      <c r="P77" s="282"/>
      <c r="Q77" s="282"/>
      <c r="R77" s="282"/>
      <c r="S77" s="282"/>
      <c r="T77" s="282"/>
      <c r="U77" s="282"/>
      <c r="V77" s="282"/>
      <c r="W77" s="282"/>
      <c r="X77" s="282"/>
      <c r="Y77" s="282"/>
      <c r="Z77" s="282"/>
      <c r="AA77" s="282"/>
    </row>
    <row r="78" spans="1:27" ht="20.25" hidden="1" customHeight="1">
      <c r="A78" s="289" t="s">
        <v>10</v>
      </c>
      <c r="B78" s="301">
        <v>1.5464</v>
      </c>
      <c r="C78" s="301">
        <v>0.1444</v>
      </c>
      <c r="D78" s="301">
        <v>0.20039999999999999</v>
      </c>
      <c r="E78" s="301">
        <v>6.9661</v>
      </c>
      <c r="F78" s="301">
        <v>6.2153999999999998</v>
      </c>
      <c r="G78" s="301">
        <v>0.74660000000000004</v>
      </c>
      <c r="H78" s="301">
        <v>0.112</v>
      </c>
      <c r="I78" s="301">
        <v>40.4756</v>
      </c>
      <c r="J78" s="301">
        <f t="shared" si="4"/>
        <v>5.6406900000000003E-2</v>
      </c>
      <c r="K78" s="301">
        <v>5.9714999999999998</v>
      </c>
      <c r="L78" s="301">
        <v>16.3369</v>
      </c>
      <c r="M78" s="301">
        <f t="shared" si="5"/>
        <v>2.2364806899999999E-2</v>
      </c>
      <c r="N78" s="288"/>
      <c r="O78" s="282"/>
      <c r="P78" s="282"/>
      <c r="Q78" s="282"/>
      <c r="R78" s="282"/>
      <c r="S78" s="282"/>
      <c r="T78" s="282"/>
      <c r="U78" s="282"/>
      <c r="V78" s="282"/>
      <c r="W78" s="282"/>
      <c r="X78" s="282"/>
      <c r="Y78" s="282"/>
      <c r="Z78" s="282"/>
      <c r="AA78" s="282"/>
    </row>
    <row r="79" spans="1:27" ht="20.25" hidden="1" customHeight="1">
      <c r="A79" s="289" t="s">
        <v>11</v>
      </c>
      <c r="B79" s="301">
        <v>2.0377999999999998</v>
      </c>
      <c r="C79" s="301">
        <v>0.3553</v>
      </c>
      <c r="D79" s="301">
        <v>-8.0000000000000004E-4</v>
      </c>
      <c r="E79" s="301">
        <v>0.89570000000000005</v>
      </c>
      <c r="F79" s="301">
        <v>2.3186999999999998</v>
      </c>
      <c r="G79" s="301">
        <v>1.1935</v>
      </c>
      <c r="H79" s="301">
        <v>0.112</v>
      </c>
      <c r="I79" s="301">
        <v>56.171099999999996</v>
      </c>
      <c r="J79" s="301">
        <f t="shared" si="4"/>
        <v>6.3083299999999995E-2</v>
      </c>
      <c r="K79" s="301">
        <v>5.8123000000000005</v>
      </c>
      <c r="L79" s="301">
        <v>30.164200000000001</v>
      </c>
      <c r="M79" s="301">
        <f t="shared" si="5"/>
        <v>3.6039583300000004E-2</v>
      </c>
      <c r="N79" s="288"/>
      <c r="O79" s="282"/>
      <c r="P79" s="282"/>
      <c r="Q79" s="282"/>
      <c r="R79" s="282"/>
      <c r="S79" s="282"/>
      <c r="T79" s="282"/>
      <c r="U79" s="282"/>
      <c r="V79" s="282"/>
      <c r="W79" s="282"/>
      <c r="X79" s="282"/>
      <c r="Y79" s="282"/>
      <c r="Z79" s="282"/>
      <c r="AA79" s="282"/>
    </row>
    <row r="80" spans="1:27" ht="20.25" hidden="1" customHeight="1">
      <c r="A80" s="289" t="s">
        <v>337</v>
      </c>
      <c r="B80" s="301">
        <v>2.9624000000000001</v>
      </c>
      <c r="C80" s="301">
        <v>2.0000000000000001E-4</v>
      </c>
      <c r="D80" s="301">
        <v>1.49E-2</v>
      </c>
      <c r="E80" s="301">
        <v>0.32189999999999996</v>
      </c>
      <c r="F80" s="301">
        <v>1.8739000000000001</v>
      </c>
      <c r="G80" s="301">
        <v>1.1345999999999998</v>
      </c>
      <c r="H80" s="301">
        <v>0.112</v>
      </c>
      <c r="I80" s="301">
        <v>59.269800000000004</v>
      </c>
      <c r="J80" s="301">
        <f t="shared" si="4"/>
        <v>6.5689700000000004E-2</v>
      </c>
      <c r="K80" s="301">
        <v>6.3822999999999999</v>
      </c>
      <c r="L80" s="301">
        <v>28.537299999999998</v>
      </c>
      <c r="M80" s="301">
        <f t="shared" si="5"/>
        <v>3.4985289699999998E-2</v>
      </c>
      <c r="N80" s="288"/>
      <c r="O80" s="282"/>
      <c r="P80" s="282"/>
      <c r="Q80" s="282"/>
      <c r="R80" s="282"/>
      <c r="S80" s="282"/>
      <c r="T80" s="282"/>
      <c r="U80" s="282"/>
      <c r="V80" s="282"/>
      <c r="W80" s="282"/>
      <c r="X80" s="282"/>
      <c r="Y80" s="282"/>
      <c r="Z80" s="282"/>
      <c r="AA80" s="282"/>
    </row>
    <row r="81" spans="1:27" ht="18.75" hidden="1" customHeight="1">
      <c r="A81" s="289" t="s">
        <v>346</v>
      </c>
      <c r="B81" s="301">
        <v>1.4129</v>
      </c>
      <c r="C81" s="301">
        <v>1.6556</v>
      </c>
      <c r="D81" s="301">
        <v>2.802</v>
      </c>
      <c r="E81" s="301">
        <v>3.7628000000000004</v>
      </c>
      <c r="F81" s="301">
        <v>3.6909999999999998</v>
      </c>
      <c r="G81" s="301">
        <v>0.89760000000000006</v>
      </c>
      <c r="H81" s="301">
        <v>0.112</v>
      </c>
      <c r="I81" s="301">
        <v>69.197800000000001</v>
      </c>
      <c r="J81" s="301">
        <f t="shared" si="4"/>
        <v>8.35317E-2</v>
      </c>
      <c r="K81" s="301">
        <v>7.5931000000000006</v>
      </c>
      <c r="L81" s="301">
        <v>30.069200000000002</v>
      </c>
      <c r="M81" s="301">
        <f t="shared" si="5"/>
        <v>3.7745831700000003E-2</v>
      </c>
      <c r="N81" s="288"/>
      <c r="O81" s="282"/>
      <c r="P81" s="282"/>
      <c r="Q81" s="282"/>
      <c r="R81" s="282"/>
      <c r="S81" s="282"/>
      <c r="T81" s="282"/>
      <c r="U81" s="282"/>
      <c r="V81" s="282"/>
      <c r="W81" s="282"/>
      <c r="X81" s="282"/>
      <c r="Y81" s="282"/>
      <c r="Z81" s="282"/>
      <c r="AA81" s="282"/>
    </row>
    <row r="82" spans="1:27" ht="18.75" hidden="1" customHeight="1">
      <c r="A82" s="302">
        <v>2003</v>
      </c>
      <c r="B82" s="301"/>
      <c r="C82" s="301"/>
      <c r="D82" s="301"/>
      <c r="E82" s="301"/>
      <c r="F82" s="301"/>
      <c r="G82" s="301"/>
      <c r="H82" s="301"/>
      <c r="I82" s="301"/>
      <c r="J82" s="301"/>
      <c r="K82" s="301"/>
      <c r="L82" s="301"/>
      <c r="M82" s="301"/>
      <c r="N82" s="288"/>
      <c r="O82" s="282"/>
      <c r="P82" s="282"/>
      <c r="Q82" s="282"/>
      <c r="R82" s="282"/>
      <c r="S82" s="282"/>
      <c r="T82" s="282"/>
      <c r="U82" s="282"/>
      <c r="V82" s="282"/>
      <c r="W82" s="282"/>
      <c r="X82" s="282"/>
      <c r="Y82" s="282"/>
      <c r="Z82" s="282"/>
      <c r="AA82" s="282"/>
    </row>
    <row r="83" spans="1:27" ht="18.75" hidden="1" customHeight="1">
      <c r="A83" s="289"/>
      <c r="B83" s="301"/>
      <c r="C83" s="301"/>
      <c r="D83" s="301"/>
      <c r="E83" s="301"/>
      <c r="F83" s="301"/>
      <c r="G83" s="301"/>
      <c r="H83" s="301"/>
      <c r="I83" s="301"/>
      <c r="J83" s="301"/>
      <c r="K83" s="301"/>
      <c r="L83" s="301"/>
      <c r="M83" s="301"/>
      <c r="N83" s="288"/>
      <c r="O83" s="282"/>
      <c r="P83" s="282"/>
      <c r="Q83" s="282"/>
      <c r="R83" s="282"/>
      <c r="S83" s="282"/>
      <c r="T83" s="282"/>
      <c r="U83" s="282"/>
      <c r="V83" s="282"/>
      <c r="W83" s="282"/>
      <c r="X83" s="282"/>
      <c r="Y83" s="282"/>
      <c r="Z83" s="282"/>
      <c r="AA83" s="282"/>
    </row>
    <row r="84" spans="1:27" ht="18.75" hidden="1">
      <c r="A84" s="289" t="s">
        <v>347</v>
      </c>
      <c r="B84" s="301">
        <v>8.4817999999999998</v>
      </c>
      <c r="C84" s="301">
        <v>20.794400000000003</v>
      </c>
      <c r="D84" s="301">
        <v>0.87129999999999996</v>
      </c>
      <c r="E84" s="301">
        <v>1.4717</v>
      </c>
      <c r="F84" s="301">
        <v>2.9824000000000002</v>
      </c>
      <c r="G84" s="301">
        <v>0.73950000000000005</v>
      </c>
      <c r="H84" s="301">
        <v>0.112</v>
      </c>
      <c r="I84" s="301">
        <v>55.975099999999998</v>
      </c>
      <c r="J84" s="301">
        <f t="shared" ref="J84:J89" si="6">(SUM(B84:I84))/1000</f>
        <v>9.1428200000000001E-2</v>
      </c>
      <c r="K84" s="301">
        <v>9.1120000000000001</v>
      </c>
      <c r="L84" s="301">
        <v>45.370899999999999</v>
      </c>
      <c r="M84" s="301">
        <f t="shared" ref="M84:M89" si="7">(SUM(J84:L84))/1000</f>
        <v>5.4574328199999994E-2</v>
      </c>
      <c r="N84" s="288"/>
      <c r="O84" s="282"/>
      <c r="P84" s="282"/>
      <c r="Q84" s="282"/>
      <c r="R84" s="282"/>
      <c r="S84" s="282"/>
      <c r="T84" s="282"/>
      <c r="U84" s="282"/>
      <c r="V84" s="282"/>
      <c r="W84" s="282"/>
      <c r="X84" s="282"/>
      <c r="Y84" s="282"/>
      <c r="Z84" s="282"/>
      <c r="AA84" s="282"/>
    </row>
    <row r="85" spans="1:27" ht="18.75" hidden="1">
      <c r="A85" s="289" t="s">
        <v>12</v>
      </c>
      <c r="B85" s="301">
        <v>6.9773999999999994</v>
      </c>
      <c r="C85" s="301">
        <v>0.50019999999999998</v>
      </c>
      <c r="D85" s="301">
        <v>0.2011</v>
      </c>
      <c r="E85" s="301">
        <v>0.75160000000000005</v>
      </c>
      <c r="F85" s="301">
        <v>2.3896999999999999</v>
      </c>
      <c r="G85" s="301">
        <v>1.1177000000000001</v>
      </c>
      <c r="H85" s="301">
        <v>0.112</v>
      </c>
      <c r="I85" s="301">
        <v>72.281300000000002</v>
      </c>
      <c r="J85" s="301">
        <f t="shared" si="6"/>
        <v>8.4331000000000003E-2</v>
      </c>
      <c r="K85" s="301">
        <v>10.883799999999999</v>
      </c>
      <c r="L85" s="301">
        <v>66.751499999999993</v>
      </c>
      <c r="M85" s="301">
        <f t="shared" si="7"/>
        <v>7.7719630999999997E-2</v>
      </c>
      <c r="N85" s="288"/>
      <c r="O85" s="282"/>
      <c r="P85" s="282"/>
      <c r="Q85" s="282"/>
      <c r="R85" s="282"/>
      <c r="S85" s="282"/>
      <c r="T85" s="282"/>
      <c r="U85" s="282"/>
      <c r="V85" s="282"/>
      <c r="W85" s="282"/>
      <c r="X85" s="282"/>
      <c r="Y85" s="282"/>
      <c r="Z85" s="282"/>
      <c r="AA85" s="282"/>
    </row>
    <row r="86" spans="1:27" ht="18.75" hidden="1">
      <c r="A86" s="289" t="s">
        <v>13</v>
      </c>
      <c r="B86" s="301">
        <v>4.8380000000000001</v>
      </c>
      <c r="C86" s="301">
        <v>0.5151</v>
      </c>
      <c r="D86" s="301">
        <v>3.8691999999999998</v>
      </c>
      <c r="E86" s="301">
        <v>0.84839999999999993</v>
      </c>
      <c r="F86" s="301">
        <v>5.7649999999999997</v>
      </c>
      <c r="G86" s="301">
        <v>1.6509</v>
      </c>
      <c r="H86" s="301">
        <v>0.112</v>
      </c>
      <c r="I86" s="301">
        <v>78.645300000000006</v>
      </c>
      <c r="J86" s="301">
        <f t="shared" si="6"/>
        <v>9.6243899999999993E-2</v>
      </c>
      <c r="K86" s="301">
        <v>13.791</v>
      </c>
      <c r="L86" s="301">
        <v>69.938699999999997</v>
      </c>
      <c r="M86" s="301">
        <f t="shared" si="7"/>
        <v>8.3825943900000005E-2</v>
      </c>
      <c r="N86" s="288"/>
      <c r="O86" s="282"/>
      <c r="P86" s="282"/>
      <c r="Q86" s="282"/>
      <c r="R86" s="282"/>
      <c r="S86" s="282"/>
      <c r="T86" s="282"/>
      <c r="U86" s="282"/>
      <c r="V86" s="282"/>
      <c r="W86" s="282"/>
      <c r="X86" s="282"/>
      <c r="Y86" s="282"/>
      <c r="Z86" s="282"/>
      <c r="AA86" s="282"/>
    </row>
    <row r="87" spans="1:27" ht="18.75" hidden="1">
      <c r="A87" s="289" t="s">
        <v>14</v>
      </c>
      <c r="B87" s="301">
        <v>6.1073999999999993</v>
      </c>
      <c r="C87" s="301">
        <v>1.6E-2</v>
      </c>
      <c r="D87" s="301">
        <v>3.6273</v>
      </c>
      <c r="E87" s="301">
        <v>3.2873000000000001</v>
      </c>
      <c r="F87" s="301">
        <v>3.9954999999999998</v>
      </c>
      <c r="G87" s="301">
        <v>1.1035999999999999</v>
      </c>
      <c r="H87" s="301">
        <v>0.112</v>
      </c>
      <c r="I87" s="301">
        <v>103.4546</v>
      </c>
      <c r="J87" s="301">
        <f t="shared" si="6"/>
        <v>0.1217037</v>
      </c>
      <c r="K87" s="301">
        <v>11.597299999999999</v>
      </c>
      <c r="L87" s="301">
        <v>50.688400000000001</v>
      </c>
      <c r="M87" s="301">
        <f t="shared" si="7"/>
        <v>6.2407403700000003E-2</v>
      </c>
      <c r="N87" s="288"/>
      <c r="O87" s="282"/>
      <c r="P87" s="282"/>
      <c r="Q87" s="282"/>
      <c r="R87" s="282"/>
      <c r="S87" s="282"/>
      <c r="T87" s="282"/>
      <c r="U87" s="282"/>
      <c r="V87" s="282"/>
      <c r="W87" s="282"/>
      <c r="X87" s="282"/>
      <c r="Y87" s="282"/>
      <c r="Z87" s="282"/>
      <c r="AA87" s="282"/>
    </row>
    <row r="88" spans="1:27" ht="18.75" hidden="1">
      <c r="A88" s="289" t="s">
        <v>15</v>
      </c>
      <c r="B88" s="301">
        <v>31.564700000000002</v>
      </c>
      <c r="C88" s="301">
        <v>1.6E-2</v>
      </c>
      <c r="D88" s="301">
        <v>3.6854</v>
      </c>
      <c r="E88" s="301">
        <v>4.1154999999999999</v>
      </c>
      <c r="F88" s="301">
        <v>3.6749999999999998</v>
      </c>
      <c r="G88" s="301">
        <v>2.7245999999999997</v>
      </c>
      <c r="H88" s="301">
        <v>0.112</v>
      </c>
      <c r="I88" s="301">
        <v>127.28749999999999</v>
      </c>
      <c r="J88" s="301">
        <f t="shared" si="6"/>
        <v>0.17318069999999999</v>
      </c>
      <c r="K88" s="301">
        <v>14.655799999999999</v>
      </c>
      <c r="L88" s="301">
        <v>91.842100000000002</v>
      </c>
      <c r="M88" s="301">
        <f t="shared" si="7"/>
        <v>0.1066710807</v>
      </c>
      <c r="N88" s="288"/>
      <c r="O88" s="282"/>
      <c r="P88" s="282"/>
      <c r="Q88" s="282"/>
      <c r="R88" s="282"/>
      <c r="S88" s="282"/>
      <c r="T88" s="282"/>
      <c r="U88" s="282"/>
      <c r="V88" s="282"/>
      <c r="W88" s="282"/>
      <c r="X88" s="282"/>
      <c r="Y88" s="282"/>
      <c r="Z88" s="282"/>
      <c r="AA88" s="282"/>
    </row>
    <row r="89" spans="1:27" ht="18.75" hidden="1">
      <c r="A89" s="289" t="s">
        <v>16</v>
      </c>
      <c r="B89" s="301">
        <v>11.426299999999999</v>
      </c>
      <c r="C89" s="301">
        <v>0.188</v>
      </c>
      <c r="D89" s="301">
        <v>18.241900000000001</v>
      </c>
      <c r="E89" s="301">
        <v>9.601799999999999</v>
      </c>
      <c r="F89" s="301">
        <v>2.4249999999999998</v>
      </c>
      <c r="G89" s="301">
        <v>1.9841</v>
      </c>
      <c r="H89" s="301">
        <v>0.112</v>
      </c>
      <c r="I89" s="301">
        <v>78.370100000000008</v>
      </c>
      <c r="J89" s="301">
        <f t="shared" si="6"/>
        <v>0.12234919999999999</v>
      </c>
      <c r="K89" s="301">
        <v>10.1463</v>
      </c>
      <c r="L89" s="301">
        <v>78.148099999999999</v>
      </c>
      <c r="M89" s="301">
        <f t="shared" si="7"/>
        <v>8.8416749199999992E-2</v>
      </c>
      <c r="N89" s="288"/>
      <c r="O89" s="282"/>
      <c r="P89" s="282"/>
      <c r="Q89" s="282"/>
      <c r="R89" s="282"/>
      <c r="S89" s="282"/>
      <c r="T89" s="282"/>
      <c r="U89" s="282"/>
      <c r="V89" s="282"/>
      <c r="W89" s="282"/>
      <c r="X89" s="282"/>
      <c r="Y89" s="282"/>
      <c r="Z89" s="282"/>
      <c r="AA89" s="282"/>
    </row>
    <row r="90" spans="1:27" ht="18.75" hidden="1">
      <c r="A90" s="289"/>
      <c r="B90" s="301"/>
      <c r="C90" s="301"/>
      <c r="D90" s="301"/>
      <c r="E90" s="301"/>
      <c r="F90" s="301"/>
      <c r="G90" s="301"/>
      <c r="H90" s="301"/>
      <c r="I90" s="301"/>
      <c r="J90" s="301"/>
      <c r="K90" s="301"/>
      <c r="L90" s="301"/>
      <c r="M90" s="301"/>
      <c r="N90" s="288"/>
      <c r="O90" s="282"/>
      <c r="P90" s="282"/>
      <c r="Q90" s="282"/>
      <c r="R90" s="282"/>
      <c r="S90" s="282"/>
      <c r="T90" s="282"/>
      <c r="U90" s="282"/>
      <c r="V90" s="282"/>
      <c r="W90" s="282"/>
      <c r="X90" s="282"/>
      <c r="Y90" s="282"/>
      <c r="Z90" s="282"/>
      <c r="AA90" s="282"/>
    </row>
    <row r="91" spans="1:27" ht="18.75" hidden="1">
      <c r="A91" s="302">
        <v>2004</v>
      </c>
      <c r="B91" s="301"/>
      <c r="C91" s="301"/>
      <c r="D91" s="301"/>
      <c r="E91" s="301"/>
      <c r="F91" s="301"/>
      <c r="G91" s="301"/>
      <c r="H91" s="301"/>
      <c r="I91" s="301"/>
      <c r="J91" s="301"/>
      <c r="K91" s="301"/>
      <c r="L91" s="301"/>
      <c r="M91" s="301"/>
      <c r="N91" s="288"/>
      <c r="O91" s="282"/>
      <c r="P91" s="282"/>
      <c r="Q91" s="282"/>
      <c r="R91" s="282"/>
      <c r="S91" s="282"/>
      <c r="T91" s="282"/>
      <c r="U91" s="282"/>
      <c r="V91" s="282"/>
      <c r="W91" s="282"/>
      <c r="X91" s="282"/>
      <c r="Y91" s="282"/>
      <c r="Z91" s="282"/>
      <c r="AA91" s="282"/>
    </row>
    <row r="92" spans="1:27" ht="18.75" hidden="1">
      <c r="A92" s="289"/>
      <c r="B92" s="301"/>
      <c r="C92" s="301"/>
      <c r="D92" s="301"/>
      <c r="E92" s="301"/>
      <c r="F92" s="301"/>
      <c r="G92" s="301"/>
      <c r="H92" s="301"/>
      <c r="I92" s="301"/>
      <c r="J92" s="301"/>
      <c r="K92" s="301"/>
      <c r="L92" s="301"/>
      <c r="M92" s="301"/>
      <c r="N92" s="288"/>
      <c r="O92" s="282"/>
      <c r="P92" s="282"/>
      <c r="Q92" s="282"/>
      <c r="R92" s="282"/>
      <c r="S92" s="282"/>
      <c r="T92" s="282"/>
      <c r="U92" s="282"/>
      <c r="V92" s="282"/>
      <c r="W92" s="282"/>
      <c r="X92" s="282"/>
      <c r="Y92" s="282"/>
      <c r="Z92" s="282"/>
      <c r="AA92" s="282"/>
    </row>
    <row r="93" spans="1:27" ht="18.75" hidden="1">
      <c r="A93" s="289" t="s">
        <v>8</v>
      </c>
      <c r="B93" s="301">
        <v>29.7438</v>
      </c>
      <c r="C93" s="301">
        <v>0.80579999999999996</v>
      </c>
      <c r="D93" s="301">
        <v>1.2522</v>
      </c>
      <c r="E93" s="301">
        <v>10.1313</v>
      </c>
      <c r="F93" s="301">
        <v>7.9459</v>
      </c>
      <c r="G93" s="301">
        <v>0.57789999999999997</v>
      </c>
      <c r="H93" s="301">
        <v>0.112</v>
      </c>
      <c r="I93" s="301">
        <v>88.566100000000006</v>
      </c>
      <c r="J93" s="301">
        <f t="shared" ref="J93:J104" si="8">(SUM(B93:I93))/1000</f>
        <v>0.13913499999999998</v>
      </c>
      <c r="K93" s="301">
        <v>2.0619999999999998</v>
      </c>
      <c r="L93" s="301">
        <v>115.2028</v>
      </c>
      <c r="M93" s="301">
        <f t="shared" ref="M93:M104" si="9">(SUM(J93:L93))/1000</f>
        <v>0.11740393499999999</v>
      </c>
      <c r="N93" s="288"/>
      <c r="O93" s="282"/>
      <c r="P93" s="282"/>
      <c r="Q93" s="282"/>
      <c r="R93" s="282"/>
      <c r="S93" s="282"/>
      <c r="T93" s="282"/>
      <c r="U93" s="282"/>
      <c r="V93" s="282"/>
      <c r="W93" s="282"/>
      <c r="X93" s="282"/>
      <c r="Y93" s="282"/>
      <c r="Z93" s="282"/>
      <c r="AA93" s="282"/>
    </row>
    <row r="94" spans="1:27" ht="18.75" hidden="1">
      <c r="A94" s="289" t="s">
        <v>9</v>
      </c>
      <c r="B94" s="301">
        <v>7.5789</v>
      </c>
      <c r="C94" s="301">
        <v>0.80579999999999996</v>
      </c>
      <c r="D94" s="301">
        <v>4.9112</v>
      </c>
      <c r="E94" s="301">
        <v>0.7077</v>
      </c>
      <c r="F94" s="301">
        <v>7.8958999999999993</v>
      </c>
      <c r="G94" s="301">
        <v>0.35830000000000001</v>
      </c>
      <c r="H94" s="301">
        <v>0.112</v>
      </c>
      <c r="I94" s="301">
        <v>109.22880000000001</v>
      </c>
      <c r="J94" s="301">
        <f t="shared" si="8"/>
        <v>0.13159860000000001</v>
      </c>
      <c r="K94" s="301">
        <v>4.3022999999999998</v>
      </c>
      <c r="L94" s="301">
        <v>122.61930000000001</v>
      </c>
      <c r="M94" s="301">
        <f t="shared" si="9"/>
        <v>0.12705319860000003</v>
      </c>
      <c r="N94" s="288"/>
      <c r="O94" s="282"/>
      <c r="P94" s="282"/>
      <c r="Q94" s="282"/>
      <c r="R94" s="282"/>
      <c r="S94" s="282"/>
      <c r="T94" s="282"/>
      <c r="U94" s="282"/>
      <c r="V94" s="282"/>
      <c r="W94" s="282"/>
      <c r="X94" s="282"/>
      <c r="Y94" s="282"/>
      <c r="Z94" s="282"/>
      <c r="AA94" s="282"/>
    </row>
    <row r="95" spans="1:27" ht="18.75" hidden="1">
      <c r="A95" s="289" t="s">
        <v>10</v>
      </c>
      <c r="B95" s="301">
        <v>7.8849</v>
      </c>
      <c r="C95" s="301">
        <v>2.06E-2</v>
      </c>
      <c r="D95" s="301">
        <v>1.8246</v>
      </c>
      <c r="E95" s="301">
        <v>14.062799999999999</v>
      </c>
      <c r="F95" s="301">
        <v>10.0959</v>
      </c>
      <c r="G95" s="301">
        <v>0.34539999999999998</v>
      </c>
      <c r="H95" s="301">
        <v>0.112</v>
      </c>
      <c r="I95" s="301">
        <v>111.2851</v>
      </c>
      <c r="J95" s="301">
        <f t="shared" si="8"/>
        <v>0.14563130000000002</v>
      </c>
      <c r="K95" s="301">
        <v>10.203700000000001</v>
      </c>
      <c r="L95" s="301">
        <v>102.1489</v>
      </c>
      <c r="M95" s="301">
        <f t="shared" si="9"/>
        <v>0.1124982313</v>
      </c>
      <c r="N95" s="288"/>
      <c r="O95" s="282"/>
      <c r="P95" s="282"/>
      <c r="Q95" s="282"/>
      <c r="R95" s="282"/>
      <c r="S95" s="282"/>
      <c r="T95" s="282"/>
      <c r="U95" s="282"/>
      <c r="V95" s="282"/>
      <c r="W95" s="282"/>
      <c r="X95" s="282"/>
      <c r="Y95" s="282"/>
      <c r="Z95" s="282"/>
      <c r="AA95" s="282"/>
    </row>
    <row r="96" spans="1:27" ht="18.75" hidden="1">
      <c r="A96" s="289" t="s">
        <v>11</v>
      </c>
      <c r="B96" s="301">
        <v>7.4055</v>
      </c>
      <c r="C96" s="301">
        <v>10.3886</v>
      </c>
      <c r="D96" s="301">
        <v>0.39989999999999998</v>
      </c>
      <c r="E96" s="301">
        <v>22.034299999999998</v>
      </c>
      <c r="F96" s="301">
        <v>7.8958999999999993</v>
      </c>
      <c r="G96" s="301">
        <v>0.34539999999999998</v>
      </c>
      <c r="H96" s="301">
        <v>0.112</v>
      </c>
      <c r="I96" s="301">
        <v>116.72319999999999</v>
      </c>
      <c r="J96" s="301">
        <f t="shared" si="8"/>
        <v>0.1653048</v>
      </c>
      <c r="K96" s="301">
        <v>3.9919000000000002</v>
      </c>
      <c r="L96" s="301">
        <v>113.7971</v>
      </c>
      <c r="M96" s="301">
        <f t="shared" si="9"/>
        <v>0.11795430480000001</v>
      </c>
      <c r="N96" s="288"/>
      <c r="O96" s="282"/>
      <c r="P96" s="282"/>
      <c r="Q96" s="282"/>
      <c r="R96" s="282"/>
      <c r="S96" s="282"/>
      <c r="T96" s="282"/>
      <c r="U96" s="282"/>
      <c r="V96" s="282"/>
      <c r="W96" s="282"/>
      <c r="X96" s="282"/>
      <c r="Y96" s="282"/>
      <c r="Z96" s="282"/>
      <c r="AA96" s="282"/>
    </row>
    <row r="97" spans="1:27" ht="18.75" hidden="1">
      <c r="A97" s="289" t="s">
        <v>337</v>
      </c>
      <c r="B97" s="301">
        <v>15.1624</v>
      </c>
      <c r="C97" s="301">
        <v>1.4732000000000001</v>
      </c>
      <c r="D97" s="301">
        <v>5.0730000000000004</v>
      </c>
      <c r="E97" s="301">
        <v>16.109500000000001</v>
      </c>
      <c r="F97" s="301">
        <v>9.4380000000000006</v>
      </c>
      <c r="G97" s="301">
        <v>0.34539999999999998</v>
      </c>
      <c r="H97" s="301">
        <v>0.112</v>
      </c>
      <c r="I97" s="301">
        <v>97.965000000000003</v>
      </c>
      <c r="J97" s="301">
        <f t="shared" si="8"/>
        <v>0.14567850000000002</v>
      </c>
      <c r="K97" s="301">
        <v>10.149799999999999</v>
      </c>
      <c r="L97" s="301">
        <v>129.49760000000001</v>
      </c>
      <c r="M97" s="301">
        <f t="shared" si="9"/>
        <v>0.1397930785</v>
      </c>
      <c r="N97" s="288"/>
      <c r="O97" s="282"/>
      <c r="P97" s="282"/>
      <c r="Q97" s="282"/>
      <c r="R97" s="282"/>
      <c r="S97" s="282"/>
      <c r="T97" s="282"/>
      <c r="U97" s="282"/>
      <c r="V97" s="282"/>
      <c r="W97" s="282"/>
      <c r="X97" s="282"/>
      <c r="Y97" s="282"/>
      <c r="Z97" s="282"/>
      <c r="AA97" s="282"/>
    </row>
    <row r="98" spans="1:27" ht="18.75" hidden="1">
      <c r="A98" s="289" t="s">
        <v>346</v>
      </c>
      <c r="B98" s="301">
        <v>20.0641</v>
      </c>
      <c r="C98" s="301">
        <v>3.9546999999999999</v>
      </c>
      <c r="D98" s="301">
        <v>0.39989999999999998</v>
      </c>
      <c r="E98" s="301">
        <v>13.549200000000001</v>
      </c>
      <c r="F98" s="301">
        <v>7.8958999999999993</v>
      </c>
      <c r="G98" s="301">
        <v>0.34539999999999998</v>
      </c>
      <c r="H98" s="301">
        <v>0.112</v>
      </c>
      <c r="I98" s="301">
        <v>113.62869999999999</v>
      </c>
      <c r="J98" s="301">
        <f t="shared" si="8"/>
        <v>0.15994989999999998</v>
      </c>
      <c r="K98" s="301">
        <v>11.1615</v>
      </c>
      <c r="L98" s="301">
        <v>170.47790000000001</v>
      </c>
      <c r="M98" s="301">
        <f t="shared" si="9"/>
        <v>0.18179934990000002</v>
      </c>
      <c r="N98" s="288"/>
      <c r="O98" s="282"/>
      <c r="P98" s="282"/>
      <c r="Q98" s="282"/>
      <c r="R98" s="282"/>
      <c r="S98" s="282"/>
      <c r="T98" s="282"/>
      <c r="U98" s="282"/>
      <c r="V98" s="282"/>
      <c r="W98" s="282"/>
      <c r="X98" s="282"/>
      <c r="Y98" s="282"/>
      <c r="Z98" s="282"/>
      <c r="AA98" s="282"/>
    </row>
    <row r="99" spans="1:27" ht="18.75" hidden="1">
      <c r="A99" s="289" t="s">
        <v>347</v>
      </c>
      <c r="B99" s="301">
        <v>1.3659000000000001</v>
      </c>
      <c r="C99" s="301">
        <v>0.66989999999999994</v>
      </c>
      <c r="D99" s="301">
        <v>1.4834000000000001</v>
      </c>
      <c r="E99" s="301">
        <v>5.9782999999999999</v>
      </c>
      <c r="F99" s="301">
        <v>7.8958999999999993</v>
      </c>
      <c r="G99" s="301">
        <v>0.34539999999999998</v>
      </c>
      <c r="H99" s="301">
        <v>0.112</v>
      </c>
      <c r="I99" s="301">
        <v>206.40970000000002</v>
      </c>
      <c r="J99" s="301">
        <f t="shared" si="8"/>
        <v>0.2242605</v>
      </c>
      <c r="K99" s="301">
        <v>17.334599999999998</v>
      </c>
      <c r="L99" s="301">
        <v>107.88200000000001</v>
      </c>
      <c r="M99" s="301">
        <f t="shared" si="9"/>
        <v>0.1254408605</v>
      </c>
      <c r="N99" s="288"/>
      <c r="O99" s="282"/>
      <c r="P99" s="282"/>
      <c r="Q99" s="282"/>
      <c r="R99" s="282"/>
      <c r="S99" s="282"/>
      <c r="T99" s="282"/>
      <c r="U99" s="282"/>
      <c r="V99" s="282"/>
      <c r="W99" s="282"/>
      <c r="X99" s="282"/>
      <c r="Y99" s="282"/>
      <c r="Z99" s="282"/>
      <c r="AA99" s="282"/>
    </row>
    <row r="100" spans="1:27" ht="18.75" hidden="1">
      <c r="A100" s="289" t="s">
        <v>12</v>
      </c>
      <c r="B100" s="301">
        <v>4.0506000000000002</v>
      </c>
      <c r="C100" s="301">
        <v>0.66989999999999994</v>
      </c>
      <c r="D100" s="301">
        <v>1.5426</v>
      </c>
      <c r="E100" s="301">
        <v>8.9474999999999998</v>
      </c>
      <c r="F100" s="301">
        <v>7.8958999999999993</v>
      </c>
      <c r="G100" s="301">
        <v>0.34539999999999998</v>
      </c>
      <c r="H100" s="301">
        <v>0.112</v>
      </c>
      <c r="I100" s="301">
        <v>136.36079999999998</v>
      </c>
      <c r="J100" s="301">
        <f t="shared" si="8"/>
        <v>0.15992469999999998</v>
      </c>
      <c r="K100" s="301">
        <v>9.508799999999999</v>
      </c>
      <c r="L100" s="301">
        <v>133.20310000000001</v>
      </c>
      <c r="M100" s="301">
        <f t="shared" si="9"/>
        <v>0.14287182469999998</v>
      </c>
      <c r="N100" s="288"/>
      <c r="O100" s="282"/>
      <c r="P100" s="282"/>
      <c r="Q100" s="282"/>
      <c r="R100" s="282"/>
      <c r="S100" s="282"/>
      <c r="T100" s="282"/>
      <c r="U100" s="282"/>
      <c r="V100" s="282"/>
      <c r="W100" s="282"/>
      <c r="X100" s="282"/>
      <c r="Y100" s="282"/>
      <c r="Z100" s="282"/>
      <c r="AA100" s="282"/>
    </row>
    <row r="101" spans="1:27" ht="18.75" hidden="1">
      <c r="A101" s="289" t="s">
        <v>13</v>
      </c>
      <c r="B101" s="301">
        <v>14.5983</v>
      </c>
      <c r="C101" s="301">
        <v>0.66989999999999994</v>
      </c>
      <c r="D101" s="301">
        <v>1.5794999999999999</v>
      </c>
      <c r="E101" s="301">
        <v>10.999799999999999</v>
      </c>
      <c r="F101" s="301">
        <v>7.8958999999999993</v>
      </c>
      <c r="G101" s="301">
        <v>0.50939999999999996</v>
      </c>
      <c r="H101" s="301">
        <v>0.112</v>
      </c>
      <c r="I101" s="301">
        <v>135.82979999999998</v>
      </c>
      <c r="J101" s="301">
        <f t="shared" si="8"/>
        <v>0.17219459999999998</v>
      </c>
      <c r="K101" s="301">
        <v>5.0881000000000007</v>
      </c>
      <c r="L101" s="301">
        <v>134.60410000000002</v>
      </c>
      <c r="M101" s="301">
        <f t="shared" si="9"/>
        <v>0.13986439460000002</v>
      </c>
      <c r="N101" s="288"/>
      <c r="O101" s="282"/>
      <c r="P101" s="282"/>
      <c r="Q101" s="282"/>
      <c r="R101" s="282"/>
      <c r="S101" s="282"/>
      <c r="T101" s="282"/>
      <c r="U101" s="282"/>
      <c r="V101" s="282"/>
      <c r="W101" s="282"/>
      <c r="X101" s="282"/>
      <c r="Y101" s="282"/>
      <c r="Z101" s="282"/>
      <c r="AA101" s="282"/>
    </row>
    <row r="102" spans="1:27" ht="18.75" hidden="1">
      <c r="A102" s="289" t="s">
        <v>14</v>
      </c>
      <c r="B102" s="301">
        <v>4.6512000000000002</v>
      </c>
      <c r="C102" s="301">
        <v>0.66989999999999994</v>
      </c>
      <c r="D102" s="301">
        <v>5.7089999999999996</v>
      </c>
      <c r="E102" s="301">
        <v>19.574300000000001</v>
      </c>
      <c r="F102" s="301">
        <v>7.8958999999999993</v>
      </c>
      <c r="G102" s="301">
        <v>0.34539999999999998</v>
      </c>
      <c r="H102" s="301">
        <v>0.112</v>
      </c>
      <c r="I102" s="301">
        <v>153.559</v>
      </c>
      <c r="J102" s="301">
        <f t="shared" si="8"/>
        <v>0.19251670000000001</v>
      </c>
      <c r="K102" s="301">
        <v>-5.6781999999999995</v>
      </c>
      <c r="L102" s="301">
        <v>130.7715</v>
      </c>
      <c r="M102" s="301">
        <f t="shared" si="9"/>
        <v>0.1252858167</v>
      </c>
      <c r="N102" s="288"/>
      <c r="O102" s="282"/>
      <c r="P102" s="282"/>
      <c r="Q102" s="282"/>
      <c r="R102" s="282"/>
      <c r="S102" s="282"/>
      <c r="T102" s="282"/>
      <c r="U102" s="282"/>
      <c r="V102" s="282"/>
      <c r="W102" s="282"/>
      <c r="X102" s="282"/>
      <c r="Y102" s="282"/>
      <c r="Z102" s="282"/>
      <c r="AA102" s="282"/>
    </row>
    <row r="103" spans="1:27" ht="18.75" hidden="1">
      <c r="A103" s="289" t="s">
        <v>15</v>
      </c>
      <c r="B103" s="301">
        <v>2.5234000000000001</v>
      </c>
      <c r="C103" s="301">
        <v>0.66989999999999994</v>
      </c>
      <c r="D103" s="301">
        <v>2.8401000000000001</v>
      </c>
      <c r="E103" s="301">
        <v>23.028599999999997</v>
      </c>
      <c r="F103" s="301">
        <v>7.8958999999999993</v>
      </c>
      <c r="G103" s="301">
        <v>0.34539999999999998</v>
      </c>
      <c r="H103" s="301">
        <v>0.112</v>
      </c>
      <c r="I103" s="301">
        <v>187.09100000000001</v>
      </c>
      <c r="J103" s="301">
        <f t="shared" si="8"/>
        <v>0.22450630000000002</v>
      </c>
      <c r="K103" s="301">
        <v>-6.4011000000000005</v>
      </c>
      <c r="L103" s="301">
        <v>126.4824</v>
      </c>
      <c r="M103" s="301">
        <f t="shared" si="9"/>
        <v>0.1203058063</v>
      </c>
      <c r="N103" s="288"/>
      <c r="O103" s="282"/>
      <c r="P103" s="282"/>
      <c r="Q103" s="282"/>
      <c r="R103" s="282"/>
      <c r="S103" s="282"/>
      <c r="T103" s="282"/>
      <c r="U103" s="282"/>
      <c r="V103" s="282"/>
      <c r="W103" s="282"/>
      <c r="X103" s="282"/>
      <c r="Y103" s="282"/>
      <c r="Z103" s="282"/>
      <c r="AA103" s="282"/>
    </row>
    <row r="104" spans="1:27" ht="18.75" hidden="1">
      <c r="A104" s="289" t="s">
        <v>16</v>
      </c>
      <c r="B104" s="301">
        <v>2.1583999999999999</v>
      </c>
      <c r="C104" s="301">
        <v>0.66989999999999994</v>
      </c>
      <c r="D104" s="301">
        <v>3.2100999999999997</v>
      </c>
      <c r="E104" s="301">
        <v>8.4202999999999992</v>
      </c>
      <c r="F104" s="301">
        <v>7.8958999999999993</v>
      </c>
      <c r="G104" s="301">
        <v>0.34539999999999998</v>
      </c>
      <c r="H104" s="301">
        <v>0.112</v>
      </c>
      <c r="I104" s="301">
        <v>180.68179999999998</v>
      </c>
      <c r="J104" s="301">
        <f t="shared" si="8"/>
        <v>0.20349379999999997</v>
      </c>
      <c r="K104" s="301">
        <v>-11.334299999999999</v>
      </c>
      <c r="L104" s="301">
        <v>130.72190000000001</v>
      </c>
      <c r="M104" s="301">
        <f t="shared" si="9"/>
        <v>0.11959109380000001</v>
      </c>
      <c r="N104" s="288"/>
      <c r="O104" s="282"/>
      <c r="P104" s="282"/>
      <c r="Q104" s="282"/>
      <c r="R104" s="282"/>
      <c r="S104" s="282"/>
      <c r="T104" s="282"/>
      <c r="U104" s="282"/>
      <c r="V104" s="282"/>
      <c r="W104" s="282"/>
      <c r="X104" s="282"/>
      <c r="Y104" s="282"/>
      <c r="Z104" s="282"/>
      <c r="AA104" s="282"/>
    </row>
    <row r="105" spans="1:27" ht="18.75" hidden="1">
      <c r="A105" s="289"/>
      <c r="B105" s="301"/>
      <c r="C105" s="301"/>
      <c r="D105" s="301"/>
      <c r="E105" s="301"/>
      <c r="F105" s="301"/>
      <c r="G105" s="301"/>
      <c r="H105" s="301"/>
      <c r="I105" s="301"/>
      <c r="J105" s="301"/>
      <c r="K105" s="301"/>
      <c r="L105" s="301"/>
      <c r="M105" s="301"/>
      <c r="N105" s="288"/>
      <c r="O105" s="282"/>
      <c r="P105" s="282"/>
      <c r="Q105" s="282"/>
      <c r="R105" s="282"/>
      <c r="S105" s="282"/>
      <c r="T105" s="282"/>
      <c r="U105" s="282"/>
      <c r="V105" s="282"/>
      <c r="W105" s="282"/>
      <c r="X105" s="282"/>
      <c r="Y105" s="282"/>
      <c r="Z105" s="282"/>
      <c r="AA105" s="282"/>
    </row>
    <row r="106" spans="1:27" ht="18.75" hidden="1">
      <c r="A106" s="302">
        <v>2005</v>
      </c>
      <c r="B106" s="301"/>
      <c r="C106" s="301"/>
      <c r="D106" s="301"/>
      <c r="E106" s="301"/>
      <c r="F106" s="301"/>
      <c r="G106" s="301"/>
      <c r="H106" s="301"/>
      <c r="I106" s="301"/>
      <c r="J106" s="301"/>
      <c r="K106" s="301"/>
      <c r="L106" s="301"/>
      <c r="M106" s="301"/>
      <c r="N106" s="288"/>
      <c r="O106" s="282"/>
      <c r="P106" s="282"/>
      <c r="Q106" s="282"/>
      <c r="R106" s="282"/>
      <c r="S106" s="282"/>
      <c r="T106" s="282"/>
      <c r="U106" s="282"/>
      <c r="V106" s="282"/>
      <c r="W106" s="282"/>
      <c r="X106" s="282"/>
      <c r="Y106" s="282"/>
      <c r="Z106" s="282"/>
      <c r="AA106" s="282"/>
    </row>
    <row r="107" spans="1:27" ht="18.75" hidden="1">
      <c r="A107" s="289"/>
      <c r="B107" s="301"/>
      <c r="C107" s="301"/>
      <c r="D107" s="301"/>
      <c r="E107" s="301"/>
      <c r="F107" s="301"/>
      <c r="G107" s="301"/>
      <c r="H107" s="301"/>
      <c r="I107" s="301"/>
      <c r="J107" s="301"/>
      <c r="K107" s="301"/>
      <c r="L107" s="301"/>
      <c r="M107" s="301"/>
      <c r="N107" s="288"/>
      <c r="O107" s="282"/>
      <c r="P107" s="282"/>
      <c r="Q107" s="282"/>
      <c r="R107" s="282"/>
      <c r="S107" s="282"/>
      <c r="T107" s="282"/>
      <c r="U107" s="282"/>
      <c r="V107" s="282"/>
      <c r="W107" s="282"/>
      <c r="X107" s="282"/>
      <c r="Y107" s="282"/>
      <c r="Z107" s="282"/>
      <c r="AA107" s="282"/>
    </row>
    <row r="108" spans="1:27" ht="18.75" hidden="1">
      <c r="A108" s="289" t="s">
        <v>8</v>
      </c>
      <c r="B108" s="301">
        <v>1.1597390000000001</v>
      </c>
      <c r="C108" s="301">
        <v>0.66994799999999999</v>
      </c>
      <c r="D108" s="301">
        <v>5.7732169999999998</v>
      </c>
      <c r="E108" s="301">
        <v>8.2646060000000006</v>
      </c>
      <c r="F108" s="301">
        <v>7.8958539999999999</v>
      </c>
      <c r="G108" s="301">
        <v>0.345389</v>
      </c>
      <c r="H108" s="301">
        <v>0.112</v>
      </c>
      <c r="I108" s="301">
        <v>269.62916999999999</v>
      </c>
      <c r="J108" s="301">
        <f>(SUM(B108:I108))/1000</f>
        <v>0.29384992300000001</v>
      </c>
      <c r="K108" s="301">
        <v>-12.225458</v>
      </c>
      <c r="L108" s="301">
        <v>145.58449600000003</v>
      </c>
      <c r="M108" s="301">
        <f>(SUM(J108:L108))/1000</f>
        <v>0.13365288792300004</v>
      </c>
      <c r="N108" s="288"/>
      <c r="O108" s="282"/>
      <c r="P108" s="282"/>
      <c r="Q108" s="282"/>
      <c r="R108" s="282"/>
      <c r="S108" s="282"/>
      <c r="T108" s="282"/>
      <c r="U108" s="282"/>
      <c r="V108" s="282"/>
      <c r="W108" s="282"/>
      <c r="X108" s="282"/>
      <c r="Y108" s="282"/>
      <c r="Z108" s="282"/>
      <c r="AA108" s="282"/>
    </row>
    <row r="109" spans="1:27" ht="18.75" hidden="1">
      <c r="A109" s="289" t="s">
        <v>9</v>
      </c>
      <c r="B109" s="301">
        <v>1.1609639999999999</v>
      </c>
      <c r="C109" s="301">
        <v>0.66994799999999999</v>
      </c>
      <c r="D109" s="301">
        <v>24.581810000000001</v>
      </c>
      <c r="E109" s="301">
        <v>1.7357119999999999</v>
      </c>
      <c r="F109" s="301">
        <v>7.8958539999999999</v>
      </c>
      <c r="G109" s="301">
        <v>0.345389</v>
      </c>
      <c r="H109" s="301">
        <v>0.112</v>
      </c>
      <c r="I109" s="301">
        <v>337.06586099999998</v>
      </c>
      <c r="J109" s="301">
        <f>(SUM(B109:I109))/1000</f>
        <v>0.37356753800000003</v>
      </c>
      <c r="K109" s="301">
        <v>46.581222000000004</v>
      </c>
      <c r="L109" s="301">
        <v>144.86516399999999</v>
      </c>
      <c r="M109" s="301">
        <f>(SUM(J109:L109))/1000</f>
        <v>0.19181995353799999</v>
      </c>
      <c r="N109" s="288"/>
      <c r="O109" s="282"/>
      <c r="P109" s="282"/>
      <c r="Q109" s="282"/>
      <c r="R109" s="282"/>
      <c r="S109" s="282"/>
      <c r="T109" s="282"/>
      <c r="U109" s="282"/>
      <c r="V109" s="282"/>
      <c r="W109" s="282"/>
      <c r="X109" s="282"/>
      <c r="Y109" s="282"/>
      <c r="Z109" s="282"/>
      <c r="AA109" s="282"/>
    </row>
    <row r="110" spans="1:27" ht="18.75" hidden="1">
      <c r="A110" s="289" t="s">
        <v>10</v>
      </c>
      <c r="B110" s="301">
        <v>1.1622870000000001</v>
      </c>
      <c r="C110" s="301">
        <v>0.66994799999999999</v>
      </c>
      <c r="D110" s="301">
        <v>16.298781000000002</v>
      </c>
      <c r="E110" s="301">
        <v>1.661173</v>
      </c>
      <c r="F110" s="301">
        <v>7.8958539999999999</v>
      </c>
      <c r="G110" s="301">
        <v>0.345389</v>
      </c>
      <c r="H110" s="301">
        <v>0.112</v>
      </c>
      <c r="I110" s="301">
        <v>319.60299500000002</v>
      </c>
      <c r="J110" s="301">
        <f>(SUM(B110:I110))/1000</f>
        <v>0.34774842700000003</v>
      </c>
      <c r="K110" s="301">
        <v>114.847345</v>
      </c>
      <c r="L110" s="301">
        <v>121.26343200000002</v>
      </c>
      <c r="M110" s="301">
        <f>(SUM(J110:L110))/1000</f>
        <v>0.23645852542700005</v>
      </c>
      <c r="N110" s="288"/>
      <c r="O110" s="282"/>
      <c r="P110" s="282"/>
      <c r="Q110" s="282"/>
      <c r="R110" s="282"/>
      <c r="S110" s="282"/>
      <c r="T110" s="282"/>
      <c r="U110" s="282"/>
      <c r="V110" s="282"/>
      <c r="W110" s="282"/>
      <c r="X110" s="282"/>
      <c r="Y110" s="282"/>
      <c r="Z110" s="282"/>
      <c r="AA110" s="282"/>
    </row>
    <row r="111" spans="1:27" ht="18.75" hidden="1">
      <c r="A111" s="289" t="s">
        <v>11</v>
      </c>
      <c r="B111" s="301">
        <v>1.1637</v>
      </c>
      <c r="C111" s="301">
        <v>0.66989999999999994</v>
      </c>
      <c r="D111" s="301">
        <v>36.287099999999995</v>
      </c>
      <c r="E111" s="301">
        <v>1.5290999999999999</v>
      </c>
      <c r="F111" s="301">
        <v>7.8958999999999993</v>
      </c>
      <c r="G111" s="301">
        <v>0.34539999999999998</v>
      </c>
      <c r="H111" s="301">
        <v>0.112</v>
      </c>
      <c r="I111" s="301">
        <v>310.00640000000004</v>
      </c>
      <c r="J111" s="301">
        <v>358.0095</v>
      </c>
      <c r="K111" s="301">
        <v>122.1947</v>
      </c>
      <c r="L111" s="301">
        <v>116.05510000000001</v>
      </c>
      <c r="M111" s="301">
        <v>596.25930000000005</v>
      </c>
      <c r="N111" s="288"/>
      <c r="O111" s="282"/>
      <c r="P111" s="282"/>
      <c r="Q111" s="282"/>
      <c r="R111" s="282"/>
      <c r="S111" s="282"/>
      <c r="T111" s="282"/>
      <c r="U111" s="282"/>
      <c r="V111" s="282"/>
      <c r="W111" s="282"/>
      <c r="X111" s="282"/>
      <c r="Y111" s="282"/>
      <c r="Z111" s="282"/>
      <c r="AA111" s="282"/>
    </row>
    <row r="112" spans="1:27" ht="18.75" hidden="1">
      <c r="A112" s="289" t="s">
        <v>337</v>
      </c>
      <c r="B112" s="301">
        <v>4.6707999999999998</v>
      </c>
      <c r="C112" s="301">
        <v>0.66989999999999994</v>
      </c>
      <c r="D112" s="301">
        <v>63.5824</v>
      </c>
      <c r="E112" s="301">
        <v>7.7178999999999993</v>
      </c>
      <c r="F112" s="301">
        <v>7.8958999999999993</v>
      </c>
      <c r="G112" s="301">
        <v>0.34539999999999998</v>
      </c>
      <c r="H112" s="301">
        <v>0.112</v>
      </c>
      <c r="I112" s="301">
        <v>383.89269999999999</v>
      </c>
      <c r="J112" s="301">
        <v>468.887</v>
      </c>
      <c r="K112" s="301">
        <v>129.65549999999999</v>
      </c>
      <c r="L112" s="301">
        <v>151.07310000000001</v>
      </c>
      <c r="M112" s="301">
        <v>749.61559999999997</v>
      </c>
      <c r="N112" s="288"/>
      <c r="O112" s="282"/>
      <c r="P112" s="282"/>
      <c r="Q112" s="282"/>
      <c r="R112" s="282"/>
      <c r="S112" s="282"/>
      <c r="T112" s="282"/>
      <c r="U112" s="282"/>
      <c r="V112" s="282"/>
      <c r="W112" s="282"/>
      <c r="X112" s="282"/>
      <c r="Y112" s="282"/>
      <c r="Z112" s="282"/>
      <c r="AA112" s="282"/>
    </row>
    <row r="113" spans="1:27" ht="18.75" hidden="1">
      <c r="A113" s="289" t="s">
        <v>346</v>
      </c>
      <c r="B113" s="301">
        <v>0.27379999999999999</v>
      </c>
      <c r="C113" s="301">
        <v>35.928100000000001</v>
      </c>
      <c r="D113" s="301">
        <v>0.39989999999999998</v>
      </c>
      <c r="E113" s="301">
        <v>0</v>
      </c>
      <c r="F113" s="301">
        <v>6.8958999999999993</v>
      </c>
      <c r="G113" s="301">
        <v>0.34539999999999998</v>
      </c>
      <c r="H113" s="301">
        <v>0.112</v>
      </c>
      <c r="I113" s="301">
        <v>180.6728</v>
      </c>
      <c r="J113" s="301">
        <v>224.62789999999998</v>
      </c>
      <c r="K113" s="301">
        <v>101.02589999999999</v>
      </c>
      <c r="L113" s="301">
        <v>76.613199999999992</v>
      </c>
      <c r="M113" s="301">
        <v>402.267</v>
      </c>
      <c r="N113" s="288"/>
      <c r="O113" s="282"/>
      <c r="P113" s="282"/>
      <c r="Q113" s="282"/>
      <c r="R113" s="282"/>
      <c r="S113" s="282"/>
      <c r="T113" s="282"/>
      <c r="U113" s="282"/>
      <c r="V113" s="282"/>
      <c r="W113" s="282"/>
      <c r="X113" s="282"/>
      <c r="Y113" s="282"/>
      <c r="Z113" s="282"/>
      <c r="AA113" s="282"/>
    </row>
    <row r="114" spans="1:27" ht="18.75" hidden="1">
      <c r="A114" s="289" t="s">
        <v>347</v>
      </c>
      <c r="B114" s="301">
        <v>17.719799999999999</v>
      </c>
      <c r="C114" s="301">
        <v>44.590800000000002</v>
      </c>
      <c r="D114" s="301">
        <v>0.39989999999999998</v>
      </c>
      <c r="E114" s="301">
        <v>0</v>
      </c>
      <c r="F114" s="301">
        <v>6.8958999999999993</v>
      </c>
      <c r="G114" s="301">
        <v>0.34539999999999998</v>
      </c>
      <c r="H114" s="301">
        <v>0.112</v>
      </c>
      <c r="I114" s="301">
        <v>208.11</v>
      </c>
      <c r="J114" s="301">
        <v>278.17379999999997</v>
      </c>
      <c r="K114" s="301">
        <v>118.8455</v>
      </c>
      <c r="L114" s="301">
        <v>110.70910000000001</v>
      </c>
      <c r="M114" s="301">
        <v>507.72840000000002</v>
      </c>
      <c r="N114" s="288"/>
      <c r="O114" s="282"/>
      <c r="P114" s="282"/>
      <c r="Q114" s="282"/>
      <c r="R114" s="282"/>
      <c r="S114" s="282"/>
      <c r="T114" s="282"/>
      <c r="U114" s="282"/>
      <c r="V114" s="282"/>
      <c r="W114" s="282"/>
      <c r="X114" s="282"/>
      <c r="Y114" s="282"/>
      <c r="Z114" s="282"/>
      <c r="AA114" s="282"/>
    </row>
    <row r="115" spans="1:27" ht="18.75" hidden="1">
      <c r="A115" s="289" t="s">
        <v>12</v>
      </c>
      <c r="B115" s="301">
        <v>0.2303</v>
      </c>
      <c r="C115" s="301">
        <v>4.2099999999999999E-2</v>
      </c>
      <c r="D115" s="301">
        <v>0.39989999999999998</v>
      </c>
      <c r="E115" s="301">
        <v>0</v>
      </c>
      <c r="F115" s="301">
        <v>6.8958999999999993</v>
      </c>
      <c r="G115" s="301">
        <v>0.34539999999999998</v>
      </c>
      <c r="H115" s="301">
        <v>0.112</v>
      </c>
      <c r="I115" s="301">
        <v>191.49370000000002</v>
      </c>
      <c r="J115" s="301">
        <v>199.51929999999999</v>
      </c>
      <c r="K115" s="301">
        <v>136.9667</v>
      </c>
      <c r="L115" s="301">
        <v>214.7216</v>
      </c>
      <c r="M115" s="301">
        <v>551.20759999999996</v>
      </c>
      <c r="N115" s="288"/>
      <c r="O115" s="282"/>
      <c r="P115" s="282"/>
      <c r="Q115" s="282"/>
      <c r="R115" s="282"/>
      <c r="S115" s="282"/>
      <c r="T115" s="282"/>
      <c r="U115" s="282"/>
      <c r="V115" s="282"/>
      <c r="W115" s="282"/>
      <c r="X115" s="282"/>
      <c r="Y115" s="282"/>
      <c r="Z115" s="282"/>
      <c r="AA115" s="282"/>
    </row>
    <row r="116" spans="1:27" ht="18.75" hidden="1">
      <c r="A116" s="289" t="s">
        <v>13</v>
      </c>
      <c r="B116" s="301">
        <v>15.0611</v>
      </c>
      <c r="C116" s="301">
        <v>1.5E-3</v>
      </c>
      <c r="D116" s="301">
        <v>0</v>
      </c>
      <c r="E116" s="301">
        <v>0</v>
      </c>
      <c r="F116" s="301">
        <v>0</v>
      </c>
      <c r="G116" s="301">
        <v>0</v>
      </c>
      <c r="H116" s="301">
        <v>0.112</v>
      </c>
      <c r="I116" s="301">
        <v>139.64079999999998</v>
      </c>
      <c r="J116" s="301">
        <v>154.81539999999998</v>
      </c>
      <c r="K116" s="301">
        <v>290.03909999999996</v>
      </c>
      <c r="L116" s="301">
        <v>149.26510000000002</v>
      </c>
      <c r="M116" s="301">
        <v>594.11969999999997</v>
      </c>
      <c r="N116" s="288"/>
      <c r="O116" s="282"/>
      <c r="P116" s="282"/>
      <c r="Q116" s="282"/>
      <c r="R116" s="282"/>
      <c r="S116" s="282"/>
      <c r="T116" s="282"/>
      <c r="U116" s="282"/>
      <c r="V116" s="282"/>
      <c r="W116" s="282"/>
      <c r="X116" s="282"/>
      <c r="Y116" s="282"/>
      <c r="Z116" s="282"/>
      <c r="AA116" s="282"/>
    </row>
    <row r="117" spans="1:27" ht="18.75" hidden="1">
      <c r="A117" s="289" t="s">
        <v>14</v>
      </c>
      <c r="B117" s="301">
        <v>33.019599999999997</v>
      </c>
      <c r="C117" s="301">
        <v>1.5E-3</v>
      </c>
      <c r="D117" s="301">
        <v>0</v>
      </c>
      <c r="E117" s="301">
        <v>0</v>
      </c>
      <c r="F117" s="301">
        <v>0</v>
      </c>
      <c r="G117" s="301">
        <v>0</v>
      </c>
      <c r="H117" s="301">
        <v>0.112</v>
      </c>
      <c r="I117" s="301">
        <v>464.82380000000001</v>
      </c>
      <c r="J117" s="301">
        <v>497.95699999999999</v>
      </c>
      <c r="K117" s="301">
        <v>331.8279</v>
      </c>
      <c r="L117" s="301">
        <v>186.75200000000001</v>
      </c>
      <c r="M117" s="301">
        <v>1016.5369000000001</v>
      </c>
      <c r="N117" s="288"/>
      <c r="O117" s="282"/>
      <c r="P117" s="282"/>
      <c r="Q117" s="282"/>
      <c r="R117" s="282"/>
      <c r="S117" s="282"/>
      <c r="T117" s="282"/>
      <c r="U117" s="282"/>
      <c r="V117" s="282"/>
      <c r="W117" s="282"/>
      <c r="X117" s="282"/>
      <c r="Y117" s="282"/>
      <c r="Z117" s="282"/>
      <c r="AA117" s="282"/>
    </row>
    <row r="118" spans="1:27" ht="18.75" hidden="1">
      <c r="A118" s="289" t="s">
        <v>15</v>
      </c>
      <c r="B118" s="301">
        <v>7.2412999999999998</v>
      </c>
      <c r="C118" s="301">
        <v>0</v>
      </c>
      <c r="D118" s="301">
        <v>0</v>
      </c>
      <c r="E118" s="301">
        <v>228.98129999999998</v>
      </c>
      <c r="F118" s="301">
        <v>0</v>
      </c>
      <c r="G118" s="301">
        <v>0</v>
      </c>
      <c r="H118" s="301">
        <v>0.2407</v>
      </c>
      <c r="I118" s="301">
        <v>317.83840000000004</v>
      </c>
      <c r="J118" s="301">
        <v>554.30160000000001</v>
      </c>
      <c r="K118" s="301">
        <v>510.33840000000004</v>
      </c>
      <c r="L118" s="301">
        <v>339.89940000000001</v>
      </c>
      <c r="M118" s="301">
        <v>1404.5395000000001</v>
      </c>
      <c r="N118" s="288"/>
      <c r="O118" s="282"/>
      <c r="P118" s="282"/>
      <c r="Q118" s="282"/>
      <c r="R118" s="282"/>
      <c r="S118" s="282"/>
      <c r="T118" s="282"/>
      <c r="U118" s="282"/>
      <c r="V118" s="282"/>
      <c r="W118" s="282"/>
      <c r="X118" s="282"/>
      <c r="Y118" s="282"/>
      <c r="Z118" s="282"/>
      <c r="AA118" s="282"/>
    </row>
    <row r="119" spans="1:27" ht="18.75" hidden="1">
      <c r="A119" s="289" t="s">
        <v>16</v>
      </c>
      <c r="B119" s="301">
        <v>0</v>
      </c>
      <c r="C119" s="301">
        <v>6.8958999999999993</v>
      </c>
      <c r="D119" s="301">
        <v>0</v>
      </c>
      <c r="E119" s="301">
        <v>0</v>
      </c>
      <c r="F119" s="301">
        <v>199.62520000000001</v>
      </c>
      <c r="G119" s="301">
        <v>0</v>
      </c>
      <c r="H119" s="301">
        <v>0.112</v>
      </c>
      <c r="I119" s="301">
        <v>569.00959999999998</v>
      </c>
      <c r="J119" s="301">
        <v>775.64260000000002</v>
      </c>
      <c r="K119" s="301">
        <v>406.38959999999997</v>
      </c>
      <c r="L119" s="301">
        <v>276.60750000000002</v>
      </c>
      <c r="M119" s="301">
        <v>1458.6396999999999</v>
      </c>
      <c r="N119" s="288"/>
      <c r="O119" s="282"/>
      <c r="P119" s="282"/>
      <c r="Q119" s="282"/>
      <c r="R119" s="282"/>
      <c r="S119" s="282"/>
      <c r="T119" s="282"/>
      <c r="U119" s="282"/>
      <c r="V119" s="282"/>
      <c r="W119" s="282"/>
      <c r="X119" s="282"/>
      <c r="Y119" s="282"/>
      <c r="Z119" s="282"/>
      <c r="AA119" s="282"/>
    </row>
    <row r="120" spans="1:27" ht="18.75" hidden="1">
      <c r="A120" s="289"/>
      <c r="B120" s="301"/>
      <c r="C120" s="301"/>
      <c r="D120" s="301"/>
      <c r="E120" s="301"/>
      <c r="F120" s="301"/>
      <c r="G120" s="301"/>
      <c r="H120" s="301"/>
      <c r="I120" s="301"/>
      <c r="J120" s="301"/>
      <c r="K120" s="301"/>
      <c r="L120" s="301"/>
      <c r="M120" s="301"/>
      <c r="N120" s="288"/>
      <c r="O120" s="282"/>
      <c r="P120" s="282"/>
      <c r="Q120" s="282"/>
      <c r="R120" s="282"/>
      <c r="S120" s="282"/>
      <c r="T120" s="282"/>
      <c r="U120" s="282"/>
      <c r="V120" s="282"/>
      <c r="W120" s="282"/>
      <c r="X120" s="282"/>
      <c r="Y120" s="282"/>
      <c r="Z120" s="282"/>
      <c r="AA120" s="282"/>
    </row>
    <row r="121" spans="1:27" ht="18.75" hidden="1">
      <c r="A121" s="289"/>
      <c r="B121" s="301"/>
      <c r="C121" s="301"/>
      <c r="D121" s="301"/>
      <c r="E121" s="301"/>
      <c r="F121" s="301"/>
      <c r="G121" s="301"/>
      <c r="H121" s="301"/>
      <c r="I121" s="301"/>
      <c r="J121" s="301"/>
      <c r="K121" s="301"/>
      <c r="L121" s="301"/>
      <c r="M121" s="301"/>
      <c r="N121" s="288"/>
      <c r="O121" s="282"/>
      <c r="P121" s="282"/>
      <c r="Q121" s="282"/>
      <c r="R121" s="282"/>
      <c r="S121" s="282"/>
      <c r="T121" s="282"/>
      <c r="U121" s="282"/>
      <c r="V121" s="282"/>
      <c r="W121" s="282"/>
      <c r="X121" s="282"/>
      <c r="Y121" s="282"/>
      <c r="Z121" s="282"/>
      <c r="AA121" s="282"/>
    </row>
    <row r="122" spans="1:27" ht="18.75" hidden="1">
      <c r="A122" s="302">
        <v>2006</v>
      </c>
      <c r="B122" s="301"/>
      <c r="C122" s="301"/>
      <c r="D122" s="301"/>
      <c r="E122" s="301"/>
      <c r="F122" s="301"/>
      <c r="G122" s="301"/>
      <c r="H122" s="301"/>
      <c r="I122" s="301"/>
      <c r="J122" s="301"/>
      <c r="K122" s="301"/>
      <c r="L122" s="301"/>
      <c r="M122" s="301"/>
      <c r="N122" s="288"/>
      <c r="O122" s="282"/>
      <c r="P122" s="282"/>
      <c r="Q122" s="282"/>
      <c r="R122" s="282"/>
      <c r="S122" s="282"/>
      <c r="T122" s="282"/>
      <c r="U122" s="282"/>
      <c r="V122" s="282"/>
      <c r="W122" s="282"/>
      <c r="X122" s="282"/>
      <c r="Y122" s="282"/>
      <c r="Z122" s="282"/>
      <c r="AA122" s="282"/>
    </row>
    <row r="123" spans="1:27" ht="18.75" hidden="1">
      <c r="A123" s="302"/>
      <c r="B123" s="301"/>
      <c r="C123" s="301"/>
      <c r="D123" s="301"/>
      <c r="E123" s="301"/>
      <c r="F123" s="301"/>
      <c r="G123" s="301"/>
      <c r="H123" s="301"/>
      <c r="I123" s="301"/>
      <c r="J123" s="301"/>
      <c r="K123" s="301"/>
      <c r="L123" s="301"/>
      <c r="M123" s="301"/>
      <c r="N123" s="288"/>
      <c r="O123" s="282"/>
      <c r="P123" s="282"/>
      <c r="Q123" s="282"/>
      <c r="R123" s="282"/>
      <c r="S123" s="282"/>
      <c r="T123" s="282"/>
      <c r="U123" s="282"/>
      <c r="V123" s="282"/>
      <c r="W123" s="282"/>
      <c r="X123" s="282"/>
      <c r="Y123" s="282"/>
      <c r="Z123" s="282"/>
      <c r="AA123" s="282"/>
    </row>
    <row r="124" spans="1:27" ht="18.75" hidden="1">
      <c r="A124" s="289" t="s">
        <v>8</v>
      </c>
      <c r="B124" s="301">
        <v>24.141549999999999</v>
      </c>
      <c r="C124" s="301">
        <v>323.31167800000003</v>
      </c>
      <c r="D124" s="301">
        <v>0</v>
      </c>
      <c r="E124" s="301">
        <v>0</v>
      </c>
      <c r="F124" s="301">
        <v>0</v>
      </c>
      <c r="G124" s="301">
        <v>0</v>
      </c>
      <c r="H124" s="301">
        <v>4.3161570000000005</v>
      </c>
      <c r="I124" s="301">
        <v>418.72778099999999</v>
      </c>
      <c r="J124" s="301">
        <v>770.49716599999999</v>
      </c>
      <c r="K124" s="301">
        <v>633.51146100000005</v>
      </c>
      <c r="L124" s="301">
        <v>1490.457034</v>
      </c>
      <c r="M124" s="301">
        <v>2894.4656609999997</v>
      </c>
      <c r="N124" s="288"/>
      <c r="O124" s="282"/>
      <c r="P124" s="282"/>
      <c r="Q124" s="282"/>
      <c r="R124" s="282"/>
      <c r="S124" s="282"/>
      <c r="T124" s="282"/>
      <c r="U124" s="282"/>
      <c r="V124" s="282"/>
      <c r="W124" s="282"/>
      <c r="X124" s="282"/>
      <c r="Y124" s="282"/>
      <c r="Z124" s="282"/>
      <c r="AA124" s="282"/>
    </row>
    <row r="125" spans="1:27" ht="18.75" hidden="1">
      <c r="A125" s="289" t="s">
        <v>9</v>
      </c>
      <c r="B125" s="301">
        <v>24.141549999999999</v>
      </c>
      <c r="C125" s="301">
        <v>323.31167800000003</v>
      </c>
      <c r="D125" s="301">
        <v>0</v>
      </c>
      <c r="E125" s="301">
        <v>0</v>
      </c>
      <c r="F125" s="301">
        <v>0</v>
      </c>
      <c r="G125" s="301">
        <v>0</v>
      </c>
      <c r="H125" s="301">
        <v>4.3161570000000005</v>
      </c>
      <c r="I125" s="301">
        <v>484.26892599999996</v>
      </c>
      <c r="J125" s="301">
        <v>836.03831100000002</v>
      </c>
      <c r="K125" s="301">
        <v>685.84862399999997</v>
      </c>
      <c r="L125" s="301">
        <v>1505.18948</v>
      </c>
      <c r="M125" s="301">
        <v>3027.076415</v>
      </c>
      <c r="N125" s="288"/>
      <c r="O125" s="282"/>
      <c r="P125" s="282"/>
      <c r="Q125" s="282"/>
      <c r="R125" s="282"/>
      <c r="S125" s="282"/>
      <c r="T125" s="282"/>
      <c r="U125" s="282"/>
      <c r="V125" s="282"/>
      <c r="W125" s="282"/>
      <c r="X125" s="282"/>
      <c r="Y125" s="282"/>
      <c r="Z125" s="282"/>
      <c r="AA125" s="282"/>
    </row>
    <row r="126" spans="1:27" ht="18.75" hidden="1">
      <c r="A126" s="289" t="s">
        <v>10</v>
      </c>
      <c r="B126" s="301">
        <v>2.1000259999999997</v>
      </c>
      <c r="C126" s="301">
        <v>0</v>
      </c>
      <c r="D126" s="301">
        <v>0</v>
      </c>
      <c r="E126" s="301">
        <v>0</v>
      </c>
      <c r="F126" s="301">
        <v>0</v>
      </c>
      <c r="G126" s="301">
        <v>0</v>
      </c>
      <c r="H126" s="301">
        <v>6.4521610000000003</v>
      </c>
      <c r="I126" s="301">
        <v>1139.6790169999999</v>
      </c>
      <c r="J126" s="301">
        <v>1148.2312039999999</v>
      </c>
      <c r="K126" s="301">
        <v>727.71023500000001</v>
      </c>
      <c r="L126" s="301">
        <v>1177.9767440000005</v>
      </c>
      <c r="M126" s="301">
        <v>3053.9181830000002</v>
      </c>
      <c r="N126" s="288"/>
      <c r="O126" s="282"/>
      <c r="P126" s="282"/>
      <c r="Q126" s="282"/>
      <c r="R126" s="282"/>
      <c r="S126" s="282"/>
      <c r="T126" s="282"/>
      <c r="U126" s="282"/>
      <c r="V126" s="282"/>
      <c r="W126" s="282"/>
      <c r="X126" s="282"/>
      <c r="Y126" s="282"/>
      <c r="Z126" s="282"/>
      <c r="AA126" s="282"/>
    </row>
    <row r="127" spans="1:27" ht="18.75" hidden="1">
      <c r="A127" s="289" t="s">
        <v>11</v>
      </c>
      <c r="B127" s="301">
        <v>21.8947</v>
      </c>
      <c r="C127" s="301">
        <v>16.983599999999999</v>
      </c>
      <c r="D127" s="301">
        <v>0</v>
      </c>
      <c r="E127" s="301">
        <v>0</v>
      </c>
      <c r="F127" s="301">
        <v>0</v>
      </c>
      <c r="G127" s="301">
        <v>0</v>
      </c>
      <c r="H127" s="301">
        <v>0</v>
      </c>
      <c r="I127" s="301">
        <v>1340.1142</v>
      </c>
      <c r="J127" s="301">
        <v>1378.9925000000001</v>
      </c>
      <c r="K127" s="301">
        <v>809.67619999999999</v>
      </c>
      <c r="L127" s="301">
        <v>1547.337</v>
      </c>
      <c r="M127" s="301">
        <f>(SUM(J127:L127))</f>
        <v>3736.0057000000002</v>
      </c>
      <c r="N127" s="288"/>
      <c r="O127" s="282"/>
      <c r="P127" s="282"/>
      <c r="Q127" s="282"/>
      <c r="R127" s="282"/>
      <c r="S127" s="282"/>
      <c r="T127" s="282"/>
      <c r="U127" s="282"/>
      <c r="V127" s="282"/>
      <c r="W127" s="282"/>
      <c r="X127" s="282"/>
      <c r="Y127" s="282"/>
      <c r="Z127" s="282"/>
      <c r="AA127" s="282"/>
    </row>
    <row r="128" spans="1:27" ht="18.75" hidden="1">
      <c r="A128" s="289" t="s">
        <v>337</v>
      </c>
      <c r="B128" s="301">
        <v>36.523199999999996</v>
      </c>
      <c r="C128" s="301">
        <v>0</v>
      </c>
      <c r="D128" s="301">
        <v>0</v>
      </c>
      <c r="E128" s="301">
        <v>0</v>
      </c>
      <c r="F128" s="301">
        <v>0</v>
      </c>
      <c r="G128" s="301">
        <v>0</v>
      </c>
      <c r="H128" s="301">
        <v>0</v>
      </c>
      <c r="I128" s="301">
        <v>932.15180000000009</v>
      </c>
      <c r="J128" s="301">
        <v>968.67489999999998</v>
      </c>
      <c r="K128" s="301">
        <v>887.57650000000001</v>
      </c>
      <c r="L128" s="301">
        <v>1411.8401999999999</v>
      </c>
      <c r="M128" s="301">
        <v>3268.0917000000004</v>
      </c>
      <c r="N128" s="288"/>
      <c r="O128" s="282"/>
      <c r="P128" s="282"/>
      <c r="Q128" s="282"/>
      <c r="R128" s="282"/>
      <c r="S128" s="282"/>
      <c r="T128" s="282"/>
      <c r="U128" s="282"/>
      <c r="V128" s="282"/>
      <c r="W128" s="282"/>
      <c r="X128" s="282"/>
      <c r="Y128" s="282"/>
      <c r="Z128" s="282"/>
      <c r="AA128" s="282"/>
    </row>
    <row r="129" spans="1:27" ht="18.75" hidden="1">
      <c r="A129" s="289" t="s">
        <v>346</v>
      </c>
      <c r="B129" s="301">
        <v>11.8811</v>
      </c>
      <c r="C129" s="301">
        <v>0</v>
      </c>
      <c r="D129" s="301">
        <v>0</v>
      </c>
      <c r="E129" s="301">
        <v>0</v>
      </c>
      <c r="F129" s="301">
        <v>0</v>
      </c>
      <c r="G129" s="301">
        <v>0</v>
      </c>
      <c r="H129" s="301">
        <v>0</v>
      </c>
      <c r="I129" s="301">
        <v>1169.1181000000001</v>
      </c>
      <c r="J129" s="301">
        <v>1180.9992</v>
      </c>
      <c r="K129" s="301">
        <v>1764.5326</v>
      </c>
      <c r="L129" s="301">
        <v>1433.0166999999999</v>
      </c>
      <c r="M129" s="301">
        <v>4378.5486000000001</v>
      </c>
      <c r="N129" s="288"/>
      <c r="O129" s="282"/>
      <c r="P129" s="282"/>
      <c r="Q129" s="282"/>
      <c r="R129" s="282"/>
      <c r="S129" s="282"/>
      <c r="T129" s="282"/>
      <c r="U129" s="282"/>
      <c r="V129" s="282"/>
      <c r="W129" s="282"/>
      <c r="X129" s="282"/>
      <c r="Y129" s="282"/>
      <c r="Z129" s="282"/>
      <c r="AA129" s="282"/>
    </row>
    <row r="130" spans="1:27" ht="18.75" hidden="1">
      <c r="A130" s="289" t="s">
        <v>347</v>
      </c>
      <c r="B130" s="301">
        <v>11.8561</v>
      </c>
      <c r="C130" s="301">
        <v>0</v>
      </c>
      <c r="D130" s="301">
        <v>0</v>
      </c>
      <c r="E130" s="301">
        <v>0</v>
      </c>
      <c r="F130" s="301">
        <v>0</v>
      </c>
      <c r="G130" s="301">
        <v>0</v>
      </c>
      <c r="H130" s="301">
        <v>0.112</v>
      </c>
      <c r="I130" s="301">
        <v>1139.0703999999998</v>
      </c>
      <c r="J130" s="301">
        <v>1151.0385000000001</v>
      </c>
      <c r="K130" s="301">
        <v>1753.4853999999998</v>
      </c>
      <c r="L130" s="301">
        <v>1754.0231999999999</v>
      </c>
      <c r="M130" s="301">
        <v>4658.5469999999996</v>
      </c>
      <c r="N130" s="288"/>
      <c r="O130" s="282"/>
      <c r="P130" s="282"/>
      <c r="Q130" s="282"/>
      <c r="R130" s="282"/>
      <c r="S130" s="282"/>
      <c r="T130" s="282"/>
      <c r="U130" s="282"/>
      <c r="V130" s="282"/>
      <c r="W130" s="282"/>
      <c r="X130" s="282"/>
      <c r="Y130" s="282"/>
      <c r="Z130" s="282"/>
      <c r="AA130" s="282"/>
    </row>
    <row r="131" spans="1:27" ht="18.75" hidden="1">
      <c r="A131" s="289" t="s">
        <v>12</v>
      </c>
      <c r="B131" s="301">
        <v>0</v>
      </c>
      <c r="C131" s="301">
        <v>0</v>
      </c>
      <c r="D131" s="301">
        <v>0</v>
      </c>
      <c r="E131" s="301">
        <v>0</v>
      </c>
      <c r="F131" s="301">
        <v>0</v>
      </c>
      <c r="G131" s="301">
        <v>0</v>
      </c>
      <c r="H131" s="301">
        <v>0</v>
      </c>
      <c r="I131" s="301">
        <v>1314.0531000000001</v>
      </c>
      <c r="J131" s="301">
        <v>1314.0531000000001</v>
      </c>
      <c r="K131" s="301">
        <v>2931.5920000000001</v>
      </c>
      <c r="L131" s="301">
        <v>2921.3447000000001</v>
      </c>
      <c r="M131" s="301">
        <v>7166.9899000000005</v>
      </c>
      <c r="N131" s="288"/>
      <c r="O131" s="282"/>
      <c r="P131" s="282"/>
      <c r="Q131" s="282"/>
      <c r="R131" s="282"/>
      <c r="S131" s="282"/>
      <c r="T131" s="282"/>
      <c r="U131" s="282"/>
      <c r="V131" s="282"/>
      <c r="W131" s="282"/>
      <c r="X131" s="282"/>
      <c r="Y131" s="282"/>
      <c r="Z131" s="282"/>
      <c r="AA131" s="282"/>
    </row>
    <row r="132" spans="1:27" ht="18.75" hidden="1">
      <c r="A132" s="289" t="s">
        <v>13</v>
      </c>
      <c r="B132" s="301">
        <v>0</v>
      </c>
      <c r="C132" s="301">
        <v>0</v>
      </c>
      <c r="D132" s="301">
        <v>0</v>
      </c>
      <c r="E132" s="301">
        <v>0</v>
      </c>
      <c r="F132" s="301">
        <v>0</v>
      </c>
      <c r="G132" s="301">
        <v>0</v>
      </c>
      <c r="H132" s="301">
        <v>0</v>
      </c>
      <c r="I132" s="301">
        <v>2493.2773999999999</v>
      </c>
      <c r="J132" s="301">
        <v>2493.2773999999999</v>
      </c>
      <c r="K132" s="301">
        <v>5527.6867000000002</v>
      </c>
      <c r="L132" s="301">
        <v>4590.0259999999998</v>
      </c>
      <c r="M132" s="301">
        <v>12610.990099999999</v>
      </c>
      <c r="N132" s="288"/>
      <c r="O132" s="282"/>
      <c r="P132" s="282"/>
      <c r="Q132" s="282"/>
      <c r="R132" s="282"/>
      <c r="S132" s="282"/>
      <c r="T132" s="282"/>
      <c r="U132" s="282"/>
      <c r="V132" s="282"/>
      <c r="W132" s="282"/>
      <c r="X132" s="282"/>
      <c r="Y132" s="282"/>
      <c r="Z132" s="282"/>
      <c r="AA132" s="282"/>
    </row>
    <row r="133" spans="1:27" ht="18.75" hidden="1">
      <c r="A133" s="289" t="s">
        <v>14</v>
      </c>
      <c r="B133" s="301">
        <v>0</v>
      </c>
      <c r="C133" s="301">
        <v>0</v>
      </c>
      <c r="D133" s="301">
        <v>0</v>
      </c>
      <c r="E133" s="301">
        <v>0</v>
      </c>
      <c r="F133" s="301">
        <v>81.617899999999992</v>
      </c>
      <c r="G133" s="301">
        <v>0</v>
      </c>
      <c r="H133" s="301">
        <v>0</v>
      </c>
      <c r="I133" s="301">
        <v>3697.3125</v>
      </c>
      <c r="J133" s="301">
        <v>3778.9303999999997</v>
      </c>
      <c r="K133" s="301">
        <v>6912.4107999999997</v>
      </c>
      <c r="L133" s="301">
        <v>5405.8431</v>
      </c>
      <c r="M133" s="301">
        <f>(SUM(J133:L133))</f>
        <v>16097.184299999999</v>
      </c>
      <c r="N133" s="288"/>
      <c r="O133" s="282"/>
      <c r="P133" s="282"/>
      <c r="Q133" s="282"/>
      <c r="R133" s="282"/>
      <c r="S133" s="282"/>
      <c r="T133" s="282"/>
      <c r="U133" s="282"/>
      <c r="V133" s="282"/>
      <c r="W133" s="282"/>
      <c r="X133" s="282"/>
      <c r="Y133" s="282"/>
      <c r="Z133" s="282"/>
      <c r="AA133" s="282"/>
    </row>
    <row r="134" spans="1:27" ht="18.75" hidden="1">
      <c r="A134" s="289" t="s">
        <v>15</v>
      </c>
      <c r="B134" s="301">
        <v>0</v>
      </c>
      <c r="C134" s="301">
        <v>0</v>
      </c>
      <c r="D134" s="301">
        <v>0</v>
      </c>
      <c r="E134" s="301">
        <v>0</v>
      </c>
      <c r="F134" s="301">
        <v>0</v>
      </c>
      <c r="G134" s="301">
        <v>0</v>
      </c>
      <c r="H134" s="301">
        <v>0</v>
      </c>
      <c r="I134" s="301">
        <v>3233.7583</v>
      </c>
      <c r="J134" s="301">
        <v>3233.7583</v>
      </c>
      <c r="K134" s="301">
        <v>8296.1847999999991</v>
      </c>
      <c r="L134" s="301">
        <v>6205.7972</v>
      </c>
      <c r="M134" s="301">
        <f>(SUM(J134:L134))</f>
        <v>17735.740299999998</v>
      </c>
      <c r="N134" s="288"/>
      <c r="O134" s="282"/>
      <c r="P134" s="282"/>
      <c r="Q134" s="282"/>
      <c r="R134" s="282"/>
      <c r="S134" s="282"/>
      <c r="T134" s="282"/>
      <c r="U134" s="282"/>
      <c r="V134" s="282"/>
      <c r="W134" s="282"/>
      <c r="X134" s="282"/>
      <c r="Y134" s="282"/>
      <c r="Z134" s="282"/>
      <c r="AA134" s="282"/>
    </row>
    <row r="135" spans="1:27" ht="18.75" hidden="1">
      <c r="A135" s="289" t="s">
        <v>16</v>
      </c>
      <c r="B135" s="301">
        <v>0</v>
      </c>
      <c r="C135" s="301">
        <v>0</v>
      </c>
      <c r="D135" s="301">
        <v>0</v>
      </c>
      <c r="E135" s="301">
        <v>0</v>
      </c>
      <c r="F135" s="301">
        <v>1814.2</v>
      </c>
      <c r="G135" s="301">
        <v>0</v>
      </c>
      <c r="H135" s="301">
        <v>0</v>
      </c>
      <c r="I135" s="301">
        <v>4964.16</v>
      </c>
      <c r="J135" s="301">
        <v>6778.37</v>
      </c>
      <c r="K135" s="301">
        <v>6768.7</v>
      </c>
      <c r="L135" s="301">
        <v>2147.3000000000002</v>
      </c>
      <c r="M135" s="301">
        <f>(SUM(J135:L135))</f>
        <v>15694.369999999999</v>
      </c>
      <c r="N135" s="288"/>
      <c r="O135" s="282"/>
      <c r="P135" s="282"/>
      <c r="Q135" s="282"/>
      <c r="R135" s="282"/>
      <c r="S135" s="282"/>
      <c r="T135" s="282"/>
      <c r="U135" s="282"/>
      <c r="V135" s="282"/>
      <c r="W135" s="282"/>
      <c r="X135" s="282"/>
      <c r="Y135" s="282"/>
      <c r="Z135" s="282"/>
      <c r="AA135" s="282"/>
    </row>
    <row r="136" spans="1:27" ht="18.75" hidden="1">
      <c r="A136" s="289"/>
      <c r="B136" s="301"/>
      <c r="C136" s="301"/>
      <c r="D136" s="301"/>
      <c r="E136" s="301"/>
      <c r="F136" s="301"/>
      <c r="G136" s="301"/>
      <c r="H136" s="301"/>
      <c r="I136" s="301"/>
      <c r="J136" s="301"/>
      <c r="K136" s="301"/>
      <c r="L136" s="301"/>
      <c r="M136" s="301"/>
      <c r="N136" s="288"/>
      <c r="O136" s="282"/>
      <c r="P136" s="282"/>
      <c r="Q136" s="282"/>
      <c r="R136" s="282"/>
      <c r="S136" s="282"/>
      <c r="T136" s="282"/>
      <c r="U136" s="282"/>
      <c r="V136" s="282"/>
      <c r="W136" s="282"/>
      <c r="X136" s="282"/>
      <c r="Y136" s="282"/>
      <c r="Z136" s="282"/>
      <c r="AA136" s="282"/>
    </row>
    <row r="137" spans="1:27" ht="18.75" hidden="1">
      <c r="A137" s="302">
        <v>2007</v>
      </c>
      <c r="B137" s="301"/>
      <c r="C137" s="301"/>
      <c r="D137" s="301"/>
      <c r="E137" s="301"/>
      <c r="F137" s="301"/>
      <c r="G137" s="301"/>
      <c r="H137" s="301"/>
      <c r="I137" s="301"/>
      <c r="J137" s="301"/>
      <c r="K137" s="301"/>
      <c r="L137" s="301"/>
      <c r="M137" s="301"/>
      <c r="N137" s="288"/>
      <c r="O137" s="282"/>
      <c r="P137" s="282"/>
      <c r="Q137" s="282"/>
      <c r="R137" s="282"/>
      <c r="S137" s="282"/>
      <c r="T137" s="282"/>
      <c r="U137" s="282"/>
      <c r="V137" s="282"/>
      <c r="W137" s="282"/>
      <c r="X137" s="282"/>
      <c r="Y137" s="282"/>
      <c r="Z137" s="282"/>
      <c r="AA137" s="282"/>
    </row>
    <row r="138" spans="1:27" ht="18.75" hidden="1">
      <c r="A138" s="289"/>
      <c r="B138" s="301"/>
      <c r="C138" s="301"/>
      <c r="D138" s="301"/>
      <c r="E138" s="301"/>
      <c r="F138" s="301"/>
      <c r="G138" s="301"/>
      <c r="H138" s="301"/>
      <c r="I138" s="301"/>
      <c r="J138" s="301"/>
      <c r="K138" s="301"/>
      <c r="L138" s="301"/>
      <c r="M138" s="301"/>
      <c r="N138" s="288"/>
      <c r="O138" s="282"/>
      <c r="P138" s="282"/>
      <c r="Q138" s="282"/>
      <c r="R138" s="282"/>
      <c r="S138" s="282"/>
      <c r="T138" s="282"/>
      <c r="U138" s="282"/>
      <c r="V138" s="282"/>
      <c r="W138" s="282"/>
      <c r="X138" s="282"/>
      <c r="Y138" s="282"/>
      <c r="Z138" s="282"/>
      <c r="AA138" s="282"/>
    </row>
    <row r="139" spans="1:27" ht="18.75" hidden="1">
      <c r="A139" s="289" t="s">
        <v>8</v>
      </c>
      <c r="B139" s="301">
        <v>655.4</v>
      </c>
      <c r="C139" s="301">
        <v>0</v>
      </c>
      <c r="D139" s="301">
        <v>100</v>
      </c>
      <c r="E139" s="301">
        <v>0</v>
      </c>
      <c r="F139" s="301">
        <v>0</v>
      </c>
      <c r="G139" s="301">
        <v>0</v>
      </c>
      <c r="H139" s="301">
        <v>0</v>
      </c>
      <c r="I139" s="301">
        <v>9776.4</v>
      </c>
      <c r="J139" s="301">
        <v>10531.9</v>
      </c>
      <c r="K139" s="301">
        <v>8090.7</v>
      </c>
      <c r="L139" s="301">
        <v>8679.2000000000007</v>
      </c>
      <c r="M139" s="301">
        <f t="shared" ref="M139:M150" si="10">(SUM(J139:L139))</f>
        <v>27301.8</v>
      </c>
      <c r="N139" s="288"/>
      <c r="O139" s="282"/>
      <c r="P139" s="282"/>
      <c r="Q139" s="282"/>
      <c r="R139" s="282"/>
      <c r="S139" s="282"/>
      <c r="T139" s="282"/>
      <c r="U139" s="282"/>
      <c r="V139" s="282"/>
      <c r="W139" s="282"/>
      <c r="X139" s="282"/>
      <c r="Y139" s="282"/>
      <c r="Z139" s="282"/>
      <c r="AA139" s="282"/>
    </row>
    <row r="140" spans="1:27" ht="18.75" hidden="1">
      <c r="A140" s="289" t="s">
        <v>9</v>
      </c>
      <c r="B140" s="301">
        <v>605.79999999999995</v>
      </c>
      <c r="C140" s="301">
        <v>0</v>
      </c>
      <c r="D140" s="301">
        <v>0</v>
      </c>
      <c r="E140" s="301">
        <v>0</v>
      </c>
      <c r="F140" s="301">
        <v>0</v>
      </c>
      <c r="G140" s="301">
        <v>0</v>
      </c>
      <c r="H140" s="301">
        <v>0</v>
      </c>
      <c r="I140" s="301">
        <v>14602.95</v>
      </c>
      <c r="J140" s="301">
        <v>15208.78</v>
      </c>
      <c r="K140" s="301">
        <v>9539.15</v>
      </c>
      <c r="L140" s="301">
        <v>13046.1</v>
      </c>
      <c r="M140" s="301">
        <f t="shared" si="10"/>
        <v>37794.03</v>
      </c>
      <c r="N140" s="288"/>
      <c r="O140" s="282"/>
      <c r="P140" s="282"/>
      <c r="Q140" s="282"/>
      <c r="R140" s="282"/>
      <c r="S140" s="282"/>
      <c r="T140" s="282"/>
      <c r="U140" s="282"/>
      <c r="V140" s="282"/>
      <c r="W140" s="282"/>
      <c r="X140" s="282"/>
      <c r="Y140" s="282"/>
      <c r="Z140" s="282"/>
      <c r="AA140" s="282"/>
    </row>
    <row r="141" spans="1:27" ht="18.75" hidden="1">
      <c r="A141" s="289" t="s">
        <v>10</v>
      </c>
      <c r="B141" s="301">
        <v>455.1</v>
      </c>
      <c r="C141" s="301">
        <v>0</v>
      </c>
      <c r="D141" s="301">
        <v>623.298</v>
      </c>
      <c r="E141" s="301">
        <v>0</v>
      </c>
      <c r="F141" s="301">
        <v>0</v>
      </c>
      <c r="G141" s="301">
        <v>0</v>
      </c>
      <c r="H141" s="301">
        <v>0</v>
      </c>
      <c r="I141" s="301">
        <v>25022.67</v>
      </c>
      <c r="J141" s="301">
        <v>26101.07</v>
      </c>
      <c r="K141" s="301">
        <v>18833.2</v>
      </c>
      <c r="L141" s="301">
        <v>10517.77</v>
      </c>
      <c r="M141" s="301">
        <f t="shared" si="10"/>
        <v>55452.040000000008</v>
      </c>
      <c r="N141" s="288"/>
      <c r="O141" s="282"/>
      <c r="P141" s="282"/>
      <c r="Q141" s="282"/>
      <c r="R141" s="282"/>
      <c r="S141" s="282"/>
      <c r="T141" s="282"/>
      <c r="U141" s="282"/>
      <c r="V141" s="282"/>
      <c r="W141" s="282"/>
      <c r="X141" s="282"/>
      <c r="Y141" s="282"/>
      <c r="Z141" s="282"/>
      <c r="AA141" s="282"/>
    </row>
    <row r="142" spans="1:27" ht="18.75" hidden="1">
      <c r="A142" s="289" t="s">
        <v>11</v>
      </c>
      <c r="B142" s="301">
        <v>214.88</v>
      </c>
      <c r="C142" s="301">
        <v>0</v>
      </c>
      <c r="D142" s="301">
        <v>160.899</v>
      </c>
      <c r="E142" s="301">
        <v>0</v>
      </c>
      <c r="F142" s="301">
        <v>0</v>
      </c>
      <c r="G142" s="301">
        <v>0</v>
      </c>
      <c r="H142" s="301">
        <v>0</v>
      </c>
      <c r="I142" s="301">
        <v>9806.8760000000002</v>
      </c>
      <c r="J142" s="301">
        <v>10182.656000000001</v>
      </c>
      <c r="K142" s="301">
        <v>12594.475</v>
      </c>
      <c r="L142" s="301">
        <v>8256.14</v>
      </c>
      <c r="M142" s="301">
        <f t="shared" si="10"/>
        <v>31033.271000000001</v>
      </c>
      <c r="N142" s="288"/>
      <c r="O142" s="282"/>
      <c r="P142" s="282"/>
      <c r="Q142" s="282"/>
      <c r="R142" s="282"/>
      <c r="S142" s="282"/>
      <c r="T142" s="282"/>
      <c r="U142" s="282"/>
      <c r="V142" s="282"/>
      <c r="W142" s="282"/>
      <c r="X142" s="282"/>
      <c r="Y142" s="282"/>
      <c r="Z142" s="282"/>
      <c r="AA142" s="282"/>
    </row>
    <row r="143" spans="1:27" ht="18.75" hidden="1">
      <c r="A143" s="289" t="s">
        <v>337</v>
      </c>
      <c r="B143" s="301">
        <v>1565.1</v>
      </c>
      <c r="C143" s="301">
        <v>0</v>
      </c>
      <c r="D143" s="301">
        <v>0</v>
      </c>
      <c r="E143" s="301">
        <v>0</v>
      </c>
      <c r="F143" s="301">
        <v>0</v>
      </c>
      <c r="G143" s="301">
        <v>0</v>
      </c>
      <c r="H143" s="301">
        <v>0</v>
      </c>
      <c r="I143" s="301">
        <v>65211.15</v>
      </c>
      <c r="J143" s="301">
        <v>66776.293000000005</v>
      </c>
      <c r="K143" s="301">
        <v>36040.281999999999</v>
      </c>
      <c r="L143" s="301">
        <v>35290.400000000001</v>
      </c>
      <c r="M143" s="301">
        <f t="shared" si="10"/>
        <v>138106.97500000001</v>
      </c>
      <c r="N143" s="288"/>
      <c r="O143" s="282"/>
      <c r="P143" s="282"/>
      <c r="Q143" s="282"/>
      <c r="R143" s="282"/>
      <c r="S143" s="282"/>
      <c r="T143" s="282"/>
      <c r="U143" s="282"/>
      <c r="V143" s="282"/>
      <c r="W143" s="282"/>
      <c r="X143" s="282"/>
      <c r="Y143" s="282"/>
      <c r="Z143" s="282"/>
      <c r="AA143" s="282"/>
    </row>
    <row r="144" spans="1:27" ht="18.75" hidden="1">
      <c r="A144" s="289" t="s">
        <v>346</v>
      </c>
      <c r="B144" s="301">
        <v>1610.2</v>
      </c>
      <c r="C144" s="301">
        <v>0</v>
      </c>
      <c r="D144" s="301">
        <v>885.37800000000004</v>
      </c>
      <c r="E144" s="301">
        <v>0</v>
      </c>
      <c r="F144" s="301">
        <v>1500</v>
      </c>
      <c r="G144" s="301">
        <v>0</v>
      </c>
      <c r="H144" s="301">
        <v>0</v>
      </c>
      <c r="I144" s="301">
        <v>224730.226</v>
      </c>
      <c r="J144" s="301">
        <v>228725.8</v>
      </c>
      <c r="K144" s="301">
        <v>112771.185</v>
      </c>
      <c r="L144" s="301">
        <v>60171.023999999998</v>
      </c>
      <c r="M144" s="301">
        <f t="shared" si="10"/>
        <v>401668.00899999996</v>
      </c>
      <c r="N144" s="288"/>
      <c r="O144" s="282"/>
      <c r="P144" s="282"/>
      <c r="Q144" s="282"/>
      <c r="R144" s="282"/>
      <c r="S144" s="282"/>
      <c r="T144" s="282"/>
      <c r="U144" s="282"/>
      <c r="V144" s="282"/>
      <c r="W144" s="282"/>
      <c r="X144" s="282"/>
      <c r="Y144" s="282"/>
      <c r="Z144" s="282"/>
      <c r="AA144" s="282"/>
    </row>
    <row r="145" spans="1:27" ht="18.75" hidden="1">
      <c r="A145" s="289" t="s">
        <v>347</v>
      </c>
      <c r="B145" s="301">
        <v>1840.3</v>
      </c>
      <c r="C145" s="301">
        <v>0</v>
      </c>
      <c r="D145" s="301">
        <v>1432.2</v>
      </c>
      <c r="E145" s="301">
        <v>0</v>
      </c>
      <c r="F145" s="301">
        <v>0</v>
      </c>
      <c r="G145" s="301">
        <v>1765</v>
      </c>
      <c r="H145" s="301">
        <v>0</v>
      </c>
      <c r="I145" s="301">
        <v>447358.8</v>
      </c>
      <c r="J145" s="301">
        <v>452396.4</v>
      </c>
      <c r="K145" s="301">
        <v>107808.7</v>
      </c>
      <c r="L145" s="301">
        <v>102090.3</v>
      </c>
      <c r="M145" s="301">
        <f t="shared" si="10"/>
        <v>662295.4</v>
      </c>
      <c r="N145" s="288"/>
      <c r="O145" s="282"/>
      <c r="P145" s="282"/>
      <c r="Q145" s="282"/>
      <c r="R145" s="282"/>
      <c r="S145" s="282"/>
      <c r="T145" s="282"/>
      <c r="U145" s="282"/>
      <c r="V145" s="282"/>
      <c r="W145" s="282"/>
      <c r="X145" s="282"/>
      <c r="Y145" s="282"/>
      <c r="Z145" s="282"/>
      <c r="AA145" s="282"/>
    </row>
    <row r="146" spans="1:27" ht="18.75" hidden="1">
      <c r="A146" s="289" t="s">
        <v>12</v>
      </c>
      <c r="B146" s="301">
        <v>0</v>
      </c>
      <c r="C146" s="301">
        <v>1432.2396000000001</v>
      </c>
      <c r="D146" s="301">
        <v>6000</v>
      </c>
      <c r="E146" s="301">
        <v>0</v>
      </c>
      <c r="F146" s="301">
        <v>1765</v>
      </c>
      <c r="G146" s="301">
        <v>5000</v>
      </c>
      <c r="H146" s="301">
        <v>0</v>
      </c>
      <c r="I146" s="301">
        <v>535915.10609999998</v>
      </c>
      <c r="J146" s="301">
        <v>550112.34569999995</v>
      </c>
      <c r="K146" s="301">
        <v>137436.40580000001</v>
      </c>
      <c r="L146" s="301">
        <v>174163.15410000001</v>
      </c>
      <c r="M146" s="301">
        <f t="shared" si="10"/>
        <v>861711.90560000006</v>
      </c>
      <c r="N146" s="288"/>
      <c r="O146" s="282"/>
      <c r="P146" s="282"/>
      <c r="Q146" s="282"/>
      <c r="R146" s="282"/>
      <c r="S146" s="282"/>
      <c r="T146" s="282"/>
      <c r="U146" s="282"/>
      <c r="V146" s="282"/>
      <c r="W146" s="282"/>
      <c r="X146" s="282"/>
      <c r="Y146" s="282"/>
      <c r="Z146" s="282"/>
      <c r="AA146" s="282"/>
    </row>
    <row r="147" spans="1:27" ht="18.75" hidden="1">
      <c r="A147" s="289" t="s">
        <v>13</v>
      </c>
      <c r="B147" s="301">
        <v>1432.2396000000001</v>
      </c>
      <c r="C147" s="301">
        <v>0</v>
      </c>
      <c r="D147" s="301">
        <v>40000</v>
      </c>
      <c r="E147" s="301">
        <v>0</v>
      </c>
      <c r="F147" s="301">
        <v>0</v>
      </c>
      <c r="G147" s="301">
        <v>0</v>
      </c>
      <c r="H147" s="301">
        <v>0</v>
      </c>
      <c r="I147" s="301">
        <v>943653.03890000004</v>
      </c>
      <c r="J147" s="301">
        <v>985085.27859999996</v>
      </c>
      <c r="K147" s="301">
        <v>358059.30239999999</v>
      </c>
      <c r="L147" s="301">
        <v>485173.74489999999</v>
      </c>
      <c r="M147" s="301">
        <f t="shared" si="10"/>
        <v>1828318.3259000001</v>
      </c>
      <c r="N147" s="288"/>
      <c r="O147" s="282"/>
      <c r="P147" s="282"/>
      <c r="Q147" s="282"/>
      <c r="R147" s="282"/>
      <c r="S147" s="282"/>
      <c r="T147" s="282"/>
      <c r="U147" s="282"/>
      <c r="V147" s="282"/>
      <c r="W147" s="282"/>
      <c r="X147" s="282"/>
      <c r="Y147" s="282"/>
      <c r="Z147" s="282"/>
      <c r="AA147" s="282"/>
    </row>
    <row r="148" spans="1:27" ht="18.75" hidden="1">
      <c r="A148" s="289" t="s">
        <v>14</v>
      </c>
      <c r="B148" s="301">
        <v>0</v>
      </c>
      <c r="C148" s="301">
        <v>1765</v>
      </c>
      <c r="D148" s="301">
        <v>30000</v>
      </c>
      <c r="E148" s="301">
        <v>0</v>
      </c>
      <c r="F148" s="301">
        <v>111444.86</v>
      </c>
      <c r="G148" s="301">
        <v>0</v>
      </c>
      <c r="H148" s="301">
        <v>0</v>
      </c>
      <c r="I148" s="301">
        <v>1471987.5</v>
      </c>
      <c r="J148" s="301">
        <v>1615197.4</v>
      </c>
      <c r="K148" s="301">
        <v>800850.2</v>
      </c>
      <c r="L148" s="301">
        <v>785070.1</v>
      </c>
      <c r="M148" s="301">
        <f t="shared" si="10"/>
        <v>3201117.6999999997</v>
      </c>
      <c r="N148" s="288"/>
      <c r="O148" s="282"/>
      <c r="P148" s="282"/>
      <c r="Q148" s="282"/>
      <c r="R148" s="282"/>
      <c r="S148" s="282"/>
      <c r="T148" s="282"/>
      <c r="U148" s="282"/>
      <c r="V148" s="282"/>
      <c r="W148" s="282"/>
      <c r="X148" s="282"/>
      <c r="Y148" s="282"/>
      <c r="Z148" s="282"/>
      <c r="AA148" s="282"/>
    </row>
    <row r="149" spans="1:27" ht="18.75" hidden="1">
      <c r="A149" s="289" t="s">
        <v>15</v>
      </c>
      <c r="B149" s="301">
        <v>1765</v>
      </c>
      <c r="C149" s="301">
        <v>0</v>
      </c>
      <c r="D149" s="301">
        <v>300000</v>
      </c>
      <c r="E149" s="301">
        <v>0</v>
      </c>
      <c r="F149" s="301">
        <v>0</v>
      </c>
      <c r="G149" s="301">
        <v>0</v>
      </c>
      <c r="H149" s="301">
        <v>0</v>
      </c>
      <c r="I149" s="301">
        <v>2472796.6</v>
      </c>
      <c r="J149" s="301">
        <v>2504561.6</v>
      </c>
      <c r="K149" s="301">
        <v>1957513.8</v>
      </c>
      <c r="L149" s="301">
        <v>977118.4</v>
      </c>
      <c r="M149" s="301">
        <f t="shared" si="10"/>
        <v>5439193.8000000007</v>
      </c>
      <c r="N149" s="288"/>
      <c r="O149" s="282"/>
      <c r="P149" s="282"/>
      <c r="Q149" s="282"/>
      <c r="R149" s="282"/>
      <c r="S149" s="282"/>
      <c r="T149" s="282"/>
      <c r="U149" s="282"/>
      <c r="V149" s="282"/>
      <c r="W149" s="282"/>
      <c r="X149" s="282"/>
      <c r="Y149" s="282"/>
      <c r="Z149" s="282"/>
      <c r="AA149" s="282"/>
    </row>
    <row r="150" spans="1:27" ht="18.75" hidden="1">
      <c r="A150" s="289" t="s">
        <v>16</v>
      </c>
      <c r="B150" s="301">
        <v>0</v>
      </c>
      <c r="C150" s="301">
        <v>0</v>
      </c>
      <c r="D150" s="301">
        <v>0</v>
      </c>
      <c r="E150" s="301">
        <v>0</v>
      </c>
      <c r="F150" s="301">
        <v>379744.38</v>
      </c>
      <c r="G150" s="301">
        <v>0</v>
      </c>
      <c r="H150" s="301">
        <v>0</v>
      </c>
      <c r="I150" s="301">
        <v>3988642.45</v>
      </c>
      <c r="J150" s="301">
        <v>4368386.8</v>
      </c>
      <c r="K150" s="301">
        <v>2798587.65</v>
      </c>
      <c r="L150" s="301">
        <v>1005260.28</v>
      </c>
      <c r="M150" s="301">
        <f t="shared" si="10"/>
        <v>8172234.7299999995</v>
      </c>
      <c r="N150" s="288"/>
      <c r="O150" s="303"/>
      <c r="P150" s="282"/>
      <c r="Q150" s="282"/>
      <c r="R150" s="282"/>
      <c r="S150" s="282"/>
      <c r="T150" s="282"/>
      <c r="U150" s="282"/>
      <c r="V150" s="282"/>
      <c r="W150" s="282"/>
      <c r="X150" s="282"/>
      <c r="Y150" s="282"/>
      <c r="Z150" s="282"/>
      <c r="AA150" s="282"/>
    </row>
    <row r="151" spans="1:27" ht="19.5" thickTop="1">
      <c r="A151" s="289"/>
      <c r="B151" s="301"/>
      <c r="C151" s="301"/>
      <c r="D151" s="301"/>
      <c r="E151" s="301"/>
      <c r="F151" s="301"/>
      <c r="G151" s="301"/>
      <c r="H151" s="301"/>
      <c r="I151" s="301"/>
      <c r="J151" s="301"/>
      <c r="K151" s="301"/>
      <c r="L151" s="301"/>
      <c r="M151" s="301"/>
      <c r="N151" s="288"/>
      <c r="O151" s="303"/>
      <c r="P151" s="282"/>
      <c r="Q151" s="282"/>
      <c r="R151" s="282"/>
      <c r="S151" s="282"/>
      <c r="T151" s="282"/>
      <c r="U151" s="282"/>
      <c r="V151" s="282"/>
      <c r="W151" s="282"/>
      <c r="X151" s="282"/>
      <c r="Y151" s="282"/>
      <c r="Z151" s="282"/>
      <c r="AA151" s="282"/>
    </row>
    <row r="152" spans="1:27" ht="18.75" hidden="1">
      <c r="A152" s="302">
        <v>2008</v>
      </c>
      <c r="B152" s="301"/>
      <c r="C152" s="301"/>
      <c r="D152" s="301"/>
      <c r="E152" s="301"/>
      <c r="F152" s="301"/>
      <c r="G152" s="301"/>
      <c r="H152" s="301"/>
      <c r="I152" s="301"/>
      <c r="J152" s="301"/>
      <c r="K152" s="301"/>
      <c r="L152" s="301"/>
      <c r="M152" s="301"/>
      <c r="N152" s="288"/>
      <c r="O152" s="303"/>
      <c r="P152" s="282"/>
      <c r="Q152" s="282"/>
      <c r="R152" s="282"/>
      <c r="S152" s="282"/>
      <c r="T152" s="282"/>
      <c r="U152" s="282"/>
      <c r="V152" s="282"/>
      <c r="W152" s="282"/>
      <c r="X152" s="282"/>
      <c r="Y152" s="282"/>
      <c r="Z152" s="282"/>
      <c r="AA152" s="282"/>
    </row>
    <row r="153" spans="1:27" ht="18.75" hidden="1">
      <c r="A153" s="289"/>
      <c r="B153" s="301"/>
      <c r="C153" s="301"/>
      <c r="D153" s="301"/>
      <c r="E153" s="301"/>
      <c r="F153" s="301"/>
      <c r="G153" s="301"/>
      <c r="H153" s="301"/>
      <c r="I153" s="301"/>
      <c r="J153" s="301"/>
      <c r="K153" s="301"/>
      <c r="L153" s="301"/>
      <c r="M153" s="301"/>
      <c r="N153" s="288"/>
      <c r="O153" s="303"/>
      <c r="P153" s="282"/>
      <c r="Q153" s="282"/>
      <c r="R153" s="282"/>
      <c r="S153" s="282"/>
      <c r="T153" s="282"/>
      <c r="U153" s="282"/>
      <c r="V153" s="282"/>
      <c r="W153" s="282"/>
      <c r="X153" s="282"/>
      <c r="Y153" s="282"/>
      <c r="Z153" s="282"/>
      <c r="AA153" s="282"/>
    </row>
    <row r="154" spans="1:27" ht="18.75" hidden="1">
      <c r="A154" s="289" t="s">
        <v>8</v>
      </c>
      <c r="B154" s="301">
        <v>2.4458420000000001E-5</v>
      </c>
      <c r="C154" s="301">
        <v>6.1054269999999997E-6</v>
      </c>
      <c r="D154" s="301">
        <v>3.3590040000000005E-5</v>
      </c>
      <c r="E154" s="301">
        <v>0</v>
      </c>
      <c r="F154" s="301">
        <v>5.4E-6</v>
      </c>
      <c r="G154" s="301">
        <v>0</v>
      </c>
      <c r="H154" s="301">
        <v>0</v>
      </c>
      <c r="I154" s="301">
        <v>7.9958425999999993E-4</v>
      </c>
      <c r="J154" s="301">
        <v>8.6913815000000004E-4</v>
      </c>
      <c r="K154" s="301">
        <v>4.6895597869999996E-4</v>
      </c>
      <c r="L154" s="301">
        <v>1.7152604999999999E-4</v>
      </c>
      <c r="M154" s="301">
        <f t="shared" ref="M154:M165" si="11">((SUM(J154:L154)))</f>
        <v>1.5096201787E-3</v>
      </c>
      <c r="N154" s="288"/>
      <c r="O154" s="303"/>
      <c r="P154" s="282"/>
      <c r="Q154" s="282"/>
      <c r="R154" s="282"/>
      <c r="S154" s="282"/>
      <c r="T154" s="282"/>
      <c r="U154" s="282"/>
      <c r="V154" s="282"/>
      <c r="W154" s="282"/>
      <c r="X154" s="282"/>
      <c r="Y154" s="282"/>
      <c r="Z154" s="282"/>
      <c r="AA154" s="282"/>
    </row>
    <row r="155" spans="1:27" ht="18.75" hidden="1">
      <c r="A155" s="289" t="s">
        <v>9</v>
      </c>
      <c r="B155" s="301">
        <v>9.4239411179999991E-5</v>
      </c>
      <c r="C155" s="301">
        <v>3.0000000000000001E-5</v>
      </c>
      <c r="D155" s="301">
        <v>7.8272632800000011E-6</v>
      </c>
      <c r="E155" s="301">
        <v>0</v>
      </c>
      <c r="F155" s="301">
        <v>1.1049999999999999E-5</v>
      </c>
      <c r="G155" s="301">
        <v>0</v>
      </c>
      <c r="H155" s="301">
        <v>0</v>
      </c>
      <c r="I155" s="301">
        <v>1.0538009101700001E-3</v>
      </c>
      <c r="J155" s="301">
        <v>1.19691758463E-3</v>
      </c>
      <c r="K155" s="301">
        <v>5.7799535791999994E-4</v>
      </c>
      <c r="L155" s="301">
        <v>2.9340670160999999E-4</v>
      </c>
      <c r="M155" s="301">
        <f t="shared" si="11"/>
        <v>2.06831964416E-3</v>
      </c>
      <c r="N155" s="288"/>
      <c r="O155" s="303"/>
      <c r="P155" s="282"/>
      <c r="Q155" s="282"/>
      <c r="R155" s="282"/>
      <c r="S155" s="282"/>
      <c r="T155" s="282"/>
      <c r="U155" s="282"/>
      <c r="V155" s="282"/>
      <c r="W155" s="282"/>
      <c r="X155" s="282"/>
      <c r="Y155" s="282"/>
      <c r="Z155" s="282"/>
      <c r="AA155" s="282"/>
    </row>
    <row r="156" spans="1:27" ht="18.75" hidden="1">
      <c r="A156" s="289" t="s">
        <v>10</v>
      </c>
      <c r="B156" s="301">
        <v>8.0128067229999989E-2</v>
      </c>
      <c r="C156" s="301">
        <v>0.05</v>
      </c>
      <c r="D156" s="301">
        <v>2.5000000000000001E-3</v>
      </c>
      <c r="E156" s="301">
        <v>0</v>
      </c>
      <c r="F156" s="301">
        <v>3.0020000000000002E-2</v>
      </c>
      <c r="G156" s="301">
        <v>0</v>
      </c>
      <c r="H156" s="301">
        <v>0</v>
      </c>
      <c r="I156" s="301">
        <v>1.9828866101</v>
      </c>
      <c r="J156" s="301">
        <v>2.1455346773300001</v>
      </c>
      <c r="K156" s="301">
        <v>0.88870549065000004</v>
      </c>
      <c r="L156" s="301">
        <v>0.49618152936999999</v>
      </c>
      <c r="M156" s="301">
        <f t="shared" si="11"/>
        <v>3.53042169735</v>
      </c>
      <c r="N156" s="288"/>
      <c r="O156" s="303"/>
      <c r="P156" s="282"/>
      <c r="Q156" s="282"/>
      <c r="R156" s="282"/>
      <c r="S156" s="282"/>
      <c r="T156" s="282"/>
      <c r="U156" s="282"/>
      <c r="V156" s="282"/>
      <c r="W156" s="282"/>
      <c r="X156" s="282"/>
      <c r="Y156" s="282"/>
      <c r="Z156" s="282"/>
      <c r="AA156" s="282"/>
    </row>
    <row r="157" spans="1:27" ht="18.75" hidden="1">
      <c r="A157" s="289" t="s">
        <v>11</v>
      </c>
      <c r="B157" s="301">
        <v>0.76500660569250001</v>
      </c>
      <c r="C157" s="301">
        <v>0</v>
      </c>
      <c r="D157" s="301">
        <v>0</v>
      </c>
      <c r="E157" s="301">
        <v>0</v>
      </c>
      <c r="F157" s="301">
        <v>1.4515800000000001E-2</v>
      </c>
      <c r="G157" s="301">
        <v>0</v>
      </c>
      <c r="H157" s="301">
        <v>0</v>
      </c>
      <c r="I157" s="301">
        <v>13.23265512186374</v>
      </c>
      <c r="J157" s="301">
        <v>14.012177527556242</v>
      </c>
      <c r="K157" s="301">
        <v>5.3886051951781999</v>
      </c>
      <c r="L157" s="301">
        <v>3.6998095435117979</v>
      </c>
      <c r="M157" s="301">
        <f t="shared" si="11"/>
        <v>23.100592266246238</v>
      </c>
      <c r="N157" s="288"/>
      <c r="O157" s="303"/>
      <c r="P157" s="282"/>
      <c r="Q157" s="282"/>
      <c r="R157" s="282"/>
      <c r="S157" s="282"/>
      <c r="T157" s="282"/>
      <c r="U157" s="282"/>
      <c r="V157" s="282"/>
      <c r="W157" s="282"/>
      <c r="X157" s="282"/>
      <c r="Y157" s="282"/>
      <c r="Z157" s="282"/>
      <c r="AA157" s="282"/>
    </row>
    <row r="158" spans="1:27" ht="18.75" hidden="1">
      <c r="A158" s="289" t="s">
        <v>337</v>
      </c>
      <c r="B158" s="301">
        <v>1.0235015884743</v>
      </c>
      <c r="C158" s="301">
        <v>0</v>
      </c>
      <c r="D158" s="301">
        <v>0</v>
      </c>
      <c r="E158" s="301">
        <v>0</v>
      </c>
      <c r="F158" s="301">
        <v>0</v>
      </c>
      <c r="G158" s="301">
        <v>0</v>
      </c>
      <c r="H158" s="301">
        <v>0</v>
      </c>
      <c r="I158" s="301">
        <v>36.254822248912987</v>
      </c>
      <c r="J158" s="301">
        <v>37.278323837387283</v>
      </c>
      <c r="K158" s="301">
        <v>10.432676968258519</v>
      </c>
      <c r="L158" s="301">
        <v>12.388892574939337</v>
      </c>
      <c r="M158" s="301">
        <f t="shared" si="11"/>
        <v>60.099893380585144</v>
      </c>
      <c r="N158" s="288"/>
      <c r="O158" s="303"/>
      <c r="P158" s="282"/>
      <c r="Q158" s="282"/>
      <c r="R158" s="282"/>
      <c r="S158" s="282"/>
      <c r="T158" s="282"/>
      <c r="U158" s="282"/>
      <c r="V158" s="282"/>
      <c r="W158" s="282"/>
      <c r="X158" s="282"/>
      <c r="Y158" s="282"/>
      <c r="Z158" s="282"/>
      <c r="AA158" s="282"/>
    </row>
    <row r="159" spans="1:27" ht="18.75" hidden="1">
      <c r="A159" s="289" t="s">
        <v>346</v>
      </c>
      <c r="B159" s="301">
        <v>0.79096358779910003</v>
      </c>
      <c r="C159" s="301">
        <v>0</v>
      </c>
      <c r="D159" s="301">
        <v>0</v>
      </c>
      <c r="E159" s="301">
        <v>0</v>
      </c>
      <c r="F159" s="301">
        <v>65.304703500000002</v>
      </c>
      <c r="G159" s="301">
        <v>0</v>
      </c>
      <c r="H159" s="301">
        <v>0</v>
      </c>
      <c r="I159" s="301">
        <v>1670.7294071002468</v>
      </c>
      <c r="J159" s="301">
        <v>1736.8250741880458</v>
      </c>
      <c r="K159" s="301">
        <v>1487.161601705822</v>
      </c>
      <c r="L159" s="301">
        <v>573.76295124364299</v>
      </c>
      <c r="M159" s="301">
        <f t="shared" si="11"/>
        <v>3797.7496271375107</v>
      </c>
      <c r="N159" s="288"/>
      <c r="O159" s="303"/>
      <c r="P159" s="282"/>
      <c r="Q159" s="282"/>
      <c r="R159" s="282"/>
      <c r="S159" s="282"/>
      <c r="T159" s="282"/>
      <c r="U159" s="282"/>
      <c r="V159" s="282"/>
      <c r="W159" s="282"/>
      <c r="X159" s="282"/>
      <c r="Y159" s="282"/>
      <c r="Z159" s="282"/>
      <c r="AA159" s="282"/>
    </row>
    <row r="160" spans="1:27" ht="18.75" hidden="1">
      <c r="A160" s="289" t="s">
        <v>347</v>
      </c>
      <c r="B160" s="301">
        <v>1494.9557011342656</v>
      </c>
      <c r="C160" s="301">
        <v>0</v>
      </c>
      <c r="D160" s="301">
        <v>400</v>
      </c>
      <c r="E160" s="301">
        <v>0</v>
      </c>
      <c r="F160" s="301">
        <v>0</v>
      </c>
      <c r="G160" s="301">
        <v>173.3647</v>
      </c>
      <c r="H160" s="301">
        <v>0</v>
      </c>
      <c r="I160" s="301">
        <v>15825.087484123453</v>
      </c>
      <c r="J160" s="301">
        <v>17893.407885257719</v>
      </c>
      <c r="K160" s="301">
        <v>3314.4315565998568</v>
      </c>
      <c r="L160" s="301">
        <v>2536.9534917313185</v>
      </c>
      <c r="M160" s="301">
        <f t="shared" si="11"/>
        <v>23744.792933588895</v>
      </c>
      <c r="N160" s="288"/>
      <c r="O160" s="303"/>
      <c r="P160" s="282"/>
      <c r="Q160" s="282"/>
      <c r="R160" s="282"/>
      <c r="S160" s="282"/>
      <c r="T160" s="282"/>
      <c r="U160" s="282"/>
      <c r="V160" s="282"/>
      <c r="W160" s="282"/>
      <c r="X160" s="282"/>
      <c r="Y160" s="282"/>
      <c r="Z160" s="282"/>
      <c r="AA160" s="282"/>
    </row>
    <row r="161" spans="1:27" ht="18.75" hidden="1">
      <c r="A161" s="289" t="s">
        <v>12</v>
      </c>
      <c r="B161" s="301">
        <v>11615</v>
      </c>
      <c r="C161" s="301">
        <v>0</v>
      </c>
      <c r="D161" s="301">
        <v>0</v>
      </c>
      <c r="E161" s="301">
        <v>0</v>
      </c>
      <c r="F161" s="301">
        <v>0</v>
      </c>
      <c r="G161" s="301">
        <v>0</v>
      </c>
      <c r="H161" s="301">
        <v>0</v>
      </c>
      <c r="I161" s="301">
        <v>178584.68608000001</v>
      </c>
      <c r="J161" s="301">
        <v>190199.7</v>
      </c>
      <c r="K161" s="301">
        <v>317704.07900000003</v>
      </c>
      <c r="L161" s="301">
        <v>48415.7</v>
      </c>
      <c r="M161" s="301">
        <f t="shared" si="11"/>
        <v>556319.47900000005</v>
      </c>
      <c r="N161" s="288"/>
      <c r="O161" s="303"/>
      <c r="P161" s="282"/>
      <c r="Q161" s="282"/>
      <c r="R161" s="282"/>
      <c r="S161" s="282"/>
      <c r="T161" s="282"/>
      <c r="U161" s="282"/>
      <c r="V161" s="282"/>
      <c r="W161" s="282"/>
      <c r="X161" s="282"/>
      <c r="Y161" s="282"/>
      <c r="Z161" s="282"/>
      <c r="AA161" s="282"/>
    </row>
    <row r="162" spans="1:27" ht="18.75" hidden="1">
      <c r="A162" s="289" t="s">
        <v>13</v>
      </c>
      <c r="B162" s="301">
        <v>109607</v>
      </c>
      <c r="C162" s="301">
        <v>0</v>
      </c>
      <c r="D162" s="301">
        <v>0</v>
      </c>
      <c r="E162" s="301">
        <v>0</v>
      </c>
      <c r="F162" s="301">
        <v>0</v>
      </c>
      <c r="G162" s="301">
        <v>0</v>
      </c>
      <c r="H162" s="301">
        <v>0</v>
      </c>
      <c r="I162" s="301">
        <v>56865221.582000002</v>
      </c>
      <c r="J162" s="301">
        <v>56974828.600000001</v>
      </c>
      <c r="K162" s="301">
        <v>260907068.419</v>
      </c>
      <c r="L162" s="301">
        <v>15705792.699999999</v>
      </c>
      <c r="M162" s="301">
        <f t="shared" si="11"/>
        <v>333587689.71899998</v>
      </c>
      <c r="N162" s="288"/>
      <c r="O162" s="303"/>
      <c r="P162" s="282"/>
      <c r="Q162" s="282"/>
      <c r="R162" s="282"/>
      <c r="S162" s="282"/>
      <c r="T162" s="282"/>
      <c r="U162" s="282"/>
      <c r="V162" s="282"/>
      <c r="W162" s="282"/>
      <c r="X162" s="282"/>
      <c r="Y162" s="282"/>
      <c r="Z162" s="282"/>
      <c r="AA162" s="282"/>
    </row>
    <row r="163" spans="1:27" ht="18.75" hidden="1">
      <c r="A163" s="289" t="s">
        <v>14</v>
      </c>
      <c r="B163" s="301">
        <v>1775947760</v>
      </c>
      <c r="C163" s="301">
        <v>0</v>
      </c>
      <c r="D163" s="301">
        <v>0</v>
      </c>
      <c r="E163" s="301">
        <v>0</v>
      </c>
      <c r="F163" s="301">
        <v>0</v>
      </c>
      <c r="G163" s="301">
        <v>0</v>
      </c>
      <c r="H163" s="301">
        <v>0</v>
      </c>
      <c r="I163" s="301">
        <v>950753839552</v>
      </c>
      <c r="J163" s="301">
        <v>952529787312</v>
      </c>
      <c r="K163" s="301">
        <v>54556603696.300003</v>
      </c>
      <c r="L163" s="301">
        <v>164063251745</v>
      </c>
      <c r="M163" s="301">
        <f t="shared" si="11"/>
        <v>1171149642753.3</v>
      </c>
      <c r="N163" s="288"/>
      <c r="O163" s="303"/>
      <c r="P163" s="282"/>
      <c r="Q163" s="282"/>
      <c r="R163" s="282"/>
      <c r="S163" s="282"/>
      <c r="T163" s="282"/>
      <c r="U163" s="282"/>
      <c r="V163" s="282"/>
      <c r="W163" s="282"/>
      <c r="X163" s="282"/>
      <c r="Y163" s="282"/>
      <c r="Z163" s="282"/>
      <c r="AA163" s="282"/>
    </row>
    <row r="164" spans="1:27" ht="18.75" hidden="1">
      <c r="A164" s="289" t="s">
        <v>15</v>
      </c>
      <c r="B164" s="301">
        <v>1000000000020000</v>
      </c>
      <c r="C164" s="301">
        <v>0</v>
      </c>
      <c r="D164" s="301">
        <v>469093782510000</v>
      </c>
      <c r="E164" s="301">
        <v>0</v>
      </c>
      <c r="F164" s="301">
        <v>0</v>
      </c>
      <c r="G164" s="301">
        <v>0</v>
      </c>
      <c r="H164" s="301">
        <v>0</v>
      </c>
      <c r="I164" s="301">
        <v>5.43332241663312E+17</v>
      </c>
      <c r="J164" s="301">
        <v>5.4480133544584198E+17</v>
      </c>
      <c r="K164" s="301">
        <v>2.1803700387527101E+17</v>
      </c>
      <c r="L164" s="301">
        <v>1.03366273186332E+17</v>
      </c>
      <c r="M164" s="301">
        <f t="shared" si="11"/>
        <v>8.6620461250744499E+17</v>
      </c>
      <c r="N164" s="288"/>
      <c r="O164" s="303"/>
      <c r="P164" s="282"/>
      <c r="Q164" s="282"/>
      <c r="R164" s="282"/>
      <c r="S164" s="282"/>
      <c r="T164" s="282"/>
      <c r="U164" s="282"/>
      <c r="V164" s="282"/>
      <c r="W164" s="282"/>
      <c r="X164" s="282"/>
      <c r="Y164" s="282"/>
      <c r="Z164" s="282"/>
      <c r="AA164" s="282"/>
    </row>
    <row r="165" spans="1:27" ht="18.75" hidden="1">
      <c r="A165" s="289" t="s">
        <v>16</v>
      </c>
      <c r="B165" s="301">
        <v>0</v>
      </c>
      <c r="C165" s="301">
        <v>0</v>
      </c>
      <c r="D165" s="301">
        <v>0</v>
      </c>
      <c r="E165" s="301">
        <v>0</v>
      </c>
      <c r="F165" s="301">
        <v>0</v>
      </c>
      <c r="G165" s="301">
        <v>0</v>
      </c>
      <c r="H165" s="301">
        <v>0</v>
      </c>
      <c r="I165" s="301">
        <v>3.28684808148034E+18</v>
      </c>
      <c r="J165" s="301">
        <v>3.28684808148034E+18</v>
      </c>
      <c r="K165" s="301">
        <v>1.9237715623132401E+18</v>
      </c>
      <c r="L165" s="301">
        <v>6.9885807409721395E+17</v>
      </c>
      <c r="M165" s="301">
        <f t="shared" si="11"/>
        <v>5.9094777178907935E+18</v>
      </c>
      <c r="N165" s="288"/>
      <c r="O165" s="303"/>
      <c r="P165" s="282"/>
      <c r="Q165" s="282"/>
      <c r="R165" s="282"/>
      <c r="S165" s="282"/>
      <c r="T165" s="282"/>
      <c r="U165" s="282"/>
      <c r="V165" s="282"/>
      <c r="W165" s="282"/>
      <c r="X165" s="282"/>
      <c r="Y165" s="282"/>
      <c r="Z165" s="282"/>
      <c r="AA165" s="282"/>
    </row>
    <row r="166" spans="1:27" ht="16.899999999999999" hidden="1" customHeight="1" thickBot="1">
      <c r="A166" s="304"/>
      <c r="B166" s="305"/>
      <c r="C166" s="305"/>
      <c r="D166" s="305"/>
      <c r="E166" s="305"/>
      <c r="F166" s="306"/>
      <c r="G166" s="306"/>
      <c r="H166" s="306"/>
      <c r="I166" s="306"/>
      <c r="J166" s="306"/>
      <c r="K166" s="306"/>
      <c r="L166" s="306"/>
      <c r="M166" s="306"/>
      <c r="N166" s="282"/>
      <c r="O166" s="282"/>
      <c r="P166" s="307"/>
      <c r="Q166" s="307"/>
      <c r="R166" s="307"/>
      <c r="S166" s="307"/>
      <c r="T166" s="307"/>
      <c r="U166" s="307"/>
      <c r="V166" s="307"/>
      <c r="W166" s="307"/>
      <c r="X166" s="307"/>
      <c r="Y166" s="307"/>
      <c r="Z166" s="307"/>
      <c r="AA166" s="307"/>
    </row>
    <row r="167" spans="1:27" ht="21.75" hidden="1" customHeight="1" thickTop="1">
      <c r="A167" s="285"/>
      <c r="B167" s="285"/>
      <c r="C167" s="308"/>
      <c r="D167" s="285"/>
      <c r="E167" s="285"/>
      <c r="F167" s="285"/>
      <c r="G167" s="285"/>
      <c r="H167" s="285"/>
      <c r="I167" s="285"/>
      <c r="J167" s="285"/>
      <c r="K167" s="285"/>
      <c r="L167" s="285"/>
      <c r="M167" s="285"/>
      <c r="N167" s="282"/>
      <c r="O167" s="282"/>
      <c r="P167" s="282"/>
      <c r="Q167" s="282"/>
      <c r="R167" s="282"/>
      <c r="S167" s="282"/>
      <c r="T167" s="282"/>
      <c r="U167" s="282"/>
      <c r="V167" s="282"/>
      <c r="W167" s="282"/>
      <c r="X167" s="282"/>
      <c r="Y167" s="282"/>
      <c r="Z167" s="282"/>
      <c r="AA167" s="282"/>
    </row>
    <row r="168" spans="1:27" ht="21.75" hidden="1" customHeight="1">
      <c r="N168" s="282"/>
      <c r="O168" s="282"/>
      <c r="P168" s="282"/>
      <c r="Q168" s="282"/>
      <c r="R168" s="282"/>
      <c r="S168" s="282"/>
      <c r="T168" s="282"/>
      <c r="U168" s="282"/>
      <c r="V168" s="282"/>
      <c r="W168" s="282"/>
      <c r="X168" s="282"/>
      <c r="Y168" s="282"/>
      <c r="Z168" s="282"/>
      <c r="AA168" s="282"/>
    </row>
    <row r="169" spans="1:27" ht="16.899999999999999" hidden="1" customHeight="1">
      <c r="N169" s="282"/>
      <c r="O169" s="282"/>
      <c r="P169" s="282"/>
      <c r="Q169" s="282"/>
      <c r="R169" s="282"/>
      <c r="S169" s="282"/>
      <c r="T169" s="282"/>
      <c r="U169" s="282"/>
      <c r="V169" s="282"/>
      <c r="W169" s="282"/>
      <c r="X169" s="282"/>
      <c r="Y169" s="282"/>
      <c r="Z169" s="282"/>
      <c r="AA169" s="282"/>
    </row>
    <row r="170" spans="1:27" ht="24" hidden="1" customHeight="1">
      <c r="A170" s="284" t="s">
        <v>1009</v>
      </c>
      <c r="B170" s="285"/>
      <c r="C170" s="285"/>
      <c r="D170" s="285"/>
      <c r="E170" s="285"/>
      <c r="F170" s="285"/>
      <c r="G170" s="285"/>
      <c r="H170" s="285"/>
      <c r="I170" s="285"/>
      <c r="J170" s="285"/>
      <c r="K170" s="285"/>
      <c r="L170" s="285"/>
      <c r="M170" s="285"/>
      <c r="N170" s="282"/>
      <c r="O170" s="282"/>
      <c r="P170" s="282"/>
      <c r="Q170" s="282"/>
      <c r="R170" s="282"/>
      <c r="S170" s="282"/>
      <c r="T170" s="282"/>
      <c r="U170" s="282"/>
      <c r="V170" s="282"/>
      <c r="W170" s="282"/>
      <c r="X170" s="282"/>
      <c r="Y170" s="282"/>
      <c r="Z170" s="282"/>
      <c r="AA170" s="282"/>
    </row>
    <row r="171" spans="1:27" ht="16.899999999999999" hidden="1" customHeight="1">
      <c r="A171" s="284"/>
      <c r="B171" s="285"/>
      <c r="C171" s="285"/>
      <c r="D171" s="285"/>
      <c r="E171" s="285"/>
      <c r="F171" s="285"/>
      <c r="G171" s="285"/>
      <c r="H171" s="285"/>
      <c r="I171" s="285"/>
      <c r="J171" s="285"/>
      <c r="K171" s="285"/>
      <c r="L171" s="285"/>
      <c r="M171" s="285"/>
      <c r="N171" s="282"/>
      <c r="O171" s="282"/>
      <c r="P171" s="282"/>
      <c r="Q171" s="282"/>
      <c r="R171" s="282"/>
      <c r="S171" s="282"/>
      <c r="T171" s="282"/>
      <c r="U171" s="282"/>
      <c r="V171" s="282"/>
      <c r="W171" s="282"/>
      <c r="X171" s="282"/>
      <c r="Y171" s="282"/>
      <c r="Z171" s="282"/>
      <c r="AA171" s="282"/>
    </row>
    <row r="172" spans="1:27" ht="22.5" hidden="1" customHeight="1">
      <c r="A172" s="291"/>
      <c r="B172" s="291"/>
      <c r="C172" s="309" t="s">
        <v>1018</v>
      </c>
      <c r="D172" s="291"/>
      <c r="E172" s="291"/>
      <c r="F172" s="310"/>
      <c r="G172" s="291"/>
      <c r="H172" s="291"/>
      <c r="I172" s="291"/>
      <c r="J172" s="291"/>
      <c r="K172" s="291"/>
      <c r="L172" s="291"/>
      <c r="M172" s="291"/>
      <c r="N172" s="282"/>
      <c r="O172" s="282"/>
      <c r="P172" s="282"/>
      <c r="Q172" s="282"/>
      <c r="R172" s="282"/>
      <c r="S172" s="282"/>
      <c r="T172" s="282"/>
      <c r="U172" s="282"/>
      <c r="V172" s="282"/>
      <c r="W172" s="282"/>
      <c r="X172" s="282"/>
      <c r="Y172" s="282"/>
      <c r="Z172" s="282"/>
      <c r="AA172" s="282"/>
    </row>
    <row r="173" spans="1:27" ht="16.899999999999999" hidden="1" customHeight="1" thickBot="1">
      <c r="A173" s="285"/>
      <c r="B173" s="285"/>
      <c r="C173" s="285"/>
      <c r="D173" s="285"/>
      <c r="E173" s="285"/>
      <c r="F173" s="285"/>
      <c r="G173" s="285"/>
      <c r="H173" s="285"/>
      <c r="I173" s="285"/>
      <c r="J173" s="285"/>
      <c r="K173" s="285"/>
      <c r="L173" s="285"/>
      <c r="M173" s="285"/>
      <c r="N173" s="282"/>
      <c r="O173" s="282"/>
      <c r="P173" s="282"/>
      <c r="Q173" s="282"/>
      <c r="R173" s="282"/>
      <c r="S173" s="282"/>
      <c r="T173" s="282"/>
      <c r="U173" s="282"/>
      <c r="V173" s="282"/>
      <c r="W173" s="282"/>
      <c r="X173" s="282"/>
      <c r="Y173" s="282"/>
      <c r="Z173" s="282"/>
      <c r="AA173" s="282"/>
    </row>
    <row r="174" spans="1:27" ht="16.899999999999999" hidden="1" customHeight="1" thickTop="1">
      <c r="A174" s="286"/>
      <c r="B174" s="287"/>
      <c r="C174" s="287"/>
      <c r="D174" s="287"/>
      <c r="E174" s="287"/>
      <c r="F174" s="287"/>
      <c r="G174" s="287"/>
      <c r="H174" s="287"/>
      <c r="I174" s="287"/>
      <c r="J174" s="287"/>
      <c r="K174" s="286"/>
      <c r="L174" s="286"/>
      <c r="M174" s="286"/>
      <c r="N174" s="288"/>
      <c r="O174" s="282"/>
      <c r="P174" s="282"/>
      <c r="Q174" s="282"/>
      <c r="R174" s="282"/>
      <c r="S174" s="282"/>
      <c r="T174" s="282"/>
      <c r="U174" s="282"/>
      <c r="V174" s="282"/>
      <c r="W174" s="282"/>
      <c r="X174" s="282"/>
      <c r="Y174" s="282"/>
      <c r="Z174" s="282"/>
      <c r="AA174" s="282"/>
    </row>
    <row r="175" spans="1:27" ht="20.25" hidden="1" customHeight="1">
      <c r="A175" s="289"/>
      <c r="B175" s="1948" t="s">
        <v>1010</v>
      </c>
      <c r="C175" s="1949"/>
      <c r="D175" s="1949"/>
      <c r="E175" s="1949"/>
      <c r="F175" s="1949"/>
      <c r="G175" s="1949"/>
      <c r="H175" s="1949"/>
      <c r="I175" s="1949"/>
      <c r="J175" s="1950"/>
      <c r="K175" s="289"/>
      <c r="L175" s="289"/>
      <c r="M175" s="289"/>
      <c r="N175" s="288"/>
      <c r="O175" s="282"/>
      <c r="P175" s="282"/>
      <c r="Q175" s="282"/>
      <c r="R175" s="282"/>
      <c r="S175" s="282"/>
      <c r="T175" s="282"/>
      <c r="U175" s="282"/>
      <c r="V175" s="282"/>
      <c r="W175" s="282"/>
      <c r="X175" s="282"/>
      <c r="Y175" s="282"/>
      <c r="Z175" s="282"/>
      <c r="AA175" s="282"/>
    </row>
    <row r="176" spans="1:27" ht="21.75" hidden="1" customHeight="1" thickBot="1">
      <c r="A176" s="290" t="s">
        <v>32</v>
      </c>
      <c r="B176" s="291"/>
      <c r="C176" s="291"/>
      <c r="D176" s="291"/>
      <c r="E176" s="291"/>
      <c r="F176" s="291"/>
      <c r="G176" s="291"/>
      <c r="H176" s="291"/>
      <c r="I176" s="291"/>
      <c r="J176" s="291"/>
      <c r="K176" s="290" t="s">
        <v>39</v>
      </c>
      <c r="L176" s="290" t="s">
        <v>31</v>
      </c>
      <c r="M176" s="290" t="s">
        <v>287</v>
      </c>
      <c r="N176" s="288"/>
      <c r="O176" s="282"/>
      <c r="P176" s="282"/>
      <c r="Q176" s="282"/>
      <c r="R176" s="282"/>
      <c r="S176" s="282"/>
      <c r="T176" s="282"/>
      <c r="U176" s="282"/>
      <c r="V176" s="282"/>
      <c r="W176" s="282"/>
      <c r="X176" s="282"/>
      <c r="Y176" s="282"/>
      <c r="Z176" s="282"/>
      <c r="AA176" s="282"/>
    </row>
    <row r="177" spans="1:27" ht="16.899999999999999" hidden="1" customHeight="1" thickTop="1">
      <c r="A177" s="290"/>
      <c r="B177" s="292"/>
      <c r="C177" s="286"/>
      <c r="D177" s="286"/>
      <c r="E177" s="286"/>
      <c r="F177" s="286"/>
      <c r="G177" s="286"/>
      <c r="H177" s="286"/>
      <c r="I177" s="286"/>
      <c r="J177" s="293"/>
      <c r="K177" s="290"/>
      <c r="L177" s="290"/>
      <c r="M177" s="290"/>
      <c r="N177" s="288"/>
      <c r="O177" s="282"/>
      <c r="P177" s="282"/>
      <c r="Q177" s="282"/>
      <c r="R177" s="282"/>
      <c r="S177" s="282"/>
      <c r="T177" s="282"/>
      <c r="U177" s="282"/>
      <c r="V177" s="282"/>
      <c r="W177" s="282"/>
      <c r="X177" s="282"/>
      <c r="Y177" s="282"/>
      <c r="Z177" s="282"/>
      <c r="AA177" s="282"/>
    </row>
    <row r="178" spans="1:27" ht="21.75" hidden="1" customHeight="1">
      <c r="A178" s="289"/>
      <c r="B178" s="290" t="s">
        <v>1011</v>
      </c>
      <c r="C178" s="290" t="s">
        <v>1012</v>
      </c>
      <c r="D178" s="290" t="s">
        <v>65</v>
      </c>
      <c r="E178" s="290" t="s">
        <v>1013</v>
      </c>
      <c r="F178" s="290" t="s">
        <v>66</v>
      </c>
      <c r="G178" s="290" t="s">
        <v>1014</v>
      </c>
      <c r="H178" s="290" t="s">
        <v>1015</v>
      </c>
      <c r="I178" s="290" t="s">
        <v>1016</v>
      </c>
      <c r="J178" s="294" t="s">
        <v>37</v>
      </c>
      <c r="K178" s="290" t="s">
        <v>766</v>
      </c>
      <c r="L178" s="289"/>
      <c r="M178" s="289"/>
      <c r="N178" s="288"/>
      <c r="O178" s="282"/>
      <c r="P178" s="282"/>
      <c r="Q178" s="282"/>
      <c r="R178" s="282"/>
      <c r="S178" s="282"/>
      <c r="T178" s="282"/>
      <c r="U178" s="282"/>
      <c r="V178" s="282"/>
      <c r="W178" s="282"/>
      <c r="X178" s="282"/>
      <c r="Y178" s="282"/>
      <c r="Z178" s="282"/>
      <c r="AA178" s="282"/>
    </row>
    <row r="179" spans="1:27" ht="24" hidden="1" customHeight="1">
      <c r="A179" s="289"/>
      <c r="B179" s="290" t="s">
        <v>67</v>
      </c>
      <c r="C179" s="290" t="s">
        <v>68</v>
      </c>
      <c r="D179" s="290" t="s">
        <v>68</v>
      </c>
      <c r="E179" s="290" t="s">
        <v>68</v>
      </c>
      <c r="F179" s="290" t="s">
        <v>69</v>
      </c>
      <c r="G179" s="290" t="s">
        <v>296</v>
      </c>
      <c r="H179" s="290" t="s">
        <v>70</v>
      </c>
      <c r="I179" s="290" t="s">
        <v>1017</v>
      </c>
      <c r="J179" s="290"/>
      <c r="K179" s="290" t="s">
        <v>1008</v>
      </c>
      <c r="L179" s="289"/>
      <c r="M179" s="289"/>
      <c r="N179" s="288"/>
      <c r="O179" s="282"/>
      <c r="P179" s="282"/>
      <c r="Q179" s="282"/>
      <c r="R179" s="282"/>
      <c r="S179" s="282"/>
      <c r="T179" s="282"/>
      <c r="U179" s="282"/>
      <c r="V179" s="282"/>
      <c r="W179" s="282"/>
      <c r="X179" s="282"/>
      <c r="Y179" s="282"/>
      <c r="Z179" s="282"/>
      <c r="AA179" s="282"/>
    </row>
    <row r="180" spans="1:27" ht="16.899999999999999" hidden="1" customHeight="1" thickBot="1">
      <c r="A180" s="295"/>
      <c r="B180" s="296"/>
      <c r="C180" s="296"/>
      <c r="D180" s="296"/>
      <c r="E180" s="296"/>
      <c r="F180" s="296"/>
      <c r="G180" s="296"/>
      <c r="H180" s="296"/>
      <c r="I180" s="296"/>
      <c r="J180" s="295"/>
      <c r="K180" s="296"/>
      <c r="L180" s="295"/>
      <c r="M180" s="295"/>
      <c r="N180" s="288"/>
      <c r="O180" s="282"/>
      <c r="P180" s="282"/>
      <c r="Q180" s="282"/>
      <c r="R180" s="282"/>
      <c r="S180" s="282"/>
      <c r="T180" s="282"/>
      <c r="U180" s="282"/>
      <c r="V180" s="282"/>
      <c r="W180" s="282"/>
      <c r="X180" s="282"/>
      <c r="Y180" s="282"/>
      <c r="Z180" s="282"/>
      <c r="AA180" s="282"/>
    </row>
    <row r="181" spans="1:27" ht="16.899999999999999" hidden="1" customHeight="1" thickTop="1">
      <c r="A181" s="297"/>
      <c r="B181" s="298"/>
      <c r="C181" s="298"/>
      <c r="D181" s="298"/>
      <c r="E181" s="298"/>
      <c r="F181" s="298"/>
      <c r="G181" s="298"/>
      <c r="H181" s="298"/>
      <c r="I181" s="298"/>
      <c r="J181" s="299"/>
      <c r="K181" s="298"/>
      <c r="L181" s="299"/>
      <c r="M181" s="299"/>
      <c r="N181" s="288"/>
      <c r="O181" s="282"/>
      <c r="P181" s="282"/>
      <c r="Q181" s="282"/>
      <c r="R181" s="282"/>
      <c r="S181" s="282"/>
      <c r="T181" s="282"/>
      <c r="U181" s="282"/>
      <c r="V181" s="282"/>
      <c r="W181" s="282"/>
      <c r="X181" s="282"/>
      <c r="Y181" s="282"/>
      <c r="Z181" s="282"/>
      <c r="AA181" s="282"/>
    </row>
    <row r="182" spans="1:27" ht="12.75" hidden="1" customHeight="1">
      <c r="A182" s="297">
        <v>1999</v>
      </c>
      <c r="B182" s="290"/>
      <c r="C182" s="290"/>
      <c r="D182" s="290"/>
      <c r="E182" s="290"/>
      <c r="F182" s="290"/>
      <c r="G182" s="290"/>
      <c r="H182" s="290"/>
      <c r="I182" s="290"/>
      <c r="J182" s="289"/>
      <c r="K182" s="290"/>
      <c r="L182" s="289"/>
      <c r="M182" s="289"/>
      <c r="N182" s="288"/>
      <c r="O182" s="282"/>
      <c r="P182" s="282"/>
      <c r="Q182" s="282"/>
      <c r="R182" s="282"/>
      <c r="S182" s="282"/>
      <c r="T182" s="282"/>
      <c r="U182" s="282"/>
      <c r="V182" s="282"/>
      <c r="W182" s="282"/>
      <c r="X182" s="282"/>
      <c r="Y182" s="282"/>
      <c r="Z182" s="282"/>
      <c r="AA182" s="282"/>
    </row>
    <row r="183" spans="1:27" ht="12.75" hidden="1" customHeight="1">
      <c r="A183" s="300"/>
      <c r="B183" s="300"/>
      <c r="C183" s="300"/>
      <c r="D183" s="300"/>
      <c r="E183" s="300"/>
      <c r="F183" s="300"/>
      <c r="G183" s="300"/>
      <c r="H183" s="300"/>
      <c r="I183" s="300"/>
      <c r="J183" s="300"/>
      <c r="K183" s="300"/>
      <c r="L183" s="300"/>
      <c r="M183" s="300"/>
      <c r="N183" s="288"/>
      <c r="O183" s="282"/>
      <c r="P183" s="282"/>
      <c r="Q183" s="282"/>
      <c r="R183" s="282"/>
      <c r="S183" s="282"/>
      <c r="T183" s="282"/>
      <c r="U183" s="282"/>
      <c r="V183" s="282"/>
      <c r="W183" s="282"/>
      <c r="X183" s="282"/>
      <c r="Y183" s="282"/>
      <c r="Z183" s="282"/>
      <c r="AA183" s="282"/>
    </row>
    <row r="184" spans="1:27" ht="12.75" hidden="1" customHeight="1">
      <c r="A184" s="289" t="s">
        <v>8</v>
      </c>
      <c r="B184" s="301">
        <v>0.02</v>
      </c>
      <c r="C184" s="301">
        <v>0.245</v>
      </c>
      <c r="D184" s="301">
        <v>8.8000000000000005E-3</v>
      </c>
      <c r="E184" s="301">
        <v>6.9000000000000006E-2</v>
      </c>
      <c r="F184" s="301">
        <v>0.34849999999999998</v>
      </c>
      <c r="G184" s="301">
        <v>1.6399999999999998E-2</v>
      </c>
      <c r="H184" s="301">
        <v>0.11</v>
      </c>
      <c r="I184" s="301">
        <v>1.409135</v>
      </c>
      <c r="J184" s="301">
        <v>2.2268349999999999</v>
      </c>
      <c r="K184" s="301">
        <v>0.45250599999999996</v>
      </c>
      <c r="L184" s="301">
        <v>0.44819700000000012</v>
      </c>
      <c r="M184" s="301">
        <v>3.1275379999999999</v>
      </c>
      <c r="N184" s="288"/>
      <c r="O184" s="282"/>
      <c r="P184" s="282"/>
      <c r="Q184" s="282"/>
      <c r="R184" s="282"/>
      <c r="S184" s="282"/>
      <c r="T184" s="282"/>
      <c r="U184" s="282"/>
      <c r="V184" s="282"/>
      <c r="W184" s="282"/>
      <c r="X184" s="282"/>
      <c r="Y184" s="282"/>
      <c r="Z184" s="282"/>
      <c r="AA184" s="282"/>
    </row>
    <row r="185" spans="1:27" ht="12.75" hidden="1" customHeight="1">
      <c r="A185" s="289" t="s">
        <v>9</v>
      </c>
      <c r="B185" s="301">
        <v>3.0000000000000001E-3</v>
      </c>
      <c r="C185" s="301">
        <v>0.43080000000000002</v>
      </c>
      <c r="D185" s="301">
        <v>2E-3</v>
      </c>
      <c r="E185" s="301">
        <v>6.3E-2</v>
      </c>
      <c r="F185" s="301">
        <v>0.36760000000000004</v>
      </c>
      <c r="G185" s="301">
        <v>6.1799999999999994E-2</v>
      </c>
      <c r="H185" s="301">
        <v>0.11</v>
      </c>
      <c r="I185" s="301">
        <v>0.98548800000000003</v>
      </c>
      <c r="J185" s="301">
        <v>2.0236879999999999</v>
      </c>
      <c r="K185" s="301">
        <v>0.41829100000000002</v>
      </c>
      <c r="L185" s="301">
        <v>0.50188399999999955</v>
      </c>
      <c r="M185" s="301">
        <v>2.9438629999999999</v>
      </c>
      <c r="N185" s="288"/>
      <c r="O185" s="282"/>
      <c r="P185" s="282"/>
      <c r="Q185" s="282"/>
      <c r="R185" s="282"/>
      <c r="S185" s="282"/>
      <c r="T185" s="282"/>
      <c r="U185" s="282"/>
      <c r="V185" s="282"/>
      <c r="W185" s="282"/>
      <c r="X185" s="282"/>
      <c r="Y185" s="282"/>
      <c r="Z185" s="282"/>
      <c r="AA185" s="282"/>
    </row>
    <row r="186" spans="1:27" ht="12.75" hidden="1" customHeight="1">
      <c r="A186" s="289" t="s">
        <v>10</v>
      </c>
      <c r="B186" s="301">
        <v>0</v>
      </c>
      <c r="C186" s="301">
        <v>0.56747400000000003</v>
      </c>
      <c r="D186" s="301">
        <v>9.4E-2</v>
      </c>
      <c r="E186" s="301">
        <v>5.7500000000000002E-2</v>
      </c>
      <c r="F186" s="301">
        <v>0.73368</v>
      </c>
      <c r="G186" s="301">
        <v>0.16700000000000001</v>
      </c>
      <c r="H186" s="301">
        <v>0.11</v>
      </c>
      <c r="I186" s="301">
        <v>1.1058800000000002</v>
      </c>
      <c r="J186" s="301">
        <v>2.835534</v>
      </c>
      <c r="K186" s="301">
        <v>0.40593200000000002</v>
      </c>
      <c r="L186" s="301">
        <v>0.57554499999999997</v>
      </c>
      <c r="M186" s="301">
        <v>3.8170109999999999</v>
      </c>
      <c r="N186" s="288"/>
      <c r="O186" s="282"/>
      <c r="P186" s="282"/>
      <c r="Q186" s="282"/>
      <c r="R186" s="282"/>
      <c r="S186" s="282"/>
      <c r="T186" s="282"/>
      <c r="U186" s="282"/>
      <c r="V186" s="282"/>
      <c r="W186" s="282"/>
      <c r="X186" s="282"/>
      <c r="Y186" s="282"/>
      <c r="Z186" s="282"/>
      <c r="AA186" s="282"/>
    </row>
    <row r="187" spans="1:27" ht="12.75" hidden="1" customHeight="1">
      <c r="A187" s="289" t="s">
        <v>11</v>
      </c>
      <c r="B187" s="301">
        <v>0.18245699999999998</v>
      </c>
      <c r="C187" s="301">
        <v>0.459561</v>
      </c>
      <c r="D187" s="301">
        <v>0.37196800000000002</v>
      </c>
      <c r="E187" s="301">
        <v>5.0700000000000002E-2</v>
      </c>
      <c r="F187" s="301">
        <v>0.82479100000000005</v>
      </c>
      <c r="G187" s="301">
        <v>0.2283</v>
      </c>
      <c r="H187" s="301">
        <v>0.13800000000000001</v>
      </c>
      <c r="I187" s="301">
        <v>1.2522219999999999</v>
      </c>
      <c r="J187" s="301">
        <v>3.5079990000000003</v>
      </c>
      <c r="K187" s="301">
        <v>0.40699599999999997</v>
      </c>
      <c r="L187" s="301">
        <v>0.61766199999999982</v>
      </c>
      <c r="M187" s="301">
        <v>4.5326570000000004</v>
      </c>
      <c r="N187" s="288"/>
      <c r="O187" s="282"/>
      <c r="P187" s="282"/>
      <c r="Q187" s="282"/>
      <c r="R187" s="282"/>
      <c r="S187" s="282"/>
      <c r="T187" s="282"/>
      <c r="U187" s="282"/>
      <c r="V187" s="282"/>
      <c r="W187" s="282"/>
      <c r="X187" s="282"/>
      <c r="Y187" s="282"/>
      <c r="Z187" s="282"/>
      <c r="AA187" s="282"/>
    </row>
    <row r="188" spans="1:27" ht="12.75" hidden="1" customHeight="1">
      <c r="A188" s="289" t="s">
        <v>337</v>
      </c>
      <c r="B188" s="301">
        <v>0</v>
      </c>
      <c r="C188" s="301">
        <v>0.72922600000000004</v>
      </c>
      <c r="D188" s="301">
        <v>8.5897000000000001E-2</v>
      </c>
      <c r="E188" s="301">
        <v>0.15329699999999999</v>
      </c>
      <c r="F188" s="301">
        <v>0.76362399999999997</v>
      </c>
      <c r="G188" s="301">
        <v>0.21209999999999998</v>
      </c>
      <c r="H188" s="301">
        <v>0.13800000000000001</v>
      </c>
      <c r="I188" s="301">
        <v>1.1409910000000001</v>
      </c>
      <c r="J188" s="301">
        <v>3.2231350000000001</v>
      </c>
      <c r="K188" s="301">
        <v>0.39991300000000002</v>
      </c>
      <c r="L188" s="301">
        <v>0.63382000000000005</v>
      </c>
      <c r="M188" s="301">
        <v>4.2568680000000008</v>
      </c>
      <c r="N188" s="288"/>
      <c r="O188" s="282"/>
      <c r="P188" s="282"/>
      <c r="Q188" s="282"/>
      <c r="R188" s="282"/>
      <c r="S188" s="282"/>
      <c r="T188" s="282"/>
      <c r="U188" s="282"/>
      <c r="V188" s="282"/>
      <c r="W188" s="282"/>
      <c r="X188" s="282"/>
      <c r="Y188" s="282"/>
      <c r="Z188" s="282"/>
      <c r="AA188" s="282"/>
    </row>
    <row r="189" spans="1:27" ht="12.75" hidden="1" customHeight="1">
      <c r="A189" s="289" t="s">
        <v>346</v>
      </c>
      <c r="B189" s="301">
        <v>0.10629999999999999</v>
      </c>
      <c r="C189" s="301">
        <v>0.29455000000000003</v>
      </c>
      <c r="D189" s="301">
        <v>0.17089799999999999</v>
      </c>
      <c r="E189" s="301">
        <v>0.13214099999999998</v>
      </c>
      <c r="F189" s="301">
        <v>0.62639599999999995</v>
      </c>
      <c r="G189" s="301">
        <v>0.14130000000000001</v>
      </c>
      <c r="H189" s="301">
        <v>0.13800000000000001</v>
      </c>
      <c r="I189" s="301">
        <v>1.1599280000000001</v>
      </c>
      <c r="J189" s="301">
        <v>2.7695129999999999</v>
      </c>
      <c r="K189" s="301">
        <v>0.38664299999999996</v>
      </c>
      <c r="L189" s="301">
        <v>0.62701900000000022</v>
      </c>
      <c r="M189" s="301">
        <v>3.7831750000000004</v>
      </c>
      <c r="N189" s="288"/>
      <c r="O189" s="282"/>
      <c r="P189" s="282"/>
      <c r="Q189" s="282"/>
      <c r="R189" s="282"/>
      <c r="S189" s="282"/>
      <c r="T189" s="282"/>
      <c r="U189" s="282"/>
      <c r="V189" s="282"/>
      <c r="W189" s="282"/>
      <c r="X189" s="282"/>
      <c r="Y189" s="282"/>
      <c r="Z189" s="282"/>
      <c r="AA189" s="282"/>
    </row>
    <row r="190" spans="1:27" ht="12.75" hidden="1" customHeight="1">
      <c r="A190" s="289" t="s">
        <v>347</v>
      </c>
      <c r="B190" s="301">
        <v>0.22618000000000002</v>
      </c>
      <c r="C190" s="301">
        <v>0.54085400000000006</v>
      </c>
      <c r="D190" s="301">
        <v>0.11275</v>
      </c>
      <c r="E190" s="301">
        <v>0.30406299999999997</v>
      </c>
      <c r="F190" s="301">
        <v>0.397312</v>
      </c>
      <c r="G190" s="301">
        <v>6.0000000000000001E-3</v>
      </c>
      <c r="H190" s="301">
        <v>0.13800000000000001</v>
      </c>
      <c r="I190" s="301">
        <v>1.4135199999999999</v>
      </c>
      <c r="J190" s="301">
        <v>3.1386790000000002</v>
      </c>
      <c r="K190" s="301">
        <v>0.36507100000000003</v>
      </c>
      <c r="L190" s="301">
        <v>1.0209319999999997</v>
      </c>
      <c r="M190" s="301">
        <v>4.5246819999999994</v>
      </c>
      <c r="N190" s="288"/>
      <c r="O190" s="282"/>
      <c r="P190" s="282"/>
      <c r="Q190" s="282"/>
      <c r="R190" s="282"/>
      <c r="S190" s="282"/>
      <c r="T190" s="282"/>
      <c r="U190" s="282"/>
      <c r="V190" s="282"/>
      <c r="W190" s="282"/>
      <c r="X190" s="282"/>
      <c r="Y190" s="282"/>
      <c r="Z190" s="282"/>
      <c r="AA190" s="282"/>
    </row>
    <row r="191" spans="1:27" ht="12.75" hidden="1" customHeight="1">
      <c r="A191" s="289" t="s">
        <v>12</v>
      </c>
      <c r="B191" s="301">
        <v>0.145291</v>
      </c>
      <c r="C191" s="301">
        <v>0.22690000000000002</v>
      </c>
      <c r="D191" s="301">
        <v>0.1555</v>
      </c>
      <c r="E191" s="301">
        <v>5.4634000000000002E-2</v>
      </c>
      <c r="F191" s="301">
        <v>0.39350599999999997</v>
      </c>
      <c r="G191" s="301">
        <v>2.1299999999999999E-2</v>
      </c>
      <c r="H191" s="301">
        <v>0.13800000000000001</v>
      </c>
      <c r="I191" s="301">
        <v>1.3130709999999999</v>
      </c>
      <c r="J191" s="301">
        <v>2.4482019999999998</v>
      </c>
      <c r="K191" s="301">
        <v>0.36247299999999999</v>
      </c>
      <c r="L191" s="301">
        <v>1.0853970000000004</v>
      </c>
      <c r="M191" s="301">
        <v>3.8960720000000002</v>
      </c>
      <c r="N191" s="288"/>
      <c r="O191" s="282"/>
      <c r="P191" s="282"/>
      <c r="Q191" s="282"/>
      <c r="R191" s="282"/>
      <c r="S191" s="282"/>
      <c r="T191" s="282"/>
      <c r="U191" s="282"/>
      <c r="V191" s="282"/>
      <c r="W191" s="282"/>
      <c r="X191" s="282"/>
      <c r="Y191" s="282"/>
      <c r="Z191" s="282"/>
      <c r="AA191" s="282"/>
    </row>
    <row r="192" spans="1:27" ht="12.75" hidden="1" customHeight="1">
      <c r="A192" s="289" t="s">
        <v>13</v>
      </c>
      <c r="B192" s="301">
        <v>1.0817929999999998</v>
      </c>
      <c r="C192" s="301">
        <v>0.2404</v>
      </c>
      <c r="D192" s="301">
        <v>0.18090400000000001</v>
      </c>
      <c r="E192" s="301">
        <v>6.2209E-2</v>
      </c>
      <c r="F192" s="301">
        <v>0.45442100000000002</v>
      </c>
      <c r="G192" s="301">
        <v>2.2499999999999999E-2</v>
      </c>
      <c r="H192" s="301">
        <v>2.8000000000000001E-2</v>
      </c>
      <c r="I192" s="301">
        <v>1.14002</v>
      </c>
      <c r="J192" s="301">
        <v>3.2102469999999999</v>
      </c>
      <c r="K192" s="301">
        <v>0.39728600000000003</v>
      </c>
      <c r="L192" s="301">
        <v>1.3091979999999999</v>
      </c>
      <c r="M192" s="301">
        <v>4.9167309999999995</v>
      </c>
      <c r="N192" s="288"/>
      <c r="O192" s="282"/>
      <c r="P192" s="282"/>
      <c r="Q192" s="282"/>
      <c r="R192" s="282"/>
      <c r="S192" s="282"/>
      <c r="T192" s="282"/>
      <c r="U192" s="282"/>
      <c r="V192" s="282"/>
      <c r="W192" s="282"/>
      <c r="X192" s="282"/>
      <c r="Y192" s="282"/>
      <c r="Z192" s="282"/>
      <c r="AA192" s="282"/>
    </row>
    <row r="193" spans="1:27" ht="12.75" hidden="1" customHeight="1">
      <c r="A193" s="289" t="s">
        <v>14</v>
      </c>
      <c r="B193" s="301">
        <v>3.4229999999999998E-3</v>
      </c>
      <c r="C193" s="301">
        <v>0.20652500000000001</v>
      </c>
      <c r="D193" s="301">
        <v>7.0358000000000004E-2</v>
      </c>
      <c r="E193" s="301">
        <v>0.212501</v>
      </c>
      <c r="F193" s="301">
        <v>0.54972299999999996</v>
      </c>
      <c r="G193" s="301">
        <v>0</v>
      </c>
      <c r="H193" s="301">
        <v>2.8000000000000001E-2</v>
      </c>
      <c r="I193" s="301">
        <v>1.4042809999999999</v>
      </c>
      <c r="J193" s="301">
        <v>2.4748109999999999</v>
      </c>
      <c r="K193" s="301">
        <v>0.53231200000000001</v>
      </c>
      <c r="L193" s="301">
        <v>1.3831450000000001</v>
      </c>
      <c r="M193" s="301">
        <v>4.3902679999999998</v>
      </c>
      <c r="N193" s="288"/>
      <c r="O193" s="282"/>
      <c r="P193" s="282"/>
      <c r="Q193" s="282"/>
      <c r="R193" s="282"/>
      <c r="S193" s="282"/>
      <c r="T193" s="282"/>
      <c r="U193" s="282"/>
      <c r="V193" s="282"/>
      <c r="W193" s="282"/>
      <c r="X193" s="282"/>
      <c r="Y193" s="282"/>
      <c r="Z193" s="282"/>
      <c r="AA193" s="282"/>
    </row>
    <row r="194" spans="1:27" ht="12.75" hidden="1" customHeight="1">
      <c r="A194" s="289" t="s">
        <v>15</v>
      </c>
      <c r="B194" s="301">
        <v>0.69423900000000005</v>
      </c>
      <c r="C194" s="301">
        <v>0.16053999999999999</v>
      </c>
      <c r="D194" s="301">
        <v>1.9350000000000001E-3</v>
      </c>
      <c r="E194" s="301">
        <v>0.20936600000000002</v>
      </c>
      <c r="F194" s="301">
        <v>0.41362900000000002</v>
      </c>
      <c r="G194" s="301">
        <v>4.675E-2</v>
      </c>
      <c r="H194" s="301">
        <v>2.8000000000000001E-2</v>
      </c>
      <c r="I194" s="301">
        <v>1.4750750000000001</v>
      </c>
      <c r="J194" s="301">
        <v>3.0295339999999999</v>
      </c>
      <c r="K194" s="301">
        <v>0.57449899999999998</v>
      </c>
      <c r="L194" s="301">
        <v>1.4778459999999995</v>
      </c>
      <c r="M194" s="301">
        <v>5.0818789999999998</v>
      </c>
      <c r="N194" s="288"/>
      <c r="O194" s="282"/>
      <c r="P194" s="282"/>
      <c r="Q194" s="282"/>
      <c r="R194" s="282"/>
      <c r="S194" s="282"/>
      <c r="T194" s="282"/>
      <c r="U194" s="282"/>
      <c r="V194" s="282"/>
      <c r="W194" s="282"/>
      <c r="X194" s="282"/>
      <c r="Y194" s="282"/>
      <c r="Z194" s="282"/>
      <c r="AA194" s="282"/>
    </row>
    <row r="195" spans="1:27" ht="12.75" hidden="1" customHeight="1">
      <c r="A195" s="289" t="s">
        <v>16</v>
      </c>
      <c r="B195" s="301">
        <v>0</v>
      </c>
      <c r="C195" s="301">
        <v>0.11579</v>
      </c>
      <c r="D195" s="301">
        <v>7.0000000000000007E-2</v>
      </c>
      <c r="E195" s="301">
        <v>2.4315999999999997E-2</v>
      </c>
      <c r="F195" s="301">
        <v>0.28614999999999996</v>
      </c>
      <c r="G195" s="301">
        <v>0.1002</v>
      </c>
      <c r="H195" s="301">
        <v>2.8000000000000001E-2</v>
      </c>
      <c r="I195" s="301">
        <v>1.2507470000000001</v>
      </c>
      <c r="J195" s="301">
        <v>1.875203</v>
      </c>
      <c r="K195" s="301">
        <v>0.534215</v>
      </c>
      <c r="L195" s="301">
        <v>1.2144879999999998</v>
      </c>
      <c r="M195" s="301">
        <v>3.6239059999999998</v>
      </c>
      <c r="N195" s="288"/>
      <c r="O195" s="282"/>
      <c r="P195" s="282"/>
      <c r="Q195" s="282"/>
      <c r="R195" s="282"/>
      <c r="S195" s="282"/>
      <c r="T195" s="282"/>
      <c r="U195" s="282"/>
      <c r="V195" s="282"/>
      <c r="W195" s="282"/>
      <c r="X195" s="282"/>
      <c r="Y195" s="282"/>
      <c r="Z195" s="282"/>
      <c r="AA195" s="282"/>
    </row>
    <row r="196" spans="1:27" ht="12.75" hidden="1" customHeight="1">
      <c r="A196" s="289"/>
      <c r="B196" s="301"/>
      <c r="C196" s="301"/>
      <c r="D196" s="301"/>
      <c r="E196" s="301"/>
      <c r="F196" s="301"/>
      <c r="G196" s="301"/>
      <c r="H196" s="301"/>
      <c r="I196" s="301"/>
      <c r="J196" s="301"/>
      <c r="K196" s="301"/>
      <c r="L196" s="301"/>
      <c r="M196" s="301"/>
      <c r="N196" s="288"/>
      <c r="O196" s="282"/>
      <c r="P196" s="282"/>
      <c r="Q196" s="282"/>
      <c r="R196" s="282"/>
      <c r="S196" s="282"/>
      <c r="T196" s="282"/>
      <c r="U196" s="282"/>
      <c r="V196" s="282"/>
      <c r="W196" s="282"/>
      <c r="X196" s="282"/>
      <c r="Y196" s="282"/>
      <c r="Z196" s="282"/>
      <c r="AA196" s="282"/>
    </row>
    <row r="197" spans="1:27" ht="16.899999999999999" hidden="1" customHeight="1">
      <c r="A197" s="297" t="s">
        <v>710</v>
      </c>
      <c r="B197" s="301"/>
      <c r="C197" s="301"/>
      <c r="D197" s="301"/>
      <c r="E197" s="301"/>
      <c r="F197" s="301"/>
      <c r="G197" s="301"/>
      <c r="H197" s="301"/>
      <c r="I197" s="301"/>
      <c r="J197" s="301"/>
      <c r="K197" s="301"/>
      <c r="L197" s="301"/>
      <c r="M197" s="301"/>
      <c r="N197" s="288"/>
      <c r="O197" s="282"/>
      <c r="P197" s="282"/>
      <c r="Q197" s="282"/>
      <c r="R197" s="282"/>
      <c r="S197" s="282"/>
      <c r="T197" s="282"/>
      <c r="U197" s="282"/>
      <c r="V197" s="282"/>
      <c r="W197" s="282"/>
      <c r="X197" s="282"/>
      <c r="Y197" s="282"/>
      <c r="Z197" s="282"/>
      <c r="AA197" s="282"/>
    </row>
    <row r="198" spans="1:27" ht="16.899999999999999" hidden="1" customHeight="1">
      <c r="A198" s="289"/>
      <c r="B198" s="301"/>
      <c r="C198" s="301"/>
      <c r="D198" s="301"/>
      <c r="E198" s="301"/>
      <c r="F198" s="301"/>
      <c r="G198" s="301"/>
      <c r="H198" s="301"/>
      <c r="I198" s="301"/>
      <c r="J198" s="301"/>
      <c r="K198" s="301"/>
      <c r="L198" s="301"/>
      <c r="M198" s="301"/>
      <c r="N198" s="288"/>
      <c r="O198" s="282"/>
      <c r="P198" s="282"/>
      <c r="Q198" s="282"/>
      <c r="R198" s="282"/>
      <c r="S198" s="282"/>
      <c r="T198" s="282"/>
      <c r="U198" s="282"/>
      <c r="V198" s="282"/>
      <c r="W198" s="282"/>
      <c r="X198" s="282"/>
      <c r="Y198" s="282"/>
      <c r="Z198" s="282"/>
      <c r="AA198" s="282"/>
    </row>
    <row r="199" spans="1:27" ht="16.899999999999999" hidden="1" customHeight="1">
      <c r="A199" s="289" t="s">
        <v>8</v>
      </c>
      <c r="B199" s="301">
        <v>7.0699999999999999E-2</v>
      </c>
      <c r="C199" s="301">
        <v>0.76619999999999999</v>
      </c>
      <c r="D199" s="301">
        <v>0.39339999999999997</v>
      </c>
      <c r="E199" s="301">
        <v>0.2051</v>
      </c>
      <c r="F199" s="301">
        <v>0.68400000000000005</v>
      </c>
      <c r="G199" s="301">
        <v>5.2600000000000001E-2</v>
      </c>
      <c r="H199" s="301">
        <v>0.14000000000000001</v>
      </c>
      <c r="I199" s="301">
        <v>1.7085999999999999</v>
      </c>
      <c r="J199" s="301">
        <v>4.0205000000000002</v>
      </c>
      <c r="K199" s="301">
        <v>0.66179999999999994</v>
      </c>
      <c r="L199" s="301">
        <v>2.0200999999999998</v>
      </c>
      <c r="M199" s="301">
        <v>6.7023999999999999</v>
      </c>
      <c r="N199" s="288"/>
      <c r="O199" s="282"/>
      <c r="P199" s="282"/>
      <c r="Q199" s="282"/>
      <c r="R199" s="282"/>
      <c r="S199" s="282"/>
      <c r="T199" s="282"/>
      <c r="U199" s="282"/>
      <c r="V199" s="282"/>
      <c r="W199" s="282"/>
      <c r="X199" s="282"/>
      <c r="Y199" s="282"/>
      <c r="Z199" s="282"/>
      <c r="AA199" s="282"/>
    </row>
    <row r="200" spans="1:27" ht="16.899999999999999" hidden="1" customHeight="1">
      <c r="A200" s="289" t="s">
        <v>9</v>
      </c>
      <c r="B200" s="301">
        <v>4.4999999999999998E-2</v>
      </c>
      <c r="C200" s="301">
        <v>0.15930000000000002</v>
      </c>
      <c r="D200" s="301">
        <v>0.1741</v>
      </c>
      <c r="E200" s="301">
        <v>1.1900000000000001E-2</v>
      </c>
      <c r="F200" s="301">
        <v>0.46379999999999999</v>
      </c>
      <c r="G200" s="301">
        <v>5.1400000000000001E-2</v>
      </c>
      <c r="H200" s="301">
        <v>0.14000000000000001</v>
      </c>
      <c r="I200" s="301">
        <v>1.7425999999999999</v>
      </c>
      <c r="J200" s="301">
        <v>2.7881</v>
      </c>
      <c r="K200" s="301">
        <v>0.68589999999999995</v>
      </c>
      <c r="L200" s="301">
        <v>1.8174999999999999</v>
      </c>
      <c r="M200" s="301">
        <v>5.2915000000000001</v>
      </c>
      <c r="N200" s="288"/>
      <c r="O200" s="282"/>
      <c r="P200" s="282"/>
      <c r="Q200" s="282"/>
      <c r="R200" s="282"/>
      <c r="S200" s="282"/>
      <c r="T200" s="282"/>
      <c r="U200" s="282"/>
      <c r="V200" s="282"/>
      <c r="W200" s="282"/>
      <c r="X200" s="282"/>
      <c r="Y200" s="282"/>
      <c r="Z200" s="282"/>
      <c r="AA200" s="282"/>
    </row>
    <row r="201" spans="1:27" ht="16.899999999999999" hidden="1" customHeight="1">
      <c r="A201" s="289" t="s">
        <v>10</v>
      </c>
      <c r="B201" s="301">
        <v>9.2999999999999999E-2</v>
      </c>
      <c r="C201" s="301">
        <v>0.23860000000000001</v>
      </c>
      <c r="D201" s="301">
        <v>4.3E-3</v>
      </c>
      <c r="E201" s="301">
        <v>2.41E-2</v>
      </c>
      <c r="F201" s="301">
        <v>0.35149999999999998</v>
      </c>
      <c r="G201" s="301">
        <v>0.08</v>
      </c>
      <c r="H201" s="301">
        <v>0.14000000000000001</v>
      </c>
      <c r="I201" s="301">
        <v>1.7690999999999999</v>
      </c>
      <c r="J201" s="301">
        <v>2.7004999999999999</v>
      </c>
      <c r="K201" s="301">
        <v>0.79589999999999994</v>
      </c>
      <c r="L201" s="301">
        <v>1.3932</v>
      </c>
      <c r="M201" s="301">
        <v>4.8896000000000006</v>
      </c>
      <c r="N201" s="288"/>
      <c r="O201" s="282"/>
      <c r="P201" s="282"/>
      <c r="Q201" s="282"/>
      <c r="R201" s="282"/>
      <c r="S201" s="282"/>
      <c r="T201" s="282"/>
      <c r="U201" s="282"/>
      <c r="V201" s="282"/>
      <c r="W201" s="282"/>
      <c r="X201" s="282"/>
      <c r="Y201" s="282"/>
      <c r="Z201" s="282"/>
      <c r="AA201" s="282"/>
    </row>
    <row r="202" spans="1:27" ht="16.899999999999999" hidden="1" customHeight="1">
      <c r="A202" s="289" t="s">
        <v>11</v>
      </c>
      <c r="B202" s="301">
        <v>0.39950000000000002</v>
      </c>
      <c r="C202" s="301">
        <v>0.28910000000000002</v>
      </c>
      <c r="D202" s="301">
        <v>0</v>
      </c>
      <c r="E202" s="301">
        <v>7.46E-2</v>
      </c>
      <c r="F202" s="301">
        <v>0.58120000000000005</v>
      </c>
      <c r="G202" s="301">
        <v>7.6100000000000001E-2</v>
      </c>
      <c r="H202" s="301">
        <v>0.14000000000000001</v>
      </c>
      <c r="I202" s="301">
        <v>1.9801</v>
      </c>
      <c r="J202" s="301">
        <v>3.5406</v>
      </c>
      <c r="K202" s="301">
        <v>0.87450000000000006</v>
      </c>
      <c r="L202" s="301">
        <v>1.7515999999999998</v>
      </c>
      <c r="M202" s="301">
        <v>6.1668000000000003</v>
      </c>
      <c r="N202" s="288"/>
      <c r="O202" s="282"/>
      <c r="P202" s="282"/>
      <c r="Q202" s="282"/>
      <c r="R202" s="282"/>
      <c r="S202" s="282"/>
      <c r="T202" s="282"/>
      <c r="U202" s="282"/>
      <c r="V202" s="282"/>
      <c r="W202" s="282"/>
      <c r="X202" s="282"/>
      <c r="Y202" s="282"/>
      <c r="Z202" s="282"/>
      <c r="AA202" s="282"/>
    </row>
    <row r="203" spans="1:27" ht="16.899999999999999" hidden="1" customHeight="1">
      <c r="A203" s="289" t="s">
        <v>337</v>
      </c>
      <c r="B203" s="301">
        <v>0.30099999999999999</v>
      </c>
      <c r="C203" s="301">
        <v>0.33310000000000001</v>
      </c>
      <c r="D203" s="301">
        <v>0.1613</v>
      </c>
      <c r="E203" s="301">
        <v>0.12079999999999999</v>
      </c>
      <c r="F203" s="301">
        <v>0.31489999999999996</v>
      </c>
      <c r="G203" s="301">
        <v>0.10299999999999999</v>
      </c>
      <c r="H203" s="301">
        <v>0.14000000000000001</v>
      </c>
      <c r="I203" s="301">
        <v>1.6384000000000001</v>
      </c>
      <c r="J203" s="301">
        <v>3.1124000000000001</v>
      </c>
      <c r="K203" s="301">
        <v>0.86050000000000004</v>
      </c>
      <c r="L203" s="301">
        <v>1.9299000000000002</v>
      </c>
      <c r="M203" s="301">
        <v>5.9028999999999998</v>
      </c>
      <c r="N203" s="288"/>
      <c r="O203" s="282"/>
      <c r="P203" s="282"/>
      <c r="Q203" s="282"/>
      <c r="R203" s="282"/>
      <c r="S203" s="282"/>
      <c r="T203" s="282"/>
      <c r="U203" s="282"/>
      <c r="V203" s="282"/>
      <c r="W203" s="282"/>
      <c r="X203" s="282"/>
      <c r="Y203" s="282"/>
      <c r="Z203" s="282"/>
      <c r="AA203" s="282"/>
    </row>
    <row r="204" spans="1:27" ht="16.899999999999999" hidden="1" customHeight="1">
      <c r="A204" s="289" t="s">
        <v>346</v>
      </c>
      <c r="B204" s="301">
        <v>0.43610000000000004</v>
      </c>
      <c r="C204" s="301">
        <v>0.57250000000000001</v>
      </c>
      <c r="D204" s="301">
        <v>6.3399999999999998E-2</v>
      </c>
      <c r="E204" s="301">
        <v>2.75E-2</v>
      </c>
      <c r="F204" s="301">
        <v>0.2555</v>
      </c>
      <c r="G204" s="301">
        <v>0.04</v>
      </c>
      <c r="H204" s="301">
        <v>0.14000000000000001</v>
      </c>
      <c r="I204" s="301">
        <v>2.1107</v>
      </c>
      <c r="J204" s="301">
        <v>3.6456</v>
      </c>
      <c r="K204" s="301">
        <v>0.8852000000000001</v>
      </c>
      <c r="L204" s="301">
        <v>1.2938000000000001</v>
      </c>
      <c r="M204" s="301">
        <v>5.8246000000000002</v>
      </c>
      <c r="N204" s="288"/>
      <c r="O204" s="282"/>
      <c r="P204" s="282"/>
      <c r="Q204" s="282"/>
      <c r="R204" s="282"/>
      <c r="S204" s="282"/>
      <c r="T204" s="282"/>
      <c r="U204" s="282"/>
      <c r="V204" s="282"/>
      <c r="W204" s="282"/>
      <c r="X204" s="282"/>
      <c r="Y204" s="282"/>
      <c r="Z204" s="282"/>
      <c r="AA204" s="282"/>
    </row>
    <row r="205" spans="1:27" ht="16.899999999999999" hidden="1" customHeight="1">
      <c r="A205" s="289" t="s">
        <v>347</v>
      </c>
      <c r="B205" s="301">
        <v>1.1227</v>
      </c>
      <c r="C205" s="301">
        <v>0.43060000000000004</v>
      </c>
      <c r="D205" s="301">
        <v>0.1391</v>
      </c>
      <c r="E205" s="301">
        <v>9.8500000000000004E-2</v>
      </c>
      <c r="F205" s="301">
        <v>0.97870000000000001</v>
      </c>
      <c r="G205" s="301">
        <v>9.9000000000000005E-2</v>
      </c>
      <c r="H205" s="301">
        <v>0.14000000000000001</v>
      </c>
      <c r="I205" s="301">
        <v>2.3849</v>
      </c>
      <c r="J205" s="301">
        <v>5.3936000000000002</v>
      </c>
      <c r="K205" s="301">
        <v>0.95189999999999997</v>
      </c>
      <c r="L205" s="301">
        <v>1.6755</v>
      </c>
      <c r="M205" s="301">
        <v>8.0208999999999993</v>
      </c>
      <c r="N205" s="288"/>
      <c r="O205" s="282"/>
      <c r="P205" s="282"/>
      <c r="Q205" s="282"/>
      <c r="R205" s="282"/>
      <c r="S205" s="282"/>
      <c r="T205" s="282"/>
      <c r="U205" s="282"/>
      <c r="V205" s="282"/>
      <c r="W205" s="282"/>
      <c r="X205" s="282"/>
      <c r="Y205" s="282"/>
      <c r="Z205" s="282"/>
      <c r="AA205" s="282"/>
    </row>
    <row r="206" spans="1:27" ht="16.899999999999999" hidden="1" customHeight="1">
      <c r="A206" s="289" t="s">
        <v>12</v>
      </c>
      <c r="B206" s="301">
        <v>0.50549999999999995</v>
      </c>
      <c r="C206" s="301">
        <v>0.27550000000000002</v>
      </c>
      <c r="D206" s="301">
        <v>6.5299999999999997E-2</v>
      </c>
      <c r="E206" s="301">
        <v>4.7700000000000006E-2</v>
      </c>
      <c r="F206" s="301">
        <v>0.63790000000000002</v>
      </c>
      <c r="G206" s="301">
        <v>0.11890000000000001</v>
      </c>
      <c r="H206" s="301">
        <v>0.14000000000000001</v>
      </c>
      <c r="I206" s="301">
        <v>1.9439000000000002</v>
      </c>
      <c r="J206" s="301">
        <v>3.7345999999999999</v>
      </c>
      <c r="K206" s="301">
        <v>1.0135000000000001</v>
      </c>
      <c r="L206" s="301">
        <v>1.6294000000000002</v>
      </c>
      <c r="M206" s="301">
        <v>6.3776000000000002</v>
      </c>
      <c r="N206" s="288"/>
      <c r="O206" s="282"/>
      <c r="P206" s="282"/>
      <c r="Q206" s="282"/>
      <c r="R206" s="282"/>
      <c r="S206" s="282"/>
      <c r="T206" s="282"/>
      <c r="U206" s="282"/>
      <c r="V206" s="282"/>
      <c r="W206" s="282"/>
      <c r="X206" s="282"/>
      <c r="Y206" s="282"/>
      <c r="Z206" s="282"/>
      <c r="AA206" s="282"/>
    </row>
    <row r="207" spans="1:27" ht="16.899999999999999" hidden="1" customHeight="1">
      <c r="A207" s="289" t="s">
        <v>13</v>
      </c>
      <c r="B207" s="301">
        <v>0.37380000000000002</v>
      </c>
      <c r="C207" s="301">
        <v>0.30930000000000002</v>
      </c>
      <c r="D207" s="301">
        <v>1.26E-2</v>
      </c>
      <c r="E207" s="301">
        <v>1.8600000000000002E-2</v>
      </c>
      <c r="F207" s="301">
        <v>0.63970000000000005</v>
      </c>
      <c r="G207" s="301">
        <v>0.14809999999999998</v>
      </c>
      <c r="H207" s="301">
        <v>0.14000000000000001</v>
      </c>
      <c r="I207" s="301">
        <v>1.9036</v>
      </c>
      <c r="J207" s="301">
        <v>3.5456999999999996</v>
      </c>
      <c r="K207" s="301">
        <v>1.1502000000000001</v>
      </c>
      <c r="L207" s="301">
        <v>1.6005</v>
      </c>
      <c r="M207" s="301">
        <v>6.2963999999999993</v>
      </c>
      <c r="N207" s="288"/>
      <c r="O207" s="282"/>
      <c r="P207" s="282"/>
      <c r="Q207" s="282"/>
      <c r="R207" s="282"/>
      <c r="S207" s="282"/>
      <c r="T207" s="282"/>
      <c r="U207" s="282"/>
      <c r="V207" s="282"/>
      <c r="W207" s="282"/>
      <c r="X207" s="282"/>
      <c r="Y207" s="282"/>
      <c r="Z207" s="282"/>
      <c r="AA207" s="282"/>
    </row>
    <row r="208" spans="1:27" ht="16.899999999999999" hidden="1" customHeight="1">
      <c r="A208" s="289" t="s">
        <v>14</v>
      </c>
      <c r="B208" s="301">
        <v>1.7235</v>
      </c>
      <c r="C208" s="301">
        <v>0.48039999999999999</v>
      </c>
      <c r="D208" s="301">
        <v>5.9400000000000001E-2</v>
      </c>
      <c r="E208" s="301">
        <v>6.59E-2</v>
      </c>
      <c r="F208" s="301">
        <v>1.0677000000000001</v>
      </c>
      <c r="G208" s="301">
        <v>0.24890000000000001</v>
      </c>
      <c r="H208" s="301">
        <v>0.14000000000000001</v>
      </c>
      <c r="I208" s="301">
        <v>3.0921999999999996</v>
      </c>
      <c r="J208" s="301">
        <v>6.8780000000000001</v>
      </c>
      <c r="K208" s="301">
        <v>1.2869000000000002</v>
      </c>
      <c r="L208" s="301">
        <v>2.4528000000000003</v>
      </c>
      <c r="M208" s="301">
        <v>10.617599999999999</v>
      </c>
      <c r="N208" s="288"/>
      <c r="O208" s="282"/>
      <c r="P208" s="282"/>
      <c r="Q208" s="282"/>
      <c r="R208" s="282"/>
      <c r="S208" s="282"/>
      <c r="T208" s="282"/>
      <c r="U208" s="282"/>
      <c r="V208" s="282"/>
      <c r="W208" s="282"/>
      <c r="X208" s="282"/>
      <c r="Y208" s="282"/>
      <c r="Z208" s="282"/>
      <c r="AA208" s="282"/>
    </row>
    <row r="209" spans="1:27" ht="16.899999999999999" hidden="1" customHeight="1">
      <c r="A209" s="289" t="s">
        <v>15</v>
      </c>
      <c r="B209" s="301">
        <v>1.1382000000000001</v>
      </c>
      <c r="C209" s="301">
        <v>0.44800000000000001</v>
      </c>
      <c r="D209" s="301">
        <v>7.0999999999999995E-3</v>
      </c>
      <c r="E209" s="301">
        <v>4.5600000000000002E-2</v>
      </c>
      <c r="F209" s="301">
        <v>0.91900000000000004</v>
      </c>
      <c r="G209" s="301">
        <v>0.27660000000000001</v>
      </c>
      <c r="H209" s="301">
        <v>0.15819999999999998</v>
      </c>
      <c r="I209" s="301">
        <v>2.7240000000000002</v>
      </c>
      <c r="J209" s="301">
        <v>5.7166999999999994</v>
      </c>
      <c r="K209" s="301">
        <v>1.3842999999999999</v>
      </c>
      <c r="L209" s="301">
        <v>3.3815</v>
      </c>
      <c r="M209" s="301">
        <v>10.4824</v>
      </c>
      <c r="N209" s="288"/>
      <c r="O209" s="282"/>
      <c r="P209" s="282"/>
      <c r="Q209" s="282"/>
      <c r="R209" s="282"/>
      <c r="S209" s="282"/>
      <c r="T209" s="282"/>
      <c r="U209" s="282"/>
      <c r="V209" s="282"/>
      <c r="W209" s="282"/>
      <c r="X209" s="282"/>
      <c r="Y209" s="282"/>
      <c r="Z209" s="282"/>
      <c r="AA209" s="282"/>
    </row>
    <row r="210" spans="1:27" ht="16.899999999999999" hidden="1" customHeight="1">
      <c r="A210" s="289" t="s">
        <v>16</v>
      </c>
      <c r="B210" s="301">
        <v>0.74320000000000008</v>
      </c>
      <c r="C210" s="301">
        <v>0.77889999999999993</v>
      </c>
      <c r="D210" s="301">
        <v>2.01E-2</v>
      </c>
      <c r="E210" s="301">
        <v>0.16819999999999999</v>
      </c>
      <c r="F210" s="301">
        <v>0.78670000000000007</v>
      </c>
      <c r="G210" s="301">
        <v>0.1014</v>
      </c>
      <c r="H210" s="301">
        <v>0.15819999999999998</v>
      </c>
      <c r="I210" s="301">
        <v>3.0310000000000001</v>
      </c>
      <c r="J210" s="301">
        <v>5.7877000000000001</v>
      </c>
      <c r="K210" s="301">
        <v>1.4068000000000001</v>
      </c>
      <c r="L210" s="301">
        <v>5.5415000000000001</v>
      </c>
      <c r="M210" s="301">
        <v>12.736000000000001</v>
      </c>
      <c r="N210" s="288"/>
      <c r="O210" s="282"/>
      <c r="P210" s="282"/>
      <c r="Q210" s="282"/>
      <c r="R210" s="282"/>
      <c r="S210" s="282"/>
      <c r="T210" s="282"/>
      <c r="U210" s="282"/>
      <c r="V210" s="282"/>
      <c r="W210" s="282"/>
      <c r="X210" s="282"/>
      <c r="Y210" s="282"/>
      <c r="Z210" s="282"/>
      <c r="AA210" s="282"/>
    </row>
    <row r="211" spans="1:27" ht="16.899999999999999" hidden="1" customHeight="1">
      <c r="A211" s="289"/>
      <c r="B211" s="301"/>
      <c r="C211" s="301"/>
      <c r="D211" s="301"/>
      <c r="E211" s="301"/>
      <c r="F211" s="301"/>
      <c r="G211" s="301"/>
      <c r="H211" s="301"/>
      <c r="I211" s="301"/>
      <c r="J211" s="301"/>
      <c r="K211" s="301"/>
      <c r="L211" s="301"/>
      <c r="M211" s="301"/>
      <c r="N211" s="288"/>
      <c r="O211" s="282"/>
      <c r="P211" s="282"/>
      <c r="Q211" s="282"/>
      <c r="R211" s="282"/>
      <c r="S211" s="282"/>
      <c r="T211" s="282"/>
      <c r="U211" s="282"/>
      <c r="V211" s="282"/>
      <c r="W211" s="282"/>
      <c r="X211" s="282"/>
      <c r="Y211" s="282"/>
      <c r="Z211" s="282"/>
      <c r="AA211" s="282"/>
    </row>
    <row r="212" spans="1:27" ht="16.899999999999999" hidden="1" customHeight="1">
      <c r="A212" s="297" t="s">
        <v>40</v>
      </c>
      <c r="B212" s="301"/>
      <c r="C212" s="301"/>
      <c r="D212" s="301"/>
      <c r="E212" s="301"/>
      <c r="F212" s="301"/>
      <c r="G212" s="301"/>
      <c r="H212" s="301"/>
      <c r="I212" s="301"/>
      <c r="J212" s="301"/>
      <c r="K212" s="301"/>
      <c r="L212" s="301"/>
      <c r="M212" s="301"/>
      <c r="N212" s="288"/>
      <c r="O212" s="282"/>
      <c r="P212" s="282"/>
      <c r="Q212" s="282"/>
      <c r="R212" s="282"/>
      <c r="S212" s="282"/>
      <c r="T212" s="282"/>
      <c r="U212" s="282"/>
      <c r="V212" s="282"/>
      <c r="W212" s="282"/>
      <c r="X212" s="282"/>
      <c r="Y212" s="282"/>
      <c r="Z212" s="282"/>
      <c r="AA212" s="282"/>
    </row>
    <row r="213" spans="1:27" ht="16.899999999999999" hidden="1" customHeight="1">
      <c r="A213" s="289"/>
      <c r="B213" s="301"/>
      <c r="C213" s="301"/>
      <c r="D213" s="301"/>
      <c r="E213" s="301"/>
      <c r="F213" s="301"/>
      <c r="G213" s="301"/>
      <c r="H213" s="301"/>
      <c r="I213" s="301"/>
      <c r="J213" s="301"/>
      <c r="K213" s="301"/>
      <c r="L213" s="301"/>
      <c r="M213" s="301"/>
      <c r="N213" s="288"/>
      <c r="O213" s="282"/>
      <c r="P213" s="282"/>
      <c r="Q213" s="282"/>
      <c r="R213" s="282"/>
      <c r="S213" s="282"/>
      <c r="T213" s="282"/>
      <c r="U213" s="282"/>
      <c r="V213" s="282"/>
      <c r="W213" s="282"/>
      <c r="X213" s="282"/>
      <c r="Y213" s="282"/>
      <c r="Z213" s="282"/>
      <c r="AA213" s="282"/>
    </row>
    <row r="214" spans="1:27" ht="16.899999999999999" hidden="1" customHeight="1">
      <c r="A214" s="289" t="s">
        <v>8</v>
      </c>
      <c r="B214" s="301">
        <v>1.0116000000000001</v>
      </c>
      <c r="C214" s="301">
        <v>0.21930000000000002</v>
      </c>
      <c r="D214" s="301">
        <v>0.1012</v>
      </c>
      <c r="E214" s="301">
        <v>0.22740000000000002</v>
      </c>
      <c r="F214" s="301">
        <v>2.4001000000000001</v>
      </c>
      <c r="G214" s="301">
        <v>0.1066</v>
      </c>
      <c r="H214" s="301">
        <v>0.15819999999999998</v>
      </c>
      <c r="I214" s="301">
        <v>5.3878000000000004</v>
      </c>
      <c r="J214" s="301">
        <f t="shared" ref="J214:J225" si="12">(SUM(B214:I214))/1000</f>
        <v>9.6122000000000013E-3</v>
      </c>
      <c r="K214" s="301">
        <v>2.2370000000000001</v>
      </c>
      <c r="L214" s="301">
        <v>6.8731</v>
      </c>
      <c r="M214" s="301">
        <f t="shared" ref="M214:M225" si="13">(SUM(J214:L214))/1000</f>
        <v>9.1197122000000012E-3</v>
      </c>
      <c r="N214" s="288"/>
      <c r="O214" s="282"/>
      <c r="P214" s="282"/>
      <c r="Q214" s="282"/>
      <c r="R214" s="282"/>
      <c r="S214" s="282"/>
      <c r="T214" s="282"/>
      <c r="U214" s="282"/>
      <c r="V214" s="282"/>
      <c r="W214" s="282"/>
      <c r="X214" s="282"/>
      <c r="Y214" s="282"/>
      <c r="Z214" s="282"/>
      <c r="AA214" s="282"/>
    </row>
    <row r="215" spans="1:27" ht="16.899999999999999" hidden="1" customHeight="1">
      <c r="A215" s="289" t="s">
        <v>9</v>
      </c>
      <c r="B215" s="301">
        <v>0.29649999999999999</v>
      </c>
      <c r="C215" s="301">
        <v>3.3E-3</v>
      </c>
      <c r="D215" s="301">
        <v>0</v>
      </c>
      <c r="E215" s="301">
        <v>0.12720000000000001</v>
      </c>
      <c r="F215" s="301">
        <v>0.86829999999999996</v>
      </c>
      <c r="G215" s="301">
        <v>2.35E-2</v>
      </c>
      <c r="H215" s="301">
        <v>0.15819999999999998</v>
      </c>
      <c r="I215" s="301">
        <v>4.6630000000000003</v>
      </c>
      <c r="J215" s="301">
        <f t="shared" si="12"/>
        <v>6.1400000000000005E-3</v>
      </c>
      <c r="K215" s="301">
        <v>2.3799000000000001</v>
      </c>
      <c r="L215" s="301">
        <v>7.2706</v>
      </c>
      <c r="M215" s="301">
        <f t="shared" si="13"/>
        <v>9.6566399999999993E-3</v>
      </c>
      <c r="N215" s="288"/>
      <c r="O215" s="282"/>
      <c r="P215" s="282"/>
      <c r="Q215" s="282"/>
      <c r="R215" s="282"/>
      <c r="S215" s="282"/>
      <c r="T215" s="282"/>
      <c r="U215" s="282"/>
      <c r="V215" s="282"/>
      <c r="W215" s="282"/>
      <c r="X215" s="282"/>
      <c r="Y215" s="282"/>
      <c r="Z215" s="282"/>
      <c r="AA215" s="282"/>
    </row>
    <row r="216" spans="1:27" ht="16.899999999999999" hidden="1" customHeight="1">
      <c r="A216" s="289" t="s">
        <v>10</v>
      </c>
      <c r="B216" s="301">
        <v>0.71450000000000002</v>
      </c>
      <c r="C216" s="301">
        <v>0.1714</v>
      </c>
      <c r="D216" s="301">
        <v>0.1</v>
      </c>
      <c r="E216" s="301">
        <v>4.5899999999999996E-2</v>
      </c>
      <c r="F216" s="301">
        <v>0.99170000000000003</v>
      </c>
      <c r="G216" s="301">
        <v>8.5599999999999996E-2</v>
      </c>
      <c r="H216" s="301">
        <v>0.13019999999999998</v>
      </c>
      <c r="I216" s="301">
        <v>4.9291</v>
      </c>
      <c r="J216" s="301">
        <f t="shared" si="12"/>
        <v>7.1684000000000001E-3</v>
      </c>
      <c r="K216" s="301">
        <v>2.8426</v>
      </c>
      <c r="L216" s="301">
        <v>7.6368</v>
      </c>
      <c r="M216" s="301">
        <f t="shared" si="13"/>
        <v>1.04865684E-2</v>
      </c>
      <c r="N216" s="288"/>
      <c r="O216" s="282"/>
      <c r="P216" s="282"/>
      <c r="Q216" s="282"/>
      <c r="R216" s="282"/>
      <c r="S216" s="282"/>
      <c r="T216" s="282"/>
      <c r="U216" s="282"/>
      <c r="V216" s="282"/>
      <c r="W216" s="282"/>
      <c r="X216" s="282"/>
      <c r="Y216" s="282"/>
      <c r="Z216" s="282"/>
      <c r="AA216" s="282"/>
    </row>
    <row r="217" spans="1:27" ht="16.899999999999999" hidden="1" customHeight="1">
      <c r="A217" s="289" t="s">
        <v>11</v>
      </c>
      <c r="B217" s="301">
        <v>0.48169999999999996</v>
      </c>
      <c r="C217" s="301">
        <v>3.3999999999999998E-3</v>
      </c>
      <c r="D217" s="301">
        <v>7.3499999999999996E-2</v>
      </c>
      <c r="E217" s="301">
        <v>0.45679999999999998</v>
      </c>
      <c r="F217" s="301">
        <v>0.43369999999999997</v>
      </c>
      <c r="G217" s="301">
        <v>8.8599999999999998E-2</v>
      </c>
      <c r="H217" s="301">
        <v>0.13019999999999998</v>
      </c>
      <c r="I217" s="301">
        <v>5.0762</v>
      </c>
      <c r="J217" s="301">
        <f t="shared" si="12"/>
        <v>6.7440999999999994E-3</v>
      </c>
      <c r="K217" s="301">
        <v>3.1218000000000004</v>
      </c>
      <c r="L217" s="301">
        <v>9.0767999999999986</v>
      </c>
      <c r="M217" s="301">
        <f t="shared" si="13"/>
        <v>1.22053441E-2</v>
      </c>
      <c r="N217" s="288"/>
      <c r="O217" s="282"/>
      <c r="P217" s="282"/>
      <c r="Q217" s="282"/>
      <c r="R217" s="282"/>
      <c r="S217" s="282"/>
      <c r="T217" s="282"/>
      <c r="U217" s="282"/>
      <c r="V217" s="282"/>
      <c r="W217" s="282"/>
      <c r="X217" s="282"/>
      <c r="Y217" s="282"/>
      <c r="Z217" s="282"/>
      <c r="AA217" s="282"/>
    </row>
    <row r="218" spans="1:27" ht="16.899999999999999" hidden="1" customHeight="1">
      <c r="A218" s="289" t="s">
        <v>337</v>
      </c>
      <c r="B218" s="301">
        <v>1.8360000000000001</v>
      </c>
      <c r="C218" s="301">
        <v>0.1817</v>
      </c>
      <c r="D218" s="301">
        <v>4.7000000000000002E-3</v>
      </c>
      <c r="E218" s="301">
        <v>0.8197000000000001</v>
      </c>
      <c r="F218" s="301">
        <v>0.4708</v>
      </c>
      <c r="G218" s="301">
        <v>4.53E-2</v>
      </c>
      <c r="H218" s="301">
        <v>0.13019999999999998</v>
      </c>
      <c r="I218" s="301">
        <v>3.8289</v>
      </c>
      <c r="J218" s="301">
        <f t="shared" si="12"/>
        <v>7.3173000000000005E-3</v>
      </c>
      <c r="K218" s="301">
        <v>3.4714999999999998</v>
      </c>
      <c r="L218" s="301">
        <v>17.02</v>
      </c>
      <c r="M218" s="301">
        <f t="shared" si="13"/>
        <v>2.04988173E-2</v>
      </c>
      <c r="N218" s="288"/>
      <c r="O218" s="282"/>
      <c r="P218" s="282"/>
      <c r="Q218" s="282"/>
      <c r="R218" s="282"/>
      <c r="S218" s="282"/>
      <c r="T218" s="282"/>
      <c r="U218" s="282"/>
      <c r="V218" s="282"/>
      <c r="W218" s="282"/>
      <c r="X218" s="282"/>
      <c r="Y218" s="282"/>
      <c r="Z218" s="282"/>
      <c r="AA218" s="282"/>
    </row>
    <row r="219" spans="1:27" ht="16.899999999999999" hidden="1" customHeight="1">
      <c r="A219" s="289" t="s">
        <v>346</v>
      </c>
      <c r="B219" s="301">
        <v>1.3535999999999999</v>
      </c>
      <c r="C219" s="301">
        <v>0.17749999999999999</v>
      </c>
      <c r="D219" s="301">
        <v>0.8</v>
      </c>
      <c r="E219" s="301">
        <v>0.92789999999999995</v>
      </c>
      <c r="F219" s="301">
        <v>0.79120000000000001</v>
      </c>
      <c r="G219" s="301">
        <v>0.19650000000000001</v>
      </c>
      <c r="H219" s="301">
        <v>0.13019999999999998</v>
      </c>
      <c r="I219" s="301">
        <v>3.8971999999999998</v>
      </c>
      <c r="J219" s="301">
        <f t="shared" si="12"/>
        <v>8.2741000000000012E-3</v>
      </c>
      <c r="K219" s="301">
        <v>3.6499000000000001</v>
      </c>
      <c r="L219" s="301">
        <v>12.603200000000001</v>
      </c>
      <c r="M219" s="301">
        <f t="shared" si="13"/>
        <v>1.62613741E-2</v>
      </c>
      <c r="N219" s="288"/>
      <c r="O219" s="282"/>
      <c r="P219" s="282"/>
      <c r="Q219" s="282"/>
      <c r="R219" s="282"/>
      <c r="S219" s="282"/>
      <c r="T219" s="282"/>
      <c r="U219" s="282"/>
      <c r="V219" s="282"/>
      <c r="W219" s="282"/>
      <c r="X219" s="282"/>
      <c r="Y219" s="282"/>
      <c r="Z219" s="282"/>
      <c r="AA219" s="282"/>
    </row>
    <row r="220" spans="1:27" ht="16.899999999999999" hidden="1" customHeight="1">
      <c r="A220" s="289" t="s">
        <v>347</v>
      </c>
      <c r="B220" s="301">
        <v>0.1288</v>
      </c>
      <c r="C220" s="301">
        <v>0.3054</v>
      </c>
      <c r="D220" s="301">
        <v>0.15</v>
      </c>
      <c r="E220" s="301">
        <v>0.83199999999999996</v>
      </c>
      <c r="F220" s="301">
        <v>1.2612000000000001</v>
      </c>
      <c r="G220" s="301">
        <v>0.1237</v>
      </c>
      <c r="H220" s="301">
        <v>0.13019999999999998</v>
      </c>
      <c r="I220" s="301">
        <v>6.4329000000000001</v>
      </c>
      <c r="J220" s="301">
        <f t="shared" si="12"/>
        <v>9.3641999999999996E-3</v>
      </c>
      <c r="K220" s="301">
        <v>3.8973</v>
      </c>
      <c r="L220" s="301">
        <v>11.946</v>
      </c>
      <c r="M220" s="301">
        <f t="shared" si="13"/>
        <v>1.5852664199999998E-2</v>
      </c>
      <c r="N220" s="288"/>
      <c r="O220" s="282"/>
      <c r="P220" s="282"/>
      <c r="Q220" s="282"/>
      <c r="R220" s="282"/>
      <c r="S220" s="282"/>
      <c r="T220" s="282"/>
      <c r="U220" s="282"/>
      <c r="V220" s="282"/>
      <c r="W220" s="282"/>
      <c r="X220" s="282"/>
      <c r="Y220" s="282"/>
      <c r="Z220" s="282"/>
      <c r="AA220" s="282"/>
    </row>
    <row r="221" spans="1:27" ht="16.899999999999999" hidden="1" customHeight="1">
      <c r="A221" s="289" t="s">
        <v>12</v>
      </c>
      <c r="B221" s="301">
        <v>0.6472</v>
      </c>
      <c r="C221" s="301">
        <v>0.2334</v>
      </c>
      <c r="D221" s="301">
        <v>0.34910000000000002</v>
      </c>
      <c r="E221" s="301">
        <v>0.64770000000000005</v>
      </c>
      <c r="F221" s="301">
        <v>1.0324</v>
      </c>
      <c r="G221" s="301">
        <v>0.113</v>
      </c>
      <c r="H221" s="301">
        <v>0.13019999999999998</v>
      </c>
      <c r="I221" s="301">
        <v>4.4880000000000004</v>
      </c>
      <c r="J221" s="301">
        <f t="shared" si="12"/>
        <v>7.6410000000000002E-3</v>
      </c>
      <c r="K221" s="301">
        <v>4.0125999999999999</v>
      </c>
      <c r="L221" s="301">
        <v>11.1614</v>
      </c>
      <c r="M221" s="301">
        <f t="shared" si="13"/>
        <v>1.5181640999999999E-2</v>
      </c>
      <c r="N221" s="288"/>
      <c r="O221" s="282"/>
      <c r="P221" s="282"/>
      <c r="Q221" s="282"/>
      <c r="R221" s="282"/>
      <c r="S221" s="282"/>
      <c r="T221" s="282"/>
      <c r="U221" s="282"/>
      <c r="V221" s="282"/>
      <c r="W221" s="282"/>
      <c r="X221" s="282"/>
      <c r="Y221" s="282"/>
      <c r="Z221" s="282"/>
      <c r="AA221" s="282"/>
    </row>
    <row r="222" spans="1:27" ht="16.899999999999999" hidden="1" customHeight="1">
      <c r="A222" s="289" t="s">
        <v>13</v>
      </c>
      <c r="B222" s="301">
        <v>0.2399</v>
      </c>
      <c r="C222" s="301">
        <v>0.2334</v>
      </c>
      <c r="D222" s="301">
        <v>0.1</v>
      </c>
      <c r="E222" s="301">
        <v>0.85639999999999994</v>
      </c>
      <c r="F222" s="301">
        <v>0.73009999999999997</v>
      </c>
      <c r="G222" s="301">
        <v>0.1421</v>
      </c>
      <c r="H222" s="301">
        <v>0.13019999999999998</v>
      </c>
      <c r="I222" s="301">
        <v>5.1619999999999999</v>
      </c>
      <c r="J222" s="301">
        <f t="shared" si="12"/>
        <v>7.5940999999999995E-3</v>
      </c>
      <c r="K222" s="301">
        <v>4.3161000000000005</v>
      </c>
      <c r="L222" s="301">
        <v>9.3544999999999998</v>
      </c>
      <c r="M222" s="301">
        <f t="shared" si="13"/>
        <v>1.3678194100000001E-2</v>
      </c>
      <c r="N222" s="288"/>
      <c r="O222" s="282"/>
      <c r="P222" s="282"/>
      <c r="Q222" s="282"/>
      <c r="R222" s="282"/>
      <c r="S222" s="282"/>
      <c r="T222" s="282"/>
      <c r="U222" s="282"/>
      <c r="V222" s="282"/>
      <c r="W222" s="282"/>
      <c r="X222" s="282"/>
      <c r="Y222" s="282"/>
      <c r="Z222" s="282"/>
      <c r="AA222" s="282"/>
    </row>
    <row r="223" spans="1:27" ht="16.899999999999999" hidden="1" customHeight="1">
      <c r="A223" s="289" t="s">
        <v>14</v>
      </c>
      <c r="B223" s="301">
        <v>2.8035999999999999</v>
      </c>
      <c r="C223" s="301">
        <v>0.55000000000000004</v>
      </c>
      <c r="D223" s="301">
        <v>0.12140000000000001</v>
      </c>
      <c r="E223" s="301">
        <v>1.0945</v>
      </c>
      <c r="F223" s="301">
        <v>1.1822999999999999</v>
      </c>
      <c r="G223" s="301">
        <v>7.3599999999999999E-2</v>
      </c>
      <c r="H223" s="301">
        <v>0.13019999999999998</v>
      </c>
      <c r="I223" s="301">
        <v>4.9115000000000002</v>
      </c>
      <c r="J223" s="301">
        <f t="shared" si="12"/>
        <v>1.0867100000000001E-2</v>
      </c>
      <c r="K223" s="301">
        <v>4.3366999999999996</v>
      </c>
      <c r="L223" s="301">
        <v>9.1917000000000009</v>
      </c>
      <c r="M223" s="301">
        <f t="shared" si="13"/>
        <v>1.35392671E-2</v>
      </c>
      <c r="N223" s="288"/>
      <c r="O223" s="282"/>
      <c r="P223" s="282"/>
      <c r="Q223" s="282"/>
      <c r="R223" s="282"/>
      <c r="S223" s="282"/>
      <c r="T223" s="282"/>
      <c r="U223" s="282"/>
      <c r="V223" s="282"/>
      <c r="W223" s="282"/>
      <c r="X223" s="282"/>
      <c r="Y223" s="282"/>
      <c r="Z223" s="282"/>
      <c r="AA223" s="282"/>
    </row>
    <row r="224" spans="1:27" ht="16.899999999999999" hidden="1" customHeight="1">
      <c r="A224" s="289" t="s">
        <v>15</v>
      </c>
      <c r="B224" s="301">
        <v>0.23169999999999999</v>
      </c>
      <c r="C224" s="301">
        <v>0.245</v>
      </c>
      <c r="D224" s="301">
        <v>3.0000000000000001E-3</v>
      </c>
      <c r="E224" s="301">
        <v>1.1305000000000001</v>
      </c>
      <c r="F224" s="301">
        <v>1.1942999999999999</v>
      </c>
      <c r="G224" s="301">
        <v>7.0000000000000001E-3</v>
      </c>
      <c r="H224" s="301">
        <v>0.13019999999999998</v>
      </c>
      <c r="I224" s="301">
        <v>5.4166999999999996</v>
      </c>
      <c r="J224" s="301">
        <f t="shared" si="12"/>
        <v>8.3584000000000002E-3</v>
      </c>
      <c r="K224" s="301">
        <v>5.7696000000000005</v>
      </c>
      <c r="L224" s="301">
        <v>8.9457999999999984</v>
      </c>
      <c r="M224" s="301">
        <f t="shared" si="13"/>
        <v>1.4723758399999998E-2</v>
      </c>
      <c r="N224" s="288"/>
      <c r="O224" s="282"/>
      <c r="P224" s="282"/>
      <c r="Q224" s="282"/>
      <c r="R224" s="282"/>
      <c r="S224" s="282"/>
      <c r="T224" s="282"/>
      <c r="U224" s="282"/>
      <c r="V224" s="282"/>
      <c r="W224" s="282"/>
      <c r="X224" s="282"/>
      <c r="Y224" s="282"/>
      <c r="Z224" s="282"/>
      <c r="AA224" s="282"/>
    </row>
    <row r="225" spans="1:27" ht="16.899999999999999" hidden="1" customHeight="1">
      <c r="A225" s="289" t="s">
        <v>16</v>
      </c>
      <c r="B225" s="301">
        <v>0.61229999999999996</v>
      </c>
      <c r="C225" s="301">
        <v>1.4999999999999999E-2</v>
      </c>
      <c r="D225" s="301">
        <v>0</v>
      </c>
      <c r="E225" s="301">
        <v>0.83839999999999992</v>
      </c>
      <c r="F225" s="301">
        <v>0.5222</v>
      </c>
      <c r="G225" s="301">
        <v>0.1075</v>
      </c>
      <c r="H225" s="301">
        <v>1.8200000000000001E-2</v>
      </c>
      <c r="I225" s="301">
        <v>5.4476000000000004</v>
      </c>
      <c r="J225" s="301">
        <f t="shared" si="12"/>
        <v>7.5612000000000014E-3</v>
      </c>
      <c r="K225" s="301">
        <v>5.3129</v>
      </c>
      <c r="L225" s="301">
        <v>8.7172000000000001</v>
      </c>
      <c r="M225" s="301">
        <f t="shared" si="13"/>
        <v>1.4037661199999999E-2</v>
      </c>
      <c r="N225" s="288"/>
      <c r="O225" s="282"/>
      <c r="P225" s="282"/>
      <c r="Q225" s="282"/>
      <c r="R225" s="282"/>
      <c r="S225" s="282"/>
      <c r="T225" s="282"/>
      <c r="U225" s="282"/>
      <c r="V225" s="282"/>
      <c r="W225" s="282"/>
      <c r="X225" s="282"/>
      <c r="Y225" s="282"/>
      <c r="Z225" s="282"/>
      <c r="AA225" s="282"/>
    </row>
    <row r="226" spans="1:27" ht="16.899999999999999" hidden="1" customHeight="1">
      <c r="A226" s="289"/>
      <c r="B226" s="301"/>
      <c r="C226" s="301"/>
      <c r="D226" s="301"/>
      <c r="E226" s="301"/>
      <c r="F226" s="301"/>
      <c r="G226" s="301"/>
      <c r="H226" s="301"/>
      <c r="I226" s="301"/>
      <c r="J226" s="301"/>
      <c r="K226" s="301"/>
      <c r="L226" s="301"/>
      <c r="M226" s="301"/>
      <c r="N226" s="288"/>
      <c r="O226" s="282"/>
      <c r="P226" s="282"/>
      <c r="Q226" s="282"/>
      <c r="R226" s="282"/>
      <c r="S226" s="282"/>
      <c r="T226" s="282"/>
      <c r="U226" s="282"/>
      <c r="V226" s="282"/>
      <c r="W226" s="282"/>
      <c r="X226" s="282"/>
      <c r="Y226" s="282"/>
      <c r="Z226" s="282"/>
      <c r="AA226" s="282"/>
    </row>
    <row r="227" spans="1:27" ht="18.75" hidden="1" customHeight="1">
      <c r="A227" s="302">
        <v>2002</v>
      </c>
      <c r="B227" s="301"/>
      <c r="C227" s="301"/>
      <c r="D227" s="301"/>
      <c r="E227" s="301"/>
      <c r="F227" s="301"/>
      <c r="G227" s="301"/>
      <c r="H227" s="301"/>
      <c r="I227" s="301"/>
      <c r="J227" s="301"/>
      <c r="K227" s="301"/>
      <c r="L227" s="301"/>
      <c r="M227" s="301"/>
      <c r="N227" s="288"/>
      <c r="O227" s="282"/>
      <c r="P227" s="282"/>
      <c r="Q227" s="282"/>
      <c r="R227" s="282"/>
      <c r="S227" s="282"/>
      <c r="T227" s="282"/>
      <c r="U227" s="282"/>
      <c r="V227" s="282"/>
      <c r="W227" s="282"/>
      <c r="X227" s="282"/>
      <c r="Y227" s="282"/>
      <c r="Z227" s="282"/>
      <c r="AA227" s="282"/>
    </row>
    <row r="228" spans="1:27" ht="16.899999999999999" hidden="1" customHeight="1">
      <c r="A228" s="289"/>
      <c r="B228" s="301"/>
      <c r="C228" s="301"/>
      <c r="D228" s="301"/>
      <c r="E228" s="301"/>
      <c r="F228" s="301"/>
      <c r="G228" s="301"/>
      <c r="H228" s="301"/>
      <c r="I228" s="301"/>
      <c r="J228" s="301"/>
      <c r="K228" s="301"/>
      <c r="L228" s="301"/>
      <c r="M228" s="301"/>
      <c r="N228" s="288"/>
      <c r="O228" s="282"/>
      <c r="P228" s="282"/>
      <c r="Q228" s="282"/>
      <c r="R228" s="282"/>
      <c r="S228" s="282"/>
      <c r="T228" s="282"/>
      <c r="U228" s="282"/>
      <c r="V228" s="282"/>
      <c r="W228" s="282"/>
      <c r="X228" s="282"/>
      <c r="Y228" s="282"/>
      <c r="Z228" s="282"/>
      <c r="AA228" s="282"/>
    </row>
    <row r="229" spans="1:27" ht="16.899999999999999" hidden="1" customHeight="1">
      <c r="A229" s="289" t="s">
        <v>8</v>
      </c>
      <c r="B229" s="301">
        <v>0.1351</v>
      </c>
      <c r="C229" s="301">
        <v>0.1701</v>
      </c>
      <c r="D229" s="301">
        <v>2.2000000000000001E-3</v>
      </c>
      <c r="E229" s="301">
        <v>1.0659000000000001</v>
      </c>
      <c r="F229" s="301">
        <v>0.60709999999999997</v>
      </c>
      <c r="G229" s="301">
        <v>5.2200000000000003E-2</v>
      </c>
      <c r="H229" s="301">
        <v>0</v>
      </c>
      <c r="I229" s="301">
        <v>8.6632999999999996</v>
      </c>
      <c r="J229" s="301">
        <f t="shared" ref="J229:J240" si="14">(SUM(B229:I229))/1000</f>
        <v>1.06959E-2</v>
      </c>
      <c r="K229" s="301">
        <v>4.0960000000000001</v>
      </c>
      <c r="L229" s="301">
        <v>9.1997</v>
      </c>
      <c r="M229" s="301">
        <f t="shared" ref="M229:M240" si="15">(SUM(J229:L229))/1000</f>
        <v>1.33063959E-2</v>
      </c>
      <c r="N229" s="288"/>
      <c r="O229" s="282"/>
      <c r="P229" s="282"/>
      <c r="Q229" s="282"/>
      <c r="R229" s="282"/>
      <c r="S229" s="282"/>
      <c r="T229" s="282"/>
      <c r="U229" s="282"/>
      <c r="V229" s="282"/>
      <c r="W229" s="282"/>
      <c r="X229" s="282"/>
      <c r="Y229" s="282"/>
      <c r="Z229" s="282"/>
      <c r="AA229" s="282"/>
    </row>
    <row r="230" spans="1:27" ht="16.899999999999999" hidden="1" customHeight="1">
      <c r="A230" s="289" t="s">
        <v>9</v>
      </c>
      <c r="B230" s="301">
        <v>0.44110000000000005</v>
      </c>
      <c r="C230" s="301">
        <v>0.27010000000000001</v>
      </c>
      <c r="D230" s="301">
        <v>8.199999999999999E-3</v>
      </c>
      <c r="E230" s="301">
        <v>0.37889999999999996</v>
      </c>
      <c r="F230" s="301">
        <v>0.61060000000000003</v>
      </c>
      <c r="G230" s="301">
        <v>7.9000000000000001E-2</v>
      </c>
      <c r="H230" s="301">
        <v>0</v>
      </c>
      <c r="I230" s="301">
        <v>9.8062000000000005</v>
      </c>
      <c r="J230" s="301">
        <f t="shared" si="14"/>
        <v>1.1594100000000001E-2</v>
      </c>
      <c r="K230" s="301">
        <v>3.4356999999999998</v>
      </c>
      <c r="L230" s="301">
        <v>11.792200000000001</v>
      </c>
      <c r="M230" s="301">
        <f t="shared" si="15"/>
        <v>1.5239494100000002E-2</v>
      </c>
      <c r="N230" s="288"/>
      <c r="O230" s="282"/>
      <c r="P230" s="282"/>
      <c r="Q230" s="282"/>
      <c r="R230" s="282"/>
      <c r="S230" s="282"/>
      <c r="T230" s="282"/>
      <c r="U230" s="282"/>
      <c r="V230" s="282"/>
      <c r="W230" s="282"/>
      <c r="X230" s="282"/>
      <c r="Y230" s="282"/>
      <c r="Z230" s="282"/>
      <c r="AA230" s="282"/>
    </row>
    <row r="231" spans="1:27" ht="16.899999999999999" hidden="1" customHeight="1">
      <c r="A231" s="289" t="s">
        <v>10</v>
      </c>
      <c r="B231" s="301">
        <v>1.2367000000000001</v>
      </c>
      <c r="C231" s="301">
        <v>0.12959999999999999</v>
      </c>
      <c r="D231" s="301">
        <v>0</v>
      </c>
      <c r="E231" s="301">
        <v>0.3196</v>
      </c>
      <c r="F231" s="301">
        <v>1.1725000000000001</v>
      </c>
      <c r="G231" s="301">
        <v>6.3E-2</v>
      </c>
      <c r="H231" s="301">
        <v>0</v>
      </c>
      <c r="I231" s="301">
        <v>11.7127</v>
      </c>
      <c r="J231" s="301">
        <f t="shared" si="14"/>
        <v>1.4634100000000001E-2</v>
      </c>
      <c r="K231" s="301">
        <v>2.9140999999999999</v>
      </c>
      <c r="L231" s="301">
        <v>11.188600000000001</v>
      </c>
      <c r="M231" s="301">
        <f t="shared" si="15"/>
        <v>1.41173341E-2</v>
      </c>
      <c r="N231" s="288"/>
      <c r="O231" s="282"/>
      <c r="P231" s="282"/>
      <c r="Q231" s="282"/>
      <c r="R231" s="282"/>
      <c r="S231" s="282"/>
      <c r="T231" s="282"/>
      <c r="U231" s="282"/>
      <c r="V231" s="282"/>
      <c r="W231" s="282"/>
      <c r="X231" s="282"/>
      <c r="Y231" s="282"/>
      <c r="Z231" s="282"/>
      <c r="AA231" s="282"/>
    </row>
    <row r="232" spans="1:27" ht="16.899999999999999" hidden="1" customHeight="1">
      <c r="A232" s="289" t="s">
        <v>11</v>
      </c>
      <c r="B232" s="301">
        <v>2.4158000000000004</v>
      </c>
      <c r="C232" s="301">
        <v>0.21659999999999999</v>
      </c>
      <c r="D232" s="301">
        <v>0</v>
      </c>
      <c r="E232" s="301">
        <v>0.52870000000000006</v>
      </c>
      <c r="F232" s="301">
        <v>1.4220999999999999</v>
      </c>
      <c r="G232" s="301">
        <v>0.3629</v>
      </c>
      <c r="H232" s="301">
        <v>0.112</v>
      </c>
      <c r="I232" s="301">
        <v>13.051399999999999</v>
      </c>
      <c r="J232" s="301">
        <f t="shared" si="14"/>
        <v>1.8109500000000001E-2</v>
      </c>
      <c r="K232" s="301">
        <v>3.2044999999999999</v>
      </c>
      <c r="L232" s="301">
        <v>22.598800000000001</v>
      </c>
      <c r="M232" s="301">
        <f t="shared" si="15"/>
        <v>2.58214095E-2</v>
      </c>
      <c r="N232" s="288"/>
      <c r="O232" s="282"/>
      <c r="P232" s="282"/>
      <c r="Q232" s="282"/>
      <c r="R232" s="282"/>
      <c r="S232" s="282"/>
      <c r="T232" s="282"/>
      <c r="U232" s="282"/>
      <c r="V232" s="282"/>
      <c r="W232" s="282"/>
      <c r="X232" s="282"/>
      <c r="Y232" s="282"/>
      <c r="Z232" s="282"/>
      <c r="AA232" s="282"/>
    </row>
    <row r="233" spans="1:27" ht="16.899999999999999" hidden="1" customHeight="1">
      <c r="A233" s="289" t="s">
        <v>337</v>
      </c>
      <c r="B233" s="301">
        <v>2.7979000000000003</v>
      </c>
      <c r="C233" s="301">
        <v>0.26850000000000002</v>
      </c>
      <c r="D233" s="301">
        <v>0.34100000000000003</v>
      </c>
      <c r="E233" s="301">
        <v>1.1291</v>
      </c>
      <c r="F233" s="301">
        <v>1.8332999999999999</v>
      </c>
      <c r="G233" s="301">
        <v>0.65179999999999993</v>
      </c>
      <c r="H233" s="301">
        <v>0.112</v>
      </c>
      <c r="I233" s="301">
        <v>14.111799999999999</v>
      </c>
      <c r="J233" s="301">
        <f t="shared" si="14"/>
        <v>2.1245399999999998E-2</v>
      </c>
      <c r="K233" s="301">
        <v>4.5521000000000003</v>
      </c>
      <c r="L233" s="301">
        <v>28.479599999999998</v>
      </c>
      <c r="M233" s="301">
        <f t="shared" si="15"/>
        <v>3.3052945399999999E-2</v>
      </c>
      <c r="N233" s="288"/>
      <c r="O233" s="282"/>
      <c r="P233" s="282"/>
      <c r="Q233" s="282"/>
      <c r="R233" s="282"/>
      <c r="S233" s="282"/>
      <c r="T233" s="282"/>
      <c r="U233" s="282"/>
      <c r="V233" s="282"/>
      <c r="W233" s="282"/>
      <c r="X233" s="282"/>
      <c r="Y233" s="282"/>
      <c r="Z233" s="282"/>
      <c r="AA233" s="282"/>
    </row>
    <row r="234" spans="1:27" ht="20.25" hidden="1" customHeight="1">
      <c r="A234" s="289" t="s">
        <v>346</v>
      </c>
      <c r="B234" s="301">
        <v>1.1692</v>
      </c>
      <c r="C234" s="301">
        <v>0.113</v>
      </c>
      <c r="D234" s="301">
        <v>0.25869999999999999</v>
      </c>
      <c r="E234" s="301">
        <v>0.89729999999999999</v>
      </c>
      <c r="F234" s="301">
        <v>2.3498000000000001</v>
      </c>
      <c r="G234" s="301">
        <v>0.18330000000000002</v>
      </c>
      <c r="H234" s="301">
        <v>0.112</v>
      </c>
      <c r="I234" s="301">
        <v>18.401199999999999</v>
      </c>
      <c r="J234" s="301">
        <f t="shared" si="14"/>
        <v>2.3484500000000002E-2</v>
      </c>
      <c r="K234" s="301">
        <v>4.7275</v>
      </c>
      <c r="L234" s="301">
        <v>17.541599999999999</v>
      </c>
      <c r="M234" s="301">
        <f t="shared" si="15"/>
        <v>2.22925845E-2</v>
      </c>
      <c r="N234" s="288"/>
      <c r="O234" s="282"/>
      <c r="P234" s="282"/>
      <c r="Q234" s="282"/>
      <c r="R234" s="282"/>
      <c r="S234" s="282"/>
      <c r="T234" s="282"/>
      <c r="U234" s="282"/>
      <c r="V234" s="282"/>
      <c r="W234" s="282"/>
      <c r="X234" s="282"/>
      <c r="Y234" s="282"/>
      <c r="Z234" s="282"/>
      <c r="AA234" s="282"/>
    </row>
    <row r="235" spans="1:27" ht="20.25" hidden="1" customHeight="1">
      <c r="A235" s="289" t="s">
        <v>347</v>
      </c>
      <c r="B235" s="301">
        <v>0.32189999999999996</v>
      </c>
      <c r="C235" s="301">
        <v>0.87779999999999991</v>
      </c>
      <c r="D235" s="301">
        <v>0.26</v>
      </c>
      <c r="E235" s="301">
        <v>2.4535999999999998</v>
      </c>
      <c r="F235" s="301">
        <v>2.2046999999999999</v>
      </c>
      <c r="G235" s="301">
        <v>0.42780000000000001</v>
      </c>
      <c r="H235" s="301">
        <v>0.112</v>
      </c>
      <c r="I235" s="301">
        <v>17.642900000000001</v>
      </c>
      <c r="J235" s="301">
        <f t="shared" si="14"/>
        <v>2.4300699999999998E-2</v>
      </c>
      <c r="K235" s="301">
        <v>4.4154</v>
      </c>
      <c r="L235" s="301">
        <v>17.414900000000003</v>
      </c>
      <c r="M235" s="301">
        <f t="shared" si="15"/>
        <v>2.1854600700000001E-2</v>
      </c>
      <c r="N235" s="288"/>
      <c r="O235" s="282"/>
      <c r="P235" s="282"/>
      <c r="Q235" s="282"/>
      <c r="R235" s="282"/>
      <c r="S235" s="282"/>
      <c r="T235" s="282"/>
      <c r="U235" s="282"/>
      <c r="V235" s="282"/>
      <c r="W235" s="282"/>
      <c r="X235" s="282"/>
      <c r="Y235" s="282"/>
      <c r="Z235" s="282"/>
      <c r="AA235" s="282"/>
    </row>
    <row r="236" spans="1:27" ht="20.25" hidden="1" customHeight="1">
      <c r="A236" s="289" t="s">
        <v>12</v>
      </c>
      <c r="B236" s="301">
        <v>2.5576999999999996</v>
      </c>
      <c r="C236" s="301">
        <v>1.3389000000000002</v>
      </c>
      <c r="D236" s="301">
        <v>0.33710000000000001</v>
      </c>
      <c r="E236" s="301">
        <v>1.8271999999999999</v>
      </c>
      <c r="F236" s="301">
        <v>2.0979999999999999</v>
      </c>
      <c r="G236" s="301">
        <v>0.502</v>
      </c>
      <c r="H236" s="301">
        <v>0.112</v>
      </c>
      <c r="I236" s="301">
        <v>15.780700000000001</v>
      </c>
      <c r="J236" s="301">
        <f t="shared" si="14"/>
        <v>2.4553600000000002E-2</v>
      </c>
      <c r="K236" s="301">
        <v>4.6515000000000004</v>
      </c>
      <c r="L236" s="301">
        <v>17.209199999999999</v>
      </c>
      <c r="M236" s="301">
        <f t="shared" si="15"/>
        <v>2.1885253599999998E-2</v>
      </c>
      <c r="N236" s="288"/>
      <c r="O236" s="282"/>
      <c r="P236" s="282"/>
      <c r="Q236" s="282"/>
      <c r="R236" s="282"/>
      <c r="S236" s="282"/>
      <c r="T236" s="282"/>
      <c r="U236" s="282"/>
      <c r="V236" s="282"/>
      <c r="W236" s="282"/>
      <c r="X236" s="282"/>
      <c r="Y236" s="282"/>
      <c r="Z236" s="282"/>
      <c r="AA236" s="282"/>
    </row>
    <row r="237" spans="1:27" ht="20.25" hidden="1" customHeight="1">
      <c r="A237" s="289" t="s">
        <v>13</v>
      </c>
      <c r="B237" s="301">
        <v>7.8011999999999997</v>
      </c>
      <c r="C237" s="301">
        <v>0.14299999999999999</v>
      </c>
      <c r="D237" s="301">
        <v>0.32880000000000004</v>
      </c>
      <c r="E237" s="301">
        <v>1.4854000000000001</v>
      </c>
      <c r="F237" s="301">
        <v>2.6301000000000001</v>
      </c>
      <c r="G237" s="301">
        <v>0.3251</v>
      </c>
      <c r="H237" s="301">
        <v>0.112</v>
      </c>
      <c r="I237" s="301">
        <v>17.872499999999999</v>
      </c>
      <c r="J237" s="301">
        <f t="shared" si="14"/>
        <v>3.0698099999999999E-2</v>
      </c>
      <c r="K237" s="301">
        <v>4.9634999999999998</v>
      </c>
      <c r="L237" s="301">
        <v>16.819599999999998</v>
      </c>
      <c r="M237" s="301">
        <f t="shared" si="15"/>
        <v>2.18137981E-2</v>
      </c>
      <c r="N237" s="288"/>
      <c r="O237" s="282"/>
      <c r="P237" s="282"/>
      <c r="Q237" s="282"/>
      <c r="R237" s="282"/>
      <c r="S237" s="282"/>
      <c r="T237" s="282"/>
      <c r="U237" s="282"/>
      <c r="V237" s="282"/>
      <c r="W237" s="282"/>
      <c r="X237" s="282"/>
      <c r="Y237" s="282"/>
      <c r="Z237" s="282"/>
      <c r="AA237" s="282"/>
    </row>
    <row r="238" spans="1:27" ht="20.25" hidden="1" customHeight="1">
      <c r="A238" s="289" t="s">
        <v>14</v>
      </c>
      <c r="B238" s="301">
        <v>3.6914000000000002</v>
      </c>
      <c r="C238" s="301">
        <v>3.0000000000000001E-3</v>
      </c>
      <c r="D238" s="301">
        <v>2.2100000000000002E-2</v>
      </c>
      <c r="E238" s="301">
        <v>1.0634000000000001</v>
      </c>
      <c r="F238" s="301">
        <v>2.8088000000000002</v>
      </c>
      <c r="G238" s="301">
        <v>0.30060000000000003</v>
      </c>
      <c r="H238" s="301">
        <v>0.112</v>
      </c>
      <c r="I238" s="301">
        <v>26.389400000000002</v>
      </c>
      <c r="J238" s="301">
        <f t="shared" si="14"/>
        <v>3.4390700000000003E-2</v>
      </c>
      <c r="K238" s="301">
        <v>5.0973000000000006</v>
      </c>
      <c r="L238" s="301">
        <v>17.605400000000003</v>
      </c>
      <c r="M238" s="301">
        <f t="shared" si="15"/>
        <v>2.2737090700000004E-2</v>
      </c>
      <c r="N238" s="288"/>
      <c r="O238" s="282"/>
      <c r="P238" s="282"/>
      <c r="Q238" s="282"/>
      <c r="R238" s="282"/>
      <c r="S238" s="282"/>
      <c r="T238" s="282"/>
      <c r="U238" s="282"/>
      <c r="V238" s="282"/>
      <c r="W238" s="282"/>
      <c r="X238" s="282"/>
      <c r="Y238" s="282"/>
      <c r="Z238" s="282"/>
      <c r="AA238" s="282"/>
    </row>
    <row r="239" spans="1:27" ht="20.25" hidden="1" customHeight="1">
      <c r="A239" s="289" t="s">
        <v>15</v>
      </c>
      <c r="B239" s="301">
        <v>1.1240000000000001</v>
      </c>
      <c r="C239" s="301">
        <v>0.68159999999999998</v>
      </c>
      <c r="D239" s="301">
        <v>0.13419999999999999</v>
      </c>
      <c r="E239" s="301">
        <v>1.8511</v>
      </c>
      <c r="F239" s="301">
        <v>2.7195</v>
      </c>
      <c r="G239" s="301">
        <v>1.3829</v>
      </c>
      <c r="H239" s="301">
        <v>0.112</v>
      </c>
      <c r="I239" s="301">
        <v>33.991300000000003</v>
      </c>
      <c r="J239" s="301">
        <f t="shared" si="14"/>
        <v>4.1996600000000002E-2</v>
      </c>
      <c r="K239" s="301">
        <v>5.1501000000000001</v>
      </c>
      <c r="L239" s="301">
        <v>18.722999999999999</v>
      </c>
      <c r="M239" s="301">
        <f t="shared" si="15"/>
        <v>2.3915096599999998E-2</v>
      </c>
      <c r="N239" s="288"/>
      <c r="O239" s="282"/>
      <c r="P239" s="282"/>
      <c r="Q239" s="282"/>
      <c r="R239" s="282"/>
      <c r="S239" s="282"/>
      <c r="T239" s="282"/>
      <c r="U239" s="282"/>
      <c r="V239" s="282"/>
      <c r="W239" s="282"/>
      <c r="X239" s="282"/>
      <c r="Y239" s="282"/>
      <c r="Z239" s="282"/>
      <c r="AA239" s="282"/>
    </row>
    <row r="240" spans="1:27" ht="20.25" hidden="1" customHeight="1">
      <c r="A240" s="289" t="s">
        <v>16</v>
      </c>
      <c r="B240" s="301">
        <v>1.5764</v>
      </c>
      <c r="C240" s="301">
        <v>0.53170000000000006</v>
      </c>
      <c r="D240" s="301">
        <v>2.6600000000000002E-2</v>
      </c>
      <c r="E240" s="301">
        <v>0.2122</v>
      </c>
      <c r="F240" s="301">
        <v>2.0761999999999996</v>
      </c>
      <c r="G240" s="301">
        <v>1.9439000000000002</v>
      </c>
      <c r="H240" s="301">
        <v>0.112</v>
      </c>
      <c r="I240" s="301">
        <v>27.949099999999998</v>
      </c>
      <c r="J240" s="301">
        <f t="shared" si="14"/>
        <v>3.4428100000000003E-2</v>
      </c>
      <c r="K240" s="301">
        <v>5.6295000000000002</v>
      </c>
      <c r="L240" s="301">
        <v>20.302099999999999</v>
      </c>
      <c r="M240" s="301">
        <f t="shared" si="15"/>
        <v>2.59660281E-2</v>
      </c>
      <c r="N240" s="288"/>
      <c r="O240" s="282"/>
      <c r="P240" s="282"/>
      <c r="Q240" s="282"/>
      <c r="R240" s="282"/>
      <c r="S240" s="282"/>
      <c r="T240" s="282"/>
      <c r="U240" s="282"/>
      <c r="V240" s="282"/>
      <c r="W240" s="282"/>
      <c r="X240" s="282"/>
      <c r="Y240" s="282"/>
      <c r="Z240" s="282"/>
      <c r="AA240" s="282"/>
    </row>
    <row r="241" spans="1:27" ht="16.899999999999999" hidden="1" customHeight="1">
      <c r="A241" s="289"/>
      <c r="B241" s="301">
        <v>0</v>
      </c>
      <c r="C241" s="301">
        <v>0</v>
      </c>
      <c r="D241" s="301">
        <v>0</v>
      </c>
      <c r="E241" s="301">
        <v>0</v>
      </c>
      <c r="F241" s="301">
        <v>0</v>
      </c>
      <c r="G241" s="301">
        <v>0</v>
      </c>
      <c r="H241" s="301">
        <v>0</v>
      </c>
      <c r="I241" s="301">
        <v>0</v>
      </c>
      <c r="J241" s="301">
        <v>0</v>
      </c>
      <c r="K241" s="301">
        <v>0</v>
      </c>
      <c r="L241" s="301">
        <v>0</v>
      </c>
      <c r="M241" s="301">
        <v>0</v>
      </c>
      <c r="N241" s="288"/>
      <c r="O241" s="282"/>
      <c r="P241" s="282"/>
      <c r="Q241" s="282"/>
      <c r="R241" s="282"/>
      <c r="S241" s="282"/>
      <c r="T241" s="282"/>
      <c r="U241" s="282"/>
      <c r="V241" s="282"/>
      <c r="W241" s="282"/>
      <c r="X241" s="282"/>
      <c r="Y241" s="282"/>
      <c r="Z241" s="282"/>
      <c r="AA241" s="282"/>
    </row>
    <row r="242" spans="1:27" ht="18.75" hidden="1" customHeight="1">
      <c r="A242" s="302">
        <v>2003</v>
      </c>
      <c r="B242" s="301"/>
      <c r="C242" s="301"/>
      <c r="D242" s="301"/>
      <c r="E242" s="301"/>
      <c r="F242" s="301"/>
      <c r="G242" s="301"/>
      <c r="H242" s="301"/>
      <c r="I242" s="301"/>
      <c r="J242" s="301"/>
      <c r="K242" s="301"/>
      <c r="L242" s="301"/>
      <c r="M242" s="301"/>
      <c r="N242" s="288"/>
      <c r="O242" s="282"/>
      <c r="P242" s="282"/>
      <c r="Q242" s="282"/>
      <c r="R242" s="282"/>
      <c r="S242" s="282"/>
      <c r="T242" s="282"/>
      <c r="U242" s="282"/>
      <c r="V242" s="282"/>
      <c r="W242" s="282"/>
      <c r="X242" s="282"/>
      <c r="Y242" s="282"/>
      <c r="Z242" s="282"/>
      <c r="AA242" s="282"/>
    </row>
    <row r="243" spans="1:27" ht="16.899999999999999" hidden="1" customHeight="1">
      <c r="A243" s="289"/>
      <c r="B243" s="301"/>
      <c r="C243" s="301"/>
      <c r="D243" s="301"/>
      <c r="E243" s="301"/>
      <c r="F243" s="301"/>
      <c r="G243" s="301"/>
      <c r="H243" s="301"/>
      <c r="I243" s="301"/>
      <c r="J243" s="301"/>
      <c r="K243" s="301"/>
      <c r="L243" s="301"/>
      <c r="M243" s="301"/>
      <c r="N243" s="288"/>
      <c r="O243" s="282"/>
      <c r="P243" s="282"/>
      <c r="Q243" s="282"/>
      <c r="R243" s="282"/>
      <c r="S243" s="282"/>
      <c r="T243" s="282"/>
      <c r="U243" s="282"/>
      <c r="V243" s="282"/>
      <c r="W243" s="282"/>
      <c r="X243" s="282"/>
      <c r="Y243" s="282"/>
      <c r="Z243" s="282"/>
      <c r="AA243" s="282"/>
    </row>
    <row r="244" spans="1:27" ht="20.25" hidden="1" customHeight="1">
      <c r="A244" s="289" t="s">
        <v>8</v>
      </c>
      <c r="B244" s="301">
        <v>1.9084000000000001</v>
      </c>
      <c r="C244" s="301">
        <v>2.0000000000000001E-4</v>
      </c>
      <c r="D244" s="301">
        <v>1.4E-3</v>
      </c>
      <c r="E244" s="301">
        <v>1.8619000000000001</v>
      </c>
      <c r="F244" s="301">
        <v>3.3096000000000001</v>
      </c>
      <c r="G244" s="301">
        <v>0.54159999999999997</v>
      </c>
      <c r="H244" s="301">
        <v>0.112</v>
      </c>
      <c r="I244" s="301">
        <v>36.466699999999996</v>
      </c>
      <c r="J244" s="301">
        <f t="shared" ref="J244:J249" si="16">(SUM(B244:I244))/1000</f>
        <v>4.4201799999999999E-2</v>
      </c>
      <c r="K244" s="301">
        <v>5.2614000000000001</v>
      </c>
      <c r="L244" s="301">
        <v>20.922599999999999</v>
      </c>
      <c r="M244" s="301">
        <f t="shared" ref="M244:M249" si="17">(SUM(J244:L244))/1000</f>
        <v>2.62282018E-2</v>
      </c>
      <c r="N244" s="288"/>
      <c r="O244" s="282"/>
      <c r="P244" s="282"/>
      <c r="Q244" s="282"/>
      <c r="R244" s="282"/>
      <c r="S244" s="282"/>
      <c r="T244" s="282"/>
      <c r="U244" s="282"/>
      <c r="V244" s="282"/>
      <c r="W244" s="282"/>
      <c r="X244" s="282"/>
      <c r="Y244" s="282"/>
      <c r="Z244" s="282"/>
      <c r="AA244" s="282"/>
    </row>
    <row r="245" spans="1:27" ht="20.25" hidden="1" customHeight="1">
      <c r="A245" s="289" t="s">
        <v>9</v>
      </c>
      <c r="B245" s="301">
        <v>4.6074999999999999</v>
      </c>
      <c r="C245" s="301">
        <v>0.20219999999999999</v>
      </c>
      <c r="D245" s="301">
        <v>0.27200000000000002</v>
      </c>
      <c r="E245" s="301">
        <v>0.31539999999999996</v>
      </c>
      <c r="F245" s="301">
        <v>2.2129000000000003</v>
      </c>
      <c r="G245" s="301">
        <v>0.49160000000000004</v>
      </c>
      <c r="H245" s="301">
        <v>0.112</v>
      </c>
      <c r="I245" s="301">
        <v>41.657800000000002</v>
      </c>
      <c r="J245" s="301">
        <f t="shared" si="16"/>
        <v>4.9871400000000003E-2</v>
      </c>
      <c r="K245" s="301">
        <v>5.6961000000000004</v>
      </c>
      <c r="L245" s="301">
        <v>18.5304</v>
      </c>
      <c r="M245" s="301">
        <f t="shared" si="17"/>
        <v>2.4276371400000003E-2</v>
      </c>
      <c r="N245" s="288"/>
      <c r="O245" s="282"/>
      <c r="P245" s="282"/>
      <c r="Q245" s="282"/>
      <c r="R245" s="282"/>
      <c r="S245" s="282"/>
      <c r="T245" s="282"/>
      <c r="U245" s="282"/>
      <c r="V245" s="282"/>
      <c r="W245" s="282"/>
      <c r="X245" s="282"/>
      <c r="Y245" s="282"/>
      <c r="Z245" s="282"/>
      <c r="AA245" s="282"/>
    </row>
    <row r="246" spans="1:27" ht="20.25" hidden="1" customHeight="1">
      <c r="A246" s="289" t="s">
        <v>10</v>
      </c>
      <c r="B246" s="301">
        <v>1.5464</v>
      </c>
      <c r="C246" s="301">
        <v>0.1444</v>
      </c>
      <c r="D246" s="301">
        <v>0.20039999999999999</v>
      </c>
      <c r="E246" s="301">
        <v>6.9661</v>
      </c>
      <c r="F246" s="301">
        <v>6.2153999999999998</v>
      </c>
      <c r="G246" s="301">
        <v>0.74660000000000004</v>
      </c>
      <c r="H246" s="301">
        <v>0.112</v>
      </c>
      <c r="I246" s="301">
        <v>40.4756</v>
      </c>
      <c r="J246" s="301">
        <f t="shared" si="16"/>
        <v>5.6406900000000003E-2</v>
      </c>
      <c r="K246" s="301">
        <v>5.9714999999999998</v>
      </c>
      <c r="L246" s="301">
        <v>16.3369</v>
      </c>
      <c r="M246" s="301">
        <f t="shared" si="17"/>
        <v>2.2364806899999999E-2</v>
      </c>
      <c r="N246" s="288"/>
      <c r="O246" s="282"/>
      <c r="P246" s="282"/>
      <c r="Q246" s="282"/>
      <c r="R246" s="282"/>
      <c r="S246" s="282"/>
      <c r="T246" s="282"/>
      <c r="U246" s="282"/>
      <c r="V246" s="282"/>
      <c r="W246" s="282"/>
      <c r="X246" s="282"/>
      <c r="Y246" s="282"/>
      <c r="Z246" s="282"/>
      <c r="AA246" s="282"/>
    </row>
    <row r="247" spans="1:27" ht="20.25" hidden="1" customHeight="1">
      <c r="A247" s="289" t="s">
        <v>11</v>
      </c>
      <c r="B247" s="301">
        <v>2.0377999999999998</v>
      </c>
      <c r="C247" s="301">
        <v>0.3553</v>
      </c>
      <c r="D247" s="301">
        <v>-8.0000000000000004E-4</v>
      </c>
      <c r="E247" s="301">
        <v>0.89570000000000005</v>
      </c>
      <c r="F247" s="301">
        <v>2.3186999999999998</v>
      </c>
      <c r="G247" s="301">
        <v>1.1935</v>
      </c>
      <c r="H247" s="301">
        <v>0.112</v>
      </c>
      <c r="I247" s="301">
        <v>56.171099999999996</v>
      </c>
      <c r="J247" s="301">
        <f t="shared" si="16"/>
        <v>6.3083299999999995E-2</v>
      </c>
      <c r="K247" s="301">
        <v>5.8123000000000005</v>
      </c>
      <c r="L247" s="301">
        <v>30.164200000000001</v>
      </c>
      <c r="M247" s="301">
        <f t="shared" si="17"/>
        <v>3.6039583300000004E-2</v>
      </c>
      <c r="N247" s="288"/>
      <c r="O247" s="282"/>
      <c r="P247" s="282"/>
      <c r="Q247" s="282"/>
      <c r="R247" s="282"/>
      <c r="S247" s="282"/>
      <c r="T247" s="282"/>
      <c r="U247" s="282"/>
      <c r="V247" s="282"/>
      <c r="W247" s="282"/>
      <c r="X247" s="282"/>
      <c r="Y247" s="282"/>
      <c r="Z247" s="282"/>
      <c r="AA247" s="282"/>
    </row>
    <row r="248" spans="1:27" ht="20.25" hidden="1" customHeight="1">
      <c r="A248" s="289" t="s">
        <v>337</v>
      </c>
      <c r="B248" s="301">
        <v>2.9624000000000001</v>
      </c>
      <c r="C248" s="301">
        <v>2.0000000000000001E-4</v>
      </c>
      <c r="D248" s="301">
        <v>1.49E-2</v>
      </c>
      <c r="E248" s="301">
        <v>0.32189999999999996</v>
      </c>
      <c r="F248" s="301">
        <v>1.8739000000000001</v>
      </c>
      <c r="G248" s="301">
        <v>1.1345999999999998</v>
      </c>
      <c r="H248" s="301">
        <v>0.112</v>
      </c>
      <c r="I248" s="301">
        <v>59.269800000000004</v>
      </c>
      <c r="J248" s="301">
        <f t="shared" si="16"/>
        <v>6.5689700000000004E-2</v>
      </c>
      <c r="K248" s="301">
        <v>6.3822999999999999</v>
      </c>
      <c r="L248" s="301">
        <v>28.537299999999998</v>
      </c>
      <c r="M248" s="301">
        <f t="shared" si="17"/>
        <v>3.4985289699999998E-2</v>
      </c>
      <c r="N248" s="288"/>
      <c r="O248" s="282"/>
      <c r="P248" s="282"/>
      <c r="Q248" s="282"/>
      <c r="R248" s="282"/>
      <c r="S248" s="282"/>
      <c r="T248" s="282"/>
      <c r="U248" s="282"/>
      <c r="V248" s="282"/>
      <c r="W248" s="282"/>
      <c r="X248" s="282"/>
      <c r="Y248" s="282"/>
      <c r="Z248" s="282"/>
      <c r="AA248" s="282"/>
    </row>
    <row r="249" spans="1:27" ht="18.75" hidden="1" customHeight="1">
      <c r="A249" s="289" t="s">
        <v>346</v>
      </c>
      <c r="B249" s="301">
        <v>1.4129</v>
      </c>
      <c r="C249" s="301">
        <v>1.6556</v>
      </c>
      <c r="D249" s="301">
        <v>2.802</v>
      </c>
      <c r="E249" s="301">
        <v>3.7628000000000004</v>
      </c>
      <c r="F249" s="301">
        <v>3.6909999999999998</v>
      </c>
      <c r="G249" s="301">
        <v>0.89760000000000006</v>
      </c>
      <c r="H249" s="301">
        <v>0.112</v>
      </c>
      <c r="I249" s="301">
        <v>69.197800000000001</v>
      </c>
      <c r="J249" s="301">
        <f t="shared" si="16"/>
        <v>8.35317E-2</v>
      </c>
      <c r="K249" s="301">
        <v>7.5931000000000006</v>
      </c>
      <c r="L249" s="301">
        <v>30.069200000000002</v>
      </c>
      <c r="M249" s="301">
        <f t="shared" si="17"/>
        <v>3.7745831700000003E-2</v>
      </c>
      <c r="N249" s="288"/>
      <c r="O249" s="282"/>
      <c r="P249" s="282"/>
      <c r="Q249" s="282"/>
      <c r="R249" s="282"/>
      <c r="S249" s="282"/>
      <c r="T249" s="282"/>
      <c r="U249" s="282"/>
      <c r="V249" s="282"/>
      <c r="W249" s="282"/>
      <c r="X249" s="282"/>
      <c r="Y249" s="282"/>
      <c r="Z249" s="282"/>
      <c r="AA249" s="282"/>
    </row>
    <row r="250" spans="1:27" ht="18.75" hidden="1" customHeight="1">
      <c r="A250" s="302">
        <v>2003</v>
      </c>
      <c r="B250" s="301"/>
      <c r="C250" s="301"/>
      <c r="D250" s="301"/>
      <c r="E250" s="301"/>
      <c r="F250" s="301"/>
      <c r="G250" s="301"/>
      <c r="H250" s="301"/>
      <c r="I250" s="301"/>
      <c r="J250" s="301"/>
      <c r="K250" s="301"/>
      <c r="L250" s="301"/>
      <c r="M250" s="301"/>
      <c r="N250" s="288"/>
      <c r="O250" s="282"/>
      <c r="P250" s="282"/>
      <c r="Q250" s="282"/>
      <c r="R250" s="282"/>
      <c r="S250" s="282"/>
      <c r="T250" s="282"/>
      <c r="U250" s="282"/>
      <c r="V250" s="282"/>
      <c r="W250" s="282"/>
      <c r="X250" s="282"/>
      <c r="Y250" s="282"/>
      <c r="Z250" s="282"/>
      <c r="AA250" s="282"/>
    </row>
    <row r="251" spans="1:27" ht="18.75" hidden="1" customHeight="1">
      <c r="A251" s="289"/>
      <c r="B251" s="301"/>
      <c r="C251" s="301"/>
      <c r="D251" s="301"/>
      <c r="E251" s="301"/>
      <c r="F251" s="301"/>
      <c r="G251" s="301"/>
      <c r="H251" s="301"/>
      <c r="I251" s="301"/>
      <c r="J251" s="301"/>
      <c r="K251" s="301"/>
      <c r="L251" s="301"/>
      <c r="M251" s="301"/>
      <c r="N251" s="288"/>
      <c r="O251" s="282"/>
      <c r="P251" s="282"/>
      <c r="Q251" s="282"/>
      <c r="R251" s="282"/>
      <c r="S251" s="282"/>
      <c r="T251" s="282"/>
      <c r="U251" s="282"/>
      <c r="V251" s="282"/>
      <c r="W251" s="282"/>
      <c r="X251" s="282"/>
      <c r="Y251" s="282"/>
      <c r="Z251" s="282"/>
      <c r="AA251" s="282"/>
    </row>
    <row r="252" spans="1:27" ht="18.75" hidden="1">
      <c r="A252" s="289" t="s">
        <v>347</v>
      </c>
      <c r="B252" s="301">
        <v>8.4817999999999998</v>
      </c>
      <c r="C252" s="301">
        <v>20.794400000000003</v>
      </c>
      <c r="D252" s="301">
        <v>0.87129999999999996</v>
      </c>
      <c r="E252" s="301">
        <v>1.4717</v>
      </c>
      <c r="F252" s="301">
        <v>2.9824000000000002</v>
      </c>
      <c r="G252" s="301">
        <v>0.73950000000000005</v>
      </c>
      <c r="H252" s="301">
        <v>0.112</v>
      </c>
      <c r="I252" s="301">
        <v>55.975099999999998</v>
      </c>
      <c r="J252" s="301">
        <f t="shared" ref="J252:J257" si="18">(SUM(B252:I252))/1000</f>
        <v>9.1428200000000001E-2</v>
      </c>
      <c r="K252" s="301">
        <v>9.1120000000000001</v>
      </c>
      <c r="L252" s="301">
        <v>45.370899999999999</v>
      </c>
      <c r="M252" s="301">
        <f t="shared" ref="M252:M257" si="19">(SUM(J252:L252))/1000</f>
        <v>5.4574328199999994E-2</v>
      </c>
      <c r="N252" s="288"/>
      <c r="O252" s="282"/>
      <c r="P252" s="282"/>
      <c r="Q252" s="282"/>
      <c r="R252" s="282"/>
      <c r="S252" s="282"/>
      <c r="T252" s="282"/>
      <c r="U252" s="282"/>
      <c r="V252" s="282"/>
      <c r="W252" s="282"/>
      <c r="X252" s="282"/>
      <c r="Y252" s="282"/>
      <c r="Z252" s="282"/>
      <c r="AA252" s="282"/>
    </row>
    <row r="253" spans="1:27" ht="18.75" hidden="1">
      <c r="A253" s="289" t="s">
        <v>12</v>
      </c>
      <c r="B253" s="301">
        <v>6.9773999999999994</v>
      </c>
      <c r="C253" s="301">
        <v>0.50019999999999998</v>
      </c>
      <c r="D253" s="301">
        <v>0.2011</v>
      </c>
      <c r="E253" s="301">
        <v>0.75160000000000005</v>
      </c>
      <c r="F253" s="301">
        <v>2.3896999999999999</v>
      </c>
      <c r="G253" s="301">
        <v>1.1177000000000001</v>
      </c>
      <c r="H253" s="301">
        <v>0.112</v>
      </c>
      <c r="I253" s="301">
        <v>72.281300000000002</v>
      </c>
      <c r="J253" s="301">
        <f t="shared" si="18"/>
        <v>8.4331000000000003E-2</v>
      </c>
      <c r="K253" s="301">
        <v>10.883799999999999</v>
      </c>
      <c r="L253" s="301">
        <v>66.751499999999993</v>
      </c>
      <c r="M253" s="301">
        <f t="shared" si="19"/>
        <v>7.7719630999999997E-2</v>
      </c>
      <c r="N253" s="288"/>
      <c r="O253" s="282"/>
      <c r="P253" s="282"/>
      <c r="Q253" s="282"/>
      <c r="R253" s="282"/>
      <c r="S253" s="282"/>
      <c r="T253" s="282"/>
      <c r="U253" s="282"/>
      <c r="V253" s="282"/>
      <c r="W253" s="282"/>
      <c r="X253" s="282"/>
      <c r="Y253" s="282"/>
      <c r="Z253" s="282"/>
      <c r="AA253" s="282"/>
    </row>
    <row r="254" spans="1:27" ht="18.75" hidden="1">
      <c r="A254" s="289" t="s">
        <v>13</v>
      </c>
      <c r="B254" s="301">
        <v>4.8380000000000001</v>
      </c>
      <c r="C254" s="301">
        <v>0.5151</v>
      </c>
      <c r="D254" s="301">
        <v>3.8691999999999998</v>
      </c>
      <c r="E254" s="301">
        <v>0.84839999999999993</v>
      </c>
      <c r="F254" s="301">
        <v>5.7649999999999997</v>
      </c>
      <c r="G254" s="301">
        <v>1.6509</v>
      </c>
      <c r="H254" s="301">
        <v>0.112</v>
      </c>
      <c r="I254" s="301">
        <v>78.645300000000006</v>
      </c>
      <c r="J254" s="301">
        <f t="shared" si="18"/>
        <v>9.6243899999999993E-2</v>
      </c>
      <c r="K254" s="301">
        <v>13.791</v>
      </c>
      <c r="L254" s="301">
        <v>69.938699999999997</v>
      </c>
      <c r="M254" s="301">
        <f t="shared" si="19"/>
        <v>8.3825943900000005E-2</v>
      </c>
      <c r="N254" s="288"/>
      <c r="O254" s="282"/>
      <c r="P254" s="282"/>
      <c r="Q254" s="282"/>
      <c r="R254" s="282"/>
      <c r="S254" s="282"/>
      <c r="T254" s="282"/>
      <c r="U254" s="282"/>
      <c r="V254" s="282"/>
      <c r="W254" s="282"/>
      <c r="X254" s="282"/>
      <c r="Y254" s="282"/>
      <c r="Z254" s="282"/>
      <c r="AA254" s="282"/>
    </row>
    <row r="255" spans="1:27" ht="18.75" hidden="1">
      <c r="A255" s="289" t="s">
        <v>14</v>
      </c>
      <c r="B255" s="301">
        <v>6.1073999999999993</v>
      </c>
      <c r="C255" s="301">
        <v>1.6E-2</v>
      </c>
      <c r="D255" s="301">
        <v>3.6273</v>
      </c>
      <c r="E255" s="301">
        <v>3.2873000000000001</v>
      </c>
      <c r="F255" s="301">
        <v>3.9954999999999998</v>
      </c>
      <c r="G255" s="301">
        <v>1.1035999999999999</v>
      </c>
      <c r="H255" s="301">
        <v>0.112</v>
      </c>
      <c r="I255" s="301">
        <v>103.4546</v>
      </c>
      <c r="J255" s="301">
        <f t="shared" si="18"/>
        <v>0.1217037</v>
      </c>
      <c r="K255" s="301">
        <v>11.597299999999999</v>
      </c>
      <c r="L255" s="301">
        <v>50.688400000000001</v>
      </c>
      <c r="M255" s="301">
        <f t="shared" si="19"/>
        <v>6.2407403700000003E-2</v>
      </c>
      <c r="N255" s="288"/>
      <c r="O255" s="282"/>
      <c r="P255" s="282"/>
      <c r="Q255" s="282"/>
      <c r="R255" s="282"/>
      <c r="S255" s="282"/>
      <c r="T255" s="282"/>
      <c r="U255" s="282"/>
      <c r="V255" s="282"/>
      <c r="W255" s="282"/>
      <c r="X255" s="282"/>
      <c r="Y255" s="282"/>
      <c r="Z255" s="282"/>
      <c r="AA255" s="282"/>
    </row>
    <row r="256" spans="1:27" ht="18.75" hidden="1">
      <c r="A256" s="289" t="s">
        <v>15</v>
      </c>
      <c r="B256" s="301">
        <v>31.564700000000002</v>
      </c>
      <c r="C256" s="301">
        <v>1.6E-2</v>
      </c>
      <c r="D256" s="301">
        <v>3.6854</v>
      </c>
      <c r="E256" s="301">
        <v>4.1154999999999999</v>
      </c>
      <c r="F256" s="301">
        <v>3.6749999999999998</v>
      </c>
      <c r="G256" s="301">
        <v>2.7245999999999997</v>
      </c>
      <c r="H256" s="301">
        <v>0.112</v>
      </c>
      <c r="I256" s="301">
        <v>127.28749999999999</v>
      </c>
      <c r="J256" s="301">
        <f t="shared" si="18"/>
        <v>0.17318069999999999</v>
      </c>
      <c r="K256" s="301">
        <v>14.655799999999999</v>
      </c>
      <c r="L256" s="301">
        <v>91.842100000000002</v>
      </c>
      <c r="M256" s="301">
        <f t="shared" si="19"/>
        <v>0.1066710807</v>
      </c>
      <c r="N256" s="288"/>
      <c r="O256" s="282"/>
      <c r="P256" s="282"/>
      <c r="Q256" s="282"/>
      <c r="R256" s="282"/>
      <c r="S256" s="282"/>
      <c r="T256" s="282"/>
      <c r="U256" s="282"/>
      <c r="V256" s="282"/>
      <c r="W256" s="282"/>
      <c r="X256" s="282"/>
      <c r="Y256" s="282"/>
      <c r="Z256" s="282"/>
      <c r="AA256" s="282"/>
    </row>
    <row r="257" spans="1:27" ht="18.75" hidden="1">
      <c r="A257" s="289" t="s">
        <v>16</v>
      </c>
      <c r="B257" s="301">
        <v>11.426299999999999</v>
      </c>
      <c r="C257" s="301">
        <v>0.188</v>
      </c>
      <c r="D257" s="301">
        <v>18.241900000000001</v>
      </c>
      <c r="E257" s="301">
        <v>9.601799999999999</v>
      </c>
      <c r="F257" s="301">
        <v>2.4249999999999998</v>
      </c>
      <c r="G257" s="301">
        <v>1.9841</v>
      </c>
      <c r="H257" s="301">
        <v>0.112</v>
      </c>
      <c r="I257" s="301">
        <v>78.370100000000008</v>
      </c>
      <c r="J257" s="301">
        <f t="shared" si="18"/>
        <v>0.12234919999999999</v>
      </c>
      <c r="K257" s="301">
        <v>10.1463</v>
      </c>
      <c r="L257" s="301">
        <v>78.148099999999999</v>
      </c>
      <c r="M257" s="301">
        <f t="shared" si="19"/>
        <v>8.8416749199999992E-2</v>
      </c>
      <c r="N257" s="288"/>
      <c r="O257" s="282"/>
      <c r="P257" s="282"/>
      <c r="Q257" s="282"/>
      <c r="R257" s="282"/>
      <c r="S257" s="282"/>
      <c r="T257" s="282"/>
      <c r="U257" s="282"/>
      <c r="V257" s="282"/>
      <c r="W257" s="282"/>
      <c r="X257" s="282"/>
      <c r="Y257" s="282"/>
      <c r="Z257" s="282"/>
      <c r="AA257" s="282"/>
    </row>
    <row r="258" spans="1:27" ht="18.75" hidden="1">
      <c r="A258" s="289"/>
      <c r="B258" s="301"/>
      <c r="C258" s="301"/>
      <c r="D258" s="301"/>
      <c r="E258" s="301"/>
      <c r="F258" s="301"/>
      <c r="G258" s="301"/>
      <c r="H258" s="301"/>
      <c r="I258" s="301"/>
      <c r="J258" s="301"/>
      <c r="K258" s="301"/>
      <c r="L258" s="301"/>
      <c r="M258" s="301"/>
      <c r="N258" s="288"/>
      <c r="O258" s="282"/>
      <c r="P258" s="282"/>
      <c r="Q258" s="282"/>
      <c r="R258" s="282"/>
      <c r="S258" s="282"/>
      <c r="T258" s="282"/>
      <c r="U258" s="282"/>
      <c r="V258" s="282"/>
      <c r="W258" s="282"/>
      <c r="X258" s="282"/>
      <c r="Y258" s="282"/>
      <c r="Z258" s="282"/>
      <c r="AA258" s="282"/>
    </row>
    <row r="259" spans="1:27" ht="18.75" hidden="1">
      <c r="A259" s="302">
        <v>2004</v>
      </c>
      <c r="B259" s="301"/>
      <c r="C259" s="301"/>
      <c r="D259" s="301"/>
      <c r="E259" s="301"/>
      <c r="F259" s="301"/>
      <c r="G259" s="301"/>
      <c r="H259" s="301"/>
      <c r="I259" s="301"/>
      <c r="J259" s="301"/>
      <c r="K259" s="301"/>
      <c r="L259" s="301"/>
      <c r="M259" s="301"/>
      <c r="N259" s="288"/>
      <c r="O259" s="282"/>
      <c r="P259" s="282"/>
      <c r="Q259" s="282"/>
      <c r="R259" s="282"/>
      <c r="S259" s="282"/>
      <c r="T259" s="282"/>
      <c r="U259" s="282"/>
      <c r="V259" s="282"/>
      <c r="W259" s="282"/>
      <c r="X259" s="282"/>
      <c r="Y259" s="282"/>
      <c r="Z259" s="282"/>
      <c r="AA259" s="282"/>
    </row>
    <row r="260" spans="1:27" ht="18.75" hidden="1">
      <c r="A260" s="289"/>
      <c r="B260" s="301"/>
      <c r="C260" s="301"/>
      <c r="D260" s="301"/>
      <c r="E260" s="301"/>
      <c r="F260" s="301"/>
      <c r="G260" s="301"/>
      <c r="H260" s="301"/>
      <c r="I260" s="301"/>
      <c r="J260" s="301"/>
      <c r="K260" s="301"/>
      <c r="L260" s="301"/>
      <c r="M260" s="301"/>
      <c r="N260" s="288"/>
      <c r="O260" s="282"/>
      <c r="P260" s="282"/>
      <c r="Q260" s="282"/>
      <c r="R260" s="282"/>
      <c r="S260" s="282"/>
      <c r="T260" s="282"/>
      <c r="U260" s="282"/>
      <c r="V260" s="282"/>
      <c r="W260" s="282"/>
      <c r="X260" s="282"/>
      <c r="Y260" s="282"/>
      <c r="Z260" s="282"/>
      <c r="AA260" s="282"/>
    </row>
    <row r="261" spans="1:27" ht="18.75" hidden="1">
      <c r="A261" s="289" t="s">
        <v>8</v>
      </c>
      <c r="B261" s="301">
        <v>29.7438</v>
      </c>
      <c r="C261" s="301">
        <v>0.80579999999999996</v>
      </c>
      <c r="D261" s="301">
        <v>1.2522</v>
      </c>
      <c r="E261" s="301">
        <v>10.1313</v>
      </c>
      <c r="F261" s="301">
        <v>7.9459</v>
      </c>
      <c r="G261" s="301">
        <v>0.57789999999999997</v>
      </c>
      <c r="H261" s="301">
        <v>0.112</v>
      </c>
      <c r="I261" s="301">
        <v>88.566100000000006</v>
      </c>
      <c r="J261" s="301">
        <f t="shared" ref="J261:J272" si="20">(SUM(B261:I261))/1000</f>
        <v>0.13913499999999998</v>
      </c>
      <c r="K261" s="301">
        <v>2.0619999999999998</v>
      </c>
      <c r="L261" s="301">
        <v>115.2028</v>
      </c>
      <c r="M261" s="301">
        <f t="shared" ref="M261:M272" si="21">(SUM(J261:L261))/1000</f>
        <v>0.11740393499999999</v>
      </c>
      <c r="N261" s="288"/>
      <c r="O261" s="282"/>
      <c r="P261" s="282"/>
      <c r="Q261" s="282"/>
      <c r="R261" s="282"/>
      <c r="S261" s="282"/>
      <c r="T261" s="282"/>
      <c r="U261" s="282"/>
      <c r="V261" s="282"/>
      <c r="W261" s="282"/>
      <c r="X261" s="282"/>
      <c r="Y261" s="282"/>
      <c r="Z261" s="282"/>
      <c r="AA261" s="282"/>
    </row>
    <row r="262" spans="1:27" ht="18.75" hidden="1">
      <c r="A262" s="289" t="s">
        <v>9</v>
      </c>
      <c r="B262" s="301">
        <v>7.5789</v>
      </c>
      <c r="C262" s="301">
        <v>0.80579999999999996</v>
      </c>
      <c r="D262" s="301">
        <v>4.9112</v>
      </c>
      <c r="E262" s="301">
        <v>0.7077</v>
      </c>
      <c r="F262" s="301">
        <v>7.8958999999999993</v>
      </c>
      <c r="G262" s="301">
        <v>0.35830000000000001</v>
      </c>
      <c r="H262" s="301">
        <v>0.112</v>
      </c>
      <c r="I262" s="301">
        <v>109.22880000000001</v>
      </c>
      <c r="J262" s="301">
        <f t="shared" si="20"/>
        <v>0.13159860000000001</v>
      </c>
      <c r="K262" s="301">
        <v>4.3022999999999998</v>
      </c>
      <c r="L262" s="301">
        <v>122.61930000000001</v>
      </c>
      <c r="M262" s="301">
        <f t="shared" si="21"/>
        <v>0.12705319860000003</v>
      </c>
      <c r="N262" s="288"/>
      <c r="O262" s="282"/>
      <c r="P262" s="282"/>
      <c r="Q262" s="282"/>
      <c r="R262" s="282"/>
      <c r="S262" s="282"/>
      <c r="T262" s="282"/>
      <c r="U262" s="282"/>
      <c r="V262" s="282"/>
      <c r="W262" s="282"/>
      <c r="X262" s="282"/>
      <c r="Y262" s="282"/>
      <c r="Z262" s="282"/>
      <c r="AA262" s="282"/>
    </row>
    <row r="263" spans="1:27" ht="18.75" hidden="1">
      <c r="A263" s="289" t="s">
        <v>10</v>
      </c>
      <c r="B263" s="301">
        <v>7.8849</v>
      </c>
      <c r="C263" s="301">
        <v>2.06E-2</v>
      </c>
      <c r="D263" s="301">
        <v>1.8246</v>
      </c>
      <c r="E263" s="301">
        <v>14.062799999999999</v>
      </c>
      <c r="F263" s="301">
        <v>10.0959</v>
      </c>
      <c r="G263" s="301">
        <v>0.34539999999999998</v>
      </c>
      <c r="H263" s="301">
        <v>0.112</v>
      </c>
      <c r="I263" s="301">
        <v>111.2851</v>
      </c>
      <c r="J263" s="301">
        <f t="shared" si="20"/>
        <v>0.14563130000000002</v>
      </c>
      <c r="K263" s="301">
        <v>10.203700000000001</v>
      </c>
      <c r="L263" s="301">
        <v>102.1489</v>
      </c>
      <c r="M263" s="301">
        <f t="shared" si="21"/>
        <v>0.1124982313</v>
      </c>
      <c r="N263" s="288"/>
      <c r="O263" s="282"/>
      <c r="P263" s="282"/>
      <c r="Q263" s="282"/>
      <c r="R263" s="282"/>
      <c r="S263" s="282"/>
      <c r="T263" s="282"/>
      <c r="U263" s="282"/>
      <c r="V263" s="282"/>
      <c r="W263" s="282"/>
      <c r="X263" s="282"/>
      <c r="Y263" s="282"/>
      <c r="Z263" s="282"/>
      <c r="AA263" s="282"/>
    </row>
    <row r="264" spans="1:27" ht="18.75" hidden="1">
      <c r="A264" s="289" t="s">
        <v>11</v>
      </c>
      <c r="B264" s="301">
        <v>7.4055</v>
      </c>
      <c r="C264" s="301">
        <v>10.3886</v>
      </c>
      <c r="D264" s="301">
        <v>0.39989999999999998</v>
      </c>
      <c r="E264" s="301">
        <v>22.034299999999998</v>
      </c>
      <c r="F264" s="301">
        <v>7.8958999999999993</v>
      </c>
      <c r="G264" s="301">
        <v>0.34539999999999998</v>
      </c>
      <c r="H264" s="301">
        <v>0.112</v>
      </c>
      <c r="I264" s="301">
        <v>116.72319999999999</v>
      </c>
      <c r="J264" s="301">
        <f t="shared" si="20"/>
        <v>0.1653048</v>
      </c>
      <c r="K264" s="301">
        <v>3.9919000000000002</v>
      </c>
      <c r="L264" s="301">
        <v>113.7971</v>
      </c>
      <c r="M264" s="301">
        <f t="shared" si="21"/>
        <v>0.11795430480000001</v>
      </c>
      <c r="N264" s="288"/>
      <c r="O264" s="282"/>
      <c r="P264" s="282"/>
      <c r="Q264" s="282"/>
      <c r="R264" s="282"/>
      <c r="S264" s="282"/>
      <c r="T264" s="282"/>
      <c r="U264" s="282"/>
      <c r="V264" s="282"/>
      <c r="W264" s="282"/>
      <c r="X264" s="282"/>
      <c r="Y264" s="282"/>
      <c r="Z264" s="282"/>
      <c r="AA264" s="282"/>
    </row>
    <row r="265" spans="1:27" ht="18.75" hidden="1">
      <c r="A265" s="289" t="s">
        <v>337</v>
      </c>
      <c r="B265" s="301">
        <v>15.1624</v>
      </c>
      <c r="C265" s="301">
        <v>1.4732000000000001</v>
      </c>
      <c r="D265" s="301">
        <v>5.0730000000000004</v>
      </c>
      <c r="E265" s="301">
        <v>16.109500000000001</v>
      </c>
      <c r="F265" s="301">
        <v>9.4380000000000006</v>
      </c>
      <c r="G265" s="301">
        <v>0.34539999999999998</v>
      </c>
      <c r="H265" s="301">
        <v>0.112</v>
      </c>
      <c r="I265" s="301">
        <v>97.965000000000003</v>
      </c>
      <c r="J265" s="301">
        <f t="shared" si="20"/>
        <v>0.14567850000000002</v>
      </c>
      <c r="K265" s="301">
        <v>10.149799999999999</v>
      </c>
      <c r="L265" s="301">
        <v>129.49760000000001</v>
      </c>
      <c r="M265" s="301">
        <f t="shared" si="21"/>
        <v>0.1397930785</v>
      </c>
      <c r="N265" s="288"/>
      <c r="O265" s="282"/>
      <c r="P265" s="282"/>
      <c r="Q265" s="282"/>
      <c r="R265" s="282"/>
      <c r="S265" s="282"/>
      <c r="T265" s="282"/>
      <c r="U265" s="282"/>
      <c r="V265" s="282"/>
      <c r="W265" s="282"/>
      <c r="X265" s="282"/>
      <c r="Y265" s="282"/>
      <c r="Z265" s="282"/>
      <c r="AA265" s="282"/>
    </row>
    <row r="266" spans="1:27" ht="18.75" hidden="1">
      <c r="A266" s="289" t="s">
        <v>346</v>
      </c>
      <c r="B266" s="301">
        <v>20.0641</v>
      </c>
      <c r="C266" s="301">
        <v>3.9546999999999999</v>
      </c>
      <c r="D266" s="301">
        <v>0.39989999999999998</v>
      </c>
      <c r="E266" s="301">
        <v>13.549200000000001</v>
      </c>
      <c r="F266" s="301">
        <v>7.8958999999999993</v>
      </c>
      <c r="G266" s="301">
        <v>0.34539999999999998</v>
      </c>
      <c r="H266" s="301">
        <v>0.112</v>
      </c>
      <c r="I266" s="301">
        <v>113.62869999999999</v>
      </c>
      <c r="J266" s="301">
        <f t="shared" si="20"/>
        <v>0.15994989999999998</v>
      </c>
      <c r="K266" s="301">
        <v>11.1615</v>
      </c>
      <c r="L266" s="301">
        <v>170.47790000000001</v>
      </c>
      <c r="M266" s="301">
        <f t="shared" si="21"/>
        <v>0.18179934990000002</v>
      </c>
      <c r="N266" s="288"/>
      <c r="O266" s="282"/>
      <c r="P266" s="282"/>
      <c r="Q266" s="282"/>
      <c r="R266" s="282"/>
      <c r="S266" s="282"/>
      <c r="T266" s="282"/>
      <c r="U266" s="282"/>
      <c r="V266" s="282"/>
      <c r="W266" s="282"/>
      <c r="X266" s="282"/>
      <c r="Y266" s="282"/>
      <c r="Z266" s="282"/>
      <c r="AA266" s="282"/>
    </row>
    <row r="267" spans="1:27" ht="18.75" hidden="1">
      <c r="A267" s="289" t="s">
        <v>347</v>
      </c>
      <c r="B267" s="301">
        <v>1.3659000000000001</v>
      </c>
      <c r="C267" s="301">
        <v>0.66989999999999994</v>
      </c>
      <c r="D267" s="301">
        <v>1.4834000000000001</v>
      </c>
      <c r="E267" s="301">
        <v>5.9782999999999999</v>
      </c>
      <c r="F267" s="301">
        <v>7.8958999999999993</v>
      </c>
      <c r="G267" s="301">
        <v>0.34539999999999998</v>
      </c>
      <c r="H267" s="301">
        <v>0.112</v>
      </c>
      <c r="I267" s="301">
        <v>206.40970000000002</v>
      </c>
      <c r="J267" s="301">
        <f t="shared" si="20"/>
        <v>0.2242605</v>
      </c>
      <c r="K267" s="301">
        <v>17.334599999999998</v>
      </c>
      <c r="L267" s="301">
        <v>107.88200000000001</v>
      </c>
      <c r="M267" s="301">
        <f t="shared" si="21"/>
        <v>0.1254408605</v>
      </c>
      <c r="N267" s="288"/>
      <c r="O267" s="282"/>
      <c r="P267" s="282"/>
      <c r="Q267" s="282"/>
      <c r="R267" s="282"/>
      <c r="S267" s="282"/>
      <c r="T267" s="282"/>
      <c r="U267" s="282"/>
      <c r="V267" s="282"/>
      <c r="W267" s="282"/>
      <c r="X267" s="282"/>
      <c r="Y267" s="282"/>
      <c r="Z267" s="282"/>
      <c r="AA267" s="282"/>
    </row>
    <row r="268" spans="1:27" ht="18.75" hidden="1">
      <c r="A268" s="289" t="s">
        <v>12</v>
      </c>
      <c r="B268" s="301">
        <v>4.0506000000000002</v>
      </c>
      <c r="C268" s="301">
        <v>0.66989999999999994</v>
      </c>
      <c r="D268" s="301">
        <v>1.5426</v>
      </c>
      <c r="E268" s="301">
        <v>8.9474999999999998</v>
      </c>
      <c r="F268" s="301">
        <v>7.8958999999999993</v>
      </c>
      <c r="G268" s="301">
        <v>0.34539999999999998</v>
      </c>
      <c r="H268" s="301">
        <v>0.112</v>
      </c>
      <c r="I268" s="301">
        <v>136.36079999999998</v>
      </c>
      <c r="J268" s="301">
        <f t="shared" si="20"/>
        <v>0.15992469999999998</v>
      </c>
      <c r="K268" s="301">
        <v>9.508799999999999</v>
      </c>
      <c r="L268" s="301">
        <v>133.20310000000001</v>
      </c>
      <c r="M268" s="301">
        <f t="shared" si="21"/>
        <v>0.14287182469999998</v>
      </c>
      <c r="N268" s="288"/>
      <c r="O268" s="282"/>
      <c r="P268" s="282"/>
      <c r="Q268" s="282"/>
      <c r="R268" s="282"/>
      <c r="S268" s="282"/>
      <c r="T268" s="282"/>
      <c r="U268" s="282"/>
      <c r="V268" s="282"/>
      <c r="W268" s="282"/>
      <c r="X268" s="282"/>
      <c r="Y268" s="282"/>
      <c r="Z268" s="282"/>
      <c r="AA268" s="282"/>
    </row>
    <row r="269" spans="1:27" ht="18.75" hidden="1">
      <c r="A269" s="289" t="s">
        <v>13</v>
      </c>
      <c r="B269" s="301">
        <v>14.5983</v>
      </c>
      <c r="C269" s="301">
        <v>0.66989999999999994</v>
      </c>
      <c r="D269" s="301">
        <v>1.5794999999999999</v>
      </c>
      <c r="E269" s="301">
        <v>10.999799999999999</v>
      </c>
      <c r="F269" s="301">
        <v>7.8958999999999993</v>
      </c>
      <c r="G269" s="301">
        <v>0.50939999999999996</v>
      </c>
      <c r="H269" s="301">
        <v>0.112</v>
      </c>
      <c r="I269" s="301">
        <v>135.82979999999998</v>
      </c>
      <c r="J269" s="301">
        <f t="shared" si="20"/>
        <v>0.17219459999999998</v>
      </c>
      <c r="K269" s="301">
        <v>5.0881000000000007</v>
      </c>
      <c r="L269" s="301">
        <v>134.60410000000002</v>
      </c>
      <c r="M269" s="301">
        <f t="shared" si="21"/>
        <v>0.13986439460000002</v>
      </c>
      <c r="N269" s="288"/>
      <c r="O269" s="282"/>
      <c r="P269" s="282"/>
      <c r="Q269" s="282"/>
      <c r="R269" s="282"/>
      <c r="S269" s="282"/>
      <c r="T269" s="282"/>
      <c r="U269" s="282"/>
      <c r="V269" s="282"/>
      <c r="W269" s="282"/>
      <c r="X269" s="282"/>
      <c r="Y269" s="282"/>
      <c r="Z269" s="282"/>
      <c r="AA269" s="282"/>
    </row>
    <row r="270" spans="1:27" ht="18.75" hidden="1">
      <c r="A270" s="289" t="s">
        <v>14</v>
      </c>
      <c r="B270" s="301">
        <v>4.6512000000000002</v>
      </c>
      <c r="C270" s="301">
        <v>0.66989999999999994</v>
      </c>
      <c r="D270" s="301">
        <v>5.7089999999999996</v>
      </c>
      <c r="E270" s="301">
        <v>19.574300000000001</v>
      </c>
      <c r="F270" s="301">
        <v>7.8958999999999993</v>
      </c>
      <c r="G270" s="301">
        <v>0.34539999999999998</v>
      </c>
      <c r="H270" s="301">
        <v>0.112</v>
      </c>
      <c r="I270" s="301">
        <v>153.559</v>
      </c>
      <c r="J270" s="301">
        <f t="shared" si="20"/>
        <v>0.19251670000000001</v>
      </c>
      <c r="K270" s="301">
        <v>-5.6781999999999995</v>
      </c>
      <c r="L270" s="301">
        <v>130.7715</v>
      </c>
      <c r="M270" s="301">
        <f t="shared" si="21"/>
        <v>0.1252858167</v>
      </c>
      <c r="N270" s="288"/>
      <c r="O270" s="282"/>
      <c r="P270" s="282"/>
      <c r="Q270" s="282"/>
      <c r="R270" s="282"/>
      <c r="S270" s="282"/>
      <c r="T270" s="282"/>
      <c r="U270" s="282"/>
      <c r="V270" s="282"/>
      <c r="W270" s="282"/>
      <c r="X270" s="282"/>
      <c r="Y270" s="282"/>
      <c r="Z270" s="282"/>
      <c r="AA270" s="282"/>
    </row>
    <row r="271" spans="1:27" ht="18.75" hidden="1">
      <c r="A271" s="289" t="s">
        <v>15</v>
      </c>
      <c r="B271" s="301">
        <v>2.5234000000000001</v>
      </c>
      <c r="C271" s="301">
        <v>0.66989999999999994</v>
      </c>
      <c r="D271" s="301">
        <v>2.8401000000000001</v>
      </c>
      <c r="E271" s="301">
        <v>23.028599999999997</v>
      </c>
      <c r="F271" s="301">
        <v>7.8958999999999993</v>
      </c>
      <c r="G271" s="301">
        <v>0.34539999999999998</v>
      </c>
      <c r="H271" s="301">
        <v>0.112</v>
      </c>
      <c r="I271" s="301">
        <v>187.09100000000001</v>
      </c>
      <c r="J271" s="301">
        <f t="shared" si="20"/>
        <v>0.22450630000000002</v>
      </c>
      <c r="K271" s="301">
        <v>-6.4011000000000005</v>
      </c>
      <c r="L271" s="301">
        <v>126.4824</v>
      </c>
      <c r="M271" s="301">
        <f t="shared" si="21"/>
        <v>0.1203058063</v>
      </c>
      <c r="N271" s="288"/>
      <c r="O271" s="282"/>
      <c r="P271" s="282"/>
      <c r="Q271" s="282"/>
      <c r="R271" s="282"/>
      <c r="S271" s="282"/>
      <c r="T271" s="282"/>
      <c r="U271" s="282"/>
      <c r="V271" s="282"/>
      <c r="W271" s="282"/>
      <c r="X271" s="282"/>
      <c r="Y271" s="282"/>
      <c r="Z271" s="282"/>
      <c r="AA271" s="282"/>
    </row>
    <row r="272" spans="1:27" ht="18.75" hidden="1">
      <c r="A272" s="289" t="s">
        <v>16</v>
      </c>
      <c r="B272" s="301">
        <v>2.1583999999999999</v>
      </c>
      <c r="C272" s="301">
        <v>0.66989999999999994</v>
      </c>
      <c r="D272" s="301">
        <v>3.2100999999999997</v>
      </c>
      <c r="E272" s="301">
        <v>8.4202999999999992</v>
      </c>
      <c r="F272" s="301">
        <v>7.8958999999999993</v>
      </c>
      <c r="G272" s="301">
        <v>0.34539999999999998</v>
      </c>
      <c r="H272" s="301">
        <v>0.112</v>
      </c>
      <c r="I272" s="301">
        <v>180.68179999999998</v>
      </c>
      <c r="J272" s="301">
        <f t="shared" si="20"/>
        <v>0.20349379999999997</v>
      </c>
      <c r="K272" s="301">
        <v>-11.334299999999999</v>
      </c>
      <c r="L272" s="301">
        <v>130.72190000000001</v>
      </c>
      <c r="M272" s="301">
        <f t="shared" si="21"/>
        <v>0.11959109380000001</v>
      </c>
      <c r="N272" s="288"/>
      <c r="O272" s="282"/>
      <c r="P272" s="282"/>
      <c r="Q272" s="282"/>
      <c r="R272" s="282"/>
      <c r="S272" s="282"/>
      <c r="T272" s="282"/>
      <c r="U272" s="282"/>
      <c r="V272" s="282"/>
      <c r="W272" s="282"/>
      <c r="X272" s="282"/>
      <c r="Y272" s="282"/>
      <c r="Z272" s="282"/>
      <c r="AA272" s="282"/>
    </row>
    <row r="273" spans="1:27" ht="18.75" hidden="1">
      <c r="A273" s="289"/>
      <c r="B273" s="301"/>
      <c r="C273" s="301"/>
      <c r="D273" s="301"/>
      <c r="E273" s="301"/>
      <c r="F273" s="301"/>
      <c r="G273" s="301"/>
      <c r="H273" s="301"/>
      <c r="I273" s="301"/>
      <c r="J273" s="301"/>
      <c r="K273" s="301"/>
      <c r="L273" s="301"/>
      <c r="M273" s="301"/>
      <c r="N273" s="288"/>
      <c r="O273" s="282"/>
      <c r="P273" s="282"/>
      <c r="Q273" s="282"/>
      <c r="R273" s="282"/>
      <c r="S273" s="282"/>
      <c r="T273" s="282"/>
      <c r="U273" s="282"/>
      <c r="V273" s="282"/>
      <c r="W273" s="282"/>
      <c r="X273" s="282"/>
      <c r="Y273" s="282"/>
      <c r="Z273" s="282"/>
      <c r="AA273" s="282"/>
    </row>
    <row r="274" spans="1:27" ht="18.75" hidden="1">
      <c r="A274" s="302">
        <v>2005</v>
      </c>
      <c r="B274" s="301"/>
      <c r="C274" s="301"/>
      <c r="D274" s="301"/>
      <c r="E274" s="301"/>
      <c r="F274" s="301"/>
      <c r="G274" s="301"/>
      <c r="H274" s="301"/>
      <c r="I274" s="301"/>
      <c r="J274" s="301"/>
      <c r="K274" s="301"/>
      <c r="L274" s="301"/>
      <c r="M274" s="301"/>
      <c r="N274" s="288"/>
      <c r="O274" s="282"/>
      <c r="P274" s="282"/>
      <c r="Q274" s="282"/>
      <c r="R274" s="282"/>
      <c r="S274" s="282"/>
      <c r="T274" s="282"/>
      <c r="U274" s="282"/>
      <c r="V274" s="282"/>
      <c r="W274" s="282"/>
      <c r="X274" s="282"/>
      <c r="Y274" s="282"/>
      <c r="Z274" s="282"/>
      <c r="AA274" s="282"/>
    </row>
    <row r="275" spans="1:27" ht="18.75" hidden="1">
      <c r="A275" s="289"/>
      <c r="B275" s="301"/>
      <c r="C275" s="301"/>
      <c r="D275" s="301"/>
      <c r="E275" s="301"/>
      <c r="F275" s="301"/>
      <c r="G275" s="301"/>
      <c r="H275" s="301"/>
      <c r="I275" s="301"/>
      <c r="J275" s="301"/>
      <c r="K275" s="301"/>
      <c r="L275" s="301"/>
      <c r="M275" s="301"/>
      <c r="N275" s="288"/>
      <c r="O275" s="282"/>
      <c r="P275" s="282"/>
      <c r="Q275" s="282"/>
      <c r="R275" s="282"/>
      <c r="S275" s="282"/>
      <c r="T275" s="282"/>
      <c r="U275" s="282"/>
      <c r="V275" s="282"/>
      <c r="W275" s="282"/>
      <c r="X275" s="282"/>
      <c r="Y275" s="282"/>
      <c r="Z275" s="282"/>
      <c r="AA275" s="282"/>
    </row>
    <row r="276" spans="1:27" ht="18.75" hidden="1">
      <c r="A276" s="289" t="s">
        <v>8</v>
      </c>
      <c r="B276" s="301">
        <v>1.1597390000000001</v>
      </c>
      <c r="C276" s="301">
        <v>0.66994799999999999</v>
      </c>
      <c r="D276" s="301">
        <v>5.7732169999999998</v>
      </c>
      <c r="E276" s="301">
        <v>8.2646060000000006</v>
      </c>
      <c r="F276" s="301">
        <v>7.8958539999999999</v>
      </c>
      <c r="G276" s="301">
        <v>0.345389</v>
      </c>
      <c r="H276" s="301">
        <v>0.112</v>
      </c>
      <c r="I276" s="301">
        <v>269.62916999999999</v>
      </c>
      <c r="J276" s="301">
        <f>(SUM(B276:I276))/1000</f>
        <v>0.29384992300000001</v>
      </c>
      <c r="K276" s="301">
        <v>-12.225458</v>
      </c>
      <c r="L276" s="301">
        <v>145.58449600000003</v>
      </c>
      <c r="M276" s="301">
        <f>(SUM(J276:L276))/1000</f>
        <v>0.13365288792300004</v>
      </c>
      <c r="N276" s="288"/>
      <c r="O276" s="282"/>
      <c r="P276" s="282"/>
      <c r="Q276" s="282"/>
      <c r="R276" s="282"/>
      <c r="S276" s="282"/>
      <c r="T276" s="282"/>
      <c r="U276" s="282"/>
      <c r="V276" s="282"/>
      <c r="W276" s="282"/>
      <c r="X276" s="282"/>
      <c r="Y276" s="282"/>
      <c r="Z276" s="282"/>
      <c r="AA276" s="282"/>
    </row>
    <row r="277" spans="1:27" ht="18.75" hidden="1">
      <c r="A277" s="289" t="s">
        <v>9</v>
      </c>
      <c r="B277" s="301">
        <v>1.1609639999999999</v>
      </c>
      <c r="C277" s="301">
        <v>0.66994799999999999</v>
      </c>
      <c r="D277" s="301">
        <v>24.581810000000001</v>
      </c>
      <c r="E277" s="301">
        <v>1.7357119999999999</v>
      </c>
      <c r="F277" s="301">
        <v>7.8958539999999999</v>
      </c>
      <c r="G277" s="301">
        <v>0.345389</v>
      </c>
      <c r="H277" s="301">
        <v>0.112</v>
      </c>
      <c r="I277" s="301">
        <v>337.06586099999998</v>
      </c>
      <c r="J277" s="301">
        <f>(SUM(B277:I277))/1000</f>
        <v>0.37356753800000003</v>
      </c>
      <c r="K277" s="301">
        <v>46.581222000000004</v>
      </c>
      <c r="L277" s="301">
        <v>144.86516399999999</v>
      </c>
      <c r="M277" s="301">
        <f>(SUM(J277:L277))/1000</f>
        <v>0.19181995353799999</v>
      </c>
      <c r="N277" s="288"/>
      <c r="O277" s="282"/>
      <c r="P277" s="282"/>
      <c r="Q277" s="282"/>
      <c r="R277" s="282"/>
      <c r="S277" s="282"/>
      <c r="T277" s="282"/>
      <c r="U277" s="282"/>
      <c r="V277" s="282"/>
      <c r="W277" s="282"/>
      <c r="X277" s="282"/>
      <c r="Y277" s="282"/>
      <c r="Z277" s="282"/>
      <c r="AA277" s="282"/>
    </row>
    <row r="278" spans="1:27" ht="18.75" hidden="1">
      <c r="A278" s="289" t="s">
        <v>10</v>
      </c>
      <c r="B278" s="301">
        <v>1.1622870000000001</v>
      </c>
      <c r="C278" s="301">
        <v>0.66994799999999999</v>
      </c>
      <c r="D278" s="301">
        <v>16.298781000000002</v>
      </c>
      <c r="E278" s="301">
        <v>1.661173</v>
      </c>
      <c r="F278" s="301">
        <v>7.8958539999999999</v>
      </c>
      <c r="G278" s="301">
        <v>0.345389</v>
      </c>
      <c r="H278" s="301">
        <v>0.112</v>
      </c>
      <c r="I278" s="301">
        <v>319.60299500000002</v>
      </c>
      <c r="J278" s="301">
        <f>(SUM(B278:I278))/1000</f>
        <v>0.34774842700000003</v>
      </c>
      <c r="K278" s="301">
        <v>114.847345</v>
      </c>
      <c r="L278" s="301">
        <v>121.26343200000002</v>
      </c>
      <c r="M278" s="301">
        <f>(SUM(J278:L278))/1000</f>
        <v>0.23645852542700005</v>
      </c>
      <c r="N278" s="288"/>
      <c r="O278" s="282"/>
      <c r="P278" s="282"/>
      <c r="Q278" s="282"/>
      <c r="R278" s="282"/>
      <c r="S278" s="282"/>
      <c r="T278" s="282"/>
      <c r="U278" s="282"/>
      <c r="V278" s="282"/>
      <c r="W278" s="282"/>
      <c r="X278" s="282"/>
      <c r="Y278" s="282"/>
      <c r="Z278" s="282"/>
      <c r="AA278" s="282"/>
    </row>
    <row r="279" spans="1:27" ht="18.75" hidden="1">
      <c r="A279" s="289" t="s">
        <v>11</v>
      </c>
      <c r="B279" s="301">
        <v>1.1637</v>
      </c>
      <c r="C279" s="301">
        <v>0.66989999999999994</v>
      </c>
      <c r="D279" s="301">
        <v>36.287099999999995</v>
      </c>
      <c r="E279" s="301">
        <v>1.5290999999999999</v>
      </c>
      <c r="F279" s="301">
        <v>7.8958999999999993</v>
      </c>
      <c r="G279" s="301">
        <v>0.34539999999999998</v>
      </c>
      <c r="H279" s="301">
        <v>0.112</v>
      </c>
      <c r="I279" s="301">
        <v>310.00640000000004</v>
      </c>
      <c r="J279" s="301">
        <v>358.0095</v>
      </c>
      <c r="K279" s="301">
        <v>122.1947</v>
      </c>
      <c r="L279" s="301">
        <v>116.05510000000001</v>
      </c>
      <c r="M279" s="301">
        <v>596.25930000000005</v>
      </c>
      <c r="N279" s="288"/>
      <c r="O279" s="282"/>
      <c r="P279" s="282"/>
      <c r="Q279" s="282"/>
      <c r="R279" s="282"/>
      <c r="S279" s="282"/>
      <c r="T279" s="282"/>
      <c r="U279" s="282"/>
      <c r="V279" s="282"/>
      <c r="W279" s="282"/>
      <c r="X279" s="282"/>
      <c r="Y279" s="282"/>
      <c r="Z279" s="282"/>
      <c r="AA279" s="282"/>
    </row>
    <row r="280" spans="1:27" ht="18.75" hidden="1">
      <c r="A280" s="289" t="s">
        <v>337</v>
      </c>
      <c r="B280" s="301">
        <v>4.6707999999999998</v>
      </c>
      <c r="C280" s="301">
        <v>0.66989999999999994</v>
      </c>
      <c r="D280" s="301">
        <v>63.5824</v>
      </c>
      <c r="E280" s="301">
        <v>7.7178999999999993</v>
      </c>
      <c r="F280" s="301">
        <v>7.8958999999999993</v>
      </c>
      <c r="G280" s="301">
        <v>0.34539999999999998</v>
      </c>
      <c r="H280" s="301">
        <v>0.112</v>
      </c>
      <c r="I280" s="301">
        <v>383.89269999999999</v>
      </c>
      <c r="J280" s="301">
        <v>468.887</v>
      </c>
      <c r="K280" s="301">
        <v>129.65549999999999</v>
      </c>
      <c r="L280" s="301">
        <v>151.07310000000001</v>
      </c>
      <c r="M280" s="301">
        <v>749.61559999999997</v>
      </c>
      <c r="N280" s="288"/>
      <c r="O280" s="282"/>
      <c r="P280" s="282"/>
      <c r="Q280" s="282"/>
      <c r="R280" s="282"/>
      <c r="S280" s="282"/>
      <c r="T280" s="282"/>
      <c r="U280" s="282"/>
      <c r="V280" s="282"/>
      <c r="W280" s="282"/>
      <c r="X280" s="282"/>
      <c r="Y280" s="282"/>
      <c r="Z280" s="282"/>
      <c r="AA280" s="282"/>
    </row>
    <row r="281" spans="1:27" ht="18.75" hidden="1">
      <c r="A281" s="289" t="s">
        <v>346</v>
      </c>
      <c r="B281" s="301">
        <v>0.27379999999999999</v>
      </c>
      <c r="C281" s="301">
        <v>35.928100000000001</v>
      </c>
      <c r="D281" s="301">
        <v>0.39989999999999998</v>
      </c>
      <c r="E281" s="301">
        <v>0</v>
      </c>
      <c r="F281" s="301">
        <v>6.8958999999999993</v>
      </c>
      <c r="G281" s="301">
        <v>0.34539999999999998</v>
      </c>
      <c r="H281" s="301">
        <v>0.112</v>
      </c>
      <c r="I281" s="301">
        <v>180.6728</v>
      </c>
      <c r="J281" s="301">
        <v>224.62789999999998</v>
      </c>
      <c r="K281" s="301">
        <v>101.02589999999999</v>
      </c>
      <c r="L281" s="301">
        <v>76.613199999999992</v>
      </c>
      <c r="M281" s="301">
        <v>402.267</v>
      </c>
      <c r="N281" s="288"/>
      <c r="O281" s="282"/>
      <c r="P281" s="282"/>
      <c r="Q281" s="282"/>
      <c r="R281" s="282"/>
      <c r="S281" s="282"/>
      <c r="T281" s="282"/>
      <c r="U281" s="282"/>
      <c r="V281" s="282"/>
      <c r="W281" s="282"/>
      <c r="X281" s="282"/>
      <c r="Y281" s="282"/>
      <c r="Z281" s="282"/>
      <c r="AA281" s="282"/>
    </row>
    <row r="282" spans="1:27" ht="18.75" hidden="1">
      <c r="A282" s="289" t="s">
        <v>347</v>
      </c>
      <c r="B282" s="301">
        <v>17.719799999999999</v>
      </c>
      <c r="C282" s="301">
        <v>44.590800000000002</v>
      </c>
      <c r="D282" s="301">
        <v>0.39989999999999998</v>
      </c>
      <c r="E282" s="301">
        <v>0</v>
      </c>
      <c r="F282" s="301">
        <v>6.8958999999999993</v>
      </c>
      <c r="G282" s="301">
        <v>0.34539999999999998</v>
      </c>
      <c r="H282" s="301">
        <v>0.112</v>
      </c>
      <c r="I282" s="301">
        <v>208.11</v>
      </c>
      <c r="J282" s="301">
        <v>278.17379999999997</v>
      </c>
      <c r="K282" s="301">
        <v>118.8455</v>
      </c>
      <c r="L282" s="301">
        <v>110.70910000000001</v>
      </c>
      <c r="M282" s="301">
        <v>507.72840000000002</v>
      </c>
      <c r="N282" s="288"/>
      <c r="O282" s="282"/>
      <c r="P282" s="282"/>
      <c r="Q282" s="282"/>
      <c r="R282" s="282"/>
      <c r="S282" s="282"/>
      <c r="T282" s="282"/>
      <c r="U282" s="282"/>
      <c r="V282" s="282"/>
      <c r="W282" s="282"/>
      <c r="X282" s="282"/>
      <c r="Y282" s="282"/>
      <c r="Z282" s="282"/>
      <c r="AA282" s="282"/>
    </row>
    <row r="283" spans="1:27" ht="18.75" hidden="1">
      <c r="A283" s="289" t="s">
        <v>12</v>
      </c>
      <c r="B283" s="301">
        <v>0.2303</v>
      </c>
      <c r="C283" s="301">
        <v>4.2099999999999999E-2</v>
      </c>
      <c r="D283" s="301">
        <v>0.39989999999999998</v>
      </c>
      <c r="E283" s="301">
        <v>0</v>
      </c>
      <c r="F283" s="301">
        <v>6.8958999999999993</v>
      </c>
      <c r="G283" s="301">
        <v>0.34539999999999998</v>
      </c>
      <c r="H283" s="301">
        <v>0.112</v>
      </c>
      <c r="I283" s="301">
        <v>191.49370000000002</v>
      </c>
      <c r="J283" s="301">
        <v>199.51929999999999</v>
      </c>
      <c r="K283" s="301">
        <v>136.9667</v>
      </c>
      <c r="L283" s="301">
        <v>214.7216</v>
      </c>
      <c r="M283" s="301">
        <v>551.20759999999996</v>
      </c>
      <c r="N283" s="288"/>
      <c r="O283" s="282"/>
      <c r="P283" s="282"/>
      <c r="Q283" s="282"/>
      <c r="R283" s="282"/>
      <c r="S283" s="282"/>
      <c r="T283" s="282"/>
      <c r="U283" s="282"/>
      <c r="V283" s="282"/>
      <c r="W283" s="282"/>
      <c r="X283" s="282"/>
      <c r="Y283" s="282"/>
      <c r="Z283" s="282"/>
      <c r="AA283" s="282"/>
    </row>
    <row r="284" spans="1:27" ht="18.75" hidden="1">
      <c r="A284" s="289" t="s">
        <v>13</v>
      </c>
      <c r="B284" s="301">
        <v>15.0611</v>
      </c>
      <c r="C284" s="301">
        <v>1.5E-3</v>
      </c>
      <c r="D284" s="301">
        <v>0</v>
      </c>
      <c r="E284" s="301">
        <v>0</v>
      </c>
      <c r="F284" s="301">
        <v>0</v>
      </c>
      <c r="G284" s="301">
        <v>0</v>
      </c>
      <c r="H284" s="301">
        <v>0.112</v>
      </c>
      <c r="I284" s="301">
        <v>139.64079999999998</v>
      </c>
      <c r="J284" s="301">
        <v>154.81539999999998</v>
      </c>
      <c r="K284" s="301">
        <v>290.03909999999996</v>
      </c>
      <c r="L284" s="301">
        <v>149.26510000000002</v>
      </c>
      <c r="M284" s="301">
        <v>594.11969999999997</v>
      </c>
      <c r="N284" s="288"/>
      <c r="O284" s="282"/>
      <c r="P284" s="282"/>
      <c r="Q284" s="282"/>
      <c r="R284" s="282"/>
      <c r="S284" s="282"/>
      <c r="T284" s="282"/>
      <c r="U284" s="282"/>
      <c r="V284" s="282"/>
      <c r="W284" s="282"/>
      <c r="X284" s="282"/>
      <c r="Y284" s="282"/>
      <c r="Z284" s="282"/>
      <c r="AA284" s="282"/>
    </row>
    <row r="285" spans="1:27" ht="18.75" hidden="1">
      <c r="A285" s="289" t="s">
        <v>14</v>
      </c>
      <c r="B285" s="301">
        <v>33.019599999999997</v>
      </c>
      <c r="C285" s="301">
        <v>1.5E-3</v>
      </c>
      <c r="D285" s="301">
        <v>0</v>
      </c>
      <c r="E285" s="301">
        <v>0</v>
      </c>
      <c r="F285" s="301">
        <v>0</v>
      </c>
      <c r="G285" s="301">
        <v>0</v>
      </c>
      <c r="H285" s="301">
        <v>0.112</v>
      </c>
      <c r="I285" s="301">
        <v>464.82380000000001</v>
      </c>
      <c r="J285" s="301">
        <v>497.95699999999999</v>
      </c>
      <c r="K285" s="301">
        <v>331.8279</v>
      </c>
      <c r="L285" s="301">
        <v>186.75200000000001</v>
      </c>
      <c r="M285" s="301">
        <v>1016.5369000000001</v>
      </c>
      <c r="N285" s="288"/>
      <c r="O285" s="282"/>
      <c r="P285" s="282"/>
      <c r="Q285" s="282"/>
      <c r="R285" s="282"/>
      <c r="S285" s="282"/>
      <c r="T285" s="282"/>
      <c r="U285" s="282"/>
      <c r="V285" s="282"/>
      <c r="W285" s="282"/>
      <c r="X285" s="282"/>
      <c r="Y285" s="282"/>
      <c r="Z285" s="282"/>
      <c r="AA285" s="282"/>
    </row>
    <row r="286" spans="1:27" ht="18.75" hidden="1">
      <c r="A286" s="289" t="s">
        <v>15</v>
      </c>
      <c r="B286" s="301">
        <v>7.2412999999999998</v>
      </c>
      <c r="C286" s="301">
        <v>0</v>
      </c>
      <c r="D286" s="301">
        <v>0</v>
      </c>
      <c r="E286" s="301">
        <v>228.98129999999998</v>
      </c>
      <c r="F286" s="301">
        <v>0</v>
      </c>
      <c r="G286" s="301">
        <v>0</v>
      </c>
      <c r="H286" s="301">
        <v>0.2407</v>
      </c>
      <c r="I286" s="301">
        <v>317.83840000000004</v>
      </c>
      <c r="J286" s="301">
        <v>554.30160000000001</v>
      </c>
      <c r="K286" s="301">
        <v>510.33840000000004</v>
      </c>
      <c r="L286" s="301">
        <v>339.89940000000001</v>
      </c>
      <c r="M286" s="301">
        <v>1404.5395000000001</v>
      </c>
      <c r="N286" s="288"/>
      <c r="O286" s="282"/>
      <c r="P286" s="282"/>
      <c r="Q286" s="282"/>
      <c r="R286" s="282"/>
      <c r="S286" s="282"/>
      <c r="T286" s="282"/>
      <c r="U286" s="282"/>
      <c r="V286" s="282"/>
      <c r="W286" s="282"/>
      <c r="X286" s="282"/>
      <c r="Y286" s="282"/>
      <c r="Z286" s="282"/>
      <c r="AA286" s="282"/>
    </row>
    <row r="287" spans="1:27" ht="18.75" hidden="1">
      <c r="A287" s="289" t="s">
        <v>16</v>
      </c>
      <c r="B287" s="301">
        <v>0</v>
      </c>
      <c r="C287" s="301">
        <v>6.8958999999999993</v>
      </c>
      <c r="D287" s="301">
        <v>0</v>
      </c>
      <c r="E287" s="301">
        <v>0</v>
      </c>
      <c r="F287" s="301">
        <v>199.62520000000001</v>
      </c>
      <c r="G287" s="301">
        <v>0</v>
      </c>
      <c r="H287" s="301">
        <v>0.112</v>
      </c>
      <c r="I287" s="301">
        <v>569.00959999999998</v>
      </c>
      <c r="J287" s="301">
        <v>775.64260000000002</v>
      </c>
      <c r="K287" s="301">
        <v>406.38959999999997</v>
      </c>
      <c r="L287" s="301">
        <v>276.60750000000002</v>
      </c>
      <c r="M287" s="301">
        <v>1458.6396999999999</v>
      </c>
      <c r="N287" s="288"/>
      <c r="O287" s="282"/>
      <c r="P287" s="282"/>
      <c r="Q287" s="282"/>
      <c r="R287" s="282"/>
      <c r="S287" s="282"/>
      <c r="T287" s="282"/>
      <c r="U287" s="282"/>
      <c r="V287" s="282"/>
      <c r="W287" s="282"/>
      <c r="X287" s="282"/>
      <c r="Y287" s="282"/>
      <c r="Z287" s="282"/>
      <c r="AA287" s="282"/>
    </row>
    <row r="288" spans="1:27" ht="18.75" hidden="1">
      <c r="A288" s="289"/>
      <c r="B288" s="301"/>
      <c r="C288" s="301"/>
      <c r="D288" s="301"/>
      <c r="E288" s="301"/>
      <c r="F288" s="301"/>
      <c r="G288" s="301"/>
      <c r="H288" s="301"/>
      <c r="I288" s="301"/>
      <c r="J288" s="301"/>
      <c r="K288" s="301"/>
      <c r="L288" s="301"/>
      <c r="M288" s="301"/>
      <c r="N288" s="288"/>
      <c r="O288" s="282"/>
      <c r="P288" s="282"/>
      <c r="Q288" s="282"/>
      <c r="R288" s="282"/>
      <c r="S288" s="282"/>
      <c r="T288" s="282"/>
      <c r="U288" s="282"/>
      <c r="V288" s="282"/>
      <c r="W288" s="282"/>
      <c r="X288" s="282"/>
      <c r="Y288" s="282"/>
      <c r="Z288" s="282"/>
      <c r="AA288" s="282"/>
    </row>
    <row r="289" spans="1:27" ht="18.75" hidden="1">
      <c r="A289" s="289"/>
      <c r="B289" s="301"/>
      <c r="C289" s="301"/>
      <c r="D289" s="301"/>
      <c r="E289" s="301"/>
      <c r="F289" s="301"/>
      <c r="G289" s="301"/>
      <c r="H289" s="301"/>
      <c r="I289" s="301"/>
      <c r="J289" s="301"/>
      <c r="K289" s="301"/>
      <c r="L289" s="301"/>
      <c r="M289" s="301"/>
      <c r="N289" s="288"/>
      <c r="O289" s="282"/>
      <c r="P289" s="282"/>
      <c r="Q289" s="282"/>
      <c r="R289" s="282"/>
      <c r="S289" s="282"/>
      <c r="T289" s="282"/>
      <c r="U289" s="282"/>
      <c r="V289" s="282"/>
      <c r="W289" s="282"/>
      <c r="X289" s="282"/>
      <c r="Y289" s="282"/>
      <c r="Z289" s="282"/>
      <c r="AA289" s="282"/>
    </row>
    <row r="290" spans="1:27" ht="18.75" hidden="1">
      <c r="A290" s="302">
        <v>2006</v>
      </c>
      <c r="B290" s="301"/>
      <c r="C290" s="301"/>
      <c r="D290" s="301"/>
      <c r="E290" s="301"/>
      <c r="F290" s="301"/>
      <c r="G290" s="301"/>
      <c r="H290" s="301"/>
      <c r="I290" s="301"/>
      <c r="J290" s="301"/>
      <c r="K290" s="301"/>
      <c r="L290" s="301"/>
      <c r="M290" s="301"/>
      <c r="N290" s="288"/>
      <c r="O290" s="282"/>
      <c r="P290" s="282"/>
      <c r="Q290" s="282"/>
      <c r="R290" s="282"/>
      <c r="S290" s="282"/>
      <c r="T290" s="282"/>
      <c r="U290" s="282"/>
      <c r="V290" s="282"/>
      <c r="W290" s="282"/>
      <c r="X290" s="282"/>
      <c r="Y290" s="282"/>
      <c r="Z290" s="282"/>
      <c r="AA290" s="282"/>
    </row>
    <row r="291" spans="1:27" ht="18.75" hidden="1">
      <c r="A291" s="302"/>
      <c r="B291" s="301"/>
      <c r="C291" s="301"/>
      <c r="D291" s="301"/>
      <c r="E291" s="301"/>
      <c r="F291" s="301"/>
      <c r="G291" s="301"/>
      <c r="H291" s="301"/>
      <c r="I291" s="301"/>
      <c r="J291" s="301"/>
      <c r="K291" s="301"/>
      <c r="L291" s="301"/>
      <c r="M291" s="301"/>
      <c r="N291" s="288"/>
      <c r="O291" s="282"/>
      <c r="P291" s="282"/>
      <c r="Q291" s="282"/>
      <c r="R291" s="282"/>
      <c r="S291" s="282"/>
      <c r="T291" s="282"/>
      <c r="U291" s="282"/>
      <c r="V291" s="282"/>
      <c r="W291" s="282"/>
      <c r="X291" s="282"/>
      <c r="Y291" s="282"/>
      <c r="Z291" s="282"/>
      <c r="AA291" s="282"/>
    </row>
    <row r="292" spans="1:27" ht="18.75" hidden="1">
      <c r="A292" s="289" t="s">
        <v>8</v>
      </c>
      <c r="B292" s="301">
        <v>24.141549999999999</v>
      </c>
      <c r="C292" s="301">
        <v>323.31167800000003</v>
      </c>
      <c r="D292" s="301">
        <v>0</v>
      </c>
      <c r="E292" s="301">
        <v>0</v>
      </c>
      <c r="F292" s="301">
        <v>0</v>
      </c>
      <c r="G292" s="301">
        <v>0</v>
      </c>
      <c r="H292" s="301">
        <v>4.3161570000000005</v>
      </c>
      <c r="I292" s="301">
        <v>418.72778099999999</v>
      </c>
      <c r="J292" s="301">
        <v>770.49716599999999</v>
      </c>
      <c r="K292" s="301">
        <v>633.51146100000005</v>
      </c>
      <c r="L292" s="301">
        <v>1490.457034</v>
      </c>
      <c r="M292" s="301">
        <v>2894.4656609999997</v>
      </c>
      <c r="N292" s="288"/>
      <c r="O292" s="282"/>
      <c r="P292" s="282"/>
      <c r="Q292" s="282"/>
      <c r="R292" s="282"/>
      <c r="S292" s="282"/>
      <c r="T292" s="282"/>
      <c r="U292" s="282"/>
      <c r="V292" s="282"/>
      <c r="W292" s="282"/>
      <c r="X292" s="282"/>
      <c r="Y292" s="282"/>
      <c r="Z292" s="282"/>
      <c r="AA292" s="282"/>
    </row>
    <row r="293" spans="1:27" ht="18.75" hidden="1">
      <c r="A293" s="289" t="s">
        <v>9</v>
      </c>
      <c r="B293" s="301">
        <v>24.141549999999999</v>
      </c>
      <c r="C293" s="301">
        <v>323.31167800000003</v>
      </c>
      <c r="D293" s="301">
        <v>0</v>
      </c>
      <c r="E293" s="301">
        <v>0</v>
      </c>
      <c r="F293" s="301">
        <v>0</v>
      </c>
      <c r="G293" s="301">
        <v>0</v>
      </c>
      <c r="H293" s="301">
        <v>4.3161570000000005</v>
      </c>
      <c r="I293" s="301">
        <v>484.26892599999996</v>
      </c>
      <c r="J293" s="301">
        <v>836.03831100000002</v>
      </c>
      <c r="K293" s="301">
        <v>685.84862399999997</v>
      </c>
      <c r="L293" s="301">
        <v>1505.18948</v>
      </c>
      <c r="M293" s="301">
        <v>3027.076415</v>
      </c>
      <c r="N293" s="288"/>
      <c r="O293" s="282"/>
      <c r="P293" s="282"/>
      <c r="Q293" s="282"/>
      <c r="R293" s="282"/>
      <c r="S293" s="282"/>
      <c r="T293" s="282"/>
      <c r="U293" s="282"/>
      <c r="V293" s="282"/>
      <c r="W293" s="282"/>
      <c r="X293" s="282"/>
      <c r="Y293" s="282"/>
      <c r="Z293" s="282"/>
      <c r="AA293" s="282"/>
    </row>
    <row r="294" spans="1:27" ht="18.75" hidden="1">
      <c r="A294" s="289" t="s">
        <v>10</v>
      </c>
      <c r="B294" s="301">
        <v>2.1000259999999997</v>
      </c>
      <c r="C294" s="301">
        <v>0</v>
      </c>
      <c r="D294" s="301">
        <v>0</v>
      </c>
      <c r="E294" s="301">
        <v>0</v>
      </c>
      <c r="F294" s="301">
        <v>0</v>
      </c>
      <c r="G294" s="301">
        <v>0</v>
      </c>
      <c r="H294" s="301">
        <v>6.4521610000000003</v>
      </c>
      <c r="I294" s="301">
        <v>1139.6790169999999</v>
      </c>
      <c r="J294" s="301">
        <v>1148.2312039999999</v>
      </c>
      <c r="K294" s="301">
        <v>727.71023500000001</v>
      </c>
      <c r="L294" s="301">
        <v>1177.9767440000005</v>
      </c>
      <c r="M294" s="301">
        <v>3053.9181830000002</v>
      </c>
      <c r="N294" s="288"/>
      <c r="O294" s="282"/>
      <c r="P294" s="282"/>
      <c r="Q294" s="282"/>
      <c r="R294" s="282"/>
      <c r="S294" s="282"/>
      <c r="T294" s="282"/>
      <c r="U294" s="282"/>
      <c r="V294" s="282"/>
      <c r="W294" s="282"/>
      <c r="X294" s="282"/>
      <c r="Y294" s="282"/>
      <c r="Z294" s="282"/>
      <c r="AA294" s="282"/>
    </row>
    <row r="295" spans="1:27" ht="18.75" hidden="1">
      <c r="A295" s="289" t="s">
        <v>11</v>
      </c>
      <c r="B295" s="301">
        <v>21.8947</v>
      </c>
      <c r="C295" s="301">
        <v>16.983599999999999</v>
      </c>
      <c r="D295" s="301">
        <v>0</v>
      </c>
      <c r="E295" s="301">
        <v>0</v>
      </c>
      <c r="F295" s="301">
        <v>0</v>
      </c>
      <c r="G295" s="301">
        <v>0</v>
      </c>
      <c r="H295" s="301">
        <v>0</v>
      </c>
      <c r="I295" s="301">
        <v>1340.1142</v>
      </c>
      <c r="J295" s="301">
        <v>1378.9925000000001</v>
      </c>
      <c r="K295" s="301">
        <v>809.67619999999999</v>
      </c>
      <c r="L295" s="301">
        <v>1547.337</v>
      </c>
      <c r="M295" s="301">
        <f>(SUM(J295:L295))</f>
        <v>3736.0057000000002</v>
      </c>
      <c r="N295" s="288"/>
      <c r="O295" s="282"/>
      <c r="P295" s="282"/>
      <c r="Q295" s="282"/>
      <c r="R295" s="282"/>
      <c r="S295" s="282"/>
      <c r="T295" s="282"/>
      <c r="U295" s="282"/>
      <c r="V295" s="282"/>
      <c r="W295" s="282"/>
      <c r="X295" s="282"/>
      <c r="Y295" s="282"/>
      <c r="Z295" s="282"/>
      <c r="AA295" s="282"/>
    </row>
    <row r="296" spans="1:27" ht="18.75" hidden="1">
      <c r="A296" s="289" t="s">
        <v>337</v>
      </c>
      <c r="B296" s="301">
        <v>36.523199999999996</v>
      </c>
      <c r="C296" s="301">
        <v>0</v>
      </c>
      <c r="D296" s="301">
        <v>0</v>
      </c>
      <c r="E296" s="301">
        <v>0</v>
      </c>
      <c r="F296" s="301">
        <v>0</v>
      </c>
      <c r="G296" s="301">
        <v>0</v>
      </c>
      <c r="H296" s="301">
        <v>0</v>
      </c>
      <c r="I296" s="301">
        <v>932.15180000000009</v>
      </c>
      <c r="J296" s="301">
        <v>968.67489999999998</v>
      </c>
      <c r="K296" s="301">
        <v>887.57650000000001</v>
      </c>
      <c r="L296" s="301">
        <v>1411.8401999999999</v>
      </c>
      <c r="M296" s="301">
        <v>3268.0917000000004</v>
      </c>
      <c r="N296" s="288"/>
      <c r="O296" s="282"/>
      <c r="P296" s="282"/>
      <c r="Q296" s="282"/>
      <c r="R296" s="282"/>
      <c r="S296" s="282"/>
      <c r="T296" s="282"/>
      <c r="U296" s="282"/>
      <c r="V296" s="282"/>
      <c r="W296" s="282"/>
      <c r="X296" s="282"/>
      <c r="Y296" s="282"/>
      <c r="Z296" s="282"/>
      <c r="AA296" s="282"/>
    </row>
    <row r="297" spans="1:27" ht="18.75" hidden="1">
      <c r="A297" s="289" t="s">
        <v>346</v>
      </c>
      <c r="B297" s="301">
        <v>11.8811</v>
      </c>
      <c r="C297" s="301">
        <v>0</v>
      </c>
      <c r="D297" s="301">
        <v>0</v>
      </c>
      <c r="E297" s="301">
        <v>0</v>
      </c>
      <c r="F297" s="301">
        <v>0</v>
      </c>
      <c r="G297" s="301">
        <v>0</v>
      </c>
      <c r="H297" s="301">
        <v>0</v>
      </c>
      <c r="I297" s="301">
        <v>1169.1181000000001</v>
      </c>
      <c r="J297" s="301">
        <v>1180.9992</v>
      </c>
      <c r="K297" s="301">
        <v>1764.5326</v>
      </c>
      <c r="L297" s="301">
        <v>1433.0166999999999</v>
      </c>
      <c r="M297" s="301">
        <v>4378.5486000000001</v>
      </c>
      <c r="N297" s="288"/>
      <c r="O297" s="282"/>
      <c r="P297" s="282"/>
      <c r="Q297" s="282"/>
      <c r="R297" s="282"/>
      <c r="S297" s="282"/>
      <c r="T297" s="282"/>
      <c r="U297" s="282"/>
      <c r="V297" s="282"/>
      <c r="W297" s="282"/>
      <c r="X297" s="282"/>
      <c r="Y297" s="282"/>
      <c r="Z297" s="282"/>
      <c r="AA297" s="282"/>
    </row>
    <row r="298" spans="1:27" ht="18.75" hidden="1">
      <c r="A298" s="289" t="s">
        <v>347</v>
      </c>
      <c r="B298" s="301">
        <v>11.8561</v>
      </c>
      <c r="C298" s="301">
        <v>0</v>
      </c>
      <c r="D298" s="301">
        <v>0</v>
      </c>
      <c r="E298" s="301">
        <v>0</v>
      </c>
      <c r="F298" s="301">
        <v>0</v>
      </c>
      <c r="G298" s="301">
        <v>0</v>
      </c>
      <c r="H298" s="301">
        <v>0.112</v>
      </c>
      <c r="I298" s="301">
        <v>1139.0703999999998</v>
      </c>
      <c r="J298" s="301">
        <v>1151.0385000000001</v>
      </c>
      <c r="K298" s="301">
        <v>1753.4853999999998</v>
      </c>
      <c r="L298" s="301">
        <v>1754.0231999999999</v>
      </c>
      <c r="M298" s="301">
        <v>4658.5469999999996</v>
      </c>
      <c r="N298" s="288"/>
      <c r="O298" s="282"/>
      <c r="P298" s="282"/>
      <c r="Q298" s="282"/>
      <c r="R298" s="282"/>
      <c r="S298" s="282"/>
      <c r="T298" s="282"/>
      <c r="U298" s="282"/>
      <c r="V298" s="282"/>
      <c r="W298" s="282"/>
      <c r="X298" s="282"/>
      <c r="Y298" s="282"/>
      <c r="Z298" s="282"/>
      <c r="AA298" s="282"/>
    </row>
    <row r="299" spans="1:27" ht="18.75" hidden="1">
      <c r="A299" s="289" t="s">
        <v>12</v>
      </c>
      <c r="B299" s="301">
        <v>0</v>
      </c>
      <c r="C299" s="301">
        <v>0</v>
      </c>
      <c r="D299" s="301">
        <v>0</v>
      </c>
      <c r="E299" s="301">
        <v>0</v>
      </c>
      <c r="F299" s="301">
        <v>0</v>
      </c>
      <c r="G299" s="301">
        <v>0</v>
      </c>
      <c r="H299" s="301">
        <v>0</v>
      </c>
      <c r="I299" s="301">
        <v>1314.0531000000001</v>
      </c>
      <c r="J299" s="301">
        <v>1314.0531000000001</v>
      </c>
      <c r="K299" s="301">
        <v>2931.5920000000001</v>
      </c>
      <c r="L299" s="301">
        <v>2921.3447000000001</v>
      </c>
      <c r="M299" s="301">
        <v>7166.9899000000005</v>
      </c>
      <c r="N299" s="288"/>
      <c r="O299" s="282"/>
      <c r="P299" s="282"/>
      <c r="Q299" s="282"/>
      <c r="R299" s="282"/>
      <c r="S299" s="282"/>
      <c r="T299" s="282"/>
      <c r="U299" s="282"/>
      <c r="V299" s="282"/>
      <c r="W299" s="282"/>
      <c r="X299" s="282"/>
      <c r="Y299" s="282"/>
      <c r="Z299" s="282"/>
      <c r="AA299" s="282"/>
    </row>
    <row r="300" spans="1:27" ht="18.75" hidden="1">
      <c r="A300" s="289" t="s">
        <v>13</v>
      </c>
      <c r="B300" s="301">
        <v>0</v>
      </c>
      <c r="C300" s="301">
        <v>0</v>
      </c>
      <c r="D300" s="301">
        <v>0</v>
      </c>
      <c r="E300" s="301">
        <v>0</v>
      </c>
      <c r="F300" s="301">
        <v>0</v>
      </c>
      <c r="G300" s="301">
        <v>0</v>
      </c>
      <c r="H300" s="301">
        <v>0</v>
      </c>
      <c r="I300" s="301">
        <v>2493.2773999999999</v>
      </c>
      <c r="J300" s="301">
        <v>2493.2773999999999</v>
      </c>
      <c r="K300" s="301">
        <v>5527.6867000000002</v>
      </c>
      <c r="L300" s="301">
        <v>4590.0259999999998</v>
      </c>
      <c r="M300" s="301">
        <v>12610.990099999999</v>
      </c>
      <c r="N300" s="288"/>
      <c r="O300" s="282"/>
      <c r="P300" s="282"/>
      <c r="Q300" s="282"/>
      <c r="R300" s="282"/>
      <c r="S300" s="282"/>
      <c r="T300" s="282"/>
      <c r="U300" s="282"/>
      <c r="V300" s="282"/>
      <c r="W300" s="282"/>
      <c r="X300" s="282"/>
      <c r="Y300" s="282"/>
      <c r="Z300" s="282"/>
      <c r="AA300" s="282"/>
    </row>
    <row r="301" spans="1:27" ht="18.75" hidden="1">
      <c r="A301" s="289" t="s">
        <v>14</v>
      </c>
      <c r="B301" s="301">
        <v>0</v>
      </c>
      <c r="C301" s="301">
        <v>0</v>
      </c>
      <c r="D301" s="301">
        <v>0</v>
      </c>
      <c r="E301" s="301">
        <v>0</v>
      </c>
      <c r="F301" s="301">
        <v>81.617899999999992</v>
      </c>
      <c r="G301" s="301">
        <v>0</v>
      </c>
      <c r="H301" s="301">
        <v>0</v>
      </c>
      <c r="I301" s="301">
        <v>3697.3125</v>
      </c>
      <c r="J301" s="301">
        <v>3778.9303999999997</v>
      </c>
      <c r="K301" s="301">
        <v>6912.4107999999997</v>
      </c>
      <c r="L301" s="301">
        <v>5405.8431</v>
      </c>
      <c r="M301" s="301">
        <f>(SUM(J301:L301))</f>
        <v>16097.184299999999</v>
      </c>
      <c r="N301" s="288"/>
      <c r="O301" s="282"/>
      <c r="P301" s="282"/>
      <c r="Q301" s="282"/>
      <c r="R301" s="282"/>
      <c r="S301" s="282"/>
      <c r="T301" s="282"/>
      <c r="U301" s="282"/>
      <c r="V301" s="282"/>
      <c r="W301" s="282"/>
      <c r="X301" s="282"/>
      <c r="Y301" s="282"/>
      <c r="Z301" s="282"/>
      <c r="AA301" s="282"/>
    </row>
    <row r="302" spans="1:27" ht="18.75" hidden="1">
      <c r="A302" s="289" t="s">
        <v>15</v>
      </c>
      <c r="B302" s="301">
        <v>0</v>
      </c>
      <c r="C302" s="301">
        <v>0</v>
      </c>
      <c r="D302" s="301">
        <v>0</v>
      </c>
      <c r="E302" s="301">
        <v>0</v>
      </c>
      <c r="F302" s="301">
        <v>0</v>
      </c>
      <c r="G302" s="301">
        <v>0</v>
      </c>
      <c r="H302" s="301">
        <v>0</v>
      </c>
      <c r="I302" s="301">
        <v>3233.7583</v>
      </c>
      <c r="J302" s="301">
        <v>3233.7583</v>
      </c>
      <c r="K302" s="301">
        <v>8296.1847999999991</v>
      </c>
      <c r="L302" s="301">
        <v>6205.7972</v>
      </c>
      <c r="M302" s="301">
        <f>(SUM(J302:L302))</f>
        <v>17735.740299999998</v>
      </c>
      <c r="N302" s="288"/>
      <c r="O302" s="282"/>
      <c r="P302" s="282"/>
      <c r="Q302" s="282"/>
      <c r="R302" s="282"/>
      <c r="S302" s="282"/>
      <c r="T302" s="282"/>
      <c r="U302" s="282"/>
      <c r="V302" s="282"/>
      <c r="W302" s="282"/>
      <c r="X302" s="282"/>
      <c r="Y302" s="282"/>
      <c r="Z302" s="282"/>
      <c r="AA302" s="282"/>
    </row>
    <row r="303" spans="1:27" ht="18.75" hidden="1">
      <c r="A303" s="289" t="s">
        <v>16</v>
      </c>
      <c r="B303" s="301">
        <v>0</v>
      </c>
      <c r="C303" s="301">
        <v>0</v>
      </c>
      <c r="D303" s="301">
        <v>0</v>
      </c>
      <c r="E303" s="301">
        <v>0</v>
      </c>
      <c r="F303" s="301">
        <v>1814.2</v>
      </c>
      <c r="G303" s="301">
        <v>0</v>
      </c>
      <c r="H303" s="301">
        <v>0</v>
      </c>
      <c r="I303" s="301">
        <v>4964.16</v>
      </c>
      <c r="J303" s="301">
        <v>6778.37</v>
      </c>
      <c r="K303" s="301">
        <v>6768.7</v>
      </c>
      <c r="L303" s="301">
        <v>2147.3000000000002</v>
      </c>
      <c r="M303" s="301">
        <f>(SUM(J303:L303))</f>
        <v>15694.369999999999</v>
      </c>
      <c r="N303" s="288"/>
      <c r="O303" s="282"/>
      <c r="P303" s="282"/>
      <c r="Q303" s="282"/>
      <c r="R303" s="282"/>
      <c r="S303" s="282"/>
      <c r="T303" s="282"/>
      <c r="U303" s="282"/>
      <c r="V303" s="282"/>
      <c r="W303" s="282"/>
      <c r="X303" s="282"/>
      <c r="Y303" s="282"/>
      <c r="Z303" s="282"/>
      <c r="AA303" s="282"/>
    </row>
    <row r="304" spans="1:27" ht="18.75" hidden="1">
      <c r="A304" s="289"/>
      <c r="B304" s="301"/>
      <c r="C304" s="301"/>
      <c r="D304" s="301"/>
      <c r="E304" s="301"/>
      <c r="F304" s="301"/>
      <c r="G304" s="301"/>
      <c r="H304" s="301"/>
      <c r="I304" s="301"/>
      <c r="J304" s="301"/>
      <c r="K304" s="301"/>
      <c r="L304" s="301"/>
      <c r="M304" s="301"/>
      <c r="N304" s="288"/>
      <c r="O304" s="282"/>
      <c r="P304" s="282"/>
      <c r="Q304" s="282"/>
      <c r="R304" s="282"/>
      <c r="S304" s="282"/>
      <c r="T304" s="282"/>
      <c r="U304" s="282"/>
      <c r="V304" s="282"/>
      <c r="W304" s="282"/>
      <c r="X304" s="282"/>
      <c r="Y304" s="282"/>
      <c r="Z304" s="282"/>
      <c r="AA304" s="282"/>
    </row>
    <row r="305" spans="1:27" ht="18.75" hidden="1">
      <c r="A305" s="302">
        <v>2007</v>
      </c>
      <c r="B305" s="301"/>
      <c r="C305" s="301"/>
      <c r="D305" s="301"/>
      <c r="E305" s="301"/>
      <c r="F305" s="301"/>
      <c r="G305" s="301"/>
      <c r="H305" s="301"/>
      <c r="I305" s="301"/>
      <c r="J305" s="301"/>
      <c r="K305" s="301"/>
      <c r="L305" s="301"/>
      <c r="M305" s="301"/>
      <c r="N305" s="288"/>
      <c r="O305" s="282"/>
      <c r="P305" s="282"/>
      <c r="Q305" s="282"/>
      <c r="R305" s="282"/>
      <c r="S305" s="282"/>
      <c r="T305" s="282"/>
      <c r="U305" s="282"/>
      <c r="V305" s="282"/>
      <c r="W305" s="282"/>
      <c r="X305" s="282"/>
      <c r="Y305" s="282"/>
      <c r="Z305" s="282"/>
      <c r="AA305" s="282"/>
    </row>
    <row r="306" spans="1:27" ht="18.75" hidden="1">
      <c r="A306" s="289"/>
      <c r="B306" s="301"/>
      <c r="C306" s="301"/>
      <c r="D306" s="301"/>
      <c r="E306" s="301"/>
      <c r="F306" s="301"/>
      <c r="G306" s="301"/>
      <c r="H306" s="301"/>
      <c r="I306" s="301"/>
      <c r="J306" s="301"/>
      <c r="K306" s="301"/>
      <c r="L306" s="301"/>
      <c r="M306" s="301"/>
      <c r="N306" s="288"/>
      <c r="O306" s="282"/>
      <c r="P306" s="282"/>
      <c r="Q306" s="282"/>
      <c r="R306" s="282"/>
      <c r="S306" s="282"/>
      <c r="T306" s="282"/>
      <c r="U306" s="282"/>
      <c r="V306" s="282"/>
      <c r="W306" s="282"/>
      <c r="X306" s="282"/>
      <c r="Y306" s="282"/>
      <c r="Z306" s="282"/>
      <c r="AA306" s="282"/>
    </row>
    <row r="307" spans="1:27" ht="18.75" hidden="1">
      <c r="A307" s="289" t="s">
        <v>8</v>
      </c>
      <c r="B307" s="301">
        <v>655.4</v>
      </c>
      <c r="C307" s="301">
        <v>0</v>
      </c>
      <c r="D307" s="301">
        <v>100</v>
      </c>
      <c r="E307" s="301">
        <v>0</v>
      </c>
      <c r="F307" s="301">
        <v>0</v>
      </c>
      <c r="G307" s="301">
        <v>0</v>
      </c>
      <c r="H307" s="301">
        <v>0</v>
      </c>
      <c r="I307" s="301">
        <v>9776.4</v>
      </c>
      <c r="J307" s="301">
        <v>10531.9</v>
      </c>
      <c r="K307" s="301">
        <v>8090.7</v>
      </c>
      <c r="L307" s="301">
        <v>8679.2000000000007</v>
      </c>
      <c r="M307" s="301">
        <f t="shared" ref="M307:M318" si="22">(SUM(J307:L307))</f>
        <v>27301.8</v>
      </c>
      <c r="N307" s="288"/>
      <c r="O307" s="282"/>
      <c r="P307" s="282"/>
      <c r="Q307" s="282"/>
      <c r="R307" s="282"/>
      <c r="S307" s="282"/>
      <c r="T307" s="282"/>
      <c r="U307" s="282"/>
      <c r="V307" s="282"/>
      <c r="W307" s="282"/>
      <c r="X307" s="282"/>
      <c r="Y307" s="282"/>
      <c r="Z307" s="282"/>
      <c r="AA307" s="282"/>
    </row>
    <row r="308" spans="1:27" ht="18.75" hidden="1">
      <c r="A308" s="289" t="s">
        <v>9</v>
      </c>
      <c r="B308" s="301">
        <v>605.79999999999995</v>
      </c>
      <c r="C308" s="301">
        <v>0</v>
      </c>
      <c r="D308" s="301">
        <v>0</v>
      </c>
      <c r="E308" s="301">
        <v>0</v>
      </c>
      <c r="F308" s="301">
        <v>0</v>
      </c>
      <c r="G308" s="301">
        <v>0</v>
      </c>
      <c r="H308" s="301">
        <v>0</v>
      </c>
      <c r="I308" s="301">
        <v>14602.95</v>
      </c>
      <c r="J308" s="301">
        <v>15208.78</v>
      </c>
      <c r="K308" s="301">
        <v>9539.15</v>
      </c>
      <c r="L308" s="301">
        <v>13046.1</v>
      </c>
      <c r="M308" s="301">
        <f t="shared" si="22"/>
        <v>37794.03</v>
      </c>
      <c r="N308" s="288"/>
      <c r="O308" s="282"/>
      <c r="P308" s="282"/>
      <c r="Q308" s="282"/>
      <c r="R308" s="282"/>
      <c r="S308" s="282"/>
      <c r="T308" s="282"/>
      <c r="U308" s="282"/>
      <c r="V308" s="282"/>
      <c r="W308" s="282"/>
      <c r="X308" s="282"/>
      <c r="Y308" s="282"/>
      <c r="Z308" s="282"/>
      <c r="AA308" s="282"/>
    </row>
    <row r="309" spans="1:27" ht="18.75" hidden="1">
      <c r="A309" s="289" t="s">
        <v>10</v>
      </c>
      <c r="B309" s="301">
        <v>455.1</v>
      </c>
      <c r="C309" s="301">
        <v>0</v>
      </c>
      <c r="D309" s="301">
        <v>623.298</v>
      </c>
      <c r="E309" s="301">
        <v>0</v>
      </c>
      <c r="F309" s="301">
        <v>0</v>
      </c>
      <c r="G309" s="301">
        <v>0</v>
      </c>
      <c r="H309" s="301">
        <v>0</v>
      </c>
      <c r="I309" s="301">
        <v>25022.67</v>
      </c>
      <c r="J309" s="301">
        <v>26101.07</v>
      </c>
      <c r="K309" s="301">
        <v>18833.2</v>
      </c>
      <c r="L309" s="301">
        <v>10517.77</v>
      </c>
      <c r="M309" s="301">
        <f t="shared" si="22"/>
        <v>55452.040000000008</v>
      </c>
      <c r="N309" s="288"/>
      <c r="O309" s="282"/>
      <c r="P309" s="282"/>
      <c r="Q309" s="282"/>
      <c r="R309" s="282"/>
      <c r="S309" s="282"/>
      <c r="T309" s="282"/>
      <c r="U309" s="282"/>
      <c r="V309" s="282"/>
      <c r="W309" s="282"/>
      <c r="X309" s="282"/>
      <c r="Y309" s="282"/>
      <c r="Z309" s="282"/>
      <c r="AA309" s="282"/>
    </row>
    <row r="310" spans="1:27" ht="18.75" hidden="1">
      <c r="A310" s="289" t="s">
        <v>11</v>
      </c>
      <c r="B310" s="301">
        <v>214.88</v>
      </c>
      <c r="C310" s="301">
        <v>0</v>
      </c>
      <c r="D310" s="301">
        <v>160.899</v>
      </c>
      <c r="E310" s="301">
        <v>0</v>
      </c>
      <c r="F310" s="301">
        <v>0</v>
      </c>
      <c r="G310" s="301">
        <v>0</v>
      </c>
      <c r="H310" s="301">
        <v>0</v>
      </c>
      <c r="I310" s="301">
        <v>9806.8760000000002</v>
      </c>
      <c r="J310" s="301">
        <v>10182.656000000001</v>
      </c>
      <c r="K310" s="301">
        <v>12594.475</v>
      </c>
      <c r="L310" s="301">
        <v>8256.14</v>
      </c>
      <c r="M310" s="301">
        <f t="shared" si="22"/>
        <v>31033.271000000001</v>
      </c>
      <c r="N310" s="288"/>
      <c r="O310" s="282"/>
      <c r="P310" s="282"/>
      <c r="Q310" s="282"/>
      <c r="R310" s="282"/>
      <c r="S310" s="282"/>
      <c r="T310" s="282"/>
      <c r="U310" s="282"/>
      <c r="V310" s="282"/>
      <c r="W310" s="282"/>
      <c r="X310" s="282"/>
      <c r="Y310" s="282"/>
      <c r="Z310" s="282"/>
      <c r="AA310" s="282"/>
    </row>
    <row r="311" spans="1:27" ht="18.75" hidden="1">
      <c r="A311" s="289" t="s">
        <v>337</v>
      </c>
      <c r="B311" s="301">
        <v>1565.1</v>
      </c>
      <c r="C311" s="301">
        <v>0</v>
      </c>
      <c r="D311" s="301">
        <v>0</v>
      </c>
      <c r="E311" s="301">
        <v>0</v>
      </c>
      <c r="F311" s="301">
        <v>0</v>
      </c>
      <c r="G311" s="301">
        <v>0</v>
      </c>
      <c r="H311" s="301">
        <v>0</v>
      </c>
      <c r="I311" s="301">
        <v>65211.15</v>
      </c>
      <c r="J311" s="301">
        <v>66776.293000000005</v>
      </c>
      <c r="K311" s="301">
        <v>36040.281999999999</v>
      </c>
      <c r="L311" s="301">
        <v>35290.400000000001</v>
      </c>
      <c r="M311" s="301">
        <f t="shared" si="22"/>
        <v>138106.97500000001</v>
      </c>
      <c r="N311" s="288"/>
      <c r="O311" s="282"/>
      <c r="P311" s="282"/>
      <c r="Q311" s="282"/>
      <c r="R311" s="282"/>
      <c r="S311" s="282"/>
      <c r="T311" s="282"/>
      <c r="U311" s="282"/>
      <c r="V311" s="282"/>
      <c r="W311" s="282"/>
      <c r="X311" s="282"/>
      <c r="Y311" s="282"/>
      <c r="Z311" s="282"/>
      <c r="AA311" s="282"/>
    </row>
    <row r="312" spans="1:27" ht="18.75" hidden="1">
      <c r="A312" s="289" t="s">
        <v>346</v>
      </c>
      <c r="B312" s="301">
        <v>1610.2</v>
      </c>
      <c r="C312" s="301">
        <v>0</v>
      </c>
      <c r="D312" s="301">
        <v>885.37800000000004</v>
      </c>
      <c r="E312" s="301">
        <v>0</v>
      </c>
      <c r="F312" s="301">
        <v>1500</v>
      </c>
      <c r="G312" s="301">
        <v>0</v>
      </c>
      <c r="H312" s="301">
        <v>0</v>
      </c>
      <c r="I312" s="301">
        <v>224730.226</v>
      </c>
      <c r="J312" s="301">
        <v>228725.8</v>
      </c>
      <c r="K312" s="301">
        <v>112771.185</v>
      </c>
      <c r="L312" s="301">
        <v>60171.023999999998</v>
      </c>
      <c r="M312" s="301">
        <f t="shared" si="22"/>
        <v>401668.00899999996</v>
      </c>
      <c r="N312" s="288"/>
      <c r="O312" s="282"/>
      <c r="P312" s="282"/>
      <c r="Q312" s="282"/>
      <c r="R312" s="282"/>
      <c r="S312" s="282"/>
      <c r="T312" s="282"/>
      <c r="U312" s="282"/>
      <c r="V312" s="282"/>
      <c r="W312" s="282"/>
      <c r="X312" s="282"/>
      <c r="Y312" s="282"/>
      <c r="Z312" s="282"/>
      <c r="AA312" s="282"/>
    </row>
    <row r="313" spans="1:27" ht="18.75" hidden="1">
      <c r="A313" s="289" t="s">
        <v>347</v>
      </c>
      <c r="B313" s="301">
        <v>1840.3</v>
      </c>
      <c r="C313" s="301">
        <v>0</v>
      </c>
      <c r="D313" s="301">
        <v>1432.2</v>
      </c>
      <c r="E313" s="301">
        <v>0</v>
      </c>
      <c r="F313" s="301">
        <v>0</v>
      </c>
      <c r="G313" s="301">
        <v>1765</v>
      </c>
      <c r="H313" s="301">
        <v>0</v>
      </c>
      <c r="I313" s="301">
        <v>447358.8</v>
      </c>
      <c r="J313" s="301">
        <v>452396.4</v>
      </c>
      <c r="K313" s="301">
        <v>107808.7</v>
      </c>
      <c r="L313" s="301">
        <v>102090.3</v>
      </c>
      <c r="M313" s="301">
        <f t="shared" si="22"/>
        <v>662295.4</v>
      </c>
      <c r="N313" s="288"/>
      <c r="O313" s="282"/>
      <c r="P313" s="282"/>
      <c r="Q313" s="282"/>
      <c r="R313" s="282"/>
      <c r="S313" s="282"/>
      <c r="T313" s="282"/>
      <c r="U313" s="282"/>
      <c r="V313" s="282"/>
      <c r="W313" s="282"/>
      <c r="X313" s="282"/>
      <c r="Y313" s="282"/>
      <c r="Z313" s="282"/>
      <c r="AA313" s="282"/>
    </row>
    <row r="314" spans="1:27" ht="18.75" hidden="1">
      <c r="A314" s="289" t="s">
        <v>12</v>
      </c>
      <c r="B314" s="301">
        <v>0</v>
      </c>
      <c r="C314" s="301">
        <v>1432.2396000000001</v>
      </c>
      <c r="D314" s="301">
        <v>6000</v>
      </c>
      <c r="E314" s="301">
        <v>0</v>
      </c>
      <c r="F314" s="301">
        <v>1765</v>
      </c>
      <c r="G314" s="301">
        <v>5000</v>
      </c>
      <c r="H314" s="301">
        <v>0</v>
      </c>
      <c r="I314" s="301">
        <v>535915.10609999998</v>
      </c>
      <c r="J314" s="301">
        <v>550112.34569999995</v>
      </c>
      <c r="K314" s="301">
        <v>137436.40580000001</v>
      </c>
      <c r="L314" s="301">
        <v>174163.15410000001</v>
      </c>
      <c r="M314" s="301">
        <f t="shared" si="22"/>
        <v>861711.90560000006</v>
      </c>
      <c r="N314" s="288"/>
      <c r="O314" s="282"/>
      <c r="P314" s="282"/>
      <c r="Q314" s="282"/>
      <c r="R314" s="282"/>
      <c r="S314" s="282"/>
      <c r="T314" s="282"/>
      <c r="U314" s="282"/>
      <c r="V314" s="282"/>
      <c r="W314" s="282"/>
      <c r="X314" s="282"/>
      <c r="Y314" s="282"/>
      <c r="Z314" s="282"/>
      <c r="AA314" s="282"/>
    </row>
    <row r="315" spans="1:27" ht="18.75" hidden="1">
      <c r="A315" s="289" t="s">
        <v>13</v>
      </c>
      <c r="B315" s="301">
        <v>1432.2396000000001</v>
      </c>
      <c r="C315" s="301">
        <v>0</v>
      </c>
      <c r="D315" s="301">
        <v>40000</v>
      </c>
      <c r="E315" s="301">
        <v>0</v>
      </c>
      <c r="F315" s="301">
        <v>0</v>
      </c>
      <c r="G315" s="301">
        <v>0</v>
      </c>
      <c r="H315" s="301">
        <v>0</v>
      </c>
      <c r="I315" s="301">
        <v>943653.03890000004</v>
      </c>
      <c r="J315" s="301">
        <v>985085.27859999996</v>
      </c>
      <c r="K315" s="301">
        <v>358059.30239999999</v>
      </c>
      <c r="L315" s="301">
        <v>485173.74489999999</v>
      </c>
      <c r="M315" s="301">
        <f t="shared" si="22"/>
        <v>1828318.3259000001</v>
      </c>
      <c r="N315" s="288"/>
      <c r="O315" s="282"/>
      <c r="P315" s="282"/>
      <c r="Q315" s="282"/>
      <c r="R315" s="282"/>
      <c r="S315" s="282"/>
      <c r="T315" s="282"/>
      <c r="U315" s="282"/>
      <c r="V315" s="282"/>
      <c r="W315" s="282"/>
      <c r="X315" s="282"/>
      <c r="Y315" s="282"/>
      <c r="Z315" s="282"/>
      <c r="AA315" s="282"/>
    </row>
    <row r="316" spans="1:27" ht="18.75" hidden="1">
      <c r="A316" s="289" t="s">
        <v>14</v>
      </c>
      <c r="B316" s="301">
        <v>0</v>
      </c>
      <c r="C316" s="301">
        <v>1765</v>
      </c>
      <c r="D316" s="301">
        <v>30000</v>
      </c>
      <c r="E316" s="301">
        <v>0</v>
      </c>
      <c r="F316" s="301">
        <v>111444.86</v>
      </c>
      <c r="G316" s="301">
        <v>0</v>
      </c>
      <c r="H316" s="301">
        <v>0</v>
      </c>
      <c r="I316" s="301">
        <v>1471987.5</v>
      </c>
      <c r="J316" s="301">
        <v>1615197.4</v>
      </c>
      <c r="K316" s="301">
        <v>800850.2</v>
      </c>
      <c r="L316" s="301">
        <v>785070.1</v>
      </c>
      <c r="M316" s="301">
        <f t="shared" si="22"/>
        <v>3201117.6999999997</v>
      </c>
      <c r="N316" s="288"/>
      <c r="O316" s="282"/>
      <c r="P316" s="282"/>
      <c r="Q316" s="282"/>
      <c r="R316" s="282"/>
      <c r="S316" s="282"/>
      <c r="T316" s="282"/>
      <c r="U316" s="282"/>
      <c r="V316" s="282"/>
      <c r="W316" s="282"/>
      <c r="X316" s="282"/>
      <c r="Y316" s="282"/>
      <c r="Z316" s="282"/>
      <c r="AA316" s="282"/>
    </row>
    <row r="317" spans="1:27" ht="18.75" hidden="1">
      <c r="A317" s="289" t="s">
        <v>15</v>
      </c>
      <c r="B317" s="301">
        <v>1765</v>
      </c>
      <c r="C317" s="301">
        <v>0</v>
      </c>
      <c r="D317" s="301">
        <v>300000</v>
      </c>
      <c r="E317" s="301">
        <v>0</v>
      </c>
      <c r="F317" s="301">
        <v>0</v>
      </c>
      <c r="G317" s="301">
        <v>0</v>
      </c>
      <c r="H317" s="301">
        <v>0</v>
      </c>
      <c r="I317" s="301">
        <v>2472796.6</v>
      </c>
      <c r="J317" s="301">
        <v>2504561.6</v>
      </c>
      <c r="K317" s="301">
        <v>1957513.8</v>
      </c>
      <c r="L317" s="301">
        <v>977118.4</v>
      </c>
      <c r="M317" s="301">
        <f t="shared" si="22"/>
        <v>5439193.8000000007</v>
      </c>
      <c r="N317" s="288"/>
      <c r="O317" s="282"/>
      <c r="P317" s="282"/>
      <c r="Q317" s="282"/>
      <c r="R317" s="282"/>
      <c r="S317" s="282"/>
      <c r="T317" s="282"/>
      <c r="U317" s="282"/>
      <c r="V317" s="282"/>
      <c r="W317" s="282"/>
      <c r="X317" s="282"/>
      <c r="Y317" s="282"/>
      <c r="Z317" s="282"/>
      <c r="AA317" s="282"/>
    </row>
    <row r="318" spans="1:27" ht="18.75" hidden="1">
      <c r="A318" s="289" t="s">
        <v>16</v>
      </c>
      <c r="B318" s="301">
        <v>0</v>
      </c>
      <c r="C318" s="301">
        <v>0</v>
      </c>
      <c r="D318" s="301">
        <v>0</v>
      </c>
      <c r="E318" s="301">
        <v>0</v>
      </c>
      <c r="F318" s="301">
        <v>379744.38</v>
      </c>
      <c r="G318" s="301">
        <v>0</v>
      </c>
      <c r="H318" s="301">
        <v>0</v>
      </c>
      <c r="I318" s="301">
        <v>3988642.45</v>
      </c>
      <c r="J318" s="301">
        <v>4368386.8</v>
      </c>
      <c r="K318" s="301">
        <v>2798587.65</v>
      </c>
      <c r="L318" s="301">
        <v>1005260.28</v>
      </c>
      <c r="M318" s="301">
        <f t="shared" si="22"/>
        <v>8172234.7299999995</v>
      </c>
      <c r="N318" s="288"/>
      <c r="O318" s="303"/>
      <c r="P318" s="282"/>
      <c r="Q318" s="282"/>
      <c r="R318" s="282"/>
      <c r="S318" s="282"/>
      <c r="T318" s="282"/>
      <c r="U318" s="282"/>
      <c r="V318" s="282"/>
      <c r="W318" s="282"/>
      <c r="X318" s="282"/>
      <c r="Y318" s="282"/>
      <c r="Z318" s="282"/>
      <c r="AA318" s="282"/>
    </row>
    <row r="319" spans="1:27" ht="18.75" hidden="1">
      <c r="A319" s="289"/>
      <c r="B319" s="301"/>
      <c r="C319" s="301"/>
      <c r="D319" s="301"/>
      <c r="E319" s="301"/>
      <c r="F319" s="301"/>
      <c r="G319" s="301"/>
      <c r="H319" s="301"/>
      <c r="I319" s="301"/>
      <c r="J319" s="301"/>
      <c r="K319" s="301"/>
      <c r="L319" s="301"/>
      <c r="M319" s="301"/>
      <c r="N319" s="288"/>
      <c r="O319" s="303"/>
      <c r="P319" s="282"/>
      <c r="Q319" s="282"/>
      <c r="R319" s="282"/>
      <c r="S319" s="282"/>
      <c r="T319" s="282"/>
      <c r="U319" s="282"/>
      <c r="V319" s="282"/>
      <c r="W319" s="282"/>
      <c r="X319" s="282"/>
      <c r="Y319" s="282"/>
      <c r="Z319" s="282"/>
      <c r="AA319" s="282"/>
    </row>
    <row r="320" spans="1:27" ht="18.75" hidden="1">
      <c r="A320" s="302">
        <v>2009</v>
      </c>
      <c r="B320" s="301"/>
      <c r="C320" s="301"/>
      <c r="D320" s="301"/>
      <c r="E320" s="301"/>
      <c r="F320" s="301"/>
      <c r="G320" s="301"/>
      <c r="H320" s="301"/>
      <c r="I320" s="301"/>
      <c r="J320" s="301"/>
      <c r="K320" s="301"/>
      <c r="L320" s="301"/>
      <c r="M320" s="301"/>
      <c r="N320" s="288"/>
      <c r="O320" s="303"/>
      <c r="P320" s="282"/>
      <c r="Q320" s="282"/>
      <c r="R320" s="282"/>
      <c r="S320" s="282"/>
      <c r="T320" s="282"/>
      <c r="U320" s="282"/>
      <c r="V320" s="282"/>
      <c r="W320" s="282"/>
      <c r="X320" s="282"/>
      <c r="Y320" s="282"/>
      <c r="Z320" s="282"/>
      <c r="AA320" s="282"/>
    </row>
    <row r="321" spans="1:27" ht="18.75" hidden="1">
      <c r="A321" s="289"/>
      <c r="B321" s="301"/>
      <c r="C321" s="301"/>
      <c r="D321" s="301"/>
      <c r="E321" s="301"/>
      <c r="F321" s="301"/>
      <c r="G321" s="301"/>
      <c r="H321" s="301"/>
      <c r="I321" s="301"/>
      <c r="J321" s="301"/>
      <c r="K321" s="301"/>
      <c r="L321" s="301"/>
      <c r="M321" s="301"/>
      <c r="N321" s="288"/>
      <c r="O321" s="303"/>
      <c r="P321" s="282"/>
      <c r="Q321" s="282"/>
      <c r="R321" s="282"/>
      <c r="S321" s="282"/>
      <c r="T321" s="282"/>
      <c r="U321" s="282"/>
      <c r="V321" s="282"/>
      <c r="W321" s="282"/>
      <c r="X321" s="282"/>
      <c r="Y321" s="282"/>
      <c r="Z321" s="282"/>
      <c r="AA321" s="282"/>
    </row>
    <row r="322" spans="1:27" ht="18.75" hidden="1">
      <c r="A322" s="289" t="s">
        <v>8</v>
      </c>
      <c r="B322" s="301">
        <v>2.4458420000000001E-5</v>
      </c>
      <c r="C322" s="301">
        <v>6.1054269999999997E-6</v>
      </c>
      <c r="D322" s="301">
        <v>3.3590040000000005E-5</v>
      </c>
      <c r="E322" s="301">
        <v>0</v>
      </c>
      <c r="F322" s="301">
        <v>5.4E-6</v>
      </c>
      <c r="G322" s="301">
        <v>0</v>
      </c>
      <c r="H322" s="301">
        <v>0</v>
      </c>
      <c r="I322" s="301">
        <v>7.9958425999999993E-4</v>
      </c>
      <c r="J322" s="301">
        <v>8.6913815000000004E-4</v>
      </c>
      <c r="K322" s="301">
        <v>8.4855999999999998</v>
      </c>
      <c r="L322" s="301">
        <v>0.97209999999999996</v>
      </c>
      <c r="M322" s="301">
        <f t="shared" ref="M322:M333" si="23">((SUM(J322:L322)))</f>
        <v>9.4585691381499988</v>
      </c>
      <c r="N322" s="288"/>
      <c r="O322" s="303"/>
      <c r="P322" s="282"/>
      <c r="Q322" s="282"/>
      <c r="R322" s="282"/>
      <c r="S322" s="282"/>
      <c r="T322" s="282"/>
      <c r="U322" s="282"/>
      <c r="V322" s="282"/>
      <c r="W322" s="282"/>
      <c r="X322" s="282"/>
      <c r="Y322" s="282"/>
      <c r="Z322" s="282"/>
      <c r="AA322" s="282"/>
    </row>
    <row r="323" spans="1:27" ht="18.75" hidden="1">
      <c r="A323" s="289" t="s">
        <v>9</v>
      </c>
      <c r="B323" s="301">
        <v>2.4458420000000001E-5</v>
      </c>
      <c r="C323" s="301">
        <v>6.1054269999999997E-6</v>
      </c>
      <c r="D323" s="301">
        <v>7.8272632800000011E-6</v>
      </c>
      <c r="E323" s="301">
        <v>0</v>
      </c>
      <c r="F323" s="301">
        <v>1.1049999999999999E-5</v>
      </c>
      <c r="G323" s="301">
        <v>0</v>
      </c>
      <c r="H323" s="301">
        <v>0</v>
      </c>
      <c r="I323" s="301">
        <v>1.0538009101700001E-3</v>
      </c>
      <c r="J323" s="301">
        <v>8.6913815000000004E-4</v>
      </c>
      <c r="K323" s="301">
        <v>9.0642999999999994</v>
      </c>
      <c r="L323" s="301">
        <v>0.42199999999999999</v>
      </c>
      <c r="M323" s="301">
        <f t="shared" si="23"/>
        <v>9.4871691381499996</v>
      </c>
      <c r="N323" s="288"/>
      <c r="O323" s="303"/>
      <c r="P323" s="282"/>
      <c r="Q323" s="282"/>
      <c r="R323" s="282"/>
      <c r="S323" s="282"/>
      <c r="T323" s="282"/>
      <c r="U323" s="282"/>
      <c r="V323" s="282"/>
      <c r="W323" s="282"/>
      <c r="X323" s="282"/>
      <c r="Y323" s="282"/>
      <c r="Z323" s="282"/>
      <c r="AA323" s="282"/>
    </row>
    <row r="324" spans="1:27" ht="18.75" hidden="1">
      <c r="A324" s="289" t="s">
        <v>10</v>
      </c>
      <c r="B324" s="301">
        <v>2.4458420000000001E-5</v>
      </c>
      <c r="C324" s="301">
        <v>6.1054269999999997E-6</v>
      </c>
      <c r="D324" s="301">
        <v>2.5000000000000001E-3</v>
      </c>
      <c r="E324" s="301">
        <v>0</v>
      </c>
      <c r="F324" s="301">
        <v>3.0020000000000002E-2</v>
      </c>
      <c r="G324" s="301">
        <v>0</v>
      </c>
      <c r="H324" s="301">
        <v>0</v>
      </c>
      <c r="I324" s="301">
        <v>1.0538009101700001E-3</v>
      </c>
      <c r="J324" s="301">
        <v>8.6913815000000004E-4</v>
      </c>
      <c r="K324" s="301">
        <v>9.2052999999999994</v>
      </c>
      <c r="L324" s="301">
        <v>0.46650000000000003</v>
      </c>
      <c r="M324" s="301">
        <f t="shared" si="23"/>
        <v>9.672669138149999</v>
      </c>
      <c r="N324" s="288"/>
      <c r="O324" s="303"/>
      <c r="P324" s="282"/>
      <c r="Q324" s="282"/>
      <c r="R324" s="282"/>
      <c r="S324" s="282"/>
      <c r="T324" s="282"/>
      <c r="U324" s="282"/>
      <c r="V324" s="282"/>
      <c r="W324" s="282"/>
      <c r="X324" s="282"/>
      <c r="Y324" s="282"/>
      <c r="Z324" s="282"/>
      <c r="AA324" s="282"/>
    </row>
    <row r="325" spans="1:27" ht="18.75" hidden="1">
      <c r="A325" s="289" t="s">
        <v>11</v>
      </c>
      <c r="B325" s="301">
        <v>2.4458420000000001E-5</v>
      </c>
      <c r="C325" s="301">
        <v>0</v>
      </c>
      <c r="D325" s="301">
        <v>0</v>
      </c>
      <c r="E325" s="301">
        <v>0</v>
      </c>
      <c r="F325" s="301">
        <v>1.4515800000000001E-2</v>
      </c>
      <c r="G325" s="301">
        <v>0</v>
      </c>
      <c r="H325" s="301">
        <v>0</v>
      </c>
      <c r="I325" s="301">
        <v>1.0538009101700001E-3</v>
      </c>
      <c r="J325" s="301">
        <v>8.6913815000000004E-4</v>
      </c>
      <c r="K325" s="301">
        <v>9.1245999999999992</v>
      </c>
      <c r="L325" s="301">
        <v>0.55830000000000002</v>
      </c>
      <c r="M325" s="301">
        <f t="shared" si="23"/>
        <v>9.683769138149998</v>
      </c>
      <c r="N325" s="288"/>
      <c r="O325" s="303"/>
      <c r="P325" s="282"/>
      <c r="Q325" s="282"/>
      <c r="R325" s="282"/>
      <c r="S325" s="282"/>
      <c r="T325" s="282"/>
      <c r="U325" s="282"/>
      <c r="V325" s="282"/>
      <c r="W325" s="282"/>
      <c r="X325" s="282"/>
      <c r="Y325" s="282"/>
      <c r="Z325" s="282"/>
      <c r="AA325" s="282"/>
    </row>
    <row r="326" spans="1:27" ht="18.75" hidden="1">
      <c r="A326" s="289" t="s">
        <v>337</v>
      </c>
      <c r="B326" s="301">
        <v>2.4458420000000001E-5</v>
      </c>
      <c r="C326" s="301">
        <v>0</v>
      </c>
      <c r="D326" s="301">
        <v>0</v>
      </c>
      <c r="E326" s="301">
        <v>0</v>
      </c>
      <c r="F326" s="301">
        <v>0</v>
      </c>
      <c r="G326" s="301">
        <v>0</v>
      </c>
      <c r="H326" s="301">
        <v>0</v>
      </c>
      <c r="I326" s="301">
        <v>1.0538009101700001E-3</v>
      </c>
      <c r="J326" s="301">
        <v>8.6913815000000004E-4</v>
      </c>
      <c r="K326" s="301">
        <v>9.2736000000000001</v>
      </c>
      <c r="L326" s="301">
        <v>0.43080000000000002</v>
      </c>
      <c r="M326" s="301">
        <f t="shared" si="23"/>
        <v>9.7052691381499994</v>
      </c>
      <c r="N326" s="288"/>
      <c r="O326" s="303"/>
      <c r="P326" s="282"/>
      <c r="Q326" s="282"/>
      <c r="R326" s="282"/>
      <c r="S326" s="282"/>
      <c r="T326" s="282"/>
      <c r="U326" s="282"/>
      <c r="V326" s="282"/>
      <c r="W326" s="282"/>
      <c r="X326" s="282"/>
      <c r="Y326" s="282"/>
      <c r="Z326" s="282"/>
      <c r="AA326" s="282"/>
    </row>
    <row r="327" spans="1:27" ht="18.75" hidden="1">
      <c r="A327" s="289" t="s">
        <v>346</v>
      </c>
      <c r="B327" s="301">
        <v>2.4458420000000001E-5</v>
      </c>
      <c r="C327" s="301">
        <v>0</v>
      </c>
      <c r="D327" s="301">
        <v>0</v>
      </c>
      <c r="E327" s="301">
        <v>0</v>
      </c>
      <c r="F327" s="301">
        <v>0</v>
      </c>
      <c r="G327" s="301">
        <v>0</v>
      </c>
      <c r="H327" s="301">
        <v>0</v>
      </c>
      <c r="I327" s="301">
        <v>1.0538009101700001E-3</v>
      </c>
      <c r="J327" s="301">
        <v>8.6913815000000004E-4</v>
      </c>
      <c r="K327" s="301">
        <v>8.4550999999999998</v>
      </c>
      <c r="L327" s="301">
        <v>0.1729</v>
      </c>
      <c r="M327" s="301">
        <f t="shared" si="23"/>
        <v>8.6288691381499998</v>
      </c>
      <c r="N327" s="288"/>
      <c r="O327" s="303"/>
      <c r="P327" s="282"/>
      <c r="Q327" s="282"/>
      <c r="R327" s="282"/>
      <c r="S327" s="282"/>
      <c r="T327" s="282"/>
      <c r="U327" s="282"/>
      <c r="V327" s="282"/>
      <c r="W327" s="282"/>
      <c r="X327" s="282"/>
      <c r="Y327" s="282"/>
      <c r="Z327" s="282"/>
      <c r="AA327" s="282"/>
    </row>
    <row r="328" spans="1:27" ht="18.75" hidden="1">
      <c r="A328" s="289" t="s">
        <v>347</v>
      </c>
      <c r="B328" s="301">
        <v>0</v>
      </c>
      <c r="C328" s="301">
        <v>0</v>
      </c>
      <c r="D328" s="301">
        <v>0</v>
      </c>
      <c r="E328" s="301">
        <v>0</v>
      </c>
      <c r="F328" s="301">
        <v>0</v>
      </c>
      <c r="G328" s="301">
        <v>0</v>
      </c>
      <c r="H328" s="301">
        <v>0</v>
      </c>
      <c r="I328" s="301">
        <v>0</v>
      </c>
      <c r="J328" s="301">
        <v>0</v>
      </c>
      <c r="K328" s="301">
        <v>8.5221999999999998</v>
      </c>
      <c r="L328" s="301">
        <v>0.1893</v>
      </c>
      <c r="M328" s="301">
        <f t="shared" si="23"/>
        <v>8.7114999999999991</v>
      </c>
      <c r="N328" s="288"/>
      <c r="O328" s="303"/>
      <c r="P328" s="282"/>
      <c r="Q328" s="282"/>
      <c r="R328" s="282"/>
      <c r="S328" s="282"/>
      <c r="T328" s="282"/>
      <c r="U328" s="282"/>
      <c r="V328" s="282"/>
      <c r="W328" s="282"/>
      <c r="X328" s="282"/>
      <c r="Y328" s="282"/>
      <c r="Z328" s="282"/>
      <c r="AA328" s="282"/>
    </row>
    <row r="329" spans="1:27" ht="18.75" hidden="1">
      <c r="A329" s="289" t="s">
        <v>12</v>
      </c>
      <c r="B329" s="301">
        <v>0</v>
      </c>
      <c r="C329" s="301">
        <v>0</v>
      </c>
      <c r="D329" s="301">
        <v>0</v>
      </c>
      <c r="E329" s="301">
        <v>0</v>
      </c>
      <c r="F329" s="301">
        <v>0</v>
      </c>
      <c r="G329" s="301">
        <v>0</v>
      </c>
      <c r="H329" s="301">
        <v>0</v>
      </c>
      <c r="I329" s="301">
        <v>0</v>
      </c>
      <c r="J329" s="301">
        <v>0</v>
      </c>
      <c r="K329" s="301">
        <v>8.2125000000000004</v>
      </c>
      <c r="L329" s="301">
        <v>0.4763</v>
      </c>
      <c r="M329" s="301">
        <f t="shared" si="23"/>
        <v>8.6888000000000005</v>
      </c>
      <c r="N329" s="288"/>
      <c r="O329" s="303"/>
      <c r="P329" s="282"/>
      <c r="Q329" s="282"/>
      <c r="R329" s="282"/>
      <c r="S329" s="282"/>
      <c r="T329" s="282"/>
      <c r="U329" s="282"/>
      <c r="V329" s="282"/>
      <c r="W329" s="282"/>
      <c r="X329" s="282"/>
      <c r="Y329" s="282"/>
      <c r="Z329" s="282"/>
      <c r="AA329" s="282"/>
    </row>
    <row r="330" spans="1:27" ht="18.75" hidden="1">
      <c r="A330" s="289" t="s">
        <v>13</v>
      </c>
      <c r="B330" s="301">
        <v>0</v>
      </c>
      <c r="C330" s="301">
        <v>0</v>
      </c>
      <c r="D330" s="301">
        <v>0</v>
      </c>
      <c r="E330" s="301">
        <v>0</v>
      </c>
      <c r="F330" s="301">
        <v>0</v>
      </c>
      <c r="G330" s="301">
        <v>0</v>
      </c>
      <c r="H330" s="301">
        <v>0</v>
      </c>
      <c r="I330" s="301">
        <v>0</v>
      </c>
      <c r="J330" s="301">
        <v>0</v>
      </c>
      <c r="K330" s="301">
        <v>8.2047000000000008</v>
      </c>
      <c r="L330" s="301">
        <v>0.51019999999999999</v>
      </c>
      <c r="M330" s="301">
        <f t="shared" si="23"/>
        <v>8.7149000000000001</v>
      </c>
      <c r="N330" s="288"/>
      <c r="O330" s="303"/>
      <c r="P330" s="282"/>
      <c r="Q330" s="282"/>
      <c r="R330" s="282"/>
      <c r="S330" s="282"/>
      <c r="T330" s="282"/>
      <c r="U330" s="282"/>
      <c r="V330" s="282"/>
      <c r="W330" s="282"/>
      <c r="X330" s="282"/>
      <c r="Y330" s="282"/>
      <c r="Z330" s="282"/>
      <c r="AA330" s="282"/>
    </row>
    <row r="331" spans="1:27" ht="18.75" hidden="1">
      <c r="A331" s="289" t="s">
        <v>14</v>
      </c>
      <c r="B331" s="301">
        <v>0</v>
      </c>
      <c r="C331" s="301">
        <v>0</v>
      </c>
      <c r="D331" s="301">
        <v>0</v>
      </c>
      <c r="E331" s="301">
        <v>0</v>
      </c>
      <c r="F331" s="301">
        <v>0</v>
      </c>
      <c r="G331" s="301">
        <v>0</v>
      </c>
      <c r="H331" s="301">
        <v>0</v>
      </c>
      <c r="I331" s="301">
        <v>0</v>
      </c>
      <c r="J331" s="301">
        <v>0</v>
      </c>
      <c r="K331" s="301">
        <v>8.3127999999999993</v>
      </c>
      <c r="L331" s="301">
        <v>0.42870000000000003</v>
      </c>
      <c r="M331" s="301">
        <f t="shared" si="23"/>
        <v>8.7414999999999985</v>
      </c>
      <c r="N331" s="288"/>
      <c r="O331" s="303"/>
      <c r="P331" s="282"/>
      <c r="Q331" s="282"/>
      <c r="R331" s="282"/>
      <c r="S331" s="282"/>
      <c r="T331" s="282"/>
      <c r="U331" s="282"/>
      <c r="V331" s="282"/>
      <c r="W331" s="282"/>
      <c r="X331" s="282"/>
      <c r="Y331" s="282"/>
      <c r="Z331" s="282"/>
      <c r="AA331" s="282"/>
    </row>
    <row r="332" spans="1:27" ht="18.75" hidden="1">
      <c r="A332" s="289" t="s">
        <v>15</v>
      </c>
      <c r="B332" s="301">
        <v>0</v>
      </c>
      <c r="C332" s="301">
        <v>0</v>
      </c>
      <c r="D332" s="301">
        <v>0</v>
      </c>
      <c r="E332" s="301">
        <v>0</v>
      </c>
      <c r="F332" s="301">
        <v>0</v>
      </c>
      <c r="G332" s="301">
        <v>0</v>
      </c>
      <c r="H332" s="301">
        <v>0</v>
      </c>
      <c r="I332" s="301">
        <v>0</v>
      </c>
      <c r="J332" s="301">
        <v>0</v>
      </c>
      <c r="K332" s="301">
        <v>8.1686999999999994</v>
      </c>
      <c r="L332" s="301">
        <v>0.50839999999999996</v>
      </c>
      <c r="M332" s="301">
        <f t="shared" si="23"/>
        <v>8.6770999999999994</v>
      </c>
      <c r="N332" s="288"/>
      <c r="O332" s="303"/>
      <c r="P332" s="282"/>
      <c r="Q332" s="282"/>
      <c r="R332" s="282"/>
      <c r="S332" s="282"/>
      <c r="T332" s="282"/>
      <c r="U332" s="282"/>
      <c r="V332" s="282"/>
      <c r="W332" s="282"/>
      <c r="X332" s="282"/>
      <c r="Y332" s="282"/>
      <c r="Z332" s="282"/>
      <c r="AA332" s="282"/>
    </row>
    <row r="333" spans="1:27" ht="18.75" hidden="1">
      <c r="A333" s="289" t="s">
        <v>16</v>
      </c>
      <c r="B333" s="301">
        <v>0</v>
      </c>
      <c r="C333" s="301">
        <v>0</v>
      </c>
      <c r="D333" s="301">
        <v>0</v>
      </c>
      <c r="E333" s="301">
        <v>0</v>
      </c>
      <c r="F333" s="301">
        <v>0</v>
      </c>
      <c r="G333" s="301">
        <v>0</v>
      </c>
      <c r="H333" s="301">
        <v>0</v>
      </c>
      <c r="I333" s="301">
        <v>0</v>
      </c>
      <c r="J333" s="301">
        <v>0</v>
      </c>
      <c r="K333" s="301">
        <v>8.4811999999999994</v>
      </c>
      <c r="L333" s="301">
        <v>0.3795</v>
      </c>
      <c r="M333" s="301">
        <f t="shared" si="23"/>
        <v>8.8606999999999996</v>
      </c>
      <c r="N333" s="288"/>
      <c r="O333" s="303"/>
      <c r="P333" s="282"/>
      <c r="Q333" s="282"/>
      <c r="R333" s="282"/>
      <c r="S333" s="282"/>
      <c r="T333" s="282"/>
      <c r="U333" s="282"/>
      <c r="V333" s="282"/>
      <c r="W333" s="282"/>
      <c r="X333" s="282"/>
      <c r="Y333" s="282"/>
      <c r="Z333" s="282"/>
      <c r="AA333" s="282"/>
    </row>
    <row r="334" spans="1:27" ht="18.75" hidden="1">
      <c r="A334" s="289"/>
      <c r="B334" s="301"/>
      <c r="C334" s="301"/>
      <c r="D334" s="301"/>
      <c r="E334" s="301"/>
      <c r="F334" s="301"/>
      <c r="G334" s="301"/>
      <c r="H334" s="301"/>
      <c r="I334" s="301"/>
      <c r="J334" s="301"/>
      <c r="K334" s="301"/>
      <c r="L334" s="301"/>
      <c r="M334" s="301"/>
      <c r="N334" s="288"/>
      <c r="O334" s="303"/>
      <c r="P334" s="282"/>
      <c r="Q334" s="282"/>
      <c r="R334" s="282"/>
      <c r="S334" s="282"/>
      <c r="T334" s="282"/>
      <c r="U334" s="282"/>
      <c r="V334" s="282"/>
      <c r="W334" s="282"/>
      <c r="X334" s="282"/>
      <c r="Y334" s="282"/>
      <c r="Z334" s="282"/>
      <c r="AA334" s="282"/>
    </row>
    <row r="335" spans="1:27" ht="18.75">
      <c r="A335" s="302">
        <v>2010</v>
      </c>
      <c r="B335" s="301"/>
      <c r="C335" s="301"/>
      <c r="D335" s="301"/>
      <c r="E335" s="301"/>
      <c r="F335" s="301"/>
      <c r="G335" s="301"/>
      <c r="H335" s="301"/>
      <c r="I335" s="301"/>
      <c r="J335" s="301"/>
      <c r="K335" s="301"/>
      <c r="L335" s="301"/>
      <c r="M335" s="301"/>
      <c r="N335" s="288"/>
      <c r="O335" s="303"/>
      <c r="P335" s="282"/>
      <c r="Q335" s="282"/>
      <c r="R335" s="282"/>
      <c r="S335" s="282"/>
      <c r="T335" s="282"/>
      <c r="U335" s="282"/>
      <c r="V335" s="282"/>
      <c r="W335" s="282"/>
      <c r="X335" s="282"/>
      <c r="Y335" s="282"/>
      <c r="Z335" s="282"/>
      <c r="AA335" s="282"/>
    </row>
    <row r="336" spans="1:27" ht="18.75">
      <c r="A336" s="289"/>
      <c r="B336" s="301"/>
      <c r="C336" s="301"/>
      <c r="D336" s="301"/>
      <c r="E336" s="301"/>
      <c r="F336" s="301"/>
      <c r="G336" s="301"/>
      <c r="H336" s="301"/>
      <c r="I336" s="301"/>
      <c r="J336" s="301"/>
      <c r="K336" s="301"/>
      <c r="L336" s="301"/>
      <c r="M336" s="301"/>
      <c r="N336" s="288"/>
      <c r="O336" s="303"/>
      <c r="P336" s="282"/>
      <c r="Q336" s="282"/>
      <c r="R336" s="282"/>
      <c r="S336" s="282"/>
      <c r="T336" s="282"/>
      <c r="U336" s="282"/>
      <c r="V336" s="282"/>
      <c r="W336" s="282"/>
      <c r="X336" s="282"/>
      <c r="Y336" s="282"/>
      <c r="Z336" s="282"/>
      <c r="AA336" s="282"/>
    </row>
    <row r="337" spans="1:27" ht="18.75">
      <c r="A337" s="289" t="s">
        <v>8</v>
      </c>
      <c r="B337" s="301">
        <v>0</v>
      </c>
      <c r="C337" s="301">
        <v>0</v>
      </c>
      <c r="D337" s="301">
        <v>0</v>
      </c>
      <c r="E337" s="301">
        <v>0</v>
      </c>
      <c r="F337" s="301">
        <v>0</v>
      </c>
      <c r="G337" s="301">
        <v>0</v>
      </c>
      <c r="H337" s="301">
        <v>0</v>
      </c>
      <c r="I337" s="301">
        <v>0</v>
      </c>
      <c r="J337" s="301">
        <v>0</v>
      </c>
      <c r="K337" s="301">
        <v>8.6725169999999991</v>
      </c>
      <c r="L337" s="301">
        <v>0.223584000000001</v>
      </c>
      <c r="M337" s="301">
        <f t="shared" ref="M337:M348" si="24">((SUM(J337:L337)))</f>
        <v>8.8961009999999998</v>
      </c>
      <c r="N337" s="288"/>
      <c r="O337" s="303"/>
      <c r="P337" s="282"/>
      <c r="Q337" s="282"/>
      <c r="R337" s="282"/>
      <c r="S337" s="282"/>
      <c r="T337" s="282"/>
      <c r="U337" s="282"/>
      <c r="V337" s="282"/>
      <c r="W337" s="282"/>
      <c r="X337" s="282"/>
      <c r="Y337" s="282"/>
      <c r="Z337" s="282"/>
      <c r="AA337" s="282"/>
    </row>
    <row r="338" spans="1:27" ht="18.75">
      <c r="A338" s="289" t="s">
        <v>9</v>
      </c>
      <c r="B338" s="301">
        <v>0</v>
      </c>
      <c r="C338" s="301">
        <v>0</v>
      </c>
      <c r="D338" s="301">
        <v>0</v>
      </c>
      <c r="E338" s="301">
        <v>0</v>
      </c>
      <c r="F338" s="301">
        <v>0</v>
      </c>
      <c r="G338" s="301">
        <v>0</v>
      </c>
      <c r="H338" s="301">
        <v>0</v>
      </c>
      <c r="I338" s="301">
        <v>0</v>
      </c>
      <c r="J338" s="301">
        <v>0</v>
      </c>
      <c r="K338" s="301">
        <v>8.6182110000000005</v>
      </c>
      <c r="L338" s="301">
        <v>0.30617500000000097</v>
      </c>
      <c r="M338" s="301">
        <f t="shared" si="24"/>
        <v>8.9243860000000019</v>
      </c>
      <c r="N338" s="288"/>
      <c r="O338" s="303"/>
      <c r="P338" s="282"/>
      <c r="Q338" s="282"/>
      <c r="R338" s="282"/>
      <c r="S338" s="282"/>
      <c r="T338" s="282"/>
      <c r="U338" s="282"/>
      <c r="V338" s="282"/>
      <c r="W338" s="282"/>
      <c r="X338" s="282"/>
      <c r="Y338" s="282"/>
      <c r="Z338" s="282"/>
      <c r="AA338" s="282"/>
    </row>
    <row r="339" spans="1:27" ht="18.75">
      <c r="A339" s="289" t="s">
        <v>10</v>
      </c>
      <c r="B339" s="301">
        <v>0</v>
      </c>
      <c r="C339" s="301">
        <v>0</v>
      </c>
      <c r="D339" s="301">
        <v>0</v>
      </c>
      <c r="E339" s="301">
        <v>0</v>
      </c>
      <c r="F339" s="301">
        <v>0</v>
      </c>
      <c r="G339" s="301">
        <v>0</v>
      </c>
      <c r="H339" s="301">
        <v>0</v>
      </c>
      <c r="I339" s="301">
        <v>0</v>
      </c>
      <c r="J339" s="301">
        <v>0</v>
      </c>
      <c r="K339" s="301">
        <v>8.5635100000000008</v>
      </c>
      <c r="L339" s="301">
        <v>0.37781900000000002</v>
      </c>
      <c r="M339" s="301">
        <f t="shared" si="24"/>
        <v>8.9413290000000014</v>
      </c>
      <c r="N339" s="288"/>
      <c r="O339" s="303"/>
      <c r="P339" s="282"/>
      <c r="Q339" s="282"/>
      <c r="R339" s="282"/>
      <c r="S339" s="282"/>
      <c r="T339" s="282"/>
      <c r="U339" s="282"/>
      <c r="V339" s="282"/>
      <c r="W339" s="282"/>
      <c r="X339" s="282"/>
      <c r="Y339" s="282"/>
      <c r="Z339" s="282"/>
      <c r="AA339" s="282"/>
    </row>
    <row r="340" spans="1:27" ht="18.75">
      <c r="A340" s="289" t="s">
        <v>11</v>
      </c>
      <c r="B340" s="301">
        <v>0</v>
      </c>
      <c r="C340" s="301">
        <v>0</v>
      </c>
      <c r="D340" s="301">
        <v>0</v>
      </c>
      <c r="E340" s="301">
        <v>0</v>
      </c>
      <c r="F340" s="301">
        <v>0</v>
      </c>
      <c r="G340" s="301">
        <v>0</v>
      </c>
      <c r="H340" s="301">
        <v>0</v>
      </c>
      <c r="I340" s="301">
        <v>0</v>
      </c>
      <c r="J340" s="301">
        <v>0</v>
      </c>
      <c r="K340" s="301">
        <v>8.5584749999999996</v>
      </c>
      <c r="L340" s="301">
        <v>0.40473699999999901</v>
      </c>
      <c r="M340" s="301">
        <f t="shared" si="24"/>
        <v>8.9632119999999986</v>
      </c>
      <c r="N340" s="288"/>
      <c r="O340" s="303"/>
      <c r="P340" s="282"/>
      <c r="Q340" s="282"/>
      <c r="R340" s="282"/>
      <c r="S340" s="282"/>
      <c r="T340" s="282"/>
      <c r="U340" s="282"/>
      <c r="V340" s="282"/>
      <c r="W340" s="282"/>
      <c r="X340" s="282"/>
      <c r="Y340" s="282"/>
      <c r="Z340" s="282"/>
      <c r="AA340" s="282"/>
    </row>
    <row r="341" spans="1:27" ht="18.75">
      <c r="A341" s="289" t="s">
        <v>337</v>
      </c>
      <c r="B341" s="301">
        <v>0</v>
      </c>
      <c r="C341" s="301">
        <v>0</v>
      </c>
      <c r="D341" s="301">
        <v>0</v>
      </c>
      <c r="E341" s="301">
        <v>0</v>
      </c>
      <c r="F341" s="301">
        <v>0</v>
      </c>
      <c r="G341" s="301">
        <v>0</v>
      </c>
      <c r="H341" s="301">
        <v>0</v>
      </c>
      <c r="I341" s="301">
        <v>0</v>
      </c>
      <c r="J341" s="301">
        <v>0</v>
      </c>
      <c r="K341" s="301">
        <v>8.5556929999999998</v>
      </c>
      <c r="L341" s="301">
        <v>0.432315000000001</v>
      </c>
      <c r="M341" s="301">
        <f t="shared" si="24"/>
        <v>8.9880080000000007</v>
      </c>
      <c r="N341" s="288"/>
      <c r="O341" s="303"/>
      <c r="P341" s="282"/>
      <c r="Q341" s="282"/>
      <c r="R341" s="282"/>
      <c r="S341" s="282"/>
      <c r="T341" s="282"/>
      <c r="U341" s="282"/>
      <c r="V341" s="282"/>
      <c r="W341" s="282"/>
      <c r="X341" s="282"/>
      <c r="Y341" s="282"/>
      <c r="Z341" s="282"/>
      <c r="AA341" s="282"/>
    </row>
    <row r="342" spans="1:27" ht="18.75">
      <c r="A342" s="289" t="s">
        <v>346</v>
      </c>
      <c r="B342" s="301">
        <v>0</v>
      </c>
      <c r="C342" s="301">
        <v>0</v>
      </c>
      <c r="D342" s="301">
        <v>0</v>
      </c>
      <c r="E342" s="301">
        <v>0</v>
      </c>
      <c r="F342" s="301">
        <v>0</v>
      </c>
      <c r="G342" s="301">
        <v>0</v>
      </c>
      <c r="H342" s="301">
        <v>0</v>
      </c>
      <c r="I342" s="301">
        <v>0</v>
      </c>
      <c r="J342" s="301">
        <v>0</v>
      </c>
      <c r="K342" s="301">
        <v>10.52</v>
      </c>
      <c r="L342" s="301">
        <v>0.442</v>
      </c>
      <c r="M342" s="301">
        <f t="shared" si="24"/>
        <v>10.962</v>
      </c>
      <c r="N342" s="288"/>
      <c r="O342" s="303"/>
      <c r="P342" s="282"/>
      <c r="Q342" s="282"/>
      <c r="R342" s="282"/>
      <c r="S342" s="282"/>
      <c r="T342" s="282"/>
      <c r="U342" s="282"/>
      <c r="V342" s="282"/>
      <c r="W342" s="282"/>
      <c r="X342" s="282"/>
      <c r="Y342" s="282"/>
      <c r="Z342" s="282"/>
      <c r="AA342" s="282"/>
    </row>
    <row r="343" spans="1:27" ht="18.75">
      <c r="A343" s="289" t="s">
        <v>347</v>
      </c>
      <c r="B343" s="301">
        <v>0</v>
      </c>
      <c r="C343" s="301">
        <v>0</v>
      </c>
      <c r="D343" s="301">
        <v>0</v>
      </c>
      <c r="E343" s="301">
        <v>0</v>
      </c>
      <c r="F343" s="301">
        <v>0</v>
      </c>
      <c r="G343" s="301">
        <v>0</v>
      </c>
      <c r="H343" s="301">
        <v>0</v>
      </c>
      <c r="I343" s="301">
        <v>0</v>
      </c>
      <c r="J343" s="301">
        <v>0</v>
      </c>
      <c r="K343" s="301">
        <v>11.583</v>
      </c>
      <c r="L343" s="301">
        <v>0.38779999999999998</v>
      </c>
      <c r="M343" s="301">
        <f t="shared" si="24"/>
        <v>11.970800000000001</v>
      </c>
      <c r="N343" s="288"/>
      <c r="O343" s="303"/>
      <c r="P343" s="282"/>
      <c r="Q343" s="282"/>
      <c r="R343" s="282"/>
      <c r="S343" s="282"/>
      <c r="T343" s="282"/>
      <c r="U343" s="282"/>
      <c r="V343" s="282"/>
      <c r="W343" s="282"/>
      <c r="X343" s="282"/>
      <c r="Y343" s="282"/>
      <c r="Z343" s="282"/>
      <c r="AA343" s="282"/>
    </row>
    <row r="344" spans="1:27" ht="18.75">
      <c r="A344" s="289" t="s">
        <v>12</v>
      </c>
      <c r="B344" s="301">
        <v>0</v>
      </c>
      <c r="C344" s="301">
        <v>0</v>
      </c>
      <c r="D344" s="301">
        <v>0</v>
      </c>
      <c r="E344" s="301">
        <v>0</v>
      </c>
      <c r="F344" s="301">
        <v>0</v>
      </c>
      <c r="G344" s="301">
        <v>0</v>
      </c>
      <c r="H344" s="301">
        <v>0</v>
      </c>
      <c r="I344" s="301">
        <v>0</v>
      </c>
      <c r="J344" s="301">
        <v>0</v>
      </c>
      <c r="K344" s="301">
        <v>8.2047000000000008</v>
      </c>
      <c r="L344" s="301">
        <v>0.4763</v>
      </c>
      <c r="M344" s="301">
        <f t="shared" si="24"/>
        <v>8.6810000000000009</v>
      </c>
      <c r="N344" s="288"/>
      <c r="O344" s="303"/>
      <c r="P344" s="282"/>
      <c r="Q344" s="282"/>
      <c r="R344" s="282"/>
      <c r="S344" s="282"/>
      <c r="T344" s="282"/>
      <c r="U344" s="282"/>
      <c r="V344" s="282"/>
      <c r="W344" s="282"/>
      <c r="X344" s="282"/>
      <c r="Y344" s="282"/>
      <c r="Z344" s="282"/>
      <c r="AA344" s="282"/>
    </row>
    <row r="345" spans="1:27" ht="18.75">
      <c r="A345" s="289" t="s">
        <v>13</v>
      </c>
      <c r="B345" s="301">
        <v>0</v>
      </c>
      <c r="C345" s="301">
        <v>5.5</v>
      </c>
      <c r="D345" s="301">
        <v>0</v>
      </c>
      <c r="E345" s="301">
        <v>0</v>
      </c>
      <c r="F345" s="301">
        <v>0</v>
      </c>
      <c r="G345" s="301">
        <v>0</v>
      </c>
      <c r="H345" s="301">
        <v>0</v>
      </c>
      <c r="I345" s="301">
        <v>0</v>
      </c>
      <c r="J345" s="301">
        <v>5.5</v>
      </c>
      <c r="K345" s="301">
        <v>8.2047000000000008</v>
      </c>
      <c r="L345" s="301">
        <v>0.51019999999999999</v>
      </c>
      <c r="M345" s="301">
        <f t="shared" si="24"/>
        <v>14.2149</v>
      </c>
      <c r="N345" s="288"/>
      <c r="O345" s="303"/>
      <c r="P345" s="282"/>
      <c r="Q345" s="282"/>
      <c r="R345" s="282"/>
      <c r="S345" s="282"/>
      <c r="T345" s="282"/>
      <c r="U345" s="282"/>
      <c r="V345" s="282"/>
      <c r="W345" s="282"/>
      <c r="X345" s="282"/>
      <c r="Y345" s="282"/>
      <c r="Z345" s="282"/>
      <c r="AA345" s="282"/>
    </row>
    <row r="346" spans="1:27" ht="18.75">
      <c r="A346" s="289" t="s">
        <v>14</v>
      </c>
      <c r="B346" s="301">
        <v>0</v>
      </c>
      <c r="C346" s="301">
        <v>0</v>
      </c>
      <c r="D346" s="301">
        <v>0</v>
      </c>
      <c r="E346" s="301">
        <v>0</v>
      </c>
      <c r="F346" s="301">
        <v>0</v>
      </c>
      <c r="G346" s="301">
        <v>0</v>
      </c>
      <c r="H346" s="301">
        <v>0</v>
      </c>
      <c r="I346" s="301">
        <v>0</v>
      </c>
      <c r="J346" s="301">
        <v>0</v>
      </c>
      <c r="K346" s="301">
        <v>8.6724999999999994</v>
      </c>
      <c r="L346" s="301">
        <v>0.22359999999999999</v>
      </c>
      <c r="M346" s="301">
        <f t="shared" si="24"/>
        <v>8.8960999999999988</v>
      </c>
      <c r="N346" s="288"/>
      <c r="O346" s="303"/>
      <c r="P346" s="282"/>
      <c r="Q346" s="282"/>
      <c r="R346" s="282"/>
      <c r="S346" s="282"/>
      <c r="T346" s="282"/>
      <c r="U346" s="282"/>
      <c r="V346" s="282"/>
      <c r="W346" s="282"/>
      <c r="X346" s="282"/>
      <c r="Y346" s="282"/>
      <c r="Z346" s="282"/>
      <c r="AA346" s="282"/>
    </row>
    <row r="347" spans="1:27" ht="18.75">
      <c r="A347" s="289" t="s">
        <v>15</v>
      </c>
      <c r="B347" s="301">
        <v>0</v>
      </c>
      <c r="C347" s="301">
        <v>0</v>
      </c>
      <c r="D347" s="301">
        <v>0</v>
      </c>
      <c r="E347" s="301">
        <v>0</v>
      </c>
      <c r="F347" s="301">
        <v>0</v>
      </c>
      <c r="G347" s="301">
        <v>0</v>
      </c>
      <c r="H347" s="301">
        <v>0</v>
      </c>
      <c r="I347" s="301">
        <v>0</v>
      </c>
      <c r="J347" s="301">
        <v>0</v>
      </c>
      <c r="K347" s="301">
        <v>8.1686999999999994</v>
      </c>
      <c r="L347" s="301">
        <v>0.50839999999999996</v>
      </c>
      <c r="M347" s="301">
        <f t="shared" si="24"/>
        <v>8.6770999999999994</v>
      </c>
      <c r="N347" s="288"/>
      <c r="O347" s="303"/>
      <c r="P347" s="282"/>
      <c r="Q347" s="282"/>
      <c r="R347" s="282"/>
      <c r="S347" s="282"/>
      <c r="T347" s="282"/>
      <c r="U347" s="282"/>
      <c r="V347" s="282"/>
      <c r="W347" s="282"/>
      <c r="X347" s="282"/>
      <c r="Y347" s="282"/>
      <c r="Z347" s="282"/>
      <c r="AA347" s="282"/>
    </row>
    <row r="348" spans="1:27" ht="18.75">
      <c r="A348" s="289" t="s">
        <v>16</v>
      </c>
      <c r="B348" s="301">
        <v>0</v>
      </c>
      <c r="C348" s="301">
        <v>0</v>
      </c>
      <c r="D348" s="301">
        <v>0</v>
      </c>
      <c r="E348" s="301">
        <v>0</v>
      </c>
      <c r="F348" s="301">
        <v>0</v>
      </c>
      <c r="G348" s="301">
        <v>0</v>
      </c>
      <c r="H348" s="301">
        <v>0</v>
      </c>
      <c r="I348" s="301">
        <v>0</v>
      </c>
      <c r="J348" s="301">
        <v>0</v>
      </c>
      <c r="K348" s="301">
        <v>8.4811999999999994</v>
      </c>
      <c r="L348" s="301">
        <v>0.3795</v>
      </c>
      <c r="M348" s="301">
        <f t="shared" si="24"/>
        <v>8.8606999999999996</v>
      </c>
      <c r="N348" s="288"/>
      <c r="O348" s="303"/>
      <c r="P348" s="282"/>
      <c r="Q348" s="282"/>
      <c r="R348" s="282"/>
      <c r="S348" s="282"/>
      <c r="T348" s="282"/>
      <c r="U348" s="282"/>
      <c r="V348" s="282"/>
      <c r="W348" s="282"/>
      <c r="X348" s="282"/>
      <c r="Y348" s="282"/>
      <c r="Z348" s="282"/>
      <c r="AA348" s="282"/>
    </row>
    <row r="349" spans="1:27" ht="16.899999999999999" customHeight="1" thickBot="1">
      <c r="A349" s="304"/>
      <c r="B349" s="305"/>
      <c r="C349" s="305"/>
      <c r="D349" s="305"/>
      <c r="E349" s="305"/>
      <c r="F349" s="306"/>
      <c r="G349" s="306"/>
      <c r="H349" s="306"/>
      <c r="I349" s="306"/>
      <c r="J349" s="306"/>
      <c r="K349" s="306"/>
      <c r="L349" s="306"/>
      <c r="M349" s="306"/>
      <c r="N349" s="282"/>
      <c r="O349" s="282"/>
      <c r="P349" s="307"/>
      <c r="Q349" s="307"/>
      <c r="R349" s="307"/>
      <c r="S349" s="307"/>
      <c r="T349" s="307"/>
      <c r="U349" s="307"/>
      <c r="V349" s="307"/>
      <c r="W349" s="307"/>
      <c r="X349" s="307"/>
      <c r="Y349" s="307"/>
      <c r="Z349" s="307"/>
      <c r="AA349" s="307"/>
    </row>
    <row r="350" spans="1:27" ht="16.5" thickTop="1"/>
  </sheetData>
  <customSheetViews>
    <customSheetView guid="{705E0D18-9A83-42CA-8732-90923BE2EC7D}"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1"/>
      <headerFooter alignWithMargins="0"/>
    </customSheetView>
    <customSheetView guid="{D45E5F9E-4EA6-40A2-8A1D-3AC67FB8CE54}"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2"/>
      <headerFooter alignWithMargins="0"/>
    </customSheetView>
    <customSheetView guid="{098C004C-808F-436E-8F18-182F927479D1}"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3"/>
      <headerFooter alignWithMargins="0"/>
    </customSheetView>
    <customSheetView guid="{89CA84C2-78F5-4B05-8F1D-B7C5F97BCB4E}"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4"/>
      <headerFooter alignWithMargins="0"/>
    </customSheetView>
  </customSheetViews>
  <mergeCells count="4">
    <mergeCell ref="B7:J7"/>
    <mergeCell ref="B175:J175"/>
    <mergeCell ref="A4:M4"/>
    <mergeCell ref="A2:M2"/>
  </mergeCells>
  <phoneticPr fontId="31" type="noConversion"/>
  <printOptions horizontalCentered="1"/>
  <pageMargins left="0.75" right="0" top="0.44" bottom="0.5" header="0.31" footer="0.5"/>
  <pageSetup paperSize="9" scale="67" orientation="landscape" horizontalDpi="300" verticalDpi="300" r:id="rId5"/>
  <headerFooter alignWithMargins="0"/>
  <rowBreaks count="1" manualBreakCount="1">
    <brk id="87" max="13"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4:P183"/>
  <sheetViews>
    <sheetView zoomScale="60" zoomScaleNormal="60" workbookViewId="0">
      <pane xSplit="2" ySplit="13" topLeftCell="C152" activePane="bottomRight" state="frozen"/>
      <selection pane="topRight" activeCell="C1" sqref="C1"/>
      <selection pane="bottomLeft" activeCell="A14" sqref="A14"/>
      <selection pane="bottomRight" sqref="A1:IV65536"/>
    </sheetView>
  </sheetViews>
  <sheetFormatPr defaultColWidth="8.77734375" defaultRowHeight="15"/>
  <cols>
    <col min="1" max="1" width="8.77734375" style="269"/>
    <col min="2" max="2" width="10.5546875" style="269" customWidth="1"/>
    <col min="3" max="3" width="16.77734375" style="269" bestFit="1" customWidth="1"/>
    <col min="4" max="4" width="14.44140625" style="269" customWidth="1"/>
    <col min="5" max="5" width="12.5546875" style="269" bestFit="1" customWidth="1"/>
    <col min="6" max="6" width="15.21875" style="269" bestFit="1" customWidth="1"/>
    <col min="7" max="7" width="16.77734375" style="269" bestFit="1" customWidth="1"/>
    <col min="8" max="8" width="20.77734375" style="269" bestFit="1" customWidth="1"/>
    <col min="9" max="9" width="19.77734375" style="269" bestFit="1" customWidth="1"/>
    <col min="10" max="10" width="8.77734375" style="269"/>
    <col min="11" max="11" width="11.44140625" style="269" bestFit="1" customWidth="1"/>
    <col min="12" max="12" width="24.77734375" style="269" bestFit="1" customWidth="1"/>
    <col min="13" max="13" width="28" style="269" customWidth="1"/>
    <col min="14" max="15" width="8.77734375" style="269"/>
    <col min="16" max="16" width="13.5546875" style="269" bestFit="1" customWidth="1"/>
    <col min="17" max="16384" width="8.77734375" style="269"/>
  </cols>
  <sheetData>
    <row r="4" spans="1:14" ht="18.75">
      <c r="A4" s="311">
        <v>16426</v>
      </c>
      <c r="B4" s="1951" t="s">
        <v>1019</v>
      </c>
      <c r="C4" s="1951"/>
      <c r="D4" s="1951"/>
      <c r="E4" s="1951"/>
      <c r="F4" s="1951"/>
      <c r="G4" s="1951"/>
      <c r="H4" s="1951"/>
      <c r="I4" s="1951"/>
      <c r="J4" s="1951"/>
      <c r="K4" s="1951"/>
      <c r="L4" s="1951"/>
      <c r="M4" s="1951"/>
      <c r="N4" s="285"/>
    </row>
    <row r="5" spans="1:14" ht="18.75">
      <c r="B5" s="284"/>
      <c r="C5" s="285"/>
      <c r="D5" s="285"/>
      <c r="E5" s="285"/>
      <c r="F5" s="285"/>
      <c r="G5" s="285"/>
      <c r="H5" s="285"/>
      <c r="I5" s="285"/>
      <c r="J5" s="285"/>
      <c r="K5" s="285"/>
      <c r="L5" s="285"/>
      <c r="M5" s="285"/>
      <c r="N5" s="285"/>
    </row>
    <row r="6" spans="1:14" ht="18.75">
      <c r="B6" s="1945" t="s">
        <v>1039</v>
      </c>
      <c r="C6" s="1945"/>
      <c r="D6" s="1945"/>
      <c r="E6" s="1945"/>
      <c r="F6" s="1945"/>
      <c r="G6" s="1945"/>
      <c r="H6" s="1945"/>
      <c r="I6" s="1945"/>
      <c r="J6" s="1945"/>
      <c r="K6" s="1945"/>
      <c r="L6" s="1945"/>
      <c r="M6" s="1945"/>
      <c r="N6" s="285"/>
    </row>
    <row r="7" spans="1:14" ht="18.75">
      <c r="B7" s="285"/>
      <c r="C7" s="285"/>
      <c r="D7" s="285"/>
      <c r="E7" s="285"/>
      <c r="F7" s="285"/>
      <c r="G7" s="285"/>
      <c r="H7" s="285"/>
      <c r="I7" s="285"/>
      <c r="J7" s="285"/>
      <c r="K7" s="285"/>
      <c r="L7" s="285"/>
      <c r="M7" s="285"/>
      <c r="N7" s="285"/>
    </row>
    <row r="8" spans="1:14" ht="19.5" thickBot="1">
      <c r="B8" s="291"/>
      <c r="C8" s="291"/>
      <c r="D8" s="291"/>
      <c r="E8" s="291"/>
      <c r="F8" s="291"/>
      <c r="G8" s="291"/>
      <c r="H8" s="291"/>
      <c r="I8" s="291"/>
      <c r="J8" s="291"/>
      <c r="K8" s="291"/>
      <c r="L8" s="291"/>
      <c r="M8" s="291"/>
      <c r="N8" s="285"/>
    </row>
    <row r="9" spans="1:14" ht="19.5" thickTop="1">
      <c r="B9" s="286"/>
      <c r="C9" s="1952" t="s">
        <v>996</v>
      </c>
      <c r="D9" s="1953"/>
      <c r="E9" s="1953"/>
      <c r="F9" s="1953"/>
      <c r="G9" s="1954"/>
      <c r="H9" s="286"/>
      <c r="I9" s="286"/>
      <c r="J9" s="286"/>
      <c r="K9" s="286"/>
      <c r="L9" s="286"/>
      <c r="M9" s="286"/>
      <c r="N9" s="285"/>
    </row>
    <row r="10" spans="1:14" ht="18.75">
      <c r="B10" s="289"/>
      <c r="C10" s="285"/>
      <c r="D10" s="312"/>
      <c r="E10" s="285"/>
      <c r="F10" s="285"/>
      <c r="G10" s="285"/>
      <c r="H10" s="289"/>
      <c r="I10" s="289"/>
      <c r="J10" s="289"/>
      <c r="K10" s="289"/>
      <c r="L10" s="289"/>
      <c r="M10" s="289"/>
      <c r="N10" s="285"/>
    </row>
    <row r="11" spans="1:14" ht="19.5" thickBot="1">
      <c r="B11" s="290" t="s">
        <v>32</v>
      </c>
      <c r="C11" s="291"/>
      <c r="D11" s="291"/>
      <c r="E11" s="291"/>
      <c r="F11" s="291"/>
      <c r="G11" s="291"/>
      <c r="H11" s="289"/>
      <c r="I11" s="289"/>
      <c r="J11" s="289"/>
      <c r="K11" s="289"/>
      <c r="L11" s="289"/>
      <c r="M11" s="289"/>
      <c r="N11" s="285"/>
    </row>
    <row r="12" spans="1:14" ht="19.5" thickTop="1">
      <c r="B12" s="289"/>
      <c r="C12" s="298" t="s">
        <v>1002</v>
      </c>
      <c r="D12" s="298" t="s">
        <v>1020</v>
      </c>
      <c r="E12" s="313" t="s">
        <v>1005</v>
      </c>
      <c r="F12" s="298" t="s">
        <v>1003</v>
      </c>
      <c r="G12" s="298" t="s">
        <v>37</v>
      </c>
      <c r="H12" s="290" t="s">
        <v>1021</v>
      </c>
      <c r="I12" s="290" t="s">
        <v>1021</v>
      </c>
      <c r="J12" s="290" t="s">
        <v>53</v>
      </c>
      <c r="K12" s="290" t="s">
        <v>1000</v>
      </c>
      <c r="L12" s="290" t="s">
        <v>31</v>
      </c>
      <c r="M12" s="290" t="s">
        <v>287</v>
      </c>
      <c r="N12" s="285"/>
    </row>
    <row r="13" spans="1:14" ht="19.5" thickBot="1">
      <c r="B13" s="289"/>
      <c r="C13" s="289"/>
      <c r="D13" s="290" t="s">
        <v>1022</v>
      </c>
      <c r="E13" s="314"/>
      <c r="F13" s="289"/>
      <c r="G13" s="289"/>
      <c r="H13" s="290" t="s">
        <v>1023</v>
      </c>
      <c r="I13" s="290" t="s">
        <v>1024</v>
      </c>
      <c r="J13" s="290" t="s">
        <v>36</v>
      </c>
      <c r="K13" s="289"/>
      <c r="L13" s="289"/>
      <c r="M13" s="289"/>
      <c r="N13" s="285"/>
    </row>
    <row r="14" spans="1:14" ht="20.25" thickTop="1" thickBot="1">
      <c r="B14" s="315"/>
      <c r="C14" s="315"/>
      <c r="D14" s="315"/>
      <c r="E14" s="316"/>
      <c r="F14" s="315"/>
      <c r="G14" s="317"/>
      <c r="H14" s="318"/>
      <c r="I14" s="316"/>
      <c r="J14" s="319"/>
      <c r="K14" s="315"/>
      <c r="L14" s="315"/>
      <c r="M14" s="315"/>
      <c r="N14" s="285"/>
    </row>
    <row r="15" spans="1:14" ht="19.5" hidden="1" thickTop="1">
      <c r="B15" s="320"/>
      <c r="C15" s="320"/>
      <c r="D15" s="321"/>
      <c r="E15" s="322"/>
      <c r="F15" s="320"/>
      <c r="G15" s="323"/>
      <c r="H15" s="324"/>
      <c r="I15" s="322"/>
      <c r="J15" s="298"/>
      <c r="K15" s="325"/>
      <c r="L15" s="325"/>
      <c r="M15" s="322"/>
      <c r="N15" s="285"/>
    </row>
    <row r="16" spans="1:14" ht="18.75" hidden="1">
      <c r="B16" s="326">
        <v>1999</v>
      </c>
      <c r="C16" s="327"/>
      <c r="D16" s="328"/>
      <c r="E16" s="314"/>
      <c r="F16" s="329"/>
      <c r="G16" s="330"/>
      <c r="H16" s="289"/>
      <c r="I16" s="329"/>
      <c r="J16" s="331"/>
      <c r="K16" s="332"/>
      <c r="L16" s="314"/>
      <c r="M16" s="329"/>
      <c r="N16" s="285"/>
    </row>
    <row r="17" spans="2:14" ht="18.75" hidden="1">
      <c r="B17" s="333"/>
      <c r="C17" s="333"/>
      <c r="D17" s="334"/>
      <c r="E17" s="335"/>
      <c r="F17" s="300"/>
      <c r="G17" s="336"/>
      <c r="H17" s="300"/>
      <c r="I17" s="335"/>
      <c r="J17" s="335"/>
      <c r="K17" s="335"/>
      <c r="L17" s="335"/>
      <c r="M17" s="300"/>
      <c r="N17" s="285"/>
    </row>
    <row r="18" spans="2:14" ht="18.75" hidden="1">
      <c r="B18" s="337" t="s">
        <v>8</v>
      </c>
      <c r="C18" s="338">
        <v>1.6574990000000001</v>
      </c>
      <c r="D18" s="339">
        <v>1.0399999999999999E-4</v>
      </c>
      <c r="E18" s="339">
        <v>0</v>
      </c>
      <c r="F18" s="301">
        <v>0.248944</v>
      </c>
      <c r="G18" s="340">
        <v>1.906547</v>
      </c>
      <c r="H18" s="301">
        <v>0.55515499999999995</v>
      </c>
      <c r="I18" s="339">
        <v>4.8274999999999998E-2</v>
      </c>
      <c r="J18" s="339">
        <v>3.5268000000000001E-2</v>
      </c>
      <c r="K18" s="339">
        <v>4.5717000000000001E-2</v>
      </c>
      <c r="L18" s="339">
        <v>0.53657600000000005</v>
      </c>
      <c r="M18" s="301">
        <v>3.1275379999999999</v>
      </c>
      <c r="N18" s="285"/>
    </row>
    <row r="19" spans="2:14" ht="18.75" hidden="1">
      <c r="B19" s="337" t="s">
        <v>9</v>
      </c>
      <c r="C19" s="338">
        <v>1.6419140000000001</v>
      </c>
      <c r="D19" s="339">
        <v>1.0399999999999999E-4</v>
      </c>
      <c r="E19" s="339">
        <v>0</v>
      </c>
      <c r="F19" s="301">
        <v>0.30969200000000002</v>
      </c>
      <c r="G19" s="340">
        <v>1.9517100000000001</v>
      </c>
      <c r="H19" s="301">
        <v>0.37495200000000001</v>
      </c>
      <c r="I19" s="339">
        <v>3.8274999999999997E-2</v>
      </c>
      <c r="J19" s="339">
        <v>1.6150999999999999E-2</v>
      </c>
      <c r="K19" s="339">
        <v>0.14463100000000001</v>
      </c>
      <c r="L19" s="339">
        <v>0.41814399999999979</v>
      </c>
      <c r="M19" s="301">
        <v>2.9438629999999999</v>
      </c>
      <c r="N19" s="285"/>
    </row>
    <row r="20" spans="2:14" ht="18.75" hidden="1">
      <c r="B20" s="337" t="s">
        <v>10</v>
      </c>
      <c r="C20" s="338">
        <v>1.786716</v>
      </c>
      <c r="D20" s="339">
        <v>1.0399999999999999E-4</v>
      </c>
      <c r="E20" s="339">
        <v>0</v>
      </c>
      <c r="F20" s="301">
        <v>0.42549300000000001</v>
      </c>
      <c r="G20" s="340">
        <v>2.212313</v>
      </c>
      <c r="H20" s="301">
        <v>0.85552800000000007</v>
      </c>
      <c r="I20" s="339">
        <v>4.3275000000000001E-2</v>
      </c>
      <c r="J20" s="339">
        <v>5.7972000000000003E-2</v>
      </c>
      <c r="K20" s="339">
        <v>7.7901999999999999E-2</v>
      </c>
      <c r="L20" s="339">
        <v>0.57002099999999978</v>
      </c>
      <c r="M20" s="301">
        <v>3.8170109999999999</v>
      </c>
      <c r="N20" s="285"/>
    </row>
    <row r="21" spans="2:14" ht="18.75" hidden="1">
      <c r="B21" s="337" t="s">
        <v>11</v>
      </c>
      <c r="C21" s="338">
        <v>2.4230079999999998</v>
      </c>
      <c r="D21" s="339">
        <v>1.0399999999999999E-4</v>
      </c>
      <c r="E21" s="339">
        <v>0</v>
      </c>
      <c r="F21" s="301">
        <v>0.49469999999999997</v>
      </c>
      <c r="G21" s="340">
        <v>2.9178120000000001</v>
      </c>
      <c r="H21" s="301">
        <v>0.72466399999999997</v>
      </c>
      <c r="I21" s="339">
        <v>2.5777999999999999E-2</v>
      </c>
      <c r="J21" s="339">
        <v>6.4280000000000004E-2</v>
      </c>
      <c r="K21" s="339">
        <v>0.20348500000000003</v>
      </c>
      <c r="L21" s="339">
        <v>0.59663800000000033</v>
      </c>
      <c r="M21" s="301">
        <v>4.5326570000000004</v>
      </c>
      <c r="N21" s="285"/>
    </row>
    <row r="22" spans="2:14" ht="18.75" hidden="1">
      <c r="B22" s="337" t="s">
        <v>337</v>
      </c>
      <c r="C22" s="338">
        <v>1.92177</v>
      </c>
      <c r="D22" s="339">
        <v>0</v>
      </c>
      <c r="E22" s="339">
        <v>0</v>
      </c>
      <c r="F22" s="301">
        <v>0.52817899999999995</v>
      </c>
      <c r="G22" s="340">
        <v>2.4499490000000002</v>
      </c>
      <c r="H22" s="301">
        <v>0.73580200000000007</v>
      </c>
      <c r="I22" s="339">
        <v>6.3278000000000001E-2</v>
      </c>
      <c r="J22" s="339">
        <v>6.4246999999999999E-2</v>
      </c>
      <c r="K22" s="339">
        <v>0.385544</v>
      </c>
      <c r="L22" s="339">
        <v>0.55804800000000021</v>
      </c>
      <c r="M22" s="301">
        <v>4.2568680000000008</v>
      </c>
      <c r="N22" s="285"/>
    </row>
    <row r="23" spans="2:14" ht="18.75" hidden="1">
      <c r="B23" s="337" t="s">
        <v>346</v>
      </c>
      <c r="C23" s="338">
        <v>2.1043189999999998</v>
      </c>
      <c r="D23" s="339">
        <v>0</v>
      </c>
      <c r="E23" s="339">
        <v>0</v>
      </c>
      <c r="F23" s="301">
        <v>0.49423</v>
      </c>
      <c r="G23" s="340">
        <v>2.5985489999999998</v>
      </c>
      <c r="H23" s="301">
        <v>0.42006900000000003</v>
      </c>
      <c r="I23" s="339">
        <v>4.5518999999999997E-2</v>
      </c>
      <c r="J23" s="339">
        <v>5.0394000000000001E-2</v>
      </c>
      <c r="K23" s="339">
        <v>0.16362700000000002</v>
      </c>
      <c r="L23" s="339">
        <v>0.50501700000000027</v>
      </c>
      <c r="M23" s="301">
        <v>3.7831750000000004</v>
      </c>
      <c r="N23" s="285"/>
    </row>
    <row r="24" spans="2:14" ht="18.75" hidden="1">
      <c r="B24" s="337" t="s">
        <v>347</v>
      </c>
      <c r="C24" s="338">
        <v>3.275153</v>
      </c>
      <c r="D24" s="339">
        <v>0</v>
      </c>
      <c r="E24" s="339">
        <v>0</v>
      </c>
      <c r="F24" s="301">
        <v>0.29882900000000001</v>
      </c>
      <c r="G24" s="340">
        <v>3.573982</v>
      </c>
      <c r="H24" s="301">
        <v>0.17744699999999999</v>
      </c>
      <c r="I24" s="339">
        <v>4.2625000000000003E-2</v>
      </c>
      <c r="J24" s="339">
        <v>5.0377999999999999E-2</v>
      </c>
      <c r="K24" s="339">
        <v>0.14080999999999999</v>
      </c>
      <c r="L24" s="339">
        <v>0.53944000000000003</v>
      </c>
      <c r="M24" s="301">
        <v>4.5246819999999994</v>
      </c>
      <c r="N24" s="285"/>
    </row>
    <row r="25" spans="2:14" ht="18.75" hidden="1">
      <c r="B25" s="337" t="s">
        <v>12</v>
      </c>
      <c r="C25" s="338">
        <v>2.0942240000000001</v>
      </c>
      <c r="D25" s="339">
        <v>0</v>
      </c>
      <c r="E25" s="339">
        <v>0</v>
      </c>
      <c r="F25" s="301">
        <v>0.39112200000000003</v>
      </c>
      <c r="G25" s="340">
        <v>2.4853459999999998</v>
      </c>
      <c r="H25" s="301">
        <v>0.44336900000000001</v>
      </c>
      <c r="I25" s="339">
        <v>4.6625E-2</v>
      </c>
      <c r="J25" s="339">
        <v>5.0359000000000001E-2</v>
      </c>
      <c r="K25" s="339">
        <v>7.8099999999999989E-2</v>
      </c>
      <c r="L25" s="339">
        <v>0.79227300000000012</v>
      </c>
      <c r="M25" s="301">
        <v>3.8960720000000002</v>
      </c>
      <c r="N25" s="285"/>
    </row>
    <row r="26" spans="2:14" ht="18.75" hidden="1">
      <c r="B26" s="337" t="s">
        <v>13</v>
      </c>
      <c r="C26" s="338">
        <v>3.3781179999999997</v>
      </c>
      <c r="D26" s="339">
        <v>0</v>
      </c>
      <c r="E26" s="339">
        <v>0</v>
      </c>
      <c r="F26" s="301">
        <v>0.19711600000000001</v>
      </c>
      <c r="G26" s="340">
        <v>3.575234</v>
      </c>
      <c r="H26" s="301">
        <v>0.226825</v>
      </c>
      <c r="I26" s="339">
        <v>4.2625000000000003E-2</v>
      </c>
      <c r="J26" s="339">
        <v>4.1279000000000003E-2</v>
      </c>
      <c r="K26" s="339">
        <v>0.15684500000000001</v>
      </c>
      <c r="L26" s="339">
        <v>0.87392299999999978</v>
      </c>
      <c r="M26" s="301">
        <v>4.9167309999999995</v>
      </c>
      <c r="N26" s="285"/>
    </row>
    <row r="27" spans="2:14" ht="18.75" hidden="1">
      <c r="B27" s="337" t="s">
        <v>14</v>
      </c>
      <c r="C27" s="338">
        <v>2.7214260000000001</v>
      </c>
      <c r="D27" s="339">
        <v>0</v>
      </c>
      <c r="E27" s="339">
        <v>0</v>
      </c>
      <c r="F27" s="301">
        <v>0.143096</v>
      </c>
      <c r="G27" s="340">
        <v>2.864522</v>
      </c>
      <c r="H27" s="301">
        <v>0.460146</v>
      </c>
      <c r="I27" s="339">
        <v>5.9450000000000003E-2</v>
      </c>
      <c r="J27" s="339">
        <v>4.1259999999999998E-2</v>
      </c>
      <c r="K27" s="339">
        <v>0.102242</v>
      </c>
      <c r="L27" s="339">
        <v>0.86264800000000019</v>
      </c>
      <c r="M27" s="301">
        <v>4.3902679999999998</v>
      </c>
      <c r="N27" s="285"/>
    </row>
    <row r="28" spans="2:14" ht="18.75" hidden="1">
      <c r="B28" s="337" t="s">
        <v>15</v>
      </c>
      <c r="C28" s="338">
        <v>2.7091129999999999</v>
      </c>
      <c r="D28" s="339">
        <v>8.9999999999999993E-3</v>
      </c>
      <c r="E28" s="339">
        <v>0</v>
      </c>
      <c r="F28" s="301">
        <v>0.55742199999999997</v>
      </c>
      <c r="G28" s="340">
        <v>3.2755349999999996</v>
      </c>
      <c r="H28" s="301">
        <v>0.32073000000000002</v>
      </c>
      <c r="I28" s="339">
        <v>4.5649999999999996E-2</v>
      </c>
      <c r="J28" s="339">
        <v>4.4700999999999998E-2</v>
      </c>
      <c r="K28" s="339">
        <v>0.27733099999999999</v>
      </c>
      <c r="L28" s="339">
        <v>1.1179319999999997</v>
      </c>
      <c r="M28" s="301">
        <v>5.0818789999999998</v>
      </c>
      <c r="N28" s="285"/>
    </row>
    <row r="29" spans="2:14" ht="18.75" hidden="1">
      <c r="B29" s="337" t="s">
        <v>16</v>
      </c>
      <c r="C29" s="338">
        <v>1.710296</v>
      </c>
      <c r="D29" s="339">
        <v>0</v>
      </c>
      <c r="E29" s="339">
        <v>0</v>
      </c>
      <c r="F29" s="301">
        <v>0.40595399999999998</v>
      </c>
      <c r="G29" s="340">
        <v>2.11625</v>
      </c>
      <c r="H29" s="301">
        <v>0.37549900000000003</v>
      </c>
      <c r="I29" s="339">
        <v>0.11795799999999999</v>
      </c>
      <c r="J29" s="339">
        <v>1.3695000000000001E-2</v>
      </c>
      <c r="K29" s="339">
        <v>8.6796999999999999E-2</v>
      </c>
      <c r="L29" s="339">
        <v>0.91370699999999982</v>
      </c>
      <c r="M29" s="301">
        <v>3.6239059999999998</v>
      </c>
      <c r="N29" s="285"/>
    </row>
    <row r="30" spans="2:14" ht="18.75" hidden="1">
      <c r="B30" s="337"/>
      <c r="C30" s="338"/>
      <c r="D30" s="301"/>
      <c r="E30" s="339"/>
      <c r="F30" s="301"/>
      <c r="G30" s="340"/>
      <c r="H30" s="301"/>
      <c r="I30" s="339"/>
      <c r="J30" s="339"/>
      <c r="K30" s="339"/>
      <c r="L30" s="341"/>
      <c r="M30" s="342"/>
      <c r="N30" s="285"/>
    </row>
    <row r="31" spans="2:14" ht="18.75" hidden="1">
      <c r="B31" s="343">
        <v>2000</v>
      </c>
      <c r="C31" s="301"/>
      <c r="D31" s="339"/>
      <c r="E31" s="341"/>
      <c r="F31" s="342"/>
      <c r="G31" s="344"/>
      <c r="H31" s="301"/>
      <c r="I31" s="341"/>
      <c r="J31" s="342"/>
      <c r="K31" s="338"/>
      <c r="L31" s="341"/>
      <c r="M31" s="342"/>
      <c r="N31" s="285"/>
    </row>
    <row r="32" spans="2:14" ht="18.75" hidden="1">
      <c r="B32" s="337"/>
      <c r="C32" s="338"/>
      <c r="D32" s="301"/>
      <c r="E32" s="339"/>
      <c r="F32" s="341"/>
      <c r="G32" s="344"/>
      <c r="H32" s="301"/>
      <c r="I32" s="339"/>
      <c r="J32" s="339"/>
      <c r="K32" s="301"/>
      <c r="L32" s="301"/>
      <c r="M32" s="301"/>
      <c r="N32" s="285"/>
    </row>
    <row r="33" spans="2:14" ht="18.75" hidden="1">
      <c r="B33" s="337" t="s">
        <v>8</v>
      </c>
      <c r="C33" s="338">
        <v>4.9626000000000001</v>
      </c>
      <c r="D33" s="301">
        <v>0.02</v>
      </c>
      <c r="E33" s="339">
        <v>0</v>
      </c>
      <c r="F33" s="301">
        <v>0.24130000000000001</v>
      </c>
      <c r="G33" s="345">
        <v>5.2240000000000002</v>
      </c>
      <c r="H33" s="301">
        <v>0.3493</v>
      </c>
      <c r="I33" s="339">
        <v>8.4500000000000006E-2</v>
      </c>
      <c r="J33" s="339">
        <v>1.4E-2</v>
      </c>
      <c r="K33" s="301">
        <v>3.4299999999999997E-2</v>
      </c>
      <c r="L33" s="301">
        <v>0.99650000000000005</v>
      </c>
      <c r="M33" s="301">
        <v>6.7023999999999999</v>
      </c>
      <c r="N33" s="285"/>
    </row>
    <row r="34" spans="2:14" ht="18.75" hidden="1">
      <c r="B34" s="327" t="s">
        <v>9</v>
      </c>
      <c r="C34" s="338">
        <v>3.1681999999999997</v>
      </c>
      <c r="D34" s="301">
        <v>8.3000000000000004E-2</v>
      </c>
      <c r="E34" s="339">
        <v>0</v>
      </c>
      <c r="F34" s="301">
        <v>0.26830000000000004</v>
      </c>
      <c r="G34" s="345">
        <v>3.5194999999999999</v>
      </c>
      <c r="H34" s="301">
        <v>0.40150000000000002</v>
      </c>
      <c r="I34" s="339">
        <v>0.1245</v>
      </c>
      <c r="J34" s="339">
        <v>1.4E-2</v>
      </c>
      <c r="K34" s="301">
        <v>0.16719999999999999</v>
      </c>
      <c r="L34" s="301">
        <v>1.0648</v>
      </c>
      <c r="M34" s="301">
        <v>5.2915000000000001</v>
      </c>
      <c r="N34" s="285"/>
    </row>
    <row r="35" spans="2:14" ht="18.75" hidden="1">
      <c r="B35" s="327" t="s">
        <v>10</v>
      </c>
      <c r="C35" s="338">
        <v>2.7348000000000003</v>
      </c>
      <c r="D35" s="301">
        <v>2.87E-2</v>
      </c>
      <c r="E35" s="339">
        <v>0</v>
      </c>
      <c r="F35" s="301">
        <v>0.22</v>
      </c>
      <c r="G35" s="345">
        <v>2.9834999999999998</v>
      </c>
      <c r="H35" s="301">
        <v>0.55300000000000005</v>
      </c>
      <c r="I35" s="339">
        <v>8.6800000000000002E-2</v>
      </c>
      <c r="J35" s="339">
        <v>1.4E-2</v>
      </c>
      <c r="K35" s="301">
        <v>0.2036</v>
      </c>
      <c r="L35" s="301">
        <v>1.0489000000000002</v>
      </c>
      <c r="M35" s="301">
        <v>4.8896000000000006</v>
      </c>
      <c r="N35" s="285"/>
    </row>
    <row r="36" spans="2:14" ht="18.75" hidden="1">
      <c r="B36" s="327" t="s">
        <v>11</v>
      </c>
      <c r="C36" s="338">
        <v>4.5955000000000004</v>
      </c>
      <c r="D36" s="301">
        <v>0</v>
      </c>
      <c r="E36" s="339">
        <v>0</v>
      </c>
      <c r="F36" s="301">
        <v>9.0299999999999991E-2</v>
      </c>
      <c r="G36" s="345">
        <v>4.6858000000000004</v>
      </c>
      <c r="H36" s="301">
        <v>0.15480000000000002</v>
      </c>
      <c r="I36" s="339">
        <v>8.8200000000000001E-2</v>
      </c>
      <c r="J36" s="339">
        <v>1.4E-2</v>
      </c>
      <c r="K36" s="301">
        <v>0.1714</v>
      </c>
      <c r="L36" s="301">
        <v>1.0526</v>
      </c>
      <c r="M36" s="301">
        <v>6.1668000000000003</v>
      </c>
      <c r="N36" s="285"/>
    </row>
    <row r="37" spans="2:14" ht="18.75" hidden="1">
      <c r="B37" s="327" t="s">
        <v>337</v>
      </c>
      <c r="C37" s="338">
        <v>4.2671000000000001</v>
      </c>
      <c r="D37" s="301">
        <v>0</v>
      </c>
      <c r="E37" s="339">
        <v>0</v>
      </c>
      <c r="F37" s="301">
        <v>0.18790000000000001</v>
      </c>
      <c r="G37" s="345">
        <v>4.4550000000000001</v>
      </c>
      <c r="H37" s="301">
        <v>0.14380000000000001</v>
      </c>
      <c r="I37" s="339">
        <v>9.4099999999999989E-2</v>
      </c>
      <c r="J37" s="339">
        <v>1.4E-2</v>
      </c>
      <c r="K37" s="301">
        <v>0.13100000000000001</v>
      </c>
      <c r="L37" s="301">
        <v>1.0649999999999999</v>
      </c>
      <c r="M37" s="301">
        <v>5.9028999999999998</v>
      </c>
      <c r="N37" s="285"/>
    </row>
    <row r="38" spans="2:14" ht="18.75" hidden="1">
      <c r="B38" s="327" t="s">
        <v>346</v>
      </c>
      <c r="C38" s="338">
        <v>4.2573999999999996</v>
      </c>
      <c r="D38" s="301">
        <v>0</v>
      </c>
      <c r="E38" s="339">
        <v>0</v>
      </c>
      <c r="F38" s="301">
        <v>0.10690000000000001</v>
      </c>
      <c r="G38" s="345">
        <v>4.3643000000000001</v>
      </c>
      <c r="H38" s="301">
        <v>0.14530000000000001</v>
      </c>
      <c r="I38" s="339">
        <v>9.509999999999999E-2</v>
      </c>
      <c r="J38" s="339">
        <v>1.14E-2</v>
      </c>
      <c r="K38" s="301">
        <v>0.1198</v>
      </c>
      <c r="L38" s="301">
        <v>1.0888</v>
      </c>
      <c r="M38" s="301">
        <v>5.8246000000000002</v>
      </c>
      <c r="N38" s="285"/>
    </row>
    <row r="39" spans="2:14" ht="18.75" hidden="1">
      <c r="B39" s="327" t="s">
        <v>347</v>
      </c>
      <c r="C39" s="338">
        <v>6.0943000000000005</v>
      </c>
      <c r="D39" s="301">
        <v>0</v>
      </c>
      <c r="E39" s="339">
        <v>0</v>
      </c>
      <c r="F39" s="301">
        <v>0.17</v>
      </c>
      <c r="G39" s="345">
        <v>6.2643000000000004</v>
      </c>
      <c r="H39" s="301">
        <v>0.16669999999999999</v>
      </c>
      <c r="I39" s="339">
        <v>9.240000000000001E-2</v>
      </c>
      <c r="J39" s="339">
        <v>3.8999999999999998E-3</v>
      </c>
      <c r="K39" s="301">
        <v>0.2792</v>
      </c>
      <c r="L39" s="301">
        <v>1.2144000000000001</v>
      </c>
      <c r="M39" s="301">
        <v>8.0208999999999993</v>
      </c>
      <c r="N39" s="285"/>
    </row>
    <row r="40" spans="2:14" ht="18.75" hidden="1">
      <c r="B40" s="327" t="s">
        <v>12</v>
      </c>
      <c r="C40" s="338">
        <v>4.0219000000000005</v>
      </c>
      <c r="D40" s="301">
        <v>0</v>
      </c>
      <c r="E40" s="339">
        <v>0</v>
      </c>
      <c r="F40" s="301">
        <v>0.20230000000000001</v>
      </c>
      <c r="G40" s="345">
        <v>4.2241999999999997</v>
      </c>
      <c r="H40" s="301">
        <v>0.15109999999999998</v>
      </c>
      <c r="I40" s="339">
        <v>9.8099999999999993E-2</v>
      </c>
      <c r="J40" s="339">
        <v>1.4E-2</v>
      </c>
      <c r="K40" s="301">
        <v>0.3654</v>
      </c>
      <c r="L40" s="301">
        <v>1.5247999999999999</v>
      </c>
      <c r="M40" s="301">
        <v>6.3776000000000002</v>
      </c>
      <c r="N40" s="285"/>
    </row>
    <row r="41" spans="2:14" ht="18.75" hidden="1">
      <c r="B41" s="327" t="s">
        <v>13</v>
      </c>
      <c r="C41" s="338">
        <v>3.67</v>
      </c>
      <c r="D41" s="301">
        <v>0</v>
      </c>
      <c r="E41" s="339">
        <v>0</v>
      </c>
      <c r="F41" s="301">
        <v>8.9700000000000002E-2</v>
      </c>
      <c r="G41" s="345">
        <v>3.7595999999999998</v>
      </c>
      <c r="H41" s="301">
        <v>0.15280000000000002</v>
      </c>
      <c r="I41" s="339">
        <v>0.106</v>
      </c>
      <c r="J41" s="339">
        <v>1.4E-2</v>
      </c>
      <c r="K41" s="301">
        <v>0.21309999999999998</v>
      </c>
      <c r="L41" s="301">
        <v>2.0510000000000002</v>
      </c>
      <c r="M41" s="301">
        <v>6.2963999999999993</v>
      </c>
      <c r="N41" s="285"/>
    </row>
    <row r="42" spans="2:14" ht="18.75" hidden="1">
      <c r="B42" s="327" t="s">
        <v>14</v>
      </c>
      <c r="C42" s="338">
        <v>7.1219999999999999</v>
      </c>
      <c r="D42" s="301">
        <v>0</v>
      </c>
      <c r="E42" s="339">
        <v>0</v>
      </c>
      <c r="F42" s="301">
        <v>0.50129999999999997</v>
      </c>
      <c r="G42" s="345">
        <v>7.6233000000000004</v>
      </c>
      <c r="H42" s="301">
        <v>0.55049999999999999</v>
      </c>
      <c r="I42" s="339">
        <v>9.9000000000000005E-2</v>
      </c>
      <c r="J42" s="339">
        <v>1.4E-2</v>
      </c>
      <c r="K42" s="301">
        <v>0.218</v>
      </c>
      <c r="L42" s="301">
        <v>2.113</v>
      </c>
      <c r="M42" s="301">
        <v>10.617599999999999</v>
      </c>
      <c r="N42" s="285"/>
    </row>
    <row r="43" spans="2:14" ht="18.75" hidden="1">
      <c r="B43" s="327" t="s">
        <v>15</v>
      </c>
      <c r="C43" s="338">
        <v>7.6825000000000001</v>
      </c>
      <c r="D43" s="301">
        <v>0</v>
      </c>
      <c r="E43" s="339">
        <v>0</v>
      </c>
      <c r="F43" s="301">
        <v>0.31569999999999998</v>
      </c>
      <c r="G43" s="345">
        <v>7.9981999999999998</v>
      </c>
      <c r="H43" s="301">
        <v>0.16290000000000002</v>
      </c>
      <c r="I43" s="339">
        <v>0.12179999999999999</v>
      </c>
      <c r="J43" s="339">
        <v>1.4E-2</v>
      </c>
      <c r="K43" s="301">
        <v>0.20430000000000001</v>
      </c>
      <c r="L43" s="301">
        <v>1.9813000000000001</v>
      </c>
      <c r="M43" s="301">
        <v>10.4824</v>
      </c>
      <c r="N43" s="285"/>
    </row>
    <row r="44" spans="2:14" ht="18.75" hidden="1">
      <c r="B44" s="327" t="s">
        <v>16</v>
      </c>
      <c r="C44" s="338">
        <v>8.2420000000000009</v>
      </c>
      <c r="D44" s="301">
        <v>0</v>
      </c>
      <c r="E44" s="339">
        <v>0</v>
      </c>
      <c r="F44" s="301">
        <v>0.2535</v>
      </c>
      <c r="G44" s="345">
        <v>8.4954999999999998</v>
      </c>
      <c r="H44" s="301">
        <v>1.5952999999999999</v>
      </c>
      <c r="I44" s="339">
        <v>0.1031</v>
      </c>
      <c r="J44" s="339">
        <v>0</v>
      </c>
      <c r="K44" s="301">
        <v>0.1429</v>
      </c>
      <c r="L44" s="301">
        <v>2.3992</v>
      </c>
      <c r="M44" s="301">
        <v>12.736000000000001</v>
      </c>
      <c r="N44" s="285"/>
    </row>
    <row r="45" spans="2:14" ht="18.75" hidden="1">
      <c r="B45" s="327"/>
      <c r="C45" s="338"/>
      <c r="D45" s="339"/>
      <c r="E45" s="341"/>
      <c r="F45" s="342"/>
      <c r="G45" s="344"/>
      <c r="H45" s="301"/>
      <c r="I45" s="341"/>
      <c r="J45" s="338"/>
      <c r="K45" s="341"/>
      <c r="L45" s="342"/>
      <c r="M45" s="342"/>
      <c r="N45" s="285"/>
    </row>
    <row r="46" spans="2:14" ht="18.75" hidden="1">
      <c r="B46" s="326">
        <v>2001</v>
      </c>
      <c r="C46" s="342"/>
      <c r="D46" s="338"/>
      <c r="E46" s="341"/>
      <c r="F46" s="342"/>
      <c r="G46" s="344"/>
      <c r="H46" s="301"/>
      <c r="I46" s="341"/>
      <c r="J46" s="338"/>
      <c r="K46" s="341"/>
      <c r="L46" s="342"/>
      <c r="M46" s="342"/>
      <c r="N46" s="285"/>
    </row>
    <row r="47" spans="2:14" ht="18.75" hidden="1">
      <c r="B47" s="327"/>
      <c r="C47" s="338"/>
      <c r="D47" s="301"/>
      <c r="E47" s="341"/>
      <c r="F47" s="342"/>
      <c r="G47" s="344"/>
      <c r="H47" s="301"/>
      <c r="I47" s="341"/>
      <c r="J47" s="338"/>
      <c r="K47" s="339"/>
      <c r="L47" s="301"/>
      <c r="M47" s="341"/>
      <c r="N47" s="285"/>
    </row>
    <row r="48" spans="2:14" ht="18.75" hidden="1">
      <c r="B48" s="337" t="s">
        <v>8</v>
      </c>
      <c r="C48" s="338">
        <v>14.027799999999999</v>
      </c>
      <c r="D48" s="301">
        <v>0</v>
      </c>
      <c r="E48" s="339">
        <v>0</v>
      </c>
      <c r="F48" s="301">
        <v>1.1476999999999999</v>
      </c>
      <c r="G48" s="345">
        <f t="shared" ref="G48:G59" si="0">(SUM(C48:F48))/1000</f>
        <v>1.51755E-2</v>
      </c>
      <c r="H48" s="301" t="s">
        <v>1025</v>
      </c>
      <c r="I48" s="339">
        <v>0.15</v>
      </c>
      <c r="J48" s="339">
        <v>1.4E-2</v>
      </c>
      <c r="K48" s="339">
        <v>0.42530000000000001</v>
      </c>
      <c r="L48" s="301">
        <v>2.7931999999999997</v>
      </c>
      <c r="M48" s="301">
        <f t="shared" ref="M48:M59" si="1">(SUM(G48:L48))/1000</f>
        <v>3.3976754999999995E-3</v>
      </c>
      <c r="N48" s="285"/>
    </row>
    <row r="49" spans="2:14" ht="18.75" hidden="1">
      <c r="B49" s="327" t="s">
        <v>9</v>
      </c>
      <c r="C49" s="338">
        <v>11.2928</v>
      </c>
      <c r="D49" s="301">
        <v>0</v>
      </c>
      <c r="E49" s="339">
        <v>0</v>
      </c>
      <c r="F49" s="301">
        <v>1.0692999999999999</v>
      </c>
      <c r="G49" s="345">
        <f t="shared" si="0"/>
        <v>1.2362099999999999E-2</v>
      </c>
      <c r="H49" s="301">
        <v>0.31210000000000004</v>
      </c>
      <c r="I49" s="339">
        <v>0.11259999999999999</v>
      </c>
      <c r="J49" s="339">
        <v>1.4E-2</v>
      </c>
      <c r="K49" s="339">
        <v>0.25900000000000001</v>
      </c>
      <c r="L49" s="301">
        <v>2.7305999999999999</v>
      </c>
      <c r="M49" s="301">
        <f t="shared" si="1"/>
        <v>3.4406620999999997E-3</v>
      </c>
      <c r="N49" s="285"/>
    </row>
    <row r="50" spans="2:14" ht="18.75" hidden="1">
      <c r="B50" s="327" t="s">
        <v>10</v>
      </c>
      <c r="C50" s="338">
        <v>12.4773</v>
      </c>
      <c r="D50" s="301">
        <v>0</v>
      </c>
      <c r="E50" s="339">
        <v>0</v>
      </c>
      <c r="F50" s="301">
        <v>1.0931</v>
      </c>
      <c r="G50" s="345">
        <f t="shared" si="0"/>
        <v>1.35704E-2</v>
      </c>
      <c r="H50" s="301">
        <v>0.28000000000000003</v>
      </c>
      <c r="I50" s="339">
        <v>0.11270000000000001</v>
      </c>
      <c r="J50" s="339">
        <v>0.214</v>
      </c>
      <c r="K50" s="339">
        <v>0.25800000000000001</v>
      </c>
      <c r="L50" s="301">
        <v>3.2128000000000001</v>
      </c>
      <c r="M50" s="301">
        <f t="shared" si="1"/>
        <v>4.0910704000000006E-3</v>
      </c>
      <c r="N50" s="285"/>
    </row>
    <row r="51" spans="2:14" ht="18.75" hidden="1">
      <c r="B51" s="327" t="s">
        <v>11</v>
      </c>
      <c r="C51" s="338">
        <v>11.3561</v>
      </c>
      <c r="D51" s="301">
        <v>0</v>
      </c>
      <c r="E51" s="339">
        <v>0</v>
      </c>
      <c r="F51" s="301">
        <v>1.6125</v>
      </c>
      <c r="G51" s="345">
        <f t="shared" si="0"/>
        <v>1.29686E-2</v>
      </c>
      <c r="H51" s="301">
        <v>1.304</v>
      </c>
      <c r="I51" s="339">
        <v>7.46E-2</v>
      </c>
      <c r="J51" s="339">
        <v>1.2014</v>
      </c>
      <c r="K51" s="339">
        <v>0.1232</v>
      </c>
      <c r="L51" s="301">
        <v>3.2708000000000004</v>
      </c>
      <c r="M51" s="301">
        <f t="shared" si="1"/>
        <v>5.9869686000000007E-3</v>
      </c>
      <c r="N51" s="285"/>
    </row>
    <row r="52" spans="2:14" ht="18.75" hidden="1">
      <c r="B52" s="327" t="s">
        <v>337</v>
      </c>
      <c r="C52" s="338">
        <v>15.814500000000001</v>
      </c>
      <c r="D52" s="301">
        <v>0</v>
      </c>
      <c r="E52" s="339">
        <v>0</v>
      </c>
      <c r="F52" s="301">
        <v>0.4249</v>
      </c>
      <c r="G52" s="345">
        <f t="shared" si="0"/>
        <v>1.6239400000000001E-2</v>
      </c>
      <c r="H52" s="301">
        <v>0.3901</v>
      </c>
      <c r="I52" s="339">
        <v>7.6999999999999999E-2</v>
      </c>
      <c r="J52" s="339">
        <v>0.83040000000000003</v>
      </c>
      <c r="K52" s="339">
        <v>0.2621</v>
      </c>
      <c r="L52" s="301">
        <v>4.6918999999999995</v>
      </c>
      <c r="M52" s="301">
        <f t="shared" si="1"/>
        <v>6.2677393999999997E-3</v>
      </c>
      <c r="N52" s="285"/>
    </row>
    <row r="53" spans="2:14" ht="18.75" hidden="1">
      <c r="B53" s="327" t="s">
        <v>346</v>
      </c>
      <c r="C53" s="338">
        <v>17.0305</v>
      </c>
      <c r="D53" s="301">
        <v>0</v>
      </c>
      <c r="E53" s="339">
        <v>0</v>
      </c>
      <c r="F53" s="301">
        <v>0.73070000000000002</v>
      </c>
      <c r="G53" s="345">
        <f t="shared" si="0"/>
        <v>1.7761199999999998E-2</v>
      </c>
      <c r="H53" s="301">
        <v>0.89249999999999996</v>
      </c>
      <c r="I53" s="339">
        <v>7.5400000000000009E-2</v>
      </c>
      <c r="J53" s="339">
        <v>0.30430000000000001</v>
      </c>
      <c r="K53" s="339">
        <v>0.40289999999999998</v>
      </c>
      <c r="L53" s="301">
        <v>5.0907999999999998</v>
      </c>
      <c r="M53" s="301">
        <f t="shared" si="1"/>
        <v>6.7836611999999999E-3</v>
      </c>
      <c r="N53" s="285"/>
    </row>
    <row r="54" spans="2:14" ht="18.75" hidden="1">
      <c r="B54" s="327" t="s">
        <v>347</v>
      </c>
      <c r="C54" s="338">
        <v>16.5381</v>
      </c>
      <c r="D54" s="301">
        <v>0</v>
      </c>
      <c r="E54" s="339">
        <v>0</v>
      </c>
      <c r="F54" s="301">
        <v>1.4624000000000001</v>
      </c>
      <c r="G54" s="345">
        <f t="shared" si="0"/>
        <v>1.8000499999999999E-2</v>
      </c>
      <c r="H54" s="301">
        <v>0.53</v>
      </c>
      <c r="I54" s="339">
        <v>7.640000000000001E-2</v>
      </c>
      <c r="J54" s="339">
        <v>0.1043</v>
      </c>
      <c r="K54" s="339">
        <v>0.53810000000000002</v>
      </c>
      <c r="L54" s="301">
        <v>5.9581</v>
      </c>
      <c r="M54" s="301">
        <f t="shared" si="1"/>
        <v>7.2249005E-3</v>
      </c>
      <c r="N54" s="285"/>
    </row>
    <row r="55" spans="2:14" ht="18.75" hidden="1">
      <c r="B55" s="327" t="s">
        <v>12</v>
      </c>
      <c r="C55" s="338">
        <v>15.1165</v>
      </c>
      <c r="D55" s="301">
        <v>0</v>
      </c>
      <c r="E55" s="339">
        <v>0</v>
      </c>
      <c r="F55" s="301">
        <v>0.90539999999999998</v>
      </c>
      <c r="G55" s="345">
        <f t="shared" si="0"/>
        <v>1.6021899999999999E-2</v>
      </c>
      <c r="H55" s="301">
        <v>0.93110000000000004</v>
      </c>
      <c r="I55" s="339">
        <v>9.6799999999999997E-2</v>
      </c>
      <c r="J55" s="339">
        <v>0.1043</v>
      </c>
      <c r="K55" s="339">
        <v>0.61890000000000001</v>
      </c>
      <c r="L55" s="301">
        <v>5.0421000000000005</v>
      </c>
      <c r="M55" s="301">
        <f t="shared" si="1"/>
        <v>6.8092219000000006E-3</v>
      </c>
      <c r="N55" s="285"/>
    </row>
    <row r="56" spans="2:14" ht="18.75" hidden="1">
      <c r="B56" s="327" t="s">
        <v>13</v>
      </c>
      <c r="C56" s="338">
        <v>13.142700000000001</v>
      </c>
      <c r="D56" s="301">
        <v>0</v>
      </c>
      <c r="E56" s="339">
        <v>0</v>
      </c>
      <c r="F56" s="301">
        <v>1.3268</v>
      </c>
      <c r="G56" s="345">
        <f t="shared" si="0"/>
        <v>1.4469500000000001E-2</v>
      </c>
      <c r="H56" s="301">
        <v>1.1344000000000001</v>
      </c>
      <c r="I56" s="339">
        <v>0.14749999999999999</v>
      </c>
      <c r="J56" s="339">
        <v>0.1043</v>
      </c>
      <c r="K56" s="339">
        <v>0.58410000000000006</v>
      </c>
      <c r="L56" s="301">
        <v>4.8248999999999995</v>
      </c>
      <c r="M56" s="301">
        <f t="shared" si="1"/>
        <v>6.8096694999999997E-3</v>
      </c>
      <c r="N56" s="285"/>
    </row>
    <row r="57" spans="2:14" ht="18.75" hidden="1">
      <c r="B57" s="327" t="s">
        <v>14</v>
      </c>
      <c r="C57" s="338">
        <v>14.618600000000001</v>
      </c>
      <c r="D57" s="301">
        <v>0</v>
      </c>
      <c r="E57" s="339">
        <v>0</v>
      </c>
      <c r="F57" s="301">
        <v>1.7258</v>
      </c>
      <c r="G57" s="345">
        <f t="shared" si="0"/>
        <v>1.6344400000000002E-2</v>
      </c>
      <c r="H57" s="301">
        <v>1.0429000000000002</v>
      </c>
      <c r="I57" s="339">
        <v>0.10640000000000001</v>
      </c>
      <c r="J57" s="339">
        <v>4.3E-3</v>
      </c>
      <c r="K57" s="339">
        <v>0.84199999999999997</v>
      </c>
      <c r="L57" s="301">
        <v>6.0555000000000003</v>
      </c>
      <c r="M57" s="301">
        <f t="shared" si="1"/>
        <v>8.0674444000000001E-3</v>
      </c>
      <c r="N57" s="285"/>
    </row>
    <row r="58" spans="2:14" ht="18.75" hidden="1">
      <c r="B58" s="327" t="s">
        <v>15</v>
      </c>
      <c r="C58" s="338">
        <v>13.456700000000001</v>
      </c>
      <c r="D58" s="301">
        <v>0</v>
      </c>
      <c r="E58" s="339">
        <v>0</v>
      </c>
      <c r="F58" s="301">
        <v>1.1762999999999999</v>
      </c>
      <c r="G58" s="345">
        <f t="shared" si="0"/>
        <v>1.4633E-2</v>
      </c>
      <c r="H58" s="301">
        <v>1.0857000000000001</v>
      </c>
      <c r="I58" s="339">
        <v>8.8999999999999996E-2</v>
      </c>
      <c r="J58" s="339">
        <v>0.2402</v>
      </c>
      <c r="K58" s="339">
        <v>0.64410000000000001</v>
      </c>
      <c r="L58" s="301">
        <v>6.3818999999999999</v>
      </c>
      <c r="M58" s="301">
        <f t="shared" si="1"/>
        <v>8.4555329999999995E-3</v>
      </c>
      <c r="N58" s="285"/>
    </row>
    <row r="59" spans="2:14" ht="18.75" hidden="1">
      <c r="B59" s="327" t="s">
        <v>16</v>
      </c>
      <c r="C59" s="338">
        <v>10.9725</v>
      </c>
      <c r="D59" s="301">
        <v>0</v>
      </c>
      <c r="E59" s="339">
        <v>0</v>
      </c>
      <c r="F59" s="301">
        <v>1.2152000000000001</v>
      </c>
      <c r="G59" s="345">
        <f t="shared" si="0"/>
        <v>1.2187699999999999E-2</v>
      </c>
      <c r="H59" s="301">
        <v>1.1790999999999998</v>
      </c>
      <c r="I59" s="339">
        <v>8.3699999999999997E-2</v>
      </c>
      <c r="J59" s="339">
        <v>0.35020000000000001</v>
      </c>
      <c r="K59" s="339">
        <v>0.94289999999999996</v>
      </c>
      <c r="L59" s="301">
        <v>6.8478000000000003</v>
      </c>
      <c r="M59" s="301">
        <f t="shared" si="1"/>
        <v>9.4158876999999985E-3</v>
      </c>
      <c r="N59" s="285"/>
    </row>
    <row r="60" spans="2:14" ht="18.75" hidden="1">
      <c r="B60" s="327"/>
      <c r="C60" s="338">
        <v>0</v>
      </c>
      <c r="D60" s="301">
        <v>0</v>
      </c>
      <c r="E60" s="339">
        <v>0</v>
      </c>
      <c r="F60" s="301">
        <v>0</v>
      </c>
      <c r="G60" s="345">
        <v>0</v>
      </c>
      <c r="H60" s="301">
        <v>0</v>
      </c>
      <c r="I60" s="339">
        <v>0</v>
      </c>
      <c r="J60" s="339">
        <v>0</v>
      </c>
      <c r="K60" s="339">
        <v>0</v>
      </c>
      <c r="L60" s="301">
        <v>0</v>
      </c>
      <c r="M60" s="301">
        <v>0</v>
      </c>
      <c r="N60" s="285"/>
    </row>
    <row r="61" spans="2:14" ht="18.75" hidden="1">
      <c r="B61" s="346">
        <v>2002</v>
      </c>
      <c r="C61" s="342"/>
      <c r="D61" s="338"/>
      <c r="E61" s="339"/>
      <c r="F61" s="301"/>
      <c r="G61" s="345"/>
      <c r="H61" s="301"/>
      <c r="I61" s="339"/>
      <c r="J61" s="339"/>
      <c r="K61" s="339"/>
      <c r="L61" s="301"/>
      <c r="M61" s="301"/>
      <c r="N61" s="285"/>
    </row>
    <row r="62" spans="2:14" ht="18.75" hidden="1">
      <c r="B62" s="327"/>
      <c r="C62" s="338"/>
      <c r="D62" s="339"/>
      <c r="E62" s="341"/>
      <c r="F62" s="342"/>
      <c r="G62" s="344"/>
      <c r="H62" s="301"/>
      <c r="I62" s="301"/>
      <c r="J62" s="339"/>
      <c r="K62" s="339"/>
      <c r="L62" s="345"/>
      <c r="M62" s="301"/>
      <c r="N62" s="285"/>
    </row>
    <row r="63" spans="2:14" ht="18.75" hidden="1">
      <c r="B63" s="337" t="s">
        <v>8</v>
      </c>
      <c r="C63" s="338">
        <v>12.5815</v>
      </c>
      <c r="D63" s="339">
        <v>0</v>
      </c>
      <c r="E63" s="345">
        <v>0</v>
      </c>
      <c r="F63" s="301">
        <v>1.6476999999999999</v>
      </c>
      <c r="G63" s="345">
        <f t="shared" ref="G63:G73" si="2">(SUM(C63:F63))/1000</f>
        <v>1.4229200000000001E-2</v>
      </c>
      <c r="H63" s="301">
        <v>1.1035999999999999</v>
      </c>
      <c r="I63" s="301">
        <v>9.6799999999999997E-2</v>
      </c>
      <c r="J63" s="339">
        <v>0.54720000000000002</v>
      </c>
      <c r="K63" s="339">
        <v>1.085</v>
      </c>
      <c r="L63" s="345">
        <v>6.9298000000000002</v>
      </c>
      <c r="M63" s="301">
        <f t="shared" ref="M63:M74" si="3">(SUM(G63:L63))/1000</f>
        <v>9.7766292000000012E-3</v>
      </c>
      <c r="N63" s="285"/>
    </row>
    <row r="64" spans="2:14" ht="18.75" hidden="1">
      <c r="B64" s="327" t="s">
        <v>9</v>
      </c>
      <c r="C64" s="338">
        <v>10.0402</v>
      </c>
      <c r="D64" s="339">
        <v>0</v>
      </c>
      <c r="E64" s="345">
        <v>0</v>
      </c>
      <c r="F64" s="301">
        <v>2.4503000000000004</v>
      </c>
      <c r="G64" s="345">
        <f t="shared" si="2"/>
        <v>1.2490500000000002E-2</v>
      </c>
      <c r="H64" s="301">
        <v>1.4469000000000001</v>
      </c>
      <c r="I64" s="301">
        <v>0.2286</v>
      </c>
      <c r="J64" s="339">
        <v>0.54720000000000002</v>
      </c>
      <c r="K64" s="339">
        <v>6.43</v>
      </c>
      <c r="L64" s="345">
        <v>5.6788999999999996</v>
      </c>
      <c r="M64" s="301">
        <f t="shared" si="3"/>
        <v>1.43440905E-2</v>
      </c>
      <c r="N64" s="285"/>
    </row>
    <row r="65" spans="2:14" ht="18.75" hidden="1">
      <c r="B65" s="327" t="s">
        <v>10</v>
      </c>
      <c r="C65" s="338">
        <v>11.811500000000001</v>
      </c>
      <c r="D65" s="339">
        <v>0</v>
      </c>
      <c r="E65" s="345">
        <v>0</v>
      </c>
      <c r="F65" s="301">
        <v>1.9482999999999999</v>
      </c>
      <c r="G65" s="345">
        <f t="shared" si="2"/>
        <v>1.3759800000000001E-2</v>
      </c>
      <c r="H65" s="301">
        <v>1.0775999999999999</v>
      </c>
      <c r="I65" s="301">
        <v>0.3508</v>
      </c>
      <c r="J65" s="339">
        <v>0.69720000000000004</v>
      </c>
      <c r="K65" s="339">
        <v>6.3758999999999997</v>
      </c>
      <c r="L65" s="345">
        <v>6.4756</v>
      </c>
      <c r="M65" s="301">
        <f t="shared" si="3"/>
        <v>1.4990859799999999E-2</v>
      </c>
      <c r="N65" s="285"/>
    </row>
    <row r="66" spans="2:14" ht="18.75" hidden="1">
      <c r="B66" s="327" t="s">
        <v>11</v>
      </c>
      <c r="C66" s="338">
        <v>23.0731</v>
      </c>
      <c r="D66" s="339">
        <v>0</v>
      </c>
      <c r="E66" s="345">
        <v>0</v>
      </c>
      <c r="F66" s="301">
        <v>5.2355</v>
      </c>
      <c r="G66" s="345">
        <f t="shared" si="2"/>
        <v>2.83086E-2</v>
      </c>
      <c r="H66" s="301">
        <v>0.69799999999999995</v>
      </c>
      <c r="I66" s="301">
        <v>7.7799999999999994E-2</v>
      </c>
      <c r="J66" s="339">
        <v>0.69720000000000004</v>
      </c>
      <c r="K66" s="339">
        <v>6.8280000000000003</v>
      </c>
      <c r="L66" s="345">
        <v>7.3033000000000001</v>
      </c>
      <c r="M66" s="301">
        <f t="shared" si="3"/>
        <v>1.56326086E-2</v>
      </c>
      <c r="N66" s="285"/>
    </row>
    <row r="67" spans="2:14" ht="18.75" hidden="1">
      <c r="B67" s="327" t="s">
        <v>337</v>
      </c>
      <c r="C67" s="338">
        <v>27.285299999999999</v>
      </c>
      <c r="D67" s="339">
        <v>0</v>
      </c>
      <c r="E67" s="345">
        <v>0</v>
      </c>
      <c r="F67" s="301">
        <v>4.8174999999999999</v>
      </c>
      <c r="G67" s="345">
        <f t="shared" si="2"/>
        <v>3.2102800000000001E-2</v>
      </c>
      <c r="H67" s="301">
        <v>0.98939999999999995</v>
      </c>
      <c r="I67" s="301">
        <v>0.21730000000000002</v>
      </c>
      <c r="J67" s="339">
        <v>0.69720000000000004</v>
      </c>
      <c r="K67" s="339">
        <v>8.281600000000001</v>
      </c>
      <c r="L67" s="345">
        <v>11.988799999999999</v>
      </c>
      <c r="M67" s="301">
        <f t="shared" si="3"/>
        <v>2.22064028E-2</v>
      </c>
      <c r="N67" s="285"/>
    </row>
    <row r="68" spans="2:14" ht="18.75" hidden="1">
      <c r="B68" s="327" t="s">
        <v>346</v>
      </c>
      <c r="C68" s="338">
        <v>18.402099999999997</v>
      </c>
      <c r="D68" s="339">
        <v>0</v>
      </c>
      <c r="E68" s="345">
        <v>0</v>
      </c>
      <c r="F68" s="301">
        <v>1.9093</v>
      </c>
      <c r="G68" s="345">
        <f t="shared" si="2"/>
        <v>2.03114E-2</v>
      </c>
      <c r="H68" s="301">
        <v>2.1150000000000002</v>
      </c>
      <c r="I68" s="301">
        <v>8.2500000000000004E-2</v>
      </c>
      <c r="J68" s="339">
        <v>0.70720000000000005</v>
      </c>
      <c r="K68" s="339">
        <v>7.7073</v>
      </c>
      <c r="L68" s="345">
        <v>14.8301</v>
      </c>
      <c r="M68" s="301">
        <f t="shared" si="3"/>
        <v>2.5462411399999999E-2</v>
      </c>
      <c r="N68" s="285"/>
    </row>
    <row r="69" spans="2:14" ht="18.75" hidden="1">
      <c r="B69" s="327" t="s">
        <v>347</v>
      </c>
      <c r="C69" s="338">
        <v>16.947299999999998</v>
      </c>
      <c r="D69" s="339">
        <v>0</v>
      </c>
      <c r="E69" s="345">
        <v>0</v>
      </c>
      <c r="F69" s="301">
        <v>3.9836999999999998</v>
      </c>
      <c r="G69" s="345">
        <f t="shared" si="2"/>
        <v>2.0930999999999998E-2</v>
      </c>
      <c r="H69" s="301">
        <v>7.2266000000000004</v>
      </c>
      <c r="I69" s="301">
        <v>0.24349999999999999</v>
      </c>
      <c r="J69" s="339">
        <v>0.70720000000000005</v>
      </c>
      <c r="K69" s="339">
        <v>7.5531999999999995</v>
      </c>
      <c r="L69" s="345">
        <v>9.4692999999999987</v>
      </c>
      <c r="M69" s="301">
        <f t="shared" si="3"/>
        <v>2.5220731E-2</v>
      </c>
      <c r="N69" s="285"/>
    </row>
    <row r="70" spans="2:14" ht="18.75" hidden="1">
      <c r="B70" s="327" t="s">
        <v>12</v>
      </c>
      <c r="C70" s="338">
        <v>17.7241</v>
      </c>
      <c r="D70" s="339">
        <v>0</v>
      </c>
      <c r="E70" s="345">
        <v>0</v>
      </c>
      <c r="F70" s="301">
        <v>4.2628000000000004</v>
      </c>
      <c r="G70" s="345">
        <f t="shared" si="2"/>
        <v>2.19869E-2</v>
      </c>
      <c r="H70" s="301">
        <v>5.4901999999999997</v>
      </c>
      <c r="I70" s="301">
        <v>0.24349999999999999</v>
      </c>
      <c r="J70" s="339">
        <v>0.70720000000000005</v>
      </c>
      <c r="K70" s="339">
        <v>8.6065000000000005</v>
      </c>
      <c r="L70" s="345">
        <v>9.3797999999999995</v>
      </c>
      <c r="M70" s="301">
        <f t="shared" si="3"/>
        <v>2.4449186899999999E-2</v>
      </c>
      <c r="N70" s="285"/>
    </row>
    <row r="71" spans="2:14" ht="18.75" hidden="1">
      <c r="B71" s="327" t="s">
        <v>13</v>
      </c>
      <c r="C71" s="338">
        <v>27.539099999999998</v>
      </c>
      <c r="D71" s="339">
        <v>0</v>
      </c>
      <c r="E71" s="345">
        <v>0</v>
      </c>
      <c r="F71" s="301">
        <v>3.0301</v>
      </c>
      <c r="G71" s="345">
        <f t="shared" si="2"/>
        <v>3.0569199999999998E-2</v>
      </c>
      <c r="H71" s="301">
        <v>2.5305999999999997</v>
      </c>
      <c r="I71" s="301">
        <v>9.35E-2</v>
      </c>
      <c r="J71" s="339">
        <v>0.70720000000000005</v>
      </c>
      <c r="K71" s="339">
        <v>8.8792999999999989</v>
      </c>
      <c r="L71" s="345">
        <v>9.7016000000000009</v>
      </c>
      <c r="M71" s="301">
        <f t="shared" si="3"/>
        <v>2.19427692E-2</v>
      </c>
      <c r="N71" s="285"/>
    </row>
    <row r="72" spans="2:14" ht="18.75" hidden="1">
      <c r="B72" s="327" t="s">
        <v>14</v>
      </c>
      <c r="C72" s="338">
        <v>21.730799999999999</v>
      </c>
      <c r="D72" s="339">
        <v>0</v>
      </c>
      <c r="E72" s="345">
        <v>0</v>
      </c>
      <c r="F72" s="301">
        <v>3.8328000000000002</v>
      </c>
      <c r="G72" s="345">
        <f t="shared" si="2"/>
        <v>2.5563599999999999E-2</v>
      </c>
      <c r="H72" s="301">
        <v>11.6531</v>
      </c>
      <c r="I72" s="301">
        <v>9.35E-2</v>
      </c>
      <c r="J72" s="339">
        <v>0.70720000000000005</v>
      </c>
      <c r="K72" s="339">
        <v>9.2562999999999995</v>
      </c>
      <c r="L72" s="345">
        <v>9.819799999999999</v>
      </c>
      <c r="M72" s="301">
        <f t="shared" si="3"/>
        <v>3.15554636E-2</v>
      </c>
      <c r="N72" s="285"/>
    </row>
    <row r="73" spans="2:14" ht="18.75" hidden="1">
      <c r="B73" s="327" t="s">
        <v>15</v>
      </c>
      <c r="C73" s="338">
        <v>20.7531</v>
      </c>
      <c r="D73" s="339">
        <v>0</v>
      </c>
      <c r="E73" s="345">
        <v>0</v>
      </c>
      <c r="F73" s="301">
        <v>4.9166000000000007</v>
      </c>
      <c r="G73" s="345">
        <f t="shared" si="2"/>
        <v>2.56697E-2</v>
      </c>
      <c r="H73" s="301">
        <v>12.577200000000001</v>
      </c>
      <c r="I73" s="301">
        <v>0.1065</v>
      </c>
      <c r="J73" s="339">
        <v>1.4864999999999999</v>
      </c>
      <c r="K73" s="339">
        <v>13.250200000000001</v>
      </c>
      <c r="L73" s="345">
        <v>12.779500000000001</v>
      </c>
      <c r="M73" s="301">
        <f t="shared" si="3"/>
        <v>4.0225569699999998E-2</v>
      </c>
      <c r="N73" s="285"/>
    </row>
    <row r="74" spans="2:14" ht="18.75" hidden="1">
      <c r="B74" s="327" t="s">
        <v>16</v>
      </c>
      <c r="C74" s="338">
        <v>23.916400000000003</v>
      </c>
      <c r="D74" s="339">
        <v>0</v>
      </c>
      <c r="E74" s="345">
        <v>0</v>
      </c>
      <c r="F74" s="301">
        <v>5.1935000000000002</v>
      </c>
      <c r="G74" s="345">
        <v>29.109900000000003</v>
      </c>
      <c r="H74" s="301">
        <v>6.1661999999999999</v>
      </c>
      <c r="I74" s="301">
        <v>0.4037</v>
      </c>
      <c r="J74" s="339">
        <v>0.70720000000000005</v>
      </c>
      <c r="K74" s="339">
        <v>10.925700000000001</v>
      </c>
      <c r="L74" s="345">
        <v>13.0472</v>
      </c>
      <c r="M74" s="301">
        <f t="shared" si="3"/>
        <v>6.0359899999999994E-2</v>
      </c>
      <c r="N74" s="285"/>
    </row>
    <row r="75" spans="2:14" ht="18.75" hidden="1">
      <c r="B75" s="327"/>
      <c r="C75" s="338"/>
      <c r="D75" s="339"/>
      <c r="E75" s="345"/>
      <c r="F75" s="301"/>
      <c r="G75" s="345"/>
      <c r="H75" s="301"/>
      <c r="I75" s="301"/>
      <c r="J75" s="339"/>
      <c r="K75" s="339"/>
      <c r="L75" s="345"/>
      <c r="M75" s="301"/>
      <c r="N75" s="285"/>
    </row>
    <row r="76" spans="2:14" ht="18.75" hidden="1">
      <c r="B76" s="346">
        <v>2003</v>
      </c>
      <c r="C76" s="338"/>
      <c r="D76" s="339"/>
      <c r="E76" s="345"/>
      <c r="F76" s="301"/>
      <c r="G76" s="345"/>
      <c r="H76" s="301"/>
      <c r="I76" s="301"/>
      <c r="J76" s="339"/>
      <c r="K76" s="339"/>
      <c r="L76" s="345"/>
      <c r="M76" s="301"/>
      <c r="N76" s="285"/>
    </row>
    <row r="77" spans="2:14" ht="18.75" hidden="1">
      <c r="B77" s="327"/>
      <c r="C77" s="338"/>
      <c r="D77" s="339"/>
      <c r="E77" s="345"/>
      <c r="F77" s="301"/>
      <c r="G77" s="345"/>
      <c r="H77" s="301"/>
      <c r="I77" s="301"/>
      <c r="J77" s="339"/>
      <c r="K77" s="339"/>
      <c r="L77" s="345"/>
      <c r="M77" s="301"/>
      <c r="N77" s="285"/>
    </row>
    <row r="78" spans="2:14" ht="18.75" hidden="1">
      <c r="B78" s="327" t="s">
        <v>8</v>
      </c>
      <c r="C78" s="338">
        <v>25.677499999999998</v>
      </c>
      <c r="D78" s="339">
        <v>0.97329999999999994</v>
      </c>
      <c r="E78" s="345">
        <v>0</v>
      </c>
      <c r="F78" s="301">
        <v>2.9674</v>
      </c>
      <c r="G78" s="345">
        <f t="shared" ref="G78:G83" si="4">(SUM(C78:F78))/1000</f>
        <v>2.9618199999999997E-2</v>
      </c>
      <c r="H78" s="301">
        <v>13.708299999999999</v>
      </c>
      <c r="I78" s="301">
        <v>9.3700000000000006E-2</v>
      </c>
      <c r="J78" s="339">
        <v>0.70720000000000005</v>
      </c>
      <c r="K78" s="339">
        <v>14.4602</v>
      </c>
      <c r="L78" s="345">
        <v>11.7981</v>
      </c>
      <c r="M78" s="301">
        <f t="shared" ref="M78:M83" si="5">(SUM(G78:L78))/1000</f>
        <v>4.0797118200000003E-2</v>
      </c>
      <c r="N78" s="285"/>
    </row>
    <row r="79" spans="2:14" ht="18.75" hidden="1">
      <c r="B79" s="327" t="s">
        <v>9</v>
      </c>
      <c r="C79" s="338">
        <v>23.606099999999998</v>
      </c>
      <c r="D79" s="339">
        <v>0.29769999999999996</v>
      </c>
      <c r="E79" s="345">
        <v>0</v>
      </c>
      <c r="F79" s="301">
        <v>2.7013000000000003</v>
      </c>
      <c r="G79" s="345">
        <f t="shared" si="4"/>
        <v>2.6605099999999996E-2</v>
      </c>
      <c r="H79" s="301">
        <v>18.608900000000002</v>
      </c>
      <c r="I79" s="301">
        <v>9.3700000000000006E-2</v>
      </c>
      <c r="J79" s="339">
        <v>0.70720000000000005</v>
      </c>
      <c r="K79" s="339">
        <v>13.787799999999999</v>
      </c>
      <c r="L79" s="345">
        <v>14.2951</v>
      </c>
      <c r="M79" s="301">
        <f t="shared" si="5"/>
        <v>4.7519305099999999E-2</v>
      </c>
      <c r="N79" s="285"/>
    </row>
    <row r="80" spans="2:14" ht="18.75" hidden="1">
      <c r="B80" s="327" t="s">
        <v>10</v>
      </c>
      <c r="C80" s="338">
        <v>15.720799999999999</v>
      </c>
      <c r="D80" s="339">
        <v>0.91510000000000002</v>
      </c>
      <c r="E80" s="345">
        <v>0</v>
      </c>
      <c r="F80" s="301">
        <v>10.0184</v>
      </c>
      <c r="G80" s="345">
        <f t="shared" si="4"/>
        <v>2.6654299999999999E-2</v>
      </c>
      <c r="H80" s="301">
        <v>20.057200000000002</v>
      </c>
      <c r="I80" s="301">
        <v>9.3700000000000006E-2</v>
      </c>
      <c r="J80" s="339">
        <v>0.70720000000000005</v>
      </c>
      <c r="K80" s="339">
        <v>13.762499999999999</v>
      </c>
      <c r="L80" s="345">
        <v>17.440200000000001</v>
      </c>
      <c r="M80" s="301">
        <f t="shared" si="5"/>
        <v>5.2087454300000002E-2</v>
      </c>
      <c r="N80" s="285"/>
    </row>
    <row r="81" spans="2:14" ht="18.75" hidden="1">
      <c r="B81" s="327" t="s">
        <v>11</v>
      </c>
      <c r="C81" s="338">
        <v>23.187799999999999</v>
      </c>
      <c r="D81" s="339">
        <v>1.2107999999999999</v>
      </c>
      <c r="E81" s="345">
        <v>0</v>
      </c>
      <c r="F81" s="301">
        <v>10.047600000000001</v>
      </c>
      <c r="G81" s="345">
        <f t="shared" si="4"/>
        <v>3.4446199999999996E-2</v>
      </c>
      <c r="H81" s="301">
        <v>29.203799999999998</v>
      </c>
      <c r="I81" s="301">
        <v>9.3700000000000006E-2</v>
      </c>
      <c r="J81" s="339">
        <v>0.70720000000000005</v>
      </c>
      <c r="K81" s="339">
        <v>15.333600000000001</v>
      </c>
      <c r="L81" s="345">
        <v>19.275400000000001</v>
      </c>
      <c r="M81" s="301">
        <f t="shared" si="5"/>
        <v>6.4648146200000006E-2</v>
      </c>
      <c r="N81" s="285"/>
    </row>
    <row r="82" spans="2:14" ht="18.75" hidden="1">
      <c r="B82" s="327" t="s">
        <v>337</v>
      </c>
      <c r="C82" s="338">
        <v>23.5106</v>
      </c>
      <c r="D82" s="339">
        <v>1.2610999999999999</v>
      </c>
      <c r="E82" s="345">
        <v>0</v>
      </c>
      <c r="F82" s="301">
        <v>11.184100000000001</v>
      </c>
      <c r="G82" s="345">
        <f t="shared" si="4"/>
        <v>3.5955799999999996E-2</v>
      </c>
      <c r="H82" s="301">
        <v>23.749200000000002</v>
      </c>
      <c r="I82" s="301">
        <v>9.3700000000000006E-2</v>
      </c>
      <c r="J82" s="339">
        <v>0.70720000000000005</v>
      </c>
      <c r="K82" s="339">
        <v>18.8734</v>
      </c>
      <c r="L82" s="345">
        <v>21.2301</v>
      </c>
      <c r="M82" s="301">
        <f t="shared" si="5"/>
        <v>6.4689555799999993E-2</v>
      </c>
      <c r="N82" s="285"/>
    </row>
    <row r="83" spans="2:14" ht="18.75" hidden="1">
      <c r="B83" s="327" t="s">
        <v>346</v>
      </c>
      <c r="C83" s="338">
        <v>39.507599999999996</v>
      </c>
      <c r="D83" s="339">
        <v>1.2637</v>
      </c>
      <c r="E83" s="345">
        <v>0</v>
      </c>
      <c r="F83" s="301">
        <v>6.4528999999999996</v>
      </c>
      <c r="G83" s="345">
        <f t="shared" si="4"/>
        <v>4.7224199999999994E-2</v>
      </c>
      <c r="H83" s="301">
        <v>26.717500000000001</v>
      </c>
      <c r="I83" s="301">
        <v>9.3700000000000006E-2</v>
      </c>
      <c r="J83" s="339">
        <v>0.70720000000000005</v>
      </c>
      <c r="K83" s="339">
        <v>21.596599999999999</v>
      </c>
      <c r="L83" s="345">
        <v>24.854700000000001</v>
      </c>
      <c r="M83" s="301">
        <f t="shared" si="5"/>
        <v>7.40169242E-2</v>
      </c>
      <c r="N83" s="285"/>
    </row>
    <row r="84" spans="2:14" ht="18.75" hidden="1">
      <c r="B84" s="346">
        <v>2003</v>
      </c>
      <c r="C84" s="338"/>
      <c r="D84" s="339"/>
      <c r="E84" s="345"/>
      <c r="F84" s="301"/>
      <c r="G84" s="345"/>
      <c r="H84" s="301"/>
      <c r="I84" s="301"/>
      <c r="J84" s="339"/>
      <c r="K84" s="339"/>
      <c r="L84" s="345"/>
      <c r="M84" s="301"/>
      <c r="N84" s="285"/>
    </row>
    <row r="85" spans="2:14" ht="18.75" hidden="1">
      <c r="B85" s="327"/>
      <c r="C85" s="338"/>
      <c r="D85" s="339"/>
      <c r="E85" s="345"/>
      <c r="F85" s="301"/>
      <c r="G85" s="345"/>
      <c r="H85" s="301"/>
      <c r="I85" s="301"/>
      <c r="J85" s="339"/>
      <c r="K85" s="339"/>
      <c r="L85" s="345"/>
      <c r="M85" s="301"/>
      <c r="N85" s="285"/>
    </row>
    <row r="86" spans="2:14" ht="18.75" hidden="1">
      <c r="B86" s="327" t="s">
        <v>347</v>
      </c>
      <c r="C86" s="338">
        <v>49.227599999999995</v>
      </c>
      <c r="D86" s="339">
        <v>0.82110000000000005</v>
      </c>
      <c r="E86" s="345">
        <v>0</v>
      </c>
      <c r="F86" s="301">
        <v>14.209899999999999</v>
      </c>
      <c r="G86" s="345">
        <f t="shared" ref="G86:G91" si="6">(SUM(C86:F86))/1000</f>
        <v>6.4258599999999999E-2</v>
      </c>
      <c r="H86" s="301">
        <v>29.331900000000001</v>
      </c>
      <c r="I86" s="301">
        <v>9.3700000000000006E-2</v>
      </c>
      <c r="J86" s="339">
        <v>0.70720000000000005</v>
      </c>
      <c r="K86" s="339">
        <v>23.060200000000002</v>
      </c>
      <c r="L86" s="345">
        <v>28.459299999999999</v>
      </c>
      <c r="M86" s="301">
        <f t="shared" ref="M86:M91" si="7">(SUM(G86:L86))/1000</f>
        <v>8.1716558600000003E-2</v>
      </c>
      <c r="N86" s="285"/>
    </row>
    <row r="87" spans="2:14" ht="18.75" hidden="1">
      <c r="B87" s="327" t="s">
        <v>12</v>
      </c>
      <c r="C87" s="338">
        <v>48.248100000000001</v>
      </c>
      <c r="D87" s="339">
        <v>2.6265999999999998</v>
      </c>
      <c r="E87" s="345">
        <v>0</v>
      </c>
      <c r="F87" s="301">
        <v>28.516299999999998</v>
      </c>
      <c r="G87" s="345">
        <f t="shared" si="6"/>
        <v>7.9391000000000003E-2</v>
      </c>
      <c r="H87" s="301">
        <v>23.242799999999999</v>
      </c>
      <c r="I87" s="301">
        <v>9.3700000000000006E-2</v>
      </c>
      <c r="J87" s="339">
        <v>0.70720000000000005</v>
      </c>
      <c r="K87" s="339">
        <v>23.382000000000001</v>
      </c>
      <c r="L87" s="345">
        <v>35.149699999999996</v>
      </c>
      <c r="M87" s="301">
        <f t="shared" si="7"/>
        <v>8.2654790999999991E-2</v>
      </c>
      <c r="N87" s="285"/>
    </row>
    <row r="88" spans="2:14" ht="18.75" hidden="1">
      <c r="B88" s="327" t="s">
        <v>13</v>
      </c>
      <c r="C88" s="338">
        <v>41.617800000000003</v>
      </c>
      <c r="D88" s="339">
        <v>0.52260000000000006</v>
      </c>
      <c r="E88" s="345">
        <v>0</v>
      </c>
      <c r="F88" s="301">
        <v>30.055</v>
      </c>
      <c r="G88" s="345">
        <f t="shared" si="6"/>
        <v>7.2195400000000007E-2</v>
      </c>
      <c r="H88" s="301">
        <v>27.5122</v>
      </c>
      <c r="I88" s="301">
        <v>9.3700000000000006E-2</v>
      </c>
      <c r="J88" s="339">
        <v>0.70720000000000005</v>
      </c>
      <c r="K88" s="339">
        <v>22.095299999999998</v>
      </c>
      <c r="L88" s="345">
        <v>57.369800000000005</v>
      </c>
      <c r="M88" s="301">
        <f t="shared" si="7"/>
        <v>0.10785039539999999</v>
      </c>
      <c r="N88" s="285"/>
    </row>
    <row r="89" spans="2:14" ht="18.75" hidden="1">
      <c r="B89" s="327" t="s">
        <v>14</v>
      </c>
      <c r="C89" s="338">
        <v>30.391999999999999</v>
      </c>
      <c r="D89" s="339">
        <v>0.34799999999999998</v>
      </c>
      <c r="E89" s="345">
        <v>0</v>
      </c>
      <c r="F89" s="301">
        <v>14.0518</v>
      </c>
      <c r="G89" s="345">
        <f t="shared" si="6"/>
        <v>4.4791799999999993E-2</v>
      </c>
      <c r="H89" s="301">
        <v>44.614100000000001</v>
      </c>
      <c r="I89" s="301">
        <v>9.3700000000000006E-2</v>
      </c>
      <c r="J89" s="339">
        <v>0.70720000000000005</v>
      </c>
      <c r="K89" s="339">
        <v>17.886900000000001</v>
      </c>
      <c r="L89" s="345">
        <v>75.895699999999991</v>
      </c>
      <c r="M89" s="301">
        <f t="shared" si="7"/>
        <v>0.1392423918</v>
      </c>
      <c r="N89" s="285"/>
    </row>
    <row r="90" spans="2:14" ht="18.75" hidden="1">
      <c r="B90" s="327" t="s">
        <v>15</v>
      </c>
      <c r="C90" s="338">
        <v>31.472099999999998</v>
      </c>
      <c r="D90" s="339">
        <v>0.34799999999999998</v>
      </c>
      <c r="E90" s="345">
        <v>0</v>
      </c>
      <c r="F90" s="301">
        <v>38.339300000000001</v>
      </c>
      <c r="G90" s="345">
        <f t="shared" si="6"/>
        <v>7.0159400000000011E-2</v>
      </c>
      <c r="H90" s="301">
        <v>60.790999999999997</v>
      </c>
      <c r="I90" s="301">
        <v>9.3700000000000006E-2</v>
      </c>
      <c r="J90" s="339">
        <v>0.70720000000000005</v>
      </c>
      <c r="K90" s="339">
        <v>30.016299999999998</v>
      </c>
      <c r="L90" s="345">
        <v>117.91080000000001</v>
      </c>
      <c r="M90" s="301">
        <f t="shared" si="7"/>
        <v>0.2095891594</v>
      </c>
      <c r="N90" s="285"/>
    </row>
    <row r="91" spans="2:14" ht="18.75" hidden="1">
      <c r="B91" s="327" t="s">
        <v>16</v>
      </c>
      <c r="C91" s="338">
        <v>22.081400000000002</v>
      </c>
      <c r="D91" s="339">
        <v>0.34799999999999998</v>
      </c>
      <c r="E91" s="345">
        <v>0</v>
      </c>
      <c r="F91" s="301">
        <v>18.624700000000001</v>
      </c>
      <c r="G91" s="345">
        <f t="shared" si="6"/>
        <v>4.1054100000000003E-2</v>
      </c>
      <c r="H91" s="301">
        <v>73.491</v>
      </c>
      <c r="I91" s="301">
        <v>0.14269999999999999</v>
      </c>
      <c r="J91" s="339">
        <v>1.4572000000000001</v>
      </c>
      <c r="K91" s="339">
        <v>23.368099999999998</v>
      </c>
      <c r="L91" s="345">
        <v>71.130600000000001</v>
      </c>
      <c r="M91" s="301">
        <f t="shared" si="7"/>
        <v>0.16963065410000003</v>
      </c>
      <c r="N91" s="285"/>
    </row>
    <row r="92" spans="2:14" ht="18.75" hidden="1">
      <c r="B92" s="327"/>
      <c r="C92" s="338"/>
      <c r="D92" s="339"/>
      <c r="E92" s="345"/>
      <c r="F92" s="301"/>
      <c r="G92" s="345"/>
      <c r="H92" s="301"/>
      <c r="I92" s="301"/>
      <c r="J92" s="339"/>
      <c r="K92" s="339"/>
      <c r="L92" s="345"/>
      <c r="M92" s="301"/>
      <c r="N92" s="285"/>
    </row>
    <row r="93" spans="2:14" ht="18.75" hidden="1">
      <c r="B93" s="346">
        <v>2004</v>
      </c>
      <c r="C93" s="338"/>
      <c r="D93" s="339"/>
      <c r="E93" s="345"/>
      <c r="F93" s="301"/>
      <c r="G93" s="345"/>
      <c r="H93" s="301"/>
      <c r="I93" s="301"/>
      <c r="J93" s="339"/>
      <c r="K93" s="339"/>
      <c r="L93" s="345"/>
      <c r="M93" s="301"/>
      <c r="N93" s="285"/>
    </row>
    <row r="94" spans="2:14" ht="18.75" hidden="1">
      <c r="B94" s="327"/>
      <c r="C94" s="338"/>
      <c r="D94" s="339"/>
      <c r="E94" s="345"/>
      <c r="F94" s="301"/>
      <c r="G94" s="345"/>
      <c r="H94" s="301"/>
      <c r="I94" s="301"/>
      <c r="J94" s="339"/>
      <c r="K94" s="339"/>
      <c r="L94" s="345"/>
      <c r="M94" s="301"/>
      <c r="N94" s="285"/>
    </row>
    <row r="95" spans="2:14" ht="18.75" hidden="1">
      <c r="B95" s="327" t="s">
        <v>8</v>
      </c>
      <c r="C95" s="338">
        <v>25.169599999999999</v>
      </c>
      <c r="D95" s="339">
        <v>0</v>
      </c>
      <c r="E95" s="345">
        <v>0</v>
      </c>
      <c r="F95" s="301">
        <v>37.297400000000003</v>
      </c>
      <c r="G95" s="345">
        <f t="shared" ref="G95:G106" si="8">(SUM(C95:F95))/1000</f>
        <v>6.2467000000000002E-2</v>
      </c>
      <c r="H95" s="301">
        <v>68.226399999999998</v>
      </c>
      <c r="I95" s="301">
        <v>0.13569999999999999</v>
      </c>
      <c r="J95" s="339">
        <v>1.4572000000000001</v>
      </c>
      <c r="K95" s="339">
        <v>51.542499999999997</v>
      </c>
      <c r="L95" s="345">
        <v>72.570899999999995</v>
      </c>
      <c r="M95" s="301">
        <f t="shared" ref="M95:M106" si="9">(SUM(G95:L95))/1000</f>
        <v>0.19399516699999997</v>
      </c>
      <c r="N95" s="285"/>
    </row>
    <row r="96" spans="2:14" ht="18.75" hidden="1">
      <c r="B96" s="327" t="s">
        <v>9</v>
      </c>
      <c r="C96" s="338">
        <v>43.270800000000001</v>
      </c>
      <c r="D96" s="339">
        <v>0</v>
      </c>
      <c r="E96" s="345">
        <v>3.0526</v>
      </c>
      <c r="F96" s="301">
        <v>32.889300000000006</v>
      </c>
      <c r="G96" s="345">
        <f t="shared" si="8"/>
        <v>7.9212700000000011E-2</v>
      </c>
      <c r="H96" s="301">
        <v>30.929099999999998</v>
      </c>
      <c r="I96" s="301">
        <v>0.13569999999999999</v>
      </c>
      <c r="J96" s="339">
        <v>1.4572000000000001</v>
      </c>
      <c r="K96" s="339">
        <v>50.772599999999997</v>
      </c>
      <c r="L96" s="345">
        <v>96.012699999999995</v>
      </c>
      <c r="M96" s="301">
        <f t="shared" si="9"/>
        <v>0.1793865127</v>
      </c>
      <c r="N96" s="285"/>
    </row>
    <row r="97" spans="2:14" ht="18.75" hidden="1">
      <c r="B97" s="327" t="s">
        <v>10</v>
      </c>
      <c r="C97" s="338">
        <v>48.6325</v>
      </c>
      <c r="D97" s="339">
        <v>0.34799999999999998</v>
      </c>
      <c r="E97" s="345">
        <v>0.40539999999999998</v>
      </c>
      <c r="F97" s="301">
        <v>17.972000000000001</v>
      </c>
      <c r="G97" s="345">
        <f t="shared" si="8"/>
        <v>6.7357899999999998E-2</v>
      </c>
      <c r="H97" s="301">
        <v>19.1356</v>
      </c>
      <c r="I97" s="301">
        <v>0.13569999999999999</v>
      </c>
      <c r="J97" s="339">
        <v>9.9572000000000003</v>
      </c>
      <c r="K97" s="339">
        <v>75.591800000000006</v>
      </c>
      <c r="L97" s="345">
        <v>85.605699999999999</v>
      </c>
      <c r="M97" s="301">
        <f t="shared" si="9"/>
        <v>0.19049335789999999</v>
      </c>
      <c r="N97" s="285"/>
    </row>
    <row r="98" spans="2:14" ht="18.75" hidden="1">
      <c r="B98" s="327" t="s">
        <v>11</v>
      </c>
      <c r="C98" s="338">
        <v>29.3109</v>
      </c>
      <c r="D98" s="339">
        <v>0.34799999999999998</v>
      </c>
      <c r="E98" s="345">
        <v>2.3956999999999997</v>
      </c>
      <c r="F98" s="301">
        <v>15.7774</v>
      </c>
      <c r="G98" s="345">
        <f t="shared" si="8"/>
        <v>4.7832E-2</v>
      </c>
      <c r="H98" s="301">
        <v>53.383499999999998</v>
      </c>
      <c r="I98" s="301">
        <v>0.20280000000000001</v>
      </c>
      <c r="J98" s="339">
        <v>1.4572000000000001</v>
      </c>
      <c r="K98" s="339">
        <v>70.190899999999999</v>
      </c>
      <c r="L98" s="345">
        <v>110.0273</v>
      </c>
      <c r="M98" s="301">
        <f t="shared" si="9"/>
        <v>0.23530953199999999</v>
      </c>
      <c r="N98" s="285"/>
    </row>
    <row r="99" spans="2:14" ht="18.75" hidden="1">
      <c r="B99" s="327" t="s">
        <v>337</v>
      </c>
      <c r="C99" s="338">
        <v>49.558300000000003</v>
      </c>
      <c r="D99" s="339">
        <v>0.34799999999999998</v>
      </c>
      <c r="E99" s="345">
        <v>2.5419999999999998</v>
      </c>
      <c r="F99" s="301">
        <v>15.764100000000001</v>
      </c>
      <c r="G99" s="345">
        <f t="shared" si="8"/>
        <v>6.8212400000000006E-2</v>
      </c>
      <c r="H99" s="301">
        <v>26.958599999999997</v>
      </c>
      <c r="I99" s="301">
        <v>20.968599999999999</v>
      </c>
      <c r="J99" s="339">
        <v>1.4572000000000001</v>
      </c>
      <c r="K99" s="339">
        <v>55.0642</v>
      </c>
      <c r="L99" s="345">
        <v>112.66500000000001</v>
      </c>
      <c r="M99" s="301">
        <f t="shared" si="9"/>
        <v>0.21718181240000001</v>
      </c>
      <c r="N99" s="285"/>
    </row>
    <row r="100" spans="2:14" ht="18.75" hidden="1">
      <c r="B100" s="327" t="s">
        <v>346</v>
      </c>
      <c r="C100" s="338">
        <v>82.054299999999998</v>
      </c>
      <c r="D100" s="339">
        <v>0.34799999999999998</v>
      </c>
      <c r="E100" s="345">
        <v>7.3126999999999995</v>
      </c>
      <c r="F100" s="301">
        <v>15.8246</v>
      </c>
      <c r="G100" s="345">
        <f t="shared" si="8"/>
        <v>0.10553960000000001</v>
      </c>
      <c r="H100" s="301">
        <v>54.771599999999999</v>
      </c>
      <c r="I100" s="301">
        <v>5.8182</v>
      </c>
      <c r="J100" s="339">
        <v>1.4572000000000001</v>
      </c>
      <c r="K100" s="339">
        <v>79.758499999999998</v>
      </c>
      <c r="L100" s="345">
        <v>94.244199999999992</v>
      </c>
      <c r="M100" s="301">
        <f t="shared" si="9"/>
        <v>0.23615523959999996</v>
      </c>
      <c r="N100" s="285"/>
    </row>
    <row r="101" spans="2:14" ht="18.75" hidden="1">
      <c r="B101" s="327" t="s">
        <v>347</v>
      </c>
      <c r="C101" s="338">
        <v>127.5689</v>
      </c>
      <c r="D101" s="339">
        <v>0.34799999999999998</v>
      </c>
      <c r="E101" s="345">
        <v>22.613299999999999</v>
      </c>
      <c r="F101" s="301">
        <v>15.8246</v>
      </c>
      <c r="G101" s="345">
        <f t="shared" si="8"/>
        <v>0.16635480000000002</v>
      </c>
      <c r="H101" s="301">
        <v>28.930299999999999</v>
      </c>
      <c r="I101" s="301">
        <v>12.5191</v>
      </c>
      <c r="J101" s="339">
        <v>1.4572000000000001</v>
      </c>
      <c r="K101" s="339">
        <v>29.525200000000002</v>
      </c>
      <c r="L101" s="345">
        <v>110.69069999999999</v>
      </c>
      <c r="M101" s="301">
        <f t="shared" si="9"/>
        <v>0.18328885479999998</v>
      </c>
      <c r="N101" s="285"/>
    </row>
    <row r="102" spans="2:14" ht="18.75" hidden="1">
      <c r="B102" s="327" t="s">
        <v>12</v>
      </c>
      <c r="C102" s="338">
        <v>91.616500000000002</v>
      </c>
      <c r="D102" s="339">
        <v>0.34799999999999998</v>
      </c>
      <c r="E102" s="345">
        <v>6.6512000000000002</v>
      </c>
      <c r="F102" s="301">
        <v>11.8612</v>
      </c>
      <c r="G102" s="345">
        <f t="shared" si="8"/>
        <v>0.1104769</v>
      </c>
      <c r="H102" s="301">
        <v>42.346199999999996</v>
      </c>
      <c r="I102" s="301">
        <v>10.4796</v>
      </c>
      <c r="J102" s="339">
        <v>1.3072000000000001</v>
      </c>
      <c r="K102" s="339">
        <v>41.933999999999997</v>
      </c>
      <c r="L102" s="345">
        <v>96.092500000000001</v>
      </c>
      <c r="M102" s="301">
        <f t="shared" si="9"/>
        <v>0.1922699769</v>
      </c>
      <c r="N102" s="285"/>
    </row>
    <row r="103" spans="2:14" ht="18.75" hidden="1">
      <c r="B103" s="327" t="s">
        <v>13</v>
      </c>
      <c r="C103" s="338">
        <v>95.950699999999998</v>
      </c>
      <c r="D103" s="339">
        <v>0.34799999999999998</v>
      </c>
      <c r="E103" s="345">
        <v>4.7151000000000005</v>
      </c>
      <c r="F103" s="301">
        <v>17.825900000000001</v>
      </c>
      <c r="G103" s="345">
        <f t="shared" si="8"/>
        <v>0.11883970000000001</v>
      </c>
      <c r="H103" s="301">
        <v>21.672599999999999</v>
      </c>
      <c r="I103" s="301">
        <v>31.368599999999997</v>
      </c>
      <c r="J103" s="339">
        <v>1.3072000000000001</v>
      </c>
      <c r="K103" s="339">
        <v>39.8232</v>
      </c>
      <c r="L103" s="345">
        <v>99.1755</v>
      </c>
      <c r="M103" s="301">
        <f t="shared" si="9"/>
        <v>0.19346593970000001</v>
      </c>
      <c r="N103" s="285"/>
    </row>
    <row r="104" spans="2:14" ht="18.75" hidden="1">
      <c r="B104" s="327" t="s">
        <v>14</v>
      </c>
      <c r="C104" s="338">
        <v>82.046899999999994</v>
      </c>
      <c r="D104" s="339">
        <v>0.34799999999999998</v>
      </c>
      <c r="E104" s="345">
        <v>2.4541999999999997</v>
      </c>
      <c r="F104" s="301">
        <v>13.488100000000001</v>
      </c>
      <c r="G104" s="345">
        <f t="shared" si="8"/>
        <v>9.83372E-2</v>
      </c>
      <c r="H104" s="301">
        <v>29.189900000000002</v>
      </c>
      <c r="I104" s="301">
        <v>34.282400000000003</v>
      </c>
      <c r="J104" s="339">
        <v>1.3072000000000001</v>
      </c>
      <c r="K104" s="339">
        <v>34.418500000000002</v>
      </c>
      <c r="L104" s="345">
        <v>120.0748</v>
      </c>
      <c r="M104" s="301">
        <f t="shared" si="9"/>
        <v>0.21937113720000001</v>
      </c>
      <c r="N104" s="285"/>
    </row>
    <row r="105" spans="2:14" ht="18.75" hidden="1">
      <c r="B105" s="327" t="s">
        <v>15</v>
      </c>
      <c r="C105" s="338">
        <v>90.216399999999993</v>
      </c>
      <c r="D105" s="339">
        <v>0.34799999999999998</v>
      </c>
      <c r="E105" s="345">
        <v>2.1701999999999999</v>
      </c>
      <c r="F105" s="301">
        <v>11.8612</v>
      </c>
      <c r="G105" s="345">
        <f t="shared" si="8"/>
        <v>0.10459579999999999</v>
      </c>
      <c r="H105" s="301">
        <v>23.928799999999999</v>
      </c>
      <c r="I105" s="301">
        <v>27.4009</v>
      </c>
      <c r="J105" s="339">
        <v>1.3072000000000001</v>
      </c>
      <c r="K105" s="339">
        <v>38.997800000000005</v>
      </c>
      <c r="L105" s="345">
        <v>148.3569</v>
      </c>
      <c r="M105" s="301">
        <f t="shared" si="9"/>
        <v>0.2400961958</v>
      </c>
      <c r="N105" s="285"/>
    </row>
    <row r="106" spans="2:14" ht="18.75" hidden="1">
      <c r="B106" s="327" t="s">
        <v>16</v>
      </c>
      <c r="C106" s="338">
        <v>85.6858</v>
      </c>
      <c r="D106" s="339">
        <v>0.34799999999999998</v>
      </c>
      <c r="E106" s="345">
        <v>2.2130000000000001</v>
      </c>
      <c r="F106" s="301">
        <v>11.8612</v>
      </c>
      <c r="G106" s="345">
        <f t="shared" si="8"/>
        <v>0.10010799999999999</v>
      </c>
      <c r="H106" s="301">
        <v>23.659099999999999</v>
      </c>
      <c r="I106" s="301">
        <v>15.663799999999998</v>
      </c>
      <c r="J106" s="339">
        <v>1.3072000000000001</v>
      </c>
      <c r="K106" s="339">
        <v>40.4846</v>
      </c>
      <c r="L106" s="345">
        <v>141.65870000000001</v>
      </c>
      <c r="M106" s="301">
        <f t="shared" si="9"/>
        <v>0.22287350800000003</v>
      </c>
      <c r="N106" s="285"/>
    </row>
    <row r="107" spans="2:14" ht="18.75" hidden="1">
      <c r="B107" s="327"/>
      <c r="C107" s="338"/>
      <c r="D107" s="339"/>
      <c r="E107" s="345"/>
      <c r="F107" s="301"/>
      <c r="G107" s="345"/>
      <c r="H107" s="301"/>
      <c r="I107" s="301"/>
      <c r="J107" s="339"/>
      <c r="K107" s="339"/>
      <c r="L107" s="345"/>
      <c r="M107" s="301"/>
      <c r="N107" s="285"/>
    </row>
    <row r="108" spans="2:14" ht="18.75" hidden="1">
      <c r="B108" s="346">
        <v>2005</v>
      </c>
      <c r="C108" s="338"/>
      <c r="D108" s="339"/>
      <c r="E108" s="345"/>
      <c r="F108" s="301"/>
      <c r="G108" s="345"/>
      <c r="H108" s="301"/>
      <c r="I108" s="301"/>
      <c r="J108" s="339"/>
      <c r="K108" s="339"/>
      <c r="L108" s="345"/>
      <c r="M108" s="301"/>
      <c r="N108" s="285"/>
    </row>
    <row r="109" spans="2:14" ht="18.75" hidden="1">
      <c r="B109" s="327" t="s">
        <v>8</v>
      </c>
      <c r="C109" s="338">
        <v>164.046897</v>
      </c>
      <c r="D109" s="339">
        <v>0</v>
      </c>
      <c r="E109" s="345">
        <v>2.2095749999999996</v>
      </c>
      <c r="F109" s="301">
        <v>11.861207</v>
      </c>
      <c r="G109" s="345">
        <f>(SUM(C109:F109))/1000</f>
        <v>0.178117679</v>
      </c>
      <c r="H109" s="301">
        <v>16.482962999999998</v>
      </c>
      <c r="I109" s="301">
        <v>3.8164199999999999</v>
      </c>
      <c r="J109" s="339">
        <v>1.307215</v>
      </c>
      <c r="K109" s="339">
        <v>41.926243999999997</v>
      </c>
      <c r="L109" s="345">
        <v>185.55843999999999</v>
      </c>
      <c r="M109" s="301">
        <f>(SUM(G109:L109))/1000</f>
        <v>0.249269399679</v>
      </c>
      <c r="N109" s="282"/>
    </row>
    <row r="110" spans="2:14" ht="18.75" hidden="1">
      <c r="B110" s="327" t="s">
        <v>9</v>
      </c>
      <c r="C110" s="338">
        <v>232.953406</v>
      </c>
      <c r="D110" s="339">
        <v>0.230319</v>
      </c>
      <c r="E110" s="345">
        <v>2.1773339999999997</v>
      </c>
      <c r="F110" s="301">
        <v>11.861207</v>
      </c>
      <c r="G110" s="345">
        <f>(SUM(C110:F110))/1000</f>
        <v>0.24722226600000002</v>
      </c>
      <c r="H110" s="301">
        <v>38.939627999999999</v>
      </c>
      <c r="I110" s="301">
        <v>4.2440899999999999</v>
      </c>
      <c r="J110" s="339">
        <v>1.307215</v>
      </c>
      <c r="K110" s="339">
        <v>56.473671000000003</v>
      </c>
      <c r="L110" s="345">
        <v>216.827054</v>
      </c>
      <c r="M110" s="301">
        <f>(SUM(G110:L110))/1000</f>
        <v>0.31803888026599997</v>
      </c>
      <c r="N110" s="282"/>
    </row>
    <row r="111" spans="2:14" ht="18.75" hidden="1">
      <c r="B111" s="327" t="s">
        <v>10</v>
      </c>
      <c r="C111" s="338">
        <v>216.33294100000001</v>
      </c>
      <c r="D111" s="339">
        <v>0.34799999999999998</v>
      </c>
      <c r="E111" s="345">
        <v>2.1836219999999997</v>
      </c>
      <c r="F111" s="301">
        <v>11.861207</v>
      </c>
      <c r="G111" s="345">
        <f>(SUM(C111:F111))/1000</f>
        <v>0.23072577000000005</v>
      </c>
      <c r="H111" s="301">
        <v>19.702745999999998</v>
      </c>
      <c r="I111" s="301">
        <v>6.518815</v>
      </c>
      <c r="J111" s="339">
        <v>1.307215</v>
      </c>
      <c r="K111" s="339">
        <v>64.207098000000002</v>
      </c>
      <c r="L111" s="345">
        <v>261.39756</v>
      </c>
      <c r="M111" s="301">
        <f>(SUM(G111:L111))/1000</f>
        <v>0.35336415977000002</v>
      </c>
      <c r="N111" s="282"/>
    </row>
    <row r="112" spans="2:14" ht="18.75" hidden="1">
      <c r="B112" s="327" t="s">
        <v>11</v>
      </c>
      <c r="C112" s="338">
        <v>197.54729999999998</v>
      </c>
      <c r="D112" s="339">
        <v>0.34799999999999998</v>
      </c>
      <c r="E112" s="345">
        <v>6.9886999999999997</v>
      </c>
      <c r="F112" s="301">
        <v>13.8596</v>
      </c>
      <c r="G112" s="345">
        <v>218.74360000000001</v>
      </c>
      <c r="H112" s="301">
        <v>19.958400000000001</v>
      </c>
      <c r="I112" s="301">
        <v>6.3818000000000001</v>
      </c>
      <c r="J112" s="339">
        <v>1.3072000000000001</v>
      </c>
      <c r="K112" s="339">
        <v>54.182000000000002</v>
      </c>
      <c r="L112" s="345">
        <v>295.68629999999996</v>
      </c>
      <c r="M112" s="301">
        <v>596.25930000000005</v>
      </c>
      <c r="N112" s="282"/>
    </row>
    <row r="113" spans="2:14" ht="18.75" hidden="1">
      <c r="B113" s="327" t="s">
        <v>337</v>
      </c>
      <c r="C113" s="338">
        <v>233.55549999999999</v>
      </c>
      <c r="D113" s="339">
        <v>8.7999999999999995E-2</v>
      </c>
      <c r="E113" s="345">
        <v>2.9851999999999999</v>
      </c>
      <c r="F113" s="301">
        <v>16.738199999999999</v>
      </c>
      <c r="G113" s="345">
        <v>253.36689999999999</v>
      </c>
      <c r="H113" s="301">
        <v>56.345999999999997</v>
      </c>
      <c r="I113" s="301">
        <v>4.7702</v>
      </c>
      <c r="J113" s="339">
        <v>1.3072000000000001</v>
      </c>
      <c r="K113" s="339">
        <v>65.348600000000005</v>
      </c>
      <c r="L113" s="345">
        <v>368.47659999999996</v>
      </c>
      <c r="M113" s="301">
        <v>749.61559999999997</v>
      </c>
      <c r="N113" s="282"/>
    </row>
    <row r="114" spans="2:14" ht="18.75" hidden="1">
      <c r="B114" s="327" t="s">
        <v>346</v>
      </c>
      <c r="C114" s="338">
        <v>168.4941</v>
      </c>
      <c r="D114" s="339">
        <v>8.7999999999999995E-2</v>
      </c>
      <c r="E114" s="345">
        <v>5.1417000000000002</v>
      </c>
      <c r="F114" s="301">
        <v>12.1966</v>
      </c>
      <c r="G114" s="345">
        <v>185.9205</v>
      </c>
      <c r="H114" s="301">
        <v>15.354200000000001</v>
      </c>
      <c r="I114" s="301">
        <v>5.8141000000000007</v>
      </c>
      <c r="J114" s="339">
        <v>1.3072000000000001</v>
      </c>
      <c r="K114" s="339">
        <v>50.935900000000004</v>
      </c>
      <c r="L114" s="345">
        <v>142.93510000000001</v>
      </c>
      <c r="M114" s="301">
        <v>402.267</v>
      </c>
      <c r="N114" s="282"/>
    </row>
    <row r="115" spans="2:14" ht="18.75" hidden="1">
      <c r="B115" s="327" t="s">
        <v>347</v>
      </c>
      <c r="C115" s="338">
        <v>210.6576</v>
      </c>
      <c r="D115" s="339">
        <v>8.7999999999999995E-2</v>
      </c>
      <c r="E115" s="345">
        <v>5.0448999999999993</v>
      </c>
      <c r="F115" s="301">
        <v>11.843500000000001</v>
      </c>
      <c r="G115" s="345">
        <v>227.63399999999999</v>
      </c>
      <c r="H115" s="301">
        <v>42.540900000000001</v>
      </c>
      <c r="I115" s="301">
        <v>0.13150000000000001</v>
      </c>
      <c r="J115" s="339">
        <v>1.3072000000000001</v>
      </c>
      <c r="K115" s="339">
        <v>62.328199999999995</v>
      </c>
      <c r="L115" s="345">
        <v>173.78659999999999</v>
      </c>
      <c r="M115" s="301">
        <v>507.72840000000002</v>
      </c>
      <c r="N115" s="282"/>
    </row>
    <row r="116" spans="2:14" ht="18.75" hidden="1">
      <c r="B116" s="327" t="s">
        <v>12</v>
      </c>
      <c r="C116" s="338">
        <v>300.66730000000001</v>
      </c>
      <c r="D116" s="339">
        <v>8.7999999999999995E-2</v>
      </c>
      <c r="E116" s="345">
        <v>5.0199999999999996</v>
      </c>
      <c r="F116" s="301">
        <v>11.843500000000001</v>
      </c>
      <c r="G116" s="345">
        <v>317.61879999999996</v>
      </c>
      <c r="H116" s="301">
        <v>49.329699999999995</v>
      </c>
      <c r="I116" s="301">
        <v>0.13150000000000001</v>
      </c>
      <c r="J116" s="339">
        <v>1.3072000000000001</v>
      </c>
      <c r="K116" s="339">
        <v>4.8271999999999995</v>
      </c>
      <c r="L116" s="345">
        <v>177.99329999999998</v>
      </c>
      <c r="M116" s="301">
        <v>551.20759999999996</v>
      </c>
      <c r="N116" s="282"/>
    </row>
    <row r="117" spans="2:14" ht="18.75" hidden="1">
      <c r="B117" s="327" t="s">
        <v>13</v>
      </c>
      <c r="C117" s="338">
        <v>337.20229999999998</v>
      </c>
      <c r="D117" s="339">
        <v>8.7999999999999995E-2</v>
      </c>
      <c r="E117" s="345">
        <v>5.0199999999999996</v>
      </c>
      <c r="F117" s="301">
        <v>1.1394000000000002</v>
      </c>
      <c r="G117" s="345">
        <v>343.44970000000001</v>
      </c>
      <c r="H117" s="301">
        <v>13.401200000000001</v>
      </c>
      <c r="I117" s="301">
        <v>3.0000000000000001E-3</v>
      </c>
      <c r="J117" s="339">
        <v>5.9799999999999999E-2</v>
      </c>
      <c r="K117" s="339">
        <v>5.0668999999999995</v>
      </c>
      <c r="L117" s="345">
        <v>232.13910000000001</v>
      </c>
      <c r="M117" s="301">
        <v>594.11969999999997</v>
      </c>
      <c r="N117" s="282"/>
    </row>
    <row r="118" spans="2:14" ht="18.75" hidden="1">
      <c r="B118" s="327" t="s">
        <v>14</v>
      </c>
      <c r="C118" s="338">
        <v>687.19419999999991</v>
      </c>
      <c r="D118" s="339">
        <v>8.7999999999999995E-2</v>
      </c>
      <c r="E118" s="345">
        <v>5.0199999999999996</v>
      </c>
      <c r="F118" s="301">
        <v>2.3324000000000003</v>
      </c>
      <c r="G118" s="345">
        <v>694.63459999999998</v>
      </c>
      <c r="H118" s="301">
        <v>41.588300000000004</v>
      </c>
      <c r="I118" s="301">
        <v>3.5999999999999999E-3</v>
      </c>
      <c r="J118" s="339">
        <v>6.9999999999999999E-4</v>
      </c>
      <c r="K118" s="339">
        <v>17.090499999999999</v>
      </c>
      <c r="L118" s="345">
        <v>263.2192</v>
      </c>
      <c r="M118" s="301">
        <v>1016.5369000000001</v>
      </c>
      <c r="N118" s="282"/>
    </row>
    <row r="119" spans="2:14" ht="18.75" hidden="1">
      <c r="B119" s="327"/>
      <c r="C119" s="338"/>
      <c r="D119" s="339"/>
      <c r="E119" s="345"/>
      <c r="F119" s="301"/>
      <c r="G119" s="345"/>
      <c r="H119" s="301"/>
      <c r="I119" s="301"/>
      <c r="J119" s="339"/>
      <c r="K119" s="339"/>
      <c r="L119" s="345"/>
      <c r="M119" s="301"/>
      <c r="N119" s="282"/>
    </row>
    <row r="120" spans="2:14" ht="18.75" hidden="1">
      <c r="B120" s="327" t="s">
        <v>15</v>
      </c>
      <c r="C120" s="338">
        <v>803.71389999999997</v>
      </c>
      <c r="D120" s="339">
        <v>8.7900000000000006E-2</v>
      </c>
      <c r="E120" s="345">
        <v>5.0199999999999996</v>
      </c>
      <c r="F120" s="301">
        <v>7.0068000000000001</v>
      </c>
      <c r="G120" s="345">
        <v>815.82859999999994</v>
      </c>
      <c r="H120" s="301">
        <v>36.060900000000004</v>
      </c>
      <c r="I120" s="301">
        <v>2.1881999999999997</v>
      </c>
      <c r="J120" s="339">
        <v>6.9999999999999999E-4</v>
      </c>
      <c r="K120" s="339">
        <v>162.74429999999998</v>
      </c>
      <c r="L120" s="345">
        <v>387.7167</v>
      </c>
      <c r="M120" s="301">
        <v>1404.5395000000001</v>
      </c>
      <c r="N120" s="282"/>
    </row>
    <row r="121" spans="2:14" ht="18.75" hidden="1">
      <c r="B121" s="327" t="s">
        <v>16</v>
      </c>
      <c r="C121" s="338">
        <v>747.40859999999998</v>
      </c>
      <c r="D121" s="339">
        <v>0</v>
      </c>
      <c r="E121" s="345">
        <v>0</v>
      </c>
      <c r="F121" s="301">
        <v>1.1907999999999999</v>
      </c>
      <c r="G121" s="345">
        <v>748.59940000000006</v>
      </c>
      <c r="H121" s="301">
        <v>13.8161</v>
      </c>
      <c r="I121" s="301">
        <v>2.6424000000000003</v>
      </c>
      <c r="J121" s="339">
        <v>50.000699999999995</v>
      </c>
      <c r="K121" s="339">
        <v>44.022199999999998</v>
      </c>
      <c r="L121" s="345">
        <v>599.55889999999999</v>
      </c>
      <c r="M121" s="301">
        <v>1458.6396999999999</v>
      </c>
      <c r="N121" s="282"/>
    </row>
    <row r="122" spans="2:14" ht="18.75" hidden="1">
      <c r="B122" s="327"/>
      <c r="C122" s="338"/>
      <c r="D122" s="339"/>
      <c r="E122" s="345"/>
      <c r="F122" s="301"/>
      <c r="G122" s="345"/>
      <c r="H122" s="301"/>
      <c r="I122" s="301"/>
      <c r="J122" s="339"/>
      <c r="K122" s="339"/>
      <c r="L122" s="345"/>
      <c r="M122" s="301"/>
      <c r="N122" s="282"/>
    </row>
    <row r="123" spans="2:14" ht="18.75" hidden="1">
      <c r="B123" s="346">
        <v>2006</v>
      </c>
      <c r="C123" s="338"/>
      <c r="D123" s="339"/>
      <c r="E123" s="345"/>
      <c r="F123" s="301"/>
      <c r="G123" s="345"/>
      <c r="H123" s="301"/>
      <c r="I123" s="301"/>
      <c r="J123" s="341"/>
      <c r="K123" s="338"/>
      <c r="L123" s="345"/>
      <c r="M123" s="301"/>
      <c r="N123" s="282"/>
    </row>
    <row r="124" spans="2:14" ht="18.75" hidden="1">
      <c r="B124" s="327"/>
      <c r="C124" s="338"/>
      <c r="D124" s="339"/>
      <c r="E124" s="345"/>
      <c r="F124" s="301"/>
      <c r="G124" s="345"/>
      <c r="H124" s="301"/>
      <c r="I124" s="301"/>
      <c r="J124" s="301"/>
      <c r="K124" s="301"/>
      <c r="L124" s="345"/>
      <c r="M124" s="301"/>
      <c r="N124" s="282"/>
    </row>
    <row r="125" spans="2:14" ht="18.75" hidden="1">
      <c r="B125" s="327" t="s">
        <v>8</v>
      </c>
      <c r="C125" s="338">
        <v>1862.1730809999999</v>
      </c>
      <c r="D125" s="339">
        <v>0</v>
      </c>
      <c r="E125" s="345">
        <v>5</v>
      </c>
      <c r="F125" s="301">
        <v>1.1907999999999999</v>
      </c>
      <c r="G125" s="345">
        <v>1868.363881</v>
      </c>
      <c r="H125" s="301">
        <v>23.114052999999998</v>
      </c>
      <c r="I125" s="301">
        <v>2.9708999999999999E-2</v>
      </c>
      <c r="J125" s="301">
        <v>50</v>
      </c>
      <c r="K125" s="301">
        <v>11.635479999999999</v>
      </c>
      <c r="L125" s="345">
        <v>941.32253799999967</v>
      </c>
      <c r="M125" s="301">
        <f>(SUM(G125:L125))</f>
        <v>2894.4656609999993</v>
      </c>
      <c r="N125" s="282"/>
    </row>
    <row r="126" spans="2:14" ht="18.75" hidden="1">
      <c r="B126" s="327" t="s">
        <v>9</v>
      </c>
      <c r="C126" s="338">
        <v>1923.3390340000001</v>
      </c>
      <c r="D126" s="339">
        <v>0</v>
      </c>
      <c r="E126" s="345">
        <v>5</v>
      </c>
      <c r="F126" s="301">
        <v>0</v>
      </c>
      <c r="G126" s="345">
        <v>1928.3390340000001</v>
      </c>
      <c r="H126" s="301">
        <v>54.808980000000005</v>
      </c>
      <c r="I126" s="301">
        <v>2.9708999999999999E-2</v>
      </c>
      <c r="J126" s="301">
        <v>50</v>
      </c>
      <c r="K126" s="301">
        <v>11.635479999999999</v>
      </c>
      <c r="L126" s="345">
        <v>982.26321200000007</v>
      </c>
      <c r="M126" s="301">
        <f>(SUM(G126:L126))</f>
        <v>3027.076415</v>
      </c>
      <c r="N126" s="282"/>
    </row>
    <row r="127" spans="2:14" ht="18.75" hidden="1">
      <c r="B127" s="327" t="s">
        <v>10</v>
      </c>
      <c r="C127" s="338">
        <v>1647.0786229999999</v>
      </c>
      <c r="D127" s="339">
        <v>0</v>
      </c>
      <c r="E127" s="345">
        <v>5</v>
      </c>
      <c r="F127" s="301">
        <v>0</v>
      </c>
      <c r="G127" s="345">
        <v>1652.0786229999999</v>
      </c>
      <c r="H127" s="301">
        <v>192.48566399999999</v>
      </c>
      <c r="I127" s="301">
        <v>2.9708999999999999E-2</v>
      </c>
      <c r="J127" s="301">
        <v>165.129863</v>
      </c>
      <c r="K127" s="301">
        <v>25.388491000000002</v>
      </c>
      <c r="L127" s="345">
        <v>1018.8058330000001</v>
      </c>
      <c r="M127" s="301">
        <f>(SUM(G127:L127))</f>
        <v>3053.9181829999998</v>
      </c>
      <c r="N127" s="282"/>
    </row>
    <row r="128" spans="2:14" ht="18.75" hidden="1">
      <c r="B128" s="327" t="s">
        <v>11</v>
      </c>
      <c r="C128" s="338">
        <v>2039.4022</v>
      </c>
      <c r="D128" s="339">
        <v>5.0316000000000001</v>
      </c>
      <c r="E128" s="345">
        <v>0</v>
      </c>
      <c r="F128" s="301">
        <v>1.9984000000000002</v>
      </c>
      <c r="G128" s="345">
        <v>2046.4322</v>
      </c>
      <c r="H128" s="301">
        <v>-7.4093999999999998</v>
      </c>
      <c r="I128" s="301">
        <v>3.5999999999999999E-3</v>
      </c>
      <c r="J128" s="301">
        <v>222.08260000000001</v>
      </c>
      <c r="K128" s="301">
        <v>6.2335000000000003</v>
      </c>
      <c r="L128" s="345">
        <v>1468.6631</v>
      </c>
      <c r="M128" s="301">
        <f>(SUM(G128:L128))</f>
        <v>3736.0055999999995</v>
      </c>
      <c r="N128" s="282"/>
    </row>
    <row r="129" spans="2:16" ht="18.75" hidden="1">
      <c r="B129" s="327" t="s">
        <v>337</v>
      </c>
      <c r="C129" s="338">
        <v>1584.8089</v>
      </c>
      <c r="D129" s="339">
        <v>0</v>
      </c>
      <c r="E129" s="345">
        <v>0</v>
      </c>
      <c r="F129" s="301">
        <v>0</v>
      </c>
      <c r="G129" s="345">
        <v>1584.8089</v>
      </c>
      <c r="H129" s="301">
        <v>24.0427</v>
      </c>
      <c r="I129" s="301">
        <v>3.5999999999999999E-3</v>
      </c>
      <c r="J129" s="301">
        <v>285.08629999999999</v>
      </c>
      <c r="K129" s="301">
        <v>75.525600000000011</v>
      </c>
      <c r="L129" s="345">
        <v>1298.6244999999999</v>
      </c>
      <c r="M129" s="301">
        <v>3268.0917000000004</v>
      </c>
      <c r="N129" s="282"/>
    </row>
    <row r="130" spans="2:16" ht="18.75" hidden="1">
      <c r="B130" s="327" t="s">
        <v>346</v>
      </c>
      <c r="C130" s="338">
        <v>2362.0275999999999</v>
      </c>
      <c r="D130" s="339">
        <v>0</v>
      </c>
      <c r="E130" s="345">
        <v>0</v>
      </c>
      <c r="F130" s="301">
        <v>0</v>
      </c>
      <c r="G130" s="345">
        <v>2362.0275999999999</v>
      </c>
      <c r="H130" s="301">
        <v>-21.782299999999999</v>
      </c>
      <c r="I130" s="301">
        <v>3.5999999999999999E-3</v>
      </c>
      <c r="J130" s="301">
        <v>204.57489999999999</v>
      </c>
      <c r="K130" s="301">
        <v>73.991600000000005</v>
      </c>
      <c r="L130" s="345">
        <v>1759.7331000000001</v>
      </c>
      <c r="M130" s="301">
        <v>4378.5486000000001</v>
      </c>
      <c r="N130" s="282"/>
    </row>
    <row r="131" spans="2:16" ht="18.75" hidden="1">
      <c r="B131" s="327" t="s">
        <v>347</v>
      </c>
      <c r="C131" s="338">
        <v>2868.9054000000001</v>
      </c>
      <c r="D131" s="339">
        <v>8.7999999999999995E-2</v>
      </c>
      <c r="E131" s="345">
        <v>0</v>
      </c>
      <c r="F131" s="301">
        <v>0</v>
      </c>
      <c r="G131" s="345">
        <v>2868.9933999999998</v>
      </c>
      <c r="H131" s="301">
        <v>50.596299999999999</v>
      </c>
      <c r="I131" s="301">
        <v>3.5999999999999999E-3</v>
      </c>
      <c r="J131" s="301">
        <v>226.59399999999999</v>
      </c>
      <c r="K131" s="301">
        <v>84.474299999999999</v>
      </c>
      <c r="L131" s="345">
        <v>1457.8853999999999</v>
      </c>
      <c r="M131" s="301">
        <v>4658.5469999999996</v>
      </c>
      <c r="N131" s="282"/>
    </row>
    <row r="132" spans="2:16" ht="18.75" hidden="1">
      <c r="B132" s="327" t="s">
        <v>12</v>
      </c>
      <c r="C132" s="338">
        <v>3325.97</v>
      </c>
      <c r="D132" s="339">
        <v>0</v>
      </c>
      <c r="E132" s="345">
        <v>0</v>
      </c>
      <c r="F132" s="301">
        <v>0</v>
      </c>
      <c r="G132" s="345">
        <v>3325.97</v>
      </c>
      <c r="H132" s="301">
        <v>24.638999999999999</v>
      </c>
      <c r="I132" s="301">
        <v>3.5999999999999999E-3</v>
      </c>
      <c r="J132" s="301">
        <v>0</v>
      </c>
      <c r="K132" s="301">
        <v>215.56049999999999</v>
      </c>
      <c r="L132" s="345">
        <v>3600.8164999999999</v>
      </c>
      <c r="M132" s="301">
        <v>7166.9899000000005</v>
      </c>
      <c r="N132" s="282"/>
    </row>
    <row r="133" spans="2:16" ht="18.75" hidden="1">
      <c r="B133" s="327" t="s">
        <v>13</v>
      </c>
      <c r="C133" s="338">
        <v>5225.3729000000003</v>
      </c>
      <c r="D133" s="339">
        <v>0</v>
      </c>
      <c r="E133" s="345">
        <v>0</v>
      </c>
      <c r="F133" s="301">
        <v>0</v>
      </c>
      <c r="G133" s="345">
        <v>5225.3729000000003</v>
      </c>
      <c r="H133" s="301">
        <v>526.54919999999993</v>
      </c>
      <c r="I133" s="301">
        <v>3.5999999999999999E-3</v>
      </c>
      <c r="J133" s="301">
        <v>322.27409999999998</v>
      </c>
      <c r="K133" s="301">
        <v>232.7662</v>
      </c>
      <c r="L133" s="345">
        <v>6304.0240999999996</v>
      </c>
      <c r="M133" s="301">
        <v>12610.990099999999</v>
      </c>
      <c r="N133" s="282"/>
    </row>
    <row r="134" spans="2:16" ht="18.75" hidden="1">
      <c r="B134" s="347" t="s">
        <v>14</v>
      </c>
      <c r="C134" s="338">
        <v>7145.1594999999998</v>
      </c>
      <c r="D134" s="339">
        <v>0</v>
      </c>
      <c r="E134" s="345">
        <v>0</v>
      </c>
      <c r="F134" s="301">
        <v>0</v>
      </c>
      <c r="G134" s="345">
        <v>7145.1594999999998</v>
      </c>
      <c r="H134" s="301">
        <v>201.7705</v>
      </c>
      <c r="I134" s="301">
        <v>3.5999999999999999E-3</v>
      </c>
      <c r="J134" s="301">
        <v>261.78579999999999</v>
      </c>
      <c r="K134" s="301">
        <v>15.5715</v>
      </c>
      <c r="L134" s="345">
        <v>8472.8935000000001</v>
      </c>
      <c r="M134" s="301">
        <v>16097.1844</v>
      </c>
      <c r="N134" s="282"/>
    </row>
    <row r="135" spans="2:16" ht="18.75" hidden="1">
      <c r="B135" s="289" t="s">
        <v>15</v>
      </c>
      <c r="C135" s="348">
        <v>6547.8376064600006</v>
      </c>
      <c r="D135" s="348">
        <v>0</v>
      </c>
      <c r="E135" s="348">
        <v>1</v>
      </c>
      <c r="F135" s="348">
        <v>0</v>
      </c>
      <c r="G135" s="348">
        <v>6548.8376064600006</v>
      </c>
      <c r="H135" s="348">
        <v>65.782336999999998</v>
      </c>
      <c r="I135" s="348">
        <v>3.6410000000000001E-3</v>
      </c>
      <c r="J135" s="348">
        <v>305.18835617000002</v>
      </c>
      <c r="K135" s="348">
        <v>2.4710770000000002</v>
      </c>
      <c r="L135" s="348">
        <v>10813.457252370001</v>
      </c>
      <c r="M135" s="348">
        <v>17735.740269999998</v>
      </c>
      <c r="N135" s="285"/>
    </row>
    <row r="136" spans="2:16" ht="18.75" hidden="1">
      <c r="B136" s="289" t="s">
        <v>16</v>
      </c>
      <c r="C136" s="348">
        <v>4775.05</v>
      </c>
      <c r="D136" s="348">
        <v>0</v>
      </c>
      <c r="E136" s="348">
        <v>1</v>
      </c>
      <c r="F136" s="348">
        <v>0</v>
      </c>
      <c r="G136" s="348">
        <v>4776.05</v>
      </c>
      <c r="H136" s="348">
        <v>711.96</v>
      </c>
      <c r="I136" s="348">
        <v>0</v>
      </c>
      <c r="J136" s="348">
        <v>74.38</v>
      </c>
      <c r="K136" s="348">
        <v>5.2</v>
      </c>
      <c r="L136" s="348">
        <v>10126.790000000001</v>
      </c>
      <c r="M136" s="301">
        <f>(SUM(G136:L136))</f>
        <v>15694.380000000001</v>
      </c>
      <c r="N136" s="285"/>
    </row>
    <row r="137" spans="2:16" ht="18.75" hidden="1">
      <c r="B137" s="289"/>
      <c r="C137" s="348"/>
      <c r="D137" s="348"/>
      <c r="E137" s="348"/>
      <c r="F137" s="348"/>
      <c r="G137" s="348"/>
      <c r="H137" s="348"/>
      <c r="I137" s="348"/>
      <c r="J137" s="348"/>
      <c r="K137" s="348"/>
      <c r="L137" s="348"/>
      <c r="M137" s="301"/>
      <c r="N137" s="285"/>
    </row>
    <row r="138" spans="2:16" ht="18.75" hidden="1">
      <c r="B138" s="302">
        <v>2007</v>
      </c>
      <c r="C138" s="348"/>
      <c r="D138" s="348"/>
      <c r="E138" s="348"/>
      <c r="F138" s="348"/>
      <c r="G138" s="348"/>
      <c r="H138" s="348"/>
      <c r="I138" s="348"/>
      <c r="J138" s="348"/>
      <c r="K138" s="348"/>
      <c r="L138" s="348"/>
      <c r="M138" s="301"/>
      <c r="N138" s="285"/>
    </row>
    <row r="139" spans="2:16" ht="18.75" hidden="1">
      <c r="B139" s="349"/>
      <c r="C139" s="348"/>
      <c r="D139" s="348"/>
      <c r="E139" s="348"/>
      <c r="F139" s="348"/>
      <c r="G139" s="348"/>
      <c r="H139" s="348"/>
      <c r="I139" s="348"/>
      <c r="J139" s="348"/>
      <c r="K139" s="348"/>
      <c r="L139" s="348"/>
      <c r="M139" s="301"/>
      <c r="N139" s="285"/>
    </row>
    <row r="140" spans="2:16" ht="18.75" hidden="1">
      <c r="B140" s="347" t="s">
        <v>8</v>
      </c>
      <c r="C140" s="348">
        <v>9657.5</v>
      </c>
      <c r="D140" s="348">
        <v>0</v>
      </c>
      <c r="E140" s="348">
        <v>1</v>
      </c>
      <c r="F140" s="348">
        <v>0</v>
      </c>
      <c r="G140" s="348">
        <v>9658.5</v>
      </c>
      <c r="H140" s="348">
        <v>550.29999999999995</v>
      </c>
      <c r="I140" s="348">
        <v>0</v>
      </c>
      <c r="J140" s="348">
        <v>51.5</v>
      </c>
      <c r="K140" s="348">
        <v>1832.3</v>
      </c>
      <c r="L140" s="348">
        <v>15209.2</v>
      </c>
      <c r="M140" s="301">
        <f t="shared" ref="M140:M151" si="10">(SUM(G140:L140))</f>
        <v>27301.8</v>
      </c>
      <c r="N140" s="285"/>
    </row>
    <row r="141" spans="2:16" ht="18.75" hidden="1">
      <c r="B141" s="347" t="s">
        <v>9</v>
      </c>
      <c r="C141" s="348">
        <v>17373.75</v>
      </c>
      <c r="D141" s="348">
        <v>0</v>
      </c>
      <c r="E141" s="348">
        <v>1</v>
      </c>
      <c r="F141" s="348">
        <v>0</v>
      </c>
      <c r="G141" s="348">
        <v>17374.758999999998</v>
      </c>
      <c r="H141" s="348">
        <v>-57.4</v>
      </c>
      <c r="I141" s="348">
        <v>0</v>
      </c>
      <c r="J141" s="348">
        <v>163.19</v>
      </c>
      <c r="K141" s="348">
        <v>34</v>
      </c>
      <c r="L141" s="348">
        <v>20279.5</v>
      </c>
      <c r="M141" s="301">
        <f t="shared" si="10"/>
        <v>37794.048999999999</v>
      </c>
      <c r="N141" s="285"/>
    </row>
    <row r="142" spans="2:16" ht="18.75" hidden="1">
      <c r="B142" s="347" t="s">
        <v>10</v>
      </c>
      <c r="C142" s="348">
        <v>16038.4</v>
      </c>
      <c r="D142" s="348">
        <v>0</v>
      </c>
      <c r="E142" s="348">
        <v>1</v>
      </c>
      <c r="F142" s="348">
        <v>0</v>
      </c>
      <c r="G142" s="348">
        <v>16039.4</v>
      </c>
      <c r="H142" s="348">
        <v>7475.56</v>
      </c>
      <c r="I142" s="348">
        <v>0</v>
      </c>
      <c r="J142" s="348">
        <v>50</v>
      </c>
      <c r="K142" s="348">
        <v>73.95</v>
      </c>
      <c r="L142" s="348">
        <v>31813.119999999999</v>
      </c>
      <c r="M142" s="301">
        <f t="shared" si="10"/>
        <v>55452.03</v>
      </c>
      <c r="N142" s="285"/>
    </row>
    <row r="143" spans="2:16" ht="18.75" hidden="1">
      <c r="B143" s="347" t="s">
        <v>11</v>
      </c>
      <c r="C143" s="348">
        <v>12843.7</v>
      </c>
      <c r="D143" s="348">
        <v>0</v>
      </c>
      <c r="E143" s="348">
        <v>1</v>
      </c>
      <c r="F143" s="348">
        <v>0</v>
      </c>
      <c r="G143" s="348">
        <v>12844.7</v>
      </c>
      <c r="H143" s="348">
        <v>649.16800000000001</v>
      </c>
      <c r="I143" s="348">
        <v>0</v>
      </c>
      <c r="J143" s="348">
        <v>50</v>
      </c>
      <c r="K143" s="348">
        <v>2534.35</v>
      </c>
      <c r="L143" s="348">
        <v>14955.03</v>
      </c>
      <c r="M143" s="301">
        <f t="shared" si="10"/>
        <v>31033.248</v>
      </c>
      <c r="N143" s="285"/>
    </row>
    <row r="144" spans="2:16" ht="18.75" hidden="1">
      <c r="B144" s="347" t="s">
        <v>337</v>
      </c>
      <c r="C144" s="348">
        <v>46833.5</v>
      </c>
      <c r="D144" s="348">
        <v>0</v>
      </c>
      <c r="E144" s="348">
        <v>1</v>
      </c>
      <c r="F144" s="348">
        <v>0</v>
      </c>
      <c r="G144" s="348">
        <v>46834.5</v>
      </c>
      <c r="H144" s="348">
        <v>6628.2640000000001</v>
      </c>
      <c r="I144" s="348">
        <v>0</v>
      </c>
      <c r="J144" s="348">
        <v>301.7</v>
      </c>
      <c r="K144" s="348">
        <v>6159.5060000000003</v>
      </c>
      <c r="L144" s="348">
        <v>78182.999800000005</v>
      </c>
      <c r="M144" s="301">
        <f t="shared" si="10"/>
        <v>138106.96980000002</v>
      </c>
      <c r="N144" s="285"/>
      <c r="P144" s="350">
        <f>5000000000/((240000+570000)/2)</f>
        <v>12345.679012345679</v>
      </c>
    </row>
    <row r="145" spans="2:14" ht="18.75" hidden="1">
      <c r="B145" s="347" t="s">
        <v>346</v>
      </c>
      <c r="C145" s="348">
        <v>237305.95300000001</v>
      </c>
      <c r="D145" s="348">
        <v>0</v>
      </c>
      <c r="E145" s="348">
        <v>1</v>
      </c>
      <c r="F145" s="348">
        <v>500.9</v>
      </c>
      <c r="G145" s="348">
        <v>237807.88699999999</v>
      </c>
      <c r="H145" s="348">
        <v>9031.5</v>
      </c>
      <c r="I145" s="348">
        <v>0</v>
      </c>
      <c r="J145" s="348">
        <v>144.30000000000001</v>
      </c>
      <c r="K145" s="348">
        <v>8335.8809999999994</v>
      </c>
      <c r="L145" s="348">
        <v>146348.4</v>
      </c>
      <c r="M145" s="301">
        <f t="shared" si="10"/>
        <v>401667.96799999999</v>
      </c>
      <c r="N145" s="285"/>
    </row>
    <row r="146" spans="2:14" ht="18.75" hidden="1">
      <c r="B146" s="347" t="s">
        <v>347</v>
      </c>
      <c r="C146" s="348">
        <v>280918.5</v>
      </c>
      <c r="D146" s="348">
        <v>0</v>
      </c>
      <c r="E146" s="348">
        <v>282</v>
      </c>
      <c r="F146" s="348">
        <v>14200.5</v>
      </c>
      <c r="G146" s="348">
        <v>295400.96999999997</v>
      </c>
      <c r="H146" s="348">
        <v>12654.87</v>
      </c>
      <c r="I146" s="348">
        <v>0</v>
      </c>
      <c r="J146" s="348">
        <v>184.9</v>
      </c>
      <c r="K146" s="348">
        <v>7084.89</v>
      </c>
      <c r="L146" s="348">
        <v>346969.7</v>
      </c>
      <c r="M146" s="301">
        <f t="shared" si="10"/>
        <v>662295.33000000007</v>
      </c>
      <c r="N146" s="285"/>
    </row>
    <row r="147" spans="2:14" ht="18.75" hidden="1">
      <c r="B147" s="347" t="s">
        <v>12</v>
      </c>
      <c r="C147" s="348">
        <v>388884.4</v>
      </c>
      <c r="D147" s="348">
        <v>0</v>
      </c>
      <c r="E147" s="348">
        <v>281</v>
      </c>
      <c r="F147" s="348">
        <v>21645.46</v>
      </c>
      <c r="G147" s="348">
        <v>410810.8</v>
      </c>
      <c r="H147" s="348">
        <v>20903.37</v>
      </c>
      <c r="I147" s="348">
        <v>0</v>
      </c>
      <c r="J147" s="348">
        <v>529.05999999999995</v>
      </c>
      <c r="K147" s="348">
        <v>265.56</v>
      </c>
      <c r="L147" s="348">
        <v>429203.1</v>
      </c>
      <c r="M147" s="301">
        <f t="shared" si="10"/>
        <v>861711.8899999999</v>
      </c>
      <c r="N147" s="285"/>
    </row>
    <row r="148" spans="2:14" ht="18.75" hidden="1">
      <c r="B148" s="347" t="s">
        <v>13</v>
      </c>
      <c r="C148" s="348">
        <v>1190195.3600000001</v>
      </c>
      <c r="D148" s="348">
        <v>1816.7</v>
      </c>
      <c r="E148" s="348">
        <v>2741</v>
      </c>
      <c r="F148" s="348">
        <v>0</v>
      </c>
      <c r="G148" s="348">
        <v>1194753.0900000001</v>
      </c>
      <c r="H148" s="348">
        <v>146287.6</v>
      </c>
      <c r="I148" s="348">
        <v>0</v>
      </c>
      <c r="J148" s="348">
        <v>715.2</v>
      </c>
      <c r="K148" s="348">
        <v>306.10000000000002</v>
      </c>
      <c r="L148" s="348">
        <v>486256.2</v>
      </c>
      <c r="M148" s="301">
        <f t="shared" si="10"/>
        <v>1828318.1900000002</v>
      </c>
      <c r="N148" s="285"/>
    </row>
    <row r="149" spans="2:14" ht="18.75" hidden="1">
      <c r="B149" s="347" t="s">
        <v>14</v>
      </c>
      <c r="C149" s="348">
        <v>1812413.86</v>
      </c>
      <c r="D149" s="348">
        <v>0</v>
      </c>
      <c r="E149" s="348">
        <v>3347</v>
      </c>
      <c r="F149" s="348">
        <v>0</v>
      </c>
      <c r="G149" s="348">
        <v>1815760.86</v>
      </c>
      <c r="H149" s="348">
        <v>18568.8</v>
      </c>
      <c r="I149" s="348">
        <v>0</v>
      </c>
      <c r="J149" s="348">
        <v>50</v>
      </c>
      <c r="K149" s="348">
        <v>141.4</v>
      </c>
      <c r="L149" s="348">
        <v>1366596.6740000001</v>
      </c>
      <c r="M149" s="301">
        <f t="shared" si="10"/>
        <v>3201117.7340000002</v>
      </c>
      <c r="N149" s="285"/>
    </row>
    <row r="150" spans="2:14" ht="18.75" hidden="1">
      <c r="B150" s="351" t="s">
        <v>15</v>
      </c>
      <c r="C150" s="348">
        <v>3034844.3</v>
      </c>
      <c r="D150" s="348">
        <v>0</v>
      </c>
      <c r="E150" s="348">
        <v>3347</v>
      </c>
      <c r="F150" s="348">
        <v>0</v>
      </c>
      <c r="G150" s="348">
        <v>3038191.3</v>
      </c>
      <c r="H150" s="348">
        <v>79498</v>
      </c>
      <c r="I150" s="348">
        <v>0</v>
      </c>
      <c r="J150" s="348">
        <v>4133</v>
      </c>
      <c r="K150" s="348">
        <v>0</v>
      </c>
      <c r="L150" s="348">
        <v>2317371.6</v>
      </c>
      <c r="M150" s="301">
        <f t="shared" si="10"/>
        <v>5439193.9000000004</v>
      </c>
      <c r="N150" s="285"/>
    </row>
    <row r="151" spans="2:14" ht="18.75" hidden="1">
      <c r="B151" s="351" t="s">
        <v>16</v>
      </c>
      <c r="C151" s="348">
        <v>3186692.87</v>
      </c>
      <c r="D151" s="348">
        <v>0</v>
      </c>
      <c r="E151" s="348">
        <v>8299</v>
      </c>
      <c r="F151" s="348">
        <v>0</v>
      </c>
      <c r="G151" s="348">
        <v>3194991.87</v>
      </c>
      <c r="H151" s="348">
        <v>600927.86</v>
      </c>
      <c r="I151" s="348">
        <v>0</v>
      </c>
      <c r="J151" s="348">
        <v>1155.8</v>
      </c>
      <c r="K151" s="348">
        <v>0</v>
      </c>
      <c r="L151" s="348">
        <v>4375159.2</v>
      </c>
      <c r="M151" s="301">
        <f t="shared" si="10"/>
        <v>8172234.7300000004</v>
      </c>
      <c r="N151" s="285"/>
    </row>
    <row r="152" spans="2:14" ht="19.5" thickTop="1">
      <c r="B152" s="351"/>
      <c r="C152" s="348"/>
      <c r="D152" s="348"/>
      <c r="E152" s="348"/>
      <c r="F152" s="348"/>
      <c r="G152" s="348"/>
      <c r="H152" s="348"/>
      <c r="I152" s="348"/>
      <c r="J152" s="348"/>
      <c r="K152" s="348"/>
      <c r="L152" s="348"/>
      <c r="M152" s="301"/>
      <c r="N152" s="285"/>
    </row>
    <row r="153" spans="2:14" ht="18.75" hidden="1">
      <c r="B153" s="349">
        <v>2009</v>
      </c>
      <c r="C153" s="348"/>
      <c r="D153" s="348"/>
      <c r="E153" s="348"/>
      <c r="F153" s="348"/>
      <c r="G153" s="348"/>
      <c r="H153" s="348"/>
      <c r="I153" s="348"/>
      <c r="J153" s="348"/>
      <c r="K153" s="348"/>
      <c r="L153" s="348"/>
      <c r="M153" s="301"/>
      <c r="N153" s="285"/>
    </row>
    <row r="154" spans="2:14" ht="18.75" hidden="1">
      <c r="B154" s="351"/>
      <c r="C154" s="348"/>
      <c r="D154" s="348"/>
      <c r="E154" s="348"/>
      <c r="F154" s="348"/>
      <c r="G154" s="348"/>
      <c r="H154" s="348"/>
      <c r="I154" s="348"/>
      <c r="J154" s="348"/>
      <c r="K154" s="348"/>
      <c r="L154" s="348"/>
      <c r="M154" s="301"/>
      <c r="N154" s="285"/>
    </row>
    <row r="155" spans="2:14" ht="18.75" hidden="1">
      <c r="B155" s="347" t="s">
        <v>8</v>
      </c>
      <c r="C155" s="348">
        <v>4.4202696560000006E-4</v>
      </c>
      <c r="D155" s="348">
        <v>0</v>
      </c>
      <c r="E155" s="348">
        <v>8.2989999999999999E-7</v>
      </c>
      <c r="F155" s="348">
        <v>0</v>
      </c>
      <c r="G155" s="348">
        <f t="shared" ref="G155:G166" si="11">C155+D155+E155+F155</f>
        <v>4.4285686560000009E-4</v>
      </c>
      <c r="H155" s="348">
        <v>5.1999999999999998E-3</v>
      </c>
      <c r="I155" s="348">
        <v>0</v>
      </c>
      <c r="J155" s="348">
        <v>0</v>
      </c>
      <c r="K155" s="348">
        <v>0</v>
      </c>
      <c r="L155" s="348">
        <v>9.4525000000000006</v>
      </c>
      <c r="M155" s="301">
        <f t="shared" ref="M155:M166" si="12">(SUM(G155:L155))</f>
        <v>9.4581428568656012</v>
      </c>
      <c r="N155" s="285"/>
    </row>
    <row r="156" spans="2:14" ht="18.75" hidden="1">
      <c r="B156" s="347" t="s">
        <v>9</v>
      </c>
      <c r="C156" s="348">
        <v>4.4202696560000006E-4</v>
      </c>
      <c r="D156" s="348">
        <v>0</v>
      </c>
      <c r="E156" s="348">
        <v>8.2989999999999999E-7</v>
      </c>
      <c r="F156" s="348">
        <v>0</v>
      </c>
      <c r="G156" s="348">
        <f t="shared" si="11"/>
        <v>4.4285686560000009E-4</v>
      </c>
      <c r="H156" s="348">
        <v>0.28310000000000002</v>
      </c>
      <c r="I156" s="348">
        <v>0</v>
      </c>
      <c r="J156" s="348">
        <v>0</v>
      </c>
      <c r="K156" s="348">
        <v>0</v>
      </c>
      <c r="L156" s="348">
        <v>9.2032000000000007</v>
      </c>
      <c r="M156" s="301">
        <f t="shared" si="12"/>
        <v>9.4867428568656003</v>
      </c>
      <c r="N156" s="285"/>
    </row>
    <row r="157" spans="2:14" ht="18.75" hidden="1">
      <c r="B157" s="347" t="s">
        <v>10</v>
      </c>
      <c r="C157" s="348">
        <v>4.4202696560000006E-4</v>
      </c>
      <c r="D157" s="348">
        <v>0</v>
      </c>
      <c r="E157" s="348">
        <v>8.0179999999999999E-7</v>
      </c>
      <c r="F157" s="348">
        <v>0</v>
      </c>
      <c r="G157" s="348">
        <f t="shared" si="11"/>
        <v>4.4282876560000005E-4</v>
      </c>
      <c r="H157" s="348">
        <v>3.8699999999999998E-2</v>
      </c>
      <c r="I157" s="348">
        <v>0</v>
      </c>
      <c r="J157" s="348">
        <v>0</v>
      </c>
      <c r="K157" s="348">
        <v>0</v>
      </c>
      <c r="L157" s="348">
        <v>9.6331000000000007</v>
      </c>
      <c r="M157" s="301">
        <f t="shared" si="12"/>
        <v>9.6722428287656008</v>
      </c>
      <c r="N157" s="285"/>
    </row>
    <row r="158" spans="2:14" ht="18.75" hidden="1">
      <c r="B158" s="347" t="s">
        <v>11</v>
      </c>
      <c r="C158" s="348">
        <v>4.4202696560000006E-4</v>
      </c>
      <c r="D158" s="348">
        <v>0</v>
      </c>
      <c r="E158" s="348">
        <v>1.1963E-3</v>
      </c>
      <c r="F158" s="348">
        <v>0</v>
      </c>
      <c r="G158" s="348">
        <f t="shared" si="11"/>
        <v>1.6383269656E-3</v>
      </c>
      <c r="H158" s="348">
        <v>3.7499999999999999E-3</v>
      </c>
      <c r="I158" s="348">
        <v>3.6410000000000001E-10</v>
      </c>
      <c r="J158" s="348">
        <v>0</v>
      </c>
      <c r="K158" s="348">
        <v>0</v>
      </c>
      <c r="L158" s="301">
        <v>9.6455000000000002</v>
      </c>
      <c r="M158" s="301">
        <f t="shared" si="12"/>
        <v>9.6508883273296995</v>
      </c>
    </row>
    <row r="159" spans="2:14" ht="18.75" hidden="1">
      <c r="B159" s="347" t="s">
        <v>337</v>
      </c>
      <c r="C159" s="348">
        <v>4.4202696560000006E-4</v>
      </c>
      <c r="D159" s="348">
        <v>0</v>
      </c>
      <c r="E159" s="348">
        <v>1.3937999999999999E-3</v>
      </c>
      <c r="F159" s="348">
        <v>0</v>
      </c>
      <c r="G159" s="348">
        <f t="shared" si="11"/>
        <v>1.8358269656E-3</v>
      </c>
      <c r="H159" s="348">
        <v>3.7499999999999999E-3</v>
      </c>
      <c r="I159" s="348">
        <v>3.6410000000000001E-10</v>
      </c>
      <c r="J159" s="348">
        <v>0</v>
      </c>
      <c r="K159" s="348">
        <v>0</v>
      </c>
      <c r="L159" s="301">
        <v>9.6669</v>
      </c>
      <c r="M159" s="301">
        <f t="shared" si="12"/>
        <v>9.6724858273296999</v>
      </c>
    </row>
    <row r="160" spans="2:14" ht="18.75" hidden="1">
      <c r="B160" s="347" t="s">
        <v>346</v>
      </c>
      <c r="C160" s="348">
        <v>4.4202696560000001E-4</v>
      </c>
      <c r="D160" s="348">
        <v>0</v>
      </c>
      <c r="E160" s="348">
        <v>1.0870999999999999E-3</v>
      </c>
      <c r="F160" s="348">
        <v>0</v>
      </c>
      <c r="G160" s="348">
        <f t="shared" si="11"/>
        <v>1.5291269655999999E-3</v>
      </c>
      <c r="H160" s="348">
        <v>8.0000000000000007E-5</v>
      </c>
      <c r="I160" s="348">
        <v>3.6410000000000001E-10</v>
      </c>
      <c r="J160" s="348">
        <v>0</v>
      </c>
      <c r="K160" s="348">
        <v>0</v>
      </c>
      <c r="L160" s="301">
        <v>8.6272000000000002</v>
      </c>
      <c r="M160" s="301">
        <f t="shared" si="12"/>
        <v>8.628809127329701</v>
      </c>
    </row>
    <row r="161" spans="2:13" ht="18.75" hidden="1">
      <c r="B161" s="347" t="s">
        <v>347</v>
      </c>
      <c r="C161" s="348">
        <v>0</v>
      </c>
      <c r="D161" s="348">
        <v>0</v>
      </c>
      <c r="E161" s="348">
        <v>0</v>
      </c>
      <c r="F161" s="348">
        <v>0</v>
      </c>
      <c r="G161" s="348">
        <f t="shared" si="11"/>
        <v>0</v>
      </c>
      <c r="H161" s="348">
        <v>0</v>
      </c>
      <c r="I161" s="348">
        <v>0</v>
      </c>
      <c r="J161" s="348">
        <v>0</v>
      </c>
      <c r="K161" s="348">
        <v>0</v>
      </c>
      <c r="L161" s="301">
        <v>8.7113999999999994</v>
      </c>
      <c r="M161" s="301">
        <f t="shared" si="12"/>
        <v>8.7113999999999994</v>
      </c>
    </row>
    <row r="162" spans="2:13" ht="18.75" hidden="1">
      <c r="B162" s="347" t="s">
        <v>12</v>
      </c>
      <c r="C162" s="348">
        <v>0</v>
      </c>
      <c r="D162" s="348">
        <v>0</v>
      </c>
      <c r="E162" s="348">
        <v>0</v>
      </c>
      <c r="F162" s="348">
        <v>0</v>
      </c>
      <c r="G162" s="348">
        <f t="shared" si="11"/>
        <v>0</v>
      </c>
      <c r="H162" s="348">
        <v>0</v>
      </c>
      <c r="I162" s="348">
        <v>0</v>
      </c>
      <c r="J162" s="348">
        <v>0</v>
      </c>
      <c r="K162" s="348">
        <v>0</v>
      </c>
      <c r="L162" s="301">
        <v>8.6884999999999994</v>
      </c>
      <c r="M162" s="301">
        <f t="shared" si="12"/>
        <v>8.6884999999999994</v>
      </c>
    </row>
    <row r="163" spans="2:13" ht="18.75" hidden="1">
      <c r="B163" s="347" t="s">
        <v>13</v>
      </c>
      <c r="C163" s="348">
        <v>0</v>
      </c>
      <c r="D163" s="348">
        <v>0</v>
      </c>
      <c r="E163" s="348">
        <v>0</v>
      </c>
      <c r="F163" s="348">
        <v>0</v>
      </c>
      <c r="G163" s="348">
        <f t="shared" si="11"/>
        <v>0</v>
      </c>
      <c r="H163" s="348">
        <v>0</v>
      </c>
      <c r="I163" s="348">
        <v>0</v>
      </c>
      <c r="J163" s="348">
        <v>0</v>
      </c>
      <c r="K163" s="348">
        <v>0</v>
      </c>
      <c r="L163" s="301">
        <v>8.7199000000000009</v>
      </c>
      <c r="M163" s="301">
        <f t="shared" si="12"/>
        <v>8.7199000000000009</v>
      </c>
    </row>
    <row r="164" spans="2:13" ht="18.75" hidden="1">
      <c r="B164" s="347" t="s">
        <v>14</v>
      </c>
      <c r="C164" s="348">
        <v>0</v>
      </c>
      <c r="D164" s="348">
        <v>0</v>
      </c>
      <c r="E164" s="348">
        <v>0</v>
      </c>
      <c r="F164" s="348">
        <v>0</v>
      </c>
      <c r="G164" s="348">
        <f t="shared" si="11"/>
        <v>0</v>
      </c>
      <c r="H164" s="348">
        <v>0</v>
      </c>
      <c r="I164" s="348">
        <v>0</v>
      </c>
      <c r="J164" s="348">
        <v>0</v>
      </c>
      <c r="K164" s="348">
        <v>0</v>
      </c>
      <c r="L164" s="301">
        <v>8.6999999999999993</v>
      </c>
      <c r="M164" s="301">
        <f t="shared" si="12"/>
        <v>8.6999999999999993</v>
      </c>
    </row>
    <row r="165" spans="2:13" ht="18.75" hidden="1">
      <c r="B165" s="347" t="s">
        <v>15</v>
      </c>
      <c r="C165" s="348">
        <v>0</v>
      </c>
      <c r="D165" s="348">
        <v>0</v>
      </c>
      <c r="E165" s="348">
        <v>0</v>
      </c>
      <c r="F165" s="348">
        <v>0</v>
      </c>
      <c r="G165" s="348">
        <f t="shared" si="11"/>
        <v>0</v>
      </c>
      <c r="H165" s="348">
        <v>0</v>
      </c>
      <c r="I165" s="348">
        <v>0</v>
      </c>
      <c r="J165" s="348">
        <v>0</v>
      </c>
      <c r="K165" s="348">
        <v>0</v>
      </c>
      <c r="L165" s="301">
        <v>8.6760000000000002</v>
      </c>
      <c r="M165" s="301">
        <f t="shared" si="12"/>
        <v>8.6760000000000002</v>
      </c>
    </row>
    <row r="166" spans="2:13" ht="18.75" hidden="1">
      <c r="B166" s="347" t="s">
        <v>16</v>
      </c>
      <c r="C166" s="348">
        <v>0</v>
      </c>
      <c r="D166" s="348">
        <v>0</v>
      </c>
      <c r="E166" s="348">
        <v>0</v>
      </c>
      <c r="F166" s="348">
        <v>0</v>
      </c>
      <c r="G166" s="348">
        <f t="shared" si="11"/>
        <v>0</v>
      </c>
      <c r="H166" s="348">
        <v>0</v>
      </c>
      <c r="I166" s="348">
        <v>0</v>
      </c>
      <c r="J166" s="348">
        <v>0</v>
      </c>
      <c r="K166" s="348">
        <v>0</v>
      </c>
      <c r="L166" s="301">
        <v>8.8598999999999997</v>
      </c>
      <c r="M166" s="301">
        <f t="shared" si="12"/>
        <v>8.8598999999999997</v>
      </c>
    </row>
    <row r="167" spans="2:13" ht="18.75" hidden="1">
      <c r="B167" s="351"/>
      <c r="C167" s="348"/>
      <c r="D167" s="348"/>
      <c r="E167" s="348"/>
      <c r="F167" s="348"/>
      <c r="G167" s="348"/>
      <c r="H167" s="348"/>
      <c r="I167" s="348"/>
      <c r="J167" s="348"/>
      <c r="K167" s="348"/>
      <c r="L167" s="301"/>
      <c r="M167" s="301"/>
    </row>
    <row r="168" spans="2:13" ht="18.75">
      <c r="B168" s="349">
        <v>2010</v>
      </c>
      <c r="C168" s="348"/>
      <c r="D168" s="348"/>
      <c r="E168" s="348"/>
      <c r="F168" s="348"/>
      <c r="G168" s="348"/>
      <c r="H168" s="348"/>
      <c r="I168" s="348"/>
      <c r="J168" s="348"/>
      <c r="K168" s="348"/>
      <c r="L168" s="301"/>
      <c r="M168" s="301"/>
    </row>
    <row r="169" spans="2:13" ht="18.75">
      <c r="B169" s="351"/>
      <c r="C169" s="348"/>
      <c r="D169" s="348"/>
      <c r="E169" s="348"/>
      <c r="F169" s="348"/>
      <c r="G169" s="348"/>
      <c r="H169" s="348"/>
      <c r="I169" s="348"/>
      <c r="J169" s="348"/>
      <c r="K169" s="348"/>
      <c r="L169" s="301"/>
      <c r="M169" s="301"/>
    </row>
    <row r="170" spans="2:13" ht="18.75">
      <c r="B170" s="347" t="s">
        <v>8</v>
      </c>
      <c r="C170" s="348">
        <v>0</v>
      </c>
      <c r="D170" s="348">
        <v>0</v>
      </c>
      <c r="E170" s="348">
        <v>0</v>
      </c>
      <c r="F170" s="348">
        <v>0</v>
      </c>
      <c r="G170" s="348">
        <v>0</v>
      </c>
      <c r="H170" s="348">
        <v>0</v>
      </c>
      <c r="I170" s="348">
        <v>0</v>
      </c>
      <c r="J170" s="348">
        <v>0</v>
      </c>
      <c r="K170" s="348">
        <v>0</v>
      </c>
      <c r="L170" s="301">
        <v>8.8949440000000006</v>
      </c>
      <c r="M170" s="301">
        <f t="shared" ref="M170:M181" si="13">(SUM(G170:L170))</f>
        <v>8.8949440000000006</v>
      </c>
    </row>
    <row r="171" spans="2:13" ht="18.75">
      <c r="B171" s="347" t="s">
        <v>9</v>
      </c>
      <c r="C171" s="348">
        <v>0</v>
      </c>
      <c r="D171" s="348">
        <v>0</v>
      </c>
      <c r="E171" s="348">
        <v>0</v>
      </c>
      <c r="F171" s="348">
        <v>0</v>
      </c>
      <c r="G171" s="348">
        <v>0</v>
      </c>
      <c r="H171" s="348">
        <v>0</v>
      </c>
      <c r="I171" s="348">
        <v>0</v>
      </c>
      <c r="J171" s="348">
        <v>0</v>
      </c>
      <c r="K171" s="348">
        <v>0</v>
      </c>
      <c r="L171" s="301">
        <v>8.9232499999999995</v>
      </c>
      <c r="M171" s="301">
        <f t="shared" si="13"/>
        <v>8.9232499999999995</v>
      </c>
    </row>
    <row r="172" spans="2:13" ht="18.75">
      <c r="B172" s="347" t="s">
        <v>10</v>
      </c>
      <c r="C172" s="348">
        <v>0</v>
      </c>
      <c r="D172" s="348">
        <v>0</v>
      </c>
      <c r="E172" s="348">
        <v>0</v>
      </c>
      <c r="F172" s="348">
        <v>0</v>
      </c>
      <c r="G172" s="348">
        <v>0</v>
      </c>
      <c r="H172" s="348">
        <v>0</v>
      </c>
      <c r="I172" s="348">
        <v>0</v>
      </c>
      <c r="J172" s="348">
        <v>0</v>
      </c>
      <c r="K172" s="348">
        <v>0</v>
      </c>
      <c r="L172" s="301">
        <v>8.9136220000000002</v>
      </c>
      <c r="M172" s="301">
        <f t="shared" si="13"/>
        <v>8.9136220000000002</v>
      </c>
    </row>
    <row r="173" spans="2:13" ht="18.75">
      <c r="B173" s="347" t="s">
        <v>11</v>
      </c>
      <c r="C173" s="348">
        <v>0</v>
      </c>
      <c r="D173" s="348">
        <v>0</v>
      </c>
      <c r="E173" s="348">
        <v>0</v>
      </c>
      <c r="F173" s="348">
        <v>0</v>
      </c>
      <c r="G173" s="348">
        <v>0</v>
      </c>
      <c r="H173" s="348">
        <v>0</v>
      </c>
      <c r="I173" s="348">
        <v>0</v>
      </c>
      <c r="J173" s="348">
        <v>0</v>
      </c>
      <c r="K173" s="348">
        <v>0</v>
      </c>
      <c r="L173" s="301">
        <v>8.9620850000000001</v>
      </c>
      <c r="M173" s="301">
        <f t="shared" si="13"/>
        <v>8.9620850000000001</v>
      </c>
    </row>
    <row r="174" spans="2:13" ht="18.75">
      <c r="B174" s="347" t="s">
        <v>337</v>
      </c>
      <c r="C174" s="348">
        <v>0</v>
      </c>
      <c r="D174" s="348">
        <v>0</v>
      </c>
      <c r="E174" s="348">
        <v>0</v>
      </c>
      <c r="F174" s="348">
        <v>0</v>
      </c>
      <c r="G174" s="348">
        <v>0</v>
      </c>
      <c r="H174" s="348">
        <v>0</v>
      </c>
      <c r="I174" s="348">
        <v>0</v>
      </c>
      <c r="J174" s="348">
        <v>0</v>
      </c>
      <c r="K174" s="348">
        <v>0</v>
      </c>
      <c r="L174" s="301">
        <v>8.986891</v>
      </c>
      <c r="M174" s="301">
        <f t="shared" si="13"/>
        <v>8.986891</v>
      </c>
    </row>
    <row r="175" spans="2:13" ht="18.75">
      <c r="B175" s="347" t="s">
        <v>346</v>
      </c>
      <c r="C175" s="348">
        <v>0</v>
      </c>
      <c r="D175" s="348">
        <v>0</v>
      </c>
      <c r="E175" s="348">
        <v>0</v>
      </c>
      <c r="F175" s="348">
        <v>0</v>
      </c>
      <c r="G175" s="348">
        <v>0</v>
      </c>
      <c r="H175" s="348">
        <v>0</v>
      </c>
      <c r="I175" s="348">
        <v>0</v>
      </c>
      <c r="J175" s="348">
        <v>0</v>
      </c>
      <c r="K175" s="348">
        <v>0</v>
      </c>
      <c r="L175" s="301">
        <v>1.4928999999999999</v>
      </c>
      <c r="M175" s="301">
        <f t="shared" si="13"/>
        <v>1.4928999999999999</v>
      </c>
    </row>
    <row r="176" spans="2:13" ht="18.75">
      <c r="B176" s="347" t="s">
        <v>347</v>
      </c>
      <c r="C176" s="348">
        <v>0</v>
      </c>
      <c r="D176" s="348">
        <v>0</v>
      </c>
      <c r="E176" s="348">
        <v>0</v>
      </c>
      <c r="F176" s="348">
        <v>0</v>
      </c>
      <c r="G176" s="348">
        <v>0</v>
      </c>
      <c r="H176" s="348">
        <v>0</v>
      </c>
      <c r="I176" s="348">
        <v>0</v>
      </c>
      <c r="J176" s="348">
        <v>0</v>
      </c>
      <c r="K176" s="348">
        <v>0</v>
      </c>
      <c r="L176" s="301">
        <v>1.5448999999999999</v>
      </c>
      <c r="M176" s="301">
        <f t="shared" si="13"/>
        <v>1.5448999999999999</v>
      </c>
    </row>
    <row r="177" spans="2:14" ht="18.75">
      <c r="B177" s="347" t="s">
        <v>12</v>
      </c>
      <c r="C177" s="348">
        <v>0</v>
      </c>
      <c r="D177" s="348">
        <v>0</v>
      </c>
      <c r="E177" s="348">
        <v>0</v>
      </c>
      <c r="F177" s="348">
        <v>0</v>
      </c>
      <c r="G177" s="348">
        <v>0</v>
      </c>
      <c r="H177" s="348">
        <v>0</v>
      </c>
      <c r="I177" s="348">
        <v>0</v>
      </c>
      <c r="J177" s="348">
        <v>0</v>
      </c>
      <c r="K177" s="348">
        <v>0</v>
      </c>
      <c r="L177" s="301">
        <v>8.6884999999999994</v>
      </c>
      <c r="M177" s="301">
        <f t="shared" si="13"/>
        <v>8.6884999999999994</v>
      </c>
    </row>
    <row r="178" spans="2:14" ht="18.75">
      <c r="B178" s="347" t="s">
        <v>13</v>
      </c>
      <c r="C178" s="348">
        <v>0</v>
      </c>
      <c r="D178" s="348">
        <v>0</v>
      </c>
      <c r="E178" s="348">
        <v>0</v>
      </c>
      <c r="F178" s="348">
        <v>0</v>
      </c>
      <c r="G178" s="348">
        <v>0</v>
      </c>
      <c r="H178" s="348">
        <v>0</v>
      </c>
      <c r="I178" s="348">
        <v>0</v>
      </c>
      <c r="J178" s="348">
        <v>0</v>
      </c>
      <c r="K178" s="348">
        <v>0</v>
      </c>
      <c r="L178" s="301">
        <v>8.7199000000000009</v>
      </c>
      <c r="M178" s="301">
        <f t="shared" si="13"/>
        <v>8.7199000000000009</v>
      </c>
    </row>
    <row r="179" spans="2:14" ht="18.75">
      <c r="B179" s="347" t="s">
        <v>14</v>
      </c>
      <c r="C179" s="348">
        <v>0</v>
      </c>
      <c r="D179" s="348">
        <v>0</v>
      </c>
      <c r="E179" s="348">
        <v>0</v>
      </c>
      <c r="F179" s="348">
        <v>0</v>
      </c>
      <c r="G179" s="348">
        <v>0</v>
      </c>
      <c r="H179" s="348">
        <v>0</v>
      </c>
      <c r="I179" s="348">
        <v>0</v>
      </c>
      <c r="J179" s="348">
        <v>0</v>
      </c>
      <c r="K179" s="348">
        <v>0</v>
      </c>
      <c r="L179" s="301">
        <v>8.8948999999999998</v>
      </c>
      <c r="M179" s="301">
        <f t="shared" si="13"/>
        <v>8.8948999999999998</v>
      </c>
    </row>
    <row r="180" spans="2:14" ht="18.75">
      <c r="B180" s="347" t="s">
        <v>15</v>
      </c>
      <c r="C180" s="348">
        <v>0</v>
      </c>
      <c r="D180" s="348">
        <v>0</v>
      </c>
      <c r="E180" s="348">
        <v>0</v>
      </c>
      <c r="F180" s="348">
        <v>0</v>
      </c>
      <c r="G180" s="348">
        <v>0</v>
      </c>
      <c r="H180" s="348">
        <v>0</v>
      </c>
      <c r="I180" s="348">
        <v>0</v>
      </c>
      <c r="J180" s="348">
        <v>0</v>
      </c>
      <c r="K180" s="348">
        <v>0</v>
      </c>
      <c r="L180" s="301">
        <v>8.6760000000000002</v>
      </c>
      <c r="M180" s="301">
        <f t="shared" si="13"/>
        <v>8.6760000000000002</v>
      </c>
    </row>
    <row r="181" spans="2:14" ht="18.75">
      <c r="B181" s="347" t="s">
        <v>16</v>
      </c>
      <c r="C181" s="348">
        <v>0</v>
      </c>
      <c r="D181" s="348">
        <v>0</v>
      </c>
      <c r="E181" s="348">
        <v>0</v>
      </c>
      <c r="F181" s="348">
        <v>0</v>
      </c>
      <c r="G181" s="348">
        <v>0</v>
      </c>
      <c r="H181" s="348">
        <v>0</v>
      </c>
      <c r="I181" s="348">
        <v>0</v>
      </c>
      <c r="J181" s="348">
        <v>0</v>
      </c>
      <c r="K181" s="348">
        <v>0</v>
      </c>
      <c r="L181" s="301">
        <v>8.8595000000000006</v>
      </c>
      <c r="M181" s="301">
        <f t="shared" si="13"/>
        <v>8.8595000000000006</v>
      </c>
    </row>
    <row r="182" spans="2:14" ht="16.5" thickBot="1">
      <c r="B182" s="352"/>
      <c r="C182" s="352"/>
      <c r="D182" s="352"/>
      <c r="E182" s="352"/>
      <c r="F182" s="352"/>
      <c r="G182" s="353"/>
      <c r="H182" s="352"/>
      <c r="I182" s="352"/>
      <c r="J182" s="352"/>
      <c r="K182" s="352"/>
      <c r="L182" s="352"/>
      <c r="M182" s="352"/>
      <c r="N182" s="282"/>
    </row>
    <row r="183" spans="2:14" ht="16.5" thickTop="1">
      <c r="B183" s="282"/>
      <c r="C183" s="282"/>
      <c r="D183" s="282"/>
      <c r="E183" s="282"/>
      <c r="F183" s="282"/>
      <c r="G183" s="282"/>
      <c r="H183" s="282"/>
      <c r="I183" s="282"/>
      <c r="J183" s="282"/>
      <c r="K183" s="282"/>
      <c r="L183" s="282"/>
      <c r="M183" s="282"/>
      <c r="N183" s="282"/>
    </row>
  </sheetData>
  <customSheetViews>
    <customSheetView guid="{705E0D18-9A83-42CA-8732-90923BE2EC7D}" scale="60" showPageBreaks="1" fitToPage="1" printArea="1" hiddenRows="1" state="hidden">
      <pane xSplit="2" ySplit="13" topLeftCell="C152" activePane="bottomRight" state="frozen"/>
      <selection pane="bottomRight" sqref="A1:IV65536"/>
      <pageMargins left="0.25" right="0.28999999999999998" top="0.43" bottom="0.51" header="0.5" footer="0.5"/>
      <pageSetup scale="53" orientation="landscape" horizontalDpi="300" verticalDpi="300" r:id="rId1"/>
      <headerFooter alignWithMargins="0"/>
    </customSheetView>
    <customSheetView guid="{D45E5F9E-4EA6-40A2-8A1D-3AC67FB8CE54}" scale="60" showPageBreaks="1" fitToPage="1" printArea="1" hiddenRows="1" state="hidden">
      <pane xSplit="2" ySplit="13" topLeftCell="C152" activePane="bottomRight" state="frozen"/>
      <selection pane="bottomRight" sqref="A1:IV65536"/>
      <pageMargins left="0.25" right="0.28999999999999998" top="0.43" bottom="0.51" header="0.5" footer="0.5"/>
      <pageSetup scale="53" orientation="landscape" horizontalDpi="300" verticalDpi="300" r:id="rId2"/>
      <headerFooter alignWithMargins="0"/>
    </customSheetView>
    <customSheetView guid="{098C004C-808F-436E-8F18-182F927479D1}" scale="60" showPageBreaks="1" fitToPage="1" printArea="1" hiddenRows="1" state="hidden">
      <pane xSplit="2" ySplit="150" topLeftCell="C152" activePane="bottomRight" state="frozen"/>
      <selection pane="bottomRight" sqref="A1:IV65536"/>
      <pageMargins left="0.25" right="0.28999999999999998" top="0.43" bottom="0.51" header="0.5" footer="0.5"/>
      <pageSetup scale="53" orientation="landscape" horizontalDpi="300" verticalDpi="300" r:id="rId3"/>
      <headerFooter alignWithMargins="0"/>
    </customSheetView>
    <customSheetView guid="{89CA84C2-78F5-4B05-8F1D-B7C5F97BCB4E}" scale="60" showPageBreaks="1" fitToPage="1" printArea="1" hiddenRows="1" state="hidden">
      <pane xSplit="2" ySplit="13" topLeftCell="C152" activePane="bottomRight" state="frozen"/>
      <selection pane="bottomRight" sqref="A1:IV65536"/>
      <pageMargins left="0.25" right="0.28999999999999998" top="0.43" bottom="0.51" header="0.5" footer="0.5"/>
      <pageSetup scale="53" orientation="landscape" horizontalDpi="300" verticalDpi="300" r:id="rId4"/>
      <headerFooter alignWithMargins="0"/>
    </customSheetView>
  </customSheetViews>
  <mergeCells count="3">
    <mergeCell ref="C9:G9"/>
    <mergeCell ref="B6:M6"/>
    <mergeCell ref="B4:M4"/>
  </mergeCells>
  <phoneticPr fontId="52" type="noConversion"/>
  <pageMargins left="0.25" right="0.28999999999999998" top="0.43" bottom="0.51" header="0.5" footer="0.5"/>
  <pageSetup scale="53" orientation="landscape" horizontalDpi="300" verticalDpi="300" r:id="rId5"/>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B3:J173"/>
  <sheetViews>
    <sheetView showGridLines="0" zoomScale="115" zoomScaleSheetLayoutView="115" workbookViewId="0">
      <pane xSplit="2" ySplit="81" topLeftCell="C164" activePane="bottomRight" state="frozen"/>
      <selection activeCell="J193" sqref="J193"/>
      <selection pane="topRight" activeCell="J193" sqref="J193"/>
      <selection pane="bottomLeft" activeCell="J193" sqref="J193"/>
      <selection pane="bottomRight" activeCell="J193" sqref="J193"/>
    </sheetView>
  </sheetViews>
  <sheetFormatPr defaultColWidth="8.77734375" defaultRowHeight="12.75"/>
  <cols>
    <col min="1" max="1" width="8.77734375" style="158"/>
    <col min="2" max="2" width="9" style="158" bestFit="1" customWidth="1"/>
    <col min="3" max="3" width="9" style="158" customWidth="1"/>
    <col min="4" max="4" width="9" style="672" bestFit="1" customWidth="1"/>
    <col min="5" max="5" width="11.77734375" style="672" customWidth="1"/>
    <col min="6" max="6" width="16.6640625" style="672" bestFit="1" customWidth="1"/>
    <col min="7" max="7" width="12.44140625" style="672" customWidth="1"/>
    <col min="8" max="8" width="15.44140625" style="673" customWidth="1"/>
    <col min="9" max="16384" width="8.77734375" style="158"/>
  </cols>
  <sheetData>
    <row r="3" spans="2:8">
      <c r="B3" s="1955" t="s">
        <v>1741</v>
      </c>
      <c r="C3" s="1955"/>
      <c r="D3" s="1955"/>
      <c r="E3" s="1955"/>
      <c r="F3" s="1955"/>
      <c r="G3" s="1955"/>
      <c r="H3" s="1955"/>
    </row>
    <row r="4" spans="2:8" ht="13.5" thickBot="1"/>
    <row r="5" spans="2:8" ht="14.25" thickTop="1" thickBot="1">
      <c r="B5" s="1535"/>
      <c r="C5" s="1535"/>
      <c r="D5" s="1962" t="s">
        <v>1119</v>
      </c>
      <c r="E5" s="1963"/>
      <c r="F5" s="1956"/>
      <c r="G5" s="1957"/>
      <c r="H5" s="1228" t="s">
        <v>1122</v>
      </c>
    </row>
    <row r="6" spans="2:8" ht="15.75" customHeight="1" thickBot="1">
      <c r="B6" s="1540" t="s">
        <v>263</v>
      </c>
      <c r="C6" s="1536"/>
      <c r="D6" s="1958" t="s">
        <v>1120</v>
      </c>
      <c r="E6" s="1958" t="s">
        <v>1121</v>
      </c>
      <c r="F6" s="1960" t="s">
        <v>1786</v>
      </c>
      <c r="G6" s="1958" t="s">
        <v>1318</v>
      </c>
      <c r="H6" s="1582"/>
    </row>
    <row r="7" spans="2:8" ht="15.75" customHeight="1" thickBot="1">
      <c r="B7" s="1569"/>
      <c r="C7" s="1575" t="s">
        <v>1769</v>
      </c>
      <c r="D7" s="1959"/>
      <c r="E7" s="1959"/>
      <c r="F7" s="1961"/>
      <c r="G7" s="1959"/>
      <c r="H7" s="1584" t="s">
        <v>1787</v>
      </c>
    </row>
    <row r="8" spans="2:8" ht="15.75" hidden="1" customHeight="1" thickTop="1" thickBot="1">
      <c r="B8" s="1537">
        <v>2009</v>
      </c>
      <c r="C8" s="1537"/>
      <c r="D8" s="1555"/>
      <c r="E8" s="1958"/>
      <c r="F8" s="1572"/>
      <c r="G8" s="1555"/>
      <c r="H8" s="1585"/>
    </row>
    <row r="9" spans="2:8" ht="15.75" hidden="1" customHeight="1" thickBot="1">
      <c r="B9" s="1538"/>
      <c r="C9" s="1538"/>
      <c r="D9" s="1556"/>
      <c r="E9" s="1959"/>
      <c r="F9" s="1573"/>
      <c r="G9" s="1556"/>
      <c r="H9" s="1536"/>
    </row>
    <row r="10" spans="2:8" ht="15.75" hidden="1" customHeight="1" thickTop="1" thickBot="1">
      <c r="B10" s="1539" t="s">
        <v>345</v>
      </c>
      <c r="C10" s="1539"/>
      <c r="D10" s="1557" t="s">
        <v>608</v>
      </c>
      <c r="E10" s="1958"/>
      <c r="F10" s="1574"/>
      <c r="G10" s="1557"/>
      <c r="H10" s="1557" t="s">
        <v>608</v>
      </c>
    </row>
    <row r="11" spans="2:8" ht="15.75" hidden="1" customHeight="1" thickBot="1">
      <c r="B11" s="1539" t="s">
        <v>334</v>
      </c>
      <c r="C11" s="1539"/>
      <c r="D11" s="1558">
        <v>58.56</v>
      </c>
      <c r="E11" s="1959"/>
      <c r="F11" s="1552"/>
      <c r="G11" s="1558"/>
      <c r="H11" s="1558">
        <v>1371.24</v>
      </c>
    </row>
    <row r="12" spans="2:8" ht="15.75" hidden="1" customHeight="1" thickTop="1" thickBot="1">
      <c r="B12" s="1539" t="s">
        <v>335</v>
      </c>
      <c r="C12" s="1539"/>
      <c r="D12" s="1558">
        <v>67.73</v>
      </c>
      <c r="E12" s="1958"/>
      <c r="F12" s="1552"/>
      <c r="G12" s="1558"/>
      <c r="H12" s="1558">
        <v>1666.28</v>
      </c>
    </row>
    <row r="13" spans="2:8" ht="15.75" hidden="1" customHeight="1" thickBot="1">
      <c r="B13" s="1539" t="s">
        <v>336</v>
      </c>
      <c r="C13" s="1539"/>
      <c r="D13" s="1558">
        <v>99.81</v>
      </c>
      <c r="E13" s="1959"/>
      <c r="F13" s="1552"/>
      <c r="G13" s="1558"/>
      <c r="H13" s="1558">
        <v>2996.17</v>
      </c>
    </row>
    <row r="14" spans="2:8" ht="15.75" hidden="1" customHeight="1" thickTop="1" thickBot="1">
      <c r="B14" s="1539" t="s">
        <v>337</v>
      </c>
      <c r="C14" s="1539"/>
      <c r="D14" s="1558">
        <v>139.53</v>
      </c>
      <c r="E14" s="1958"/>
      <c r="F14" s="1552"/>
      <c r="G14" s="1558"/>
      <c r="H14" s="1558">
        <v>3568.24</v>
      </c>
    </row>
    <row r="15" spans="2:8" ht="15.75" hidden="1" customHeight="1" thickBot="1">
      <c r="B15" s="1539" t="s">
        <v>338</v>
      </c>
      <c r="C15" s="1539"/>
      <c r="D15" s="1558">
        <v>154.41999999999999</v>
      </c>
      <c r="E15" s="1959"/>
      <c r="F15" s="1552"/>
      <c r="G15" s="1558"/>
      <c r="H15" s="1558">
        <v>3895.12</v>
      </c>
    </row>
    <row r="16" spans="2:8" ht="14.25" hidden="1" thickTop="1" thickBot="1">
      <c r="B16" s="1539" t="s">
        <v>339</v>
      </c>
      <c r="C16" s="1539"/>
      <c r="D16" s="1558">
        <v>148.47999999999999</v>
      </c>
      <c r="E16" s="1559">
        <v>222.55</v>
      </c>
      <c r="F16" s="1552"/>
      <c r="G16" s="1558"/>
      <c r="H16" s="1558">
        <v>3717.25</v>
      </c>
    </row>
    <row r="17" spans="2:8" ht="14.25" hidden="1" thickTop="1" thickBot="1">
      <c r="B17" s="1539" t="s">
        <v>340</v>
      </c>
      <c r="C17" s="1539"/>
      <c r="D17" s="1558">
        <v>137.06</v>
      </c>
      <c r="E17" s="1558">
        <v>192.8</v>
      </c>
      <c r="F17" s="1552"/>
      <c r="G17" s="1558"/>
      <c r="H17" s="1558">
        <v>3437.05</v>
      </c>
    </row>
    <row r="18" spans="2:8" ht="14.25" hidden="1" thickTop="1" thickBot="1">
      <c r="B18" s="1539" t="s">
        <v>341</v>
      </c>
      <c r="C18" s="1539"/>
      <c r="D18" s="1558">
        <v>158.07</v>
      </c>
      <c r="E18" s="1558">
        <v>215.23</v>
      </c>
      <c r="F18" s="1552"/>
      <c r="G18" s="1558"/>
      <c r="H18" s="1558">
        <v>3954.5</v>
      </c>
    </row>
    <row r="19" spans="2:8" ht="14.25" hidden="1" thickTop="1" thickBot="1">
      <c r="B19" s="1539" t="s">
        <v>342</v>
      </c>
      <c r="C19" s="1539"/>
      <c r="D19" s="1558">
        <v>149.03</v>
      </c>
      <c r="E19" s="1558">
        <v>182.15</v>
      </c>
      <c r="F19" s="1552"/>
      <c r="G19" s="1558"/>
      <c r="H19" s="1558">
        <v>3755.97</v>
      </c>
    </row>
    <row r="20" spans="2:8" ht="14.25" hidden="1" thickTop="1" thickBot="1">
      <c r="B20" s="1539" t="s">
        <v>343</v>
      </c>
      <c r="C20" s="1539"/>
      <c r="D20" s="1558">
        <v>149.47</v>
      </c>
      <c r="E20" s="1558">
        <v>189.51</v>
      </c>
      <c r="F20" s="1552"/>
      <c r="G20" s="1558"/>
      <c r="H20" s="1558">
        <v>3746.14</v>
      </c>
    </row>
    <row r="21" spans="2:8" ht="14.25" hidden="1" thickTop="1" thickBot="1">
      <c r="B21" s="1539" t="s">
        <v>344</v>
      </c>
      <c r="C21" s="1539"/>
      <c r="D21" s="1558">
        <v>151.99</v>
      </c>
      <c r="E21" s="1558">
        <v>185.5</v>
      </c>
      <c r="F21" s="1552"/>
      <c r="G21" s="1558"/>
      <c r="H21" s="1558">
        <v>3829.93</v>
      </c>
    </row>
    <row r="22" spans="2:8" ht="14.25" hidden="1" thickTop="1" thickBot="1">
      <c r="B22" s="1539"/>
      <c r="C22" s="1539"/>
      <c r="D22" s="1559"/>
      <c r="E22" s="1559"/>
      <c r="F22" s="1551"/>
      <c r="G22" s="1559"/>
      <c r="H22" s="1559"/>
    </row>
    <row r="23" spans="2:8" ht="14.25" hidden="1" thickTop="1" thickBot="1">
      <c r="B23" s="1570">
        <v>2010</v>
      </c>
      <c r="C23" s="1537"/>
      <c r="D23" s="1547"/>
      <c r="E23" s="1547"/>
      <c r="F23" s="1553"/>
      <c r="G23" s="1547"/>
      <c r="H23" s="1547"/>
    </row>
    <row r="24" spans="2:8" ht="14.25" hidden="1" thickTop="1" thickBot="1">
      <c r="B24" s="1540"/>
      <c r="C24" s="1540"/>
      <c r="D24" s="1547"/>
      <c r="E24" s="1547"/>
      <c r="F24" s="1553"/>
      <c r="G24" s="1547"/>
      <c r="H24" s="1547"/>
    </row>
    <row r="25" spans="2:8" ht="14.25" hidden="1" thickTop="1" thickBot="1">
      <c r="B25" s="1539" t="s">
        <v>345</v>
      </c>
      <c r="C25" s="1539"/>
      <c r="D25" s="1547">
        <v>157.36000000000001</v>
      </c>
      <c r="E25" s="1547">
        <v>212.27</v>
      </c>
      <c r="F25" s="1553"/>
      <c r="G25" s="1547"/>
      <c r="H25" s="1547">
        <v>3972.1133500000001</v>
      </c>
    </row>
    <row r="26" spans="2:8" ht="14.25" hidden="1" thickTop="1" thickBot="1">
      <c r="B26" s="1539" t="s">
        <v>334</v>
      </c>
      <c r="C26" s="1539"/>
      <c r="D26" s="1547">
        <v>140.37</v>
      </c>
      <c r="E26" s="1547">
        <v>175.08</v>
      </c>
      <c r="F26" s="1553"/>
      <c r="G26" s="1547"/>
      <c r="H26" s="1547">
        <v>3552.707793</v>
      </c>
    </row>
    <row r="27" spans="2:8" ht="14.25" hidden="1" thickTop="1" thickBot="1">
      <c r="B27" s="1539" t="s">
        <v>335</v>
      </c>
      <c r="C27" s="1539"/>
      <c r="D27" s="1547">
        <v>142.37</v>
      </c>
      <c r="E27" s="1547">
        <v>216.85</v>
      </c>
      <c r="F27" s="1553"/>
      <c r="G27" s="1547"/>
      <c r="H27" s="1547">
        <v>3636.1107510000002</v>
      </c>
    </row>
    <row r="28" spans="2:8" ht="14.25" hidden="1" thickTop="1" thickBot="1">
      <c r="B28" s="1539" t="s">
        <v>336</v>
      </c>
      <c r="C28" s="1539"/>
      <c r="D28" s="1547">
        <v>139.01</v>
      </c>
      <c r="E28" s="1547">
        <v>167.9</v>
      </c>
      <c r="F28" s="1553"/>
      <c r="G28" s="1547"/>
      <c r="H28" s="1547">
        <v>3490.2877680000001</v>
      </c>
    </row>
    <row r="29" spans="2:8" ht="14.25" hidden="1" thickTop="1" thickBot="1">
      <c r="B29" s="1539" t="s">
        <v>337</v>
      </c>
      <c r="C29" s="1539"/>
      <c r="D29" s="1547">
        <v>129.4</v>
      </c>
      <c r="E29" s="1547">
        <v>159.28</v>
      </c>
      <c r="F29" s="1553"/>
      <c r="G29" s="1547"/>
      <c r="H29" s="1547">
        <v>3251.4528439999999</v>
      </c>
    </row>
    <row r="30" spans="2:8" ht="14.25" hidden="1" thickTop="1" thickBot="1">
      <c r="B30" s="1539" t="s">
        <v>338</v>
      </c>
      <c r="C30" s="1539"/>
      <c r="D30" s="1547">
        <v>127.46</v>
      </c>
      <c r="E30" s="1547">
        <v>143.08000000000001</v>
      </c>
      <c r="F30" s="1553"/>
      <c r="G30" s="1547"/>
      <c r="H30" s="1547">
        <v>3187.046257</v>
      </c>
    </row>
    <row r="31" spans="2:8" ht="14.25" hidden="1" thickTop="1" thickBot="1">
      <c r="B31" s="1539" t="s">
        <v>339</v>
      </c>
      <c r="C31" s="1539"/>
      <c r="D31" s="1547">
        <v>130.91999999999999</v>
      </c>
      <c r="E31" s="1547">
        <v>134.87</v>
      </c>
      <c r="F31" s="1553"/>
      <c r="G31" s="1547"/>
      <c r="H31" s="1547">
        <v>3286.469317</v>
      </c>
    </row>
    <row r="32" spans="2:8" ht="14.25" hidden="1" thickTop="1" thickBot="1">
      <c r="B32" s="1539" t="s">
        <v>340</v>
      </c>
      <c r="C32" s="1539"/>
      <c r="D32" s="1547">
        <v>130.91999999999999</v>
      </c>
      <c r="E32" s="1547">
        <v>127.64</v>
      </c>
      <c r="F32" s="1553"/>
      <c r="G32" s="1547"/>
      <c r="H32" s="1547">
        <v>3299.802103</v>
      </c>
    </row>
    <row r="33" spans="2:10" ht="14.25" hidden="1" thickTop="1" thickBot="1">
      <c r="B33" s="1539" t="s">
        <v>341</v>
      </c>
      <c r="C33" s="1539"/>
      <c r="D33" s="1547">
        <v>137.04</v>
      </c>
      <c r="E33" s="1547">
        <v>145.65</v>
      </c>
      <c r="F33" s="1553"/>
      <c r="G33" s="1547"/>
      <c r="H33" s="1547">
        <v>3418.0391989999998</v>
      </c>
    </row>
    <row r="34" spans="2:10" ht="14.25" hidden="1" thickTop="1" thickBot="1">
      <c r="B34" s="1539" t="s">
        <v>342</v>
      </c>
      <c r="C34" s="1539"/>
      <c r="D34" s="1547">
        <v>157.71</v>
      </c>
      <c r="E34" s="1547">
        <v>217.07</v>
      </c>
      <c r="F34" s="1553"/>
      <c r="G34" s="1547"/>
      <c r="H34" s="1547">
        <v>3978.2882589999999</v>
      </c>
    </row>
    <row r="35" spans="2:10" ht="14.25" hidden="1" thickTop="1" thickBot="1">
      <c r="B35" s="1539" t="s">
        <v>343</v>
      </c>
      <c r="C35" s="1539"/>
      <c r="D35" s="1547">
        <v>154.6</v>
      </c>
      <c r="E35" s="1547">
        <v>230.61</v>
      </c>
      <c r="F35" s="1553"/>
      <c r="G35" s="1547"/>
      <c r="H35" s="1547">
        <v>3942.8541220000002</v>
      </c>
    </row>
    <row r="36" spans="2:10" ht="14.25" hidden="1" thickTop="1" thickBot="1">
      <c r="B36" s="1539" t="s">
        <v>344</v>
      </c>
      <c r="C36" s="1539"/>
      <c r="D36" s="1547">
        <v>151.27000000000001</v>
      </c>
      <c r="E36" s="1547">
        <v>200.4</v>
      </c>
      <c r="F36" s="1553"/>
      <c r="G36" s="1547"/>
      <c r="H36" s="1547">
        <v>3868.1405629999999</v>
      </c>
    </row>
    <row r="37" spans="2:10" ht="14.25" hidden="1" thickTop="1" thickBot="1">
      <c r="B37" s="1538"/>
      <c r="C37" s="1538"/>
      <c r="D37" s="1547"/>
      <c r="E37" s="1547"/>
      <c r="F37" s="1553"/>
      <c r="G37" s="1547"/>
      <c r="H37" s="1547"/>
    </row>
    <row r="38" spans="2:10" ht="14.25" hidden="1" thickTop="1" thickBot="1">
      <c r="B38" s="1537">
        <v>2011</v>
      </c>
      <c r="C38" s="1537"/>
      <c r="D38" s="1547"/>
      <c r="E38" s="1547"/>
      <c r="F38" s="1553"/>
      <c r="G38" s="1547"/>
      <c r="H38" s="1547"/>
    </row>
    <row r="39" spans="2:10" ht="14.25" hidden="1" thickTop="1" thickBot="1">
      <c r="B39" s="1540"/>
      <c r="C39" s="1540"/>
      <c r="D39" s="1547"/>
      <c r="E39" s="1547"/>
      <c r="F39" s="1553"/>
      <c r="G39" s="1547"/>
      <c r="H39" s="1547"/>
    </row>
    <row r="40" spans="2:10" ht="14.25" hidden="1" thickTop="1" thickBot="1">
      <c r="B40" s="1539" t="s">
        <v>345</v>
      </c>
      <c r="C40" s="1539"/>
      <c r="D40" s="1547">
        <v>161.1</v>
      </c>
      <c r="E40" s="1547">
        <v>216.82</v>
      </c>
      <c r="F40" s="1553"/>
      <c r="G40" s="1547"/>
      <c r="H40" s="1547">
        <v>4131.8185549999998</v>
      </c>
      <c r="J40" s="158">
        <v>1000000</v>
      </c>
    </row>
    <row r="41" spans="2:10" ht="14.25" hidden="1" thickTop="1" thickBot="1">
      <c r="B41" s="1539" t="s">
        <v>334</v>
      </c>
      <c r="C41" s="1539"/>
      <c r="D41" s="1547">
        <v>159.04</v>
      </c>
      <c r="E41" s="1547">
        <v>239.08</v>
      </c>
      <c r="F41" s="1553"/>
      <c r="G41" s="1547"/>
      <c r="H41" s="1547">
        <v>4100.3363749</v>
      </c>
    </row>
    <row r="42" spans="2:10" ht="14.25" hidden="1" thickTop="1" thickBot="1">
      <c r="B42" s="1539" t="s">
        <v>335</v>
      </c>
      <c r="C42" s="1539"/>
      <c r="D42" s="1547">
        <v>160.65</v>
      </c>
      <c r="E42" s="1547">
        <v>237.18</v>
      </c>
      <c r="F42" s="1553"/>
      <c r="G42" s="1547"/>
      <c r="H42" s="1547">
        <v>4156.3153629999997</v>
      </c>
    </row>
    <row r="43" spans="2:10" ht="14.25" hidden="1" thickTop="1" thickBot="1">
      <c r="B43" s="1539" t="s">
        <v>336</v>
      </c>
      <c r="C43" s="1539"/>
      <c r="D43" s="1547">
        <v>164.64</v>
      </c>
      <c r="E43" s="1547">
        <v>201.36</v>
      </c>
      <c r="F43" s="1553"/>
      <c r="G43" s="1547"/>
      <c r="H43" s="1547">
        <v>4223.24</v>
      </c>
    </row>
    <row r="44" spans="2:10" ht="14.25" hidden="1" thickTop="1" thickBot="1">
      <c r="B44" s="1539" t="s">
        <v>337</v>
      </c>
      <c r="C44" s="1539"/>
      <c r="D44" s="1547">
        <v>163.37</v>
      </c>
      <c r="E44" s="1547">
        <v>197.37</v>
      </c>
      <c r="F44" s="1553"/>
      <c r="G44" s="1547"/>
      <c r="H44" s="1547">
        <v>4191</v>
      </c>
    </row>
    <row r="45" spans="2:10" ht="14.25" hidden="1" thickTop="1" thickBot="1">
      <c r="B45" s="1539" t="s">
        <v>338</v>
      </c>
      <c r="C45" s="1539"/>
      <c r="D45" s="1547">
        <v>167.18</v>
      </c>
      <c r="E45" s="1547">
        <v>171.32</v>
      </c>
      <c r="F45" s="1553"/>
      <c r="G45" s="1547"/>
      <c r="H45" s="1547">
        <v>4267.1400000000003</v>
      </c>
    </row>
    <row r="46" spans="2:10" ht="14.25" hidden="1" thickTop="1" thickBot="1">
      <c r="B46" s="1539" t="s">
        <v>339</v>
      </c>
      <c r="C46" s="1539"/>
      <c r="D46" s="1547">
        <v>163.69</v>
      </c>
      <c r="E46" s="1547">
        <v>160.16999999999999</v>
      </c>
      <c r="F46" s="1553"/>
      <c r="G46" s="1547"/>
      <c r="H46" s="1547">
        <v>4172.7</v>
      </c>
    </row>
    <row r="47" spans="2:10" ht="14.25" hidden="1" thickTop="1" thickBot="1">
      <c r="B47" s="1539" t="s">
        <v>340</v>
      </c>
      <c r="C47" s="1539"/>
      <c r="D47" s="1547">
        <v>160.53</v>
      </c>
      <c r="E47" s="1547">
        <v>164.52</v>
      </c>
      <c r="F47" s="1553"/>
      <c r="G47" s="1547"/>
      <c r="H47" s="1547">
        <v>4145.3599999999997</v>
      </c>
    </row>
    <row r="48" spans="2:10" ht="14.25" hidden="1" thickTop="1" thickBot="1">
      <c r="B48" s="1539" t="s">
        <v>341</v>
      </c>
      <c r="C48" s="1539"/>
      <c r="D48" s="1547">
        <v>155.82</v>
      </c>
      <c r="E48" s="1547">
        <v>152.41999999999999</v>
      </c>
      <c r="F48" s="1553"/>
      <c r="G48" s="1547"/>
      <c r="H48" s="1547">
        <v>3984.47</v>
      </c>
    </row>
    <row r="49" spans="2:8" ht="14.25" hidden="1" thickTop="1" thickBot="1">
      <c r="B49" s="1539" t="s">
        <v>342</v>
      </c>
      <c r="C49" s="1539"/>
      <c r="D49" s="1547">
        <v>143.58000000000001</v>
      </c>
      <c r="E49" s="1547">
        <v>131.75</v>
      </c>
      <c r="F49" s="1553"/>
      <c r="G49" s="1547"/>
      <c r="H49" s="1547">
        <v>3656.6</v>
      </c>
    </row>
    <row r="50" spans="2:8" ht="14.25" hidden="1" thickTop="1" thickBot="1">
      <c r="B50" s="1539" t="s">
        <v>343</v>
      </c>
      <c r="C50" s="1539"/>
      <c r="D50" s="1547">
        <v>144.97999999999999</v>
      </c>
      <c r="E50" s="1547">
        <v>115.47</v>
      </c>
      <c r="F50" s="1553"/>
      <c r="G50" s="1547"/>
      <c r="H50" s="1547">
        <v>3677.6</v>
      </c>
    </row>
    <row r="51" spans="2:8" ht="14.25" hidden="1" thickTop="1" thickBot="1">
      <c r="B51" s="1539" t="s">
        <v>344</v>
      </c>
      <c r="C51" s="1539"/>
      <c r="D51" s="1547">
        <v>145.86000000000001</v>
      </c>
      <c r="E51" s="1547">
        <v>100.7</v>
      </c>
      <c r="F51" s="1553"/>
      <c r="G51" s="1547"/>
      <c r="H51" s="1547">
        <v>3689.7</v>
      </c>
    </row>
    <row r="52" spans="2:8" ht="14.25" hidden="1" thickTop="1" thickBot="1">
      <c r="B52" s="1539"/>
      <c r="C52" s="1539"/>
      <c r="D52" s="1547"/>
      <c r="E52" s="1547"/>
      <c r="F52" s="1553"/>
      <c r="G52" s="1547"/>
      <c r="H52" s="1547"/>
    </row>
    <row r="53" spans="2:8" ht="14.25" hidden="1" thickTop="1" thickBot="1">
      <c r="B53" s="1541">
        <v>2012</v>
      </c>
      <c r="C53" s="1541"/>
      <c r="D53" s="1560"/>
      <c r="E53" s="1560"/>
      <c r="F53" s="1554"/>
      <c r="G53" s="1560"/>
      <c r="H53" s="1547"/>
    </row>
    <row r="54" spans="2:8" ht="14.25" hidden="1" thickTop="1" thickBot="1">
      <c r="B54" s="1542"/>
      <c r="C54" s="1542"/>
      <c r="D54" s="1560"/>
      <c r="E54" s="1560"/>
      <c r="F54" s="1554"/>
      <c r="G54" s="1560"/>
      <c r="H54" s="1547"/>
    </row>
    <row r="55" spans="2:8" ht="14.25" hidden="1" thickTop="1" thickBot="1">
      <c r="B55" s="1543" t="s">
        <v>345</v>
      </c>
      <c r="C55" s="1543"/>
      <c r="D55" s="1560">
        <v>138.52000000000001</v>
      </c>
      <c r="E55" s="1560">
        <v>79.09</v>
      </c>
      <c r="F55" s="1554"/>
      <c r="G55" s="1560"/>
      <c r="H55" s="1560">
        <v>3422.2</v>
      </c>
    </row>
    <row r="56" spans="2:8" ht="14.25" hidden="1" thickTop="1" thickBot="1">
      <c r="B56" s="1543" t="s">
        <v>334</v>
      </c>
      <c r="C56" s="1543"/>
      <c r="D56" s="1560">
        <v>146.03</v>
      </c>
      <c r="E56" s="1560">
        <v>95.39</v>
      </c>
      <c r="F56" s="1554"/>
      <c r="G56" s="1560"/>
      <c r="H56" s="1560">
        <v>3696.6</v>
      </c>
    </row>
    <row r="57" spans="2:8" ht="14.25" hidden="1" thickTop="1" thickBot="1">
      <c r="B57" s="1543" t="s">
        <v>335</v>
      </c>
      <c r="C57" s="1543"/>
      <c r="D57" s="1560">
        <v>136.76</v>
      </c>
      <c r="E57" s="1560">
        <v>85.01</v>
      </c>
      <c r="F57" s="1554"/>
      <c r="G57" s="1560"/>
      <c r="H57" s="1560">
        <v>3458.1</v>
      </c>
    </row>
    <row r="58" spans="2:8" ht="14.25" hidden="1" thickTop="1" thickBot="1">
      <c r="B58" s="1543" t="s">
        <v>336</v>
      </c>
      <c r="C58" s="1543"/>
      <c r="D58" s="1560">
        <v>129.55000000000001</v>
      </c>
      <c r="E58" s="1560">
        <v>97.15</v>
      </c>
      <c r="F58" s="1554"/>
      <c r="G58" s="1560"/>
      <c r="H58" s="1560">
        <v>3303.4</v>
      </c>
    </row>
    <row r="59" spans="2:8" ht="14.25" hidden="1" thickTop="1" thickBot="1">
      <c r="B59" s="1543" t="s">
        <v>337</v>
      </c>
      <c r="C59" s="1543"/>
      <c r="D59" s="1560">
        <v>132.03</v>
      </c>
      <c r="E59" s="1560">
        <v>83.73</v>
      </c>
      <c r="F59" s="1554"/>
      <c r="G59" s="1560"/>
      <c r="H59" s="1560">
        <v>3351.2</v>
      </c>
    </row>
    <row r="60" spans="2:8" ht="14.25" hidden="1" thickTop="1" thickBot="1">
      <c r="B60" s="1543" t="s">
        <v>338</v>
      </c>
      <c r="C60" s="1543"/>
      <c r="D60" s="1560">
        <v>131.96</v>
      </c>
      <c r="E60" s="1560">
        <v>75.7</v>
      </c>
      <c r="F60" s="1554"/>
      <c r="G60" s="1560"/>
      <c r="H60" s="1560">
        <v>3341.46</v>
      </c>
    </row>
    <row r="61" spans="2:8" ht="14.25" hidden="1" thickTop="1" thickBot="1">
      <c r="B61" s="1543" t="s">
        <v>339</v>
      </c>
      <c r="C61" s="1543"/>
      <c r="D61" s="1560">
        <v>132.91999999999999</v>
      </c>
      <c r="E61" s="1560">
        <v>112.12</v>
      </c>
      <c r="F61" s="1554"/>
      <c r="G61" s="1560"/>
      <c r="H61" s="1560">
        <v>3445.93</v>
      </c>
    </row>
    <row r="62" spans="2:8" ht="14.25" hidden="1" thickTop="1" thickBot="1">
      <c r="B62" s="1543" t="s">
        <v>340</v>
      </c>
      <c r="C62" s="1543"/>
      <c r="D62" s="1560">
        <v>132.27000000000001</v>
      </c>
      <c r="E62" s="1560">
        <v>89.04</v>
      </c>
      <c r="F62" s="1554"/>
      <c r="G62" s="1560"/>
      <c r="H62" s="1560">
        <v>3434</v>
      </c>
    </row>
    <row r="63" spans="2:8" ht="14.25" hidden="1" thickTop="1" thickBot="1">
      <c r="B63" s="1543" t="s">
        <v>341</v>
      </c>
      <c r="C63" s="1543"/>
      <c r="D63" s="1560">
        <v>146</v>
      </c>
      <c r="E63" s="1560">
        <v>96</v>
      </c>
      <c r="F63" s="1554"/>
      <c r="G63" s="1560"/>
      <c r="H63" s="1560">
        <v>3822.8</v>
      </c>
    </row>
    <row r="64" spans="2:8" ht="14.25" hidden="1" thickTop="1" thickBot="1">
      <c r="B64" s="1543" t="s">
        <v>342</v>
      </c>
      <c r="C64" s="1543"/>
      <c r="D64" s="1560">
        <v>154.47</v>
      </c>
      <c r="E64" s="1560">
        <v>93.66</v>
      </c>
      <c r="F64" s="1554"/>
      <c r="G64" s="1560"/>
      <c r="H64" s="1560" t="s">
        <v>1266</v>
      </c>
    </row>
    <row r="65" spans="2:8" ht="14.25" hidden="1" thickTop="1" thickBot="1">
      <c r="B65" s="1543" t="s">
        <v>343</v>
      </c>
      <c r="C65" s="1543"/>
      <c r="D65" s="1560">
        <v>150.16</v>
      </c>
      <c r="E65" s="1560">
        <v>68.739999999999995</v>
      </c>
      <c r="F65" s="1554"/>
      <c r="G65" s="1560"/>
      <c r="H65" s="1560">
        <v>3890.9</v>
      </c>
    </row>
    <row r="66" spans="2:8" ht="14.25" hidden="1" thickTop="1" thickBot="1">
      <c r="B66" s="1543" t="s">
        <v>344</v>
      </c>
      <c r="C66" s="1543"/>
      <c r="D66" s="1560">
        <v>152.4</v>
      </c>
      <c r="E66" s="1560">
        <v>65.12</v>
      </c>
      <c r="F66" s="1554"/>
      <c r="G66" s="1560"/>
      <c r="H66" s="1560">
        <v>3963.5</v>
      </c>
    </row>
    <row r="67" spans="2:8" ht="14.25" hidden="1" thickTop="1" thickBot="1">
      <c r="B67" s="1543"/>
      <c r="C67" s="1543"/>
      <c r="D67" s="1560"/>
      <c r="E67" s="1560"/>
      <c r="F67" s="1554"/>
      <c r="G67" s="1560"/>
      <c r="H67" s="1560"/>
    </row>
    <row r="68" spans="2:8" ht="14.25" hidden="1" thickTop="1" thickBot="1">
      <c r="B68" s="1541">
        <v>2013</v>
      </c>
      <c r="C68" s="1541"/>
      <c r="D68" s="1560"/>
      <c r="E68" s="1560"/>
      <c r="F68" s="1554"/>
      <c r="G68" s="1560"/>
      <c r="H68" s="1560"/>
    </row>
    <row r="69" spans="2:8" ht="14.25" hidden="1" thickTop="1" thickBot="1">
      <c r="B69" s="1543"/>
      <c r="C69" s="1543"/>
      <c r="D69" s="1560"/>
      <c r="E69" s="1560"/>
      <c r="F69" s="1554"/>
      <c r="G69" s="1560"/>
      <c r="H69" s="1560"/>
    </row>
    <row r="70" spans="2:8" ht="14.25" hidden="1" thickTop="1" thickBot="1">
      <c r="B70" s="1543" t="s">
        <v>345</v>
      </c>
      <c r="C70" s="1543"/>
      <c r="D70" s="1560">
        <v>179.34</v>
      </c>
      <c r="E70" s="1560">
        <v>84.07</v>
      </c>
      <c r="F70" s="1554"/>
      <c r="G70" s="1560"/>
      <c r="H70" s="1560">
        <v>4700.33</v>
      </c>
    </row>
    <row r="71" spans="2:8" ht="14.25" hidden="1" thickTop="1" thickBot="1">
      <c r="B71" s="1543" t="s">
        <v>334</v>
      </c>
      <c r="C71" s="1543"/>
      <c r="D71" s="1560">
        <v>182.3</v>
      </c>
      <c r="E71" s="1560">
        <v>72.010000000000005</v>
      </c>
      <c r="F71" s="1554"/>
      <c r="G71" s="1560"/>
      <c r="H71" s="1560">
        <v>4748.24</v>
      </c>
    </row>
    <row r="72" spans="2:8" ht="14.25" hidden="1" thickTop="1" thickBot="1">
      <c r="B72" s="1543" t="s">
        <v>335</v>
      </c>
      <c r="C72" s="1543"/>
      <c r="D72" s="1560">
        <v>183.9</v>
      </c>
      <c r="E72" s="1560">
        <v>66.2</v>
      </c>
      <c r="F72" s="1554"/>
      <c r="G72" s="1560"/>
      <c r="H72" s="1560">
        <v>4726.34</v>
      </c>
    </row>
    <row r="73" spans="2:8" ht="14.25" hidden="1" thickTop="1" thickBot="1">
      <c r="B73" s="1543" t="s">
        <v>336</v>
      </c>
      <c r="C73" s="1543"/>
      <c r="D73" s="1560">
        <v>189.66</v>
      </c>
      <c r="E73" s="1560">
        <v>71.98</v>
      </c>
      <c r="F73" s="1554"/>
      <c r="G73" s="1560"/>
      <c r="H73" s="1564">
        <v>4894.6770960000003</v>
      </c>
    </row>
    <row r="74" spans="2:8" ht="14.25" hidden="1" thickTop="1" thickBot="1">
      <c r="B74" s="1544" t="s">
        <v>337</v>
      </c>
      <c r="C74" s="1544"/>
      <c r="D74" s="1560">
        <v>212.72</v>
      </c>
      <c r="E74" s="1560">
        <v>73.989999999999995</v>
      </c>
      <c r="F74" s="1554"/>
      <c r="G74" s="1560"/>
      <c r="H74" s="1560">
        <v>5471.22</v>
      </c>
    </row>
    <row r="75" spans="2:8" ht="14.25" hidden="1" thickTop="1" thickBot="1">
      <c r="B75" s="1544" t="s">
        <v>338</v>
      </c>
      <c r="C75" s="1544"/>
      <c r="D75" s="1560">
        <v>211.19</v>
      </c>
      <c r="E75" s="1560">
        <v>73.290000000000006</v>
      </c>
      <c r="F75" s="1554"/>
      <c r="G75" s="1560"/>
      <c r="H75" s="1560">
        <v>5436.57</v>
      </c>
    </row>
    <row r="76" spans="2:8" ht="14.25" hidden="1" thickTop="1" thickBot="1">
      <c r="B76" s="1544" t="s">
        <v>339</v>
      </c>
      <c r="C76" s="1544"/>
      <c r="D76" s="1560">
        <v>232.87</v>
      </c>
      <c r="E76" s="1560">
        <v>66.77</v>
      </c>
      <c r="F76" s="1554"/>
      <c r="G76" s="1560"/>
      <c r="H76" s="1560">
        <v>5936.78</v>
      </c>
    </row>
    <row r="77" spans="2:8" ht="14.25" hidden="1" thickTop="1" thickBot="1">
      <c r="B77" s="1544" t="s">
        <v>340</v>
      </c>
      <c r="C77" s="1544"/>
      <c r="D77" s="1560">
        <v>181.67</v>
      </c>
      <c r="E77" s="1560">
        <v>48.73</v>
      </c>
      <c r="F77" s="1554"/>
      <c r="G77" s="1560"/>
      <c r="H77" s="1560">
        <v>4682.2700000000004</v>
      </c>
    </row>
    <row r="78" spans="2:8" ht="14.25" hidden="1" thickTop="1" thickBot="1">
      <c r="B78" s="1544" t="s">
        <v>341</v>
      </c>
      <c r="C78" s="1544"/>
      <c r="D78" s="1560">
        <v>200.05</v>
      </c>
      <c r="E78" s="1560">
        <v>49.9</v>
      </c>
      <c r="F78" s="1554"/>
      <c r="G78" s="1560"/>
      <c r="H78" s="1560">
        <v>5157.2</v>
      </c>
    </row>
    <row r="79" spans="2:8" ht="14.25" hidden="1" thickTop="1" thickBot="1">
      <c r="B79" s="1544" t="s">
        <v>342</v>
      </c>
      <c r="C79" s="1544"/>
      <c r="D79" s="1560">
        <v>209.74</v>
      </c>
      <c r="E79" s="1560">
        <v>52.68</v>
      </c>
      <c r="F79" s="1554"/>
      <c r="G79" s="1560"/>
      <c r="H79" s="1560">
        <v>5407.42</v>
      </c>
    </row>
    <row r="80" spans="2:8" ht="14.25" hidden="1" thickTop="1" thickBot="1">
      <c r="B80" s="1544" t="s">
        <v>343</v>
      </c>
      <c r="C80" s="1544"/>
      <c r="D80" s="1560">
        <v>213.04</v>
      </c>
      <c r="E80" s="1560">
        <v>47.02</v>
      </c>
      <c r="F80" s="1554"/>
      <c r="G80" s="1560"/>
      <c r="H80" s="1560">
        <v>5482.03</v>
      </c>
    </row>
    <row r="81" spans="2:8" ht="14.25" hidden="1" thickTop="1" thickBot="1">
      <c r="B81" s="1544" t="s">
        <v>344</v>
      </c>
      <c r="C81" s="1544"/>
      <c r="D81" s="1560">
        <v>202.12</v>
      </c>
      <c r="E81" s="1560">
        <v>45.79</v>
      </c>
      <c r="F81" s="1554"/>
      <c r="G81" s="1560"/>
      <c r="H81" s="1560">
        <v>5203.13</v>
      </c>
    </row>
    <row r="82" spans="2:8" ht="14.25" thickTop="1" thickBot="1">
      <c r="B82" s="1544"/>
      <c r="C82" s="1544"/>
      <c r="D82" s="1561"/>
      <c r="E82" s="1561"/>
      <c r="F82" s="1580"/>
      <c r="G82" s="1561"/>
      <c r="H82" s="1561"/>
    </row>
    <row r="83" spans="2:8" ht="13.5" hidden="1" thickBot="1">
      <c r="B83" s="1545">
        <v>2014</v>
      </c>
      <c r="C83" s="1545"/>
      <c r="D83" s="1561"/>
      <c r="E83" s="1561"/>
      <c r="F83" s="1561"/>
      <c r="G83" s="1561"/>
      <c r="H83" s="1561"/>
    </row>
    <row r="84" spans="2:8" ht="13.5" hidden="1" thickBot="1">
      <c r="B84" s="1546"/>
      <c r="C84" s="1546"/>
      <c r="D84" s="1561"/>
      <c r="E84" s="1561"/>
      <c r="F84" s="1561"/>
      <c r="G84" s="1561"/>
      <c r="H84" s="1561"/>
    </row>
    <row r="85" spans="2:8" ht="13.5" hidden="1" thickBot="1">
      <c r="B85" s="1544" t="s">
        <v>345</v>
      </c>
      <c r="C85" s="1544"/>
      <c r="D85" s="1560">
        <v>189.25</v>
      </c>
      <c r="E85" s="1560">
        <v>35.4</v>
      </c>
      <c r="F85" s="1563">
        <v>63972387.030000001</v>
      </c>
      <c r="G85" s="1583">
        <v>170104078</v>
      </c>
      <c r="H85" s="1563">
        <v>4882.1099999999997</v>
      </c>
    </row>
    <row r="86" spans="2:8" ht="13.5" hidden="1" thickBot="1">
      <c r="B86" s="1544" t="s">
        <v>334</v>
      </c>
      <c r="C86" s="1544"/>
      <c r="D86" s="1560">
        <v>189.45</v>
      </c>
      <c r="E86" s="1560">
        <v>39.24</v>
      </c>
      <c r="F86" s="1563">
        <v>25811746.890000001</v>
      </c>
      <c r="G86" s="1583">
        <v>135455029</v>
      </c>
      <c r="H86" s="1563">
        <v>4906.9399999999996</v>
      </c>
    </row>
    <row r="87" spans="2:8" ht="13.5" hidden="1" thickBot="1">
      <c r="B87" s="1544" t="s">
        <v>335</v>
      </c>
      <c r="C87" s="1544"/>
      <c r="D87" s="1560">
        <v>176.32</v>
      </c>
      <c r="E87" s="1560">
        <v>29.51</v>
      </c>
      <c r="F87" s="1563">
        <v>28884400.23</v>
      </c>
      <c r="G87" s="1583">
        <v>381649234</v>
      </c>
      <c r="H87" s="1563">
        <v>4560.29</v>
      </c>
    </row>
    <row r="88" spans="2:8" ht="13.5" hidden="1" thickBot="1">
      <c r="B88" s="1544" t="s">
        <v>336</v>
      </c>
      <c r="C88" s="1544"/>
      <c r="D88" s="1560">
        <v>172.91</v>
      </c>
      <c r="E88" s="1560">
        <v>29.64</v>
      </c>
      <c r="F88" s="1563">
        <v>51346054.520000003</v>
      </c>
      <c r="G88" s="1583">
        <v>429085166</v>
      </c>
      <c r="H88" s="1563">
        <v>4473.51</v>
      </c>
    </row>
    <row r="89" spans="2:8" ht="13.5" hidden="1" thickBot="1">
      <c r="B89" s="1544" t="s">
        <v>337</v>
      </c>
      <c r="C89" s="1544"/>
      <c r="D89" s="1560">
        <v>174.89</v>
      </c>
      <c r="E89" s="1560">
        <v>35.450000000000003</v>
      </c>
      <c r="F89" s="1563">
        <v>35903574.770000003</v>
      </c>
      <c r="G89" s="1583">
        <v>235704129</v>
      </c>
      <c r="H89" s="1563">
        <v>4485.1099999999997</v>
      </c>
    </row>
    <row r="90" spans="2:8" ht="13.5" hidden="1" thickBot="1">
      <c r="B90" s="1544" t="s">
        <v>338</v>
      </c>
      <c r="C90" s="1544"/>
      <c r="D90" s="1560">
        <v>186.57</v>
      </c>
      <c r="E90" s="1560">
        <v>61.32</v>
      </c>
      <c r="F90" s="1563">
        <v>28544304.66</v>
      </c>
      <c r="G90" s="1583">
        <v>178469676</v>
      </c>
      <c r="H90" s="1563">
        <v>4873.3999999999996</v>
      </c>
    </row>
    <row r="91" spans="2:8" ht="13.5" hidden="1" thickBot="1">
      <c r="B91" s="1544" t="s">
        <v>347</v>
      </c>
      <c r="C91" s="1544"/>
      <c r="D91" s="1560">
        <v>188.07</v>
      </c>
      <c r="E91" s="1564">
        <v>95</v>
      </c>
      <c r="F91" s="1563">
        <v>25224550.43</v>
      </c>
      <c r="G91" s="1583">
        <v>322407141</v>
      </c>
      <c r="H91" s="1563">
        <v>4959.21</v>
      </c>
    </row>
    <row r="92" spans="2:8" ht="13.5" hidden="1" thickBot="1">
      <c r="B92" s="1544" t="s">
        <v>340</v>
      </c>
      <c r="C92" s="1544"/>
      <c r="D92" s="1560">
        <v>196.43</v>
      </c>
      <c r="E92" s="1560">
        <v>104.8</v>
      </c>
      <c r="F92" s="1563">
        <v>66399632.850000001</v>
      </c>
      <c r="G92" s="1583">
        <v>328161452</v>
      </c>
      <c r="H92" s="1563">
        <v>5186.63</v>
      </c>
    </row>
    <row r="93" spans="2:8" ht="13.5" hidden="1" thickBot="1">
      <c r="B93" s="1544" t="s">
        <v>341</v>
      </c>
      <c r="C93" s="1544"/>
      <c r="D93" s="1547">
        <v>195.25</v>
      </c>
      <c r="E93" s="1547">
        <v>92.75</v>
      </c>
      <c r="F93" s="1563">
        <v>34056010.689999998</v>
      </c>
      <c r="G93" s="1583">
        <v>210942393</v>
      </c>
      <c r="H93" s="1550">
        <v>5140.2</v>
      </c>
    </row>
    <row r="94" spans="2:8" ht="13.5" hidden="1" thickBot="1">
      <c r="B94" s="1544" t="s">
        <v>342</v>
      </c>
      <c r="C94" s="1544"/>
      <c r="D94" s="1547">
        <v>177.88</v>
      </c>
      <c r="E94" s="1547">
        <v>70.38</v>
      </c>
      <c r="F94" s="1563">
        <v>28256642.489999998</v>
      </c>
      <c r="G94" s="1583">
        <v>156444539</v>
      </c>
      <c r="H94" s="1550">
        <v>4664.7969999999996</v>
      </c>
    </row>
    <row r="95" spans="2:8" ht="13.5" hidden="1" thickBot="1">
      <c r="B95" s="1544" t="s">
        <v>343</v>
      </c>
      <c r="C95" s="1544"/>
      <c r="D95" s="1547">
        <v>171.45</v>
      </c>
      <c r="E95" s="1547">
        <v>64.39</v>
      </c>
      <c r="F95" s="1563">
        <v>34765242.770000003</v>
      </c>
      <c r="G95" s="1583">
        <v>155854066</v>
      </c>
      <c r="H95" s="1550">
        <v>4517.9260000000004</v>
      </c>
    </row>
    <row r="96" spans="2:8" ht="13.5" hidden="1" thickBot="1">
      <c r="B96" s="1544" t="s">
        <v>344</v>
      </c>
      <c r="C96" s="1544"/>
      <c r="D96" s="1547">
        <v>162.79</v>
      </c>
      <c r="E96" s="1547">
        <v>71.709999999999994</v>
      </c>
      <c r="F96" s="1563">
        <v>29701204.84</v>
      </c>
      <c r="G96" s="1583">
        <v>475024051</v>
      </c>
      <c r="H96" s="1550">
        <v>4327.01</v>
      </c>
    </row>
    <row r="97" spans="2:8" ht="13.5" hidden="1" thickBot="1">
      <c r="B97" s="1544"/>
      <c r="C97" s="1544"/>
      <c r="D97" s="1560"/>
      <c r="E97" s="1564"/>
      <c r="F97" s="1564"/>
      <c r="G97" s="1568"/>
      <c r="H97" s="1563"/>
    </row>
    <row r="98" spans="2:8" ht="13.5" hidden="1" thickBot="1">
      <c r="B98" s="1545">
        <v>2015</v>
      </c>
      <c r="C98" s="1545"/>
      <c r="D98" s="1560"/>
      <c r="E98" s="1560"/>
      <c r="F98" s="1560"/>
      <c r="G98" s="1568"/>
      <c r="H98" s="1563"/>
    </row>
    <row r="99" spans="2:8" ht="13.5" hidden="1" thickBot="1">
      <c r="B99" s="1544"/>
      <c r="C99" s="1544"/>
      <c r="D99" s="1547"/>
      <c r="E99" s="1547"/>
      <c r="F99" s="1547"/>
      <c r="G99" s="1583"/>
      <c r="H99" s="1550"/>
    </row>
    <row r="100" spans="2:8" ht="13.5" hidden="1" thickBot="1">
      <c r="B100" s="1544" t="s">
        <v>345</v>
      </c>
      <c r="C100" s="1544"/>
      <c r="D100" s="1547">
        <v>164.9</v>
      </c>
      <c r="E100" s="1548">
        <v>58.13</v>
      </c>
      <c r="F100" s="1563">
        <v>16.062740829999999</v>
      </c>
      <c r="G100" s="1583">
        <v>57390451</v>
      </c>
      <c r="H100" s="1550">
        <v>4365.1400000000003</v>
      </c>
    </row>
    <row r="101" spans="2:8" ht="13.5" hidden="1" thickBot="1">
      <c r="B101" s="1544" t="s">
        <v>334</v>
      </c>
      <c r="C101" s="1544"/>
      <c r="D101" s="1548">
        <v>167.16</v>
      </c>
      <c r="E101" s="1548">
        <v>55.38</v>
      </c>
      <c r="F101" s="1563">
        <v>34.775616240000005</v>
      </c>
      <c r="G101" s="1583">
        <v>119324114</v>
      </c>
      <c r="H101" s="1550">
        <v>4353.38</v>
      </c>
    </row>
    <row r="102" spans="2:8" ht="13.5" hidden="1" thickBot="1">
      <c r="B102" s="1544" t="s">
        <v>335</v>
      </c>
      <c r="C102" s="1544"/>
      <c r="D102" s="1548">
        <v>158.22</v>
      </c>
      <c r="E102" s="1548">
        <v>43.92</v>
      </c>
      <c r="F102" s="1563">
        <v>18.903880999999998</v>
      </c>
      <c r="G102" s="1583">
        <v>405884918</v>
      </c>
      <c r="H102" s="1550">
        <v>4117.08</v>
      </c>
    </row>
    <row r="103" spans="2:8" ht="13.5" hidden="1" thickBot="1">
      <c r="B103" s="1544" t="s">
        <v>336</v>
      </c>
      <c r="C103" s="1544"/>
      <c r="D103" s="1548">
        <v>156.22999999999999</v>
      </c>
      <c r="E103" s="1548">
        <v>42.93</v>
      </c>
      <c r="F103" s="1563">
        <v>29.188562000000001</v>
      </c>
      <c r="G103" s="1583">
        <v>563833853</v>
      </c>
      <c r="H103" s="1550">
        <v>4066.07</v>
      </c>
    </row>
    <row r="104" spans="2:8" ht="13.5" hidden="1" thickBot="1">
      <c r="B104" s="1544" t="s">
        <v>337</v>
      </c>
      <c r="C104" s="1544"/>
      <c r="D104" s="1548">
        <v>152.96</v>
      </c>
      <c r="E104" s="1548">
        <v>44.45</v>
      </c>
      <c r="F104" s="1563">
        <v>23.280422200000004</v>
      </c>
      <c r="G104" s="1583">
        <v>290320685</v>
      </c>
      <c r="H104" s="1550">
        <v>3978.0623580000001</v>
      </c>
    </row>
    <row r="105" spans="2:8" ht="13.5" hidden="1" thickBot="1">
      <c r="B105" s="1544" t="s">
        <v>338</v>
      </c>
      <c r="C105" s="1544"/>
      <c r="D105" s="1548">
        <v>148.4</v>
      </c>
      <c r="E105" s="1548">
        <v>44.3</v>
      </c>
      <c r="F105" s="1563">
        <v>14.514678999999999</v>
      </c>
      <c r="G105" s="1583">
        <v>80441278</v>
      </c>
      <c r="H105" s="1550">
        <v>3803.8</v>
      </c>
    </row>
    <row r="106" spans="2:8" ht="13.5" hidden="1" thickBot="1">
      <c r="B106" s="1544" t="s">
        <v>339</v>
      </c>
      <c r="C106" s="1544"/>
      <c r="D106" s="1548">
        <v>145.35</v>
      </c>
      <c r="E106" s="1548">
        <v>39.36</v>
      </c>
      <c r="F106" s="1563">
        <v>20.419108000000001</v>
      </c>
      <c r="G106" s="1583">
        <v>157184218</v>
      </c>
      <c r="H106" s="1550">
        <v>3812.65</v>
      </c>
    </row>
    <row r="107" spans="2:8" ht="13.5" hidden="1" thickBot="1">
      <c r="B107" s="1544" t="s">
        <v>340</v>
      </c>
      <c r="C107" s="1544"/>
      <c r="D107" s="1548">
        <v>135.43</v>
      </c>
      <c r="E107" s="1548">
        <v>35.340000000000003</v>
      </c>
      <c r="F107" s="1563">
        <v>15.344249</v>
      </c>
      <c r="G107" s="1583">
        <v>76187436</v>
      </c>
      <c r="H107" s="1550">
        <v>3552.02</v>
      </c>
    </row>
    <row r="108" spans="2:8" ht="13.5" hidden="1" thickBot="1">
      <c r="B108" s="1544" t="s">
        <v>341</v>
      </c>
      <c r="C108" s="1544"/>
      <c r="D108" s="1548">
        <v>131.93</v>
      </c>
      <c r="E108" s="1548">
        <v>24.36</v>
      </c>
      <c r="F108" s="1563">
        <v>18.202231999999999</v>
      </c>
      <c r="G108" s="1583">
        <v>105678504</v>
      </c>
      <c r="H108" s="1550">
        <v>3444.5</v>
      </c>
    </row>
    <row r="109" spans="2:8" ht="13.5" hidden="1" thickBot="1">
      <c r="B109" s="1544" t="s">
        <v>342</v>
      </c>
      <c r="C109" s="1544"/>
      <c r="D109" s="1548">
        <v>130.83000000000001</v>
      </c>
      <c r="E109" s="1548">
        <v>23.57</v>
      </c>
      <c r="F109" s="1563">
        <v>12.864086</v>
      </c>
      <c r="G109" s="1583">
        <v>63758585</v>
      </c>
      <c r="H109" s="1550">
        <v>3416.105219</v>
      </c>
    </row>
    <row r="110" spans="2:8" ht="13.5" hidden="1" thickBot="1">
      <c r="B110" s="1544" t="s">
        <v>343</v>
      </c>
      <c r="C110" s="1544"/>
      <c r="D110" s="1548">
        <v>117.55</v>
      </c>
      <c r="E110" s="1548">
        <v>22.33</v>
      </c>
      <c r="F110" s="1563">
        <v>8.9475859999999994</v>
      </c>
      <c r="G110" s="1583">
        <v>90417554</v>
      </c>
      <c r="H110" s="1550">
        <v>3141.6847910000001</v>
      </c>
    </row>
    <row r="111" spans="2:8" ht="13.5" hidden="1" thickBot="1">
      <c r="B111" s="1544" t="s">
        <v>344</v>
      </c>
      <c r="C111" s="1544"/>
      <c r="D111" s="1548">
        <v>114.85</v>
      </c>
      <c r="E111" s="1548">
        <v>23.72</v>
      </c>
      <c r="F111" s="1563">
        <v>16.360451587</v>
      </c>
      <c r="G111" s="1583">
        <v>183792940</v>
      </c>
      <c r="H111" s="1550">
        <v>3073.4079999999999</v>
      </c>
    </row>
    <row r="112" spans="2:8" ht="13.5" hidden="1" thickBot="1">
      <c r="B112" s="1544"/>
      <c r="C112" s="1544"/>
      <c r="D112" s="1548"/>
      <c r="E112" s="1548"/>
      <c r="F112" s="1563"/>
      <c r="G112" s="1583"/>
      <c r="H112" s="1550"/>
    </row>
    <row r="113" spans="2:10" ht="13.5" hidden="1" thickBot="1">
      <c r="B113" s="1545">
        <v>2016</v>
      </c>
      <c r="C113" s="1545"/>
      <c r="D113" s="1548"/>
      <c r="E113" s="1548"/>
      <c r="F113" s="1563"/>
      <c r="G113" s="1583"/>
      <c r="H113" s="1550"/>
    </row>
    <row r="114" spans="2:10" ht="13.5" hidden="1" thickBot="1">
      <c r="B114" s="1544"/>
      <c r="C114" s="1544"/>
      <c r="D114" s="1548"/>
      <c r="E114" s="1548"/>
      <c r="F114" s="1563"/>
      <c r="G114" s="1583"/>
      <c r="H114" s="1550"/>
    </row>
    <row r="115" spans="2:10" ht="13.5" hidden="1" thickBot="1">
      <c r="B115" s="1544" t="s">
        <v>345</v>
      </c>
      <c r="C115" s="1544"/>
      <c r="D115" s="1548">
        <v>103.04</v>
      </c>
      <c r="E115" s="1548">
        <v>19.53</v>
      </c>
      <c r="F115" s="1563">
        <v>10.399903999999999</v>
      </c>
      <c r="G115" s="1583">
        <v>61882757</v>
      </c>
      <c r="H115" s="1550">
        <v>2790.4</v>
      </c>
    </row>
    <row r="116" spans="2:10" ht="13.5" hidden="1" thickBot="1">
      <c r="B116" s="1547" t="s">
        <v>334</v>
      </c>
      <c r="C116" s="1547"/>
      <c r="D116" s="1548">
        <v>99.4</v>
      </c>
      <c r="E116" s="1548">
        <v>19.14</v>
      </c>
      <c r="F116" s="1563">
        <v>15.556983000000001</v>
      </c>
      <c r="G116" s="1583">
        <v>95020938</v>
      </c>
      <c r="H116" s="1550">
        <v>2692.3043809999999</v>
      </c>
    </row>
    <row r="117" spans="2:10" ht="13.5" hidden="1" thickBot="1">
      <c r="B117" s="1547" t="s">
        <v>335</v>
      </c>
      <c r="C117" s="1547"/>
      <c r="D117" s="1548">
        <v>97.61</v>
      </c>
      <c r="E117" s="1548">
        <v>19.350000000000001</v>
      </c>
      <c r="F117" s="1563">
        <v>16.428571000000002</v>
      </c>
      <c r="G117" s="1583">
        <v>97601725</v>
      </c>
      <c r="H117" s="1550">
        <v>2645.0574080000001</v>
      </c>
    </row>
    <row r="118" spans="2:10" ht="13.5" hidden="1" thickBot="1">
      <c r="B118" s="1547" t="s">
        <v>336</v>
      </c>
      <c r="C118" s="1547"/>
      <c r="D118" s="1548">
        <v>105.79</v>
      </c>
      <c r="E118" s="1548">
        <v>20.16</v>
      </c>
      <c r="F118" s="1563">
        <v>14.026916999999999</v>
      </c>
      <c r="G118" s="1583">
        <v>187848946</v>
      </c>
      <c r="H118" s="1550">
        <v>2862.6118620000002</v>
      </c>
    </row>
    <row r="119" spans="2:10" ht="13.5" hidden="1" thickBot="1">
      <c r="B119" s="1547" t="s">
        <v>337</v>
      </c>
      <c r="C119" s="1547"/>
      <c r="D119" s="1548">
        <v>104.7</v>
      </c>
      <c r="E119" s="1548">
        <v>25.54</v>
      </c>
      <c r="F119" s="1563">
        <v>13.868486000000001</v>
      </c>
      <c r="G119" s="1583">
        <v>99055230</v>
      </c>
      <c r="H119" s="1550">
        <v>2881.3447980000001</v>
      </c>
    </row>
    <row r="120" spans="2:10" ht="13.5" hidden="1" thickBot="1">
      <c r="B120" s="1544" t="s">
        <v>338</v>
      </c>
      <c r="C120" s="1544"/>
      <c r="D120" s="1548">
        <v>101.04</v>
      </c>
      <c r="E120" s="1548">
        <v>24.7</v>
      </c>
      <c r="F120" s="1563">
        <v>18.064623999999998</v>
      </c>
      <c r="G120" s="1568">
        <v>88525472</v>
      </c>
      <c r="H120" s="1550">
        <v>2780.9</v>
      </c>
      <c r="J120" s="1015"/>
    </row>
    <row r="121" spans="2:10" ht="13.5" hidden="1" thickBot="1">
      <c r="B121" s="1547" t="s">
        <v>339</v>
      </c>
      <c r="C121" s="1547"/>
      <c r="D121" s="1548">
        <v>98.84</v>
      </c>
      <c r="E121" s="1548">
        <v>25.72</v>
      </c>
      <c r="F121" s="1563">
        <v>11.838626</v>
      </c>
      <c r="G121" s="1568">
        <v>57222624</v>
      </c>
      <c r="H121" s="1550">
        <v>2772.0446390000002</v>
      </c>
    </row>
    <row r="122" spans="2:10" ht="13.5" hidden="1" thickBot="1">
      <c r="B122" s="1547" t="s">
        <v>340</v>
      </c>
      <c r="C122" s="1547"/>
      <c r="D122" s="1548">
        <v>99.47</v>
      </c>
      <c r="E122" s="1548">
        <v>26.32</v>
      </c>
      <c r="F122" s="1563">
        <v>7.0757620000000001</v>
      </c>
      <c r="G122" s="1568">
        <v>41264438</v>
      </c>
      <c r="H122" s="1550">
        <v>2734.327076</v>
      </c>
    </row>
    <row r="123" spans="2:10" ht="13.5" hidden="1" thickBot="1">
      <c r="B123" s="1547" t="s">
        <v>341</v>
      </c>
      <c r="C123" s="1547"/>
      <c r="D123" s="1548">
        <v>98.96</v>
      </c>
      <c r="E123" s="1548">
        <v>26.61</v>
      </c>
      <c r="F123" s="1563">
        <v>1.3049387800000001</v>
      </c>
      <c r="G123" s="1568">
        <v>68329516</v>
      </c>
      <c r="H123" s="1550">
        <v>2725.133069</v>
      </c>
    </row>
    <row r="124" spans="2:10" ht="13.5" hidden="1" thickBot="1">
      <c r="B124" s="1547" t="s">
        <v>341</v>
      </c>
      <c r="C124" s="1547"/>
      <c r="D124" s="1548">
        <v>98.9</v>
      </c>
      <c r="E124" s="1548">
        <v>26.6</v>
      </c>
      <c r="F124" s="1563">
        <v>13.049388788999998</v>
      </c>
      <c r="G124" s="1568">
        <v>68329516</v>
      </c>
      <c r="H124" s="1550">
        <v>2725.1</v>
      </c>
    </row>
    <row r="125" spans="2:10" ht="13.5" hidden="1" thickBot="1">
      <c r="B125" s="1547" t="s">
        <v>342</v>
      </c>
      <c r="C125" s="1547"/>
      <c r="D125" s="1548">
        <v>120.8</v>
      </c>
      <c r="E125" s="1548">
        <v>33.799999999999997</v>
      </c>
      <c r="F125" s="1563">
        <v>22.6491522</v>
      </c>
      <c r="G125" s="1568">
        <v>177384684</v>
      </c>
      <c r="H125" s="1550">
        <v>3328.3</v>
      </c>
    </row>
    <row r="126" spans="2:10" ht="13.5" hidden="1" thickBot="1">
      <c r="B126" s="1547" t="s">
        <v>343</v>
      </c>
      <c r="C126" s="1547"/>
      <c r="D126" s="1548">
        <v>137.08000000000001</v>
      </c>
      <c r="E126" s="1548">
        <v>57.38</v>
      </c>
      <c r="F126" s="1563">
        <v>23.460016</v>
      </c>
      <c r="G126" s="1568">
        <v>233749377</v>
      </c>
      <c r="H126" s="1550">
        <v>3804.6</v>
      </c>
    </row>
    <row r="127" spans="2:10" ht="13.5" hidden="1" thickBot="1">
      <c r="B127" s="1547" t="s">
        <v>344</v>
      </c>
      <c r="C127" s="1547"/>
      <c r="D127" s="1548">
        <v>144.53</v>
      </c>
      <c r="E127" s="1548">
        <v>58.51</v>
      </c>
      <c r="F127" s="1563">
        <v>26</v>
      </c>
      <c r="G127" s="1568">
        <v>292538969</v>
      </c>
      <c r="H127" s="1550">
        <v>4007.9571099999998</v>
      </c>
    </row>
    <row r="128" spans="2:10">
      <c r="B128" s="1547"/>
      <c r="C128" s="1547"/>
      <c r="D128" s="1548"/>
      <c r="E128" s="1548"/>
      <c r="F128" s="1563"/>
      <c r="G128" s="1567"/>
      <c r="H128" s="1550"/>
    </row>
    <row r="129" spans="2:9">
      <c r="B129" s="1545">
        <v>2017</v>
      </c>
      <c r="C129" s="1545"/>
      <c r="D129" s="1548"/>
      <c r="E129" s="1548"/>
      <c r="F129" s="1563"/>
      <c r="G129" s="1568"/>
      <c r="H129" s="1550"/>
    </row>
    <row r="130" spans="2:9">
      <c r="B130" s="1547" t="s">
        <v>345</v>
      </c>
      <c r="C130" s="1547" t="s">
        <v>608</v>
      </c>
      <c r="D130" s="1548">
        <v>140.24</v>
      </c>
      <c r="E130" s="1548">
        <v>56.31</v>
      </c>
      <c r="F130" s="1563">
        <v>8.5526992000000028</v>
      </c>
      <c r="G130" s="1568">
        <v>31616982</v>
      </c>
      <c r="H130" s="1550">
        <v>3903.6605060000002</v>
      </c>
    </row>
    <row r="131" spans="2:9">
      <c r="B131" s="1547" t="s">
        <v>334</v>
      </c>
      <c r="C131" s="1547" t="s">
        <v>608</v>
      </c>
      <c r="D131" s="1548">
        <v>135.31</v>
      </c>
      <c r="E131" s="1548">
        <v>56.47</v>
      </c>
      <c r="F131" s="1563">
        <v>11.541094103166666</v>
      </c>
      <c r="G131" s="1568">
        <v>85314995</v>
      </c>
      <c r="H131" s="1550">
        <v>3770.0041259999998</v>
      </c>
    </row>
    <row r="132" spans="2:9">
      <c r="B132" s="1547" t="s">
        <v>335</v>
      </c>
      <c r="C132" s="1547" t="s">
        <v>608</v>
      </c>
      <c r="D132" s="1548">
        <v>138.96</v>
      </c>
      <c r="E132" s="1548">
        <v>58.56</v>
      </c>
      <c r="F132" s="1563">
        <v>26.933722920000001</v>
      </c>
      <c r="G132" s="1568">
        <v>145238255</v>
      </c>
      <c r="H132" s="1550">
        <v>3871.279708</v>
      </c>
    </row>
    <row r="133" spans="2:9">
      <c r="B133" s="1547" t="s">
        <v>336</v>
      </c>
      <c r="C133" s="1547" t="s">
        <v>608</v>
      </c>
      <c r="D133" s="1548">
        <v>142.96</v>
      </c>
      <c r="E133" s="1548">
        <v>66.33</v>
      </c>
      <c r="F133" s="1563">
        <v>11.204422169999999</v>
      </c>
      <c r="G133" s="1568">
        <v>75857712</v>
      </c>
      <c r="H133" s="1550">
        <v>4182.7961059999998</v>
      </c>
    </row>
    <row r="134" spans="2:9">
      <c r="B134" s="1547" t="s">
        <v>337</v>
      </c>
      <c r="C134" s="1547" t="s">
        <v>608</v>
      </c>
      <c r="D134" s="1548">
        <v>162.34</v>
      </c>
      <c r="E134" s="1563">
        <v>69.63</v>
      </c>
      <c r="F134" s="1563">
        <v>16.829770019999998</v>
      </c>
      <c r="G134" s="1568">
        <v>170830515</v>
      </c>
      <c r="H134" s="1550">
        <v>4740.1015980000002</v>
      </c>
    </row>
    <row r="135" spans="2:9">
      <c r="B135" s="1547" t="s">
        <v>338</v>
      </c>
      <c r="C135" s="1547" t="s">
        <v>608</v>
      </c>
      <c r="D135" s="1548">
        <v>195.97</v>
      </c>
      <c r="E135" s="1563">
        <v>69.790000000000006</v>
      </c>
      <c r="F135" s="1563">
        <v>39.747342179999997</v>
      </c>
      <c r="G135" s="1568">
        <v>311145262</v>
      </c>
      <c r="H135" s="1550">
        <v>5695.1987390000004</v>
      </c>
    </row>
    <row r="136" spans="2:9">
      <c r="B136" s="1547" t="s">
        <v>339</v>
      </c>
      <c r="C136" s="1547" t="s">
        <v>608</v>
      </c>
      <c r="D136" s="1548">
        <v>203.25</v>
      </c>
      <c r="E136" s="1563">
        <v>69.44</v>
      </c>
      <c r="F136" s="1550">
        <v>24.705399510000003</v>
      </c>
      <c r="G136" s="1568">
        <v>149425245</v>
      </c>
      <c r="H136" s="1550">
        <v>5759.0197920000001</v>
      </c>
    </row>
    <row r="137" spans="2:9">
      <c r="B137" s="1547" t="s">
        <v>340</v>
      </c>
      <c r="C137" s="1547" t="s">
        <v>608</v>
      </c>
      <c r="D137" s="1548">
        <v>235.03</v>
      </c>
      <c r="E137" s="1563">
        <v>73.47</v>
      </c>
      <c r="F137" s="1550">
        <v>13.600669329999999</v>
      </c>
      <c r="G137" s="1568">
        <v>107920143</v>
      </c>
      <c r="H137" s="1550">
        <v>6659.3726669999996</v>
      </c>
    </row>
    <row r="138" spans="2:9">
      <c r="B138" s="1547" t="s">
        <v>341</v>
      </c>
      <c r="C138" s="1547" t="s">
        <v>608</v>
      </c>
      <c r="D138" s="1562">
        <v>418.39</v>
      </c>
      <c r="E138" s="1549">
        <v>122.57</v>
      </c>
      <c r="F138" s="1550">
        <v>89.453175147799996</v>
      </c>
      <c r="G138" s="1565">
        <v>245278194</v>
      </c>
      <c r="H138" s="1563">
        <v>11860.204528</v>
      </c>
      <c r="I138" s="158" t="s">
        <v>1625</v>
      </c>
    </row>
    <row r="139" spans="2:9" ht="15" customHeight="1">
      <c r="B139" s="1547" t="s">
        <v>342</v>
      </c>
      <c r="C139" s="1547" t="s">
        <v>608</v>
      </c>
      <c r="D139" s="1562">
        <v>521.85</v>
      </c>
      <c r="E139" s="1549">
        <v>132.49</v>
      </c>
      <c r="F139" s="1550">
        <v>168.78858005200001</v>
      </c>
      <c r="G139" s="1565">
        <v>1006687304</v>
      </c>
      <c r="H139" s="1563">
        <v>14830.274004999999</v>
      </c>
    </row>
    <row r="140" spans="2:9" ht="14.25" customHeight="1">
      <c r="B140" s="1547" t="s">
        <v>343</v>
      </c>
      <c r="C140" s="1547" t="s">
        <v>608</v>
      </c>
      <c r="D140" s="1562">
        <v>376.69</v>
      </c>
      <c r="E140" s="1549">
        <v>126.86</v>
      </c>
      <c r="F140" s="1550">
        <v>207.52405081999999</v>
      </c>
      <c r="G140" s="1565">
        <v>196489710</v>
      </c>
      <c r="H140" s="1563">
        <v>10777.735113999999</v>
      </c>
    </row>
    <row r="141" spans="2:9" ht="14.25" customHeight="1">
      <c r="B141" s="1547" t="s">
        <v>344</v>
      </c>
      <c r="C141" s="1547" t="s">
        <v>608</v>
      </c>
      <c r="D141" s="1562">
        <v>333.02</v>
      </c>
      <c r="E141" s="1549">
        <v>142.4</v>
      </c>
      <c r="F141" s="1550">
        <v>75.267174190000006</v>
      </c>
      <c r="G141" s="1565">
        <v>844189447</v>
      </c>
      <c r="H141" s="1563">
        <v>9580.56653998</v>
      </c>
    </row>
    <row r="142" spans="2:9" ht="14.25" customHeight="1">
      <c r="B142" s="1547"/>
      <c r="C142" s="1547"/>
      <c r="D142" s="1562"/>
      <c r="E142" s="1549"/>
      <c r="F142" s="1550"/>
      <c r="G142" s="1565"/>
      <c r="H142" s="1563"/>
    </row>
    <row r="143" spans="2:9" ht="14.25" customHeight="1">
      <c r="B143" s="1545">
        <v>2018</v>
      </c>
      <c r="C143" s="1545"/>
      <c r="D143" s="1562"/>
      <c r="E143" s="1549"/>
      <c r="F143" s="1550"/>
      <c r="G143" s="1565"/>
      <c r="H143" s="1563"/>
    </row>
    <row r="144" spans="2:9" ht="14.25" customHeight="1">
      <c r="B144" s="1547" t="s">
        <v>345</v>
      </c>
      <c r="C144" s="1548">
        <v>91.32</v>
      </c>
      <c r="D144" s="1562">
        <v>305.35000000000002</v>
      </c>
      <c r="E144" s="1549">
        <v>130.41999999999999</v>
      </c>
      <c r="F144" s="1550">
        <v>31.40490016</v>
      </c>
      <c r="G144" s="1565">
        <v>55032220</v>
      </c>
      <c r="H144" s="1563">
        <v>8652.8500640000002</v>
      </c>
    </row>
    <row r="145" spans="2:10" ht="14.25" customHeight="1">
      <c r="B145" s="1547" t="s">
        <v>334</v>
      </c>
      <c r="C145" s="1548">
        <v>88.03</v>
      </c>
      <c r="D145" s="1562">
        <v>294.55</v>
      </c>
      <c r="E145" s="1549">
        <v>124.91</v>
      </c>
      <c r="F145" s="1550">
        <v>63.737354099999997</v>
      </c>
      <c r="G145" s="1565">
        <v>138142187</v>
      </c>
      <c r="H145" s="1563">
        <v>8385.9683700000005</v>
      </c>
    </row>
    <row r="146" spans="2:10" ht="14.25" customHeight="1">
      <c r="B146" s="1547" t="s">
        <v>335</v>
      </c>
      <c r="C146" s="1548">
        <v>86.98</v>
      </c>
      <c r="D146" s="1562">
        <v>291</v>
      </c>
      <c r="E146" s="1549">
        <v>125.1</v>
      </c>
      <c r="F146" s="1550">
        <v>40.325011700000005</v>
      </c>
      <c r="G146" s="1565">
        <v>108997097</v>
      </c>
      <c r="H146" s="1563">
        <v>8290.4130939999995</v>
      </c>
    </row>
    <row r="147" spans="2:10" ht="14.25" customHeight="1">
      <c r="B147" s="1547" t="s">
        <v>336</v>
      </c>
      <c r="C147" s="1548">
        <v>98.71</v>
      </c>
      <c r="D147" s="1562">
        <v>330.7</v>
      </c>
      <c r="E147" s="1549">
        <v>124.4</v>
      </c>
      <c r="F147" s="1550">
        <v>44.429922099999999</v>
      </c>
      <c r="G147" s="1565">
        <v>206342675</v>
      </c>
      <c r="H147" s="1563">
        <v>9405.343406</v>
      </c>
    </row>
    <row r="148" spans="2:10" ht="14.25" customHeight="1">
      <c r="B148" s="1547" t="s">
        <v>337</v>
      </c>
      <c r="C148" s="1548">
        <v>108.3</v>
      </c>
      <c r="D148" s="1562">
        <v>361.53</v>
      </c>
      <c r="E148" s="1549">
        <v>151.53</v>
      </c>
      <c r="F148" s="1550">
        <v>59.284139000000003</v>
      </c>
      <c r="G148" s="1565">
        <v>129155586</v>
      </c>
      <c r="H148" s="1563">
        <v>10393.237117000001</v>
      </c>
    </row>
    <row r="149" spans="2:10" ht="14.25" customHeight="1">
      <c r="B149" s="1547" t="s">
        <v>338</v>
      </c>
      <c r="C149" s="1548">
        <v>102.87</v>
      </c>
      <c r="D149" s="1562">
        <v>342.79</v>
      </c>
      <c r="E149" s="1549">
        <v>161.30000000000001</v>
      </c>
      <c r="F149" s="1550">
        <v>72.988355999999996</v>
      </c>
      <c r="G149" s="1565">
        <v>234834368</v>
      </c>
      <c r="H149" s="1563">
        <v>9792.1847749999997</v>
      </c>
    </row>
    <row r="150" spans="2:10" ht="14.25" customHeight="1">
      <c r="B150" s="1547" t="s">
        <v>339</v>
      </c>
      <c r="C150" s="1548">
        <v>114.32</v>
      </c>
      <c r="D150" s="1562">
        <v>384.25</v>
      </c>
      <c r="E150" s="1549">
        <v>163.99</v>
      </c>
      <c r="F150" s="1550">
        <v>114.94</v>
      </c>
      <c r="G150" s="1565">
        <v>624256160</v>
      </c>
      <c r="H150" s="1563">
        <v>10969.723966</v>
      </c>
    </row>
    <row r="151" spans="2:10" ht="14.25" customHeight="1">
      <c r="B151" s="1547" t="s">
        <v>340</v>
      </c>
      <c r="C151" s="1548">
        <v>117.33</v>
      </c>
      <c r="D151" s="1562">
        <v>394.64</v>
      </c>
      <c r="E151" s="1549">
        <v>161.34</v>
      </c>
      <c r="F151" s="1550">
        <v>50.494574</v>
      </c>
      <c r="G151" s="1565">
        <v>142150599</v>
      </c>
      <c r="H151" s="1563">
        <v>12475.445852000001</v>
      </c>
    </row>
    <row r="152" spans="2:10" ht="14.25" customHeight="1">
      <c r="B152" s="1547" t="s">
        <v>341</v>
      </c>
      <c r="C152" s="1548">
        <v>115.12</v>
      </c>
      <c r="D152" s="1562">
        <v>386.97</v>
      </c>
      <c r="E152" s="1549">
        <v>163.76</v>
      </c>
      <c r="F152" s="1550">
        <v>61.107647</v>
      </c>
      <c r="G152" s="1565">
        <v>197401341</v>
      </c>
      <c r="H152" s="1563">
        <v>12265.508935</v>
      </c>
    </row>
    <row r="153" spans="2:10" ht="14.25" customHeight="1">
      <c r="B153" s="1547" t="s">
        <v>342</v>
      </c>
      <c r="C153" s="1548">
        <v>163.82</v>
      </c>
      <c r="D153" s="1562">
        <v>549.80999999999995</v>
      </c>
      <c r="E153" s="1549">
        <v>217.34</v>
      </c>
      <c r="F153" s="1550">
        <v>449.6</v>
      </c>
      <c r="G153" s="1565">
        <v>316060000</v>
      </c>
      <c r="H153" s="1563">
        <v>17960</v>
      </c>
    </row>
    <row r="154" spans="2:10" ht="14.25" customHeight="1">
      <c r="B154" s="1547" t="s">
        <v>343</v>
      </c>
      <c r="C154" s="1548">
        <v>160.4</v>
      </c>
      <c r="D154" s="1562">
        <v>538.66</v>
      </c>
      <c r="E154" s="1549">
        <v>208.56</v>
      </c>
      <c r="F154" s="1550">
        <v>118</v>
      </c>
      <c r="G154" s="1565">
        <v>153874660</v>
      </c>
      <c r="H154" s="1563">
        <v>17316.599999999999</v>
      </c>
    </row>
    <row r="155" spans="2:10" ht="14.25" customHeight="1">
      <c r="B155" s="1547" t="s">
        <v>344</v>
      </c>
      <c r="C155" s="1548">
        <v>146.24</v>
      </c>
      <c r="D155" s="1562">
        <v>487.13</v>
      </c>
      <c r="E155" s="1549">
        <v>227.71</v>
      </c>
      <c r="F155" s="1550">
        <v>92.97</v>
      </c>
      <c r="G155" s="1565">
        <v>144479601</v>
      </c>
      <c r="H155" s="1563">
        <v>19424.400000000001</v>
      </c>
    </row>
    <row r="156" spans="2:10" ht="14.25" customHeight="1">
      <c r="B156" s="1547"/>
      <c r="C156" s="1548"/>
      <c r="D156" s="1562"/>
      <c r="E156" s="1549"/>
      <c r="F156" s="1550"/>
      <c r="G156" s="1565"/>
      <c r="H156" s="1563"/>
    </row>
    <row r="157" spans="2:10" ht="14.25" customHeight="1">
      <c r="B157" s="1545">
        <v>2019</v>
      </c>
      <c r="C157" s="1548"/>
      <c r="D157" s="1562"/>
      <c r="E157" s="1549"/>
      <c r="F157" s="1550"/>
      <c r="G157" s="1565"/>
      <c r="H157" s="1563"/>
    </row>
    <row r="158" spans="2:10" ht="14.25" customHeight="1">
      <c r="B158" s="1545" t="s">
        <v>345</v>
      </c>
      <c r="C158" s="1548">
        <v>157.54</v>
      </c>
      <c r="D158" s="1562">
        <v>525.9</v>
      </c>
      <c r="E158" s="1549">
        <v>213.13</v>
      </c>
      <c r="F158" s="1550">
        <v>110.28</v>
      </c>
      <c r="G158" s="1565">
        <v>122778938</v>
      </c>
      <c r="H158" s="1563">
        <v>20888.434000000001</v>
      </c>
      <c r="J158" s="1015">
        <v>1000000</v>
      </c>
    </row>
    <row r="159" spans="2:10" ht="14.25" customHeight="1">
      <c r="B159" s="1545" t="s">
        <v>334</v>
      </c>
      <c r="C159" s="1548">
        <v>148.11000000000001</v>
      </c>
      <c r="D159" s="1562">
        <v>494.31</v>
      </c>
      <c r="E159" s="1549">
        <v>206.91</v>
      </c>
      <c r="F159" s="1550">
        <v>295.83999999999997</v>
      </c>
      <c r="G159" s="1565">
        <v>229935122</v>
      </c>
      <c r="H159" s="1563">
        <v>19773.365055999999</v>
      </c>
    </row>
    <row r="160" spans="2:10" ht="14.25" customHeight="1">
      <c r="B160" s="1545" t="s">
        <v>335</v>
      </c>
      <c r="C160" s="1548">
        <v>121.66</v>
      </c>
      <c r="D160" s="1562">
        <v>405.57</v>
      </c>
      <c r="E160" s="1549">
        <v>193.98</v>
      </c>
      <c r="F160" s="1550">
        <v>70.805000000000007</v>
      </c>
      <c r="G160" s="1565">
        <v>123398632</v>
      </c>
      <c r="H160" s="1563">
        <v>16084.8664594612</v>
      </c>
      <c r="I160" s="1015"/>
    </row>
    <row r="161" spans="2:8" ht="14.25" customHeight="1">
      <c r="B161" s="1545" t="s">
        <v>336</v>
      </c>
      <c r="C161" s="1548">
        <v>133.69</v>
      </c>
      <c r="D161" s="1562">
        <v>446.52</v>
      </c>
      <c r="E161" s="1549">
        <v>186.47</v>
      </c>
      <c r="F161" s="1550">
        <v>116.52158574000001</v>
      </c>
      <c r="G161" s="1565">
        <v>134394898</v>
      </c>
      <c r="H161" s="1563">
        <v>17502.728783729301</v>
      </c>
    </row>
    <row r="162" spans="2:8" ht="14.25" customHeight="1">
      <c r="B162" s="1545" t="s">
        <v>337</v>
      </c>
      <c r="C162" s="1548">
        <v>188.06</v>
      </c>
      <c r="D162" s="1562">
        <v>628.41</v>
      </c>
      <c r="E162" s="1549">
        <v>225.81</v>
      </c>
      <c r="F162" s="1550">
        <v>193.52402867040001</v>
      </c>
      <c r="G162" s="1565">
        <v>237334372</v>
      </c>
      <c r="H162" s="1563">
        <v>24919.955295636806</v>
      </c>
    </row>
    <row r="163" spans="2:8" ht="14.25" customHeight="1">
      <c r="B163" s="1545" t="s">
        <v>338</v>
      </c>
      <c r="C163" s="1548">
        <v>204.75</v>
      </c>
      <c r="D163" s="1562">
        <v>683.51</v>
      </c>
      <c r="E163" s="1549">
        <v>255.26</v>
      </c>
      <c r="F163" s="1550">
        <v>235.49000161449999</v>
      </c>
      <c r="G163" s="1565">
        <v>293138775</v>
      </c>
      <c r="H163" s="1563">
        <v>27017.166999041601</v>
      </c>
    </row>
    <row r="164" spans="2:8" ht="14.25" customHeight="1">
      <c r="B164" s="1545" t="s">
        <v>339</v>
      </c>
      <c r="C164" s="1548">
        <v>187.12</v>
      </c>
      <c r="D164" s="1562">
        <v>624.41</v>
      </c>
      <c r="E164" s="1549">
        <v>244.58</v>
      </c>
      <c r="F164" s="1550">
        <v>191.04598110365001</v>
      </c>
      <c r="G164" s="1565">
        <v>163556663</v>
      </c>
      <c r="H164" s="1563">
        <v>24636.140660000001</v>
      </c>
    </row>
    <row r="165" spans="2:8">
      <c r="B165" s="1545" t="s">
        <v>340</v>
      </c>
      <c r="C165" s="1561">
        <v>166.36</v>
      </c>
      <c r="D165" s="1560">
        <v>553.59</v>
      </c>
      <c r="E165" s="1578">
        <v>269.55</v>
      </c>
      <c r="F165" s="1550">
        <v>109.03</v>
      </c>
      <c r="G165" s="1565">
        <v>117688558</v>
      </c>
      <c r="H165" s="1586">
        <v>21742.2</v>
      </c>
    </row>
    <row r="166" spans="2:8" ht="13.5" thickBot="1">
      <c r="B166" s="1571" t="s">
        <v>341</v>
      </c>
      <c r="C166" s="1576">
        <v>232.52</v>
      </c>
      <c r="D166" s="1577">
        <v>774.55</v>
      </c>
      <c r="E166" s="1579">
        <v>317.75</v>
      </c>
      <c r="F166" s="1581">
        <v>166.56</v>
      </c>
      <c r="G166" s="1566">
        <v>335373041</v>
      </c>
      <c r="H166" s="1505">
        <v>30527.182911699299</v>
      </c>
    </row>
    <row r="168" spans="2:8" ht="15.75">
      <c r="B168" s="1433" t="s">
        <v>1778</v>
      </c>
      <c r="C168" s="1232"/>
    </row>
    <row r="169" spans="2:8">
      <c r="B169" s="158" t="s">
        <v>1770</v>
      </c>
    </row>
    <row r="173" spans="2:8">
      <c r="G173" s="672" t="s">
        <v>296</v>
      </c>
    </row>
  </sheetData>
  <customSheetViews>
    <customSheetView guid="{705E0D18-9A83-42CA-8732-90923BE2EC7D}" scale="115" showPageBreaks="1" showGridLines="0" printArea="1" hiddenRows="1">
      <pane xSplit="2" ySplit="80" topLeftCell="C145" activePane="bottomRight" state="frozen"/>
      <selection pane="bottomRight" activeCell="A149" sqref="A149:XFD149"/>
      <pageMargins left="0.7" right="0.7" top="0.75" bottom="0.75" header="0.3" footer="0.3"/>
      <printOptions horizontalCentered="1"/>
      <pageSetup scale="99" orientation="landscape" r:id="rId1"/>
    </customSheetView>
    <customSheetView guid="{D45E5F9E-4EA6-40A2-8A1D-3AC67FB8CE54}" scale="115" showPageBreaks="1" showGridLines="0" printArea="1" hiddenRows="1">
      <pane xSplit="2" ySplit="80" topLeftCell="C145" activePane="bottomRight" state="frozen"/>
      <selection pane="bottomRight" activeCell="E151" sqref="E151"/>
      <pageMargins left="0.7" right="0.7" top="0.75" bottom="0.75" header="0.3" footer="0.3"/>
      <printOptions horizontalCentered="1"/>
      <pageSetup scale="99" orientation="landscape" r:id="rId2"/>
    </customSheetView>
    <customSheetView guid="{098C004C-808F-436E-8F18-182F927479D1}" scale="115" showPageBreaks="1" showGridLines="0" printArea="1" hiddenRows="1">
      <pane xSplit="2" ySplit="79" topLeftCell="C111" activePane="bottomRight" state="frozen"/>
      <selection pane="bottomRight" activeCell="D125" sqref="D125"/>
      <pageMargins left="0.7" right="0.7" top="0.75" bottom="0.75" header="0.3" footer="0.3"/>
      <printOptions horizontalCentered="1"/>
      <pageSetup scale="99" orientation="landscape" r:id="rId3"/>
    </customSheetView>
    <customSheetView guid="{89CA84C2-78F5-4B05-8F1D-B7C5F97BCB4E}" scale="115" showPageBreaks="1" showGridLines="0" printArea="1" hiddenRows="1">
      <pane xSplit="2" ySplit="80" topLeftCell="C134" activePane="bottomRight" state="frozen"/>
      <selection pane="bottomRight" activeCell="F145" sqref="F145"/>
      <pageMargins left="0.7" right="0.7" top="0.75" bottom="0.75" header="0.3" footer="0.3"/>
      <printOptions horizontalCentered="1"/>
      <pageSetup scale="99" orientation="landscape" r:id="rId4"/>
    </customSheetView>
  </customSheetViews>
  <mergeCells count="11">
    <mergeCell ref="E8:E9"/>
    <mergeCell ref="E10:E11"/>
    <mergeCell ref="E12:E13"/>
    <mergeCell ref="E14:E15"/>
    <mergeCell ref="D5:E5"/>
    <mergeCell ref="B3:H3"/>
    <mergeCell ref="F5:G5"/>
    <mergeCell ref="D6:D7"/>
    <mergeCell ref="F6:F7"/>
    <mergeCell ref="G6:G7"/>
    <mergeCell ref="E6:E7"/>
  </mergeCells>
  <printOptions horizontalCentered="1"/>
  <pageMargins left="0.7" right="0.7" top="0.75" bottom="0.75" header="0.3" footer="0.3"/>
  <pageSetup scale="99" orientation="landscape" r:id="rId5"/>
  <drawing r:id="rId6"/>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2:BF340"/>
  <sheetViews>
    <sheetView topLeftCell="A56" zoomScale="75" zoomScaleNormal="75" zoomScaleSheetLayoutView="80" workbookViewId="0">
      <pane xSplit="3" ySplit="20" topLeftCell="D149" activePane="bottomRight" state="frozen"/>
      <selection activeCell="J193" sqref="J193"/>
      <selection pane="topRight" activeCell="J193" sqref="J193"/>
      <selection pane="bottomLeft" activeCell="J193" sqref="J193"/>
      <selection pane="bottomRight" activeCell="J193" sqref="J193"/>
    </sheetView>
  </sheetViews>
  <sheetFormatPr defaultColWidth="8.77734375" defaultRowHeight="15"/>
  <cols>
    <col min="1" max="2" width="8.77734375" style="143"/>
    <col min="3" max="3" width="13.21875" style="143" customWidth="1"/>
    <col min="4" max="4" width="16.77734375" style="143" customWidth="1"/>
    <col min="5" max="5" width="14" style="143" customWidth="1"/>
    <col min="6" max="6" width="13" style="143" customWidth="1"/>
    <col min="7" max="7" width="11.44140625" style="143" customWidth="1"/>
    <col min="8" max="8" width="14.77734375" style="143" customWidth="1"/>
    <col min="9" max="9" width="12.44140625" style="143" customWidth="1"/>
    <col min="10" max="10" width="12" style="143" bestFit="1" customWidth="1"/>
    <col min="11" max="11" width="12.77734375" style="143" bestFit="1" customWidth="1"/>
    <col min="12" max="12" width="8.77734375" style="143"/>
    <col min="13" max="13" width="23.5546875" style="143" customWidth="1"/>
    <col min="14" max="14" width="15.21875" style="143" bestFit="1" customWidth="1"/>
    <col min="15" max="15" width="14.77734375" style="143" bestFit="1" customWidth="1"/>
    <col min="16" max="17" width="9" style="143" bestFit="1" customWidth="1"/>
    <col min="18" max="16384" width="8.77734375" style="143"/>
  </cols>
  <sheetData>
    <row r="2" spans="2:10" ht="26.25" hidden="1" customHeight="1">
      <c r="C2" s="1964" t="s">
        <v>1193</v>
      </c>
      <c r="D2" s="1964"/>
      <c r="E2" s="1964"/>
      <c r="F2" s="1964"/>
      <c r="G2" s="1964"/>
      <c r="H2" s="144"/>
      <c r="I2" s="144"/>
      <c r="J2" s="144"/>
    </row>
    <row r="3" spans="2:10" ht="26.25" hidden="1" customHeight="1">
      <c r="C3" s="146"/>
      <c r="D3" s="144"/>
      <c r="E3" s="145"/>
      <c r="F3" s="144"/>
      <c r="G3" s="144"/>
      <c r="H3" s="144"/>
      <c r="I3" s="144"/>
      <c r="J3" s="144"/>
    </row>
    <row r="4" spans="2:10" ht="26.25" hidden="1" customHeight="1">
      <c r="C4" s="1965" t="s">
        <v>1039</v>
      </c>
      <c r="D4" s="1965"/>
      <c r="E4" s="1965"/>
      <c r="F4" s="1965"/>
      <c r="G4" s="1965"/>
      <c r="H4" s="144"/>
      <c r="I4" s="144"/>
      <c r="J4" s="144"/>
    </row>
    <row r="5" spans="2:10" ht="26.25" hidden="1" customHeight="1" thickBot="1">
      <c r="C5" s="147"/>
      <c r="D5" s="157"/>
      <c r="E5" s="149"/>
      <c r="F5" s="148"/>
      <c r="G5" s="148"/>
      <c r="H5" s="144"/>
      <c r="I5" s="144"/>
      <c r="J5" s="144"/>
    </row>
    <row r="6" spans="2:10" ht="27" hidden="1" thickTop="1" thickBot="1">
      <c r="B6" s="150"/>
      <c r="C6" s="491" t="s">
        <v>765</v>
      </c>
      <c r="D6" s="491" t="s">
        <v>1130</v>
      </c>
      <c r="E6" s="491" t="s">
        <v>1131</v>
      </c>
      <c r="F6" s="491" t="s">
        <v>1132</v>
      </c>
      <c r="G6" s="491" t="s">
        <v>1118</v>
      </c>
    </row>
    <row r="7" spans="2:10" ht="26.25" hidden="1" customHeight="1" thickTop="1">
      <c r="B7" s="150"/>
      <c r="C7" s="490">
        <v>2010</v>
      </c>
      <c r="D7" s="151"/>
      <c r="E7" s="151"/>
      <c r="F7" s="151"/>
      <c r="G7" s="152"/>
    </row>
    <row r="8" spans="2:10" ht="26.25" hidden="1" customHeight="1">
      <c r="C8" s="153" t="s">
        <v>345</v>
      </c>
      <c r="D8" s="487">
        <v>1034.24625386</v>
      </c>
      <c r="E8" s="487">
        <v>1.8439950900000002</v>
      </c>
      <c r="F8" s="487">
        <v>3.66830999</v>
      </c>
      <c r="G8" s="487">
        <v>4.8369860899999999</v>
      </c>
    </row>
    <row r="9" spans="2:10" ht="26.25" hidden="1" customHeight="1">
      <c r="C9" s="153" t="s">
        <v>334</v>
      </c>
      <c r="D9" s="487">
        <v>1112.4206959400001</v>
      </c>
      <c r="E9" s="487">
        <v>2.3483414500000004</v>
      </c>
      <c r="F9" s="487">
        <v>13.68571433</v>
      </c>
      <c r="G9" s="487">
        <v>10.711198479999998</v>
      </c>
    </row>
    <row r="10" spans="2:10" ht="26.25" hidden="1" customHeight="1">
      <c r="C10" s="153" t="s">
        <v>335</v>
      </c>
      <c r="D10" s="487">
        <v>1595.3997383599997</v>
      </c>
      <c r="E10" s="487">
        <v>3.0016652700000002</v>
      </c>
      <c r="F10" s="487">
        <v>14.736150500000001</v>
      </c>
      <c r="G10" s="487">
        <v>14.08385142</v>
      </c>
    </row>
    <row r="11" spans="2:10" ht="26.25" hidden="1" customHeight="1">
      <c r="C11" s="153" t="s">
        <v>336</v>
      </c>
      <c r="D11" s="487">
        <v>1666.2262297699997</v>
      </c>
      <c r="E11" s="487">
        <v>2.7166471000000003</v>
      </c>
      <c r="F11" s="487">
        <v>21.504818499999999</v>
      </c>
      <c r="G11" s="487">
        <v>13.115489160000003</v>
      </c>
    </row>
    <row r="12" spans="2:10" ht="26.25" hidden="1" customHeight="1">
      <c r="C12" s="153" t="s">
        <v>337</v>
      </c>
      <c r="D12" s="487">
        <v>1674.4361187500001</v>
      </c>
      <c r="E12" s="487">
        <v>3.23842323</v>
      </c>
      <c r="F12" s="487">
        <v>24.013133</v>
      </c>
      <c r="G12" s="487">
        <v>15.296589319999999</v>
      </c>
    </row>
    <row r="13" spans="2:10" ht="26.25" hidden="1" customHeight="1">
      <c r="C13" s="154" t="s">
        <v>338</v>
      </c>
      <c r="D13" s="487">
        <v>1815.3130799</v>
      </c>
      <c r="E13" s="487">
        <v>3.66562783</v>
      </c>
      <c r="F13" s="487">
        <v>22.62382642</v>
      </c>
      <c r="G13" s="487">
        <v>31.854381960000001</v>
      </c>
    </row>
    <row r="14" spans="2:10" ht="26.25" hidden="1" customHeight="1">
      <c r="C14" s="154" t="s">
        <v>339</v>
      </c>
      <c r="D14" s="487">
        <v>1846.5881107999999</v>
      </c>
      <c r="E14" s="487">
        <v>4.0378604600000001</v>
      </c>
      <c r="F14" s="487">
        <v>32.85448272</v>
      </c>
      <c r="G14" s="487">
        <v>36.692399180000002</v>
      </c>
    </row>
    <row r="15" spans="2:10" ht="26.25" hidden="1" customHeight="1">
      <c r="C15" s="154" t="s">
        <v>340</v>
      </c>
      <c r="D15" s="487">
        <v>1816.5916642300001</v>
      </c>
      <c r="E15" s="487">
        <v>3.7900683500408094</v>
      </c>
      <c r="F15" s="487">
        <v>30.15819638</v>
      </c>
      <c r="G15" s="487">
        <v>19.30884863</v>
      </c>
    </row>
    <row r="16" spans="2:10" ht="26.25" hidden="1" customHeight="1">
      <c r="C16" s="154" t="s">
        <v>348</v>
      </c>
      <c r="D16" s="487">
        <v>2149.68795</v>
      </c>
      <c r="E16" s="487">
        <v>4.4845545700000002</v>
      </c>
      <c r="F16" s="487">
        <v>46.38817487</v>
      </c>
      <c r="G16" s="487">
        <v>18.704299679999995</v>
      </c>
    </row>
    <row r="17" spans="3:7" ht="26.25" hidden="1" customHeight="1">
      <c r="C17" s="154" t="s">
        <v>342</v>
      </c>
      <c r="D17" s="487">
        <v>1984.8126464000002</v>
      </c>
      <c r="E17" s="487">
        <v>4.4808489299999996</v>
      </c>
      <c r="F17" s="487">
        <v>42.020768170000004</v>
      </c>
      <c r="G17" s="487">
        <v>19.643766429999996</v>
      </c>
    </row>
    <row r="18" spans="3:7" ht="26.25" hidden="1" customHeight="1">
      <c r="C18" s="154" t="s">
        <v>343</v>
      </c>
      <c r="D18" s="487">
        <v>2380.5509893900003</v>
      </c>
      <c r="E18" s="487">
        <v>4.5794676600000015</v>
      </c>
      <c r="F18" s="487">
        <v>51.933691400000001</v>
      </c>
      <c r="G18" s="487">
        <v>24.439639820000004</v>
      </c>
    </row>
    <row r="19" spans="3:7" ht="26.25" hidden="1" customHeight="1">
      <c r="C19" s="154" t="s">
        <v>344</v>
      </c>
      <c r="D19" s="487">
        <v>2658.29567189</v>
      </c>
      <c r="E19" s="487">
        <v>4.2205464109999991</v>
      </c>
      <c r="F19" s="487">
        <v>63.264977439999996</v>
      </c>
      <c r="G19" s="487">
        <v>22.102855119999997</v>
      </c>
    </row>
    <row r="20" spans="3:7" ht="26.25" hidden="1" customHeight="1">
      <c r="C20" s="154"/>
      <c r="D20" s="487"/>
      <c r="E20" s="487"/>
      <c r="F20" s="487"/>
      <c r="G20" s="487"/>
    </row>
    <row r="21" spans="3:7" ht="26.25" hidden="1" customHeight="1">
      <c r="C21" s="489" t="s">
        <v>1150</v>
      </c>
      <c r="D21" s="488">
        <f>SUM(D8:D20)</f>
        <v>21734.56914929</v>
      </c>
      <c r="E21" s="488">
        <f>SUM(E8:E20)</f>
        <v>42.408046351040809</v>
      </c>
      <c r="F21" s="488">
        <f>SUM(F8:F20)</f>
        <v>366.85224371999999</v>
      </c>
      <c r="G21" s="488">
        <f>SUM(G8:G20)</f>
        <v>230.79030528999996</v>
      </c>
    </row>
    <row r="22" spans="3:7" ht="26.25" hidden="1" customHeight="1">
      <c r="C22" s="489"/>
      <c r="D22" s="488"/>
      <c r="E22" s="488"/>
      <c r="F22" s="488"/>
      <c r="G22" s="488"/>
    </row>
    <row r="23" spans="3:7" ht="26.25" hidden="1" customHeight="1">
      <c r="C23" s="489">
        <v>2011</v>
      </c>
      <c r="D23" s="488"/>
      <c r="E23" s="488"/>
      <c r="F23" s="488"/>
      <c r="G23" s="488"/>
    </row>
    <row r="24" spans="3:7" ht="26.25" hidden="1" customHeight="1">
      <c r="C24" s="489"/>
      <c r="D24" s="488"/>
      <c r="E24" s="488"/>
      <c r="F24" s="488"/>
      <c r="G24" s="488"/>
    </row>
    <row r="25" spans="3:7" ht="26.25" hidden="1" customHeight="1">
      <c r="C25" s="153" t="s">
        <v>345</v>
      </c>
      <c r="D25" s="488">
        <v>2193.0275486999999</v>
      </c>
      <c r="E25" s="488">
        <v>4.1750608300000005</v>
      </c>
      <c r="F25" s="488">
        <f>(8166429.23+47674919)/1000000</f>
        <v>55.841348230000001</v>
      </c>
      <c r="G25" s="488">
        <f>(148491.05+23388646.55)/1000000</f>
        <v>23.537137600000001</v>
      </c>
    </row>
    <row r="26" spans="3:7" ht="26.25" hidden="1" customHeight="1">
      <c r="C26" s="153" t="s">
        <v>334</v>
      </c>
      <c r="D26" s="488">
        <v>1978.71801611</v>
      </c>
      <c r="E26" s="488">
        <v>4.37489404</v>
      </c>
      <c r="F26" s="488">
        <v>59.067092680000002</v>
      </c>
      <c r="G26" s="488">
        <v>29.096125269999998</v>
      </c>
    </row>
    <row r="27" spans="3:7" ht="26.25" hidden="1" customHeight="1">
      <c r="C27" s="535" t="s">
        <v>335</v>
      </c>
      <c r="D27" s="536">
        <v>2716.5</v>
      </c>
      <c r="E27" s="536">
        <v>5.617</v>
      </c>
      <c r="F27" s="536">
        <v>71.003</v>
      </c>
      <c r="G27" s="536">
        <v>37.53</v>
      </c>
    </row>
    <row r="28" spans="3:7" ht="26.25" hidden="1" customHeight="1">
      <c r="C28" s="153" t="s">
        <v>336</v>
      </c>
      <c r="D28" s="540">
        <v>2282.6999999999998</v>
      </c>
      <c r="E28" s="541">
        <v>4.5</v>
      </c>
      <c r="F28" s="541">
        <v>87.3</v>
      </c>
      <c r="G28" s="541">
        <v>35.4</v>
      </c>
    </row>
    <row r="29" spans="3:7" ht="26.25" hidden="1" customHeight="1">
      <c r="C29" s="153" t="s">
        <v>337</v>
      </c>
      <c r="D29" s="540">
        <f>+D30*(1-0.14)</f>
        <v>2446.1840000000002</v>
      </c>
      <c r="E29" s="541">
        <f>+E30*(1-0.15)</f>
        <v>5.0999999999999996</v>
      </c>
      <c r="F29" s="542">
        <v>87.78</v>
      </c>
      <c r="G29" s="541">
        <v>43.73</v>
      </c>
    </row>
    <row r="30" spans="3:7" ht="26.25" hidden="1" customHeight="1">
      <c r="C30" s="153" t="s">
        <v>338</v>
      </c>
      <c r="D30" s="544">
        <v>2844.4</v>
      </c>
      <c r="E30" s="545">
        <v>6</v>
      </c>
      <c r="F30" s="546">
        <f>15.6+62.7</f>
        <v>78.3</v>
      </c>
      <c r="G30" s="546">
        <f>0.27+35.6</f>
        <v>35.870000000000005</v>
      </c>
    </row>
    <row r="31" spans="3:7" ht="26.25" hidden="1" customHeight="1">
      <c r="C31" s="153" t="s">
        <v>339</v>
      </c>
      <c r="D31" s="543">
        <v>2830.1</v>
      </c>
      <c r="E31" s="545">
        <v>5.5979999999999999</v>
      </c>
      <c r="F31" s="546">
        <v>97</v>
      </c>
      <c r="G31" s="546">
        <v>43.9</v>
      </c>
    </row>
    <row r="32" spans="3:7" ht="26.25" hidden="1" customHeight="1">
      <c r="C32" s="153" t="s">
        <v>340</v>
      </c>
      <c r="D32" s="564">
        <v>2948.01</v>
      </c>
      <c r="E32" s="564">
        <v>5.7</v>
      </c>
      <c r="F32" s="564">
        <v>104.2</v>
      </c>
      <c r="G32" s="564">
        <v>49.7</v>
      </c>
    </row>
    <row r="33" spans="1:58" s="153" customFormat="1" ht="26.25" hidden="1" customHeight="1">
      <c r="A33" s="561"/>
      <c r="B33" s="563"/>
      <c r="C33" s="153" t="s">
        <v>341</v>
      </c>
      <c r="D33" s="564">
        <v>2984.49</v>
      </c>
      <c r="E33" s="564">
        <v>5.96</v>
      </c>
      <c r="F33" s="564">
        <v>99.27</v>
      </c>
      <c r="G33" s="564">
        <v>55.519999999999996</v>
      </c>
      <c r="H33" s="562"/>
      <c r="I33" s="561"/>
      <c r="J33" s="561"/>
      <c r="K33" s="561"/>
      <c r="L33" s="561"/>
      <c r="M33" s="561"/>
      <c r="N33" s="561"/>
      <c r="O33" s="561"/>
      <c r="P33" s="561"/>
      <c r="Q33" s="561"/>
      <c r="R33" s="561"/>
      <c r="S33" s="561"/>
      <c r="T33" s="561"/>
      <c r="U33" s="561"/>
      <c r="V33" s="561"/>
      <c r="W33" s="561"/>
      <c r="X33" s="561"/>
      <c r="Y33" s="561"/>
      <c r="Z33" s="561"/>
      <c r="AA33" s="561"/>
      <c r="AB33" s="561"/>
      <c r="AC33" s="561"/>
      <c r="AD33" s="561"/>
      <c r="AE33" s="561"/>
      <c r="AF33" s="561"/>
      <c r="AG33" s="561"/>
      <c r="AH33" s="561"/>
      <c r="AI33" s="561"/>
      <c r="AJ33" s="561"/>
      <c r="AK33" s="561"/>
      <c r="AL33" s="561"/>
      <c r="AM33" s="561"/>
      <c r="AN33" s="561"/>
      <c r="AO33" s="561"/>
      <c r="AP33" s="561"/>
      <c r="AQ33" s="561"/>
      <c r="AR33" s="561"/>
      <c r="AS33" s="561"/>
      <c r="AT33" s="561"/>
      <c r="AU33" s="561"/>
      <c r="AV33" s="561"/>
      <c r="AW33" s="561"/>
      <c r="AX33" s="561"/>
      <c r="AY33" s="561"/>
      <c r="AZ33" s="561"/>
      <c r="BA33" s="561"/>
      <c r="BB33" s="561"/>
      <c r="BC33" s="561"/>
      <c r="BD33" s="561"/>
      <c r="BE33" s="561"/>
      <c r="BF33" s="561"/>
    </row>
    <row r="34" spans="1:58" s="153" customFormat="1" ht="26.25" hidden="1" customHeight="1">
      <c r="A34" s="561"/>
      <c r="B34" s="563"/>
      <c r="C34" s="153" t="s">
        <v>342</v>
      </c>
      <c r="D34" s="569">
        <v>3078</v>
      </c>
      <c r="E34" s="560">
        <v>6.12</v>
      </c>
      <c r="F34" s="560">
        <v>113.2</v>
      </c>
      <c r="G34" s="560">
        <v>57.7</v>
      </c>
      <c r="H34" s="562"/>
      <c r="I34" s="561"/>
      <c r="J34" s="561"/>
      <c r="K34" s="561"/>
      <c r="L34" s="561"/>
      <c r="M34" s="561"/>
      <c r="N34" s="561"/>
      <c r="O34" s="561"/>
      <c r="P34" s="561"/>
      <c r="Q34" s="561"/>
      <c r="R34" s="561"/>
      <c r="S34" s="561"/>
      <c r="T34" s="561"/>
      <c r="U34" s="561"/>
      <c r="V34" s="561"/>
      <c r="W34" s="561"/>
      <c r="X34" s="561"/>
      <c r="Y34" s="561"/>
      <c r="Z34" s="561"/>
      <c r="AA34" s="561"/>
      <c r="AB34" s="561"/>
      <c r="AC34" s="561"/>
      <c r="AD34" s="561"/>
      <c r="AE34" s="561"/>
      <c r="AF34" s="561"/>
      <c r="AG34" s="561"/>
      <c r="AH34" s="561"/>
      <c r="AI34" s="561"/>
      <c r="AJ34" s="561"/>
      <c r="AK34" s="561"/>
      <c r="AL34" s="561"/>
      <c r="AM34" s="561"/>
      <c r="AN34" s="561"/>
      <c r="AO34" s="561"/>
      <c r="AP34" s="561"/>
      <c r="AQ34" s="561"/>
      <c r="AR34" s="561"/>
      <c r="AS34" s="561"/>
      <c r="AT34" s="561"/>
      <c r="AU34" s="561"/>
      <c r="AV34" s="561"/>
      <c r="AW34" s="561"/>
      <c r="AX34" s="561"/>
      <c r="AY34" s="561"/>
      <c r="AZ34" s="561"/>
      <c r="BA34" s="561"/>
      <c r="BB34" s="561"/>
      <c r="BC34" s="561"/>
      <c r="BD34" s="561"/>
      <c r="BE34" s="561"/>
      <c r="BF34" s="561"/>
    </row>
    <row r="35" spans="1:58" s="153" customFormat="1" ht="26.25" hidden="1" customHeight="1">
      <c r="A35" s="561"/>
      <c r="B35" s="563"/>
      <c r="C35" s="153" t="s">
        <v>343</v>
      </c>
      <c r="D35" s="569">
        <v>3160.85</v>
      </c>
      <c r="E35" s="560">
        <v>5.94</v>
      </c>
      <c r="F35" s="560">
        <v>122</v>
      </c>
      <c r="G35" s="560">
        <v>60.6</v>
      </c>
      <c r="H35" s="562"/>
      <c r="I35" s="561"/>
      <c r="J35" s="561"/>
      <c r="K35" s="561"/>
      <c r="L35" s="561"/>
      <c r="M35" s="561"/>
      <c r="N35" s="561"/>
      <c r="O35" s="561"/>
      <c r="P35" s="561"/>
      <c r="Q35" s="561"/>
      <c r="R35" s="561"/>
      <c r="S35" s="561"/>
      <c r="T35" s="561"/>
      <c r="U35" s="561"/>
      <c r="V35" s="561"/>
      <c r="W35" s="561"/>
      <c r="X35" s="561"/>
      <c r="Y35" s="561"/>
      <c r="Z35" s="561"/>
      <c r="AA35" s="561"/>
      <c r="AB35" s="561"/>
      <c r="AC35" s="561"/>
      <c r="AD35" s="561"/>
      <c r="AE35" s="561"/>
      <c r="AF35" s="561"/>
      <c r="AG35" s="561"/>
      <c r="AH35" s="561"/>
      <c r="AI35" s="561"/>
      <c r="AJ35" s="561"/>
      <c r="AK35" s="561"/>
      <c r="AL35" s="561"/>
      <c r="AM35" s="561"/>
      <c r="AN35" s="561"/>
      <c r="AO35" s="561"/>
      <c r="AP35" s="561"/>
      <c r="AQ35" s="561"/>
      <c r="AR35" s="561"/>
      <c r="AS35" s="561"/>
      <c r="AT35" s="561"/>
      <c r="AU35" s="561"/>
      <c r="AV35" s="561"/>
      <c r="AW35" s="561"/>
      <c r="AX35" s="561"/>
      <c r="AY35" s="561"/>
      <c r="AZ35" s="561"/>
      <c r="BA35" s="561"/>
      <c r="BB35" s="561"/>
      <c r="BC35" s="561"/>
      <c r="BD35" s="561"/>
      <c r="BE35" s="561"/>
      <c r="BF35" s="561"/>
    </row>
    <row r="36" spans="1:58" s="153" customFormat="1" ht="26.25" hidden="1" customHeight="1">
      <c r="A36" s="561"/>
      <c r="B36" s="563"/>
      <c r="C36" s="153" t="s">
        <v>344</v>
      </c>
      <c r="D36" s="579">
        <v>2892.23</v>
      </c>
      <c r="E36" s="580">
        <v>4.99</v>
      </c>
      <c r="F36" s="580">
        <f>47.26+117.06</f>
        <v>164.32</v>
      </c>
      <c r="G36" s="580">
        <f>1.93+56.61</f>
        <v>58.54</v>
      </c>
      <c r="H36" s="562"/>
      <c r="I36" s="561"/>
      <c r="J36" s="561"/>
      <c r="K36" s="561"/>
      <c r="L36" s="561"/>
      <c r="M36" s="561"/>
      <c r="N36" s="561"/>
      <c r="O36" s="561"/>
      <c r="P36" s="561"/>
      <c r="Q36" s="561"/>
      <c r="R36" s="561"/>
      <c r="S36" s="561"/>
      <c r="T36" s="561"/>
      <c r="U36" s="561"/>
      <c r="V36" s="561"/>
      <c r="W36" s="561"/>
      <c r="X36" s="561"/>
      <c r="Y36" s="561"/>
      <c r="Z36" s="561"/>
      <c r="AA36" s="561"/>
      <c r="AB36" s="561"/>
      <c r="AC36" s="561"/>
      <c r="AD36" s="561"/>
      <c r="AE36" s="561"/>
      <c r="AF36" s="561"/>
      <c r="AG36" s="561"/>
      <c r="AH36" s="561"/>
      <c r="AI36" s="561"/>
      <c r="AJ36" s="561"/>
      <c r="AK36" s="561"/>
      <c r="AL36" s="561"/>
      <c r="AM36" s="561"/>
      <c r="AN36" s="561"/>
      <c r="AO36" s="561"/>
      <c r="AP36" s="561"/>
      <c r="AQ36" s="561"/>
      <c r="AR36" s="561"/>
      <c r="AS36" s="561"/>
      <c r="AT36" s="561"/>
      <c r="AU36" s="561"/>
      <c r="AV36" s="561"/>
      <c r="AW36" s="561"/>
      <c r="AX36" s="561"/>
      <c r="AY36" s="561"/>
      <c r="AZ36" s="561"/>
      <c r="BA36" s="561"/>
      <c r="BB36" s="561"/>
      <c r="BC36" s="561"/>
      <c r="BD36" s="561"/>
      <c r="BE36" s="561"/>
      <c r="BF36" s="561"/>
    </row>
    <row r="37" spans="1:58" s="153" customFormat="1" ht="26.25" hidden="1" customHeight="1">
      <c r="A37" s="561"/>
      <c r="B37" s="563"/>
      <c r="D37" s="579"/>
      <c r="E37" s="580"/>
      <c r="F37" s="580"/>
      <c r="G37" s="580"/>
      <c r="H37" s="562"/>
      <c r="I37" s="561"/>
      <c r="J37" s="561"/>
      <c r="K37" s="561"/>
      <c r="L37" s="561"/>
      <c r="M37" s="561"/>
      <c r="N37" s="561"/>
      <c r="O37" s="561"/>
      <c r="P37" s="561"/>
      <c r="Q37" s="561"/>
      <c r="R37" s="561"/>
      <c r="S37" s="561"/>
      <c r="T37" s="561"/>
      <c r="U37" s="561"/>
      <c r="V37" s="561"/>
      <c r="W37" s="561"/>
      <c r="X37" s="561"/>
      <c r="Y37" s="561"/>
      <c r="Z37" s="561"/>
      <c r="AA37" s="561"/>
      <c r="AB37" s="561"/>
      <c r="AC37" s="561"/>
      <c r="AD37" s="561"/>
      <c r="AE37" s="561"/>
      <c r="AF37" s="561"/>
      <c r="AG37" s="561"/>
      <c r="AH37" s="561"/>
      <c r="AI37" s="561"/>
      <c r="AJ37" s="561"/>
      <c r="AK37" s="561"/>
      <c r="AL37" s="561"/>
      <c r="AM37" s="561"/>
      <c r="AN37" s="561"/>
      <c r="AO37" s="561"/>
      <c r="AP37" s="561"/>
      <c r="AQ37" s="561"/>
      <c r="AR37" s="561"/>
      <c r="AS37" s="561"/>
      <c r="AT37" s="561"/>
      <c r="AU37" s="561"/>
      <c r="AV37" s="561"/>
      <c r="AW37" s="561"/>
      <c r="AX37" s="561"/>
      <c r="AY37" s="561"/>
      <c r="AZ37" s="561"/>
      <c r="BA37" s="561"/>
      <c r="BB37" s="561"/>
      <c r="BC37" s="561"/>
      <c r="BD37" s="561"/>
      <c r="BE37" s="561"/>
      <c r="BF37" s="561"/>
    </row>
    <row r="38" spans="1:58" s="153" customFormat="1" ht="26.25" hidden="1" customHeight="1">
      <c r="A38" s="561"/>
      <c r="B38" s="563"/>
      <c r="D38" s="579"/>
      <c r="E38" s="580"/>
      <c r="F38" s="580"/>
      <c r="G38" s="580"/>
      <c r="H38" s="562"/>
      <c r="I38" s="561"/>
      <c r="J38" s="561"/>
      <c r="K38" s="561"/>
      <c r="L38" s="561"/>
      <c r="M38" s="561"/>
      <c r="N38" s="561"/>
      <c r="O38" s="561"/>
      <c r="P38" s="561"/>
      <c r="Q38" s="561"/>
      <c r="R38" s="561"/>
      <c r="S38" s="561"/>
      <c r="T38" s="561"/>
      <c r="U38" s="561"/>
      <c r="V38" s="561"/>
      <c r="W38" s="561"/>
      <c r="X38" s="561"/>
      <c r="Y38" s="561"/>
      <c r="Z38" s="561"/>
      <c r="AA38" s="561"/>
      <c r="AB38" s="561"/>
      <c r="AC38" s="561"/>
      <c r="AD38" s="561"/>
      <c r="AE38" s="561"/>
      <c r="AF38" s="561"/>
      <c r="AG38" s="561"/>
      <c r="AH38" s="561"/>
      <c r="AI38" s="561"/>
      <c r="AJ38" s="561"/>
      <c r="AK38" s="561"/>
      <c r="AL38" s="561"/>
      <c r="AM38" s="561"/>
      <c r="AN38" s="561"/>
      <c r="AO38" s="561"/>
      <c r="AP38" s="561"/>
      <c r="AQ38" s="561"/>
      <c r="AR38" s="561"/>
      <c r="AS38" s="561"/>
      <c r="AT38" s="561"/>
      <c r="AU38" s="561"/>
      <c r="AV38" s="561"/>
      <c r="AW38" s="561"/>
      <c r="AX38" s="561"/>
      <c r="AY38" s="561"/>
      <c r="AZ38" s="561"/>
      <c r="BA38" s="561"/>
      <c r="BB38" s="561"/>
      <c r="BC38" s="561"/>
      <c r="BD38" s="561"/>
      <c r="BE38" s="561"/>
      <c r="BF38" s="561"/>
    </row>
    <row r="39" spans="1:58" s="153" customFormat="1" ht="26.25" hidden="1" customHeight="1">
      <c r="A39" s="561"/>
      <c r="B39" s="563"/>
      <c r="C39" s="725">
        <v>2012</v>
      </c>
      <c r="D39" s="560"/>
      <c r="E39" s="560"/>
      <c r="F39" s="560"/>
      <c r="G39" s="560"/>
      <c r="H39" s="562"/>
      <c r="I39" s="561"/>
      <c r="J39" s="561"/>
      <c r="K39" s="561"/>
      <c r="L39" s="561"/>
      <c r="M39" s="561"/>
      <c r="N39" s="561"/>
      <c r="O39" s="561"/>
      <c r="P39" s="561"/>
      <c r="Q39" s="561"/>
      <c r="R39" s="561"/>
      <c r="S39" s="561"/>
      <c r="T39" s="561"/>
      <c r="U39" s="561"/>
      <c r="V39" s="561"/>
      <c r="W39" s="561"/>
      <c r="X39" s="561"/>
      <c r="Y39" s="561"/>
      <c r="Z39" s="561"/>
      <c r="AA39" s="561"/>
      <c r="AB39" s="561"/>
      <c r="AC39" s="561"/>
      <c r="AD39" s="561"/>
      <c r="AE39" s="561"/>
      <c r="AF39" s="561"/>
      <c r="AG39" s="561"/>
      <c r="AH39" s="561"/>
      <c r="AI39" s="561"/>
      <c r="AJ39" s="561"/>
      <c r="AK39" s="561"/>
      <c r="AL39" s="561"/>
      <c r="AM39" s="561"/>
      <c r="AN39" s="561"/>
      <c r="AO39" s="561"/>
      <c r="AP39" s="561"/>
      <c r="AQ39" s="561"/>
      <c r="AR39" s="561"/>
      <c r="AS39" s="561"/>
      <c r="AT39" s="561"/>
      <c r="AU39" s="561"/>
      <c r="AV39" s="561"/>
      <c r="AW39" s="561"/>
      <c r="AX39" s="561"/>
      <c r="AY39" s="561"/>
      <c r="AZ39" s="561"/>
      <c r="BA39" s="561"/>
      <c r="BB39" s="561"/>
      <c r="BC39" s="561"/>
      <c r="BD39" s="561"/>
      <c r="BE39" s="561"/>
      <c r="BF39" s="561"/>
    </row>
    <row r="40" spans="1:58" s="153" customFormat="1" ht="26.25" hidden="1" customHeight="1">
      <c r="A40" s="561"/>
      <c r="B40" s="563"/>
      <c r="C40" s="581" t="s">
        <v>345</v>
      </c>
      <c r="D40" s="617">
        <v>2439.6999999999998</v>
      </c>
      <c r="E40" s="617">
        <v>5.3</v>
      </c>
      <c r="F40" s="617">
        <v>137.19999999999999</v>
      </c>
      <c r="G40" s="617">
        <v>60.8</v>
      </c>
      <c r="H40" s="562"/>
      <c r="I40" s="561"/>
      <c r="J40" s="561"/>
      <c r="K40" s="561"/>
      <c r="L40" s="561"/>
      <c r="M40" s="561"/>
      <c r="N40" s="561"/>
      <c r="O40" s="561"/>
      <c r="P40" s="561"/>
      <c r="Q40" s="561"/>
      <c r="R40" s="561"/>
      <c r="S40" s="561"/>
      <c r="T40" s="561"/>
      <c r="U40" s="561"/>
      <c r="V40" s="561"/>
      <c r="W40" s="561"/>
      <c r="X40" s="561"/>
      <c r="Y40" s="561"/>
      <c r="Z40" s="561"/>
      <c r="AA40" s="561"/>
      <c r="AB40" s="561"/>
      <c r="AC40" s="561"/>
      <c r="AD40" s="561"/>
      <c r="AE40" s="561"/>
      <c r="AF40" s="561"/>
      <c r="AG40" s="561"/>
      <c r="AH40" s="561"/>
      <c r="AI40" s="561"/>
      <c r="AJ40" s="561"/>
      <c r="AK40" s="561"/>
      <c r="AL40" s="561"/>
      <c r="AM40" s="561"/>
      <c r="AN40" s="561"/>
      <c r="AO40" s="561"/>
      <c r="AP40" s="561"/>
      <c r="AQ40" s="561"/>
      <c r="AR40" s="561"/>
      <c r="AS40" s="561"/>
      <c r="AT40" s="561"/>
      <c r="AU40" s="561"/>
      <c r="AV40" s="561"/>
      <c r="AW40" s="561"/>
      <c r="AX40" s="561"/>
      <c r="AY40" s="561"/>
      <c r="AZ40" s="561"/>
      <c r="BA40" s="561"/>
      <c r="BB40" s="561"/>
      <c r="BC40" s="561"/>
      <c r="BD40" s="561"/>
      <c r="BE40" s="561"/>
      <c r="BF40" s="561"/>
    </row>
    <row r="41" spans="1:58" s="153" customFormat="1" ht="12.75" hidden="1">
      <c r="A41" s="561"/>
      <c r="B41" s="563"/>
      <c r="C41" s="581" t="s">
        <v>334</v>
      </c>
      <c r="D41" s="617">
        <v>2920.1</v>
      </c>
      <c r="E41" s="617">
        <v>6.1</v>
      </c>
      <c r="F41" s="617">
        <v>137.1</v>
      </c>
      <c r="G41" s="617">
        <v>77.2</v>
      </c>
      <c r="H41" s="562"/>
      <c r="I41" s="561"/>
      <c r="J41" s="570"/>
      <c r="K41" s="561"/>
      <c r="L41" s="561"/>
      <c r="M41" s="561"/>
      <c r="N41" s="561"/>
      <c r="O41" s="561"/>
      <c r="P41" s="561"/>
      <c r="Q41" s="561"/>
      <c r="R41" s="561"/>
      <c r="S41" s="561"/>
      <c r="T41" s="561"/>
      <c r="U41" s="561"/>
      <c r="V41" s="561"/>
      <c r="W41" s="561"/>
      <c r="X41" s="561"/>
      <c r="Y41" s="561"/>
      <c r="Z41" s="561"/>
      <c r="AA41" s="561"/>
      <c r="AB41" s="561"/>
      <c r="AC41" s="561"/>
      <c r="AD41" s="561"/>
      <c r="AE41" s="561"/>
      <c r="AF41" s="561"/>
      <c r="AG41" s="561"/>
      <c r="AH41" s="561"/>
      <c r="AI41" s="561"/>
      <c r="AJ41" s="561"/>
      <c r="AK41" s="561"/>
      <c r="AL41" s="561"/>
      <c r="AM41" s="561"/>
      <c r="AN41" s="561"/>
      <c r="AO41" s="561"/>
      <c r="AP41" s="561"/>
      <c r="AQ41" s="561"/>
      <c r="AR41" s="561"/>
      <c r="AS41" s="561"/>
      <c r="AT41" s="561"/>
      <c r="AU41" s="561"/>
      <c r="AV41" s="561"/>
      <c r="AW41" s="561"/>
      <c r="AX41" s="561"/>
      <c r="AY41" s="561"/>
      <c r="AZ41" s="561"/>
      <c r="BA41" s="561"/>
      <c r="BB41" s="561"/>
      <c r="BC41" s="561"/>
      <c r="BD41" s="561"/>
      <c r="BE41" s="561"/>
      <c r="BF41" s="561"/>
    </row>
    <row r="42" spans="1:58" hidden="1">
      <c r="C42" s="581" t="s">
        <v>335</v>
      </c>
      <c r="D42" s="617">
        <v>3242.8</v>
      </c>
      <c r="E42" s="617">
        <v>6.8</v>
      </c>
      <c r="F42" s="617">
        <v>156.4</v>
      </c>
      <c r="G42" s="617">
        <v>104.1</v>
      </c>
    </row>
    <row r="43" spans="1:58" hidden="1">
      <c r="C43" s="581" t="s">
        <v>336</v>
      </c>
      <c r="D43" s="617">
        <v>2948.5</v>
      </c>
      <c r="E43" s="617">
        <v>5.5</v>
      </c>
      <c r="F43" s="617">
        <v>160.5</v>
      </c>
      <c r="G43" s="617">
        <v>68.599999999999994</v>
      </c>
    </row>
    <row r="44" spans="1:58" hidden="1">
      <c r="C44" s="581" t="s">
        <v>337</v>
      </c>
      <c r="D44" s="617">
        <v>3237.4</v>
      </c>
      <c r="E44" s="617">
        <v>5</v>
      </c>
      <c r="F44" s="617">
        <v>189.6</v>
      </c>
      <c r="G44" s="617">
        <v>82</v>
      </c>
    </row>
    <row r="45" spans="1:58" hidden="1">
      <c r="C45" s="581" t="s">
        <v>338</v>
      </c>
      <c r="D45" s="617">
        <v>3407.3</v>
      </c>
      <c r="E45" s="617">
        <v>6.5</v>
      </c>
      <c r="F45" s="617">
        <v>177.7</v>
      </c>
      <c r="G45" s="617">
        <v>93.5</v>
      </c>
    </row>
    <row r="46" spans="1:58" hidden="1">
      <c r="C46" s="581" t="s">
        <v>339</v>
      </c>
      <c r="D46" s="617">
        <v>3321</v>
      </c>
      <c r="E46" s="617">
        <v>6.7</v>
      </c>
      <c r="F46" s="617">
        <v>169.1</v>
      </c>
      <c r="G46" s="617">
        <v>135.6</v>
      </c>
    </row>
    <row r="47" spans="1:58" hidden="1">
      <c r="C47" s="581" t="s">
        <v>340</v>
      </c>
      <c r="D47" s="617">
        <v>3417.3</v>
      </c>
      <c r="E47" s="617">
        <v>6.1</v>
      </c>
      <c r="F47" s="617">
        <v>218.4</v>
      </c>
      <c r="G47" s="617">
        <v>98.3</v>
      </c>
    </row>
    <row r="48" spans="1:58" hidden="1">
      <c r="C48" s="581" t="s">
        <v>341</v>
      </c>
      <c r="D48" s="617">
        <v>3043.2</v>
      </c>
      <c r="E48" s="619">
        <v>5.6</v>
      </c>
      <c r="F48" s="617">
        <v>235.5</v>
      </c>
      <c r="G48" s="617">
        <v>149.19999999999999</v>
      </c>
    </row>
    <row r="49" spans="3:13" hidden="1">
      <c r="C49" s="581" t="s">
        <v>342</v>
      </c>
      <c r="D49" s="617">
        <v>3630.7</v>
      </c>
      <c r="E49" s="619">
        <v>6.6</v>
      </c>
      <c r="F49" s="617">
        <v>232.9</v>
      </c>
      <c r="G49" s="617">
        <v>196.9</v>
      </c>
    </row>
    <row r="50" spans="3:13" hidden="1">
      <c r="C50" s="581" t="s">
        <v>343</v>
      </c>
      <c r="D50" s="619">
        <v>3526</v>
      </c>
      <c r="E50" s="617">
        <v>5.9</v>
      </c>
      <c r="F50" s="617">
        <v>240.8</v>
      </c>
      <c r="G50" s="617">
        <v>197.3</v>
      </c>
    </row>
    <row r="51" spans="3:13" hidden="1">
      <c r="C51" s="581" t="s">
        <v>344</v>
      </c>
      <c r="D51" s="619">
        <v>3584.7</v>
      </c>
      <c r="E51" s="619">
        <v>5</v>
      </c>
      <c r="F51" s="619">
        <f>98.9+209.998</f>
        <v>308.89800000000002</v>
      </c>
      <c r="G51" s="619">
        <f>108.9+111.4</f>
        <v>220.3</v>
      </c>
    </row>
    <row r="52" spans="3:13" ht="15.75" hidden="1" thickBot="1">
      <c r="C52" s="726" t="s">
        <v>1150</v>
      </c>
      <c r="D52" s="618">
        <f>SUM(D40:D51)</f>
        <v>38718.699999999997</v>
      </c>
      <c r="E52" s="618">
        <f>SUM(E40:E51)</f>
        <v>71.100000000000009</v>
      </c>
      <c r="F52" s="618">
        <f>SUM(F40:F51)</f>
        <v>2364.0980000000004</v>
      </c>
      <c r="G52" s="618">
        <f>SUM(G40:G51)</f>
        <v>1483.8</v>
      </c>
    </row>
    <row r="53" spans="3:13" ht="15.75" hidden="1" thickTop="1">
      <c r="C53" s="620"/>
      <c r="G53" s="492"/>
    </row>
    <row r="54" spans="3:13" hidden="1"/>
    <row r="56" spans="3:13" ht="18.75">
      <c r="C56" s="1966" t="s">
        <v>1742</v>
      </c>
      <c r="D56" s="1966"/>
      <c r="E56" s="1966"/>
      <c r="F56" s="1966"/>
      <c r="G56" s="1966"/>
      <c r="H56" s="1966"/>
      <c r="I56" s="1966"/>
    </row>
    <row r="57" spans="3:13" ht="16.5" customHeight="1" thickBot="1">
      <c r="C57" s="1967" t="s">
        <v>1789</v>
      </c>
      <c r="D57" s="1968"/>
      <c r="E57" s="1968"/>
      <c r="F57" s="1968"/>
      <c r="G57" s="1968"/>
      <c r="H57" s="1968"/>
      <c r="I57" s="1968"/>
      <c r="M57" s="904"/>
    </row>
    <row r="58" spans="3:13" ht="34.5" customHeight="1" thickTop="1" thickBot="1">
      <c r="C58" s="1632" t="s">
        <v>263</v>
      </c>
      <c r="D58" s="1639" t="s">
        <v>1304</v>
      </c>
      <c r="E58" s="1639" t="s">
        <v>1305</v>
      </c>
      <c r="F58" s="1639" t="s">
        <v>1306</v>
      </c>
      <c r="G58" s="1639" t="s">
        <v>1307</v>
      </c>
      <c r="H58" s="1639" t="s">
        <v>1308</v>
      </c>
      <c r="I58" s="1639" t="s">
        <v>1309</v>
      </c>
    </row>
    <row r="59" spans="3:13" ht="19.5" hidden="1" thickTop="1">
      <c r="C59" s="1633"/>
      <c r="D59" s="1640"/>
      <c r="E59" s="1640"/>
      <c r="F59" s="1640"/>
      <c r="G59" s="1640"/>
      <c r="H59" s="1640"/>
      <c r="I59" s="1640"/>
    </row>
    <row r="60" spans="3:13" ht="19.5" hidden="1" thickTop="1">
      <c r="C60" s="1634"/>
      <c r="D60" s="1641"/>
      <c r="E60" s="1641"/>
      <c r="F60" s="1641"/>
      <c r="G60" s="1641"/>
      <c r="H60" s="1641"/>
      <c r="I60" s="1641"/>
    </row>
    <row r="61" spans="3:13" ht="19.5" hidden="1" thickTop="1">
      <c r="C61" s="1635">
        <v>2013</v>
      </c>
      <c r="D61" s="1641"/>
      <c r="E61" s="1641"/>
      <c r="F61" s="1641"/>
      <c r="G61" s="1641"/>
      <c r="H61" s="1641"/>
      <c r="I61" s="1641"/>
    </row>
    <row r="62" spans="3:13" ht="19.5" hidden="1" thickTop="1">
      <c r="C62" s="1636" t="s">
        <v>345</v>
      </c>
      <c r="D62" s="1642">
        <v>3563.84</v>
      </c>
      <c r="E62" s="1642">
        <v>5.24</v>
      </c>
      <c r="F62" s="1642">
        <v>80.72</v>
      </c>
      <c r="G62" s="1642">
        <v>173.71</v>
      </c>
      <c r="H62" s="1642">
        <v>115.53</v>
      </c>
      <c r="I62" s="1642">
        <v>89.67</v>
      </c>
    </row>
    <row r="63" spans="3:13" ht="19.5" hidden="1" thickTop="1">
      <c r="C63" s="1636" t="s">
        <v>334</v>
      </c>
      <c r="D63" s="1642">
        <v>2968.02</v>
      </c>
      <c r="E63" s="1642">
        <v>5.52</v>
      </c>
      <c r="F63" s="1642">
        <v>103.88</v>
      </c>
      <c r="G63" s="1642">
        <v>156.66</v>
      </c>
      <c r="H63" s="1642">
        <v>118.7</v>
      </c>
      <c r="I63" s="1642">
        <v>80.56</v>
      </c>
    </row>
    <row r="64" spans="3:13" ht="19.5" hidden="1" thickTop="1">
      <c r="C64" s="1636" t="s">
        <v>335</v>
      </c>
      <c r="D64" s="1642">
        <v>3339.98</v>
      </c>
      <c r="E64" s="1642">
        <v>15.21</v>
      </c>
      <c r="F64" s="1642">
        <v>134.33000000000001</v>
      </c>
      <c r="G64" s="1642">
        <v>178.08</v>
      </c>
      <c r="H64" s="1642">
        <v>118.47</v>
      </c>
      <c r="I64" s="1642">
        <v>102.05</v>
      </c>
    </row>
    <row r="65" spans="3:9" ht="19.5" hidden="1" thickTop="1">
      <c r="C65" s="1636" t="s">
        <v>336</v>
      </c>
      <c r="D65" s="1642">
        <v>3535.58</v>
      </c>
      <c r="E65" s="1642">
        <v>16.579999999999998</v>
      </c>
      <c r="F65" s="1642">
        <v>140.28</v>
      </c>
      <c r="G65" s="1642">
        <v>187.85</v>
      </c>
      <c r="H65" s="1642">
        <v>160.61000000000001</v>
      </c>
      <c r="I65" s="1642">
        <v>123.03</v>
      </c>
    </row>
    <row r="66" spans="3:9" ht="19.5" hidden="1" thickTop="1">
      <c r="C66" s="1636" t="s">
        <v>337</v>
      </c>
      <c r="D66" s="1642">
        <v>3915.31</v>
      </c>
      <c r="E66" s="1642">
        <v>15.42</v>
      </c>
      <c r="F66" s="1642">
        <v>129.19999999999999</v>
      </c>
      <c r="G66" s="1642">
        <v>203.37</v>
      </c>
      <c r="H66" s="1642">
        <v>211.75</v>
      </c>
      <c r="I66" s="1642">
        <v>152.24</v>
      </c>
    </row>
    <row r="67" spans="3:9" ht="19.5" hidden="1" thickTop="1">
      <c r="C67" s="1636" t="s">
        <v>338</v>
      </c>
      <c r="D67" s="1642">
        <v>3544.35</v>
      </c>
      <c r="E67" s="1642">
        <v>13.65</v>
      </c>
      <c r="F67" s="1642">
        <v>117.11</v>
      </c>
      <c r="G67" s="1642">
        <v>181.35</v>
      </c>
      <c r="H67" s="1642">
        <v>146.63999999999999</v>
      </c>
      <c r="I67" s="1642">
        <v>121.98</v>
      </c>
    </row>
    <row r="68" spans="3:9" ht="19.5" hidden="1" thickTop="1">
      <c r="C68" s="1636" t="s">
        <v>339</v>
      </c>
      <c r="D68" s="1642">
        <v>3955.45</v>
      </c>
      <c r="E68" s="1642">
        <v>12.31</v>
      </c>
      <c r="F68" s="1642">
        <v>132.61000000000001</v>
      </c>
      <c r="G68" s="1642">
        <v>205.37</v>
      </c>
      <c r="H68" s="1642">
        <v>164.08</v>
      </c>
      <c r="I68" s="1642">
        <v>139.13</v>
      </c>
    </row>
    <row r="69" spans="3:9" ht="19.5" hidden="1" thickTop="1">
      <c r="C69" s="1636" t="s">
        <v>340</v>
      </c>
      <c r="D69" s="1642">
        <v>3351.13</v>
      </c>
      <c r="E69" s="1642">
        <v>10.45</v>
      </c>
      <c r="F69" s="1642">
        <v>138.05000000000001</v>
      </c>
      <c r="G69" s="1642">
        <v>203.41</v>
      </c>
      <c r="H69" s="1642">
        <v>189.48</v>
      </c>
      <c r="I69" s="1642">
        <v>128.68</v>
      </c>
    </row>
    <row r="70" spans="3:9" ht="19.5" hidden="1" thickTop="1">
      <c r="C70" s="1636" t="s">
        <v>341</v>
      </c>
      <c r="D70" s="1642">
        <v>3409.17</v>
      </c>
      <c r="E70" s="1642">
        <v>13.34</v>
      </c>
      <c r="F70" s="1642">
        <v>120.41</v>
      </c>
      <c r="G70" s="1642">
        <v>190.44</v>
      </c>
      <c r="H70" s="1642">
        <v>173.13</v>
      </c>
      <c r="I70" s="1642">
        <v>142.32</v>
      </c>
    </row>
    <row r="71" spans="3:9" ht="19.5" hidden="1" thickTop="1">
      <c r="C71" s="1636" t="s">
        <v>342</v>
      </c>
      <c r="D71" s="1642">
        <v>3641.98</v>
      </c>
      <c r="E71" s="1642">
        <v>13.75</v>
      </c>
      <c r="F71" s="1642">
        <v>121.55</v>
      </c>
      <c r="G71" s="1642">
        <v>206.51</v>
      </c>
      <c r="H71" s="1642">
        <v>201.51</v>
      </c>
      <c r="I71" s="1642">
        <v>156.26</v>
      </c>
    </row>
    <row r="72" spans="3:9" ht="19.5" hidden="1" thickTop="1">
      <c r="C72" s="1636" t="s">
        <v>343</v>
      </c>
      <c r="D72" s="1642">
        <v>3134.35</v>
      </c>
      <c r="E72" s="1642">
        <v>11.4</v>
      </c>
      <c r="F72" s="1642">
        <v>102.19</v>
      </c>
      <c r="G72" s="1642">
        <v>229.52</v>
      </c>
      <c r="H72" s="1642">
        <v>222.18</v>
      </c>
      <c r="I72" s="1642">
        <v>57.34</v>
      </c>
    </row>
    <row r="73" spans="3:9" ht="19.5" hidden="1" thickTop="1">
      <c r="C73" s="1636" t="s">
        <v>344</v>
      </c>
      <c r="D73" s="1642">
        <v>3438.08</v>
      </c>
      <c r="E73" s="1642">
        <v>4.04</v>
      </c>
      <c r="F73" s="1642">
        <v>130.15</v>
      </c>
      <c r="G73" s="1642">
        <v>265.8</v>
      </c>
      <c r="H73" s="1642">
        <v>268.94</v>
      </c>
      <c r="I73" s="1642">
        <v>68.58</v>
      </c>
    </row>
    <row r="74" spans="3:9" ht="19.5" hidden="1" thickTop="1">
      <c r="C74" s="1636"/>
      <c r="D74" s="1642"/>
      <c r="E74" s="1642"/>
      <c r="F74" s="1642"/>
      <c r="G74" s="1642"/>
      <c r="H74" s="1642"/>
      <c r="I74" s="1642"/>
    </row>
    <row r="75" spans="3:9" ht="20.25" hidden="1" thickTop="1" thickBot="1">
      <c r="C75" s="1637" t="s">
        <v>1150</v>
      </c>
      <c r="D75" s="1643">
        <v>41797.24</v>
      </c>
      <c r="E75" s="1643">
        <v>136.91</v>
      </c>
      <c r="F75" s="1643">
        <v>1450.48</v>
      </c>
      <c r="G75" s="1643">
        <v>2382.0700000000002</v>
      </c>
      <c r="H75" s="1643">
        <v>2091.02</v>
      </c>
      <c r="I75" s="1643">
        <v>1361.84</v>
      </c>
    </row>
    <row r="76" spans="3:9" ht="19.5" thickTop="1">
      <c r="C76" s="1636"/>
      <c r="D76" s="1642"/>
      <c r="E76" s="1642"/>
      <c r="F76" s="1642"/>
      <c r="G76" s="1642"/>
      <c r="H76" s="1642"/>
      <c r="I76" s="1642"/>
    </row>
    <row r="77" spans="3:9" ht="18.75" hidden="1">
      <c r="C77" s="1635">
        <v>2014</v>
      </c>
      <c r="D77" s="1642"/>
      <c r="E77" s="1642"/>
      <c r="F77" s="1642"/>
      <c r="G77" s="1642"/>
      <c r="H77" s="1642"/>
      <c r="I77" s="1642"/>
    </row>
    <row r="78" spans="3:9" ht="18.75" hidden="1">
      <c r="C78" s="1636" t="s">
        <v>345</v>
      </c>
      <c r="D78" s="1642">
        <v>3093.01</v>
      </c>
      <c r="E78" s="1642">
        <v>5.24</v>
      </c>
      <c r="F78" s="1642">
        <v>102.26</v>
      </c>
      <c r="G78" s="1642">
        <v>233.1</v>
      </c>
      <c r="H78" s="1642">
        <v>228.25</v>
      </c>
      <c r="I78" s="1642">
        <v>68.31</v>
      </c>
    </row>
    <row r="79" spans="3:9" ht="18.75" hidden="1">
      <c r="C79" s="1636" t="s">
        <v>334</v>
      </c>
      <c r="D79" s="1642">
        <v>2954.93</v>
      </c>
      <c r="E79" s="1642">
        <v>10.73</v>
      </c>
      <c r="F79" s="1642">
        <v>96.27</v>
      </c>
      <c r="G79" s="1642">
        <v>193.9</v>
      </c>
      <c r="H79" s="1642">
        <v>217.14</v>
      </c>
      <c r="I79" s="1642">
        <v>64.42</v>
      </c>
    </row>
    <row r="80" spans="3:9" ht="18.75" hidden="1">
      <c r="C80" s="1636" t="s">
        <v>335</v>
      </c>
      <c r="D80" s="1642">
        <v>3332.79</v>
      </c>
      <c r="E80" s="1642">
        <v>10.4</v>
      </c>
      <c r="F80" s="1642">
        <v>103.58</v>
      </c>
      <c r="G80" s="1642">
        <v>232.94</v>
      </c>
      <c r="H80" s="1642">
        <v>255.32</v>
      </c>
      <c r="I80" s="1642">
        <v>87.94</v>
      </c>
    </row>
    <row r="81" spans="3:9" ht="18.75" hidden="1">
      <c r="C81" s="1636" t="s">
        <v>336</v>
      </c>
      <c r="D81" s="1642">
        <v>3439.33</v>
      </c>
      <c r="E81" s="1642">
        <v>9.66</v>
      </c>
      <c r="F81" s="1642">
        <v>126.26</v>
      </c>
      <c r="G81" s="1642">
        <v>253.16</v>
      </c>
      <c r="H81" s="1642">
        <v>264.38</v>
      </c>
      <c r="I81" s="1642">
        <v>96.29</v>
      </c>
    </row>
    <row r="82" spans="3:9" ht="18.75" hidden="1">
      <c r="C82" s="1636" t="s">
        <v>337</v>
      </c>
      <c r="D82" s="1642">
        <v>3915.31</v>
      </c>
      <c r="E82" s="1642">
        <v>13.65</v>
      </c>
      <c r="F82" s="1642">
        <v>117.11</v>
      </c>
      <c r="G82" s="1642">
        <v>181.35</v>
      </c>
      <c r="H82" s="1642">
        <v>146.63999999999999</v>
      </c>
      <c r="I82" s="1642">
        <v>121.98</v>
      </c>
    </row>
    <row r="83" spans="3:9" ht="18.75" hidden="1">
      <c r="C83" s="1636" t="s">
        <v>338</v>
      </c>
      <c r="D83" s="1642">
        <v>3657.44</v>
      </c>
      <c r="E83" s="1642">
        <v>12.42</v>
      </c>
      <c r="F83" s="1642">
        <v>110.38</v>
      </c>
      <c r="G83" s="1642">
        <v>250.87</v>
      </c>
      <c r="H83" s="1642">
        <v>284.18</v>
      </c>
      <c r="I83" s="1642">
        <v>104.28</v>
      </c>
    </row>
    <row r="84" spans="3:9" ht="18.75" hidden="1">
      <c r="C84" s="1636" t="s">
        <v>339</v>
      </c>
      <c r="D84" s="1642">
        <v>3955.45</v>
      </c>
      <c r="E84" s="1642">
        <v>11.72</v>
      </c>
      <c r="F84" s="1642">
        <v>125.81</v>
      </c>
      <c r="G84" s="1642">
        <v>267</v>
      </c>
      <c r="H84" s="1642">
        <v>312.35000000000002</v>
      </c>
      <c r="I84" s="1642">
        <v>101.75</v>
      </c>
    </row>
    <row r="85" spans="3:9" ht="18.75" hidden="1">
      <c r="C85" s="1636" t="s">
        <v>340</v>
      </c>
      <c r="D85" s="1642">
        <v>3467.34</v>
      </c>
      <c r="E85" s="1642">
        <v>9.36</v>
      </c>
      <c r="F85" s="1642">
        <v>135.9</v>
      </c>
      <c r="G85" s="1642">
        <v>273.39</v>
      </c>
      <c r="H85" s="1642">
        <v>320.36</v>
      </c>
      <c r="I85" s="1642">
        <v>103.26</v>
      </c>
    </row>
    <row r="86" spans="3:9" ht="18.75" hidden="1">
      <c r="C86" s="1636" t="s">
        <v>341</v>
      </c>
      <c r="D86" s="1642">
        <v>4037.98</v>
      </c>
      <c r="E86" s="1642">
        <v>11.16</v>
      </c>
      <c r="F86" s="1642">
        <v>138.09</v>
      </c>
      <c r="G86" s="1642">
        <v>280.8</v>
      </c>
      <c r="H86" s="1642">
        <v>341.23</v>
      </c>
      <c r="I86" s="1642">
        <v>115.94</v>
      </c>
    </row>
    <row r="87" spans="3:9" ht="18.75" hidden="1">
      <c r="C87" s="1636" t="s">
        <v>342</v>
      </c>
      <c r="D87" s="1644">
        <v>3843.84</v>
      </c>
      <c r="E87" s="1644">
        <v>13.58</v>
      </c>
      <c r="F87" s="1644">
        <v>150.09</v>
      </c>
      <c r="G87" s="1644">
        <v>291.68</v>
      </c>
      <c r="H87" s="1644">
        <v>362.3</v>
      </c>
      <c r="I87" s="1644">
        <v>117.4</v>
      </c>
    </row>
    <row r="88" spans="3:9" ht="18.75" hidden="1">
      <c r="C88" s="1636" t="s">
        <v>343</v>
      </c>
      <c r="D88" s="1644">
        <v>4104.33</v>
      </c>
      <c r="E88" s="1644">
        <v>9.33</v>
      </c>
      <c r="F88" s="1644">
        <v>160.39599999999999</v>
      </c>
      <c r="G88" s="1644">
        <v>299.93900000000002</v>
      </c>
      <c r="H88" s="1644">
        <v>358.75900000000001</v>
      </c>
      <c r="I88" s="1644">
        <v>103.75700000000001</v>
      </c>
    </row>
    <row r="89" spans="3:9" ht="18.75" hidden="1">
      <c r="C89" s="1636" t="s">
        <v>344</v>
      </c>
      <c r="D89" s="1642">
        <v>4615.04</v>
      </c>
      <c r="E89" s="1642">
        <v>11.53</v>
      </c>
      <c r="F89" s="1642">
        <v>148.5</v>
      </c>
      <c r="G89" s="1642">
        <v>336.65</v>
      </c>
      <c r="H89" s="1642">
        <v>395.93</v>
      </c>
      <c r="I89" s="1642">
        <v>124.33</v>
      </c>
    </row>
    <row r="90" spans="3:9" ht="18.75" hidden="1">
      <c r="C90" s="1636"/>
      <c r="D90" s="1642"/>
      <c r="E90" s="1642"/>
      <c r="F90" s="1642"/>
      <c r="G90" s="1642"/>
      <c r="H90" s="1642"/>
      <c r="I90" s="1642"/>
    </row>
    <row r="91" spans="3:9" ht="20.25" hidden="1" thickTop="1" thickBot="1">
      <c r="C91" s="1637" t="s">
        <v>1150</v>
      </c>
      <c r="D91" s="1645">
        <f t="shared" ref="D91:I91" si="0">+SUM(D78:D89)</f>
        <v>44416.79</v>
      </c>
      <c r="E91" s="1645">
        <f t="shared" si="0"/>
        <v>128.78</v>
      </c>
      <c r="F91" s="1645">
        <f t="shared" si="0"/>
        <v>1514.646</v>
      </c>
      <c r="G91" s="1645">
        <f t="shared" si="0"/>
        <v>3094.779</v>
      </c>
      <c r="H91" s="1645">
        <f t="shared" si="0"/>
        <v>3486.8390000000004</v>
      </c>
      <c r="I91" s="1645">
        <f t="shared" si="0"/>
        <v>1209.6569999999999</v>
      </c>
    </row>
    <row r="92" spans="3:9" ht="18.75" hidden="1">
      <c r="C92" s="1636"/>
      <c r="D92" s="1642"/>
      <c r="E92" s="1642"/>
      <c r="F92" s="1642"/>
      <c r="G92" s="1642"/>
      <c r="H92" s="1642"/>
      <c r="I92" s="1642"/>
    </row>
    <row r="93" spans="3:9" ht="18.75" hidden="1">
      <c r="C93" s="1635">
        <v>2015</v>
      </c>
      <c r="D93" s="1642"/>
      <c r="E93" s="1642"/>
      <c r="F93" s="1642"/>
      <c r="G93" s="1642"/>
      <c r="H93" s="1642"/>
      <c r="I93" s="1642"/>
    </row>
    <row r="94" spans="3:9" ht="15.75" hidden="1" customHeight="1">
      <c r="C94" s="1636" t="s">
        <v>345</v>
      </c>
      <c r="D94" s="1646">
        <v>3659</v>
      </c>
      <c r="E94" s="1651">
        <v>11.81</v>
      </c>
      <c r="F94" s="1651">
        <v>154.43</v>
      </c>
      <c r="G94" s="1651">
        <v>311.94</v>
      </c>
      <c r="H94" s="1651">
        <v>352.18</v>
      </c>
      <c r="I94" s="1651">
        <v>113.46</v>
      </c>
    </row>
    <row r="95" spans="3:9" ht="18.75" hidden="1">
      <c r="C95" s="1638" t="s">
        <v>334</v>
      </c>
      <c r="D95" s="1646">
        <v>3221.13</v>
      </c>
      <c r="E95" s="1651">
        <v>13.69</v>
      </c>
      <c r="F95" s="1651">
        <v>141.79</v>
      </c>
      <c r="G95" s="1651">
        <v>275.8</v>
      </c>
      <c r="H95" s="1651">
        <v>334.62</v>
      </c>
      <c r="I95" s="1651">
        <v>104.62</v>
      </c>
    </row>
    <row r="96" spans="3:9" ht="18.75" hidden="1">
      <c r="C96" s="1638" t="s">
        <v>335</v>
      </c>
      <c r="D96" s="1646">
        <v>3801.9580000000001</v>
      </c>
      <c r="E96" s="1651">
        <v>11.11</v>
      </c>
      <c r="F96" s="1651">
        <v>131.97</v>
      </c>
      <c r="G96" s="1651">
        <v>298.298</v>
      </c>
      <c r="H96" s="1651">
        <v>364.68700000000001</v>
      </c>
      <c r="I96" s="1651">
        <v>111.697</v>
      </c>
    </row>
    <row r="97" spans="3:9" ht="18.75" hidden="1">
      <c r="C97" s="1636" t="s">
        <v>336</v>
      </c>
      <c r="D97" s="1646">
        <v>3919.47</v>
      </c>
      <c r="E97" s="1651">
        <v>10.81</v>
      </c>
      <c r="F97" s="1651">
        <v>133.99</v>
      </c>
      <c r="G97" s="1651">
        <v>299.67</v>
      </c>
      <c r="H97" s="1651">
        <v>341.22</v>
      </c>
      <c r="I97" s="1651">
        <v>112.38</v>
      </c>
    </row>
    <row r="98" spans="3:9" ht="18.75" hidden="1">
      <c r="C98" s="1638" t="s">
        <v>337</v>
      </c>
      <c r="D98" s="1646">
        <v>3467.1</v>
      </c>
      <c r="E98" s="1651">
        <v>13.08</v>
      </c>
      <c r="F98" s="1651">
        <v>128.76</v>
      </c>
      <c r="G98" s="1651">
        <v>316.66000000000003</v>
      </c>
      <c r="H98" s="1651">
        <v>389.97</v>
      </c>
      <c r="I98" s="1651">
        <v>124.5</v>
      </c>
    </row>
    <row r="99" spans="3:9" ht="18.75" hidden="1">
      <c r="C99" s="1638" t="s">
        <v>338</v>
      </c>
      <c r="D99" s="1646">
        <v>3014.73</v>
      </c>
      <c r="E99" s="1651">
        <v>15.35</v>
      </c>
      <c r="F99" s="1651">
        <v>123.53</v>
      </c>
      <c r="G99" s="1651">
        <v>333.65</v>
      </c>
      <c r="H99" s="1651">
        <v>438.72</v>
      </c>
      <c r="I99" s="1651">
        <v>136.62</v>
      </c>
    </row>
    <row r="100" spans="3:9" ht="18.75" hidden="1">
      <c r="C100" s="1638" t="s">
        <v>339</v>
      </c>
      <c r="D100" s="1646">
        <v>4010.26</v>
      </c>
      <c r="E100" s="1651">
        <v>12.64</v>
      </c>
      <c r="F100" s="1651">
        <v>154.61000000000001</v>
      </c>
      <c r="G100" s="1651">
        <v>332.37</v>
      </c>
      <c r="H100" s="1651">
        <v>391.036</v>
      </c>
      <c r="I100" s="1651">
        <v>128.61000000000001</v>
      </c>
    </row>
    <row r="101" spans="3:9" ht="18.75" hidden="1">
      <c r="C101" s="1638" t="s">
        <v>340</v>
      </c>
      <c r="D101" s="1646">
        <v>3299.06</v>
      </c>
      <c r="E101" s="1651">
        <v>11.39</v>
      </c>
      <c r="F101" s="1651">
        <v>193.36</v>
      </c>
      <c r="G101" s="1651">
        <v>313.18</v>
      </c>
      <c r="H101" s="1651">
        <v>391.19</v>
      </c>
      <c r="I101" s="1651">
        <v>133.55000000000001</v>
      </c>
    </row>
    <row r="102" spans="3:9" ht="18.75" hidden="1">
      <c r="C102" s="1638" t="s">
        <v>341</v>
      </c>
      <c r="D102" s="1647">
        <v>3762.7368994799999</v>
      </c>
      <c r="E102" s="1651">
        <v>12.925797749999999</v>
      </c>
      <c r="F102" s="1654">
        <v>131.8904756</v>
      </c>
      <c r="G102" s="1654">
        <v>318.75237705000001</v>
      </c>
      <c r="H102" s="1654">
        <v>396.27860636999998</v>
      </c>
      <c r="I102" s="1654">
        <v>396.27860636999998</v>
      </c>
    </row>
    <row r="103" spans="3:9" ht="18.75" hidden="1">
      <c r="C103" s="1638" t="s">
        <v>342</v>
      </c>
      <c r="D103" s="1646">
        <v>3964.53</v>
      </c>
      <c r="E103" s="1651">
        <v>11.84</v>
      </c>
      <c r="F103" s="1651">
        <v>149.41</v>
      </c>
      <c r="G103" s="1651">
        <v>334.93</v>
      </c>
      <c r="H103" s="1651">
        <v>434.71</v>
      </c>
      <c r="I103" s="1651">
        <v>151.02000000000001</v>
      </c>
    </row>
    <row r="104" spans="3:9" ht="18.75" hidden="1">
      <c r="C104" s="1638" t="s">
        <v>343</v>
      </c>
      <c r="D104" s="1646">
        <v>3551.4</v>
      </c>
      <c r="E104" s="1651">
        <v>12.02</v>
      </c>
      <c r="F104" s="1651">
        <v>130.19999999999999</v>
      </c>
      <c r="G104" s="1651">
        <v>347.68</v>
      </c>
      <c r="H104" s="1651">
        <v>416.95</v>
      </c>
      <c r="I104" s="1651">
        <v>154.38</v>
      </c>
    </row>
    <row r="105" spans="3:9" ht="18.75" hidden="1">
      <c r="C105" s="1638" t="s">
        <v>344</v>
      </c>
      <c r="D105" s="1646">
        <v>4167.88</v>
      </c>
      <c r="E105" s="1651">
        <v>10.95</v>
      </c>
      <c r="F105" s="1651">
        <v>146.6</v>
      </c>
      <c r="G105" s="1651">
        <v>411.34</v>
      </c>
      <c r="H105" s="1651">
        <v>477.51</v>
      </c>
      <c r="I105" s="1651">
        <v>213.28</v>
      </c>
    </row>
    <row r="106" spans="3:9" ht="16.5" hidden="1" customHeight="1" thickTop="1" thickBot="1">
      <c r="C106" s="1637" t="s">
        <v>1150</v>
      </c>
      <c r="D106" s="1648">
        <f t="shared" ref="D106:I106" si="1">+SUM(D94:D105)</f>
        <v>43839.254899480002</v>
      </c>
      <c r="E106" s="1652">
        <f t="shared" si="1"/>
        <v>147.61579774999998</v>
      </c>
      <c r="F106" s="1652">
        <f t="shared" si="1"/>
        <v>1720.5404756</v>
      </c>
      <c r="G106" s="1652">
        <f t="shared" si="1"/>
        <v>3894.2703770499998</v>
      </c>
      <c r="H106" s="1652">
        <f t="shared" si="1"/>
        <v>4729.0716063700002</v>
      </c>
      <c r="I106" s="1652">
        <f t="shared" si="1"/>
        <v>1880.39560637</v>
      </c>
    </row>
    <row r="107" spans="3:9" s="904" customFormat="1" ht="18.75" hidden="1">
      <c r="C107" s="1636"/>
      <c r="D107" s="1646"/>
      <c r="E107" s="1651"/>
      <c r="F107" s="1651"/>
      <c r="G107" s="1651"/>
      <c r="H107" s="1651"/>
      <c r="I107" s="1651"/>
    </row>
    <row r="108" spans="3:9" s="904" customFormat="1" ht="18.75" hidden="1">
      <c r="C108" s="1635">
        <v>2016</v>
      </c>
      <c r="D108" s="1646"/>
      <c r="E108" s="1651"/>
      <c r="F108" s="1651"/>
      <c r="G108" s="1651"/>
      <c r="H108" s="1651"/>
      <c r="I108" s="1651"/>
    </row>
    <row r="109" spans="3:9" s="904" customFormat="1" ht="18.75" hidden="1" customHeight="1">
      <c r="C109" s="1636" t="s">
        <v>345</v>
      </c>
      <c r="D109" s="1646">
        <v>3385.8679999999999</v>
      </c>
      <c r="E109" s="1651">
        <v>11.099</v>
      </c>
      <c r="F109" s="1651">
        <v>137.393</v>
      </c>
      <c r="G109" s="1651">
        <v>331.51799999999997</v>
      </c>
      <c r="H109" s="1651">
        <v>388.88499999999999</v>
      </c>
      <c r="I109" s="1651">
        <v>167.67599999999999</v>
      </c>
    </row>
    <row r="110" spans="3:9" s="904" customFormat="1" ht="18.75" hidden="1">
      <c r="C110" s="1636" t="s">
        <v>334</v>
      </c>
      <c r="D110" s="1646">
        <v>3448.15</v>
      </c>
      <c r="E110" s="1651">
        <v>11.86</v>
      </c>
      <c r="F110" s="1651">
        <v>138.75</v>
      </c>
      <c r="G110" s="1651">
        <v>312.12</v>
      </c>
      <c r="H110" s="1651">
        <v>389.26</v>
      </c>
      <c r="I110" s="1651">
        <v>167.93</v>
      </c>
    </row>
    <row r="111" spans="3:9" s="904" customFormat="1" ht="18.75" hidden="1">
      <c r="C111" s="1636" t="s">
        <v>335</v>
      </c>
      <c r="D111" s="1646">
        <v>3460.2232530199999</v>
      </c>
      <c r="E111" s="1651">
        <v>11.25554988</v>
      </c>
      <c r="F111" s="1651">
        <v>142.07820183999999</v>
      </c>
      <c r="G111" s="1651">
        <v>288.82297029</v>
      </c>
      <c r="H111" s="1651">
        <v>417.12511833999997</v>
      </c>
      <c r="I111" s="1651">
        <v>255.93050350999999</v>
      </c>
    </row>
    <row r="112" spans="3:9" s="904" customFormat="1" ht="18.75" hidden="1">
      <c r="C112" s="1636" t="s">
        <v>336</v>
      </c>
      <c r="D112" s="1646">
        <v>3564.3157062600003</v>
      </c>
      <c r="E112" s="1651">
        <v>9.6547368000000002</v>
      </c>
      <c r="F112" s="1651">
        <v>180.12077844999999</v>
      </c>
      <c r="G112" s="1651">
        <v>247.604308</v>
      </c>
      <c r="H112" s="1651">
        <v>427.29040591</v>
      </c>
      <c r="I112" s="1651">
        <v>168.30533638999998</v>
      </c>
    </row>
    <row r="113" spans="3:9" s="904" customFormat="1" ht="18.75" hidden="1">
      <c r="C113" s="1636" t="s">
        <v>337</v>
      </c>
      <c r="D113" s="1646">
        <v>3869.1942115799998</v>
      </c>
      <c r="E113" s="1651">
        <v>10.825818060000001</v>
      </c>
      <c r="F113" s="1651">
        <v>214.79106353999998</v>
      </c>
      <c r="G113" s="1651">
        <v>203.25222890000001</v>
      </c>
      <c r="H113" s="1651">
        <v>479.93242400999998</v>
      </c>
      <c r="I113" s="1651">
        <v>217.90811081999999</v>
      </c>
    </row>
    <row r="114" spans="3:9" s="904" customFormat="1" ht="18.75" hidden="1">
      <c r="C114" s="1636" t="s">
        <v>338</v>
      </c>
      <c r="D114" s="1646">
        <v>4522.2</v>
      </c>
      <c r="E114" s="1651">
        <v>10.27</v>
      </c>
      <c r="F114" s="1651">
        <v>203.9</v>
      </c>
      <c r="G114" s="1651">
        <v>131.4</v>
      </c>
      <c r="H114" s="1651">
        <v>465.1</v>
      </c>
      <c r="I114" s="1651">
        <v>174.1</v>
      </c>
    </row>
    <row r="115" spans="3:9" s="904" customFormat="1" ht="18.75" hidden="1">
      <c r="C115" s="1636" t="s">
        <v>339</v>
      </c>
      <c r="D115" s="1646">
        <v>3911.78</v>
      </c>
      <c r="E115" s="1651">
        <v>9.19</v>
      </c>
      <c r="F115" s="1651">
        <v>240.04</v>
      </c>
      <c r="G115" s="1651">
        <v>166.3</v>
      </c>
      <c r="H115" s="1651">
        <v>491.22</v>
      </c>
      <c r="I115" s="1651">
        <v>218.03899999999999</v>
      </c>
    </row>
    <row r="116" spans="3:9" s="904" customFormat="1" ht="26.25" hidden="1" customHeight="1">
      <c r="C116" s="1636" t="s">
        <v>340</v>
      </c>
      <c r="D116" s="1646">
        <v>3928.6611788</v>
      </c>
      <c r="E116" s="1651">
        <v>7.9159387099999998</v>
      </c>
      <c r="F116" s="1651">
        <v>238.02878047999999</v>
      </c>
      <c r="G116" s="1651">
        <v>165.92266140999999</v>
      </c>
      <c r="H116" s="1651">
        <v>535.38579841000001</v>
      </c>
      <c r="I116" s="1651">
        <v>230.62331471000002</v>
      </c>
    </row>
    <row r="117" spans="3:9" s="904" customFormat="1" ht="18.75" hidden="1">
      <c r="C117" s="1636" t="s">
        <v>341</v>
      </c>
      <c r="D117" s="1646">
        <v>4382.93283367</v>
      </c>
      <c r="E117" s="1651">
        <v>10.5</v>
      </c>
      <c r="F117" s="1651">
        <v>237.25412853</v>
      </c>
      <c r="G117" s="1651">
        <v>167.65711741999999</v>
      </c>
      <c r="H117" s="1651">
        <v>533.91030544</v>
      </c>
      <c r="I117" s="1651">
        <v>215.92377542</v>
      </c>
    </row>
    <row r="118" spans="3:9" s="904" customFormat="1" ht="18.75" hidden="1">
      <c r="C118" s="1636" t="s">
        <v>342</v>
      </c>
      <c r="D118" s="1646">
        <v>4127.6392848899995</v>
      </c>
      <c r="E118" s="1651">
        <v>7.9908732599999999</v>
      </c>
      <c r="F118" s="1651">
        <v>322.78813445999998</v>
      </c>
      <c r="G118" s="1651">
        <v>112.49103587</v>
      </c>
      <c r="H118" s="1651">
        <v>524.45753092000007</v>
      </c>
      <c r="I118" s="1651">
        <v>216.04580587999999</v>
      </c>
    </row>
    <row r="119" spans="3:9" s="904" customFormat="1" ht="24" hidden="1" customHeight="1">
      <c r="C119" s="1636" t="s">
        <v>343</v>
      </c>
      <c r="D119" s="1646">
        <v>4624.7</v>
      </c>
      <c r="E119" s="1651">
        <v>6.9</v>
      </c>
      <c r="F119" s="1651">
        <v>363.4</v>
      </c>
      <c r="G119" s="1651">
        <v>84.5</v>
      </c>
      <c r="H119" s="1651">
        <v>537.20000000000005</v>
      </c>
      <c r="I119" s="1651">
        <v>229.9</v>
      </c>
    </row>
    <row r="120" spans="3:9" s="904" customFormat="1" ht="19.5" hidden="1" customHeight="1">
      <c r="C120" s="1636" t="s">
        <v>344</v>
      </c>
      <c r="D120" s="1646">
        <v>4882.6072103300003</v>
      </c>
      <c r="E120" s="1651">
        <v>5.62</v>
      </c>
      <c r="F120" s="1651">
        <v>479.86</v>
      </c>
      <c r="G120" s="1651">
        <v>71.92</v>
      </c>
      <c r="H120" s="1651">
        <v>626.08000000000004</v>
      </c>
      <c r="I120" s="1651">
        <v>265.12</v>
      </c>
    </row>
    <row r="121" spans="3:9" s="904" customFormat="1" ht="18.75">
      <c r="C121" s="1636"/>
      <c r="D121" s="1646"/>
      <c r="E121" s="1651"/>
      <c r="F121" s="1651"/>
      <c r="G121" s="1651"/>
      <c r="H121" s="1651"/>
      <c r="I121" s="1651"/>
    </row>
    <row r="122" spans="3:9" s="904" customFormat="1" ht="18.75">
      <c r="C122" s="1635">
        <v>2017</v>
      </c>
      <c r="D122" s="1646"/>
      <c r="E122" s="1651"/>
      <c r="F122" s="1651"/>
      <c r="G122" s="1651"/>
      <c r="H122" s="1651"/>
      <c r="I122" s="1651"/>
    </row>
    <row r="123" spans="3:9" s="904" customFormat="1" ht="18.75">
      <c r="C123" s="1636" t="s">
        <v>345</v>
      </c>
      <c r="D123" s="1646">
        <v>4052.7115862800001</v>
      </c>
      <c r="E123" s="1651">
        <v>7.48</v>
      </c>
      <c r="F123" s="1651">
        <v>368.71</v>
      </c>
      <c r="G123" s="1651">
        <v>70.42</v>
      </c>
      <c r="H123" s="1655">
        <v>495.55</v>
      </c>
      <c r="I123" s="1651">
        <v>318.91000000000003</v>
      </c>
    </row>
    <row r="124" spans="3:9" s="904" customFormat="1" ht="18.75">
      <c r="C124" s="1636" t="s">
        <v>334</v>
      </c>
      <c r="D124" s="1646">
        <v>4246.6000000000004</v>
      </c>
      <c r="E124" s="1651">
        <v>7</v>
      </c>
      <c r="F124" s="1651">
        <v>327.3</v>
      </c>
      <c r="G124" s="1651">
        <v>58.4</v>
      </c>
      <c r="H124" s="1655">
        <v>472.3</v>
      </c>
      <c r="I124" s="1651">
        <v>324.10000000000002</v>
      </c>
    </row>
    <row r="125" spans="3:9" s="904" customFormat="1" ht="18.75">
      <c r="C125" s="1636" t="s">
        <v>335</v>
      </c>
      <c r="D125" s="1646">
        <v>4629.8</v>
      </c>
      <c r="E125" s="1651">
        <v>7.4</v>
      </c>
      <c r="F125" s="1651">
        <v>392.2</v>
      </c>
      <c r="G125" s="1651">
        <v>58.8</v>
      </c>
      <c r="H125" s="1655">
        <v>671.6</v>
      </c>
      <c r="I125" s="1651">
        <v>399.7</v>
      </c>
    </row>
    <row r="126" spans="3:9" s="904" customFormat="1" ht="19.5" customHeight="1">
      <c r="C126" s="1636" t="s">
        <v>336</v>
      </c>
      <c r="D126" s="1646">
        <v>4178.8</v>
      </c>
      <c r="E126" s="1651">
        <v>4.8</v>
      </c>
      <c r="F126" s="1651">
        <v>466.9</v>
      </c>
      <c r="G126" s="1651">
        <v>39.299999999999997</v>
      </c>
      <c r="H126" s="1655">
        <v>792.5</v>
      </c>
      <c r="I126" s="1651">
        <v>337.6</v>
      </c>
    </row>
    <row r="127" spans="3:9" s="904" customFormat="1" ht="18.75">
      <c r="C127" s="1636" t="s">
        <v>337</v>
      </c>
      <c r="D127" s="1646">
        <v>4974</v>
      </c>
      <c r="E127" s="1651">
        <v>6.5</v>
      </c>
      <c r="F127" s="1651">
        <v>557.79999999999995</v>
      </c>
      <c r="G127" s="1651">
        <v>44.7</v>
      </c>
      <c r="H127" s="1655">
        <v>939.9</v>
      </c>
      <c r="I127" s="1651">
        <v>618.70000000000005</v>
      </c>
    </row>
    <row r="128" spans="3:9" s="904" customFormat="1" ht="18.75">
      <c r="C128" s="1636" t="s">
        <v>338</v>
      </c>
      <c r="D128" s="1646">
        <v>5346.4462001899992</v>
      </c>
      <c r="E128" s="1651">
        <v>6.2836405599999994</v>
      </c>
      <c r="F128" s="1651">
        <v>558.84800765</v>
      </c>
      <c r="G128" s="1651">
        <v>34.630371270000005</v>
      </c>
      <c r="H128" s="1655">
        <v>1095.5490581099998</v>
      </c>
      <c r="I128" s="1651">
        <v>500.27683366000002</v>
      </c>
    </row>
    <row r="129" spans="3:9" s="904" customFormat="1" ht="18.75">
      <c r="C129" s="1636" t="s">
        <v>339</v>
      </c>
      <c r="D129" s="1646">
        <v>4805.0923402799999</v>
      </c>
      <c r="E129" s="1651">
        <v>5.73</v>
      </c>
      <c r="F129" s="1651">
        <v>588.38</v>
      </c>
      <c r="G129" s="1651">
        <v>29.39</v>
      </c>
      <c r="H129" s="1655">
        <v>1601.38</v>
      </c>
      <c r="I129" s="1651">
        <v>586.41999999999996</v>
      </c>
    </row>
    <row r="130" spans="3:9" s="904" customFormat="1" ht="18.75">
      <c r="C130" s="1636" t="s">
        <v>340</v>
      </c>
      <c r="D130" s="1646">
        <v>5325.13806578</v>
      </c>
      <c r="E130" s="1651">
        <v>5.1814679400000001</v>
      </c>
      <c r="F130" s="1651">
        <v>590.06875104000005</v>
      </c>
      <c r="G130" s="1651">
        <v>24.675551680000002</v>
      </c>
      <c r="H130" s="1655">
        <v>1776.4425487000001</v>
      </c>
      <c r="I130" s="1651">
        <v>583.27685752999992</v>
      </c>
    </row>
    <row r="131" spans="3:9" s="904" customFormat="1" ht="18.75">
      <c r="C131" s="1636" t="s">
        <v>341</v>
      </c>
      <c r="D131" s="1646">
        <v>6031.37</v>
      </c>
      <c r="E131" s="1651">
        <v>5.19</v>
      </c>
      <c r="F131" s="1651">
        <v>651.11</v>
      </c>
      <c r="G131" s="1651">
        <v>16.11</v>
      </c>
      <c r="H131" s="1655">
        <v>2159.2600000000002</v>
      </c>
      <c r="I131" s="1651">
        <v>731.93</v>
      </c>
    </row>
    <row r="132" spans="3:9" s="904" customFormat="1" ht="21" customHeight="1">
      <c r="C132" s="1636" t="s">
        <v>342</v>
      </c>
      <c r="D132" s="1646">
        <v>5991.3079068999996</v>
      </c>
      <c r="E132" s="1651">
        <v>5.4160045599999993</v>
      </c>
      <c r="F132" s="1651">
        <v>681.89487859000008</v>
      </c>
      <c r="G132" s="1651">
        <v>19.37127456</v>
      </c>
      <c r="H132" s="1655">
        <v>2401.6196266699999</v>
      </c>
      <c r="I132" s="1651">
        <v>779.15872616999991</v>
      </c>
    </row>
    <row r="133" spans="3:9" s="904" customFormat="1" ht="18.75">
      <c r="C133" s="1636" t="s">
        <v>343</v>
      </c>
      <c r="D133" s="1646">
        <v>6259.74457566</v>
      </c>
      <c r="E133" s="1651">
        <v>4.8797962899999998</v>
      </c>
      <c r="F133" s="1651">
        <v>666.45603041000004</v>
      </c>
      <c r="G133" s="1651">
        <v>15.875778820000001</v>
      </c>
      <c r="H133" s="1655">
        <v>2561.8427594599998</v>
      </c>
      <c r="I133" s="1651">
        <v>798.32626419999997</v>
      </c>
    </row>
    <row r="134" spans="3:9" s="904" customFormat="1" ht="18.75">
      <c r="C134" s="1636" t="s">
        <v>344</v>
      </c>
      <c r="D134" s="1646">
        <v>5877.24194739</v>
      </c>
      <c r="E134" s="1651">
        <v>3.5902881</v>
      </c>
      <c r="F134" s="1651">
        <v>778.41347459999997</v>
      </c>
      <c r="G134" s="1651">
        <v>16.33081052</v>
      </c>
      <c r="H134" s="1655">
        <v>3052.7215016100004</v>
      </c>
      <c r="I134" s="1651">
        <v>1043.2505727299999</v>
      </c>
    </row>
    <row r="135" spans="3:9" s="904" customFormat="1" ht="18.75">
      <c r="C135" s="1636"/>
      <c r="D135" s="1646"/>
      <c r="E135" s="1651"/>
      <c r="F135" s="1651"/>
      <c r="G135" s="1651"/>
      <c r="H135" s="1655"/>
      <c r="I135" s="1655"/>
    </row>
    <row r="136" spans="3:9" s="904" customFormat="1" ht="18.75">
      <c r="C136" s="1635">
        <v>2018</v>
      </c>
      <c r="D136" s="1646"/>
      <c r="E136" s="1651"/>
      <c r="F136" s="1651"/>
      <c r="G136" s="1651"/>
      <c r="H136" s="1651"/>
      <c r="I136" s="1655"/>
    </row>
    <row r="137" spans="3:9" s="904" customFormat="1" ht="18.75">
      <c r="C137" s="1636" t="s">
        <v>345</v>
      </c>
      <c r="D137" s="1646">
        <v>5548.0506075800004</v>
      </c>
      <c r="E137" s="1651">
        <v>4.8939512300000008</v>
      </c>
      <c r="F137" s="1651">
        <v>663.45273716999998</v>
      </c>
      <c r="G137" s="1651">
        <v>21.286083000000001</v>
      </c>
      <c r="H137" s="1655">
        <v>2318.7987921899999</v>
      </c>
      <c r="I137" s="1655">
        <v>1006.05091365</v>
      </c>
    </row>
    <row r="138" spans="3:9" s="904" customFormat="1" ht="18.75">
      <c r="C138" s="1636" t="s">
        <v>334</v>
      </c>
      <c r="D138" s="1646">
        <v>4706.6000000000004</v>
      </c>
      <c r="E138" s="1651">
        <v>4.5</v>
      </c>
      <c r="F138" s="1651">
        <v>594</v>
      </c>
      <c r="G138" s="1651">
        <v>13.9</v>
      </c>
      <c r="H138" s="1655">
        <v>2015.11469691</v>
      </c>
      <c r="I138" s="1655">
        <v>831.04585373999998</v>
      </c>
    </row>
    <row r="139" spans="3:9" s="904" customFormat="1" ht="18.75">
      <c r="C139" s="1636" t="s">
        <v>335</v>
      </c>
      <c r="D139" s="1646">
        <v>6300.4</v>
      </c>
      <c r="E139" s="1651">
        <v>4.5</v>
      </c>
      <c r="F139" s="1651">
        <v>654.20000000000005</v>
      </c>
      <c r="G139" s="1651">
        <v>12.5</v>
      </c>
      <c r="H139" s="1655">
        <v>2657.1042725500001</v>
      </c>
      <c r="I139" s="1655">
        <v>864.83275957000001</v>
      </c>
    </row>
    <row r="140" spans="3:9" s="904" customFormat="1" ht="18.75">
      <c r="C140" s="1636" t="s">
        <v>336</v>
      </c>
      <c r="D140" s="1646">
        <v>5786.75</v>
      </c>
      <c r="E140" s="1651">
        <v>3.28</v>
      </c>
      <c r="F140" s="1651">
        <v>640.94000000000005</v>
      </c>
      <c r="G140" s="1651">
        <v>11.46</v>
      </c>
      <c r="H140" s="1655">
        <v>3002.63</v>
      </c>
      <c r="I140" s="1655">
        <v>822.58</v>
      </c>
    </row>
    <row r="141" spans="3:9" s="904" customFormat="1" ht="19.5" customHeight="1">
      <c r="C141" s="1636" t="s">
        <v>337</v>
      </c>
      <c r="D141" s="1646">
        <v>7298.4112854700006</v>
      </c>
      <c r="E141" s="1651">
        <v>4.2477408899999993</v>
      </c>
      <c r="F141" s="1651">
        <v>819.74175826999999</v>
      </c>
      <c r="G141" s="1651">
        <v>10.507818460000001</v>
      </c>
      <c r="H141" s="1655">
        <v>3550.07083044</v>
      </c>
      <c r="I141" s="1655">
        <v>968.58344338999996</v>
      </c>
    </row>
    <row r="142" spans="3:9" s="904" customFormat="1" ht="19.5" customHeight="1">
      <c r="C142" s="1636" t="s">
        <v>338</v>
      </c>
      <c r="D142" s="1646">
        <v>7997.28</v>
      </c>
      <c r="E142" s="1651">
        <v>4.7</v>
      </c>
      <c r="F142" s="1651">
        <v>779.37</v>
      </c>
      <c r="G142" s="1651">
        <v>8.2899999999999991</v>
      </c>
      <c r="H142" s="1655">
        <v>3724.31</v>
      </c>
      <c r="I142" s="1655">
        <v>1135.49</v>
      </c>
    </row>
    <row r="143" spans="3:9" s="904" customFormat="1" ht="19.5" customHeight="1">
      <c r="C143" s="1636" t="s">
        <v>339</v>
      </c>
      <c r="D143" s="1646">
        <v>8290</v>
      </c>
      <c r="E143" s="1651">
        <v>3.96</v>
      </c>
      <c r="F143" s="1651">
        <v>790</v>
      </c>
      <c r="G143" s="1651">
        <v>9.39</v>
      </c>
      <c r="H143" s="1655">
        <v>4446.68</v>
      </c>
      <c r="I143" s="1655">
        <v>1262.53</v>
      </c>
    </row>
    <row r="144" spans="3:9" s="904" customFormat="1" ht="19.5" customHeight="1">
      <c r="C144" s="1636" t="s">
        <v>340</v>
      </c>
      <c r="D144" s="1646">
        <v>7762.8599648500003</v>
      </c>
      <c r="E144" s="1651">
        <v>2.8750159700000002</v>
      </c>
      <c r="F144" s="1651">
        <v>811.18760015999999</v>
      </c>
      <c r="G144" s="1651">
        <v>13.975285250000001</v>
      </c>
      <c r="H144" s="1655">
        <v>4558.5357816699998</v>
      </c>
      <c r="I144" s="1655">
        <v>1254.9552006700001</v>
      </c>
    </row>
    <row r="145" spans="3:13" s="904" customFormat="1" ht="19.5" customHeight="1">
      <c r="C145" s="1636" t="s">
        <v>341</v>
      </c>
      <c r="D145" s="1646">
        <v>7155.0419145799997</v>
      </c>
      <c r="E145" s="1651">
        <v>3.9650236899999998</v>
      </c>
      <c r="F145" s="1651">
        <v>842.47508533000007</v>
      </c>
      <c r="G145" s="1651">
        <v>17.011347499999999</v>
      </c>
      <c r="H145" s="1655">
        <v>4462.3992408599997</v>
      </c>
      <c r="I145" s="1655">
        <v>1393.0816396300002</v>
      </c>
    </row>
    <row r="146" spans="3:13" s="904" customFormat="1" ht="19.5" customHeight="1">
      <c r="C146" s="1636" t="s">
        <v>342</v>
      </c>
      <c r="D146" s="1646">
        <v>8230.5</v>
      </c>
      <c r="E146" s="1651">
        <v>4.2</v>
      </c>
      <c r="F146" s="1651">
        <v>821.3</v>
      </c>
      <c r="G146" s="1651">
        <v>17.899999999999999</v>
      </c>
      <c r="H146" s="1655">
        <v>4607.38</v>
      </c>
      <c r="I146" s="1655">
        <v>1428.2</v>
      </c>
    </row>
    <row r="147" spans="3:13" s="904" customFormat="1" ht="19.5" customHeight="1">
      <c r="C147" s="1636" t="s">
        <v>343</v>
      </c>
      <c r="D147" s="1646">
        <v>7922.5</v>
      </c>
      <c r="E147" s="1651">
        <v>3.7</v>
      </c>
      <c r="F147" s="1651">
        <v>657.5</v>
      </c>
      <c r="G147" s="1651">
        <v>19.899999999999999</v>
      </c>
      <c r="H147" s="1655">
        <v>3964.78</v>
      </c>
      <c r="I147" s="1655">
        <v>1026.7</v>
      </c>
      <c r="M147" s="904">
        <v>1000000</v>
      </c>
    </row>
    <row r="148" spans="3:13" s="904" customFormat="1" ht="19.5" customHeight="1">
      <c r="C148" s="1636" t="s">
        <v>344</v>
      </c>
      <c r="D148" s="1646">
        <v>8355.2000000000007</v>
      </c>
      <c r="E148" s="1651">
        <v>2.8</v>
      </c>
      <c r="F148" s="1651">
        <v>917.2</v>
      </c>
      <c r="G148" s="1651">
        <v>14.6</v>
      </c>
      <c r="H148" s="1655">
        <v>4833.8</v>
      </c>
      <c r="I148" s="1655">
        <v>1102.9000000000001</v>
      </c>
    </row>
    <row r="149" spans="3:13" s="904" customFormat="1" ht="19.5" customHeight="1">
      <c r="C149" s="1636"/>
      <c r="D149" s="1646"/>
      <c r="E149" s="1651"/>
      <c r="F149" s="1651"/>
      <c r="G149" s="1651"/>
      <c r="H149" s="1655"/>
      <c r="I149" s="1655"/>
    </row>
    <row r="150" spans="3:13" s="904" customFormat="1" ht="19.5" customHeight="1">
      <c r="C150" s="1635">
        <v>2019</v>
      </c>
      <c r="D150" s="1646"/>
      <c r="E150" s="1651"/>
      <c r="F150" s="1651"/>
      <c r="G150" s="1651"/>
      <c r="H150" s="1655"/>
      <c r="I150" s="1655"/>
    </row>
    <row r="151" spans="3:13" s="904" customFormat="1" ht="19.5" customHeight="1">
      <c r="C151" s="1635" t="s">
        <v>345</v>
      </c>
      <c r="D151" s="1646">
        <v>6903.0175159</v>
      </c>
      <c r="E151" s="1651">
        <v>2.8934809000000001</v>
      </c>
      <c r="F151" s="1655">
        <v>1294.0470738199999</v>
      </c>
      <c r="G151" s="1651">
        <v>16.924177520000001</v>
      </c>
      <c r="H151" s="1655">
        <v>3608.8265897699998</v>
      </c>
      <c r="I151" s="1655">
        <v>1056.15584586</v>
      </c>
    </row>
    <row r="152" spans="3:13" s="904" customFormat="1" ht="19.5" customHeight="1">
      <c r="C152" s="1635" t="s">
        <v>334</v>
      </c>
      <c r="D152" s="1646">
        <v>8336.9756165899998</v>
      </c>
      <c r="E152" s="1651">
        <v>4.03566278</v>
      </c>
      <c r="F152" s="1655">
        <v>1330.5765917700001</v>
      </c>
      <c r="G152" s="1651">
        <v>17.207907460000001</v>
      </c>
      <c r="H152" s="1655">
        <v>3594.5092755700002</v>
      </c>
      <c r="I152" s="1655">
        <v>1093.6378717099999</v>
      </c>
    </row>
    <row r="153" spans="3:13" s="904" customFormat="1" ht="19.5" customHeight="1">
      <c r="C153" s="1635" t="s">
        <v>335</v>
      </c>
      <c r="D153" s="1646">
        <v>9881.4886704700002</v>
      </c>
      <c r="E153" s="1651">
        <v>3.9007001699999999</v>
      </c>
      <c r="F153" s="1655">
        <v>1399.50410233</v>
      </c>
      <c r="G153" s="1651">
        <v>18.26635782</v>
      </c>
      <c r="H153" s="1655">
        <v>4080.6516500299999</v>
      </c>
      <c r="I153" s="1655">
        <v>1250.55177101</v>
      </c>
    </row>
    <row r="154" spans="3:13" s="904" customFormat="1" ht="19.5" customHeight="1">
      <c r="C154" s="1635" t="s">
        <v>336</v>
      </c>
      <c r="D154" s="1646">
        <v>10321.38398703</v>
      </c>
      <c r="E154" s="1651">
        <v>3.1368942599999996</v>
      </c>
      <c r="F154" s="1655">
        <v>1590.0991338900001</v>
      </c>
      <c r="G154" s="1651">
        <v>13.972592179999999</v>
      </c>
      <c r="H154" s="1655">
        <v>4949.3358272599999</v>
      </c>
      <c r="I154" s="1655">
        <v>1408.5260939899999</v>
      </c>
    </row>
    <row r="155" spans="3:13" s="904" customFormat="1" ht="19.5" customHeight="1">
      <c r="C155" s="1635" t="s">
        <v>337</v>
      </c>
      <c r="D155" s="1646">
        <v>14670.320463190001</v>
      </c>
      <c r="E155" s="1651">
        <v>4.1864520299999999</v>
      </c>
      <c r="F155" s="1655">
        <v>1397.4802180699999</v>
      </c>
      <c r="G155" s="1651">
        <v>11.83001651</v>
      </c>
      <c r="H155" s="1655">
        <v>6692.5459814799997</v>
      </c>
      <c r="I155" s="1655">
        <v>1897.8184254300002</v>
      </c>
    </row>
    <row r="156" spans="3:13" s="904" customFormat="1" ht="19.5" customHeight="1">
      <c r="C156" s="1635" t="s">
        <v>338</v>
      </c>
      <c r="D156" s="1646">
        <v>17881.209188919998</v>
      </c>
      <c r="E156" s="1651">
        <v>3.7329232700000001</v>
      </c>
      <c r="F156" s="1655">
        <v>1464.6634113499999</v>
      </c>
      <c r="G156" s="1651">
        <v>30.140633910000002</v>
      </c>
      <c r="H156" s="1655">
        <v>7130.0167664000001</v>
      </c>
      <c r="I156" s="1655">
        <v>2539.8403443800003</v>
      </c>
    </row>
    <row r="157" spans="3:13" s="904" customFormat="1" ht="19.5" customHeight="1">
      <c r="C157" s="1635" t="s">
        <v>339</v>
      </c>
      <c r="D157" s="1646">
        <v>23309.857263860002</v>
      </c>
      <c r="E157" s="1651">
        <v>3.7049055099999997</v>
      </c>
      <c r="F157" s="1655">
        <v>1806.45037897</v>
      </c>
      <c r="G157" s="1651">
        <v>36.55091874</v>
      </c>
      <c r="H157" s="1655">
        <v>9137.3615885599993</v>
      </c>
      <c r="I157" s="1655">
        <v>3295.8094199000002</v>
      </c>
    </row>
    <row r="158" spans="3:13" s="904" customFormat="1" ht="18.75">
      <c r="C158" s="1635" t="s">
        <v>340</v>
      </c>
      <c r="D158" s="1646">
        <v>23596.622530929999</v>
      </c>
      <c r="E158" s="1651">
        <v>2.3707479900000004</v>
      </c>
      <c r="F158" s="1655">
        <v>2181.5599409499996</v>
      </c>
      <c r="G158" s="1651">
        <v>38.467251240000003</v>
      </c>
      <c r="H158" s="1655">
        <v>11077.64696735</v>
      </c>
      <c r="I158" s="1655">
        <v>3493.5596679099999</v>
      </c>
    </row>
    <row r="159" spans="3:13" s="904" customFormat="1" ht="19.5" thickBot="1">
      <c r="C159" s="1635" t="s">
        <v>341</v>
      </c>
      <c r="D159" s="1649">
        <v>30328.125752430002</v>
      </c>
      <c r="E159" s="1653">
        <v>3.7969891200000001</v>
      </c>
      <c r="F159" s="1656">
        <v>3029.8683406999999</v>
      </c>
      <c r="G159" s="1653">
        <v>51.939396799999997</v>
      </c>
      <c r="H159" s="1656">
        <v>15112.0025116</v>
      </c>
      <c r="I159" s="1656">
        <v>5337.7106632900004</v>
      </c>
    </row>
    <row r="160" spans="3:13" s="904" customFormat="1" ht="15.75" thickTop="1">
      <c r="C160" s="1080"/>
      <c r="D160" s="1504"/>
      <c r="E160" s="1650"/>
      <c r="F160" s="1650"/>
      <c r="G160" s="1650"/>
      <c r="H160" s="1650"/>
      <c r="I160" s="1650"/>
    </row>
    <row r="161" spans="3:11" s="904" customFormat="1" ht="18">
      <c r="C161" s="1432" t="s">
        <v>1779</v>
      </c>
      <c r="D161" s="1229"/>
      <c r="E161" s="1229"/>
      <c r="F161" s="1229"/>
      <c r="G161" s="1229"/>
      <c r="H161" s="1229"/>
      <c r="I161" s="1229"/>
    </row>
    <row r="162" spans="3:11" ht="18">
      <c r="C162" s="1230"/>
      <c r="D162" s="1230"/>
      <c r="E162" s="1230"/>
      <c r="F162" s="1230"/>
      <c r="G162" s="1230"/>
      <c r="H162" s="1230"/>
      <c r="I162" s="1230"/>
      <c r="K162" s="904"/>
    </row>
    <row r="330" spans="8:9">
      <c r="H330" s="143">
        <f>4920100299/1000</f>
        <v>4920100.2989999996</v>
      </c>
      <c r="I330" s="143">
        <v>725</v>
      </c>
    </row>
    <row r="331" spans="8:9">
      <c r="H331" s="143">
        <f>4698281252/1000</f>
        <v>4698281.2520000003</v>
      </c>
      <c r="I331" s="143">
        <v>20</v>
      </c>
    </row>
    <row r="332" spans="8:9" hidden="1">
      <c r="H332" s="143">
        <f>6895867959/1000</f>
        <v>6895867.9589999998</v>
      </c>
    </row>
    <row r="333" spans="8:9" hidden="1"/>
    <row r="334" spans="8:9" hidden="1"/>
    <row r="335" spans="8:9" hidden="1"/>
    <row r="336" spans="8:9" hidden="1"/>
    <row r="337" hidden="1"/>
    <row r="338" hidden="1"/>
    <row r="339" hidden="1"/>
    <row r="340" hidden="1"/>
  </sheetData>
  <customSheetViews>
    <customSheetView guid="{705E0D18-9A83-42CA-8732-90923BE2EC7D}" scale="75" showPageBreaks="1" printArea="1" hiddenRows="1" topLeftCell="A56">
      <pane xSplit="3" ySplit="19" topLeftCell="D132" activePane="bottomRight" state="frozen"/>
      <selection pane="bottomRight" activeCell="D146" sqref="D146"/>
      <pageMargins left="0.75" right="0.75" top="0.56000000000000005" bottom="1" header="0.5" footer="0.5"/>
      <printOptions horizontalCentered="1"/>
      <pageSetup scale="58" orientation="landscape" horizontalDpi="300" verticalDpi="300" r:id="rId1"/>
      <headerFooter alignWithMargins="0"/>
    </customSheetView>
    <customSheetView guid="{D45E5F9E-4EA6-40A2-8A1D-3AC67FB8CE54}" scale="75" showPageBreaks="1" printArea="1" hiddenRows="1" topLeftCell="A56">
      <pane xSplit="3" ySplit="19" topLeftCell="D128" activePane="bottomRight" state="frozen"/>
      <selection pane="bottomRight" activeCell="K1" sqref="K1:K1048576"/>
      <pageMargins left="0.75" right="0.75" top="0.56000000000000005" bottom="1" header="0.5" footer="0.5"/>
      <printOptions horizontalCentered="1"/>
      <pageSetup scale="58" orientation="landscape" horizontalDpi="300" verticalDpi="300" r:id="rId2"/>
      <headerFooter alignWithMargins="0"/>
    </customSheetView>
    <customSheetView guid="{098C004C-808F-436E-8F18-182F927479D1}" scale="75" showPageBreaks="1" printArea="1" hiddenRows="1" topLeftCell="A56">
      <pane xSplit="3" ySplit="19" topLeftCell="D76" activePane="bottomRight" state="frozen"/>
      <selection pane="bottomRight" activeCell="D114" sqref="D114"/>
      <pageMargins left="0.75" right="0.75" top="0.56000000000000005" bottom="1" header="0.5" footer="0.5"/>
      <printOptions horizontalCentered="1"/>
      <pageSetup scale="58" orientation="landscape" horizontalDpi="300" verticalDpi="300" r:id="rId3"/>
      <headerFooter alignWithMargins="0"/>
    </customSheetView>
    <customSheetView guid="{89CA84C2-78F5-4B05-8F1D-B7C5F97BCB4E}" scale="75" showPageBreaks="1" printArea="1" hiddenRows="1" hiddenColumns="1" topLeftCell="A56">
      <pane xSplit="3" ySplit="19" topLeftCell="D123" activePane="bottomRight" state="frozen"/>
      <selection pane="bottomRight" activeCell="E143" sqref="E143"/>
      <pageMargins left="0.75" right="0.75" top="0.56000000000000005" bottom="1" header="0.5" footer="0.5"/>
      <printOptions horizontalCentered="1"/>
      <pageSetup scale="58" orientation="landscape" horizontalDpi="300" verticalDpi="300" r:id="rId4"/>
      <headerFooter alignWithMargins="0"/>
    </customSheetView>
  </customSheetViews>
  <mergeCells count="4">
    <mergeCell ref="C2:G2"/>
    <mergeCell ref="C4:G4"/>
    <mergeCell ref="C56:I56"/>
    <mergeCell ref="C57:I57"/>
  </mergeCells>
  <phoneticPr fontId="52" type="noConversion"/>
  <printOptions horizontalCentered="1"/>
  <pageMargins left="0.75" right="0.75" top="0.56000000000000005" bottom="1" header="0.5" footer="0.5"/>
  <pageSetup scale="58" orientation="landscape" horizontalDpi="300" verticalDpi="300" r:id="rId5"/>
  <headerFooter alignWithMargins="0"/>
  <ignoredErrors>
    <ignoredError sqref="D91:I91 D106 E106:I106" unlockedFormula="1"/>
  </ignoredErrors>
  <drawing r:id="rId6"/>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B4:L203"/>
  <sheetViews>
    <sheetView zoomScale="60" zoomScaleNormal="60" workbookViewId="0">
      <pane xSplit="3" ySplit="169" topLeftCell="D170" activePane="bottomRight" state="frozen"/>
      <selection pane="topRight" activeCell="D1" sqref="D1"/>
      <selection pane="bottomLeft" activeCell="A170" sqref="A170"/>
      <selection pane="bottomRight" activeCell="G196" sqref="G196"/>
    </sheetView>
  </sheetViews>
  <sheetFormatPr defaultColWidth="8.77734375" defaultRowHeight="15"/>
  <cols>
    <col min="1" max="2" width="8.77734375" style="246"/>
    <col min="3" max="3" width="10.109375" style="246" customWidth="1"/>
    <col min="4" max="4" width="18.77734375" style="246" customWidth="1"/>
    <col min="5" max="5" width="9" style="246" bestFit="1" customWidth="1"/>
    <col min="6" max="6" width="21.6640625" style="246" customWidth="1"/>
    <col min="7" max="7" width="20.21875" style="246" customWidth="1"/>
    <col min="8" max="8" width="20" style="246" hidden="1" customWidth="1"/>
    <col min="9" max="9" width="9" style="246" hidden="1" customWidth="1"/>
    <col min="10" max="10" width="18.77734375" style="246" hidden="1" customWidth="1"/>
    <col min="11" max="11" width="9" style="246" hidden="1" customWidth="1"/>
    <col min="12" max="16384" width="8.77734375" style="246"/>
  </cols>
  <sheetData>
    <row r="4" spans="2:12" ht="15.75">
      <c r="B4" s="1969" t="s">
        <v>1148</v>
      </c>
      <c r="C4" s="1969"/>
      <c r="D4" s="1969"/>
      <c r="E4" s="1969"/>
      <c r="F4" s="1969"/>
      <c r="G4" s="1969"/>
      <c r="H4" s="1969"/>
      <c r="I4" s="1969"/>
      <c r="J4" s="1969"/>
      <c r="K4" s="1969"/>
      <c r="L4" s="1969"/>
    </row>
    <row r="5" spans="2:12" ht="15.75">
      <c r="C5" s="247"/>
      <c r="D5" s="248"/>
      <c r="E5" s="248"/>
      <c r="F5" s="248"/>
      <c r="G5" s="248"/>
      <c r="H5" s="248"/>
      <c r="I5" s="248"/>
      <c r="J5" s="248"/>
      <c r="K5" s="248"/>
      <c r="L5" s="248"/>
    </row>
    <row r="6" spans="2:12" ht="15.75">
      <c r="C6" s="1972" t="s">
        <v>1039</v>
      </c>
      <c r="D6" s="1972"/>
      <c r="E6" s="1972"/>
      <c r="F6" s="1972"/>
      <c r="G6" s="1972"/>
      <c r="H6" s="1972"/>
      <c r="I6" s="1972"/>
      <c r="J6" s="248"/>
      <c r="K6" s="248"/>
      <c r="L6" s="248"/>
    </row>
    <row r="7" spans="2:12" ht="16.5" thickBot="1">
      <c r="C7" s="248"/>
      <c r="D7" s="248"/>
      <c r="E7" s="248"/>
      <c r="F7" s="248"/>
      <c r="G7" s="248"/>
      <c r="H7" s="248"/>
      <c r="I7" s="248"/>
      <c r="J7" s="248"/>
      <c r="K7" s="248"/>
      <c r="L7" s="248"/>
    </row>
    <row r="8" spans="2:12" ht="16.5" thickTop="1">
      <c r="C8" s="249"/>
      <c r="D8" s="250"/>
      <c r="E8" s="251"/>
      <c r="F8" s="250"/>
      <c r="G8" s="251"/>
      <c r="H8" s="250"/>
      <c r="I8" s="251"/>
      <c r="J8" s="250"/>
      <c r="K8" s="251"/>
      <c r="L8" s="248"/>
    </row>
    <row r="9" spans="2:12" ht="15.75">
      <c r="C9" s="252"/>
      <c r="D9" s="1970" t="s">
        <v>88</v>
      </c>
      <c r="E9" s="1971"/>
      <c r="F9" s="1970" t="s">
        <v>96</v>
      </c>
      <c r="G9" s="1971"/>
      <c r="H9" s="1970" t="s">
        <v>97</v>
      </c>
      <c r="I9" s="1971"/>
      <c r="J9" s="1970" t="s">
        <v>98</v>
      </c>
      <c r="K9" s="1971"/>
      <c r="L9" s="248"/>
    </row>
    <row r="10" spans="2:12" ht="16.5" thickBot="1">
      <c r="C10" s="252"/>
      <c r="D10" s="253"/>
      <c r="E10" s="254"/>
      <c r="F10" s="253"/>
      <c r="G10" s="254"/>
      <c r="H10" s="253"/>
      <c r="I10" s="254"/>
      <c r="J10" s="253"/>
      <c r="K10" s="254"/>
      <c r="L10" s="248"/>
    </row>
    <row r="11" spans="2:12" ht="16.5" thickTop="1">
      <c r="C11" s="252"/>
      <c r="D11" s="249"/>
      <c r="E11" s="249"/>
      <c r="F11" s="249"/>
      <c r="G11" s="249"/>
      <c r="H11" s="249"/>
      <c r="I11" s="249"/>
      <c r="J11" s="249"/>
      <c r="K11" s="249"/>
      <c r="L11" s="248"/>
    </row>
    <row r="12" spans="2:12" ht="15.75">
      <c r="C12" s="252"/>
      <c r="D12" s="255" t="s">
        <v>74</v>
      </c>
      <c r="E12" s="255" t="s">
        <v>89</v>
      </c>
      <c r="F12" s="255" t="s">
        <v>74</v>
      </c>
      <c r="G12" s="255" t="s">
        <v>89</v>
      </c>
      <c r="H12" s="255" t="s">
        <v>74</v>
      </c>
      <c r="I12" s="255" t="s">
        <v>89</v>
      </c>
      <c r="J12" s="255" t="s">
        <v>74</v>
      </c>
      <c r="K12" s="255" t="s">
        <v>89</v>
      </c>
      <c r="L12" s="248"/>
    </row>
    <row r="13" spans="2:12" ht="15.75">
      <c r="C13" s="252"/>
      <c r="D13" s="255" t="s">
        <v>80</v>
      </c>
      <c r="E13" s="255" t="s">
        <v>99</v>
      </c>
      <c r="F13" s="255" t="s">
        <v>80</v>
      </c>
      <c r="G13" s="255" t="s">
        <v>99</v>
      </c>
      <c r="H13" s="255" t="s">
        <v>80</v>
      </c>
      <c r="I13" s="255" t="s">
        <v>99</v>
      </c>
      <c r="J13" s="255" t="s">
        <v>80</v>
      </c>
      <c r="K13" s="255" t="s">
        <v>99</v>
      </c>
      <c r="L13" s="248"/>
    </row>
    <row r="14" spans="2:12" ht="15.75">
      <c r="C14" s="252"/>
      <c r="D14" s="255" t="s">
        <v>100</v>
      </c>
      <c r="E14" s="255" t="s">
        <v>101</v>
      </c>
      <c r="F14" s="255" t="s">
        <v>100</v>
      </c>
      <c r="G14" s="255" t="s">
        <v>101</v>
      </c>
      <c r="H14" s="255" t="s">
        <v>100</v>
      </c>
      <c r="I14" s="255" t="s">
        <v>101</v>
      </c>
      <c r="J14" s="255" t="s">
        <v>100</v>
      </c>
      <c r="K14" s="255" t="s">
        <v>101</v>
      </c>
      <c r="L14" s="248"/>
    </row>
    <row r="15" spans="2:12" ht="15.75">
      <c r="C15" s="252" t="s">
        <v>32</v>
      </c>
      <c r="D15" s="255" t="s">
        <v>1039</v>
      </c>
      <c r="E15" s="255" t="s">
        <v>770</v>
      </c>
      <c r="F15" s="255" t="s">
        <v>1039</v>
      </c>
      <c r="G15" s="255" t="s">
        <v>770</v>
      </c>
      <c r="H15" s="255" t="s">
        <v>374</v>
      </c>
      <c r="I15" s="255" t="s">
        <v>770</v>
      </c>
      <c r="J15" s="255" t="s">
        <v>374</v>
      </c>
      <c r="K15" s="255" t="s">
        <v>770</v>
      </c>
      <c r="L15" s="248"/>
    </row>
    <row r="16" spans="2:12" ht="16.5" thickBot="1">
      <c r="C16" s="256"/>
      <c r="D16" s="257"/>
      <c r="E16" s="257"/>
      <c r="F16" s="257"/>
      <c r="G16" s="257"/>
      <c r="H16" s="257"/>
      <c r="I16" s="257"/>
      <c r="J16" s="257"/>
      <c r="K16" s="257"/>
      <c r="L16" s="248"/>
    </row>
    <row r="17" spans="3:12" ht="16.5" hidden="1" thickTop="1">
      <c r="C17" s="252"/>
      <c r="D17" s="252"/>
      <c r="E17" s="255"/>
      <c r="F17" s="252"/>
      <c r="G17" s="255"/>
      <c r="H17" s="252"/>
      <c r="I17" s="255"/>
      <c r="J17" s="252"/>
      <c r="K17" s="255"/>
      <c r="L17" s="248"/>
    </row>
    <row r="18" spans="3:12" ht="15.75" hidden="1">
      <c r="C18" s="258" t="s">
        <v>333</v>
      </c>
      <c r="D18" s="252"/>
      <c r="E18" s="255"/>
      <c r="F18" s="252"/>
      <c r="G18" s="255"/>
      <c r="H18" s="252"/>
      <c r="I18" s="255"/>
      <c r="J18" s="252"/>
      <c r="K18" s="255"/>
      <c r="L18" s="248"/>
    </row>
    <row r="19" spans="3:12" ht="15.75" hidden="1">
      <c r="C19" s="252"/>
      <c r="D19" s="252"/>
      <c r="E19" s="252"/>
      <c r="F19" s="252"/>
      <c r="G19" s="255"/>
      <c r="H19" s="252"/>
      <c r="I19" s="252"/>
      <c r="J19" s="252"/>
      <c r="K19" s="255"/>
      <c r="L19" s="248"/>
    </row>
    <row r="20" spans="3:12" ht="15.75" hidden="1">
      <c r="C20" s="252" t="s">
        <v>8</v>
      </c>
      <c r="D20" s="255">
        <v>26620.5</v>
      </c>
      <c r="E20" s="255" t="s">
        <v>102</v>
      </c>
      <c r="F20" s="255">
        <v>4252.2</v>
      </c>
      <c r="G20" s="255" t="s">
        <v>103</v>
      </c>
      <c r="H20" s="255">
        <v>5290.1</v>
      </c>
      <c r="I20" s="255" t="s">
        <v>104</v>
      </c>
      <c r="J20" s="255">
        <v>16489.099999999999</v>
      </c>
      <c r="K20" s="255" t="s">
        <v>105</v>
      </c>
      <c r="L20" s="248"/>
    </row>
    <row r="21" spans="3:12" ht="15.75" hidden="1">
      <c r="C21" s="252" t="s">
        <v>9</v>
      </c>
      <c r="D21" s="255">
        <v>24237.599999999999</v>
      </c>
      <c r="E21" s="255" t="s">
        <v>106</v>
      </c>
      <c r="F21" s="255">
        <v>2945.9</v>
      </c>
      <c r="G21" s="255" t="s">
        <v>107</v>
      </c>
      <c r="H21" s="255">
        <v>5597.2</v>
      </c>
      <c r="I21" s="255" t="s">
        <v>108</v>
      </c>
      <c r="J21" s="255">
        <v>16832.900000000001</v>
      </c>
      <c r="K21" s="255" t="s">
        <v>109</v>
      </c>
      <c r="L21" s="248"/>
    </row>
    <row r="22" spans="3:12" ht="15.75" hidden="1">
      <c r="C22" s="252" t="s">
        <v>10</v>
      </c>
      <c r="D22" s="255">
        <v>24723.599999999999</v>
      </c>
      <c r="E22" s="255" t="s">
        <v>110</v>
      </c>
      <c r="F22" s="255">
        <v>3015.5</v>
      </c>
      <c r="G22" s="255" t="s">
        <v>111</v>
      </c>
      <c r="H22" s="255">
        <v>5614.4</v>
      </c>
      <c r="I22" s="255" t="s">
        <v>108</v>
      </c>
      <c r="J22" s="255">
        <v>17203.3</v>
      </c>
      <c r="K22" s="255" t="s">
        <v>109</v>
      </c>
      <c r="L22" s="248"/>
    </row>
    <row r="23" spans="3:12" ht="15.75" hidden="1">
      <c r="C23" s="252" t="s">
        <v>11</v>
      </c>
      <c r="D23" s="255">
        <v>26677.3</v>
      </c>
      <c r="E23" s="255" t="s">
        <v>112</v>
      </c>
      <c r="F23" s="255">
        <v>2361</v>
      </c>
      <c r="G23" s="255" t="s">
        <v>113</v>
      </c>
      <c r="H23" s="255">
        <v>5263.2</v>
      </c>
      <c r="I23" s="255" t="s">
        <v>116</v>
      </c>
      <c r="J23" s="255">
        <v>16998.5</v>
      </c>
      <c r="K23" s="255" t="s">
        <v>117</v>
      </c>
      <c r="L23" s="248"/>
    </row>
    <row r="24" spans="3:12" ht="15.75" hidden="1">
      <c r="C24" s="252" t="s">
        <v>337</v>
      </c>
      <c r="D24" s="255">
        <v>29067.200000000001</v>
      </c>
      <c r="E24" s="255" t="s">
        <v>118</v>
      </c>
      <c r="F24" s="255">
        <v>3644.4</v>
      </c>
      <c r="G24" s="255" t="s">
        <v>103</v>
      </c>
      <c r="H24" s="255">
        <v>5055.3</v>
      </c>
      <c r="I24" s="255" t="s">
        <v>116</v>
      </c>
      <c r="J24" s="255">
        <v>17567.099999999999</v>
      </c>
      <c r="K24" s="255" t="s">
        <v>122</v>
      </c>
      <c r="L24" s="248"/>
    </row>
    <row r="25" spans="3:12" ht="15.75" hidden="1">
      <c r="C25" s="252" t="s">
        <v>346</v>
      </c>
      <c r="D25" s="255">
        <v>32403</v>
      </c>
      <c r="E25" s="255" t="s">
        <v>123</v>
      </c>
      <c r="F25" s="255">
        <v>4302.8</v>
      </c>
      <c r="G25" s="255" t="s">
        <v>109</v>
      </c>
      <c r="H25" s="255">
        <v>5152.6000000000004</v>
      </c>
      <c r="I25" s="255" t="s">
        <v>124</v>
      </c>
      <c r="J25" s="255">
        <v>18072</v>
      </c>
      <c r="K25" s="255" t="s">
        <v>103</v>
      </c>
      <c r="L25" s="248"/>
    </row>
    <row r="26" spans="3:12" ht="15.75" hidden="1">
      <c r="C26" s="252" t="s">
        <v>347</v>
      </c>
      <c r="D26" s="255">
        <v>34121.699999999997</v>
      </c>
      <c r="E26" s="255" t="s">
        <v>123</v>
      </c>
      <c r="F26" s="255">
        <v>4714.3</v>
      </c>
      <c r="G26" s="255" t="s">
        <v>125</v>
      </c>
      <c r="H26" s="255">
        <v>4381.3</v>
      </c>
      <c r="I26" s="255" t="s">
        <v>126</v>
      </c>
      <c r="J26" s="255">
        <v>19465.8</v>
      </c>
      <c r="K26" s="255" t="s">
        <v>127</v>
      </c>
      <c r="L26" s="248"/>
    </row>
    <row r="27" spans="3:12" ht="15.75" hidden="1">
      <c r="C27" s="252" t="s">
        <v>12</v>
      </c>
      <c r="D27" s="255">
        <v>34644.6</v>
      </c>
      <c r="E27" s="255" t="s">
        <v>128</v>
      </c>
      <c r="F27" s="255">
        <v>4404.8</v>
      </c>
      <c r="G27" s="255" t="s">
        <v>129</v>
      </c>
      <c r="H27" s="255">
        <v>5181</v>
      </c>
      <c r="I27" s="255" t="s">
        <v>126</v>
      </c>
      <c r="J27" s="255">
        <v>19582.2</v>
      </c>
      <c r="K27" s="255" t="s">
        <v>130</v>
      </c>
      <c r="L27" s="248"/>
    </row>
    <row r="28" spans="3:12" ht="15.75" hidden="1">
      <c r="C28" s="252" t="s">
        <v>13</v>
      </c>
      <c r="D28" s="255">
        <v>36874.199999999997</v>
      </c>
      <c r="E28" s="255" t="s">
        <v>131</v>
      </c>
      <c r="F28" s="255">
        <v>4185.5</v>
      </c>
      <c r="G28" s="255" t="s">
        <v>105</v>
      </c>
      <c r="H28" s="255">
        <v>4799.8999999999996</v>
      </c>
      <c r="I28" s="255" t="s">
        <v>104</v>
      </c>
      <c r="J28" s="255">
        <v>20116.7</v>
      </c>
      <c r="K28" s="255" t="s">
        <v>132</v>
      </c>
      <c r="L28" s="248"/>
    </row>
    <row r="29" spans="3:12" ht="15.75" hidden="1">
      <c r="C29" s="252" t="s">
        <v>14</v>
      </c>
      <c r="D29" s="255">
        <v>37274.300000000003</v>
      </c>
      <c r="E29" s="255" t="s">
        <v>133</v>
      </c>
      <c r="F29" s="255">
        <v>4753.3999999999996</v>
      </c>
      <c r="G29" s="255" t="s">
        <v>130</v>
      </c>
      <c r="H29" s="255">
        <v>4405.2</v>
      </c>
      <c r="I29" s="255" t="s">
        <v>134</v>
      </c>
      <c r="J29" s="255">
        <v>20629.099999999999</v>
      </c>
      <c r="K29" s="255" t="s">
        <v>135</v>
      </c>
      <c r="L29" s="248"/>
    </row>
    <row r="30" spans="3:12" ht="15.75" hidden="1">
      <c r="C30" s="252" t="s">
        <v>15</v>
      </c>
      <c r="D30" s="255">
        <v>37504.6</v>
      </c>
      <c r="E30" s="255" t="s">
        <v>136</v>
      </c>
      <c r="F30" s="255">
        <v>3566.6</v>
      </c>
      <c r="G30" s="255" t="s">
        <v>137</v>
      </c>
      <c r="H30" s="255">
        <v>3718.3</v>
      </c>
      <c r="I30" s="255" t="s">
        <v>126</v>
      </c>
      <c r="J30" s="255">
        <v>19930.2</v>
      </c>
      <c r="K30" s="255" t="s">
        <v>130</v>
      </c>
      <c r="L30" s="248"/>
    </row>
    <row r="31" spans="3:12" ht="15.75" hidden="1">
      <c r="C31" s="252" t="s">
        <v>16</v>
      </c>
      <c r="D31" s="255">
        <v>41234.400000000001</v>
      </c>
      <c r="E31" s="255" t="s">
        <v>138</v>
      </c>
      <c r="F31" s="255">
        <v>3620.3</v>
      </c>
      <c r="G31" s="255" t="s">
        <v>139</v>
      </c>
      <c r="H31" s="255">
        <v>4318.6000000000004</v>
      </c>
      <c r="I31" s="255" t="s">
        <v>110</v>
      </c>
      <c r="J31" s="255">
        <v>20478.3</v>
      </c>
      <c r="K31" s="255" t="s">
        <v>140</v>
      </c>
      <c r="L31" s="248"/>
    </row>
    <row r="32" spans="3:12" ht="15.75" hidden="1">
      <c r="C32" s="252"/>
      <c r="D32" s="255"/>
      <c r="E32" s="255"/>
      <c r="F32" s="255"/>
      <c r="G32" s="255"/>
      <c r="H32" s="255"/>
      <c r="I32" s="255"/>
      <c r="J32" s="255"/>
      <c r="K32" s="255"/>
      <c r="L32" s="248"/>
    </row>
    <row r="33" spans="3:12" ht="15.75" hidden="1">
      <c r="C33" s="258" t="s">
        <v>710</v>
      </c>
      <c r="D33" s="255"/>
      <c r="E33" s="255"/>
      <c r="F33" s="255"/>
      <c r="G33" s="255"/>
      <c r="H33" s="255"/>
      <c r="I33" s="255"/>
      <c r="J33" s="255"/>
      <c r="K33" s="255"/>
      <c r="L33" s="248"/>
    </row>
    <row r="34" spans="3:12" ht="15.75" hidden="1">
      <c r="C34" s="258"/>
      <c r="D34" s="255"/>
      <c r="E34" s="255"/>
      <c r="F34" s="255"/>
      <c r="G34" s="255"/>
      <c r="H34" s="255"/>
      <c r="I34" s="255"/>
      <c r="J34" s="255"/>
      <c r="K34" s="255"/>
      <c r="L34" s="248"/>
    </row>
    <row r="35" spans="3:12" ht="15.75" hidden="1">
      <c r="C35" s="252" t="s">
        <v>8</v>
      </c>
      <c r="D35" s="255">
        <v>44495.5</v>
      </c>
      <c r="E35" s="255" t="s">
        <v>133</v>
      </c>
      <c r="F35" s="255">
        <v>2398.9</v>
      </c>
      <c r="G35" s="255" t="s">
        <v>141</v>
      </c>
      <c r="H35" s="255">
        <v>4613.8999999999996</v>
      </c>
      <c r="I35" s="255" t="s">
        <v>134</v>
      </c>
      <c r="J35" s="255">
        <v>21491.5</v>
      </c>
      <c r="K35" s="255" t="s">
        <v>142</v>
      </c>
      <c r="L35" s="248"/>
    </row>
    <row r="36" spans="3:12" ht="15.75" hidden="1">
      <c r="C36" s="252" t="s">
        <v>9</v>
      </c>
      <c r="D36" s="255">
        <v>36671.300000000003</v>
      </c>
      <c r="E36" s="255" t="s">
        <v>136</v>
      </c>
      <c r="F36" s="255">
        <v>3717.6</v>
      </c>
      <c r="G36" s="255" t="s">
        <v>144</v>
      </c>
      <c r="H36" s="255">
        <v>4550.7</v>
      </c>
      <c r="I36" s="255" t="s">
        <v>108</v>
      </c>
      <c r="J36" s="255">
        <v>23147</v>
      </c>
      <c r="K36" s="255" t="s">
        <v>145</v>
      </c>
      <c r="L36" s="248"/>
    </row>
    <row r="37" spans="3:12" ht="15.75" hidden="1">
      <c r="C37" s="252" t="s">
        <v>10</v>
      </c>
      <c r="D37" s="255">
        <v>41306.400000000001</v>
      </c>
      <c r="E37" s="255" t="s">
        <v>146</v>
      </c>
      <c r="F37" s="255">
        <v>4292.7</v>
      </c>
      <c r="G37" s="255" t="s">
        <v>147</v>
      </c>
      <c r="H37" s="255">
        <v>4874.3999999999996</v>
      </c>
      <c r="I37" s="255" t="s">
        <v>134</v>
      </c>
      <c r="J37" s="255">
        <v>24980.5</v>
      </c>
      <c r="K37" s="255" t="s">
        <v>148</v>
      </c>
      <c r="L37" s="248"/>
    </row>
    <row r="38" spans="3:12" ht="15.75" hidden="1">
      <c r="C38" s="252" t="s">
        <v>11</v>
      </c>
      <c r="D38" s="255">
        <v>47552.9</v>
      </c>
      <c r="E38" s="255" t="s">
        <v>149</v>
      </c>
      <c r="F38" s="255">
        <v>3041.6</v>
      </c>
      <c r="G38" s="255" t="s">
        <v>150</v>
      </c>
      <c r="H38" s="255">
        <v>4766.8</v>
      </c>
      <c r="I38" s="255" t="s">
        <v>126</v>
      </c>
      <c r="J38" s="255">
        <v>26513.8</v>
      </c>
      <c r="K38" s="255" t="s">
        <v>151</v>
      </c>
      <c r="L38" s="248"/>
    </row>
    <row r="39" spans="3:12" ht="15.75" hidden="1">
      <c r="C39" s="252" t="s">
        <v>337</v>
      </c>
      <c r="D39" s="255">
        <v>50935.7</v>
      </c>
      <c r="E39" s="255" t="s">
        <v>112</v>
      </c>
      <c r="F39" s="255">
        <v>3914.1</v>
      </c>
      <c r="G39" s="255" t="s">
        <v>152</v>
      </c>
      <c r="H39" s="255">
        <v>4526.3999999999996</v>
      </c>
      <c r="I39" s="255" t="s">
        <v>104</v>
      </c>
      <c r="J39" s="255">
        <v>27415.3</v>
      </c>
      <c r="K39" s="255" t="s">
        <v>107</v>
      </c>
      <c r="L39" s="248"/>
    </row>
    <row r="40" spans="3:12" ht="15.75" hidden="1">
      <c r="C40" s="252" t="s">
        <v>346</v>
      </c>
      <c r="D40" s="255">
        <v>53460.5</v>
      </c>
      <c r="E40" s="255" t="s">
        <v>153</v>
      </c>
      <c r="F40" s="255">
        <v>4430.2</v>
      </c>
      <c r="G40" s="255" t="s">
        <v>145</v>
      </c>
      <c r="H40" s="255">
        <v>4958.8</v>
      </c>
      <c r="I40" s="255" t="s">
        <v>124</v>
      </c>
      <c r="J40" s="255">
        <v>30379</v>
      </c>
      <c r="K40" s="255" t="s">
        <v>154</v>
      </c>
      <c r="L40" s="248"/>
    </row>
    <row r="41" spans="3:12" ht="15.75" hidden="1">
      <c r="C41" s="252" t="s">
        <v>347</v>
      </c>
      <c r="D41" s="255">
        <v>53739.8</v>
      </c>
      <c r="E41" s="255" t="s">
        <v>118</v>
      </c>
      <c r="F41" s="255">
        <v>4182</v>
      </c>
      <c r="G41" s="255" t="s">
        <v>155</v>
      </c>
      <c r="H41" s="255">
        <v>3980.9</v>
      </c>
      <c r="I41" s="255" t="s">
        <v>104</v>
      </c>
      <c r="J41" s="255">
        <v>31681.599999999999</v>
      </c>
      <c r="K41" s="255" t="s">
        <v>156</v>
      </c>
      <c r="L41" s="248"/>
    </row>
    <row r="42" spans="3:12" ht="15.75" hidden="1">
      <c r="C42" s="252" t="s">
        <v>12</v>
      </c>
      <c r="D42" s="255">
        <v>64544.2</v>
      </c>
      <c r="E42" s="255" t="s">
        <v>133</v>
      </c>
      <c r="F42" s="255">
        <v>5251.2</v>
      </c>
      <c r="G42" s="255" t="s">
        <v>157</v>
      </c>
      <c r="H42" s="255">
        <v>4001.9</v>
      </c>
      <c r="I42" s="259">
        <v>16</v>
      </c>
      <c r="J42" s="255">
        <v>32355.7</v>
      </c>
      <c r="K42" s="259">
        <v>78</v>
      </c>
      <c r="L42" s="248"/>
    </row>
    <row r="43" spans="3:12" ht="15.75" hidden="1">
      <c r="C43" s="252" t="s">
        <v>13</v>
      </c>
      <c r="D43" s="255">
        <v>63447.1</v>
      </c>
      <c r="E43" s="255" t="s">
        <v>149</v>
      </c>
      <c r="F43" s="255">
        <v>5074.8999999999996</v>
      </c>
      <c r="G43" s="255" t="s">
        <v>158</v>
      </c>
      <c r="H43" s="255">
        <v>4081.4</v>
      </c>
      <c r="I43" s="259">
        <v>19</v>
      </c>
      <c r="J43" s="255">
        <v>33443.699999999997</v>
      </c>
      <c r="K43" s="259">
        <v>79</v>
      </c>
      <c r="L43" s="248"/>
    </row>
    <row r="44" spans="3:12" ht="15.75" hidden="1">
      <c r="C44" s="252" t="s">
        <v>14</v>
      </c>
      <c r="D44" s="255">
        <v>69547.8</v>
      </c>
      <c r="E44" s="255" t="s">
        <v>159</v>
      </c>
      <c r="F44" s="255">
        <v>6080</v>
      </c>
      <c r="G44" s="255" t="s">
        <v>160</v>
      </c>
      <c r="H44" s="255">
        <v>2914.5</v>
      </c>
      <c r="I44" s="259" t="s">
        <v>108</v>
      </c>
      <c r="J44" s="255">
        <v>32859.800000000003</v>
      </c>
      <c r="K44" s="259">
        <v>79</v>
      </c>
      <c r="L44" s="248"/>
    </row>
    <row r="45" spans="3:12" ht="15.75" hidden="1">
      <c r="C45" s="252" t="s">
        <v>15</v>
      </c>
      <c r="D45" s="255">
        <v>76215.100000000006</v>
      </c>
      <c r="E45" s="260">
        <v>36</v>
      </c>
      <c r="F45" s="255">
        <v>5937</v>
      </c>
      <c r="G45" s="255" t="s">
        <v>184</v>
      </c>
      <c r="H45" s="255">
        <v>3510.2</v>
      </c>
      <c r="I45" s="259">
        <v>36</v>
      </c>
      <c r="J45" s="255">
        <v>31624.6</v>
      </c>
      <c r="K45" s="259">
        <v>69</v>
      </c>
      <c r="L45" s="248"/>
    </row>
    <row r="46" spans="3:12" ht="15.75" hidden="1">
      <c r="C46" s="252" t="s">
        <v>16</v>
      </c>
      <c r="D46" s="255">
        <v>73681.8</v>
      </c>
      <c r="E46" s="260">
        <v>35</v>
      </c>
      <c r="F46" s="255">
        <v>8046.5</v>
      </c>
      <c r="G46" s="255">
        <v>76.7</v>
      </c>
      <c r="H46" s="255">
        <v>3090.8</v>
      </c>
      <c r="I46" s="259">
        <v>29</v>
      </c>
      <c r="J46" s="255">
        <v>33375.9</v>
      </c>
      <c r="K46" s="259">
        <v>87</v>
      </c>
      <c r="L46" s="248"/>
    </row>
    <row r="47" spans="3:12" ht="15.75" hidden="1">
      <c r="C47" s="252"/>
      <c r="D47" s="255"/>
      <c r="E47" s="260"/>
      <c r="F47" s="255"/>
      <c r="G47" s="255"/>
      <c r="H47" s="255"/>
      <c r="I47" s="259"/>
      <c r="J47" s="255"/>
      <c r="K47" s="259"/>
      <c r="L47" s="248"/>
    </row>
    <row r="48" spans="3:12" ht="15.75" hidden="1">
      <c r="C48" s="258" t="s">
        <v>40</v>
      </c>
      <c r="D48" s="255"/>
      <c r="E48" s="260"/>
      <c r="F48" s="255"/>
      <c r="G48" s="255"/>
      <c r="H48" s="255"/>
      <c r="I48" s="259"/>
      <c r="J48" s="255"/>
      <c r="K48" s="259"/>
      <c r="L48" s="248"/>
    </row>
    <row r="49" spans="3:12" ht="15.75" hidden="1">
      <c r="C49" s="258"/>
      <c r="D49" s="255"/>
      <c r="E49" s="260"/>
      <c r="F49" s="255"/>
      <c r="G49" s="255"/>
      <c r="H49" s="255"/>
      <c r="I49" s="259"/>
      <c r="J49" s="255"/>
      <c r="K49" s="259"/>
      <c r="L49" s="248"/>
    </row>
    <row r="50" spans="3:12" ht="15.75" hidden="1">
      <c r="C50" s="252" t="s">
        <v>8</v>
      </c>
      <c r="D50" s="255">
        <v>82704</v>
      </c>
      <c r="E50" s="259">
        <v>42</v>
      </c>
      <c r="F50" s="255">
        <v>2398.9</v>
      </c>
      <c r="G50" s="259">
        <v>314.8</v>
      </c>
      <c r="H50" s="255">
        <v>3363.5</v>
      </c>
      <c r="I50" s="259">
        <v>37.6</v>
      </c>
      <c r="J50" s="255">
        <v>35714</v>
      </c>
      <c r="K50" s="259">
        <v>81.3</v>
      </c>
      <c r="L50" s="248"/>
    </row>
    <row r="51" spans="3:12" ht="15.75" hidden="1">
      <c r="C51" s="252" t="s">
        <v>9</v>
      </c>
      <c r="D51" s="255">
        <v>83945.7</v>
      </c>
      <c r="E51" s="259">
        <v>38.200000000000003</v>
      </c>
      <c r="F51" s="255">
        <v>5315.6</v>
      </c>
      <c r="G51" s="259">
        <v>92.6</v>
      </c>
      <c r="H51" s="255">
        <v>3527.4</v>
      </c>
      <c r="I51" s="259">
        <v>34</v>
      </c>
      <c r="J51" s="255">
        <v>37044.699999999997</v>
      </c>
      <c r="K51" s="259">
        <v>81</v>
      </c>
      <c r="L51" s="248"/>
    </row>
    <row r="52" spans="3:12" ht="15.75" hidden="1">
      <c r="C52" s="252" t="s">
        <v>9</v>
      </c>
      <c r="D52" s="255">
        <v>83945.7</v>
      </c>
      <c r="E52" s="259">
        <v>36</v>
      </c>
      <c r="F52" s="255">
        <v>5315.6</v>
      </c>
      <c r="G52" s="259">
        <v>93</v>
      </c>
      <c r="H52" s="255">
        <v>3527.4</v>
      </c>
      <c r="I52" s="259">
        <v>34.1</v>
      </c>
      <c r="J52" s="255">
        <v>37044.699999999997</v>
      </c>
      <c r="K52" s="259">
        <v>81.3</v>
      </c>
      <c r="L52" s="248"/>
    </row>
    <row r="53" spans="3:12" ht="15.75" hidden="1">
      <c r="C53" s="252" t="s">
        <v>10</v>
      </c>
      <c r="D53" s="255">
        <v>93477.2</v>
      </c>
      <c r="E53" s="259">
        <v>44</v>
      </c>
      <c r="F53" s="255">
        <v>5416.2</v>
      </c>
      <c r="G53" s="259">
        <v>64.7</v>
      </c>
      <c r="H53" s="255">
        <v>3347.7</v>
      </c>
      <c r="I53" s="259">
        <v>47.1</v>
      </c>
      <c r="J53" s="255">
        <v>40829.199999999997</v>
      </c>
      <c r="K53" s="259">
        <v>80</v>
      </c>
      <c r="L53" s="248"/>
    </row>
    <row r="54" spans="3:12" ht="15.75" hidden="1">
      <c r="C54" s="252" t="s">
        <v>11</v>
      </c>
      <c r="D54" s="255">
        <v>102376</v>
      </c>
      <c r="E54" s="259">
        <v>40</v>
      </c>
      <c r="F54" s="255">
        <v>3747.6</v>
      </c>
      <c r="G54" s="259">
        <v>117.2</v>
      </c>
      <c r="H54" s="255">
        <v>3240.7</v>
      </c>
      <c r="I54" s="259">
        <v>52</v>
      </c>
      <c r="J54" s="255">
        <v>40439.800000000003</v>
      </c>
      <c r="K54" s="259">
        <v>78.7</v>
      </c>
      <c r="L54" s="248"/>
    </row>
    <row r="55" spans="3:12" ht="15.75" hidden="1">
      <c r="C55" s="252" t="s">
        <v>337</v>
      </c>
      <c r="D55" s="255">
        <v>113932.1</v>
      </c>
      <c r="E55" s="259">
        <v>42</v>
      </c>
      <c r="F55" s="255">
        <v>3633</v>
      </c>
      <c r="G55" s="259">
        <v>140</v>
      </c>
      <c r="H55" s="255">
        <v>4098.7</v>
      </c>
      <c r="I55" s="259">
        <v>19.3</v>
      </c>
      <c r="J55" s="255">
        <v>40812.300000000003</v>
      </c>
      <c r="K55" s="259">
        <v>77.8</v>
      </c>
      <c r="L55" s="248"/>
    </row>
    <row r="56" spans="3:12" ht="15.75" hidden="1">
      <c r="C56" s="252" t="s">
        <v>346</v>
      </c>
      <c r="D56" s="255">
        <v>112025.1</v>
      </c>
      <c r="E56" s="259">
        <v>37</v>
      </c>
      <c r="F56" s="255">
        <v>5444.6</v>
      </c>
      <c r="G56" s="259">
        <v>57.8</v>
      </c>
      <c r="H56" s="255">
        <v>3731.6</v>
      </c>
      <c r="I56" s="259">
        <v>46</v>
      </c>
      <c r="J56" s="255">
        <v>42506.8</v>
      </c>
      <c r="K56" s="259">
        <v>79</v>
      </c>
      <c r="L56" s="248"/>
    </row>
    <row r="57" spans="3:12" ht="15.75" hidden="1">
      <c r="C57" s="252" t="s">
        <v>347</v>
      </c>
      <c r="D57" s="255">
        <v>119291</v>
      </c>
      <c r="E57" s="259">
        <v>40</v>
      </c>
      <c r="F57" s="255">
        <v>4182</v>
      </c>
      <c r="G57" s="259">
        <v>76</v>
      </c>
      <c r="H57" s="255">
        <v>4044.3</v>
      </c>
      <c r="I57" s="259">
        <v>43</v>
      </c>
      <c r="J57" s="255">
        <v>44374</v>
      </c>
      <c r="K57" s="259">
        <v>79</v>
      </c>
      <c r="L57" s="248"/>
    </row>
    <row r="58" spans="3:12" ht="15.75" hidden="1">
      <c r="C58" s="252" t="s">
        <v>12</v>
      </c>
      <c r="D58" s="255">
        <v>129393.4</v>
      </c>
      <c r="E58" s="259">
        <v>41.3</v>
      </c>
      <c r="F58" s="255">
        <v>5343</v>
      </c>
      <c r="G58" s="259">
        <v>56.4</v>
      </c>
      <c r="H58" s="255">
        <v>3885.7</v>
      </c>
      <c r="I58" s="259">
        <v>59.6</v>
      </c>
      <c r="J58" s="255">
        <v>45651.5</v>
      </c>
      <c r="K58" s="259">
        <v>77.099999999999994</v>
      </c>
      <c r="L58" s="248"/>
    </row>
    <row r="59" spans="3:12" ht="15.75" hidden="1">
      <c r="C59" s="252" t="s">
        <v>13</v>
      </c>
      <c r="D59" s="255">
        <v>135473.29999999999</v>
      </c>
      <c r="E59" s="259">
        <v>41</v>
      </c>
      <c r="F59" s="255">
        <v>3306.3</v>
      </c>
      <c r="G59" s="259">
        <v>118</v>
      </c>
      <c r="H59" s="255">
        <v>3598.8</v>
      </c>
      <c r="I59" s="259">
        <v>52</v>
      </c>
      <c r="J59" s="255">
        <v>46231.6</v>
      </c>
      <c r="K59" s="259">
        <v>76</v>
      </c>
      <c r="L59" s="248"/>
    </row>
    <row r="60" spans="3:12" ht="15.75" hidden="1">
      <c r="C60" s="252" t="s">
        <v>14</v>
      </c>
      <c r="D60" s="255">
        <v>155323.29999999999</v>
      </c>
      <c r="E60" s="259">
        <v>42</v>
      </c>
      <c r="F60" s="255">
        <v>4525.6000000000004</v>
      </c>
      <c r="G60" s="259">
        <v>70</v>
      </c>
      <c r="H60" s="255">
        <v>4608.8</v>
      </c>
      <c r="I60" s="259">
        <v>60</v>
      </c>
      <c r="J60" s="255">
        <v>32859.800000000003</v>
      </c>
      <c r="K60" s="259">
        <v>79</v>
      </c>
      <c r="L60" s="248"/>
    </row>
    <row r="61" spans="3:12" ht="15.75" hidden="1">
      <c r="C61" s="252" t="s">
        <v>15</v>
      </c>
      <c r="D61" s="255">
        <v>167554.6</v>
      </c>
      <c r="E61" s="259">
        <v>38</v>
      </c>
      <c r="F61" s="255">
        <v>5807</v>
      </c>
      <c r="G61" s="259">
        <v>91</v>
      </c>
      <c r="H61" s="255">
        <v>5796.6</v>
      </c>
      <c r="I61" s="259">
        <v>46</v>
      </c>
      <c r="J61" s="255">
        <v>48349.7</v>
      </c>
      <c r="K61" s="259">
        <v>73</v>
      </c>
      <c r="L61" s="248"/>
    </row>
    <row r="62" spans="3:12" ht="15.75" hidden="1">
      <c r="C62" s="252" t="s">
        <v>16</v>
      </c>
      <c r="D62" s="255">
        <v>144896.4</v>
      </c>
      <c r="E62" s="259">
        <v>35.799999999999997</v>
      </c>
      <c r="F62" s="255">
        <v>9514</v>
      </c>
      <c r="G62" s="259">
        <v>44.1</v>
      </c>
      <c r="H62" s="255">
        <v>6327.2</v>
      </c>
      <c r="I62" s="259">
        <v>34.700000000000003</v>
      </c>
      <c r="J62" s="255">
        <v>47996.2</v>
      </c>
      <c r="K62" s="259">
        <v>70.2</v>
      </c>
      <c r="L62" s="248"/>
    </row>
    <row r="63" spans="3:12" ht="15.75" hidden="1">
      <c r="C63" s="252"/>
      <c r="D63" s="255"/>
      <c r="E63" s="259"/>
      <c r="F63" s="255"/>
      <c r="G63" s="259"/>
      <c r="H63" s="255"/>
      <c r="I63" s="259"/>
      <c r="J63" s="255"/>
      <c r="K63" s="259"/>
      <c r="L63" s="248"/>
    </row>
    <row r="64" spans="3:12" ht="15.75" hidden="1">
      <c r="C64" s="258" t="s">
        <v>758</v>
      </c>
      <c r="D64" s="255"/>
      <c r="E64" s="259"/>
      <c r="F64" s="255"/>
      <c r="G64" s="259"/>
      <c r="H64" s="255"/>
      <c r="I64" s="259"/>
      <c r="J64" s="255"/>
      <c r="K64" s="259"/>
      <c r="L64" s="248"/>
    </row>
    <row r="65" spans="3:12" ht="15.75" hidden="1">
      <c r="C65" s="252"/>
      <c r="D65" s="255"/>
      <c r="E65" s="259"/>
      <c r="F65" s="255"/>
      <c r="G65" s="259"/>
      <c r="H65" s="255"/>
      <c r="I65" s="259"/>
      <c r="J65" s="255"/>
      <c r="K65" s="259"/>
      <c r="L65" s="248"/>
    </row>
    <row r="66" spans="3:12" ht="15.75" hidden="1">
      <c r="C66" s="252" t="s">
        <v>8</v>
      </c>
      <c r="D66" s="255">
        <v>181679.2</v>
      </c>
      <c r="E66" s="259">
        <v>52</v>
      </c>
      <c r="F66" s="255">
        <v>10208</v>
      </c>
      <c r="G66" s="259">
        <v>35.4</v>
      </c>
      <c r="H66" s="255">
        <v>7916.7</v>
      </c>
      <c r="I66" s="259">
        <v>43.5</v>
      </c>
      <c r="J66" s="255">
        <v>49401.599999999999</v>
      </c>
      <c r="K66" s="259">
        <v>69.7</v>
      </c>
      <c r="L66" s="248"/>
    </row>
    <row r="67" spans="3:12" ht="15.75" hidden="1">
      <c r="C67" s="252" t="s">
        <v>9</v>
      </c>
      <c r="D67" s="255">
        <v>192676.8</v>
      </c>
      <c r="E67" s="259">
        <v>42</v>
      </c>
      <c r="F67" s="255">
        <v>10645.5</v>
      </c>
      <c r="G67" s="259">
        <v>58.7</v>
      </c>
      <c r="H67" s="255">
        <v>6798</v>
      </c>
      <c r="I67" s="259">
        <v>32.1</v>
      </c>
      <c r="J67" s="255">
        <v>53548.4</v>
      </c>
      <c r="K67" s="259">
        <v>71.2</v>
      </c>
      <c r="L67" s="248"/>
    </row>
    <row r="68" spans="3:12" ht="15.75" hidden="1">
      <c r="C68" s="252" t="s">
        <v>10</v>
      </c>
      <c r="D68" s="255">
        <v>169058.7</v>
      </c>
      <c r="E68" s="259">
        <v>42.6</v>
      </c>
      <c r="F68" s="255">
        <v>14842.7</v>
      </c>
      <c r="G68" s="259">
        <v>27.2</v>
      </c>
      <c r="H68" s="255">
        <v>8555.1</v>
      </c>
      <c r="I68" s="259">
        <v>32.700000000000003</v>
      </c>
      <c r="J68" s="255">
        <v>55498.400000000001</v>
      </c>
      <c r="K68" s="259">
        <v>72</v>
      </c>
      <c r="L68" s="248"/>
    </row>
    <row r="69" spans="3:12" ht="15.75" hidden="1">
      <c r="C69" s="252" t="s">
        <v>11</v>
      </c>
      <c r="D69" s="255">
        <v>234325.4</v>
      </c>
      <c r="E69" s="259">
        <v>51.7</v>
      </c>
      <c r="F69" s="255">
        <v>3747.6</v>
      </c>
      <c r="G69" s="259">
        <v>254.2</v>
      </c>
      <c r="H69" s="255">
        <v>7606.6</v>
      </c>
      <c r="I69" s="259">
        <v>25.7</v>
      </c>
      <c r="J69" s="255">
        <v>58381.9</v>
      </c>
      <c r="K69" s="259">
        <v>71.400000000000006</v>
      </c>
      <c r="L69" s="248"/>
    </row>
    <row r="70" spans="3:12" ht="15.75" hidden="1">
      <c r="C70" s="252" t="s">
        <v>337</v>
      </c>
      <c r="D70" s="255">
        <v>234154.2</v>
      </c>
      <c r="E70" s="259">
        <v>38</v>
      </c>
      <c r="F70" s="255">
        <v>12405.9</v>
      </c>
      <c r="G70" s="259">
        <v>92.1</v>
      </c>
      <c r="H70" s="255">
        <v>8304.2999999999993</v>
      </c>
      <c r="I70" s="259">
        <v>35.200000000000003</v>
      </c>
      <c r="J70" s="255">
        <v>60420.9</v>
      </c>
      <c r="K70" s="259">
        <v>71</v>
      </c>
      <c r="L70" s="248"/>
    </row>
    <row r="71" spans="3:12" ht="15.75" hidden="1">
      <c r="C71" s="252" t="s">
        <v>346</v>
      </c>
      <c r="D71" s="255">
        <v>240754.8</v>
      </c>
      <c r="E71" s="259">
        <v>40.9</v>
      </c>
      <c r="F71" s="255">
        <v>19513</v>
      </c>
      <c r="G71" s="259">
        <v>80.8</v>
      </c>
      <c r="H71" s="255">
        <v>8136.8</v>
      </c>
      <c r="I71" s="259">
        <v>41.2</v>
      </c>
      <c r="J71" s="255">
        <v>63176.5</v>
      </c>
      <c r="K71" s="259">
        <v>53.4</v>
      </c>
      <c r="L71" s="248"/>
    </row>
    <row r="72" spans="3:12" ht="15.75" hidden="1">
      <c r="C72" s="252" t="s">
        <v>347</v>
      </c>
      <c r="D72" s="255">
        <v>276832.90000000002</v>
      </c>
      <c r="E72" s="259">
        <v>37.200000000000003</v>
      </c>
      <c r="F72" s="255">
        <v>22959.8</v>
      </c>
      <c r="G72" s="259">
        <v>79.099999999999994</v>
      </c>
      <c r="H72" s="255">
        <v>12017.6</v>
      </c>
      <c r="I72" s="259">
        <v>61.7</v>
      </c>
      <c r="J72" s="255">
        <v>65532</v>
      </c>
      <c r="K72" s="259">
        <v>52.4</v>
      </c>
      <c r="L72" s="248"/>
    </row>
    <row r="73" spans="3:12" ht="15.75" hidden="1">
      <c r="C73" s="252" t="s">
        <v>12</v>
      </c>
      <c r="D73" s="255">
        <v>241153</v>
      </c>
      <c r="E73" s="259">
        <v>36.299999999999997</v>
      </c>
      <c r="F73" s="255">
        <v>29264.6</v>
      </c>
      <c r="G73" s="259">
        <v>53.2</v>
      </c>
      <c r="H73" s="255">
        <v>11226</v>
      </c>
      <c r="I73" s="259">
        <v>33</v>
      </c>
      <c r="J73" s="255">
        <v>70474</v>
      </c>
      <c r="K73" s="259">
        <v>56.3</v>
      </c>
      <c r="L73" s="248"/>
    </row>
    <row r="74" spans="3:12" ht="15.75" hidden="1">
      <c r="C74" s="252" t="s">
        <v>13</v>
      </c>
      <c r="D74" s="255">
        <v>316284.09999999998</v>
      </c>
      <c r="E74" s="259">
        <v>44</v>
      </c>
      <c r="F74" s="255">
        <v>9862.9</v>
      </c>
      <c r="G74" s="259">
        <v>275</v>
      </c>
      <c r="H74" s="255">
        <v>16212.9</v>
      </c>
      <c r="I74" s="259">
        <v>50</v>
      </c>
      <c r="J74" s="255">
        <v>74940.5</v>
      </c>
      <c r="K74" s="259">
        <v>51</v>
      </c>
      <c r="L74" s="248"/>
    </row>
    <row r="75" spans="3:12" ht="15.75" hidden="1">
      <c r="C75" s="252" t="s">
        <v>14</v>
      </c>
      <c r="D75" s="255">
        <v>354887.8</v>
      </c>
      <c r="E75" s="259">
        <v>34.6</v>
      </c>
      <c r="F75" s="255">
        <v>35981.1</v>
      </c>
      <c r="G75" s="259">
        <v>53.9</v>
      </c>
      <c r="H75" s="255">
        <v>11361.7</v>
      </c>
      <c r="I75" s="259">
        <v>28.5</v>
      </c>
      <c r="J75" s="255">
        <v>79873.899999999994</v>
      </c>
      <c r="K75" s="259">
        <v>54.7</v>
      </c>
      <c r="L75" s="248"/>
    </row>
    <row r="76" spans="3:12" ht="15.75" hidden="1">
      <c r="C76" s="252" t="s">
        <v>15</v>
      </c>
      <c r="D76" s="255">
        <v>377577.4</v>
      </c>
      <c r="E76" s="259">
        <v>33.9</v>
      </c>
      <c r="F76" s="255">
        <v>36466.699999999997</v>
      </c>
      <c r="G76" s="259">
        <v>82.5</v>
      </c>
      <c r="H76" s="255">
        <v>14348.9</v>
      </c>
      <c r="I76" s="259">
        <v>36.4</v>
      </c>
      <c r="J76" s="255">
        <v>89486.6</v>
      </c>
      <c r="K76" s="259">
        <v>49.9</v>
      </c>
      <c r="L76" s="248"/>
    </row>
    <row r="77" spans="3:12" ht="15.75" hidden="1">
      <c r="C77" s="252" t="s">
        <v>16</v>
      </c>
      <c r="D77" s="255">
        <v>434763.5</v>
      </c>
      <c r="E77" s="259">
        <v>37</v>
      </c>
      <c r="F77" s="255">
        <v>61802.1</v>
      </c>
      <c r="G77" s="259">
        <v>37.799999999999997</v>
      </c>
      <c r="H77" s="255">
        <v>20424.099999999999</v>
      </c>
      <c r="I77" s="259">
        <v>28.9</v>
      </c>
      <c r="J77" s="255">
        <v>93194.8</v>
      </c>
      <c r="K77" s="259">
        <v>69.400000000000006</v>
      </c>
      <c r="L77" s="248"/>
    </row>
    <row r="78" spans="3:12" ht="15.75" hidden="1">
      <c r="C78" s="252"/>
      <c r="D78" s="255"/>
      <c r="E78" s="259"/>
      <c r="F78" s="255"/>
      <c r="G78" s="259"/>
      <c r="H78" s="255"/>
      <c r="I78" s="259"/>
      <c r="J78" s="255"/>
      <c r="K78" s="259"/>
      <c r="L78" s="248"/>
    </row>
    <row r="79" spans="3:12" ht="15.75" hidden="1">
      <c r="C79" s="261">
        <v>2003</v>
      </c>
      <c r="D79" s="255"/>
      <c r="E79" s="259"/>
      <c r="F79" s="255"/>
      <c r="G79" s="259"/>
      <c r="H79" s="255"/>
      <c r="I79" s="259"/>
      <c r="J79" s="255"/>
      <c r="K79" s="259"/>
      <c r="L79" s="248"/>
    </row>
    <row r="80" spans="3:12" ht="15.75" hidden="1">
      <c r="C80" s="252"/>
      <c r="D80" s="255"/>
      <c r="E80" s="259"/>
      <c r="F80" s="255"/>
      <c r="G80" s="259"/>
      <c r="H80" s="255"/>
      <c r="I80" s="259"/>
      <c r="J80" s="255"/>
      <c r="K80" s="259"/>
      <c r="L80" s="248"/>
    </row>
    <row r="81" spans="3:12" ht="15.75" hidden="1">
      <c r="C81" s="252" t="s">
        <v>8</v>
      </c>
      <c r="D81" s="255">
        <v>476631.2</v>
      </c>
      <c r="E81" s="259">
        <v>35</v>
      </c>
      <c r="F81" s="255">
        <v>77908.2</v>
      </c>
      <c r="G81" s="259">
        <v>31</v>
      </c>
      <c r="H81" s="255">
        <v>15921.4</v>
      </c>
      <c r="I81" s="259">
        <v>55.5</v>
      </c>
      <c r="J81" s="255">
        <v>103165.1</v>
      </c>
      <c r="K81" s="259">
        <v>50</v>
      </c>
      <c r="L81" s="248"/>
    </row>
    <row r="82" spans="3:12" ht="15.75" hidden="1">
      <c r="C82" s="252" t="s">
        <v>9</v>
      </c>
      <c r="D82" s="255">
        <v>519931.2</v>
      </c>
      <c r="E82" s="259">
        <v>28.9</v>
      </c>
      <c r="F82" s="255">
        <v>69336.5</v>
      </c>
      <c r="G82" s="259">
        <v>62.3</v>
      </c>
      <c r="H82" s="255">
        <v>19548.5</v>
      </c>
      <c r="I82" s="259">
        <v>31.5</v>
      </c>
      <c r="J82" s="255">
        <v>101917.3</v>
      </c>
      <c r="K82" s="259">
        <v>49.6</v>
      </c>
      <c r="L82" s="248"/>
    </row>
    <row r="83" spans="3:12" ht="15.75" hidden="1">
      <c r="C83" s="252" t="s">
        <v>10</v>
      </c>
      <c r="D83" s="255">
        <v>621761.1</v>
      </c>
      <c r="E83" s="259">
        <v>35.299999999999997</v>
      </c>
      <c r="F83" s="255">
        <v>74729.8</v>
      </c>
      <c r="G83" s="259">
        <v>42.4</v>
      </c>
      <c r="H83" s="255">
        <v>15193.4</v>
      </c>
      <c r="I83" s="259">
        <v>43.2</v>
      </c>
      <c r="J83" s="255">
        <v>106997.5</v>
      </c>
      <c r="K83" s="259">
        <v>53.5</v>
      </c>
      <c r="L83" s="248"/>
    </row>
    <row r="84" spans="3:12" ht="15.75" hidden="1">
      <c r="C84" s="252" t="s">
        <v>11</v>
      </c>
      <c r="D84" s="255">
        <v>649057.80000000005</v>
      </c>
      <c r="E84" s="259">
        <v>32.700000000000003</v>
      </c>
      <c r="F84" s="255">
        <v>92003.3</v>
      </c>
      <c r="G84" s="259">
        <v>70.599999999999994</v>
      </c>
      <c r="H84" s="255">
        <v>16416.5</v>
      </c>
      <c r="I84" s="259">
        <v>46.9</v>
      </c>
      <c r="J84" s="255">
        <v>115044.4</v>
      </c>
      <c r="K84" s="259">
        <v>52.3</v>
      </c>
      <c r="L84" s="248"/>
    </row>
    <row r="85" spans="3:12" ht="15.75" hidden="1">
      <c r="C85" s="252" t="s">
        <v>337</v>
      </c>
      <c r="D85" s="255">
        <v>757694</v>
      </c>
      <c r="E85" s="259">
        <v>34.299999999999997</v>
      </c>
      <c r="F85" s="255">
        <v>122967.5</v>
      </c>
      <c r="G85" s="259">
        <v>57.1</v>
      </c>
      <c r="H85" s="255">
        <v>15241.4</v>
      </c>
      <c r="I85" s="259">
        <v>43.5</v>
      </c>
      <c r="J85" s="255">
        <v>125772.2</v>
      </c>
      <c r="K85" s="259">
        <v>54</v>
      </c>
      <c r="L85" s="248"/>
    </row>
    <row r="86" spans="3:12" ht="15.75" hidden="1">
      <c r="C86" s="252" t="s">
        <v>346</v>
      </c>
      <c r="D86" s="255">
        <v>866815.7</v>
      </c>
      <c r="E86" s="259">
        <v>32.200000000000003</v>
      </c>
      <c r="F86" s="255">
        <v>83131.8</v>
      </c>
      <c r="G86" s="259">
        <v>89.6</v>
      </c>
      <c r="H86" s="255">
        <v>6267.1</v>
      </c>
      <c r="I86" s="259">
        <v>46.4</v>
      </c>
      <c r="J86" s="255">
        <v>183932.3</v>
      </c>
      <c r="K86" s="259">
        <v>44.1</v>
      </c>
      <c r="L86" s="248"/>
    </row>
    <row r="87" spans="3:12" ht="15.75" hidden="1">
      <c r="C87" s="262">
        <v>2003</v>
      </c>
      <c r="D87" s="255"/>
      <c r="E87" s="259"/>
      <c r="F87" s="255"/>
      <c r="G87" s="259"/>
      <c r="H87" s="255"/>
      <c r="I87" s="259"/>
      <c r="J87" s="255"/>
      <c r="K87" s="259"/>
      <c r="L87" s="248"/>
    </row>
    <row r="88" spans="3:12" ht="15.75" hidden="1">
      <c r="C88" s="252"/>
      <c r="D88" s="255"/>
      <c r="E88" s="259"/>
      <c r="F88" s="255"/>
      <c r="G88" s="259"/>
      <c r="H88" s="255"/>
      <c r="I88" s="259"/>
      <c r="J88" s="255"/>
      <c r="K88" s="259"/>
      <c r="L88" s="248"/>
    </row>
    <row r="89" spans="3:12" ht="15.75" hidden="1">
      <c r="C89" s="252" t="s">
        <v>347</v>
      </c>
      <c r="D89" s="255">
        <v>1001673.5</v>
      </c>
      <c r="E89" s="259">
        <v>28.7</v>
      </c>
      <c r="F89" s="255">
        <v>118771.9</v>
      </c>
      <c r="G89" s="259">
        <v>118</v>
      </c>
      <c r="H89" s="255">
        <v>16088.6</v>
      </c>
      <c r="I89" s="259">
        <v>116.8</v>
      </c>
      <c r="J89" s="255">
        <v>155663</v>
      </c>
      <c r="K89" s="259">
        <v>49</v>
      </c>
      <c r="L89" s="248"/>
    </row>
    <row r="90" spans="3:12" ht="15.75" hidden="1">
      <c r="C90" s="252" t="s">
        <v>12</v>
      </c>
      <c r="D90" s="255">
        <v>1021826.9</v>
      </c>
      <c r="E90" s="259">
        <v>39.200000000000003</v>
      </c>
      <c r="F90" s="255">
        <v>88149.6</v>
      </c>
      <c r="G90" s="259">
        <v>89.9</v>
      </c>
      <c r="H90" s="255">
        <v>11419.4</v>
      </c>
      <c r="I90" s="259">
        <v>70.099999999999994</v>
      </c>
      <c r="J90" s="255">
        <v>189612.3</v>
      </c>
      <c r="K90" s="259">
        <v>51.3</v>
      </c>
      <c r="L90" s="248"/>
    </row>
    <row r="91" spans="3:12" ht="15.75" hidden="1">
      <c r="C91" s="252" t="s">
        <v>13</v>
      </c>
      <c r="D91" s="255">
        <v>1666581.6</v>
      </c>
      <c r="E91" s="259">
        <v>43.1</v>
      </c>
      <c r="F91" s="255">
        <v>125082.6</v>
      </c>
      <c r="G91" s="259">
        <v>53.5</v>
      </c>
      <c r="H91" s="255">
        <v>18694.7</v>
      </c>
      <c r="I91" s="259">
        <v>230</v>
      </c>
      <c r="J91" s="255">
        <v>220792.7</v>
      </c>
      <c r="K91" s="259">
        <v>79.5</v>
      </c>
      <c r="L91" s="248"/>
    </row>
    <row r="92" spans="3:12" ht="15.75" hidden="1">
      <c r="C92" s="252" t="s">
        <v>14</v>
      </c>
      <c r="D92" s="255">
        <v>1847430.1</v>
      </c>
      <c r="E92" s="259">
        <v>28.9</v>
      </c>
      <c r="F92" s="255">
        <v>184304.9</v>
      </c>
      <c r="G92" s="259">
        <v>34.4</v>
      </c>
      <c r="H92" s="255">
        <v>21013.599999999999</v>
      </c>
      <c r="I92" s="259">
        <v>64.099999999999994</v>
      </c>
      <c r="J92" s="255">
        <v>248068.9</v>
      </c>
      <c r="K92" s="259">
        <v>58.7</v>
      </c>
      <c r="L92" s="248"/>
    </row>
    <row r="93" spans="3:12" ht="15.75" hidden="1">
      <c r="C93" s="252" t="s">
        <v>15</v>
      </c>
      <c r="D93" s="255">
        <v>2027412.8</v>
      </c>
      <c r="E93" s="259">
        <v>35.799999999999997</v>
      </c>
      <c r="F93" s="255">
        <v>205498.7</v>
      </c>
      <c r="G93" s="259">
        <v>41.3</v>
      </c>
      <c r="H93" s="255">
        <v>20031.3</v>
      </c>
      <c r="I93" s="259">
        <v>70.8</v>
      </c>
      <c r="J93" s="255">
        <v>263774.2</v>
      </c>
      <c r="K93" s="259">
        <v>55.9</v>
      </c>
      <c r="L93" s="248"/>
    </row>
    <row r="94" spans="3:12" ht="15.75" hidden="1">
      <c r="C94" s="252" t="s">
        <v>16</v>
      </c>
      <c r="D94" s="255">
        <v>1687626.6</v>
      </c>
      <c r="E94" s="259">
        <v>31.7</v>
      </c>
      <c r="F94" s="255">
        <v>286529.90000000002</v>
      </c>
      <c r="G94" s="259">
        <v>27.4</v>
      </c>
      <c r="H94" s="255">
        <v>33626.300000000003</v>
      </c>
      <c r="I94" s="259">
        <v>90.4</v>
      </c>
      <c r="J94" s="255">
        <v>186536.2</v>
      </c>
      <c r="K94" s="259">
        <v>74.099999999999994</v>
      </c>
      <c r="L94" s="248"/>
    </row>
    <row r="95" spans="3:12" ht="15.75" hidden="1">
      <c r="C95" s="252"/>
      <c r="D95" s="255"/>
      <c r="E95" s="259"/>
      <c r="F95" s="255"/>
      <c r="G95" s="259"/>
      <c r="H95" s="255"/>
      <c r="I95" s="259"/>
      <c r="J95" s="255"/>
      <c r="K95" s="259"/>
      <c r="L95" s="248"/>
    </row>
    <row r="96" spans="3:12" ht="15.75" hidden="1">
      <c r="C96" s="261">
        <v>2004</v>
      </c>
      <c r="D96" s="255"/>
      <c r="E96" s="259"/>
      <c r="F96" s="255"/>
      <c r="G96" s="259"/>
      <c r="H96" s="255"/>
      <c r="I96" s="259"/>
      <c r="J96" s="255"/>
      <c r="K96" s="259"/>
      <c r="L96" s="248"/>
    </row>
    <row r="97" spans="3:12" ht="15.75" hidden="1">
      <c r="C97" s="252"/>
      <c r="D97" s="255"/>
      <c r="E97" s="259"/>
      <c r="F97" s="255"/>
      <c r="G97" s="259"/>
      <c r="H97" s="255"/>
      <c r="I97" s="259"/>
      <c r="J97" s="255"/>
      <c r="K97" s="259"/>
      <c r="L97" s="248"/>
    </row>
    <row r="98" spans="3:12" ht="15.75" hidden="1">
      <c r="C98" s="252" t="s">
        <v>8</v>
      </c>
      <c r="D98" s="255">
        <v>3081457</v>
      </c>
      <c r="E98" s="259">
        <v>73.8</v>
      </c>
      <c r="F98" s="255">
        <v>312053.3</v>
      </c>
      <c r="G98" s="259">
        <v>36.799999999999997</v>
      </c>
      <c r="H98" s="255">
        <v>40409.300000000003</v>
      </c>
      <c r="I98" s="259">
        <v>52.8</v>
      </c>
      <c r="J98" s="255">
        <v>159786.79999999999</v>
      </c>
      <c r="K98" s="259">
        <v>105.1</v>
      </c>
      <c r="L98" s="248"/>
    </row>
    <row r="99" spans="3:12" ht="15.75" hidden="1">
      <c r="C99" s="252" t="s">
        <v>9</v>
      </c>
      <c r="D99" s="255">
        <v>2994571.2</v>
      </c>
      <c r="E99" s="259">
        <v>48.8</v>
      </c>
      <c r="F99" s="255">
        <v>354280.5</v>
      </c>
      <c r="G99" s="259">
        <v>50.7</v>
      </c>
      <c r="H99" s="255">
        <v>15640.8</v>
      </c>
      <c r="I99" s="259">
        <v>30.1</v>
      </c>
      <c r="J99" s="255">
        <v>255344.4</v>
      </c>
      <c r="K99" s="259">
        <v>59.3</v>
      </c>
      <c r="L99" s="248"/>
    </row>
    <row r="100" spans="3:12" ht="15.75" hidden="1">
      <c r="C100" s="252" t="s">
        <v>10</v>
      </c>
      <c r="D100" s="255">
        <v>3138477.3</v>
      </c>
      <c r="E100" s="259">
        <v>64.599999999999994</v>
      </c>
      <c r="F100" s="255">
        <v>443997.4</v>
      </c>
      <c r="G100" s="259">
        <v>72.5</v>
      </c>
      <c r="H100" s="255">
        <v>36373.5</v>
      </c>
      <c r="I100" s="259">
        <v>260.3</v>
      </c>
      <c r="J100" s="255">
        <v>282179.7</v>
      </c>
      <c r="K100" s="259">
        <v>59.8</v>
      </c>
      <c r="L100" s="248"/>
    </row>
    <row r="101" spans="3:12" ht="15.75" hidden="1">
      <c r="C101" s="252" t="s">
        <v>11</v>
      </c>
      <c r="D101" s="255">
        <v>2109153.2000000002</v>
      </c>
      <c r="E101" s="259">
        <v>48.7</v>
      </c>
      <c r="F101" s="255">
        <v>455660.5</v>
      </c>
      <c r="G101" s="259">
        <v>34.6</v>
      </c>
      <c r="H101" s="255">
        <v>44255</v>
      </c>
      <c r="I101" s="259">
        <v>19.2</v>
      </c>
      <c r="J101" s="255">
        <v>302400.40000000002</v>
      </c>
      <c r="K101" s="259">
        <v>59.3</v>
      </c>
      <c r="L101" s="248"/>
    </row>
    <row r="102" spans="3:12" ht="15.75" hidden="1">
      <c r="C102" s="252" t="s">
        <v>337</v>
      </c>
      <c r="D102" s="255">
        <v>4001291.5</v>
      </c>
      <c r="E102" s="259">
        <v>120.7</v>
      </c>
      <c r="F102" s="255">
        <v>384398.5</v>
      </c>
      <c r="G102" s="259">
        <v>36.5</v>
      </c>
      <c r="H102" s="255">
        <v>46764</v>
      </c>
      <c r="I102" s="259">
        <v>41.4</v>
      </c>
      <c r="J102" s="255">
        <v>322972</v>
      </c>
      <c r="K102" s="259">
        <v>71.5</v>
      </c>
      <c r="L102" s="248"/>
    </row>
    <row r="103" spans="3:12" ht="15.75" hidden="1">
      <c r="C103" s="252" t="s">
        <v>346</v>
      </c>
      <c r="D103" s="255">
        <v>4131741.4</v>
      </c>
      <c r="E103" s="259">
        <v>73.400000000000006</v>
      </c>
      <c r="F103" s="255">
        <v>419401.2</v>
      </c>
      <c r="G103" s="259">
        <v>67.3</v>
      </c>
      <c r="H103" s="255">
        <v>54823.3</v>
      </c>
      <c r="I103" s="259">
        <v>64.900000000000006</v>
      </c>
      <c r="J103" s="255">
        <v>358137.2</v>
      </c>
      <c r="K103" s="259">
        <v>69.400000000000006</v>
      </c>
      <c r="L103" s="248"/>
    </row>
    <row r="104" spans="3:12" ht="15.75" hidden="1">
      <c r="C104" s="252" t="s">
        <v>347</v>
      </c>
      <c r="D104" s="255">
        <v>4279086.9000000004</v>
      </c>
      <c r="E104" s="259">
        <v>68.5</v>
      </c>
      <c r="F104" s="255">
        <v>415896.2</v>
      </c>
      <c r="G104" s="259">
        <v>64.599999999999994</v>
      </c>
      <c r="H104" s="255">
        <v>68057.899999999994</v>
      </c>
      <c r="I104" s="259">
        <v>60.1</v>
      </c>
      <c r="J104" s="255">
        <v>148535</v>
      </c>
      <c r="K104" s="259">
        <v>67.400000000000006</v>
      </c>
      <c r="L104" s="248"/>
    </row>
    <row r="105" spans="3:12" ht="15.75" hidden="1">
      <c r="C105" s="252" t="s">
        <v>12</v>
      </c>
      <c r="D105" s="255">
        <v>5198408.3</v>
      </c>
      <c r="E105" s="259">
        <v>82.5</v>
      </c>
      <c r="F105" s="255">
        <v>437746.8</v>
      </c>
      <c r="G105" s="259">
        <v>39.6</v>
      </c>
      <c r="H105" s="255">
        <v>142902.6</v>
      </c>
      <c r="I105" s="259">
        <v>191</v>
      </c>
      <c r="J105" s="255">
        <v>163002.70000000001</v>
      </c>
      <c r="K105" s="259">
        <v>204.9</v>
      </c>
      <c r="L105" s="248"/>
    </row>
    <row r="106" spans="3:12" ht="15.75" hidden="1">
      <c r="C106" s="252" t="s">
        <v>13</v>
      </c>
      <c r="D106" s="255">
        <v>5835337.7000000002</v>
      </c>
      <c r="E106" s="259">
        <v>75.599999999999994</v>
      </c>
      <c r="F106" s="255">
        <v>479580.4</v>
      </c>
      <c r="G106" s="259">
        <v>62.1</v>
      </c>
      <c r="H106" s="255">
        <v>209104.2</v>
      </c>
      <c r="I106" s="259">
        <v>136.80000000000001</v>
      </c>
      <c r="J106" s="255">
        <v>596177</v>
      </c>
      <c r="K106" s="259">
        <v>73.2</v>
      </c>
      <c r="L106" s="248"/>
    </row>
    <row r="107" spans="3:12" ht="15.75" hidden="1">
      <c r="C107" s="252" t="s">
        <v>14</v>
      </c>
      <c r="D107" s="255">
        <v>6285944.2000000002</v>
      </c>
      <c r="E107" s="259">
        <v>74</v>
      </c>
      <c r="F107" s="255">
        <v>377100</v>
      </c>
      <c r="G107" s="259">
        <v>79</v>
      </c>
      <c r="H107" s="255">
        <v>182206.5</v>
      </c>
      <c r="I107" s="259">
        <v>90</v>
      </c>
      <c r="J107" s="255">
        <v>527592.5</v>
      </c>
      <c r="K107" s="259">
        <v>80</v>
      </c>
      <c r="L107" s="248"/>
    </row>
    <row r="108" spans="3:12" ht="15.75" hidden="1">
      <c r="C108" s="252" t="s">
        <v>15</v>
      </c>
      <c r="D108" s="255">
        <v>7081845</v>
      </c>
      <c r="E108" s="259">
        <v>82</v>
      </c>
      <c r="F108" s="255">
        <v>244941</v>
      </c>
      <c r="G108" s="259">
        <v>81</v>
      </c>
      <c r="H108" s="255">
        <v>176892.1</v>
      </c>
      <c r="I108" s="259">
        <v>103</v>
      </c>
      <c r="J108" s="255">
        <v>606063.9</v>
      </c>
      <c r="K108" s="259">
        <v>82</v>
      </c>
      <c r="L108" s="248"/>
    </row>
    <row r="109" spans="3:12" ht="15.75" hidden="1">
      <c r="C109" s="252" t="s">
        <v>16</v>
      </c>
      <c r="D109" s="255">
        <v>7222621.0999999996</v>
      </c>
      <c r="E109" s="259">
        <v>69.8</v>
      </c>
      <c r="F109" s="255">
        <v>669127.30000000005</v>
      </c>
      <c r="G109" s="259">
        <v>32.1</v>
      </c>
      <c r="H109" s="255">
        <v>64995.8</v>
      </c>
      <c r="I109" s="259">
        <v>130.80000000000001</v>
      </c>
      <c r="J109" s="255">
        <v>361576.7</v>
      </c>
      <c r="K109" s="259">
        <v>109.4</v>
      </c>
      <c r="L109" s="248"/>
    </row>
    <row r="110" spans="3:12" ht="15.75" hidden="1">
      <c r="C110" s="252"/>
      <c r="D110" s="255"/>
      <c r="E110" s="259"/>
      <c r="F110" s="255"/>
      <c r="G110" s="259"/>
      <c r="H110" s="255"/>
      <c r="I110" s="259"/>
      <c r="J110" s="255"/>
      <c r="K110" s="259"/>
      <c r="L110" s="248"/>
    </row>
    <row r="111" spans="3:12" ht="15.75" hidden="1">
      <c r="C111" s="261">
        <v>2005</v>
      </c>
      <c r="D111" s="255"/>
      <c r="E111" s="259"/>
      <c r="F111" s="255"/>
      <c r="G111" s="259"/>
      <c r="H111" s="255"/>
      <c r="I111" s="259"/>
      <c r="J111" s="255"/>
      <c r="K111" s="259"/>
      <c r="L111" s="248"/>
    </row>
    <row r="112" spans="3:12" ht="15.75" hidden="1">
      <c r="C112" s="252"/>
      <c r="D112" s="255"/>
      <c r="E112" s="259"/>
      <c r="F112" s="255"/>
      <c r="G112" s="259"/>
      <c r="H112" s="255"/>
      <c r="I112" s="259"/>
      <c r="J112" s="255"/>
      <c r="K112" s="259"/>
      <c r="L112" s="248"/>
    </row>
    <row r="113" spans="3:12" ht="15.75" hidden="1">
      <c r="C113" s="252" t="s">
        <v>8</v>
      </c>
      <c r="D113" s="255">
        <f>7958377086/1000</f>
        <v>7958377.0860000001</v>
      </c>
      <c r="E113" s="259">
        <v>246</v>
      </c>
      <c r="F113" s="255">
        <v>490515.1</v>
      </c>
      <c r="G113" s="259">
        <v>45.1</v>
      </c>
      <c r="H113" s="255">
        <v>209259.6</v>
      </c>
      <c r="I113" s="259">
        <v>347</v>
      </c>
      <c r="J113" s="255">
        <v>900439.2</v>
      </c>
      <c r="K113" s="259">
        <v>72</v>
      </c>
      <c r="L113" s="248"/>
    </row>
    <row r="114" spans="3:12" ht="15.75" hidden="1">
      <c r="C114" s="252" t="s">
        <v>9</v>
      </c>
      <c r="D114" s="255">
        <f>9572880135/1000</f>
        <v>9572880.1349999998</v>
      </c>
      <c r="E114" s="259">
        <v>82</v>
      </c>
      <c r="F114" s="255">
        <v>413892.1</v>
      </c>
      <c r="G114" s="259">
        <v>66.7</v>
      </c>
      <c r="H114" s="255">
        <v>90279.3</v>
      </c>
      <c r="I114" s="259">
        <v>15</v>
      </c>
      <c r="J114" s="255">
        <v>1040248.2</v>
      </c>
      <c r="K114" s="259">
        <v>80</v>
      </c>
      <c r="L114" s="248"/>
    </row>
    <row r="115" spans="3:12" ht="15.75" hidden="1">
      <c r="C115" s="252" t="s">
        <v>10</v>
      </c>
      <c r="D115" s="255">
        <f>10307687906/1000</f>
        <v>10307687.905999999</v>
      </c>
      <c r="E115" s="259">
        <v>79</v>
      </c>
      <c r="F115" s="255">
        <v>416787.5</v>
      </c>
      <c r="G115" s="259">
        <v>52.3</v>
      </c>
      <c r="H115" s="255">
        <v>206714.9</v>
      </c>
      <c r="I115" s="259">
        <v>292</v>
      </c>
      <c r="J115" s="255">
        <v>1353260.3</v>
      </c>
      <c r="K115" s="259">
        <v>88</v>
      </c>
      <c r="L115" s="248"/>
    </row>
    <row r="116" spans="3:12" ht="15.75" hidden="1">
      <c r="C116" s="252" t="s">
        <v>11</v>
      </c>
      <c r="D116" s="255">
        <f>9062813286/1000</f>
        <v>9062813.2860000003</v>
      </c>
      <c r="E116" s="259">
        <v>57</v>
      </c>
      <c r="F116" s="255">
        <v>376300</v>
      </c>
      <c r="G116" s="259">
        <v>75.400000000000006</v>
      </c>
      <c r="H116" s="255">
        <v>167353</v>
      </c>
      <c r="I116" s="259">
        <v>143</v>
      </c>
      <c r="J116" s="255">
        <v>1195371.7</v>
      </c>
      <c r="K116" s="259">
        <v>164</v>
      </c>
      <c r="L116" s="248"/>
    </row>
    <row r="117" spans="3:12" ht="15.75" hidden="1">
      <c r="C117" s="252" t="s">
        <v>337</v>
      </c>
      <c r="D117" s="255">
        <v>13324291.300000001</v>
      </c>
      <c r="E117" s="259">
        <v>79</v>
      </c>
      <c r="F117" s="255">
        <v>470283.3</v>
      </c>
      <c r="G117" s="259">
        <v>81.099999999999994</v>
      </c>
      <c r="H117" s="255">
        <v>239923</v>
      </c>
      <c r="I117" s="259">
        <v>168</v>
      </c>
      <c r="J117" s="255">
        <v>1820626.8</v>
      </c>
      <c r="K117" s="259">
        <v>78</v>
      </c>
      <c r="L117" s="248"/>
    </row>
    <row r="118" spans="3:12" ht="15.75" hidden="1">
      <c r="C118" s="252" t="s">
        <v>346</v>
      </c>
      <c r="D118" s="255">
        <f>14907497144/1000</f>
        <v>14907497.143999999</v>
      </c>
      <c r="E118" s="259">
        <v>72.7</v>
      </c>
      <c r="F118" s="255">
        <v>602512.4</v>
      </c>
      <c r="G118" s="259">
        <v>70.5</v>
      </c>
      <c r="H118" s="255">
        <f>260059535/1000</f>
        <v>260059.535</v>
      </c>
      <c r="I118" s="259">
        <v>121.7</v>
      </c>
      <c r="J118" s="255">
        <f>1926823999/1000</f>
        <v>1926823.9990000001</v>
      </c>
      <c r="K118" s="259">
        <v>80.8</v>
      </c>
      <c r="L118" s="248"/>
    </row>
    <row r="119" spans="3:12" ht="15.75" hidden="1">
      <c r="C119" s="252" t="s">
        <v>347</v>
      </c>
      <c r="D119" s="255">
        <v>15103212.699999999</v>
      </c>
      <c r="E119" s="259">
        <v>59.2</v>
      </c>
      <c r="F119" s="255">
        <v>516281.8</v>
      </c>
      <c r="G119" s="259">
        <v>58.2</v>
      </c>
      <c r="H119" s="255">
        <v>337517.4</v>
      </c>
      <c r="I119" s="259">
        <v>164.6</v>
      </c>
      <c r="J119" s="255">
        <v>2172923.2000000002</v>
      </c>
      <c r="K119" s="259">
        <v>79.5</v>
      </c>
      <c r="L119" s="248"/>
    </row>
    <row r="120" spans="3:12" ht="15.75" hidden="1">
      <c r="C120" s="252" t="s">
        <v>12</v>
      </c>
      <c r="D120" s="255">
        <f>18166150293/1000</f>
        <v>18166150.293000001</v>
      </c>
      <c r="E120" s="259">
        <v>80.8</v>
      </c>
      <c r="F120" s="255">
        <v>527314.5</v>
      </c>
      <c r="G120" s="259">
        <v>76.2</v>
      </c>
      <c r="H120" s="255">
        <f>340681803/1000</f>
        <v>340681.80300000001</v>
      </c>
      <c r="I120" s="259">
        <v>174.2</v>
      </c>
      <c r="J120" s="255">
        <f>2600600558/1000</f>
        <v>2600600.5580000002</v>
      </c>
      <c r="K120" s="259">
        <v>84.4</v>
      </c>
      <c r="L120" s="248"/>
    </row>
    <row r="121" spans="3:12" ht="15.75" hidden="1">
      <c r="C121" s="252" t="s">
        <v>13</v>
      </c>
      <c r="D121" s="255">
        <f>20464927363/1000</f>
        <v>20464927.363000002</v>
      </c>
      <c r="E121" s="259">
        <v>80.7</v>
      </c>
      <c r="F121" s="255">
        <v>761271.2</v>
      </c>
      <c r="G121" s="259">
        <v>89.8</v>
      </c>
      <c r="H121" s="255">
        <f>406394203/1000</f>
        <v>406394.20299999998</v>
      </c>
      <c r="I121" s="259">
        <v>182.5</v>
      </c>
      <c r="J121" s="255">
        <f>1336933917/1000</f>
        <v>1336933.9169999999</v>
      </c>
      <c r="K121" s="259">
        <v>381.9</v>
      </c>
      <c r="L121" s="248"/>
    </row>
    <row r="122" spans="3:12" ht="15.75" hidden="1">
      <c r="C122" s="252" t="s">
        <v>14</v>
      </c>
      <c r="D122" s="255">
        <f>28879143836/1000</f>
        <v>28879143.835999999</v>
      </c>
      <c r="E122" s="259">
        <v>116</v>
      </c>
      <c r="F122" s="255">
        <v>574894.6</v>
      </c>
      <c r="G122" s="259">
        <v>266.2</v>
      </c>
      <c r="H122" s="255">
        <f>366188895/1000</f>
        <v>366188.89500000002</v>
      </c>
      <c r="I122" s="259">
        <v>204.5</v>
      </c>
      <c r="J122" s="255">
        <f>4058604834/1000</f>
        <v>4058604.8339999998</v>
      </c>
      <c r="K122" s="259">
        <v>93.1</v>
      </c>
      <c r="L122" s="248"/>
    </row>
    <row r="123" spans="3:12" ht="15.75" hidden="1">
      <c r="C123" s="252" t="s">
        <v>15</v>
      </c>
      <c r="D123" s="255">
        <f>36092997614/1000</f>
        <v>36092997.614</v>
      </c>
      <c r="E123" s="259">
        <v>106.9</v>
      </c>
      <c r="F123" s="255">
        <v>1284654.8</v>
      </c>
      <c r="G123" s="259">
        <v>186.2</v>
      </c>
      <c r="H123" s="255">
        <f>609143946/1000</f>
        <v>609143.946</v>
      </c>
      <c r="I123" s="259">
        <v>265.89999999999998</v>
      </c>
      <c r="J123" s="255">
        <f>3765366171/1000</f>
        <v>3765366.1710000001</v>
      </c>
      <c r="K123" s="259">
        <v>80.7</v>
      </c>
      <c r="L123" s="248"/>
    </row>
    <row r="124" spans="3:12" ht="15.75" hidden="1">
      <c r="C124" s="252" t="s">
        <v>16</v>
      </c>
      <c r="D124" s="255">
        <f>43744975928/1000</f>
        <v>43744975.928000003</v>
      </c>
      <c r="E124" s="259">
        <v>91.5</v>
      </c>
      <c r="F124" s="255">
        <v>1323614.6000000001</v>
      </c>
      <c r="G124" s="259">
        <v>169.9</v>
      </c>
      <c r="H124" s="255">
        <f>400636790/1000</f>
        <v>400636.79</v>
      </c>
      <c r="I124" s="259">
        <v>124.2</v>
      </c>
      <c r="J124" s="255">
        <f>590957783/1000</f>
        <v>590957.78300000005</v>
      </c>
      <c r="K124" s="259">
        <v>82.6</v>
      </c>
      <c r="L124" s="248"/>
    </row>
    <row r="125" spans="3:12" ht="15.75" hidden="1">
      <c r="C125" s="252"/>
      <c r="D125" s="255"/>
      <c r="E125" s="259"/>
      <c r="F125" s="255"/>
      <c r="G125" s="259"/>
      <c r="H125" s="255"/>
      <c r="I125" s="259"/>
      <c r="J125" s="255"/>
      <c r="K125" s="259"/>
      <c r="L125" s="248"/>
    </row>
    <row r="126" spans="3:12" ht="15.75" hidden="1">
      <c r="C126" s="261">
        <v>2006</v>
      </c>
      <c r="D126" s="255"/>
      <c r="E126" s="259"/>
      <c r="F126" s="255"/>
      <c r="G126" s="259"/>
      <c r="H126" s="255"/>
      <c r="I126" s="259"/>
      <c r="J126" s="255"/>
      <c r="K126" s="259"/>
      <c r="L126" s="248"/>
    </row>
    <row r="127" spans="3:12" ht="15.75" hidden="1">
      <c r="C127" s="252"/>
      <c r="D127" s="255"/>
      <c r="E127" s="259"/>
      <c r="F127" s="255"/>
      <c r="G127" s="259"/>
      <c r="H127" s="255"/>
      <c r="I127" s="259"/>
      <c r="J127" s="255"/>
      <c r="K127" s="260"/>
      <c r="L127" s="248"/>
    </row>
    <row r="128" spans="3:12" ht="15.75" hidden="1">
      <c r="C128" s="252" t="s">
        <v>8</v>
      </c>
      <c r="D128" s="255">
        <f>50921468228/1000</f>
        <v>50921468.228</v>
      </c>
      <c r="E128" s="263">
        <v>93</v>
      </c>
      <c r="F128" s="255">
        <v>185282.09940000001</v>
      </c>
      <c r="G128" s="260">
        <v>185</v>
      </c>
      <c r="H128" s="255">
        <f>915533124/1000</f>
        <v>915533.12399999995</v>
      </c>
      <c r="I128" s="260">
        <v>1439</v>
      </c>
      <c r="J128" s="255">
        <f>4920100299/1000</f>
        <v>4920100.2989999996</v>
      </c>
      <c r="K128" s="260">
        <v>82</v>
      </c>
      <c r="L128" s="248"/>
    </row>
    <row r="129" spans="3:12" ht="15.75" hidden="1">
      <c r="C129" s="252" t="s">
        <v>9</v>
      </c>
      <c r="D129" s="255">
        <f>43747595079/1000</f>
        <v>43747595.079000004</v>
      </c>
      <c r="E129" s="263">
        <v>73</v>
      </c>
      <c r="F129" s="255">
        <v>224349.10780000003</v>
      </c>
      <c r="G129" s="260">
        <v>93</v>
      </c>
      <c r="H129" s="255">
        <f>855102520/1000</f>
        <v>855102.52</v>
      </c>
      <c r="I129" s="260">
        <v>98</v>
      </c>
      <c r="J129" s="255">
        <f>4698281252/1000</f>
        <v>4698281.2520000003</v>
      </c>
      <c r="K129" s="259">
        <v>100.5</v>
      </c>
      <c r="L129" s="248"/>
    </row>
    <row r="130" spans="3:12" ht="15.75" hidden="1">
      <c r="C130" s="252" t="s">
        <v>10</v>
      </c>
      <c r="D130" s="255">
        <f>55015964949/1000</f>
        <v>55015964.949000001</v>
      </c>
      <c r="E130" s="263">
        <v>111</v>
      </c>
      <c r="F130" s="255">
        <v>100363.35870000001</v>
      </c>
      <c r="G130" s="260">
        <v>197</v>
      </c>
      <c r="H130" s="255">
        <f>725997863/1000</f>
        <v>725997.86300000001</v>
      </c>
      <c r="I130" s="260">
        <v>85</v>
      </c>
      <c r="J130" s="255">
        <f>6895867959/1000</f>
        <v>6895867.9589999998</v>
      </c>
      <c r="K130" s="259">
        <v>82.1</v>
      </c>
      <c r="L130" s="248"/>
    </row>
    <row r="131" spans="3:12" ht="15.75" hidden="1">
      <c r="C131" s="252" t="s">
        <v>11</v>
      </c>
      <c r="D131" s="255">
        <f>44692411740/1000</f>
        <v>44692411.740000002</v>
      </c>
      <c r="E131" s="259">
        <v>38.299999999999997</v>
      </c>
      <c r="F131" s="255">
        <v>100597.4</v>
      </c>
      <c r="G131" s="259">
        <v>29</v>
      </c>
      <c r="H131" s="255">
        <f>167353037/1000</f>
        <v>167353.03700000001</v>
      </c>
      <c r="I131" s="259">
        <v>40.6</v>
      </c>
      <c r="J131" s="255">
        <f>1243677779/1000</f>
        <v>1243677.7790000001</v>
      </c>
      <c r="K131" s="259">
        <v>157.30000000000001</v>
      </c>
      <c r="L131" s="248"/>
    </row>
    <row r="132" spans="3:12" ht="15.75" hidden="1">
      <c r="C132" s="252" t="s">
        <v>337</v>
      </c>
      <c r="D132" s="255">
        <v>75927213.900000006</v>
      </c>
      <c r="E132" s="259">
        <v>128.19999999999999</v>
      </c>
      <c r="F132" s="255">
        <v>470283.3</v>
      </c>
      <c r="G132" s="259">
        <v>480</v>
      </c>
      <c r="H132" s="255">
        <f>586974229/1000</f>
        <v>586974.22900000005</v>
      </c>
      <c r="I132" s="259">
        <v>273</v>
      </c>
      <c r="J132" s="255">
        <f>1820626847/1000</f>
        <v>1820626.8470000001</v>
      </c>
      <c r="K132" s="259">
        <v>77.900000000000006</v>
      </c>
      <c r="L132" s="248"/>
    </row>
    <row r="133" spans="3:12" ht="15.75" hidden="1">
      <c r="C133" s="252" t="s">
        <v>346</v>
      </c>
      <c r="D133" s="255">
        <v>87483459.5</v>
      </c>
      <c r="E133" s="259">
        <v>85</v>
      </c>
      <c r="F133" s="255">
        <v>2076037</v>
      </c>
      <c r="G133" s="259">
        <v>53.8</v>
      </c>
      <c r="H133" s="255">
        <f>260059535/1000</f>
        <v>260059.535</v>
      </c>
      <c r="I133" s="259">
        <v>52</v>
      </c>
      <c r="J133" s="255">
        <f>1926823999/1000</f>
        <v>1926823.9990000001</v>
      </c>
      <c r="K133" s="259">
        <v>80.8</v>
      </c>
      <c r="L133" s="248"/>
    </row>
    <row r="134" spans="3:12" ht="15.75" hidden="1">
      <c r="C134" s="252" t="s">
        <v>347</v>
      </c>
      <c r="D134" s="255">
        <f>27650584721.7/1000</f>
        <v>27650584.721700002</v>
      </c>
      <c r="E134" s="259">
        <v>22.1</v>
      </c>
      <c r="F134" s="255">
        <v>596112.4</v>
      </c>
      <c r="G134" s="259">
        <v>52.6</v>
      </c>
      <c r="H134" s="255">
        <f>337517404/1000</f>
        <v>337517.40399999998</v>
      </c>
      <c r="I134" s="259">
        <v>165</v>
      </c>
      <c r="J134" s="255">
        <f>2172923189/1000</f>
        <v>2172923.1889999998</v>
      </c>
      <c r="K134" s="259">
        <v>79.5</v>
      </c>
      <c r="L134" s="248"/>
    </row>
    <row r="135" spans="3:12" ht="15.75" hidden="1">
      <c r="C135" s="252" t="s">
        <v>12</v>
      </c>
      <c r="D135" s="255">
        <v>262395546.5</v>
      </c>
      <c r="E135" s="259">
        <v>637.9</v>
      </c>
      <c r="F135" s="255">
        <v>57537.2</v>
      </c>
      <c r="G135" s="259">
        <v>76.599999999999994</v>
      </c>
      <c r="H135" s="255">
        <v>278995.7</v>
      </c>
      <c r="I135" s="259">
        <v>46.5</v>
      </c>
      <c r="J135" s="255">
        <f>734309799/1000</f>
        <v>734309.799</v>
      </c>
      <c r="K135" s="259">
        <v>299.10000000000002</v>
      </c>
      <c r="L135" s="248"/>
    </row>
    <row r="136" spans="3:12" ht="15.75" hidden="1">
      <c r="C136" s="252" t="s">
        <v>13</v>
      </c>
      <c r="D136" s="255">
        <f>345532484400/1000</f>
        <v>345532484.39999998</v>
      </c>
      <c r="E136" s="259">
        <v>93.5</v>
      </c>
      <c r="F136" s="255">
        <v>761271.9</v>
      </c>
      <c r="G136" s="259">
        <v>1677.8</v>
      </c>
      <c r="H136" s="255">
        <f>129204332/1000</f>
        <v>129204.33199999999</v>
      </c>
      <c r="I136" s="259">
        <v>166</v>
      </c>
      <c r="J136" s="255">
        <f>1081753878/1000</f>
        <v>1081753.878</v>
      </c>
      <c r="K136" s="259">
        <v>773.4</v>
      </c>
      <c r="L136" s="248"/>
    </row>
    <row r="137" spans="3:12" ht="15.75" hidden="1">
      <c r="C137" s="252" t="s">
        <v>14</v>
      </c>
      <c r="D137" s="255">
        <f>327213495369/1000</f>
        <v>327213495.36900002</v>
      </c>
      <c r="E137" s="259">
        <v>60.5</v>
      </c>
      <c r="F137" s="255">
        <v>13940403.6</v>
      </c>
      <c r="G137" s="259">
        <v>11</v>
      </c>
      <c r="H137" s="255">
        <f>305085344/1000</f>
        <v>305085.34399999998</v>
      </c>
      <c r="I137" s="259">
        <v>621.20000000000005</v>
      </c>
      <c r="J137" s="255">
        <v>4058604.8</v>
      </c>
      <c r="K137" s="259">
        <v>93.1</v>
      </c>
      <c r="L137" s="248"/>
    </row>
    <row r="138" spans="3:12" ht="15.75" hidden="1">
      <c r="C138" s="252" t="s">
        <v>15</v>
      </c>
      <c r="D138" s="264">
        <v>223420803.80000001</v>
      </c>
      <c r="E138" s="259">
        <v>46.4</v>
      </c>
      <c r="F138" s="255">
        <v>1224447.8</v>
      </c>
      <c r="G138" s="259">
        <v>196.3</v>
      </c>
      <c r="H138" s="255">
        <f>548040395/1000</f>
        <v>548040.39500000002</v>
      </c>
      <c r="I138" s="259">
        <v>309.8</v>
      </c>
      <c r="J138" s="255">
        <f>3765366171/1000</f>
        <v>3765366.1710000001</v>
      </c>
      <c r="K138" s="259">
        <v>80.7</v>
      </c>
      <c r="L138" s="248"/>
    </row>
    <row r="139" spans="3:12" ht="15.75" hidden="1">
      <c r="C139" s="252" t="s">
        <v>16</v>
      </c>
      <c r="D139" s="264">
        <f>291551316484/1000</f>
        <v>291551316.48400003</v>
      </c>
      <c r="E139" s="259">
        <v>57.6</v>
      </c>
      <c r="F139" s="255">
        <v>1263407.6000000001</v>
      </c>
      <c r="G139" s="259">
        <v>192.7</v>
      </c>
      <c r="H139" s="255">
        <f>192374/1000</f>
        <v>192.374</v>
      </c>
      <c r="I139" s="259">
        <v>17</v>
      </c>
      <c r="J139" s="255">
        <f>617517612/1000</f>
        <v>617517.61199999996</v>
      </c>
      <c r="K139" s="259">
        <v>79</v>
      </c>
      <c r="L139" s="248"/>
    </row>
    <row r="140" spans="3:12" ht="15.75" hidden="1">
      <c r="C140" s="252"/>
      <c r="D140" s="264"/>
      <c r="E140" s="259"/>
      <c r="F140" s="255"/>
      <c r="G140" s="259"/>
      <c r="H140" s="255"/>
      <c r="I140" s="259"/>
      <c r="J140" s="255"/>
      <c r="K140" s="259"/>
      <c r="L140" s="248"/>
    </row>
    <row r="141" spans="3:12" ht="15.75" hidden="1">
      <c r="C141" s="261">
        <v>2007</v>
      </c>
      <c r="D141" s="264"/>
      <c r="E141" s="259"/>
      <c r="F141" s="255"/>
      <c r="G141" s="259"/>
      <c r="H141" s="255"/>
      <c r="I141" s="259"/>
      <c r="J141" s="255"/>
      <c r="K141" s="259"/>
      <c r="L141" s="248"/>
    </row>
    <row r="142" spans="3:12" ht="15.75" hidden="1">
      <c r="C142" s="252"/>
      <c r="D142" s="264"/>
      <c r="E142" s="259"/>
      <c r="F142" s="255"/>
      <c r="G142" s="259"/>
      <c r="H142" s="255"/>
      <c r="I142" s="259"/>
      <c r="J142" s="255"/>
      <c r="K142" s="259"/>
      <c r="L142" s="248"/>
    </row>
    <row r="143" spans="3:12" ht="15.75" hidden="1">
      <c r="C143" s="252" t="s">
        <v>8</v>
      </c>
      <c r="D143" s="264">
        <v>474365539.35100001</v>
      </c>
      <c r="E143" s="259">
        <v>696.7</v>
      </c>
      <c r="F143" s="255">
        <v>1792614</v>
      </c>
      <c r="G143" s="259">
        <v>197.8</v>
      </c>
      <c r="H143" s="255">
        <v>192.374</v>
      </c>
      <c r="I143" s="259">
        <v>144.1</v>
      </c>
      <c r="J143" s="255">
        <v>4920100.2989999996</v>
      </c>
      <c r="K143" s="259">
        <v>82</v>
      </c>
      <c r="L143" s="248"/>
    </row>
    <row r="144" spans="3:12" ht="15.75" hidden="1">
      <c r="C144" s="252" t="s">
        <v>9</v>
      </c>
      <c r="D144" s="264">
        <v>1088670926</v>
      </c>
      <c r="E144" s="259">
        <v>122.2</v>
      </c>
      <c r="F144" s="255">
        <v>2183284</v>
      </c>
      <c r="G144" s="259">
        <v>103.4</v>
      </c>
      <c r="H144" s="255">
        <v>207627.39</v>
      </c>
      <c r="I144" s="259">
        <v>61618</v>
      </c>
      <c r="J144" s="255">
        <v>4698281.25</v>
      </c>
      <c r="K144" s="259">
        <v>100.5</v>
      </c>
      <c r="L144" s="248"/>
    </row>
    <row r="145" spans="3:12" ht="15.75" hidden="1">
      <c r="C145" s="252" t="s">
        <v>10</v>
      </c>
      <c r="D145" s="264">
        <v>319009801.60000002</v>
      </c>
      <c r="E145" s="259">
        <v>14.3</v>
      </c>
      <c r="F145" s="255">
        <v>943426.6</v>
      </c>
      <c r="G145" s="259">
        <v>216.1</v>
      </c>
      <c r="H145" s="255">
        <v>354236.89899999998</v>
      </c>
      <c r="I145" s="259">
        <v>98.6</v>
      </c>
      <c r="J145" s="255">
        <v>6895867.9500000002</v>
      </c>
      <c r="K145" s="259">
        <v>82.1</v>
      </c>
      <c r="L145" s="248"/>
    </row>
    <row r="146" spans="3:12" ht="15.75" hidden="1">
      <c r="C146" s="252" t="s">
        <v>11</v>
      </c>
      <c r="D146" s="264">
        <v>2333776347.164</v>
      </c>
      <c r="E146" s="259">
        <v>241.5</v>
      </c>
      <c r="F146" s="255">
        <v>945766.8</v>
      </c>
      <c r="G146" s="259">
        <v>52.9</v>
      </c>
      <c r="H146" s="255">
        <v>57270.9</v>
      </c>
      <c r="I146" s="259">
        <v>10.1</v>
      </c>
      <c r="J146" s="255">
        <v>1862372.45</v>
      </c>
      <c r="K146" s="259">
        <v>171.4</v>
      </c>
      <c r="L146" s="248"/>
    </row>
    <row r="147" spans="3:12" ht="15.75" hidden="1">
      <c r="C147" s="252" t="s">
        <v>337</v>
      </c>
      <c r="D147" s="264">
        <v>4774841204.8979998</v>
      </c>
      <c r="E147" s="259">
        <v>85.3</v>
      </c>
      <c r="F147" s="255">
        <v>404002.5</v>
      </c>
      <c r="G147" s="259">
        <v>798.9</v>
      </c>
      <c r="H147" s="255">
        <v>4146186.59</v>
      </c>
      <c r="I147" s="259">
        <v>38.700000000000003</v>
      </c>
      <c r="J147" s="255">
        <v>1820626.8</v>
      </c>
      <c r="K147" s="259">
        <v>77.900000000000006</v>
      </c>
      <c r="L147" s="248"/>
    </row>
    <row r="148" spans="3:12" ht="15.75" hidden="1">
      <c r="C148" s="252" t="s">
        <v>346</v>
      </c>
      <c r="D148" s="264">
        <v>13348862393.6</v>
      </c>
      <c r="E148" s="259">
        <v>76.099999999999994</v>
      </c>
      <c r="F148" s="255">
        <v>2015830</v>
      </c>
      <c r="G148" s="259">
        <v>33882.800000000003</v>
      </c>
      <c r="H148" s="255">
        <v>9190796.5610000007</v>
      </c>
      <c r="I148" s="259">
        <v>17.8</v>
      </c>
      <c r="J148" s="255">
        <v>434410692.995</v>
      </c>
      <c r="K148" s="259">
        <v>268.5</v>
      </c>
      <c r="L148" s="248"/>
    </row>
    <row r="149" spans="3:12" ht="15.75" hidden="1">
      <c r="C149" s="252" t="s">
        <v>347</v>
      </c>
      <c r="D149" s="264">
        <v>22188623445.570999</v>
      </c>
      <c r="E149" s="259">
        <v>69.2</v>
      </c>
      <c r="F149" s="255">
        <v>1086042.6669999999</v>
      </c>
      <c r="G149" s="259">
        <v>132.30000000000001</v>
      </c>
      <c r="H149" s="255">
        <v>14590824.800000001</v>
      </c>
      <c r="I149" s="259">
        <v>277.89999999999998</v>
      </c>
      <c r="J149" s="255">
        <v>382786682.34500003</v>
      </c>
      <c r="K149" s="259">
        <v>61</v>
      </c>
      <c r="L149" s="248"/>
    </row>
    <row r="150" spans="3:12" ht="15.75" hidden="1">
      <c r="C150" s="252" t="s">
        <v>12</v>
      </c>
      <c r="D150" s="264">
        <v>35943129145.699997</v>
      </c>
      <c r="E150" s="259">
        <v>77</v>
      </c>
      <c r="F150" s="255">
        <v>2557859.9</v>
      </c>
      <c r="G150" s="259">
        <v>119.9</v>
      </c>
      <c r="H150" s="255">
        <v>33805634.399999999</v>
      </c>
      <c r="I150" s="259">
        <v>1.6</v>
      </c>
      <c r="J150" s="255">
        <v>734309.799</v>
      </c>
      <c r="K150" s="259">
        <v>299</v>
      </c>
      <c r="L150" s="248"/>
    </row>
    <row r="151" spans="3:12" ht="15.75" hidden="1">
      <c r="C151" s="252" t="s">
        <v>13</v>
      </c>
      <c r="D151" s="264">
        <v>62080862840.900002</v>
      </c>
      <c r="E151" s="259">
        <v>86</v>
      </c>
      <c r="F151" s="255">
        <v>3797355.2</v>
      </c>
      <c r="G151" s="259">
        <v>62.4</v>
      </c>
      <c r="H151" s="255">
        <v>44040309.799999997</v>
      </c>
      <c r="I151" s="259">
        <v>0.7</v>
      </c>
      <c r="J151" s="255">
        <v>1081753.878</v>
      </c>
      <c r="K151" s="259">
        <v>773.4</v>
      </c>
      <c r="L151" s="248"/>
    </row>
    <row r="152" spans="3:12" ht="15.75" hidden="1">
      <c r="C152" s="252" t="s">
        <v>14</v>
      </c>
      <c r="D152" s="264">
        <v>90556783101.699997</v>
      </c>
      <c r="E152" s="259">
        <v>69.5</v>
      </c>
      <c r="F152" s="255">
        <v>3766304.99</v>
      </c>
      <c r="G152" s="259">
        <v>63</v>
      </c>
      <c r="H152" s="255">
        <v>37668401.066</v>
      </c>
      <c r="I152" s="259">
        <v>0</v>
      </c>
      <c r="J152" s="255">
        <v>4058604.8</v>
      </c>
      <c r="K152" s="259">
        <v>93.1</v>
      </c>
      <c r="L152" s="248"/>
    </row>
    <row r="153" spans="3:12" ht="15.75" hidden="1">
      <c r="C153" s="252" t="s">
        <v>15</v>
      </c>
      <c r="D153" s="264">
        <v>413421381081.16998</v>
      </c>
      <c r="E153" s="259">
        <v>125.8</v>
      </c>
      <c r="F153" s="255">
        <v>2599157.69</v>
      </c>
      <c r="G153" s="259">
        <v>340</v>
      </c>
      <c r="H153" s="255">
        <v>115058014.7</v>
      </c>
      <c r="I153" s="259">
        <v>46.5</v>
      </c>
      <c r="J153" s="255">
        <v>3765366.17</v>
      </c>
      <c r="K153" s="259">
        <v>80.7</v>
      </c>
      <c r="L153" s="248"/>
    </row>
    <row r="154" spans="3:12" ht="15.75" hidden="1">
      <c r="C154" s="252" t="s">
        <v>16</v>
      </c>
      <c r="D154" s="264">
        <v>488567989349.79999</v>
      </c>
      <c r="E154" s="259">
        <v>235.7</v>
      </c>
      <c r="F154" s="255">
        <v>13823134.256999999</v>
      </c>
      <c r="G154" s="259">
        <v>128.80000000000001</v>
      </c>
      <c r="H154" s="255">
        <v>499441282.08499998</v>
      </c>
      <c r="I154" s="259">
        <v>434</v>
      </c>
      <c r="J154" s="255">
        <v>39535477139.769997</v>
      </c>
      <c r="K154" s="259">
        <v>77.8</v>
      </c>
      <c r="L154" s="248"/>
    </row>
    <row r="155" spans="3:12" ht="15.75" hidden="1">
      <c r="C155" s="252"/>
      <c r="D155" s="264"/>
      <c r="E155" s="259"/>
      <c r="F155" s="255"/>
      <c r="G155" s="259"/>
      <c r="H155" s="255"/>
      <c r="I155" s="259"/>
      <c r="J155" s="255"/>
      <c r="K155" s="259"/>
      <c r="L155" s="248"/>
    </row>
    <row r="156" spans="3:12" ht="15.75" hidden="1">
      <c r="C156" s="262">
        <v>2008</v>
      </c>
      <c r="D156" s="264"/>
      <c r="E156" s="259"/>
      <c r="F156" s="255"/>
      <c r="G156" s="259"/>
      <c r="H156" s="255"/>
      <c r="I156" s="259"/>
      <c r="J156" s="255"/>
      <c r="K156" s="259"/>
      <c r="L156" s="248"/>
    </row>
    <row r="157" spans="3:12" ht="15.75" hidden="1">
      <c r="C157" s="252"/>
      <c r="D157" s="264"/>
      <c r="E157" s="259"/>
      <c r="F157" s="265"/>
      <c r="G157" s="259"/>
      <c r="H157" s="255"/>
      <c r="I157" s="259"/>
      <c r="J157" s="255"/>
      <c r="K157" s="259"/>
      <c r="L157" s="248"/>
    </row>
    <row r="158" spans="3:12" ht="15.75" hidden="1">
      <c r="C158" s="252" t="s">
        <v>8</v>
      </c>
      <c r="D158" s="266">
        <v>66.709656930614997</v>
      </c>
      <c r="E158" s="259">
        <v>57.7</v>
      </c>
      <c r="F158" s="265">
        <v>3.2178851026199999E-3</v>
      </c>
      <c r="G158" s="259">
        <v>769.7</v>
      </c>
      <c r="H158" s="265">
        <v>6.7496380214999999E-2</v>
      </c>
      <c r="I158" s="259">
        <v>158</v>
      </c>
      <c r="J158" s="265">
        <v>3.4562179707699996</v>
      </c>
      <c r="K158" s="259">
        <v>56.4</v>
      </c>
      <c r="L158" s="248"/>
    </row>
    <row r="159" spans="3:12" ht="15.75" hidden="1">
      <c r="C159" s="252" t="s">
        <v>9</v>
      </c>
      <c r="D159" s="266">
        <v>210.883820186935</v>
      </c>
      <c r="E159" s="259">
        <v>151.5</v>
      </c>
      <c r="F159" s="265">
        <v>0.69516021543000006</v>
      </c>
      <c r="G159" s="259">
        <v>69.2</v>
      </c>
      <c r="H159" s="265">
        <v>4.986024856167</v>
      </c>
      <c r="I159" s="259">
        <v>0</v>
      </c>
      <c r="J159" s="265">
        <v>6.12853566198</v>
      </c>
      <c r="K159" s="259">
        <v>54.3</v>
      </c>
      <c r="L159" s="248"/>
    </row>
    <row r="160" spans="3:12" ht="15.75" hidden="1">
      <c r="C160" s="252" t="s">
        <v>10</v>
      </c>
      <c r="D160" s="266">
        <v>466.01071583480928</v>
      </c>
      <c r="E160" s="259">
        <v>87.386743917166484</v>
      </c>
      <c r="F160" s="265">
        <v>1743.2892279119999</v>
      </c>
      <c r="G160" s="259">
        <v>2.5</v>
      </c>
      <c r="H160" s="265">
        <v>10.127406711926</v>
      </c>
      <c r="I160" s="259"/>
      <c r="J160" s="265">
        <v>46.982812520000003</v>
      </c>
      <c r="K160" s="259">
        <v>100.5</v>
      </c>
      <c r="L160" s="248"/>
    </row>
    <row r="161" spans="3:12" ht="15.75" hidden="1">
      <c r="C161" s="252" t="s">
        <v>11</v>
      </c>
      <c r="D161" s="266">
        <v>759.21609404862966</v>
      </c>
      <c r="E161" s="259">
        <v>73.944416212169074</v>
      </c>
      <c r="F161" s="265">
        <v>1.005973845</v>
      </c>
      <c r="G161" s="259">
        <v>4355210</v>
      </c>
      <c r="H161" s="265">
        <v>10.127406711926</v>
      </c>
      <c r="I161" s="259">
        <v>111.5</v>
      </c>
      <c r="J161" s="265">
        <v>4694167.0966376197</v>
      </c>
      <c r="K161" s="259">
        <v>34.9</v>
      </c>
      <c r="L161" s="248"/>
    </row>
    <row r="162" spans="3:12" ht="15.75" hidden="1">
      <c r="C162" s="252" t="s">
        <v>337</v>
      </c>
      <c r="D162" s="266">
        <v>10820.717973352926</v>
      </c>
      <c r="E162" s="259">
        <v>792.73550645516161</v>
      </c>
      <c r="F162" s="265">
        <v>0.47028330800000001</v>
      </c>
      <c r="G162" s="259">
        <v>10641214.6</v>
      </c>
      <c r="H162" s="265">
        <v>21.334758104106999</v>
      </c>
      <c r="I162" s="259">
        <v>1257.2</v>
      </c>
      <c r="J162" s="265">
        <v>18.623724589999998</v>
      </c>
      <c r="K162" s="259">
        <v>171.4</v>
      </c>
      <c r="L162" s="248"/>
    </row>
    <row r="163" spans="3:12" ht="15.75" hidden="1">
      <c r="C163" s="252" t="s">
        <v>346</v>
      </c>
      <c r="D163" s="266">
        <v>92129.323092394858</v>
      </c>
      <c r="E163" s="259">
        <v>611.08461720212904</v>
      </c>
      <c r="F163" s="265">
        <v>2.0760370259999998</v>
      </c>
      <c r="G163" s="259">
        <v>52.7</v>
      </c>
      <c r="H163" s="265">
        <v>137.35096740680501</v>
      </c>
      <c r="I163" s="259">
        <v>64694.2</v>
      </c>
      <c r="J163" s="265">
        <v>4344.1069299500004</v>
      </c>
      <c r="K163" s="259">
        <v>76.7</v>
      </c>
      <c r="L163" s="248"/>
    </row>
    <row r="164" spans="3:12" ht="15.75" hidden="1">
      <c r="C164" s="252" t="s">
        <v>347</v>
      </c>
      <c r="D164" s="266">
        <v>714494.10495893401</v>
      </c>
      <c r="E164" s="259">
        <v>164.03455243080469</v>
      </c>
      <c r="F164" s="265">
        <v>0.59611242200000003</v>
      </c>
      <c r="G164" s="259">
        <v>76.599999999999994</v>
      </c>
      <c r="H164" s="265">
        <f>(133027420328782/1000)/10000000000</f>
        <v>13.3027420328782</v>
      </c>
      <c r="I164" s="259">
        <v>0</v>
      </c>
      <c r="J164" s="265">
        <v>3827.8668234531797</v>
      </c>
      <c r="K164" s="259">
        <v>61</v>
      </c>
      <c r="L164" s="248"/>
    </row>
    <row r="165" spans="3:12" ht="15.75" hidden="1">
      <c r="C165" s="252" t="s">
        <v>12</v>
      </c>
      <c r="D165" s="266">
        <v>25992860.699999999</v>
      </c>
      <c r="E165" s="259">
        <v>1.5858145274244735E-4</v>
      </c>
      <c r="F165" s="265">
        <v>575372.1</v>
      </c>
      <c r="G165" s="259">
        <v>68.900000000000006</v>
      </c>
      <c r="H165" s="265">
        <v>77.7</v>
      </c>
      <c r="I165" s="259">
        <v>5742.6</v>
      </c>
      <c r="J165" s="265">
        <v>283381190</v>
      </c>
      <c r="K165" s="259">
        <v>215.1</v>
      </c>
      <c r="L165" s="248"/>
    </row>
    <row r="166" spans="3:12" ht="15.75" hidden="1">
      <c r="C166" s="252" t="s">
        <v>13</v>
      </c>
      <c r="D166" s="266">
        <v>33158289.399999999</v>
      </c>
      <c r="E166" s="259">
        <v>116.19383784715353</v>
      </c>
      <c r="F166" s="265">
        <v>761271.9</v>
      </c>
      <c r="G166" s="259">
        <v>1673.5</v>
      </c>
      <c r="H166" s="265">
        <v>712.2</v>
      </c>
      <c r="I166" s="259">
        <v>656.6</v>
      </c>
      <c r="J166" s="265">
        <v>2860554242</v>
      </c>
      <c r="K166" s="259">
        <v>773.4</v>
      </c>
      <c r="L166" s="248"/>
    </row>
    <row r="167" spans="3:12" ht="15.75" hidden="1">
      <c r="C167" s="252" t="s">
        <v>14</v>
      </c>
      <c r="D167" s="266">
        <v>4058604834</v>
      </c>
      <c r="E167" s="259">
        <v>93.1</v>
      </c>
      <c r="F167" s="265">
        <v>13940403.6</v>
      </c>
      <c r="G167" s="259">
        <v>225144.1</v>
      </c>
      <c r="H167" s="265">
        <v>655405067.99000001</v>
      </c>
      <c r="I167" s="259">
        <v>0</v>
      </c>
      <c r="J167" s="266">
        <v>4058604834</v>
      </c>
      <c r="K167" s="259">
        <v>93.1</v>
      </c>
      <c r="L167" s="248"/>
    </row>
    <row r="168" spans="3:12" ht="15.75" hidden="1">
      <c r="C168" s="252" t="s">
        <v>15</v>
      </c>
      <c r="D168" s="266">
        <v>3765366171</v>
      </c>
      <c r="E168" s="259">
        <v>80.7</v>
      </c>
      <c r="F168" s="265">
        <v>1066518513756.3</v>
      </c>
      <c r="G168" s="259">
        <v>687.2</v>
      </c>
      <c r="H168" s="265">
        <v>14626116155001</v>
      </c>
      <c r="I168" s="259">
        <v>0</v>
      </c>
      <c r="J168" s="266">
        <v>3765366171</v>
      </c>
      <c r="K168" s="259">
        <v>80.7</v>
      </c>
      <c r="L168" s="248"/>
    </row>
    <row r="169" spans="3:12" ht="15.75" hidden="1">
      <c r="C169" s="252" t="s">
        <v>16</v>
      </c>
      <c r="D169" s="266">
        <v>39532329311670</v>
      </c>
      <c r="E169" s="259">
        <v>77.8</v>
      </c>
      <c r="F169" s="265">
        <v>3.7775790962345696E+16</v>
      </c>
      <c r="G169" s="259">
        <v>116.5</v>
      </c>
      <c r="H169" s="265">
        <v>1789419885219480</v>
      </c>
      <c r="I169" s="259">
        <v>0</v>
      </c>
      <c r="J169" s="266">
        <v>39532329311670</v>
      </c>
      <c r="K169" s="259">
        <v>77.8</v>
      </c>
      <c r="L169" s="248"/>
    </row>
    <row r="170" spans="3:12" ht="16.5" thickTop="1">
      <c r="C170" s="252"/>
      <c r="D170" s="266"/>
      <c r="E170" s="259"/>
      <c r="F170" s="265"/>
      <c r="G170" s="259"/>
      <c r="H170" s="265"/>
      <c r="I170" s="259"/>
      <c r="J170" s="266"/>
      <c r="K170" s="259"/>
      <c r="L170" s="248"/>
    </row>
    <row r="171" spans="3:12" ht="15.75" hidden="1">
      <c r="C171" s="262">
        <v>2009</v>
      </c>
      <c r="D171" s="266"/>
      <c r="E171" s="259"/>
      <c r="F171" s="265"/>
      <c r="G171" s="259"/>
      <c r="H171" s="265"/>
      <c r="I171" s="259"/>
      <c r="J171" s="266"/>
      <c r="K171" s="259"/>
      <c r="L171" s="248"/>
    </row>
    <row r="172" spans="3:12" ht="15.75" hidden="1">
      <c r="C172" s="252"/>
      <c r="D172" s="266"/>
      <c r="E172" s="259"/>
      <c r="F172" s="265"/>
      <c r="G172" s="259"/>
      <c r="H172" s="265"/>
      <c r="I172" s="259"/>
      <c r="J172" s="266"/>
      <c r="K172" s="259"/>
      <c r="L172" s="248"/>
    </row>
    <row r="173" spans="3:12" ht="15.75" hidden="1">
      <c r="C173" s="252" t="s">
        <v>8</v>
      </c>
      <c r="D173" s="266">
        <v>281964761</v>
      </c>
      <c r="E173" s="259">
        <v>0</v>
      </c>
      <c r="F173" s="265"/>
      <c r="G173" s="259"/>
      <c r="H173" s="265"/>
      <c r="I173" s="259"/>
      <c r="J173" s="266"/>
      <c r="K173" s="259"/>
      <c r="L173" s="248"/>
    </row>
    <row r="174" spans="3:12" ht="15.75" hidden="1">
      <c r="C174" s="252" t="s">
        <v>9</v>
      </c>
      <c r="D174" s="266">
        <v>364.47497700000002</v>
      </c>
      <c r="E174" s="259">
        <v>112</v>
      </c>
      <c r="F174" s="265">
        <v>14.446</v>
      </c>
      <c r="G174" s="259">
        <v>436.4</v>
      </c>
      <c r="H174" s="265"/>
      <c r="I174" s="259"/>
      <c r="J174" s="266"/>
      <c r="K174" s="259"/>
      <c r="L174" s="248"/>
    </row>
    <row r="175" spans="3:12" ht="15.75" hidden="1">
      <c r="C175" s="252" t="s">
        <v>10</v>
      </c>
      <c r="D175" s="266">
        <v>361.88392399999998</v>
      </c>
      <c r="E175" s="259">
        <v>84.2</v>
      </c>
      <c r="F175" s="265">
        <v>15.490600000000001</v>
      </c>
      <c r="G175" s="259">
        <v>76.5</v>
      </c>
      <c r="H175" s="265"/>
      <c r="I175" s="259"/>
      <c r="J175" s="266"/>
      <c r="K175" s="259"/>
      <c r="L175" s="248"/>
    </row>
    <row r="176" spans="3:12" ht="15.75" hidden="1">
      <c r="C176" s="252" t="s">
        <v>11</v>
      </c>
      <c r="D176" s="266">
        <v>450.36555599999997</v>
      </c>
      <c r="E176" s="259">
        <v>100.3</v>
      </c>
      <c r="F176" s="265">
        <v>21.2288</v>
      </c>
      <c r="G176" s="259">
        <v>331.3</v>
      </c>
      <c r="H176" s="265"/>
      <c r="I176" s="259"/>
      <c r="J176" s="266"/>
      <c r="K176" s="259"/>
      <c r="L176" s="248"/>
    </row>
    <row r="177" spans="3:12" ht="15.75" hidden="1">
      <c r="C177" s="252" t="s">
        <v>337</v>
      </c>
      <c r="D177" s="264">
        <v>483.03514010000004</v>
      </c>
      <c r="E177" s="259">
        <v>95.8</v>
      </c>
      <c r="F177" s="255">
        <v>25.908799999999999</v>
      </c>
      <c r="G177" s="259">
        <v>175.3</v>
      </c>
      <c r="H177" s="255"/>
      <c r="I177" s="259"/>
      <c r="J177" s="255"/>
      <c r="K177" s="259"/>
      <c r="L177" s="248"/>
    </row>
    <row r="178" spans="3:12" ht="15.75" hidden="1">
      <c r="C178" s="252" t="s">
        <v>346</v>
      </c>
      <c r="D178" s="264">
        <v>626.72930000000008</v>
      </c>
      <c r="E178" s="259">
        <v>94.8</v>
      </c>
      <c r="F178" s="255">
        <v>34.494399999999999</v>
      </c>
      <c r="G178" s="259">
        <v>57.3</v>
      </c>
      <c r="H178" s="255"/>
      <c r="I178" s="259"/>
      <c r="J178" s="255"/>
      <c r="K178" s="259"/>
      <c r="L178" s="248"/>
    </row>
    <row r="179" spans="3:12" ht="15.75" hidden="1">
      <c r="C179" s="252" t="s">
        <v>347</v>
      </c>
      <c r="D179" s="264">
        <v>684.58942804000003</v>
      </c>
      <c r="E179" s="259">
        <v>76.000369495738198</v>
      </c>
      <c r="F179" s="264">
        <v>46.970314999999999</v>
      </c>
      <c r="G179" s="259">
        <v>32.123746668507501</v>
      </c>
      <c r="H179" s="255"/>
      <c r="I179" s="259"/>
      <c r="J179" s="255"/>
      <c r="K179" s="259"/>
      <c r="L179" s="248"/>
    </row>
    <row r="180" spans="3:12" ht="15.75" hidden="1">
      <c r="C180" s="252" t="s">
        <v>12</v>
      </c>
      <c r="D180" s="264">
        <v>748.11239582999997</v>
      </c>
      <c r="E180" s="259">
        <v>71.526845116776897</v>
      </c>
      <c r="F180" s="264">
        <v>61.493087000000003</v>
      </c>
      <c r="G180" s="259">
        <v>28.323159317079</v>
      </c>
      <c r="H180" s="255"/>
      <c r="I180" s="259"/>
      <c r="J180" s="255"/>
      <c r="K180" s="259"/>
      <c r="L180" s="248"/>
    </row>
    <row r="181" spans="3:12" ht="15.75" hidden="1">
      <c r="C181" s="252" t="s">
        <v>13</v>
      </c>
      <c r="D181" s="264">
        <v>839.96791789999997</v>
      </c>
      <c r="E181" s="259">
        <v>71.117953972640805</v>
      </c>
      <c r="F181" s="264">
        <v>73.057667030000005</v>
      </c>
      <c r="G181" s="259">
        <v>35.774932642274898</v>
      </c>
      <c r="H181" s="255"/>
      <c r="I181" s="259"/>
      <c r="J181" s="255"/>
      <c r="K181" s="259"/>
      <c r="L181" s="248"/>
    </row>
    <row r="182" spans="3:12" ht="15.75" hidden="1">
      <c r="C182" s="252" t="s">
        <v>14</v>
      </c>
      <c r="D182" s="264">
        <v>851.88783150999996</v>
      </c>
      <c r="E182" s="259">
        <v>60.988602608866401</v>
      </c>
      <c r="F182" s="264">
        <v>77.490068050000005</v>
      </c>
      <c r="G182" s="259">
        <v>35.946134389799397</v>
      </c>
      <c r="H182" s="255"/>
      <c r="I182" s="259"/>
      <c r="J182" s="255"/>
      <c r="K182" s="259"/>
      <c r="L182" s="248"/>
    </row>
    <row r="183" spans="3:12" ht="15.75" hidden="1">
      <c r="C183" s="252" t="s">
        <v>15</v>
      </c>
      <c r="D183" s="264">
        <v>1046.9846780600001</v>
      </c>
      <c r="E183" s="259">
        <v>78.7197283380996</v>
      </c>
      <c r="F183" s="264">
        <v>85.144481999999996</v>
      </c>
      <c r="G183" s="259">
        <v>32.734313892472798</v>
      </c>
      <c r="H183" s="255"/>
      <c r="I183" s="259"/>
      <c r="J183" s="255"/>
      <c r="K183" s="259"/>
      <c r="L183" s="248"/>
    </row>
    <row r="184" spans="3:12" ht="15.75" hidden="1">
      <c r="C184" s="252" t="s">
        <v>16</v>
      </c>
      <c r="D184" s="264">
        <v>1192.2964852800001</v>
      </c>
      <c r="E184" s="259">
        <v>72.239212063870994</v>
      </c>
      <c r="F184" s="255"/>
      <c r="G184" s="259"/>
      <c r="H184" s="255"/>
      <c r="I184" s="259"/>
      <c r="J184" s="255"/>
      <c r="K184" s="259"/>
      <c r="L184" s="248"/>
    </row>
    <row r="185" spans="3:12" ht="15.75" hidden="1">
      <c r="C185" s="252"/>
      <c r="D185" s="264"/>
      <c r="E185" s="259"/>
      <c r="F185" s="255"/>
      <c r="G185" s="259"/>
      <c r="H185" s="255"/>
      <c r="I185" s="259"/>
      <c r="J185" s="255"/>
      <c r="K185" s="259"/>
      <c r="L185" s="248"/>
    </row>
    <row r="186" spans="3:12" ht="15.75">
      <c r="C186" s="262">
        <v>2010</v>
      </c>
      <c r="D186" s="264"/>
      <c r="E186" s="259"/>
      <c r="F186" s="255"/>
      <c r="G186" s="259"/>
      <c r="H186" s="255"/>
      <c r="I186" s="259"/>
      <c r="J186" s="255"/>
      <c r="K186" s="259"/>
      <c r="L186" s="248"/>
    </row>
    <row r="187" spans="3:12" ht="15.75">
      <c r="C187" s="252"/>
      <c r="D187" s="264"/>
      <c r="E187" s="259"/>
      <c r="F187" s="255"/>
      <c r="G187" s="259"/>
      <c r="H187" s="255"/>
      <c r="I187" s="259"/>
      <c r="J187" s="255"/>
      <c r="K187" s="259"/>
      <c r="L187" s="248"/>
    </row>
    <row r="188" spans="3:12" ht="15.75">
      <c r="C188" s="252" t="s">
        <v>8</v>
      </c>
      <c r="D188" s="264">
        <v>1192.2964852800001</v>
      </c>
      <c r="E188" s="259">
        <v>63.6</v>
      </c>
      <c r="F188" s="265">
        <v>113.831828</v>
      </c>
      <c r="G188" s="259">
        <v>28.117000000000001</v>
      </c>
      <c r="H188" s="255"/>
      <c r="I188" s="259"/>
      <c r="J188" s="255"/>
      <c r="K188" s="259"/>
      <c r="L188" s="248"/>
    </row>
    <row r="189" spans="3:12" ht="15.75">
      <c r="C189" s="252" t="s">
        <v>9</v>
      </c>
      <c r="D189" s="264">
        <v>1220.9977368</v>
      </c>
      <c r="E189" s="259">
        <v>66.8</v>
      </c>
      <c r="F189" s="255">
        <v>119.239356</v>
      </c>
      <c r="G189" s="259">
        <v>23.585000000000001</v>
      </c>
      <c r="H189" s="255"/>
      <c r="I189" s="259"/>
      <c r="J189" s="255"/>
      <c r="K189" s="259"/>
      <c r="L189" s="248"/>
    </row>
    <row r="190" spans="3:12" ht="15.75">
      <c r="C190" s="252" t="s">
        <v>10</v>
      </c>
      <c r="D190" s="264">
        <v>1331.4756602299999</v>
      </c>
      <c r="E190" s="259">
        <v>57.4</v>
      </c>
      <c r="F190" s="255">
        <v>125.49503199999999</v>
      </c>
      <c r="G190" s="259">
        <v>48.735999999999997</v>
      </c>
      <c r="H190" s="255"/>
      <c r="I190" s="259"/>
      <c r="J190" s="255"/>
      <c r="K190" s="259"/>
      <c r="L190" s="248"/>
    </row>
    <row r="191" spans="3:12" ht="15.75">
      <c r="C191" s="252" t="s">
        <v>11</v>
      </c>
      <c r="D191" s="264">
        <v>1402.89328974</v>
      </c>
      <c r="E191" s="259">
        <v>58.6</v>
      </c>
      <c r="F191" s="255">
        <v>164.845373</v>
      </c>
      <c r="G191" s="259">
        <v>22.695</v>
      </c>
      <c r="H191" s="255"/>
      <c r="I191" s="259"/>
      <c r="J191" s="255"/>
      <c r="K191" s="259"/>
      <c r="L191" s="248"/>
    </row>
    <row r="192" spans="3:12" ht="15.75">
      <c r="C192" s="252" t="s">
        <v>337</v>
      </c>
      <c r="D192" s="264">
        <v>1445.34106488</v>
      </c>
      <c r="E192" s="259">
        <v>60.79</v>
      </c>
      <c r="F192" s="255">
        <v>164.13021230999999</v>
      </c>
      <c r="G192" s="259">
        <v>34.646999999999998</v>
      </c>
      <c r="H192" s="255"/>
      <c r="I192" s="259"/>
      <c r="J192" s="255"/>
      <c r="K192" s="259"/>
      <c r="L192" s="248"/>
    </row>
    <row r="193" spans="2:12" ht="15.75">
      <c r="C193" s="252" t="s">
        <v>346</v>
      </c>
      <c r="D193" s="264">
        <v>1486.46</v>
      </c>
      <c r="E193" s="259">
        <v>49.8</v>
      </c>
      <c r="F193" s="255">
        <v>190.19800000000001</v>
      </c>
      <c r="G193" s="259">
        <v>42.6</v>
      </c>
      <c r="H193" s="255"/>
      <c r="I193" s="259"/>
      <c r="J193" s="255"/>
      <c r="K193" s="259"/>
      <c r="L193" s="248"/>
    </row>
    <row r="194" spans="2:12" ht="15.75">
      <c r="C194" s="252" t="s">
        <v>347</v>
      </c>
      <c r="D194" s="264">
        <v>1429.827</v>
      </c>
      <c r="E194" s="259">
        <v>50.2</v>
      </c>
      <c r="F194" s="255">
        <v>248.02969999999999</v>
      </c>
      <c r="G194" s="259">
        <v>27.3</v>
      </c>
      <c r="H194" s="255"/>
      <c r="I194" s="259"/>
      <c r="J194" s="255"/>
      <c r="K194" s="259"/>
      <c r="L194" s="248"/>
    </row>
    <row r="195" spans="2:12" ht="15.75">
      <c r="C195" s="252" t="s">
        <v>12</v>
      </c>
      <c r="D195" s="264">
        <v>1488.355</v>
      </c>
      <c r="E195" s="259">
        <v>51.8</v>
      </c>
      <c r="F195" s="255">
        <v>247.85550000000001</v>
      </c>
      <c r="G195" s="259">
        <v>12.7</v>
      </c>
      <c r="H195" s="255"/>
      <c r="I195" s="259"/>
      <c r="J195" s="255"/>
      <c r="K195" s="259"/>
      <c r="L195" s="248"/>
    </row>
    <row r="196" spans="2:12" ht="15.75">
      <c r="C196" s="252" t="s">
        <v>13</v>
      </c>
      <c r="D196" s="264">
        <v>1587.2929999999999</v>
      </c>
      <c r="E196" s="259">
        <v>56.6</v>
      </c>
      <c r="F196" s="255">
        <v>265.27839999999998</v>
      </c>
      <c r="G196" s="259">
        <v>6.8</v>
      </c>
      <c r="H196" s="255"/>
      <c r="I196" s="259"/>
      <c r="J196" s="255"/>
      <c r="K196" s="259"/>
      <c r="L196" s="248"/>
    </row>
    <row r="197" spans="2:12" ht="15.75">
      <c r="C197" s="252" t="s">
        <v>14</v>
      </c>
      <c r="D197" s="264">
        <v>1786.8</v>
      </c>
      <c r="E197" s="259">
        <v>48.1</v>
      </c>
      <c r="F197" s="255">
        <v>309.38409999999999</v>
      </c>
      <c r="G197" s="259">
        <v>32.5</v>
      </c>
      <c r="H197" s="255"/>
      <c r="I197" s="259"/>
      <c r="J197" s="255"/>
      <c r="K197" s="259"/>
      <c r="L197" s="248"/>
    </row>
    <row r="198" spans="2:12" ht="15.75">
      <c r="C198" s="252" t="s">
        <v>15</v>
      </c>
      <c r="D198" s="264">
        <v>1755</v>
      </c>
      <c r="E198" s="259">
        <v>50</v>
      </c>
      <c r="F198" s="255">
        <v>338.5967</v>
      </c>
      <c r="G198" s="259">
        <v>31.4</v>
      </c>
      <c r="H198" s="255"/>
      <c r="I198" s="259"/>
      <c r="J198" s="255"/>
      <c r="K198" s="259"/>
      <c r="L198" s="248"/>
    </row>
    <row r="199" spans="2:12" ht="15.75">
      <c r="C199" s="252" t="s">
        <v>16</v>
      </c>
      <c r="D199" s="264">
        <v>1761.5</v>
      </c>
      <c r="E199" s="259">
        <v>49.6</v>
      </c>
      <c r="F199" s="255">
        <v>349.80630000000002</v>
      </c>
      <c r="G199" s="259">
        <v>42.3</v>
      </c>
      <c r="H199" s="255"/>
      <c r="I199" s="259"/>
      <c r="J199" s="255"/>
      <c r="K199" s="259"/>
      <c r="L199" s="248"/>
    </row>
    <row r="200" spans="2:12" ht="15.75">
      <c r="C200" s="252"/>
      <c r="D200" s="264"/>
      <c r="E200" s="259"/>
      <c r="F200" s="255"/>
      <c r="G200" s="259"/>
      <c r="H200" s="255"/>
      <c r="I200" s="259"/>
      <c r="J200" s="255"/>
      <c r="K200" s="259"/>
      <c r="L200" s="248"/>
    </row>
    <row r="201" spans="2:12" ht="16.5" thickBot="1">
      <c r="C201" s="256"/>
      <c r="D201" s="256"/>
      <c r="E201" s="256"/>
      <c r="F201" s="256"/>
      <c r="G201" s="256"/>
      <c r="H201" s="256"/>
      <c r="I201" s="256"/>
      <c r="J201" s="256"/>
      <c r="K201" s="259"/>
      <c r="L201" s="248"/>
    </row>
    <row r="202" spans="2:12" ht="16.5" thickTop="1">
      <c r="C202" s="248"/>
      <c r="D202" s="248"/>
      <c r="E202" s="248"/>
      <c r="F202" s="248"/>
      <c r="G202" s="248"/>
      <c r="H202" s="248"/>
      <c r="I202" s="248"/>
      <c r="J202" s="267"/>
      <c r="K202" s="268"/>
      <c r="L202" s="248"/>
    </row>
    <row r="203" spans="2:12">
      <c r="B203" s="269" t="s">
        <v>1149</v>
      </c>
    </row>
  </sheetData>
  <customSheetViews>
    <customSheetView guid="{705E0D18-9A83-42CA-8732-90923BE2EC7D}"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1"/>
      <headerFooter alignWithMargins="0"/>
    </customSheetView>
    <customSheetView guid="{D45E5F9E-4EA6-40A2-8A1D-3AC67FB8CE54}"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2"/>
      <headerFooter alignWithMargins="0"/>
    </customSheetView>
    <customSheetView guid="{098C004C-808F-436E-8F18-182F927479D1}"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3"/>
      <headerFooter alignWithMargins="0"/>
    </customSheetView>
    <customSheetView guid="{89CA84C2-78F5-4B05-8F1D-B7C5F97BCB4E}"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4"/>
      <headerFooter alignWithMargins="0"/>
    </customSheetView>
  </customSheetViews>
  <mergeCells count="6">
    <mergeCell ref="B4:L4"/>
    <mergeCell ref="D9:E9"/>
    <mergeCell ref="F9:G9"/>
    <mergeCell ref="H9:I9"/>
    <mergeCell ref="J9:K9"/>
    <mergeCell ref="C6:I6"/>
  </mergeCells>
  <phoneticPr fontId="52" type="noConversion"/>
  <pageMargins left="0.24" right="0.16" top="0.32" bottom="0.12" header="0.5" footer="0.5"/>
  <pageSetup scale="98" orientation="landscape" horizontalDpi="300" verticalDpi="300" r:id="rId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sheetPr>
  <dimension ref="A2:T486"/>
  <sheetViews>
    <sheetView showOutlineSymbols="0" topLeftCell="C2" zoomScale="60" zoomScaleNormal="55" workbookViewId="0">
      <pane ySplit="13" topLeftCell="A15" activePane="bottomLeft" state="frozen"/>
      <selection activeCell="C2" sqref="C2"/>
      <selection pane="bottomLeft" activeCell="F402" sqref="F402"/>
    </sheetView>
  </sheetViews>
  <sheetFormatPr defaultColWidth="9.6640625" defaultRowHeight="15"/>
  <cols>
    <col min="1" max="1" width="1.6640625" style="49" customWidth="1"/>
    <col min="2" max="2" width="15.44140625" style="49" customWidth="1"/>
    <col min="3" max="3" width="22.6640625" style="49" bestFit="1" customWidth="1"/>
    <col min="4" max="4" width="18.21875" style="49" customWidth="1"/>
    <col min="5" max="5" width="12.77734375" style="49" customWidth="1"/>
    <col min="6" max="6" width="21.5546875" style="49" customWidth="1"/>
    <col min="7" max="7" width="9.77734375" style="49" customWidth="1"/>
    <col min="8" max="8" width="10.6640625" style="49" customWidth="1"/>
    <col min="9" max="9" width="17.21875" style="49" customWidth="1"/>
    <col min="10" max="10" width="17.109375" style="49" customWidth="1"/>
    <col min="11" max="11" width="17" style="49" bestFit="1" customWidth="1"/>
    <col min="12" max="12" width="19.77734375" style="49" bestFit="1" customWidth="1"/>
    <col min="13" max="13" width="23.44140625" style="49" bestFit="1" customWidth="1"/>
    <col min="14" max="16" width="9.6640625" style="49" customWidth="1"/>
    <col min="17" max="17" width="1.77734375" style="49" customWidth="1"/>
    <col min="18" max="33" width="9.6640625" style="49" customWidth="1"/>
    <col min="34" max="34" width="2.77734375" style="49" customWidth="1"/>
    <col min="35" max="16384" width="9.6640625" style="49"/>
  </cols>
  <sheetData>
    <row r="2" spans="1:16" ht="18.75">
      <c r="B2" s="50"/>
      <c r="F2" s="69" t="s">
        <v>253</v>
      </c>
      <c r="G2" s="69"/>
      <c r="H2" s="69"/>
      <c r="I2" s="70"/>
    </row>
    <row r="3" spans="1:16" ht="12.75" customHeight="1">
      <c r="B3" s="50"/>
      <c r="F3" s="69"/>
      <c r="G3" s="69"/>
      <c r="H3" s="69"/>
      <c r="I3" s="70"/>
    </row>
    <row r="4" spans="1:16" ht="19.5" customHeight="1">
      <c r="B4" s="50"/>
      <c r="F4" s="69" t="s">
        <v>689</v>
      </c>
      <c r="G4" s="69"/>
      <c r="H4" s="69"/>
      <c r="I4" s="70"/>
    </row>
    <row r="5" spans="1:16" ht="12.75" customHeight="1" thickBot="1">
      <c r="B5" s="52"/>
      <c r="D5" s="52"/>
      <c r="E5" s="52"/>
      <c r="F5" s="52"/>
      <c r="G5" s="52"/>
      <c r="H5" s="52"/>
      <c r="I5" s="52"/>
      <c r="J5" s="52"/>
      <c r="K5" s="52"/>
      <c r="L5" s="52"/>
      <c r="M5" s="52"/>
      <c r="N5" s="137"/>
    </row>
    <row r="6" spans="1:16" ht="12.75" customHeight="1" thickTop="1">
      <c r="B6" s="53"/>
      <c r="C6" s="72"/>
      <c r="D6" s="53"/>
      <c r="E6" s="54"/>
      <c r="F6" s="54"/>
      <c r="G6" s="54"/>
      <c r="H6" s="54"/>
      <c r="I6" s="54"/>
      <c r="J6" s="54"/>
      <c r="K6" s="54"/>
      <c r="L6" s="54"/>
      <c r="M6" s="72"/>
      <c r="N6" s="138"/>
    </row>
    <row r="7" spans="1:16" ht="19.5" customHeight="1">
      <c r="B7" s="57"/>
      <c r="C7" s="74"/>
      <c r="D7" s="57" t="s">
        <v>261</v>
      </c>
      <c r="E7" s="52"/>
      <c r="F7" s="52"/>
      <c r="G7" s="52"/>
      <c r="H7" s="52"/>
      <c r="I7" s="52"/>
      <c r="J7" s="52"/>
      <c r="K7" s="52"/>
      <c r="L7" s="52"/>
      <c r="M7" s="74"/>
      <c r="N7" s="138"/>
    </row>
    <row r="8" spans="1:16" ht="19.5" customHeight="1" thickBot="1">
      <c r="B8" s="57"/>
      <c r="C8" s="74"/>
      <c r="D8" s="121"/>
      <c r="L8" s="65"/>
      <c r="M8" s="74"/>
      <c r="N8" s="138"/>
    </row>
    <row r="9" spans="1:16" ht="19.5" customHeight="1" thickTop="1">
      <c r="B9" s="55" t="s">
        <v>263</v>
      </c>
      <c r="C9" s="72"/>
      <c r="D9" s="53"/>
      <c r="E9" s="54"/>
      <c r="F9" s="53"/>
      <c r="G9" s="54"/>
      <c r="H9" s="53"/>
      <c r="I9" s="53"/>
      <c r="J9" s="54"/>
      <c r="K9" s="54"/>
      <c r="L9" s="53"/>
      <c r="M9" s="74"/>
      <c r="N9" s="138"/>
    </row>
    <row r="10" spans="1:16" ht="19.5" customHeight="1">
      <c r="B10" s="57"/>
      <c r="C10" s="122" t="s">
        <v>397</v>
      </c>
      <c r="D10" s="57" t="s">
        <v>273</v>
      </c>
      <c r="E10" s="52"/>
      <c r="F10" s="57" t="s">
        <v>277</v>
      </c>
      <c r="G10" s="52"/>
      <c r="H10" s="55" t="s">
        <v>275</v>
      </c>
      <c r="I10" s="55" t="s">
        <v>278</v>
      </c>
      <c r="J10" s="52"/>
      <c r="K10" s="52"/>
      <c r="L10" s="55" t="s">
        <v>272</v>
      </c>
      <c r="M10" s="122" t="s">
        <v>279</v>
      </c>
      <c r="N10" s="138"/>
    </row>
    <row r="11" spans="1:16" ht="19.5" customHeight="1" thickBot="1">
      <c r="B11" s="57"/>
      <c r="C11" s="74"/>
      <c r="D11" s="57"/>
      <c r="E11" s="52"/>
      <c r="F11" s="57"/>
      <c r="G11" s="52"/>
      <c r="H11" s="55" t="s">
        <v>282</v>
      </c>
      <c r="I11" s="57"/>
      <c r="J11" s="52"/>
      <c r="K11" s="52"/>
      <c r="L11" s="55" t="s">
        <v>285</v>
      </c>
      <c r="M11" s="74"/>
      <c r="N11" s="138"/>
    </row>
    <row r="12" spans="1:16" ht="19.5" customHeight="1" thickTop="1" thickBot="1">
      <c r="B12" s="57"/>
      <c r="C12" s="74"/>
      <c r="D12" s="53"/>
      <c r="E12" s="53"/>
      <c r="F12" s="53"/>
      <c r="G12" s="53"/>
      <c r="H12" s="57"/>
      <c r="I12" s="139" t="s">
        <v>288</v>
      </c>
      <c r="J12" s="139" t="s">
        <v>289</v>
      </c>
      <c r="K12" s="140" t="s">
        <v>290</v>
      </c>
      <c r="L12" s="57"/>
      <c r="M12" s="74"/>
      <c r="N12" s="138"/>
    </row>
    <row r="13" spans="1:16" ht="19.5" customHeight="1" thickTop="1">
      <c r="B13" s="57"/>
      <c r="C13" s="74"/>
      <c r="D13" s="55" t="s">
        <v>291</v>
      </c>
      <c r="E13" s="55" t="s">
        <v>293</v>
      </c>
      <c r="F13" s="55" t="s">
        <v>291</v>
      </c>
      <c r="G13" s="55" t="s">
        <v>293</v>
      </c>
      <c r="H13" s="57"/>
      <c r="I13" s="55" t="s">
        <v>290</v>
      </c>
      <c r="J13" s="139" t="s">
        <v>294</v>
      </c>
      <c r="K13" s="139" t="s">
        <v>295</v>
      </c>
      <c r="L13" s="57"/>
      <c r="M13" s="74"/>
      <c r="N13" s="138"/>
    </row>
    <row r="14" spans="1:16" ht="12.75" customHeight="1" thickBot="1">
      <c r="B14" s="57"/>
      <c r="C14" s="74"/>
      <c r="D14" s="57" t="s">
        <v>296</v>
      </c>
      <c r="E14" s="57"/>
      <c r="F14" s="57"/>
      <c r="G14" s="57"/>
      <c r="H14" s="57"/>
      <c r="I14" s="57"/>
      <c r="J14" s="57"/>
      <c r="K14" s="57"/>
      <c r="L14" s="57"/>
      <c r="M14" s="74"/>
      <c r="N14" s="55"/>
      <c r="O14" s="56"/>
      <c r="P14" s="64"/>
    </row>
    <row r="15" spans="1:16" ht="12.75" customHeight="1" thickTop="1">
      <c r="A15" s="76"/>
      <c r="B15" s="59"/>
      <c r="C15" s="77"/>
      <c r="D15" s="59"/>
      <c r="E15" s="59"/>
      <c r="F15" s="59"/>
      <c r="G15" s="59"/>
      <c r="H15" s="59"/>
      <c r="I15" s="59"/>
      <c r="J15" s="59"/>
      <c r="K15" s="59"/>
      <c r="L15" s="59"/>
      <c r="M15" s="77"/>
      <c r="N15" s="55"/>
      <c r="O15" s="56"/>
      <c r="P15" s="56"/>
    </row>
    <row r="16" spans="1:16" ht="17.25" hidden="1" customHeight="1">
      <c r="B16" s="55" t="s">
        <v>297</v>
      </c>
      <c r="C16" s="67" t="s">
        <v>296</v>
      </c>
      <c r="D16" s="66"/>
      <c r="E16" s="66"/>
      <c r="F16" s="66"/>
      <c r="G16" s="66"/>
      <c r="H16" s="66"/>
      <c r="I16" s="66"/>
      <c r="J16" s="66"/>
      <c r="K16" s="66"/>
      <c r="L16" s="66"/>
      <c r="M16" s="67" t="s">
        <v>296</v>
      </c>
      <c r="N16" s="63"/>
      <c r="O16" s="64"/>
      <c r="P16" s="64"/>
    </row>
    <row r="17" spans="1:16" ht="17.25" hidden="1" customHeight="1">
      <c r="B17" s="61"/>
      <c r="C17" s="67"/>
      <c r="D17" s="66"/>
      <c r="E17" s="66"/>
      <c r="F17" s="66"/>
      <c r="G17" s="66"/>
      <c r="H17" s="66"/>
      <c r="I17" s="66"/>
      <c r="J17" s="66"/>
      <c r="K17" s="66"/>
      <c r="L17" s="66"/>
      <c r="M17" s="67"/>
      <c r="N17" s="63"/>
      <c r="O17" s="64"/>
      <c r="P17" s="64"/>
    </row>
    <row r="18" spans="1:16" ht="17.25" hidden="1" customHeight="1">
      <c r="A18" s="80"/>
      <c r="B18" s="61" t="s">
        <v>298</v>
      </c>
      <c r="C18" s="67">
        <v>12107.4</v>
      </c>
      <c r="D18" s="66">
        <v>857.2</v>
      </c>
      <c r="E18" s="66">
        <v>10.6</v>
      </c>
      <c r="F18" s="66">
        <v>447.8</v>
      </c>
      <c r="G18" s="66">
        <v>0</v>
      </c>
      <c r="H18" s="66">
        <v>523.9</v>
      </c>
      <c r="I18" s="66">
        <v>72.900000000000006</v>
      </c>
      <c r="J18" s="66">
        <v>993.1</v>
      </c>
      <c r="K18" s="66">
        <v>750.4</v>
      </c>
      <c r="L18" s="66">
        <v>940.9</v>
      </c>
      <c r="M18" s="67">
        <v>16704.099999999999</v>
      </c>
      <c r="N18" s="66"/>
      <c r="O18" s="68"/>
      <c r="P18" s="64"/>
    </row>
    <row r="19" spans="1:16" ht="17.25" hidden="1" customHeight="1">
      <c r="A19" s="80"/>
      <c r="B19" s="61"/>
      <c r="C19" s="67"/>
      <c r="D19" s="66"/>
      <c r="E19" s="66"/>
      <c r="F19" s="66"/>
      <c r="G19" s="66"/>
      <c r="H19" s="66"/>
      <c r="I19" s="66" t="s">
        <v>296</v>
      </c>
      <c r="J19" s="66"/>
      <c r="K19" s="66"/>
      <c r="L19" s="66"/>
      <c r="M19" s="67"/>
      <c r="N19" s="66"/>
      <c r="O19" s="64"/>
      <c r="P19" s="64"/>
    </row>
    <row r="20" spans="1:16" ht="17.25" hidden="1" customHeight="1">
      <c r="A20" s="80"/>
      <c r="B20" s="61" t="s">
        <v>299</v>
      </c>
      <c r="C20" s="67">
        <v>12133.9</v>
      </c>
      <c r="D20" s="66">
        <v>973.9</v>
      </c>
      <c r="E20" s="66">
        <v>8.6999999999999993</v>
      </c>
      <c r="F20" s="66">
        <v>417.7</v>
      </c>
      <c r="G20" s="66">
        <v>0</v>
      </c>
      <c r="H20" s="66">
        <v>723.3</v>
      </c>
      <c r="I20" s="66">
        <v>87.3</v>
      </c>
      <c r="J20" s="66">
        <v>1020.3</v>
      </c>
      <c r="K20" s="66">
        <v>732.4</v>
      </c>
      <c r="L20" s="66">
        <v>962.4</v>
      </c>
      <c r="M20" s="67">
        <v>17059.8</v>
      </c>
      <c r="N20" s="66"/>
      <c r="O20" s="68"/>
      <c r="P20" s="64"/>
    </row>
    <row r="21" spans="1:16" ht="17.25" hidden="1" customHeight="1">
      <c r="A21" s="80"/>
      <c r="B21" s="61"/>
      <c r="C21" s="67"/>
      <c r="D21" s="66"/>
      <c r="E21" s="66"/>
      <c r="F21" s="66"/>
      <c r="G21" s="66"/>
      <c r="H21" s="66" t="s">
        <v>296</v>
      </c>
      <c r="I21" s="66" t="s">
        <v>296</v>
      </c>
      <c r="J21" s="66"/>
      <c r="K21" s="66"/>
      <c r="L21" s="66"/>
      <c r="M21" s="67"/>
      <c r="N21" s="66"/>
      <c r="O21" s="64"/>
      <c r="P21" s="64"/>
    </row>
    <row r="22" spans="1:16" ht="17.25" hidden="1" customHeight="1">
      <c r="A22" s="80"/>
      <c r="B22" s="61" t="s">
        <v>300</v>
      </c>
      <c r="C22" s="67">
        <v>12584.9</v>
      </c>
      <c r="D22" s="66">
        <v>1050.9000000000001</v>
      </c>
      <c r="E22" s="66">
        <v>9</v>
      </c>
      <c r="F22" s="66">
        <v>611.9</v>
      </c>
      <c r="G22" s="66">
        <v>0</v>
      </c>
      <c r="H22" s="66">
        <v>809.4</v>
      </c>
      <c r="I22" s="66">
        <v>83.1</v>
      </c>
      <c r="J22" s="66">
        <v>1063.8</v>
      </c>
      <c r="K22" s="66">
        <v>613.4</v>
      </c>
      <c r="L22" s="66">
        <v>993.7</v>
      </c>
      <c r="M22" s="67">
        <v>17819.900000000001</v>
      </c>
      <c r="N22" s="66"/>
      <c r="O22" s="68"/>
      <c r="P22" s="64"/>
    </row>
    <row r="23" spans="1:16" ht="17.25" hidden="1" customHeight="1">
      <c r="A23" s="80"/>
      <c r="B23" s="61"/>
      <c r="C23" s="67"/>
      <c r="D23" s="66"/>
      <c r="E23" s="66"/>
      <c r="F23" s="66"/>
      <c r="G23" s="66"/>
      <c r="H23" s="66" t="s">
        <v>296</v>
      </c>
      <c r="I23" s="66" t="s">
        <v>296</v>
      </c>
      <c r="J23" s="66"/>
      <c r="K23" s="66"/>
      <c r="L23" s="66"/>
      <c r="M23" s="67"/>
      <c r="N23" s="66"/>
      <c r="O23" s="64"/>
      <c r="P23" s="64"/>
    </row>
    <row r="24" spans="1:16" ht="17.25" hidden="1" customHeight="1">
      <c r="A24" s="80"/>
      <c r="B24" s="61" t="s">
        <v>301</v>
      </c>
      <c r="C24" s="67">
        <v>12617.1</v>
      </c>
      <c r="D24" s="66">
        <v>1119</v>
      </c>
      <c r="E24" s="66">
        <v>8.1999999999999993</v>
      </c>
      <c r="F24" s="66">
        <v>589.5</v>
      </c>
      <c r="G24" s="66">
        <v>0</v>
      </c>
      <c r="H24" s="66">
        <v>725.3</v>
      </c>
      <c r="I24" s="66">
        <v>94.1</v>
      </c>
      <c r="J24" s="66">
        <v>1107.5</v>
      </c>
      <c r="K24" s="66">
        <v>582.79999999999995</v>
      </c>
      <c r="L24" s="66">
        <v>1016.2</v>
      </c>
      <c r="M24" s="67">
        <v>17859.599999999999</v>
      </c>
      <c r="N24" s="66"/>
      <c r="O24" s="68"/>
      <c r="P24" s="64"/>
    </row>
    <row r="25" spans="1:16" ht="17.25" hidden="1" customHeight="1">
      <c r="A25" s="80"/>
      <c r="B25" s="61"/>
      <c r="C25" s="67"/>
      <c r="D25" s="66"/>
      <c r="E25" s="66"/>
      <c r="F25" s="66"/>
      <c r="G25" s="66"/>
      <c r="H25" s="66" t="s">
        <v>296</v>
      </c>
      <c r="I25" s="66" t="s">
        <v>296</v>
      </c>
      <c r="J25" s="66"/>
      <c r="K25" s="66"/>
      <c r="L25" s="66"/>
      <c r="M25" s="67"/>
      <c r="N25" s="66"/>
      <c r="O25" s="64"/>
      <c r="P25" s="64"/>
    </row>
    <row r="26" spans="1:16" ht="17.25" hidden="1" customHeight="1">
      <c r="A26" s="80"/>
      <c r="B26" s="61" t="s">
        <v>302</v>
      </c>
      <c r="C26" s="67">
        <v>13545.1</v>
      </c>
      <c r="D26" s="66">
        <v>1210.8</v>
      </c>
      <c r="E26" s="66">
        <v>8.1</v>
      </c>
      <c r="F26" s="66">
        <v>619.6</v>
      </c>
      <c r="G26" s="66">
        <v>0</v>
      </c>
      <c r="H26" s="66">
        <v>928.5</v>
      </c>
      <c r="I26" s="66">
        <v>95.2</v>
      </c>
      <c r="J26" s="66">
        <v>1143</v>
      </c>
      <c r="K26" s="66">
        <v>558.20000000000005</v>
      </c>
      <c r="L26" s="66">
        <v>1040.2</v>
      </c>
      <c r="M26" s="67">
        <v>19148.8</v>
      </c>
      <c r="N26" s="66"/>
      <c r="O26" s="68"/>
      <c r="P26" s="64"/>
    </row>
    <row r="27" spans="1:16" ht="17.25" hidden="1" customHeight="1">
      <c r="A27" s="80"/>
      <c r="B27" s="61"/>
      <c r="C27" s="67"/>
      <c r="D27" s="66"/>
      <c r="E27" s="66"/>
      <c r="F27" s="66"/>
      <c r="G27" s="66"/>
      <c r="H27" s="66" t="s">
        <v>296</v>
      </c>
      <c r="I27" s="66" t="s">
        <v>296</v>
      </c>
      <c r="J27" s="66"/>
      <c r="K27" s="66"/>
      <c r="L27" s="66"/>
      <c r="M27" s="67"/>
      <c r="N27" s="66"/>
      <c r="O27" s="64"/>
      <c r="P27" s="64"/>
    </row>
    <row r="28" spans="1:16" ht="17.25" hidden="1" customHeight="1">
      <c r="A28" s="80"/>
      <c r="B28" s="61" t="s">
        <v>303</v>
      </c>
      <c r="C28" s="67">
        <v>13347.2</v>
      </c>
      <c r="D28" s="66">
        <v>1164.8</v>
      </c>
      <c r="E28" s="66">
        <v>5.2</v>
      </c>
      <c r="F28" s="66">
        <f>690.9-50</f>
        <v>640.9</v>
      </c>
      <c r="G28" s="66">
        <v>0</v>
      </c>
      <c r="H28" s="66">
        <v>876</v>
      </c>
      <c r="I28" s="66">
        <v>74</v>
      </c>
      <c r="J28" s="66">
        <v>1180</v>
      </c>
      <c r="K28" s="66">
        <v>521.29999999999995</v>
      </c>
      <c r="L28" s="66">
        <v>1063.2</v>
      </c>
      <c r="M28" s="67">
        <v>18872.599999999999</v>
      </c>
      <c r="N28" s="66"/>
      <c r="O28" s="68"/>
      <c r="P28" s="68"/>
    </row>
    <row r="29" spans="1:16" ht="17.25" hidden="1" customHeight="1">
      <c r="A29" s="80"/>
      <c r="B29" s="61"/>
      <c r="C29" s="67"/>
      <c r="D29" s="66"/>
      <c r="E29" s="66"/>
      <c r="F29" s="66"/>
      <c r="G29" s="66"/>
      <c r="H29" s="66" t="s">
        <v>296</v>
      </c>
      <c r="I29" s="66" t="s">
        <v>296</v>
      </c>
      <c r="J29" s="66"/>
      <c r="K29" s="66"/>
      <c r="L29" s="66"/>
      <c r="M29" s="67"/>
      <c r="N29" s="66"/>
      <c r="O29" s="64"/>
      <c r="P29" s="64"/>
    </row>
    <row r="30" spans="1:16" ht="17.25" hidden="1" customHeight="1">
      <c r="A30" s="80"/>
      <c r="B30" s="61" t="s">
        <v>304</v>
      </c>
      <c r="C30" s="67">
        <v>14984.8</v>
      </c>
      <c r="D30" s="66">
        <v>1482.1</v>
      </c>
      <c r="E30" s="66">
        <v>3.3</v>
      </c>
      <c r="F30" s="66">
        <f>700.3-158</f>
        <v>542.29999999999995</v>
      </c>
      <c r="G30" s="66">
        <v>0</v>
      </c>
      <c r="H30" s="66">
        <v>679.4</v>
      </c>
      <c r="I30" s="66">
        <v>104.2</v>
      </c>
      <c r="J30" s="66">
        <v>1212.9000000000001</v>
      </c>
      <c r="K30" s="66">
        <v>512.20000000000005</v>
      </c>
      <c r="L30" s="66">
        <v>1110.5999999999999</v>
      </c>
      <c r="M30" s="67">
        <v>20631.8</v>
      </c>
      <c r="N30" s="66"/>
      <c r="O30" s="68"/>
      <c r="P30" s="64"/>
    </row>
    <row r="31" spans="1:16" ht="17.25" hidden="1" customHeight="1">
      <c r="A31" s="80"/>
      <c r="B31" s="61"/>
      <c r="C31" s="67"/>
      <c r="D31" s="66"/>
      <c r="E31" s="66"/>
      <c r="F31" s="66"/>
      <c r="G31" s="66"/>
      <c r="H31" s="66" t="s">
        <v>296</v>
      </c>
      <c r="I31" s="66" t="s">
        <v>296</v>
      </c>
      <c r="J31" s="66"/>
      <c r="K31" s="66"/>
      <c r="L31" s="66"/>
      <c r="M31" s="67"/>
      <c r="N31" s="66"/>
      <c r="O31" s="64"/>
      <c r="P31" s="64"/>
    </row>
    <row r="32" spans="1:16" ht="17.25" hidden="1" customHeight="1">
      <c r="A32" s="80"/>
      <c r="B32" s="61" t="s">
        <v>305</v>
      </c>
      <c r="C32" s="67">
        <v>14563.6</v>
      </c>
      <c r="D32" s="66">
        <v>1498.3</v>
      </c>
      <c r="E32" s="66">
        <v>4.5</v>
      </c>
      <c r="F32" s="66">
        <f>1001.7-215.1</f>
        <v>786.6</v>
      </c>
      <c r="G32" s="66">
        <v>0</v>
      </c>
      <c r="H32" s="66">
        <v>901.5</v>
      </c>
      <c r="I32" s="66">
        <v>247.2</v>
      </c>
      <c r="J32" s="66">
        <v>1247.9000000000001</v>
      </c>
      <c r="K32" s="66">
        <v>521.79999999999995</v>
      </c>
      <c r="L32" s="66">
        <v>1136.9000000000001</v>
      </c>
      <c r="M32" s="67">
        <v>20908.2</v>
      </c>
      <c r="N32" s="66"/>
      <c r="O32" s="68"/>
      <c r="P32" s="64"/>
    </row>
    <row r="33" spans="1:16" ht="17.25" hidden="1" customHeight="1">
      <c r="A33" s="80"/>
      <c r="B33" s="61"/>
      <c r="C33" s="67"/>
      <c r="D33" s="66"/>
      <c r="E33" s="66"/>
      <c r="F33" s="66"/>
      <c r="G33" s="66"/>
      <c r="H33" s="66" t="s">
        <v>296</v>
      </c>
      <c r="I33" s="66" t="s">
        <v>296</v>
      </c>
      <c r="J33" s="66"/>
      <c r="K33" s="66"/>
      <c r="L33" s="66"/>
      <c r="M33" s="67"/>
      <c r="N33" s="66"/>
      <c r="O33" s="64"/>
      <c r="P33" s="64"/>
    </row>
    <row r="34" spans="1:16" ht="17.25" hidden="1" customHeight="1">
      <c r="A34" s="80"/>
      <c r="B34" s="61" t="s">
        <v>306</v>
      </c>
      <c r="C34" s="67">
        <v>15499.5</v>
      </c>
      <c r="D34" s="66">
        <v>807.1</v>
      </c>
      <c r="E34" s="66">
        <v>4.5</v>
      </c>
      <c r="F34" s="66">
        <f>783.2-129.5</f>
        <v>653.70000000000005</v>
      </c>
      <c r="G34" s="66">
        <v>0</v>
      </c>
      <c r="H34" s="66">
        <v>687.9</v>
      </c>
      <c r="I34" s="66">
        <v>229.4</v>
      </c>
      <c r="J34" s="66">
        <v>1287.3</v>
      </c>
      <c r="K34" s="66">
        <v>503.5</v>
      </c>
      <c r="L34" s="66">
        <v>1160.3</v>
      </c>
      <c r="M34" s="67">
        <v>20833.099999999999</v>
      </c>
      <c r="N34" s="66"/>
      <c r="O34" s="68"/>
      <c r="P34" s="64"/>
    </row>
    <row r="35" spans="1:16" ht="17.25" hidden="1" customHeight="1">
      <c r="A35" s="80"/>
      <c r="B35" s="61"/>
      <c r="C35" s="67"/>
      <c r="D35" s="66"/>
      <c r="E35" s="66"/>
      <c r="F35" s="66"/>
      <c r="G35" s="66"/>
      <c r="H35" s="66" t="s">
        <v>296</v>
      </c>
      <c r="I35" s="66" t="s">
        <v>296</v>
      </c>
      <c r="J35" s="66"/>
      <c r="K35" s="66"/>
      <c r="L35" s="66"/>
      <c r="M35" s="67"/>
      <c r="N35" s="66"/>
      <c r="O35" s="64"/>
      <c r="P35" s="64"/>
    </row>
    <row r="36" spans="1:16" ht="17.25" hidden="1" customHeight="1">
      <c r="A36" s="80"/>
      <c r="B36" s="61" t="s">
        <v>307</v>
      </c>
      <c r="C36" s="67">
        <v>15593.1</v>
      </c>
      <c r="D36" s="66">
        <v>683.5</v>
      </c>
      <c r="E36" s="66">
        <v>7.5</v>
      </c>
      <c r="F36" s="66">
        <f>316.1-25.5</f>
        <v>290.60000000000002</v>
      </c>
      <c r="G36" s="66">
        <v>0</v>
      </c>
      <c r="H36" s="66">
        <v>787.3</v>
      </c>
      <c r="I36" s="66">
        <v>304</v>
      </c>
      <c r="J36" s="66">
        <v>1318.8</v>
      </c>
      <c r="K36" s="66">
        <v>509.5</v>
      </c>
      <c r="L36" s="66">
        <v>1186.8</v>
      </c>
      <c r="M36" s="67">
        <v>20681.2</v>
      </c>
      <c r="N36" s="66"/>
      <c r="O36" s="68"/>
      <c r="P36" s="64"/>
    </row>
    <row r="37" spans="1:16" ht="17.25" hidden="1" customHeight="1">
      <c r="A37" s="80"/>
      <c r="B37" s="61"/>
      <c r="C37" s="67"/>
      <c r="D37" s="66"/>
      <c r="E37" s="66"/>
      <c r="F37" s="66"/>
      <c r="G37" s="66"/>
      <c r="H37" s="66" t="s">
        <v>296</v>
      </c>
      <c r="I37" s="66" t="s">
        <v>296</v>
      </c>
      <c r="J37" s="66"/>
      <c r="K37" s="66"/>
      <c r="L37" s="66"/>
      <c r="M37" s="67"/>
      <c r="N37" s="66"/>
      <c r="O37" s="64"/>
      <c r="P37" s="64"/>
    </row>
    <row r="38" spans="1:16" ht="17.25" hidden="1" customHeight="1">
      <c r="A38" s="80"/>
      <c r="B38" s="61" t="s">
        <v>308</v>
      </c>
      <c r="C38" s="67">
        <v>16469.7</v>
      </c>
      <c r="D38" s="66">
        <v>955.2</v>
      </c>
      <c r="E38" s="66">
        <v>3</v>
      </c>
      <c r="F38" s="66">
        <f>809.9-25.5</f>
        <v>784.4</v>
      </c>
      <c r="G38" s="66">
        <v>0</v>
      </c>
      <c r="H38" s="66">
        <v>998.8</v>
      </c>
      <c r="I38" s="66">
        <v>325.7</v>
      </c>
      <c r="J38" s="66">
        <v>1350.3</v>
      </c>
      <c r="K38" s="66">
        <v>522.1</v>
      </c>
      <c r="L38" s="66">
        <v>1196.5999999999999</v>
      </c>
      <c r="M38" s="67">
        <v>22606.3</v>
      </c>
      <c r="N38" s="66"/>
      <c r="O38" s="68"/>
      <c r="P38" s="64"/>
    </row>
    <row r="39" spans="1:16" ht="17.25" hidden="1" customHeight="1">
      <c r="A39" s="80"/>
      <c r="B39" s="61"/>
      <c r="C39" s="67"/>
      <c r="D39" s="66"/>
      <c r="E39" s="66"/>
      <c r="F39" s="66"/>
      <c r="G39" s="66"/>
      <c r="H39" s="66" t="s">
        <v>296</v>
      </c>
      <c r="I39" s="66" t="s">
        <v>296</v>
      </c>
      <c r="J39" s="66"/>
      <c r="K39" s="66"/>
      <c r="L39" s="66"/>
      <c r="M39" s="67"/>
      <c r="N39" s="66"/>
      <c r="O39" s="64"/>
      <c r="P39" s="64"/>
    </row>
    <row r="40" spans="1:16" ht="17.25" hidden="1" customHeight="1">
      <c r="A40" s="80"/>
      <c r="B40" s="61" t="s">
        <v>311</v>
      </c>
      <c r="C40" s="67">
        <v>16009.7</v>
      </c>
      <c r="D40" s="66">
        <v>856</v>
      </c>
      <c r="E40" s="66">
        <v>3.9</v>
      </c>
      <c r="F40" s="66">
        <f>754-15-20</f>
        <v>719</v>
      </c>
      <c r="G40" s="66">
        <v>0</v>
      </c>
      <c r="H40" s="66">
        <v>1062.7</v>
      </c>
      <c r="I40" s="66">
        <v>412.6</v>
      </c>
      <c r="J40" s="66">
        <v>1389</v>
      </c>
      <c r="K40" s="66">
        <v>502.4</v>
      </c>
      <c r="L40" s="66">
        <v>1215.0999999999999</v>
      </c>
      <c r="M40" s="67">
        <v>22170.5</v>
      </c>
      <c r="N40" s="66"/>
      <c r="O40" s="68"/>
      <c r="P40" s="64"/>
    </row>
    <row r="41" spans="1:16" ht="17.25" hidden="1" customHeight="1">
      <c r="A41" s="80"/>
      <c r="B41" s="57"/>
      <c r="C41" s="67"/>
      <c r="D41" s="66"/>
      <c r="E41" s="66"/>
      <c r="F41" s="66"/>
      <c r="G41" s="66"/>
      <c r="H41" s="66"/>
      <c r="I41" s="66" t="s">
        <v>296</v>
      </c>
      <c r="J41" s="66"/>
      <c r="K41" s="66"/>
      <c r="L41" s="66"/>
      <c r="M41" s="67" t="s">
        <v>296</v>
      </c>
      <c r="N41" s="63"/>
      <c r="O41" s="64"/>
      <c r="P41" s="64"/>
    </row>
    <row r="42" spans="1:16" ht="17.25" hidden="1" customHeight="1">
      <c r="A42" s="80"/>
      <c r="B42" s="55" t="s">
        <v>312</v>
      </c>
      <c r="C42" s="67" t="s">
        <v>296</v>
      </c>
      <c r="D42" s="66"/>
      <c r="E42" s="66"/>
      <c r="F42" s="66" t="s">
        <v>296</v>
      </c>
      <c r="G42" s="66"/>
      <c r="H42" s="66"/>
      <c r="I42" s="66" t="s">
        <v>296</v>
      </c>
      <c r="J42" s="66"/>
      <c r="K42" s="66"/>
      <c r="L42" s="66"/>
      <c r="M42" s="67" t="s">
        <v>296</v>
      </c>
      <c r="N42" s="63"/>
      <c r="O42" s="64"/>
      <c r="P42" s="64"/>
    </row>
    <row r="43" spans="1:16" ht="17.25" hidden="1" customHeight="1">
      <c r="A43" s="80"/>
      <c r="B43" s="57"/>
      <c r="C43" s="67"/>
      <c r="D43" s="66"/>
      <c r="E43" s="66"/>
      <c r="F43" s="66"/>
      <c r="G43" s="66"/>
      <c r="H43" s="66"/>
      <c r="I43" s="66" t="s">
        <v>296</v>
      </c>
      <c r="J43" s="66"/>
      <c r="K43" s="66"/>
      <c r="L43" s="66"/>
      <c r="M43" s="67"/>
      <c r="N43" s="63"/>
      <c r="O43" s="64"/>
      <c r="P43" s="64"/>
    </row>
    <row r="44" spans="1:16" ht="17.25" hidden="1" customHeight="1">
      <c r="A44" s="80"/>
      <c r="B44" s="61" t="s">
        <v>298</v>
      </c>
      <c r="C44" s="67">
        <v>16126.8</v>
      </c>
      <c r="D44" s="66">
        <v>725</v>
      </c>
      <c r="E44" s="66">
        <v>4.8</v>
      </c>
      <c r="F44" s="66">
        <f>385.5-333</f>
        <v>52.5</v>
      </c>
      <c r="G44" s="66">
        <v>0</v>
      </c>
      <c r="H44" s="66">
        <v>819.8</v>
      </c>
      <c r="I44" s="66">
        <v>372.3</v>
      </c>
      <c r="J44" s="66">
        <v>1430</v>
      </c>
      <c r="K44" s="66">
        <v>510.6</v>
      </c>
      <c r="L44" s="66">
        <v>1269.5</v>
      </c>
      <c r="M44" s="67">
        <v>21311.3</v>
      </c>
      <c r="N44" s="66"/>
      <c r="O44" s="68"/>
      <c r="P44" s="68"/>
    </row>
    <row r="45" spans="1:16" ht="17.25" hidden="1" customHeight="1">
      <c r="A45" s="80"/>
      <c r="B45" s="61"/>
      <c r="C45" s="67"/>
      <c r="D45" s="66"/>
      <c r="E45" s="66"/>
      <c r="F45" s="66"/>
      <c r="G45" s="66"/>
      <c r="H45" s="66"/>
      <c r="I45" s="66" t="s">
        <v>296</v>
      </c>
      <c r="J45" s="66"/>
      <c r="K45" s="66"/>
      <c r="L45" s="66"/>
      <c r="M45" s="67"/>
      <c r="N45" s="66"/>
      <c r="O45" s="64"/>
      <c r="P45" s="64"/>
    </row>
    <row r="46" spans="1:16" ht="17.25" hidden="1" customHeight="1">
      <c r="A46" s="80"/>
      <c r="B46" s="61" t="s">
        <v>299</v>
      </c>
      <c r="C46" s="67">
        <v>15662</v>
      </c>
      <c r="D46" s="66">
        <v>969.9</v>
      </c>
      <c r="E46" s="66">
        <v>3.2</v>
      </c>
      <c r="F46" s="66">
        <f>688.9-303</f>
        <v>385.9</v>
      </c>
      <c r="G46" s="66">
        <v>0</v>
      </c>
      <c r="H46" s="66">
        <v>677.8</v>
      </c>
      <c r="I46" s="66">
        <v>601.79999999999995</v>
      </c>
      <c r="J46" s="66">
        <v>1457.7</v>
      </c>
      <c r="K46" s="66">
        <v>551.9</v>
      </c>
      <c r="L46" s="66">
        <v>1282.7</v>
      </c>
      <c r="M46" s="67">
        <v>21592.799999999999</v>
      </c>
      <c r="N46" s="66"/>
      <c r="O46" s="68"/>
      <c r="P46" s="64"/>
    </row>
    <row r="47" spans="1:16" ht="17.25" hidden="1" customHeight="1">
      <c r="A47" s="80"/>
      <c r="B47" s="61"/>
      <c r="C47" s="67"/>
      <c r="D47" s="66"/>
      <c r="E47" s="66"/>
      <c r="F47" s="66"/>
      <c r="G47" s="66"/>
      <c r="H47" s="66" t="s">
        <v>296</v>
      </c>
      <c r="I47" s="66" t="s">
        <v>296</v>
      </c>
      <c r="J47" s="66"/>
      <c r="K47" s="66"/>
      <c r="L47" s="66"/>
      <c r="M47" s="67"/>
      <c r="N47" s="66"/>
      <c r="O47" s="64"/>
      <c r="P47" s="64"/>
    </row>
    <row r="48" spans="1:16" ht="17.25" hidden="1" customHeight="1">
      <c r="A48" s="80"/>
      <c r="B48" s="61" t="s">
        <v>300</v>
      </c>
      <c r="C48" s="67">
        <v>16415.5</v>
      </c>
      <c r="D48" s="66">
        <v>567.20000000000005</v>
      </c>
      <c r="E48" s="66">
        <v>4.5999999999999996</v>
      </c>
      <c r="F48" s="66">
        <v>737.7</v>
      </c>
      <c r="G48" s="66">
        <v>0</v>
      </c>
      <c r="H48" s="66">
        <v>758.7</v>
      </c>
      <c r="I48" s="66">
        <v>1082.9000000000001</v>
      </c>
      <c r="J48" s="66">
        <v>1486.2</v>
      </c>
      <c r="K48" s="66">
        <v>512.29999999999995</v>
      </c>
      <c r="L48" s="66">
        <v>1300.0999999999999</v>
      </c>
      <c r="M48" s="67">
        <v>22865.1</v>
      </c>
      <c r="N48" s="66"/>
      <c r="O48" s="68"/>
      <c r="P48" s="64"/>
    </row>
    <row r="49" spans="1:16" ht="17.25" hidden="1" customHeight="1">
      <c r="A49" s="80"/>
      <c r="B49" s="61"/>
      <c r="C49" s="67"/>
      <c r="D49" s="66"/>
      <c r="E49" s="66"/>
      <c r="F49" s="66"/>
      <c r="G49" s="66"/>
      <c r="H49" s="66" t="s">
        <v>296</v>
      </c>
      <c r="I49" s="66" t="s">
        <v>296</v>
      </c>
      <c r="J49" s="66"/>
      <c r="K49" s="66"/>
      <c r="L49" s="66"/>
      <c r="M49" s="67"/>
      <c r="N49" s="66"/>
      <c r="O49" s="64"/>
      <c r="P49" s="64"/>
    </row>
    <row r="50" spans="1:16" ht="17.25" hidden="1" customHeight="1">
      <c r="A50" s="80"/>
      <c r="B50" s="61" t="s">
        <v>301</v>
      </c>
      <c r="C50" s="67">
        <v>17120.400000000001</v>
      </c>
      <c r="D50" s="66">
        <v>288.60000000000002</v>
      </c>
      <c r="E50" s="66">
        <v>2.4</v>
      </c>
      <c r="F50" s="66">
        <f>1325.1-50</f>
        <v>1275.0999999999999</v>
      </c>
      <c r="G50" s="66">
        <v>0</v>
      </c>
      <c r="H50" s="66">
        <v>823.6</v>
      </c>
      <c r="I50" s="66">
        <v>1332.9</v>
      </c>
      <c r="J50" s="66">
        <v>1529.3</v>
      </c>
      <c r="K50" s="66">
        <v>504.8</v>
      </c>
      <c r="L50" s="66">
        <v>1316.3</v>
      </c>
      <c r="M50" s="67">
        <v>24193.4</v>
      </c>
      <c r="N50" s="66"/>
      <c r="O50" s="68"/>
      <c r="P50" s="68"/>
    </row>
    <row r="51" spans="1:16" ht="17.25" hidden="1" customHeight="1">
      <c r="A51" s="80"/>
      <c r="B51" s="61"/>
      <c r="C51" s="67"/>
      <c r="D51" s="66"/>
      <c r="E51" s="66"/>
      <c r="F51" s="66"/>
      <c r="G51" s="66"/>
      <c r="H51" s="66" t="s">
        <v>296</v>
      </c>
      <c r="I51" s="66" t="s">
        <v>296</v>
      </c>
      <c r="J51" s="66"/>
      <c r="K51" s="66"/>
      <c r="L51" s="66"/>
      <c r="M51" s="67"/>
      <c r="N51" s="66"/>
      <c r="O51" s="64"/>
      <c r="P51" s="64"/>
    </row>
    <row r="52" spans="1:16" ht="17.25" hidden="1" customHeight="1">
      <c r="A52" s="80"/>
      <c r="B52" s="61" t="s">
        <v>302</v>
      </c>
      <c r="C52" s="67">
        <v>17184.8</v>
      </c>
      <c r="D52" s="66">
        <v>1183.5999999999999</v>
      </c>
      <c r="E52" s="66">
        <v>2.7</v>
      </c>
      <c r="F52" s="66">
        <f>271.3-122.5</f>
        <v>148.80000000000001</v>
      </c>
      <c r="G52" s="66">
        <v>0</v>
      </c>
      <c r="H52" s="66">
        <v>822.9</v>
      </c>
      <c r="I52" s="66">
        <v>1415.7</v>
      </c>
      <c r="J52" s="66">
        <v>1568.3</v>
      </c>
      <c r="K52" s="66">
        <v>504.1</v>
      </c>
      <c r="L52" s="66">
        <v>1326.4</v>
      </c>
      <c r="M52" s="67">
        <v>24157.200000000001</v>
      </c>
      <c r="N52" s="66"/>
      <c r="O52" s="68"/>
      <c r="P52" s="64"/>
    </row>
    <row r="53" spans="1:16" ht="17.25" hidden="1" customHeight="1">
      <c r="A53" s="80"/>
      <c r="B53" s="61"/>
      <c r="C53" s="67"/>
      <c r="D53" s="66"/>
      <c r="E53" s="66"/>
      <c r="F53" s="66"/>
      <c r="G53" s="66"/>
      <c r="H53" s="66" t="s">
        <v>296</v>
      </c>
      <c r="I53" s="66" t="s">
        <v>296</v>
      </c>
      <c r="J53" s="66"/>
      <c r="K53" s="66"/>
      <c r="L53" s="66"/>
      <c r="M53" s="67"/>
      <c r="N53" s="66"/>
      <c r="O53" s="64"/>
      <c r="P53" s="64"/>
    </row>
    <row r="54" spans="1:16" ht="17.25" hidden="1" customHeight="1">
      <c r="A54" s="80"/>
      <c r="B54" s="61" t="s">
        <v>303</v>
      </c>
      <c r="C54" s="67">
        <v>17982.5</v>
      </c>
      <c r="D54" s="66">
        <v>491.5</v>
      </c>
      <c r="E54" s="66">
        <v>3.5</v>
      </c>
      <c r="F54" s="66">
        <v>162.6</v>
      </c>
      <c r="G54" s="66">
        <v>0</v>
      </c>
      <c r="H54" s="66">
        <v>1156.9000000000001</v>
      </c>
      <c r="I54" s="66">
        <v>1082.2</v>
      </c>
      <c r="J54" s="66">
        <v>1613.1</v>
      </c>
      <c r="K54" s="66">
        <v>486.5</v>
      </c>
      <c r="L54" s="66">
        <v>1343.2</v>
      </c>
      <c r="M54" s="67">
        <v>24321.9</v>
      </c>
      <c r="N54" s="66"/>
      <c r="O54" s="68"/>
      <c r="P54" s="64"/>
    </row>
    <row r="55" spans="1:16" ht="17.25" hidden="1" customHeight="1">
      <c r="A55" s="80"/>
      <c r="B55" s="61"/>
      <c r="C55" s="67"/>
      <c r="D55" s="66"/>
      <c r="E55" s="66"/>
      <c r="F55" s="66"/>
      <c r="G55" s="66"/>
      <c r="H55" s="66" t="s">
        <v>296</v>
      </c>
      <c r="I55" s="66" t="s">
        <v>296</v>
      </c>
      <c r="J55" s="66"/>
      <c r="K55" s="66"/>
      <c r="L55" s="66"/>
      <c r="M55" s="67"/>
      <c r="N55" s="66"/>
      <c r="O55" s="64"/>
      <c r="P55" s="64"/>
    </row>
    <row r="56" spans="1:16" ht="17.25" hidden="1" customHeight="1">
      <c r="A56" s="80"/>
      <c r="B56" s="61" t="s">
        <v>304</v>
      </c>
      <c r="C56" s="67">
        <v>19447.5</v>
      </c>
      <c r="D56" s="66">
        <v>546.70000000000005</v>
      </c>
      <c r="E56" s="66">
        <v>4.5</v>
      </c>
      <c r="F56" s="66">
        <v>127</v>
      </c>
      <c r="G56" s="66">
        <v>0</v>
      </c>
      <c r="H56" s="66">
        <v>1149.0999999999999</v>
      </c>
      <c r="I56" s="66">
        <v>1253.3</v>
      </c>
      <c r="J56" s="66">
        <v>1658.8</v>
      </c>
      <c r="K56" s="66">
        <v>463.9</v>
      </c>
      <c r="L56" s="66">
        <v>1399.6</v>
      </c>
      <c r="M56" s="67">
        <v>26049.4</v>
      </c>
      <c r="N56" s="66"/>
      <c r="O56" s="68"/>
      <c r="P56" s="64"/>
    </row>
    <row r="57" spans="1:16" ht="17.25" hidden="1" customHeight="1">
      <c r="A57" s="80"/>
      <c r="B57" s="61"/>
      <c r="C57" s="67"/>
      <c r="D57" s="66"/>
      <c r="E57" s="66"/>
      <c r="F57" s="66"/>
      <c r="G57" s="66"/>
      <c r="H57" s="66"/>
      <c r="I57" s="66" t="s">
        <v>296</v>
      </c>
      <c r="J57" s="66"/>
      <c r="K57" s="66"/>
      <c r="L57" s="66"/>
      <c r="M57" s="67"/>
      <c r="N57" s="66"/>
      <c r="O57" s="64"/>
      <c r="P57" s="64"/>
    </row>
    <row r="58" spans="1:16" ht="17.25" hidden="1" customHeight="1">
      <c r="A58" s="80"/>
      <c r="B58" s="61" t="s">
        <v>305</v>
      </c>
      <c r="C58" s="67">
        <v>20679.7</v>
      </c>
      <c r="D58" s="66">
        <v>746.7</v>
      </c>
      <c r="E58" s="66">
        <v>2.6</v>
      </c>
      <c r="F58" s="66">
        <v>122.9</v>
      </c>
      <c r="G58" s="66">
        <v>0</v>
      </c>
      <c r="H58" s="66">
        <v>1262.7</v>
      </c>
      <c r="I58" s="66">
        <v>1115.5</v>
      </c>
      <c r="J58" s="66">
        <v>1714.6</v>
      </c>
      <c r="K58" s="66">
        <v>465.8</v>
      </c>
      <c r="L58" s="66">
        <v>1425.8</v>
      </c>
      <c r="M58" s="67">
        <v>27536.400000000001</v>
      </c>
      <c r="N58" s="66"/>
      <c r="O58" s="68"/>
      <c r="P58" s="64"/>
    </row>
    <row r="59" spans="1:16" ht="17.25" hidden="1" customHeight="1">
      <c r="A59" s="80"/>
      <c r="B59" s="61"/>
      <c r="C59" s="67"/>
      <c r="D59" s="66"/>
      <c r="E59" s="66"/>
      <c r="F59" s="66"/>
      <c r="G59" s="66"/>
      <c r="H59" s="66" t="s">
        <v>296</v>
      </c>
      <c r="I59" s="66" t="s">
        <v>296</v>
      </c>
      <c r="J59" s="66"/>
      <c r="K59" s="66"/>
      <c r="L59" s="66"/>
      <c r="M59" s="67"/>
      <c r="N59" s="66"/>
      <c r="O59" s="64"/>
      <c r="P59" s="64"/>
    </row>
    <row r="60" spans="1:16" ht="17.25" hidden="1" customHeight="1">
      <c r="A60" s="80"/>
      <c r="B60" s="61" t="s">
        <v>306</v>
      </c>
      <c r="C60" s="67">
        <v>20727.900000000001</v>
      </c>
      <c r="D60" s="66">
        <v>720.5</v>
      </c>
      <c r="E60" s="66">
        <v>2.9</v>
      </c>
      <c r="F60" s="66">
        <v>196.3</v>
      </c>
      <c r="G60" s="66">
        <v>0</v>
      </c>
      <c r="H60" s="66">
        <v>1275.0999999999999</v>
      </c>
      <c r="I60" s="66">
        <v>988.1</v>
      </c>
      <c r="J60" s="66">
        <v>1763.1</v>
      </c>
      <c r="K60" s="66">
        <v>457.1</v>
      </c>
      <c r="L60" s="66">
        <v>1462.6</v>
      </c>
      <c r="M60" s="67">
        <v>27594.400000000001</v>
      </c>
      <c r="N60" s="66"/>
      <c r="O60" s="68"/>
      <c r="P60" s="64"/>
    </row>
    <row r="61" spans="1:16" ht="17.25" hidden="1" customHeight="1">
      <c r="A61" s="80"/>
      <c r="B61" s="61"/>
      <c r="C61" s="67"/>
      <c r="D61" s="66"/>
      <c r="E61" s="66"/>
      <c r="F61" s="66"/>
      <c r="G61" s="66"/>
      <c r="H61" s="66"/>
      <c r="I61" s="66" t="s">
        <v>296</v>
      </c>
      <c r="J61" s="66"/>
      <c r="K61" s="66"/>
      <c r="L61" s="66"/>
      <c r="M61" s="67"/>
      <c r="N61" s="66"/>
      <c r="O61" s="64"/>
      <c r="P61" s="64"/>
    </row>
    <row r="62" spans="1:16" ht="17.25" hidden="1" customHeight="1">
      <c r="A62" s="80"/>
      <c r="B62" s="61" t="s">
        <v>307</v>
      </c>
      <c r="C62" s="67">
        <v>22203.200000000001</v>
      </c>
      <c r="D62" s="66">
        <v>469.5</v>
      </c>
      <c r="E62" s="66">
        <v>145</v>
      </c>
      <c r="F62" s="66">
        <v>146.69999999999999</v>
      </c>
      <c r="G62" s="66">
        <v>0</v>
      </c>
      <c r="H62" s="66">
        <v>1275.0999999999999</v>
      </c>
      <c r="I62" s="66">
        <v>827.9</v>
      </c>
      <c r="J62" s="66">
        <v>1817.8</v>
      </c>
      <c r="K62" s="66">
        <v>465.6</v>
      </c>
      <c r="L62" s="66">
        <v>1495.9</v>
      </c>
      <c r="M62" s="67">
        <v>28846.6</v>
      </c>
      <c r="N62" s="66"/>
      <c r="O62" s="68"/>
      <c r="P62" s="64"/>
    </row>
    <row r="63" spans="1:16" ht="17.25" hidden="1" customHeight="1">
      <c r="A63" s="80"/>
      <c r="B63" s="61"/>
      <c r="C63" s="67"/>
      <c r="D63" s="66"/>
      <c r="E63" s="66"/>
      <c r="F63" s="66"/>
      <c r="G63" s="66"/>
      <c r="H63" s="66" t="s">
        <v>296</v>
      </c>
      <c r="I63" s="66" t="s">
        <v>296</v>
      </c>
      <c r="J63" s="66"/>
      <c r="K63" s="66"/>
      <c r="L63" s="66"/>
      <c r="M63" s="67"/>
      <c r="N63" s="66"/>
      <c r="O63" s="64"/>
      <c r="P63" s="64"/>
    </row>
    <row r="64" spans="1:16" ht="17.25" hidden="1" customHeight="1">
      <c r="A64" s="80"/>
      <c r="B64" s="61" t="s">
        <v>308</v>
      </c>
      <c r="C64" s="67">
        <v>22567.7</v>
      </c>
      <c r="D64" s="66">
        <v>401.3</v>
      </c>
      <c r="E64" s="66">
        <v>57</v>
      </c>
      <c r="F64" s="66">
        <v>164.9</v>
      </c>
      <c r="G64" s="66">
        <v>0</v>
      </c>
      <c r="H64" s="66">
        <v>1542.3</v>
      </c>
      <c r="I64" s="66">
        <v>1093.0999999999999</v>
      </c>
      <c r="J64" s="66">
        <v>1866.8</v>
      </c>
      <c r="K64" s="66">
        <v>472.6</v>
      </c>
      <c r="L64" s="66">
        <v>1518.1</v>
      </c>
      <c r="M64" s="67">
        <v>29683.599999999999</v>
      </c>
      <c r="N64" s="66"/>
      <c r="O64" s="68"/>
      <c r="P64" s="64"/>
    </row>
    <row r="65" spans="1:16" ht="17.25" hidden="1" customHeight="1">
      <c r="A65" s="80"/>
      <c r="B65" s="61"/>
      <c r="C65" s="67"/>
      <c r="D65" s="66"/>
      <c r="E65" s="66"/>
      <c r="F65" s="66"/>
      <c r="G65" s="66"/>
      <c r="H65" s="66" t="s">
        <v>296</v>
      </c>
      <c r="I65" s="66"/>
      <c r="J65" s="66"/>
      <c r="K65" s="66"/>
      <c r="L65" s="66"/>
      <c r="M65" s="67"/>
      <c r="N65" s="66"/>
      <c r="O65" s="64"/>
      <c r="P65" s="64"/>
    </row>
    <row r="66" spans="1:16" ht="17.25" hidden="1" customHeight="1">
      <c r="A66" s="80"/>
      <c r="B66" s="61" t="s">
        <v>311</v>
      </c>
      <c r="C66" s="67">
        <v>21630.6</v>
      </c>
      <c r="D66" s="66">
        <v>197.6</v>
      </c>
      <c r="E66" s="66">
        <v>8.4</v>
      </c>
      <c r="F66" s="66">
        <v>214.7</v>
      </c>
      <c r="G66" s="66">
        <v>0</v>
      </c>
      <c r="H66" s="66">
        <v>1631.2</v>
      </c>
      <c r="I66" s="66">
        <v>1219.3</v>
      </c>
      <c r="J66" s="66">
        <v>1914.8</v>
      </c>
      <c r="K66" s="66">
        <v>464.7</v>
      </c>
      <c r="L66" s="66">
        <v>1539</v>
      </c>
      <c r="M66" s="67">
        <v>28820.400000000001</v>
      </c>
      <c r="N66" s="66"/>
      <c r="O66" s="68"/>
      <c r="P66" s="64"/>
    </row>
    <row r="67" spans="1:16" ht="17.25" hidden="1" customHeight="1">
      <c r="A67" s="80"/>
      <c r="B67" s="57"/>
      <c r="C67" s="67"/>
      <c r="D67" s="66"/>
      <c r="E67" s="66"/>
      <c r="F67" s="66"/>
      <c r="G67" s="66"/>
      <c r="H67" s="66"/>
      <c r="I67" s="66" t="s">
        <v>296</v>
      </c>
      <c r="J67" s="66"/>
      <c r="K67" s="66"/>
      <c r="L67" s="66"/>
      <c r="M67" s="67"/>
      <c r="N67" s="63"/>
      <c r="O67" s="64"/>
      <c r="P67" s="64"/>
    </row>
    <row r="68" spans="1:16" ht="17.25" hidden="1" customHeight="1">
      <c r="A68" s="80"/>
      <c r="B68" s="55" t="s">
        <v>313</v>
      </c>
      <c r="C68" s="67"/>
      <c r="D68" s="66"/>
      <c r="E68" s="66"/>
      <c r="F68" s="66"/>
      <c r="G68" s="66"/>
      <c r="H68" s="66"/>
      <c r="I68" s="66" t="s">
        <v>296</v>
      </c>
      <c r="J68" s="66"/>
      <c r="K68" s="66"/>
      <c r="L68" s="66"/>
      <c r="M68" s="67"/>
      <c r="N68" s="63"/>
      <c r="O68" s="64"/>
      <c r="P68" s="64"/>
    </row>
    <row r="69" spans="1:16" ht="17.25" hidden="1" customHeight="1">
      <c r="A69" s="80"/>
      <c r="B69" s="57"/>
      <c r="C69" s="67"/>
      <c r="D69" s="66"/>
      <c r="E69" s="66"/>
      <c r="F69" s="66"/>
      <c r="G69" s="66"/>
      <c r="H69" s="66"/>
      <c r="I69" s="66" t="s">
        <v>296</v>
      </c>
      <c r="J69" s="66"/>
      <c r="K69" s="66"/>
      <c r="L69" s="66"/>
      <c r="M69" s="67"/>
      <c r="N69" s="63"/>
      <c r="O69" s="64"/>
      <c r="P69" s="64"/>
    </row>
    <row r="70" spans="1:16" ht="17.25" hidden="1" customHeight="1">
      <c r="A70" s="80"/>
      <c r="B70" s="61" t="s">
        <v>298</v>
      </c>
      <c r="C70" s="86">
        <v>21727.1</v>
      </c>
      <c r="D70" s="85">
        <v>402.9</v>
      </c>
      <c r="E70" s="85">
        <v>5.2</v>
      </c>
      <c r="F70" s="85">
        <v>319.7</v>
      </c>
      <c r="G70" s="85">
        <v>0</v>
      </c>
      <c r="H70" s="85">
        <v>1604.6</v>
      </c>
      <c r="I70" s="85">
        <v>1256.9000000000001</v>
      </c>
      <c r="J70" s="85">
        <v>1973.7</v>
      </c>
      <c r="K70" s="85">
        <v>474.7</v>
      </c>
      <c r="L70" s="85">
        <v>1611.2</v>
      </c>
      <c r="M70" s="86">
        <v>29376</v>
      </c>
      <c r="N70" s="66"/>
      <c r="O70" s="68"/>
      <c r="P70" s="68"/>
    </row>
    <row r="71" spans="1:16" ht="17.25" hidden="1" customHeight="1">
      <c r="A71" s="80"/>
      <c r="B71" s="61"/>
      <c r="C71" s="86"/>
      <c r="D71" s="85"/>
      <c r="E71" s="85"/>
      <c r="F71" s="85"/>
      <c r="G71" s="85"/>
      <c r="H71" s="85"/>
      <c r="I71" s="85" t="s">
        <v>296</v>
      </c>
      <c r="J71" s="85"/>
      <c r="K71" s="85"/>
      <c r="L71" s="85"/>
      <c r="M71" s="86"/>
      <c r="N71" s="66"/>
      <c r="O71" s="64"/>
      <c r="P71" s="64"/>
    </row>
    <row r="72" spans="1:16" ht="17.25" hidden="1" customHeight="1">
      <c r="A72" s="80"/>
      <c r="B72" s="61" t="s">
        <v>299</v>
      </c>
      <c r="C72" s="86">
        <v>20822.8</v>
      </c>
      <c r="D72" s="85">
        <v>500.1</v>
      </c>
      <c r="E72" s="85">
        <v>3.7</v>
      </c>
      <c r="F72" s="85">
        <v>152.1</v>
      </c>
      <c r="G72" s="85">
        <v>0</v>
      </c>
      <c r="H72" s="85">
        <v>1628.6</v>
      </c>
      <c r="I72" s="85">
        <v>1102.2</v>
      </c>
      <c r="J72" s="85">
        <v>2023.3</v>
      </c>
      <c r="K72" s="85">
        <v>485.5</v>
      </c>
      <c r="L72" s="85">
        <v>1634.1</v>
      </c>
      <c r="M72" s="86">
        <v>28352.400000000001</v>
      </c>
      <c r="N72" s="66"/>
      <c r="O72" s="68"/>
      <c r="P72" s="68"/>
    </row>
    <row r="73" spans="1:16" ht="17.25" hidden="1" customHeight="1">
      <c r="A73" s="80"/>
      <c r="B73" s="61"/>
      <c r="C73" s="86"/>
      <c r="D73" s="85"/>
      <c r="E73" s="85"/>
      <c r="F73" s="85"/>
      <c r="G73" s="85"/>
      <c r="H73" s="85" t="s">
        <v>296</v>
      </c>
      <c r="I73" s="85" t="s">
        <v>296</v>
      </c>
      <c r="J73" s="85"/>
      <c r="K73" s="85"/>
      <c r="L73" s="85"/>
      <c r="M73" s="86"/>
      <c r="N73" s="66"/>
      <c r="O73" s="64"/>
      <c r="P73" s="64"/>
    </row>
    <row r="74" spans="1:16" ht="17.25" hidden="1" customHeight="1">
      <c r="A74" s="80"/>
      <c r="B74" s="61" t="s">
        <v>300</v>
      </c>
      <c r="C74" s="86">
        <v>21444.7</v>
      </c>
      <c r="D74" s="85">
        <v>510.7</v>
      </c>
      <c r="E74" s="85">
        <v>3.9</v>
      </c>
      <c r="F74" s="85">
        <v>171.6</v>
      </c>
      <c r="G74" s="85">
        <v>0</v>
      </c>
      <c r="H74" s="85">
        <v>699.9</v>
      </c>
      <c r="I74" s="85">
        <v>1717.6</v>
      </c>
      <c r="J74" s="85">
        <v>2081.4</v>
      </c>
      <c r="K74" s="85">
        <v>478.2</v>
      </c>
      <c r="L74" s="85">
        <v>1658.8</v>
      </c>
      <c r="M74" s="86">
        <v>28766.6</v>
      </c>
      <c r="N74" s="66"/>
      <c r="O74" s="68"/>
      <c r="P74" s="64"/>
    </row>
    <row r="75" spans="1:16" ht="17.25" hidden="1" customHeight="1">
      <c r="A75" s="80"/>
      <c r="B75" s="61"/>
      <c r="C75" s="86"/>
      <c r="D75" s="85"/>
      <c r="E75" s="85"/>
      <c r="F75" s="85"/>
      <c r="G75" s="85"/>
      <c r="H75" s="85" t="s">
        <v>296</v>
      </c>
      <c r="I75" s="85" t="s">
        <v>296</v>
      </c>
      <c r="J75" s="85"/>
      <c r="K75" s="85"/>
      <c r="L75" s="85"/>
      <c r="M75" s="86"/>
      <c r="N75" s="66"/>
      <c r="O75" s="64"/>
      <c r="P75" s="64"/>
    </row>
    <row r="76" spans="1:16" ht="17.25" hidden="1" customHeight="1">
      <c r="A76" s="80"/>
      <c r="B76" s="61" t="s">
        <v>301</v>
      </c>
      <c r="C76" s="86">
        <v>23435</v>
      </c>
      <c r="D76" s="85">
        <v>628</v>
      </c>
      <c r="E76" s="85">
        <v>4.0999999999999996</v>
      </c>
      <c r="F76" s="85">
        <v>94.4</v>
      </c>
      <c r="G76" s="85">
        <v>0</v>
      </c>
      <c r="H76" s="85">
        <v>272.7</v>
      </c>
      <c r="I76" s="85">
        <v>1707.8</v>
      </c>
      <c r="J76" s="85">
        <v>2137.9</v>
      </c>
      <c r="K76" s="85">
        <v>469.8</v>
      </c>
      <c r="L76" s="85">
        <v>1678.1</v>
      </c>
      <c r="M76" s="86">
        <v>30427.8</v>
      </c>
      <c r="N76" s="66"/>
      <c r="O76" s="68"/>
      <c r="P76" s="64"/>
    </row>
    <row r="77" spans="1:16" ht="17.25" hidden="1" customHeight="1">
      <c r="A77" s="80"/>
      <c r="B77" s="61"/>
      <c r="C77" s="86"/>
      <c r="D77" s="85"/>
      <c r="E77" s="85"/>
      <c r="F77" s="85"/>
      <c r="G77" s="85"/>
      <c r="H77" s="85" t="s">
        <v>296</v>
      </c>
      <c r="I77" s="85" t="s">
        <v>296</v>
      </c>
      <c r="J77" s="85"/>
      <c r="K77" s="85"/>
      <c r="L77" s="85"/>
      <c r="M77" s="86"/>
      <c r="N77" s="66"/>
      <c r="O77" s="64"/>
      <c r="P77" s="64"/>
    </row>
    <row r="78" spans="1:16" ht="17.25" hidden="1" customHeight="1">
      <c r="A78" s="80"/>
      <c r="B78" s="61" t="s">
        <v>302</v>
      </c>
      <c r="C78" s="86">
        <v>23471.9</v>
      </c>
      <c r="D78" s="85">
        <v>515.1</v>
      </c>
      <c r="E78" s="85">
        <v>2.5</v>
      </c>
      <c r="F78" s="85">
        <v>193.7</v>
      </c>
      <c r="G78" s="85">
        <v>0</v>
      </c>
      <c r="H78" s="85">
        <v>813.8</v>
      </c>
      <c r="I78" s="85">
        <v>1156.5999999999999</v>
      </c>
      <c r="J78" s="85">
        <v>2211.3000000000002</v>
      </c>
      <c r="K78" s="85">
        <v>480</v>
      </c>
      <c r="L78" s="85">
        <v>1706.7</v>
      </c>
      <c r="M78" s="86">
        <v>30551.4</v>
      </c>
      <c r="N78" s="66"/>
      <c r="O78" s="68"/>
      <c r="P78" s="64"/>
    </row>
    <row r="79" spans="1:16" ht="17.25" hidden="1" customHeight="1">
      <c r="A79" s="80"/>
      <c r="B79" s="61"/>
      <c r="C79" s="86"/>
      <c r="D79" s="85"/>
      <c r="E79" s="85"/>
      <c r="F79" s="85"/>
      <c r="G79" s="85"/>
      <c r="H79" s="85"/>
      <c r="I79" s="85" t="s">
        <v>296</v>
      </c>
      <c r="J79" s="85"/>
      <c r="K79" s="85"/>
      <c r="L79" s="85"/>
      <c r="M79" s="86"/>
      <c r="N79" s="66"/>
      <c r="O79" s="64"/>
      <c r="P79" s="64"/>
    </row>
    <row r="80" spans="1:16" ht="17.25" hidden="1" customHeight="1">
      <c r="A80" s="80"/>
      <c r="B80" s="61" t="s">
        <v>303</v>
      </c>
      <c r="C80" s="86">
        <v>22908.799999999999</v>
      </c>
      <c r="D80" s="85">
        <v>583.9</v>
      </c>
      <c r="E80" s="85">
        <v>3.4</v>
      </c>
      <c r="F80" s="85">
        <v>304.89999999999998</v>
      </c>
      <c r="G80" s="85">
        <v>0</v>
      </c>
      <c r="H80" s="85">
        <v>990.7</v>
      </c>
      <c r="I80" s="85">
        <v>1697.1</v>
      </c>
      <c r="J80" s="85">
        <v>2297.1999999999998</v>
      </c>
      <c r="K80" s="85">
        <v>482.6</v>
      </c>
      <c r="L80" s="85">
        <v>1753.4</v>
      </c>
      <c r="M80" s="86">
        <v>31022.1</v>
      </c>
      <c r="N80" s="66"/>
      <c r="O80" s="68"/>
      <c r="P80" s="64"/>
    </row>
    <row r="81" spans="1:16" ht="17.25" hidden="1" customHeight="1">
      <c r="A81" s="80"/>
      <c r="B81" s="61"/>
      <c r="C81" s="86"/>
      <c r="D81" s="85"/>
      <c r="E81" s="85"/>
      <c r="F81" s="85"/>
      <c r="G81" s="85"/>
      <c r="H81" s="85" t="s">
        <v>296</v>
      </c>
      <c r="I81" s="85" t="s">
        <v>296</v>
      </c>
      <c r="J81" s="85"/>
      <c r="K81" s="85"/>
      <c r="L81" s="85"/>
      <c r="M81" s="86"/>
      <c r="N81" s="66"/>
      <c r="O81" s="64"/>
      <c r="P81" s="64"/>
    </row>
    <row r="82" spans="1:16" ht="17.25" hidden="1" customHeight="1">
      <c r="A82" s="80"/>
      <c r="B82" s="61" t="s">
        <v>304</v>
      </c>
      <c r="C82" s="86">
        <v>26009.4</v>
      </c>
      <c r="D82" s="85">
        <v>595.1</v>
      </c>
      <c r="E82" s="85">
        <v>2.8</v>
      </c>
      <c r="F82" s="85">
        <v>249.4</v>
      </c>
      <c r="G82" s="85">
        <v>0</v>
      </c>
      <c r="H82" s="85">
        <v>1250.0999999999999</v>
      </c>
      <c r="I82" s="85">
        <v>1279.5</v>
      </c>
      <c r="J82" s="85">
        <v>2394.1</v>
      </c>
      <c r="K82" s="85">
        <v>490.5</v>
      </c>
      <c r="L82" s="85">
        <v>1848.1</v>
      </c>
      <c r="M82" s="86">
        <v>34119</v>
      </c>
      <c r="N82" s="66"/>
      <c r="O82" s="68"/>
      <c r="P82" s="64"/>
    </row>
    <row r="83" spans="1:16" ht="17.25" hidden="1" customHeight="1">
      <c r="A83" s="80"/>
      <c r="B83" s="61"/>
      <c r="C83" s="86"/>
      <c r="D83" s="85"/>
      <c r="E83" s="85"/>
      <c r="F83" s="85"/>
      <c r="G83" s="85"/>
      <c r="H83" s="85" t="s">
        <v>296</v>
      </c>
      <c r="I83" s="85" t="s">
        <v>296</v>
      </c>
      <c r="J83" s="85"/>
      <c r="K83" s="85"/>
      <c r="L83" s="85"/>
      <c r="M83" s="86"/>
      <c r="N83" s="66"/>
      <c r="O83" s="64"/>
      <c r="P83" s="64"/>
    </row>
    <row r="84" spans="1:16" ht="17.25" hidden="1" customHeight="1">
      <c r="A84" s="80"/>
      <c r="B84" s="61" t="s">
        <v>305</v>
      </c>
      <c r="C84" s="86">
        <v>25727.3</v>
      </c>
      <c r="D84" s="85">
        <v>495.7</v>
      </c>
      <c r="E84" s="85">
        <v>2.6</v>
      </c>
      <c r="F84" s="85">
        <v>226.7</v>
      </c>
      <c r="G84" s="85">
        <v>0</v>
      </c>
      <c r="H84" s="85">
        <v>1190.5999999999999</v>
      </c>
      <c r="I84" s="85">
        <v>1839.1</v>
      </c>
      <c r="J84" s="85">
        <v>2502.8000000000002</v>
      </c>
      <c r="K84" s="85">
        <v>507.5</v>
      </c>
      <c r="L84" s="85">
        <v>1903.9</v>
      </c>
      <c r="M84" s="86">
        <v>34396.400000000001</v>
      </c>
      <c r="N84" s="66"/>
      <c r="O84" s="68"/>
      <c r="P84" s="64"/>
    </row>
    <row r="85" spans="1:16" ht="17.25" hidden="1" customHeight="1">
      <c r="A85" s="80"/>
      <c r="B85" s="61"/>
      <c r="C85" s="86"/>
      <c r="D85" s="85"/>
      <c r="E85" s="85"/>
      <c r="F85" s="85"/>
      <c r="G85" s="85"/>
      <c r="H85" s="85" t="s">
        <v>296</v>
      </c>
      <c r="I85" s="85" t="s">
        <v>296</v>
      </c>
      <c r="J85" s="85"/>
      <c r="K85" s="85"/>
      <c r="L85" s="85"/>
      <c r="M85" s="86"/>
      <c r="N85" s="66"/>
      <c r="O85" s="64"/>
      <c r="P85" s="64"/>
    </row>
    <row r="86" spans="1:16" ht="17.25" hidden="1" customHeight="1">
      <c r="A86" s="80"/>
      <c r="B86" s="61" t="s">
        <v>306</v>
      </c>
      <c r="C86" s="86">
        <v>27796.5</v>
      </c>
      <c r="D86" s="85">
        <v>494.8</v>
      </c>
      <c r="E86" s="85">
        <v>2.9</v>
      </c>
      <c r="F86" s="85">
        <v>234.8</v>
      </c>
      <c r="G86" s="85">
        <v>0</v>
      </c>
      <c r="H86" s="85">
        <v>1251.0999999999999</v>
      </c>
      <c r="I86" s="85">
        <v>1363.7</v>
      </c>
      <c r="J86" s="85">
        <v>2618.5</v>
      </c>
      <c r="K86" s="85">
        <v>499.7</v>
      </c>
      <c r="L86" s="85">
        <v>1951.4</v>
      </c>
      <c r="M86" s="86">
        <v>36213.5</v>
      </c>
      <c r="N86" s="66"/>
      <c r="O86" s="68"/>
      <c r="P86" s="64"/>
    </row>
    <row r="87" spans="1:16" ht="17.25" hidden="1" customHeight="1">
      <c r="A87" s="80"/>
      <c r="B87" s="61"/>
      <c r="C87" s="86"/>
      <c r="D87" s="85"/>
      <c r="E87" s="85"/>
      <c r="F87" s="85"/>
      <c r="G87" s="85"/>
      <c r="H87" s="85"/>
      <c r="I87" s="85" t="s">
        <v>296</v>
      </c>
      <c r="J87" s="85"/>
      <c r="K87" s="85"/>
      <c r="L87" s="85"/>
      <c r="M87" s="86"/>
      <c r="N87" s="66"/>
      <c r="O87" s="64"/>
      <c r="P87" s="64"/>
    </row>
    <row r="88" spans="1:16" ht="17.25" hidden="1" customHeight="1">
      <c r="A88" s="80"/>
      <c r="B88" s="61" t="s">
        <v>307</v>
      </c>
      <c r="C88" s="86">
        <v>25171.1</v>
      </c>
      <c r="D88" s="85">
        <v>733.1</v>
      </c>
      <c r="E88" s="85">
        <v>1.6</v>
      </c>
      <c r="F88" s="85">
        <f>259.2-2</f>
        <v>257.2</v>
      </c>
      <c r="G88" s="85">
        <v>2</v>
      </c>
      <c r="H88" s="85">
        <v>1228.9000000000001</v>
      </c>
      <c r="I88" s="85">
        <v>1175.2</v>
      </c>
      <c r="J88" s="85">
        <v>2764.4</v>
      </c>
      <c r="K88" s="85">
        <v>539.9</v>
      </c>
      <c r="L88" s="85">
        <v>2025.8</v>
      </c>
      <c r="M88" s="86">
        <v>33899.199999999997</v>
      </c>
      <c r="N88" s="66"/>
      <c r="O88" s="68"/>
      <c r="P88" s="64"/>
    </row>
    <row r="89" spans="1:16" ht="17.25" hidden="1" customHeight="1">
      <c r="A89" s="80"/>
      <c r="B89" s="61"/>
      <c r="C89" s="86"/>
      <c r="D89" s="85"/>
      <c r="E89" s="85"/>
      <c r="F89" s="85"/>
      <c r="G89" s="85"/>
      <c r="H89" s="85" t="s">
        <v>296</v>
      </c>
      <c r="I89" s="85"/>
      <c r="J89" s="85"/>
      <c r="K89" s="85"/>
      <c r="L89" s="85"/>
      <c r="M89" s="86"/>
      <c r="N89" s="66"/>
      <c r="O89" s="64"/>
      <c r="P89" s="64"/>
    </row>
    <row r="90" spans="1:16" ht="17.25" hidden="1" customHeight="1">
      <c r="A90" s="80"/>
      <c r="B90" s="61" t="s">
        <v>308</v>
      </c>
      <c r="C90" s="86">
        <v>23995.7</v>
      </c>
      <c r="D90" s="85">
        <v>135.30000000000001</v>
      </c>
      <c r="E90" s="85">
        <v>0.3</v>
      </c>
      <c r="F90" s="85">
        <f>115.7-2</f>
        <v>113.7</v>
      </c>
      <c r="G90" s="85">
        <v>2</v>
      </c>
      <c r="H90" s="85">
        <v>1516.9</v>
      </c>
      <c r="I90" s="85">
        <v>2880.3</v>
      </c>
      <c r="J90" s="85">
        <v>2895</v>
      </c>
      <c r="K90" s="85">
        <v>596.6</v>
      </c>
      <c r="L90" s="85">
        <v>2084.3000000000002</v>
      </c>
      <c r="M90" s="86">
        <v>34220.300000000003</v>
      </c>
      <c r="N90" s="66"/>
      <c r="O90" s="68"/>
      <c r="P90" s="64"/>
    </row>
    <row r="91" spans="1:16" ht="17.25" hidden="1" customHeight="1">
      <c r="A91" s="80"/>
      <c r="B91" s="61"/>
      <c r="C91" s="86"/>
      <c r="D91" s="85"/>
      <c r="E91" s="85"/>
      <c r="F91" s="85"/>
      <c r="G91" s="85"/>
      <c r="H91" s="85" t="s">
        <v>296</v>
      </c>
      <c r="I91" s="85"/>
      <c r="J91" s="85"/>
      <c r="K91" s="85"/>
      <c r="L91" s="85"/>
      <c r="M91" s="86"/>
      <c r="N91" s="66"/>
      <c r="O91" s="64"/>
      <c r="P91" s="64"/>
    </row>
    <row r="92" spans="1:16" ht="17.25" hidden="1" customHeight="1">
      <c r="A92" s="80"/>
      <c r="B92" s="61" t="s">
        <v>311</v>
      </c>
      <c r="C92" s="86">
        <v>25677</v>
      </c>
      <c r="D92" s="85">
        <v>485</v>
      </c>
      <c r="E92" s="85">
        <v>0.6</v>
      </c>
      <c r="F92" s="85">
        <f>199.2-2</f>
        <v>197.2</v>
      </c>
      <c r="G92" s="85">
        <v>2</v>
      </c>
      <c r="H92" s="85">
        <v>1455.6</v>
      </c>
      <c r="I92" s="85">
        <v>3259</v>
      </c>
      <c r="J92" s="85">
        <v>3048.5</v>
      </c>
      <c r="K92" s="85">
        <v>552.29999999999995</v>
      </c>
      <c r="L92" s="85">
        <v>2134.4</v>
      </c>
      <c r="M92" s="86">
        <v>36811.599999999999</v>
      </c>
      <c r="N92" s="66"/>
      <c r="O92" s="68"/>
      <c r="P92" s="68"/>
    </row>
    <row r="93" spans="1:16" ht="17.25" hidden="1" customHeight="1">
      <c r="A93" s="80"/>
      <c r="B93" s="61"/>
      <c r="C93" s="86"/>
      <c r="D93" s="85"/>
      <c r="E93" s="85"/>
      <c r="F93" s="85"/>
      <c r="G93" s="85"/>
      <c r="H93" s="85"/>
      <c r="I93" s="85"/>
      <c r="J93" s="85"/>
      <c r="K93" s="85"/>
      <c r="L93" s="85"/>
      <c r="M93" s="86"/>
      <c r="N93" s="66"/>
      <c r="O93" s="64"/>
      <c r="P93" s="64"/>
    </row>
    <row r="94" spans="1:16" ht="17.25" hidden="1" customHeight="1">
      <c r="A94" s="80"/>
      <c r="B94" s="55" t="s">
        <v>314</v>
      </c>
      <c r="C94" s="86"/>
      <c r="D94" s="85"/>
      <c r="E94" s="85"/>
      <c r="F94" s="85"/>
      <c r="G94" s="85"/>
      <c r="H94" s="85"/>
      <c r="I94" s="85" t="s">
        <v>296</v>
      </c>
      <c r="J94" s="85"/>
      <c r="K94" s="85"/>
      <c r="L94" s="85"/>
      <c r="M94" s="86"/>
      <c r="N94" s="66"/>
      <c r="O94" s="64"/>
      <c r="P94" s="64"/>
    </row>
    <row r="95" spans="1:16" ht="17.25" hidden="1" customHeight="1">
      <c r="A95" s="80"/>
      <c r="B95" s="57"/>
      <c r="C95" s="86"/>
      <c r="D95" s="85"/>
      <c r="E95" s="85"/>
      <c r="F95" s="85"/>
      <c r="G95" s="85"/>
      <c r="H95" s="85"/>
      <c r="I95" s="85" t="s">
        <v>296</v>
      </c>
      <c r="J95" s="85"/>
      <c r="K95" s="85"/>
      <c r="L95" s="85"/>
      <c r="M95" s="86"/>
      <c r="N95" s="66"/>
      <c r="O95" s="64"/>
      <c r="P95" s="64"/>
    </row>
    <row r="96" spans="1:16" ht="17.25" hidden="1" customHeight="1">
      <c r="A96" s="80"/>
      <c r="B96" s="61" t="s">
        <v>298</v>
      </c>
      <c r="C96" s="86">
        <v>26676.6</v>
      </c>
      <c r="D96" s="85">
        <v>676.3</v>
      </c>
      <c r="E96" s="85">
        <v>0</v>
      </c>
      <c r="F96" s="85">
        <f>450.9-2</f>
        <v>448.9</v>
      </c>
      <c r="G96" s="85">
        <v>2</v>
      </c>
      <c r="H96" s="85">
        <v>1085.0999999999999</v>
      </c>
      <c r="I96" s="85">
        <v>735.2</v>
      </c>
      <c r="J96" s="85">
        <v>3170.7</v>
      </c>
      <c r="K96" s="85">
        <v>609.79999999999995</v>
      </c>
      <c r="L96" s="85">
        <v>2261.6</v>
      </c>
      <c r="M96" s="86">
        <v>35666.300000000003</v>
      </c>
      <c r="N96" s="66"/>
      <c r="O96" s="68"/>
      <c r="P96" s="64"/>
    </row>
    <row r="97" spans="1:16" ht="17.25" hidden="1" customHeight="1">
      <c r="A97" s="80"/>
      <c r="B97" s="61"/>
      <c r="C97" s="86"/>
      <c r="D97" s="85"/>
      <c r="E97" s="85"/>
      <c r="F97" s="85"/>
      <c r="G97" s="85"/>
      <c r="H97" s="85"/>
      <c r="I97" s="85"/>
      <c r="J97" s="85"/>
      <c r="K97" s="85"/>
      <c r="L97" s="85"/>
      <c r="M97" s="86"/>
      <c r="N97" s="66"/>
      <c r="O97" s="64"/>
      <c r="P97" s="64"/>
    </row>
    <row r="98" spans="1:16" ht="17.25" hidden="1" customHeight="1">
      <c r="A98" s="80"/>
      <c r="B98" s="61" t="s">
        <v>299</v>
      </c>
      <c r="C98" s="86">
        <v>27286.6</v>
      </c>
      <c r="D98" s="85">
        <v>646</v>
      </c>
      <c r="E98" s="85">
        <v>0</v>
      </c>
      <c r="F98" s="85">
        <f>128.5-2</f>
        <v>126.5</v>
      </c>
      <c r="G98" s="85">
        <v>2</v>
      </c>
      <c r="H98" s="85">
        <v>875.8</v>
      </c>
      <c r="I98" s="85">
        <v>720.6</v>
      </c>
      <c r="J98" s="85">
        <v>3267</v>
      </c>
      <c r="K98" s="85">
        <v>644.5</v>
      </c>
      <c r="L98" s="85">
        <v>2309.1</v>
      </c>
      <c r="M98" s="86">
        <v>35878.199999999997</v>
      </c>
      <c r="N98" s="66"/>
      <c r="O98" s="68"/>
      <c r="P98" s="64"/>
    </row>
    <row r="99" spans="1:16" ht="17.25" hidden="1" customHeight="1">
      <c r="A99" s="80"/>
      <c r="B99" s="61"/>
      <c r="C99" s="86"/>
      <c r="D99" s="85"/>
      <c r="E99" s="85"/>
      <c r="F99" s="85"/>
      <c r="G99" s="85"/>
      <c r="H99" s="85"/>
      <c r="I99" s="85" t="s">
        <v>296</v>
      </c>
      <c r="J99" s="85"/>
      <c r="K99" s="85"/>
      <c r="L99" s="85"/>
      <c r="M99" s="86"/>
      <c r="N99" s="66"/>
      <c r="O99" s="64"/>
      <c r="P99" s="64"/>
    </row>
    <row r="100" spans="1:16" ht="17.25" hidden="1" customHeight="1">
      <c r="A100" s="80"/>
      <c r="B100" s="61" t="s">
        <v>300</v>
      </c>
      <c r="C100" s="86">
        <v>27794.7</v>
      </c>
      <c r="D100" s="85">
        <v>381.8</v>
      </c>
      <c r="E100" s="85">
        <v>0</v>
      </c>
      <c r="F100" s="85">
        <f>198.9-2.1</f>
        <v>196.8</v>
      </c>
      <c r="G100" s="85">
        <v>2.1</v>
      </c>
      <c r="H100" s="85">
        <v>1121.3</v>
      </c>
      <c r="I100" s="85">
        <v>1329.6</v>
      </c>
      <c r="J100" s="85">
        <v>3360.1</v>
      </c>
      <c r="K100" s="85">
        <v>638.4</v>
      </c>
      <c r="L100" s="85">
        <v>2354.6999999999998</v>
      </c>
      <c r="M100" s="86">
        <v>37179.300000000003</v>
      </c>
      <c r="N100" s="66"/>
      <c r="O100" s="68"/>
      <c r="P100" s="64"/>
    </row>
    <row r="101" spans="1:16" ht="17.25" hidden="1" customHeight="1">
      <c r="A101" s="80"/>
      <c r="B101" s="61"/>
      <c r="C101" s="86"/>
      <c r="D101" s="85"/>
      <c r="E101" s="85"/>
      <c r="F101" s="85"/>
      <c r="G101" s="85"/>
      <c r="H101" s="85" t="s">
        <v>296</v>
      </c>
      <c r="I101" s="85" t="s">
        <v>296</v>
      </c>
      <c r="J101" s="85"/>
      <c r="K101" s="85"/>
      <c r="L101" s="85"/>
      <c r="M101" s="86"/>
      <c r="N101" s="66"/>
      <c r="O101" s="64"/>
      <c r="P101" s="64"/>
    </row>
    <row r="102" spans="1:16" ht="17.25" hidden="1" customHeight="1">
      <c r="A102" s="80"/>
      <c r="B102" s="61" t="s">
        <v>301</v>
      </c>
      <c r="C102" s="86">
        <v>29520.3</v>
      </c>
      <c r="D102" s="85">
        <v>433</v>
      </c>
      <c r="E102" s="85">
        <v>0</v>
      </c>
      <c r="F102" s="85">
        <f>184.9-2.1</f>
        <v>182.8</v>
      </c>
      <c r="G102" s="85">
        <v>2.1</v>
      </c>
      <c r="H102" s="85">
        <v>1148.8</v>
      </c>
      <c r="I102" s="85">
        <v>1190.5</v>
      </c>
      <c r="J102" s="85">
        <v>3459.9</v>
      </c>
      <c r="K102" s="85">
        <v>641.6</v>
      </c>
      <c r="L102" s="85">
        <v>2380.5</v>
      </c>
      <c r="M102" s="86">
        <v>38959.5</v>
      </c>
      <c r="N102" s="66"/>
      <c r="O102" s="68"/>
      <c r="P102" s="68"/>
    </row>
    <row r="103" spans="1:16" ht="17.25" hidden="1" customHeight="1">
      <c r="A103" s="80"/>
      <c r="B103" s="61"/>
      <c r="C103" s="86"/>
      <c r="D103" s="85"/>
      <c r="E103" s="85"/>
      <c r="F103" s="85"/>
      <c r="G103" s="85"/>
      <c r="H103" s="85"/>
      <c r="I103" s="85" t="s">
        <v>296</v>
      </c>
      <c r="J103" s="85"/>
      <c r="K103" s="85"/>
      <c r="L103" s="85"/>
      <c r="M103" s="86"/>
      <c r="N103" s="66"/>
      <c r="O103" s="64"/>
      <c r="P103" s="64"/>
    </row>
    <row r="104" spans="1:16" ht="17.25" hidden="1" customHeight="1">
      <c r="A104" s="80"/>
      <c r="B104" s="61" t="s">
        <v>302</v>
      </c>
      <c r="C104" s="86">
        <v>29967.7</v>
      </c>
      <c r="D104" s="85">
        <v>545</v>
      </c>
      <c r="E104" s="85">
        <v>0.4</v>
      </c>
      <c r="F104" s="85">
        <v>220.1</v>
      </c>
      <c r="G104" s="85">
        <v>0</v>
      </c>
      <c r="H104" s="85">
        <v>977.5</v>
      </c>
      <c r="I104" s="85">
        <v>687.4</v>
      </c>
      <c r="J104" s="85">
        <v>3535</v>
      </c>
      <c r="K104" s="85">
        <v>653.1</v>
      </c>
      <c r="L104" s="85">
        <v>2410.3000000000002</v>
      </c>
      <c r="M104" s="86">
        <v>38996.400000000001</v>
      </c>
      <c r="N104" s="66"/>
      <c r="O104" s="68"/>
      <c r="P104" s="64"/>
    </row>
    <row r="105" spans="1:16" ht="17.25" hidden="1" customHeight="1">
      <c r="A105" s="80"/>
      <c r="B105" s="61"/>
      <c r="C105" s="86"/>
      <c r="D105" s="85"/>
      <c r="E105" s="85"/>
      <c r="F105" s="85"/>
      <c r="G105" s="85"/>
      <c r="H105" s="85"/>
      <c r="I105" s="85"/>
      <c r="J105" s="85"/>
      <c r="K105" s="85"/>
      <c r="L105" s="85"/>
      <c r="M105" s="86"/>
      <c r="N105" s="66"/>
      <c r="O105" s="64"/>
      <c r="P105" s="64"/>
    </row>
    <row r="106" spans="1:16" ht="17.25" hidden="1" customHeight="1">
      <c r="A106" s="80"/>
      <c r="B106" s="61" t="s">
        <v>303</v>
      </c>
      <c r="C106" s="86">
        <v>29347.3</v>
      </c>
      <c r="D106" s="85">
        <v>489.7</v>
      </c>
      <c r="E106" s="85">
        <v>0.3</v>
      </c>
      <c r="F106" s="85">
        <v>208.8</v>
      </c>
      <c r="G106" s="85">
        <v>0</v>
      </c>
      <c r="H106" s="85">
        <v>1030</v>
      </c>
      <c r="I106" s="85">
        <v>1194.4000000000001</v>
      </c>
      <c r="J106" s="85">
        <v>3587.1</v>
      </c>
      <c r="K106" s="85">
        <v>646.29999999999995</v>
      </c>
      <c r="L106" s="85">
        <v>2428.5</v>
      </c>
      <c r="M106" s="86">
        <v>38932.5</v>
      </c>
      <c r="N106" s="66"/>
      <c r="O106" s="68"/>
      <c r="P106" s="64"/>
    </row>
    <row r="107" spans="1:16" ht="17.25" hidden="1" customHeight="1">
      <c r="A107" s="80"/>
      <c r="B107" s="61"/>
      <c r="C107" s="86"/>
      <c r="D107" s="85"/>
      <c r="E107" s="85"/>
      <c r="F107" s="85"/>
      <c r="G107" s="85"/>
      <c r="H107" s="85"/>
      <c r="I107" s="85"/>
      <c r="J107" s="85"/>
      <c r="K107" s="85"/>
      <c r="L107" s="85"/>
      <c r="M107" s="86"/>
      <c r="N107" s="63"/>
      <c r="O107" s="64"/>
      <c r="P107" s="64"/>
    </row>
    <row r="108" spans="1:16" ht="17.25" hidden="1" customHeight="1">
      <c r="B108" s="61" t="s">
        <v>304</v>
      </c>
      <c r="C108" s="86">
        <v>27894.3</v>
      </c>
      <c r="D108" s="85">
        <v>420.5</v>
      </c>
      <c r="E108" s="85">
        <v>0</v>
      </c>
      <c r="F108" s="85">
        <v>217.3</v>
      </c>
      <c r="G108" s="85">
        <v>0</v>
      </c>
      <c r="H108" s="85">
        <v>2272.9</v>
      </c>
      <c r="I108" s="85">
        <v>2117.1</v>
      </c>
      <c r="J108" s="85">
        <v>3662.2</v>
      </c>
      <c r="K108" s="85">
        <v>663</v>
      </c>
      <c r="L108" s="85">
        <v>2472.8000000000002</v>
      </c>
      <c r="M108" s="86">
        <v>39720.199999999997</v>
      </c>
      <c r="N108" s="66"/>
      <c r="O108" s="68"/>
      <c r="P108" s="64"/>
    </row>
    <row r="109" spans="1:16" ht="17.25" hidden="1" customHeight="1">
      <c r="B109" s="61"/>
      <c r="C109" s="86"/>
      <c r="D109" s="85"/>
      <c r="E109" s="85"/>
      <c r="F109" s="85"/>
      <c r="G109" s="85"/>
      <c r="H109" s="85"/>
      <c r="I109" s="85"/>
      <c r="J109" s="85"/>
      <c r="K109" s="85"/>
      <c r="L109" s="85"/>
      <c r="M109" s="86"/>
      <c r="N109" s="66"/>
      <c r="O109" s="68"/>
      <c r="P109" s="64"/>
    </row>
    <row r="110" spans="1:16" ht="17.25" hidden="1" customHeight="1">
      <c r="B110" s="61" t="s">
        <v>305</v>
      </c>
      <c r="C110" s="86">
        <v>29353.7</v>
      </c>
      <c r="D110" s="85">
        <v>356.4</v>
      </c>
      <c r="E110" s="85">
        <v>0</v>
      </c>
      <c r="F110" s="85">
        <v>216.7</v>
      </c>
      <c r="G110" s="85">
        <v>0</v>
      </c>
      <c r="H110" s="85">
        <v>2046</v>
      </c>
      <c r="I110" s="85">
        <v>1224.3</v>
      </c>
      <c r="J110" s="85">
        <v>3723.5</v>
      </c>
      <c r="K110" s="85">
        <v>685.5</v>
      </c>
      <c r="L110" s="85">
        <v>2512.8000000000002</v>
      </c>
      <c r="M110" s="86">
        <v>40119.1</v>
      </c>
      <c r="N110" s="66"/>
      <c r="O110" s="68"/>
      <c r="P110" s="64"/>
    </row>
    <row r="111" spans="1:16" ht="17.25" hidden="1" customHeight="1">
      <c r="B111" s="61"/>
      <c r="C111" s="86"/>
      <c r="D111" s="85"/>
      <c r="E111" s="85"/>
      <c r="F111" s="85"/>
      <c r="G111" s="85"/>
      <c r="H111" s="85"/>
      <c r="I111" s="85"/>
      <c r="J111" s="85"/>
      <c r="K111" s="85"/>
      <c r="L111" s="85"/>
      <c r="M111" s="86"/>
      <c r="N111" s="66"/>
      <c r="O111" s="68"/>
      <c r="P111" s="64"/>
    </row>
    <row r="112" spans="1:16" ht="17.25" hidden="1" customHeight="1">
      <c r="B112" s="61" t="s">
        <v>306</v>
      </c>
      <c r="C112" s="86">
        <v>31254.7</v>
      </c>
      <c r="D112" s="85">
        <v>269</v>
      </c>
      <c r="E112" s="85">
        <v>0</v>
      </c>
      <c r="F112" s="85">
        <v>192</v>
      </c>
      <c r="G112" s="85">
        <v>0</v>
      </c>
      <c r="H112" s="85">
        <v>1336.1</v>
      </c>
      <c r="I112" s="85">
        <v>1051.3</v>
      </c>
      <c r="J112" s="85">
        <v>3791.1</v>
      </c>
      <c r="K112" s="85">
        <v>631.5</v>
      </c>
      <c r="L112" s="85">
        <v>2521.1</v>
      </c>
      <c r="M112" s="86">
        <v>41046.9</v>
      </c>
      <c r="N112" s="66"/>
      <c r="O112" s="68"/>
      <c r="P112" s="64"/>
    </row>
    <row r="113" spans="2:16" ht="17.25" hidden="1" customHeight="1">
      <c r="B113" s="61"/>
      <c r="C113" s="86"/>
      <c r="D113" s="85"/>
      <c r="E113" s="85"/>
      <c r="F113" s="85"/>
      <c r="G113" s="85"/>
      <c r="H113" s="85"/>
      <c r="I113" s="85"/>
      <c r="J113" s="85"/>
      <c r="K113" s="85"/>
      <c r="L113" s="85"/>
      <c r="M113" s="86"/>
      <c r="N113" s="66"/>
      <c r="O113" s="68"/>
      <c r="P113" s="64"/>
    </row>
    <row r="114" spans="2:16" ht="17.25" hidden="1" customHeight="1">
      <c r="B114" s="61" t="s">
        <v>307</v>
      </c>
      <c r="C114" s="86">
        <v>31746.2</v>
      </c>
      <c r="D114" s="85">
        <v>245.3</v>
      </c>
      <c r="E114" s="85">
        <v>0</v>
      </c>
      <c r="F114" s="85">
        <v>296.5</v>
      </c>
      <c r="G114" s="85">
        <v>0</v>
      </c>
      <c r="H114" s="85">
        <v>1934.7</v>
      </c>
      <c r="I114" s="85">
        <v>1871.2</v>
      </c>
      <c r="J114" s="85">
        <v>3873.8</v>
      </c>
      <c r="K114" s="85">
        <v>759.6</v>
      </c>
      <c r="L114" s="85">
        <v>2555.8000000000002</v>
      </c>
      <c r="M114" s="86">
        <v>43283.1</v>
      </c>
      <c r="N114" s="66"/>
      <c r="O114" s="68"/>
      <c r="P114" s="68"/>
    </row>
    <row r="115" spans="2:16" ht="17.25" hidden="1" customHeight="1">
      <c r="B115" s="61"/>
      <c r="C115" s="86"/>
      <c r="D115" s="85"/>
      <c r="E115" s="85"/>
      <c r="F115" s="85"/>
      <c r="G115" s="85"/>
      <c r="H115" s="85"/>
      <c r="I115" s="85"/>
      <c r="J115" s="85"/>
      <c r="K115" s="85"/>
      <c r="L115" s="85"/>
      <c r="M115" s="86"/>
      <c r="N115" s="66"/>
      <c r="O115" s="68"/>
      <c r="P115" s="68"/>
    </row>
    <row r="116" spans="2:16" ht="17.25" hidden="1" customHeight="1">
      <c r="B116" s="61" t="s">
        <v>308</v>
      </c>
      <c r="C116" s="86">
        <v>32744.7</v>
      </c>
      <c r="D116" s="85">
        <v>255.9</v>
      </c>
      <c r="E116" s="85">
        <v>0</v>
      </c>
      <c r="F116" s="85">
        <v>241</v>
      </c>
      <c r="G116" s="85">
        <v>0</v>
      </c>
      <c r="H116" s="85">
        <v>1805.7</v>
      </c>
      <c r="I116" s="85">
        <v>1578.3</v>
      </c>
      <c r="J116" s="85">
        <v>3938.9</v>
      </c>
      <c r="K116" s="85">
        <v>788.8</v>
      </c>
      <c r="L116" s="85">
        <v>2514.4</v>
      </c>
      <c r="M116" s="86">
        <v>43867.7</v>
      </c>
      <c r="N116" s="66"/>
      <c r="O116" s="68"/>
      <c r="P116" s="68"/>
    </row>
    <row r="117" spans="2:16" ht="17.25" hidden="1" customHeight="1">
      <c r="B117" s="61"/>
      <c r="C117" s="86"/>
      <c r="D117" s="85"/>
      <c r="E117" s="85"/>
      <c r="F117" s="85"/>
      <c r="G117" s="85"/>
      <c r="H117" s="85"/>
      <c r="I117" s="85"/>
      <c r="J117" s="85"/>
      <c r="K117" s="85"/>
      <c r="L117" s="85"/>
      <c r="M117" s="86"/>
      <c r="N117" s="66"/>
      <c r="O117" s="68"/>
      <c r="P117" s="68"/>
    </row>
    <row r="118" spans="2:16" ht="17.25" hidden="1" customHeight="1">
      <c r="B118" s="61" t="s">
        <v>311</v>
      </c>
      <c r="C118" s="86">
        <v>37514.199999999997</v>
      </c>
      <c r="D118" s="85">
        <v>689.9</v>
      </c>
      <c r="E118" s="85">
        <v>0</v>
      </c>
      <c r="F118" s="85">
        <v>254.8</v>
      </c>
      <c r="G118" s="85">
        <v>0</v>
      </c>
      <c r="H118" s="85">
        <v>2005.8</v>
      </c>
      <c r="I118" s="85">
        <v>1776.5</v>
      </c>
      <c r="J118" s="85">
        <v>4068</v>
      </c>
      <c r="K118" s="85">
        <v>774.2</v>
      </c>
      <c r="L118" s="85">
        <v>2568.8000000000002</v>
      </c>
      <c r="M118" s="86">
        <v>49652.2</v>
      </c>
      <c r="N118" s="66"/>
      <c r="O118" s="68"/>
      <c r="P118" s="68"/>
    </row>
    <row r="119" spans="2:16" ht="17.25" hidden="1" customHeight="1">
      <c r="B119" s="61"/>
      <c r="C119" s="86"/>
      <c r="D119" s="85"/>
      <c r="E119" s="85"/>
      <c r="F119" s="85"/>
      <c r="G119" s="85"/>
      <c r="H119" s="85"/>
      <c r="I119" s="85"/>
      <c r="J119" s="85"/>
      <c r="K119" s="85"/>
      <c r="L119" s="85"/>
      <c r="M119" s="86"/>
      <c r="N119" s="66"/>
      <c r="O119" s="68"/>
      <c r="P119" s="68"/>
    </row>
    <row r="120" spans="2:16" ht="17.25" hidden="1" customHeight="1">
      <c r="B120" s="55" t="s">
        <v>315</v>
      </c>
      <c r="C120" s="86"/>
      <c r="D120" s="85"/>
      <c r="E120" s="85"/>
      <c r="F120" s="85"/>
      <c r="G120" s="85"/>
      <c r="H120" s="85"/>
      <c r="I120" s="85" t="s">
        <v>296</v>
      </c>
      <c r="J120" s="85"/>
      <c r="K120" s="85"/>
      <c r="L120" s="85"/>
      <c r="M120" s="86"/>
      <c r="N120" s="66"/>
      <c r="O120" s="64"/>
      <c r="P120" s="64"/>
    </row>
    <row r="121" spans="2:16" ht="17.25" hidden="1" customHeight="1">
      <c r="B121" s="57"/>
      <c r="C121" s="86"/>
      <c r="D121" s="85"/>
      <c r="E121" s="85"/>
      <c r="F121" s="85"/>
      <c r="G121" s="85"/>
      <c r="H121" s="85"/>
      <c r="I121" s="85" t="s">
        <v>296</v>
      </c>
      <c r="J121" s="85"/>
      <c r="K121" s="85"/>
      <c r="L121" s="85"/>
      <c r="M121" s="86"/>
      <c r="N121" s="66"/>
      <c r="O121" s="64"/>
      <c r="P121" s="64"/>
    </row>
    <row r="122" spans="2:16" ht="17.25" hidden="1" customHeight="1">
      <c r="B122" s="61" t="s">
        <v>298</v>
      </c>
      <c r="C122" s="86">
        <v>35364.9</v>
      </c>
      <c r="D122" s="85">
        <v>431.7</v>
      </c>
      <c r="E122" s="85">
        <v>0</v>
      </c>
      <c r="F122" s="85">
        <v>244.8</v>
      </c>
      <c r="G122" s="85">
        <v>0</v>
      </c>
      <c r="H122" s="85">
        <v>2116.1</v>
      </c>
      <c r="I122" s="85">
        <v>1908.7</v>
      </c>
      <c r="J122" s="85">
        <v>4215.2</v>
      </c>
      <c r="K122" s="85">
        <v>801.1</v>
      </c>
      <c r="L122" s="85">
        <v>2601.3000000000002</v>
      </c>
      <c r="M122" s="86">
        <v>47683.8</v>
      </c>
      <c r="N122" s="66"/>
      <c r="O122" s="68"/>
      <c r="P122" s="64"/>
    </row>
    <row r="123" spans="2:16" ht="17.25" hidden="1" customHeight="1">
      <c r="B123" s="61"/>
      <c r="C123" s="86"/>
      <c r="D123" s="85"/>
      <c r="E123" s="85"/>
      <c r="F123" s="85"/>
      <c r="G123" s="85"/>
      <c r="H123" s="85"/>
      <c r="I123" s="85"/>
      <c r="J123" s="85"/>
      <c r="K123" s="85"/>
      <c r="L123" s="85"/>
      <c r="M123" s="86"/>
      <c r="N123" s="66"/>
      <c r="O123" s="68"/>
      <c r="P123" s="64"/>
    </row>
    <row r="124" spans="2:16" ht="17.25" hidden="1" customHeight="1">
      <c r="B124" s="61" t="s">
        <v>299</v>
      </c>
      <c r="C124" s="86">
        <v>34099.9</v>
      </c>
      <c r="D124" s="85">
        <v>545.1</v>
      </c>
      <c r="E124" s="85">
        <v>0</v>
      </c>
      <c r="F124" s="85">
        <v>116</v>
      </c>
      <c r="G124" s="85">
        <v>0</v>
      </c>
      <c r="H124" s="85">
        <v>2101.8000000000002</v>
      </c>
      <c r="I124" s="85">
        <v>1891.1</v>
      </c>
      <c r="J124" s="85">
        <v>4309.3999999999996</v>
      </c>
      <c r="K124" s="85">
        <v>811.2</v>
      </c>
      <c r="L124" s="85">
        <v>2540</v>
      </c>
      <c r="M124" s="86">
        <v>46414.400000000001</v>
      </c>
      <c r="N124" s="66"/>
      <c r="O124" s="68"/>
      <c r="P124" s="64"/>
    </row>
    <row r="125" spans="2:16" ht="17.25" hidden="1" customHeight="1">
      <c r="B125" s="61"/>
      <c r="C125" s="86"/>
      <c r="D125" s="85"/>
      <c r="E125" s="85"/>
      <c r="F125" s="85"/>
      <c r="G125" s="85"/>
      <c r="H125" s="85"/>
      <c r="I125" s="85"/>
      <c r="J125" s="85"/>
      <c r="K125" s="85"/>
      <c r="L125" s="85"/>
      <c r="M125" s="86"/>
      <c r="N125" s="66"/>
      <c r="O125" s="68"/>
      <c r="P125" s="64"/>
    </row>
    <row r="126" spans="2:16" ht="17.25" hidden="1" customHeight="1">
      <c r="B126" s="61" t="s">
        <v>300</v>
      </c>
      <c r="C126" s="86">
        <v>34929.599999999999</v>
      </c>
      <c r="D126" s="85">
        <v>494.7</v>
      </c>
      <c r="E126" s="85">
        <v>0</v>
      </c>
      <c r="F126" s="85">
        <v>69.599999999999994</v>
      </c>
      <c r="G126" s="85">
        <v>0</v>
      </c>
      <c r="H126" s="85">
        <v>2218.6999999999998</v>
      </c>
      <c r="I126" s="85">
        <v>1242.0999999999999</v>
      </c>
      <c r="J126" s="85">
        <v>4425.3999999999996</v>
      </c>
      <c r="K126" s="85">
        <v>781.4</v>
      </c>
      <c r="L126" s="85">
        <v>2477.3000000000002</v>
      </c>
      <c r="M126" s="86">
        <v>46638.7</v>
      </c>
      <c r="N126" s="66"/>
      <c r="O126" s="68"/>
      <c r="P126" s="64"/>
    </row>
    <row r="127" spans="2:16" ht="17.25" hidden="1" customHeight="1">
      <c r="B127" s="61"/>
      <c r="C127" s="86"/>
      <c r="D127" s="85"/>
      <c r="E127" s="85"/>
      <c r="F127" s="85"/>
      <c r="G127" s="85"/>
      <c r="H127" s="85"/>
      <c r="I127" s="85"/>
      <c r="J127" s="85"/>
      <c r="K127" s="85"/>
      <c r="L127" s="85"/>
      <c r="M127" s="86"/>
      <c r="N127" s="66"/>
      <c r="O127" s="68"/>
      <c r="P127" s="64"/>
    </row>
    <row r="128" spans="2:16" ht="17.25" hidden="1" customHeight="1">
      <c r="B128" s="61" t="s">
        <v>301</v>
      </c>
      <c r="C128" s="86">
        <v>34873.1</v>
      </c>
      <c r="D128" s="85">
        <v>311.2</v>
      </c>
      <c r="E128" s="85">
        <v>0</v>
      </c>
      <c r="F128" s="85">
        <v>147.80000000000001</v>
      </c>
      <c r="G128" s="85">
        <v>0</v>
      </c>
      <c r="H128" s="85">
        <v>2388.5</v>
      </c>
      <c r="I128" s="85">
        <v>1386</v>
      </c>
      <c r="J128" s="85">
        <v>4486.5</v>
      </c>
      <c r="K128" s="85">
        <v>777.5</v>
      </c>
      <c r="L128" s="85">
        <v>2411</v>
      </c>
      <c r="M128" s="86">
        <v>46781.7</v>
      </c>
      <c r="N128" s="66"/>
      <c r="O128" s="68"/>
      <c r="P128" s="64"/>
    </row>
    <row r="129" spans="2:16" ht="17.25" hidden="1" customHeight="1">
      <c r="B129" s="61"/>
      <c r="C129" s="86"/>
      <c r="D129" s="85"/>
      <c r="E129" s="85"/>
      <c r="F129" s="85"/>
      <c r="G129" s="85"/>
      <c r="H129" s="85"/>
      <c r="I129" s="85"/>
      <c r="J129" s="85"/>
      <c r="K129" s="85"/>
      <c r="L129" s="85"/>
      <c r="M129" s="86"/>
      <c r="N129" s="66"/>
      <c r="O129" s="68"/>
      <c r="P129" s="64"/>
    </row>
    <row r="130" spans="2:16" ht="17.25" hidden="1" customHeight="1">
      <c r="B130" s="61" t="s">
        <v>302</v>
      </c>
      <c r="C130" s="86">
        <v>33262.300000000003</v>
      </c>
      <c r="D130" s="85">
        <v>176.8</v>
      </c>
      <c r="E130" s="85">
        <v>0</v>
      </c>
      <c r="F130" s="85">
        <v>60.4</v>
      </c>
      <c r="G130" s="85">
        <v>0</v>
      </c>
      <c r="H130" s="85">
        <v>2247.6999999999998</v>
      </c>
      <c r="I130" s="85">
        <v>947.7</v>
      </c>
      <c r="J130" s="85">
        <v>4565</v>
      </c>
      <c r="K130" s="85">
        <v>785.2</v>
      </c>
      <c r="L130" s="85">
        <v>2357.3000000000002</v>
      </c>
      <c r="M130" s="86">
        <v>44402.5</v>
      </c>
      <c r="N130" s="66"/>
      <c r="O130" s="68"/>
      <c r="P130" s="64"/>
    </row>
    <row r="131" spans="2:16" ht="17.25" hidden="1" customHeight="1">
      <c r="B131" s="61"/>
      <c r="C131" s="86"/>
      <c r="D131" s="85"/>
      <c r="E131" s="85"/>
      <c r="F131" s="85"/>
      <c r="G131" s="85"/>
      <c r="H131" s="85"/>
      <c r="I131" s="85"/>
      <c r="J131" s="85"/>
      <c r="K131" s="85"/>
      <c r="L131" s="85"/>
      <c r="M131" s="86"/>
      <c r="N131" s="66"/>
      <c r="O131" s="68"/>
      <c r="P131" s="64"/>
    </row>
    <row r="132" spans="2:16" ht="17.25" hidden="1" customHeight="1">
      <c r="B132" s="61" t="s">
        <v>303</v>
      </c>
      <c r="C132" s="86">
        <v>34559.9</v>
      </c>
      <c r="D132" s="85">
        <v>631.79999999999995</v>
      </c>
      <c r="E132" s="85">
        <v>0</v>
      </c>
      <c r="F132" s="85">
        <v>146.5</v>
      </c>
      <c r="G132" s="85">
        <v>0</v>
      </c>
      <c r="H132" s="85">
        <v>2687.6</v>
      </c>
      <c r="I132" s="85">
        <v>1259.5999999999999</v>
      </c>
      <c r="J132" s="85">
        <v>4628.7</v>
      </c>
      <c r="K132" s="85">
        <v>783.1</v>
      </c>
      <c r="L132" s="85">
        <v>2313</v>
      </c>
      <c r="M132" s="86">
        <v>47010</v>
      </c>
      <c r="N132" s="66"/>
      <c r="O132" s="68"/>
      <c r="P132" s="64"/>
    </row>
    <row r="133" spans="2:16" ht="17.25" hidden="1" customHeight="1">
      <c r="B133" s="61"/>
      <c r="C133" s="86"/>
      <c r="D133" s="85"/>
      <c r="E133" s="85"/>
      <c r="F133" s="85"/>
      <c r="G133" s="85"/>
      <c r="H133" s="85"/>
      <c r="I133" s="85"/>
      <c r="J133" s="85"/>
      <c r="K133" s="85"/>
      <c r="L133" s="85"/>
      <c r="M133" s="86"/>
      <c r="N133" s="66"/>
      <c r="O133" s="68"/>
      <c r="P133" s="64"/>
    </row>
    <row r="134" spans="2:16" ht="17.25" hidden="1" customHeight="1">
      <c r="B134" s="61" t="s">
        <v>304</v>
      </c>
      <c r="C134" s="86">
        <v>34940.800000000003</v>
      </c>
      <c r="D134" s="85">
        <v>626</v>
      </c>
      <c r="E134" s="85">
        <v>0</v>
      </c>
      <c r="F134" s="85">
        <v>87.8</v>
      </c>
      <c r="G134" s="85">
        <v>0</v>
      </c>
      <c r="H134" s="85">
        <v>2438.9</v>
      </c>
      <c r="I134" s="85">
        <v>1100.8</v>
      </c>
      <c r="J134" s="85">
        <v>4693.8999999999996</v>
      </c>
      <c r="K134" s="85">
        <v>801.4</v>
      </c>
      <c r="L134" s="85">
        <v>2265.1</v>
      </c>
      <c r="M134" s="86">
        <v>46954.5</v>
      </c>
      <c r="N134" s="66"/>
      <c r="O134" s="68"/>
      <c r="P134" s="64"/>
    </row>
    <row r="135" spans="2:16" ht="17.25" hidden="1" customHeight="1">
      <c r="B135" s="61"/>
      <c r="C135" s="86"/>
      <c r="D135" s="85"/>
      <c r="E135" s="85"/>
      <c r="F135" s="85"/>
      <c r="G135" s="85"/>
      <c r="H135" s="85"/>
      <c r="I135" s="85"/>
      <c r="J135" s="85"/>
      <c r="K135" s="85"/>
      <c r="L135" s="85"/>
      <c r="M135" s="86"/>
      <c r="N135" s="66"/>
      <c r="O135" s="68"/>
      <c r="P135" s="64"/>
    </row>
    <row r="136" spans="2:16" ht="17.25" hidden="1" customHeight="1">
      <c r="B136" s="61" t="s">
        <v>305</v>
      </c>
      <c r="C136" s="86">
        <v>36798.1</v>
      </c>
      <c r="D136" s="85">
        <v>494.5</v>
      </c>
      <c r="E136" s="85">
        <v>0</v>
      </c>
      <c r="F136" s="85">
        <v>100</v>
      </c>
      <c r="G136" s="85">
        <v>0</v>
      </c>
      <c r="H136" s="85">
        <v>2184.6999999999998</v>
      </c>
      <c r="I136" s="85">
        <v>804.2</v>
      </c>
      <c r="J136" s="85">
        <v>4775.8999999999996</v>
      </c>
      <c r="K136" s="85">
        <v>812.3</v>
      </c>
      <c r="L136" s="85">
        <v>2212.8000000000002</v>
      </c>
      <c r="M136" s="86">
        <v>48182.3</v>
      </c>
      <c r="N136" s="66"/>
      <c r="O136" s="68"/>
      <c r="P136" s="64"/>
    </row>
    <row r="137" spans="2:16" ht="17.25" hidden="1" customHeight="1">
      <c r="B137" s="61"/>
      <c r="C137" s="86"/>
      <c r="D137" s="85"/>
      <c r="E137" s="85"/>
      <c r="F137" s="85"/>
      <c r="G137" s="85"/>
      <c r="H137" s="85"/>
      <c r="I137" s="85"/>
      <c r="J137" s="85"/>
      <c r="K137" s="85"/>
      <c r="L137" s="85"/>
      <c r="M137" s="86"/>
      <c r="N137" s="66"/>
      <c r="O137" s="68"/>
      <c r="P137" s="64"/>
    </row>
    <row r="138" spans="2:16" ht="17.25" hidden="1" customHeight="1">
      <c r="B138" s="61" t="s">
        <v>306</v>
      </c>
      <c r="C138" s="86">
        <v>37988.199999999997</v>
      </c>
      <c r="D138" s="85">
        <v>1046.8</v>
      </c>
      <c r="E138" s="85">
        <v>0</v>
      </c>
      <c r="F138" s="85">
        <v>117.5</v>
      </c>
      <c r="G138" s="85">
        <v>0</v>
      </c>
      <c r="H138" s="85">
        <v>2194</v>
      </c>
      <c r="I138" s="85">
        <v>1174.9000000000001</v>
      </c>
      <c r="J138" s="85">
        <v>4836.6000000000004</v>
      </c>
      <c r="K138" s="85">
        <v>801.8</v>
      </c>
      <c r="L138" s="85">
        <v>2158</v>
      </c>
      <c r="M138" s="86">
        <v>50317.8</v>
      </c>
      <c r="N138" s="66"/>
      <c r="O138" s="68"/>
      <c r="P138" s="64"/>
    </row>
    <row r="139" spans="2:16" ht="17.25" hidden="1" customHeight="1">
      <c r="B139" s="61"/>
      <c r="C139" s="86"/>
      <c r="D139" s="85"/>
      <c r="E139" s="85"/>
      <c r="F139" s="85"/>
      <c r="G139" s="85"/>
      <c r="H139" s="85"/>
      <c r="I139" s="85"/>
      <c r="J139" s="85"/>
      <c r="K139" s="85"/>
      <c r="L139" s="85"/>
      <c r="M139" s="86"/>
      <c r="N139" s="66"/>
      <c r="O139" s="68"/>
      <c r="P139" s="64"/>
    </row>
    <row r="140" spans="2:16" ht="17.25" hidden="1" customHeight="1">
      <c r="B140" s="61" t="s">
        <v>307</v>
      </c>
      <c r="C140" s="86">
        <v>38499.4</v>
      </c>
      <c r="D140" s="85">
        <v>1307.9000000000001</v>
      </c>
      <c r="E140" s="85">
        <v>0</v>
      </c>
      <c r="F140" s="85">
        <v>60.7</v>
      </c>
      <c r="G140" s="85">
        <v>0</v>
      </c>
      <c r="H140" s="85">
        <v>2510.4</v>
      </c>
      <c r="I140" s="85">
        <v>828.4</v>
      </c>
      <c r="J140" s="85">
        <v>4867.3</v>
      </c>
      <c r="K140" s="85">
        <v>842.5</v>
      </c>
      <c r="L140" s="85">
        <v>2062.1999999999998</v>
      </c>
      <c r="M140" s="86">
        <v>50977.9</v>
      </c>
      <c r="N140" s="66"/>
      <c r="O140" s="68"/>
      <c r="P140" s="64"/>
    </row>
    <row r="141" spans="2:16" ht="17.25" hidden="1" customHeight="1">
      <c r="B141" s="61"/>
      <c r="C141" s="86"/>
      <c r="D141" s="85"/>
      <c r="E141" s="85"/>
      <c r="F141" s="85"/>
      <c r="G141" s="85"/>
      <c r="H141" s="85"/>
      <c r="I141" s="85"/>
      <c r="J141" s="85"/>
      <c r="K141" s="85"/>
      <c r="L141" s="85"/>
      <c r="M141" s="86"/>
      <c r="N141" s="66"/>
      <c r="O141" s="68"/>
      <c r="P141" s="64"/>
    </row>
    <row r="142" spans="2:16" ht="17.25" hidden="1" customHeight="1">
      <c r="B142" s="61" t="s">
        <v>308</v>
      </c>
      <c r="C142" s="86">
        <v>42596.4</v>
      </c>
      <c r="D142" s="85">
        <v>1088.8</v>
      </c>
      <c r="E142" s="85">
        <v>0</v>
      </c>
      <c r="F142" s="85">
        <v>102.7</v>
      </c>
      <c r="G142" s="85">
        <v>0</v>
      </c>
      <c r="H142" s="85">
        <v>2678.4</v>
      </c>
      <c r="I142" s="85">
        <v>1553.4</v>
      </c>
      <c r="J142" s="85">
        <v>4889.8999999999996</v>
      </c>
      <c r="K142" s="85">
        <v>853.8</v>
      </c>
      <c r="L142" s="85">
        <v>2008</v>
      </c>
      <c r="M142" s="86">
        <v>55771.5</v>
      </c>
      <c r="N142" s="66"/>
      <c r="O142" s="68"/>
      <c r="P142" s="64"/>
    </row>
    <row r="143" spans="2:16" ht="17.25" hidden="1" customHeight="1">
      <c r="B143" s="61"/>
      <c r="C143" s="86"/>
      <c r="D143" s="85"/>
      <c r="E143" s="85"/>
      <c r="F143" s="85"/>
      <c r="G143" s="85"/>
      <c r="H143" s="85"/>
      <c r="I143" s="85"/>
      <c r="J143" s="85"/>
      <c r="K143" s="85"/>
      <c r="L143" s="85"/>
      <c r="M143" s="86"/>
      <c r="N143" s="66"/>
      <c r="O143" s="68"/>
      <c r="P143" s="64"/>
    </row>
    <row r="144" spans="2:16" ht="17.25" hidden="1" customHeight="1">
      <c r="B144" s="61" t="s">
        <v>311</v>
      </c>
      <c r="C144" s="86">
        <v>43133.3</v>
      </c>
      <c r="D144" s="55">
        <v>208.3</v>
      </c>
      <c r="E144" s="85">
        <v>0</v>
      </c>
      <c r="F144" s="85">
        <v>421.3</v>
      </c>
      <c r="G144" s="85">
        <v>0</v>
      </c>
      <c r="H144" s="85">
        <v>2727.7</v>
      </c>
      <c r="I144" s="85">
        <v>1663.1</v>
      </c>
      <c r="J144" s="85">
        <v>4919</v>
      </c>
      <c r="K144" s="85">
        <v>1603.1</v>
      </c>
      <c r="L144" s="85">
        <v>1952</v>
      </c>
      <c r="M144" s="86">
        <v>56627.8</v>
      </c>
      <c r="N144" s="66"/>
      <c r="O144" s="68"/>
      <c r="P144" s="64"/>
    </row>
    <row r="145" spans="2:16" ht="17.25" hidden="1" customHeight="1">
      <c r="B145" s="61"/>
      <c r="C145" s="86"/>
      <c r="D145" s="55"/>
      <c r="E145" s="85"/>
      <c r="F145" s="85"/>
      <c r="G145" s="85"/>
      <c r="H145" s="85"/>
      <c r="I145" s="85"/>
      <c r="J145" s="85"/>
      <c r="K145" s="85"/>
      <c r="L145" s="85"/>
      <c r="M145" s="86"/>
      <c r="N145" s="66"/>
      <c r="O145" s="68"/>
      <c r="P145" s="64"/>
    </row>
    <row r="146" spans="2:16" ht="17.25" hidden="1" customHeight="1">
      <c r="B146" s="55">
        <v>1999</v>
      </c>
      <c r="C146" s="86"/>
      <c r="D146" s="55"/>
      <c r="E146" s="85"/>
      <c r="F146" s="85"/>
      <c r="G146" s="85"/>
      <c r="H146" s="85"/>
      <c r="I146" s="85"/>
      <c r="J146" s="85"/>
      <c r="K146" s="85"/>
      <c r="L146" s="85"/>
      <c r="M146" s="86"/>
      <c r="N146" s="66"/>
      <c r="O146" s="68"/>
      <c r="P146" s="64"/>
    </row>
    <row r="147" spans="2:16" ht="17.25" hidden="1" customHeight="1">
      <c r="B147" s="61"/>
      <c r="C147" s="86"/>
      <c r="D147" s="55"/>
      <c r="E147" s="85"/>
      <c r="F147" s="85"/>
      <c r="G147" s="85"/>
      <c r="H147" s="85"/>
      <c r="I147" s="85"/>
      <c r="J147" s="85"/>
      <c r="K147" s="85"/>
      <c r="L147" s="85"/>
      <c r="M147" s="86"/>
      <c r="N147" s="66"/>
      <c r="O147" s="68"/>
      <c r="P147" s="64"/>
    </row>
    <row r="148" spans="2:16" ht="17.25" hidden="1" customHeight="1">
      <c r="B148" s="61" t="s">
        <v>298</v>
      </c>
      <c r="C148" s="86">
        <v>42530.9</v>
      </c>
      <c r="D148" s="55">
        <v>410.8</v>
      </c>
      <c r="E148" s="85">
        <v>0</v>
      </c>
      <c r="F148" s="85">
        <v>323.2</v>
      </c>
      <c r="G148" s="85">
        <v>0</v>
      </c>
      <c r="H148" s="85">
        <v>3121.9</v>
      </c>
      <c r="I148" s="85">
        <v>1359.7</v>
      </c>
      <c r="J148" s="85">
        <v>4972.2</v>
      </c>
      <c r="K148" s="85">
        <v>1583.3</v>
      </c>
      <c r="L148" s="85">
        <v>1917</v>
      </c>
      <c r="M148" s="86">
        <v>56219.1</v>
      </c>
      <c r="N148" s="66"/>
      <c r="O148" s="68"/>
      <c r="P148" s="64"/>
    </row>
    <row r="149" spans="2:16" ht="17.25" hidden="1" customHeight="1">
      <c r="B149" s="61"/>
      <c r="C149" s="86"/>
      <c r="D149" s="55"/>
      <c r="E149" s="85"/>
      <c r="F149" s="85"/>
      <c r="G149" s="85"/>
      <c r="H149" s="85"/>
      <c r="I149" s="85"/>
      <c r="J149" s="85"/>
      <c r="K149" s="85"/>
      <c r="L149" s="85"/>
      <c r="M149" s="86"/>
      <c r="N149" s="66"/>
      <c r="O149" s="68"/>
      <c r="P149" s="64"/>
    </row>
    <row r="150" spans="2:16" ht="17.25" hidden="1" customHeight="1">
      <c r="B150" s="61" t="s">
        <v>299</v>
      </c>
      <c r="C150" s="86">
        <v>43382</v>
      </c>
      <c r="D150" s="55">
        <v>552.70000000000005</v>
      </c>
      <c r="E150" s="85">
        <v>0</v>
      </c>
      <c r="F150" s="85">
        <v>228.8</v>
      </c>
      <c r="G150" s="85">
        <v>0</v>
      </c>
      <c r="H150" s="85">
        <v>3280.6</v>
      </c>
      <c r="I150" s="85">
        <v>1178.3</v>
      </c>
      <c r="J150" s="85">
        <v>5007.8</v>
      </c>
      <c r="K150" s="85">
        <v>1635</v>
      </c>
      <c r="L150" s="85">
        <v>1872.6</v>
      </c>
      <c r="M150" s="86">
        <v>57137.8</v>
      </c>
      <c r="N150" s="66"/>
      <c r="O150" s="68"/>
      <c r="P150" s="68"/>
    </row>
    <row r="151" spans="2:16" ht="17.25" hidden="1" customHeight="1">
      <c r="B151" s="61"/>
      <c r="C151" s="86"/>
      <c r="D151" s="55"/>
      <c r="E151" s="85"/>
      <c r="F151" s="85"/>
      <c r="G151" s="85"/>
      <c r="H151" s="85"/>
      <c r="I151" s="85"/>
      <c r="J151" s="85"/>
      <c r="K151" s="85"/>
      <c r="L151" s="85"/>
      <c r="M151" s="86"/>
      <c r="N151" s="66"/>
      <c r="O151" s="68"/>
      <c r="P151" s="68"/>
    </row>
    <row r="152" spans="2:16" ht="17.25" hidden="1" customHeight="1">
      <c r="B152" s="61" t="s">
        <v>300</v>
      </c>
      <c r="C152" s="86">
        <v>45768.2</v>
      </c>
      <c r="D152" s="55">
        <v>1401.2</v>
      </c>
      <c r="E152" s="85">
        <v>0</v>
      </c>
      <c r="F152" s="85">
        <v>43.1</v>
      </c>
      <c r="G152" s="85">
        <v>0</v>
      </c>
      <c r="H152" s="85">
        <v>3051.4</v>
      </c>
      <c r="I152" s="85">
        <v>1517.2</v>
      </c>
      <c r="J152" s="85">
        <v>5122</v>
      </c>
      <c r="K152" s="85">
        <v>1644.1</v>
      </c>
      <c r="L152" s="85">
        <v>1863.7</v>
      </c>
      <c r="M152" s="86">
        <v>60410.9</v>
      </c>
      <c r="N152" s="66"/>
      <c r="O152" s="68"/>
      <c r="P152" s="68"/>
    </row>
    <row r="153" spans="2:16" ht="17.25" hidden="1" customHeight="1">
      <c r="B153" s="61"/>
      <c r="C153" s="86"/>
      <c r="D153" s="55"/>
      <c r="E153" s="85"/>
      <c r="F153" s="85"/>
      <c r="G153" s="85"/>
      <c r="H153" s="85"/>
      <c r="I153" s="85"/>
      <c r="J153" s="85"/>
      <c r="K153" s="85"/>
      <c r="L153" s="85"/>
      <c r="M153" s="86"/>
      <c r="N153" s="66"/>
      <c r="O153" s="68"/>
      <c r="P153" s="68"/>
    </row>
    <row r="154" spans="2:16" ht="17.25" hidden="1" customHeight="1">
      <c r="B154" s="61" t="s">
        <v>301</v>
      </c>
      <c r="C154" s="86">
        <v>48516.5</v>
      </c>
      <c r="D154" s="55">
        <v>2101.4</v>
      </c>
      <c r="E154" s="85">
        <v>0</v>
      </c>
      <c r="F154" s="85">
        <v>0.4</v>
      </c>
      <c r="G154" s="85">
        <v>0</v>
      </c>
      <c r="H154" s="85">
        <v>2933.6</v>
      </c>
      <c r="I154" s="85">
        <v>1386.4</v>
      </c>
      <c r="J154" s="85">
        <v>5197.1000000000004</v>
      </c>
      <c r="K154" s="85">
        <v>1681</v>
      </c>
      <c r="L154" s="85">
        <v>1815</v>
      </c>
      <c r="M154" s="86">
        <v>63631.5</v>
      </c>
      <c r="N154" s="66"/>
      <c r="O154" s="68"/>
      <c r="P154" s="68"/>
    </row>
    <row r="155" spans="2:16" ht="17.25" hidden="1" customHeight="1">
      <c r="B155" s="61"/>
      <c r="C155" s="86"/>
      <c r="D155" s="55"/>
      <c r="E155" s="85"/>
      <c r="F155" s="85"/>
      <c r="G155" s="85"/>
      <c r="H155" s="85"/>
      <c r="I155" s="85"/>
      <c r="J155" s="85"/>
      <c r="K155" s="85"/>
      <c r="L155" s="85"/>
      <c r="M155" s="86"/>
      <c r="N155" s="66"/>
      <c r="O155" s="68"/>
      <c r="P155" s="68"/>
    </row>
    <row r="156" spans="2:16" ht="17.25" hidden="1" customHeight="1">
      <c r="B156" s="61" t="s">
        <v>302</v>
      </c>
      <c r="C156" s="86">
        <v>51179.9</v>
      </c>
      <c r="D156" s="55">
        <v>2552.4</v>
      </c>
      <c r="E156" s="85">
        <v>0</v>
      </c>
      <c r="F156" s="85">
        <v>389.5</v>
      </c>
      <c r="G156" s="85">
        <v>0</v>
      </c>
      <c r="H156" s="85">
        <v>3065.6</v>
      </c>
      <c r="I156" s="85">
        <v>1472.8</v>
      </c>
      <c r="J156" s="85">
        <v>5299.6</v>
      </c>
      <c r="K156" s="85">
        <v>1642.3</v>
      </c>
      <c r="L156" s="85">
        <v>1792.2</v>
      </c>
      <c r="M156" s="86">
        <v>67394.100000000006</v>
      </c>
      <c r="N156" s="66"/>
      <c r="O156" s="68"/>
      <c r="P156" s="68"/>
    </row>
    <row r="157" spans="2:16" ht="17.25" hidden="1" customHeight="1">
      <c r="B157" s="61"/>
      <c r="C157" s="86"/>
      <c r="D157" s="55"/>
      <c r="E157" s="85"/>
      <c r="F157" s="85"/>
      <c r="G157" s="85"/>
      <c r="H157" s="85"/>
      <c r="I157" s="85"/>
      <c r="J157" s="85"/>
      <c r="K157" s="85"/>
      <c r="L157" s="85"/>
      <c r="M157" s="86"/>
      <c r="N157" s="66"/>
      <c r="O157" s="68"/>
      <c r="P157" s="68"/>
    </row>
    <row r="158" spans="2:16" ht="17.25" hidden="1" customHeight="1">
      <c r="B158" s="61" t="s">
        <v>303</v>
      </c>
      <c r="C158" s="86">
        <v>52860.9</v>
      </c>
      <c r="D158" s="55">
        <v>1322.9</v>
      </c>
      <c r="E158" s="85">
        <v>0</v>
      </c>
      <c r="F158" s="85">
        <v>131.19999999999999</v>
      </c>
      <c r="G158" s="85">
        <v>0</v>
      </c>
      <c r="H158" s="85">
        <v>3166.9</v>
      </c>
      <c r="I158" s="85">
        <v>1510.3</v>
      </c>
      <c r="J158" s="85">
        <v>5387.1</v>
      </c>
      <c r="K158" s="85">
        <v>1677.7</v>
      </c>
      <c r="L158" s="85">
        <v>1781.3</v>
      </c>
      <c r="M158" s="86">
        <v>67838.5</v>
      </c>
      <c r="N158" s="66"/>
      <c r="O158" s="68"/>
      <c r="P158" s="68"/>
    </row>
    <row r="159" spans="2:16" ht="17.25" hidden="1" customHeight="1">
      <c r="B159" s="61"/>
      <c r="C159" s="86"/>
      <c r="D159" s="55"/>
      <c r="E159" s="85"/>
      <c r="F159" s="85"/>
      <c r="G159" s="85"/>
      <c r="H159" s="85"/>
      <c r="I159" s="85"/>
      <c r="J159" s="85"/>
      <c r="K159" s="85"/>
      <c r="L159" s="85"/>
      <c r="M159" s="86"/>
      <c r="N159" s="66"/>
      <c r="O159" s="68"/>
      <c r="P159" s="68"/>
    </row>
    <row r="160" spans="2:16" ht="17.25" hidden="1" customHeight="1">
      <c r="B160" s="61" t="s">
        <v>304</v>
      </c>
      <c r="C160" s="86">
        <v>55990.8</v>
      </c>
      <c r="D160" s="55">
        <v>2492.1</v>
      </c>
      <c r="E160" s="85">
        <v>0</v>
      </c>
      <c r="F160" s="85">
        <v>60</v>
      </c>
      <c r="G160" s="85">
        <v>0</v>
      </c>
      <c r="H160" s="85">
        <v>3155</v>
      </c>
      <c r="I160" s="85">
        <v>1450</v>
      </c>
      <c r="J160" s="85">
        <v>5526.4</v>
      </c>
      <c r="K160" s="85">
        <v>1769.5</v>
      </c>
      <c r="L160" s="85">
        <v>1790.7</v>
      </c>
      <c r="M160" s="86">
        <v>72234.5</v>
      </c>
      <c r="N160" s="66"/>
      <c r="O160" s="68"/>
      <c r="P160" s="68"/>
    </row>
    <row r="161" spans="2:16" ht="17.25" hidden="1" customHeight="1">
      <c r="B161" s="61"/>
      <c r="C161" s="86"/>
      <c r="D161" s="55"/>
      <c r="E161" s="85"/>
      <c r="F161" s="85"/>
      <c r="G161" s="85"/>
      <c r="H161" s="85"/>
      <c r="I161" s="85"/>
      <c r="J161" s="85"/>
      <c r="K161" s="85"/>
      <c r="L161" s="85"/>
      <c r="M161" s="86"/>
      <c r="N161" s="66"/>
      <c r="O161" s="68"/>
      <c r="P161" s="68"/>
    </row>
    <row r="162" spans="2:16" ht="17.25" hidden="1" customHeight="1">
      <c r="B162" s="61" t="s">
        <v>305</v>
      </c>
      <c r="C162" s="86">
        <v>57150.8</v>
      </c>
      <c r="D162" s="55">
        <v>1423</v>
      </c>
      <c r="E162" s="85">
        <v>0</v>
      </c>
      <c r="F162" s="85">
        <v>100</v>
      </c>
      <c r="G162" s="85">
        <v>0</v>
      </c>
      <c r="H162" s="85">
        <v>2989.5</v>
      </c>
      <c r="I162" s="85">
        <v>1588.3</v>
      </c>
      <c r="J162" s="85">
        <v>5632.2</v>
      </c>
      <c r="K162" s="85">
        <v>1828</v>
      </c>
      <c r="L162" s="85">
        <v>1775.8</v>
      </c>
      <c r="M162" s="86">
        <v>72487.600000000006</v>
      </c>
      <c r="N162" s="66"/>
      <c r="O162" s="68"/>
      <c r="P162" s="68"/>
    </row>
    <row r="163" spans="2:16" ht="17.25" hidden="1" customHeight="1">
      <c r="B163" s="61"/>
      <c r="C163" s="86"/>
      <c r="D163" s="55"/>
      <c r="E163" s="85"/>
      <c r="F163" s="85"/>
      <c r="G163" s="85"/>
      <c r="H163" s="85"/>
      <c r="I163" s="85"/>
      <c r="J163" s="85"/>
      <c r="K163" s="85"/>
      <c r="L163" s="85"/>
      <c r="M163" s="86"/>
      <c r="N163" s="66"/>
      <c r="O163" s="68"/>
      <c r="P163" s="68"/>
    </row>
    <row r="164" spans="2:16" ht="17.25" hidden="1" customHeight="1">
      <c r="B164" s="61" t="s">
        <v>306</v>
      </c>
      <c r="C164" s="86">
        <v>57671.8</v>
      </c>
      <c r="D164" s="55">
        <v>1148.0999999999999</v>
      </c>
      <c r="E164" s="85">
        <v>0</v>
      </c>
      <c r="F164" s="85">
        <v>150</v>
      </c>
      <c r="G164" s="85">
        <v>0</v>
      </c>
      <c r="H164" s="85">
        <v>2546.9</v>
      </c>
      <c r="I164" s="85">
        <v>1871.7</v>
      </c>
      <c r="J164" s="85">
        <v>5725.4</v>
      </c>
      <c r="K164" s="85">
        <v>1804.6</v>
      </c>
      <c r="L164" s="85">
        <v>1762.8</v>
      </c>
      <c r="M164" s="86">
        <v>72681.399999999994</v>
      </c>
      <c r="N164" s="66"/>
      <c r="O164" s="68"/>
      <c r="P164" s="68"/>
    </row>
    <row r="165" spans="2:16" ht="17.25" hidden="1" customHeight="1">
      <c r="B165" s="61"/>
      <c r="C165" s="86"/>
      <c r="D165" s="55"/>
      <c r="E165" s="85"/>
      <c r="F165" s="85"/>
      <c r="G165" s="85"/>
      <c r="H165" s="85"/>
      <c r="I165" s="85"/>
      <c r="J165" s="85"/>
      <c r="K165" s="85"/>
      <c r="L165" s="85"/>
      <c r="M165" s="86"/>
      <c r="N165" s="66"/>
      <c r="O165" s="68"/>
      <c r="P165" s="68"/>
    </row>
    <row r="166" spans="2:16" ht="17.25" hidden="1" customHeight="1">
      <c r="B166" s="61" t="s">
        <v>307</v>
      </c>
      <c r="C166" s="86">
        <v>58375</v>
      </c>
      <c r="D166" s="55">
        <f>1607.2-7</f>
        <v>1600.2</v>
      </c>
      <c r="E166" s="85">
        <v>7</v>
      </c>
      <c r="F166" s="85">
        <v>112.8</v>
      </c>
      <c r="G166" s="85">
        <v>0</v>
      </c>
      <c r="H166" s="85">
        <v>2021.7</v>
      </c>
      <c r="I166" s="85">
        <v>1311.8</v>
      </c>
      <c r="J166" s="85">
        <v>5820.2</v>
      </c>
      <c r="K166" s="85">
        <v>1860.5</v>
      </c>
      <c r="L166" s="85">
        <v>1706.8</v>
      </c>
      <c r="M166" s="86">
        <v>72815.899999999994</v>
      </c>
      <c r="N166" s="66"/>
      <c r="O166" s="68"/>
      <c r="P166" s="68"/>
    </row>
    <row r="167" spans="2:16" ht="17.25" hidden="1" customHeight="1">
      <c r="B167" s="61"/>
      <c r="C167" s="86"/>
      <c r="D167" s="55"/>
      <c r="E167" s="85"/>
      <c r="F167" s="85"/>
      <c r="G167" s="85"/>
      <c r="H167" s="85"/>
      <c r="I167" s="85"/>
      <c r="J167" s="85"/>
      <c r="K167" s="85"/>
      <c r="L167" s="85"/>
      <c r="M167" s="86"/>
      <c r="N167" s="66"/>
      <c r="O167" s="68"/>
      <c r="P167" s="68"/>
    </row>
    <row r="168" spans="2:16" ht="17.25" hidden="1" customHeight="1">
      <c r="B168" s="61" t="s">
        <v>308</v>
      </c>
      <c r="C168" s="86">
        <v>61645</v>
      </c>
      <c r="D168" s="55">
        <f>1932.9-1.4</f>
        <v>1931.5</v>
      </c>
      <c r="E168" s="85">
        <v>1.4</v>
      </c>
      <c r="F168" s="85">
        <f>105-4.2</f>
        <v>100.8</v>
      </c>
      <c r="G168" s="85">
        <v>4.2</v>
      </c>
      <c r="H168" s="85">
        <v>2025.5</v>
      </c>
      <c r="I168" s="85">
        <v>1463.6</v>
      </c>
      <c r="J168" s="85">
        <v>5904.8</v>
      </c>
      <c r="K168" s="85">
        <v>1869.5</v>
      </c>
      <c r="L168" s="85">
        <v>1682.1</v>
      </c>
      <c r="M168" s="86">
        <v>76628.600000000006</v>
      </c>
      <c r="N168" s="66"/>
      <c r="O168" s="68"/>
      <c r="P168" s="68"/>
    </row>
    <row r="169" spans="2:16" ht="17.25" hidden="1" customHeight="1">
      <c r="B169" s="61"/>
      <c r="C169" s="86"/>
      <c r="D169" s="55"/>
      <c r="E169" s="85"/>
      <c r="F169" s="85"/>
      <c r="G169" s="85"/>
      <c r="H169" s="85"/>
      <c r="I169" s="85"/>
      <c r="J169" s="85"/>
      <c r="K169" s="85"/>
      <c r="L169" s="85"/>
      <c r="M169" s="86"/>
      <c r="N169" s="66"/>
      <c r="O169" s="68"/>
      <c r="P169" s="68"/>
    </row>
    <row r="170" spans="2:16" ht="17.25" hidden="1" customHeight="1">
      <c r="B170" s="61" t="s">
        <v>311</v>
      </c>
      <c r="C170" s="86">
        <v>58396.7</v>
      </c>
      <c r="D170" s="55">
        <f>2731-1.1</f>
        <v>2729.9</v>
      </c>
      <c r="E170" s="85">
        <v>1.1000000000000001</v>
      </c>
      <c r="F170" s="85">
        <v>99.7</v>
      </c>
      <c r="G170" s="85">
        <v>0</v>
      </c>
      <c r="H170" s="85">
        <v>1844.8</v>
      </c>
      <c r="I170" s="85">
        <v>914.2</v>
      </c>
      <c r="J170" s="85">
        <v>6026.2</v>
      </c>
      <c r="K170" s="85">
        <v>1865.6</v>
      </c>
      <c r="L170" s="85">
        <v>1641.2</v>
      </c>
      <c r="M170" s="86">
        <v>73519.199999999997</v>
      </c>
      <c r="N170" s="66"/>
      <c r="O170" s="68"/>
      <c r="P170" s="68"/>
    </row>
    <row r="171" spans="2:16" ht="17.25" hidden="1" customHeight="1">
      <c r="B171" s="61"/>
      <c r="C171" s="86"/>
      <c r="D171" s="55"/>
      <c r="E171" s="85"/>
      <c r="F171" s="85"/>
      <c r="G171" s="85"/>
      <c r="H171" s="85"/>
      <c r="I171" s="85"/>
      <c r="J171" s="85"/>
      <c r="K171" s="85"/>
      <c r="L171" s="85"/>
      <c r="M171" s="86"/>
      <c r="N171" s="66"/>
      <c r="O171" s="68"/>
      <c r="P171" s="68"/>
    </row>
    <row r="172" spans="2:16" ht="15.75" hidden="1">
      <c r="B172" s="55">
        <v>2000</v>
      </c>
      <c r="C172" s="86"/>
      <c r="D172" s="55"/>
      <c r="E172" s="85"/>
      <c r="F172" s="85"/>
      <c r="G172" s="85"/>
      <c r="H172" s="85"/>
      <c r="I172" s="85"/>
      <c r="J172" s="85"/>
      <c r="K172" s="85"/>
      <c r="L172" s="85"/>
      <c r="M172" s="86"/>
      <c r="N172" s="66"/>
      <c r="O172" s="68"/>
      <c r="P172" s="68"/>
    </row>
    <row r="173" spans="2:16" ht="15.75" hidden="1">
      <c r="B173" s="55"/>
      <c r="C173" s="86"/>
      <c r="D173" s="55"/>
      <c r="E173" s="85"/>
      <c r="F173" s="85"/>
      <c r="G173" s="85"/>
      <c r="H173" s="85"/>
      <c r="I173" s="85"/>
      <c r="J173" s="85"/>
      <c r="K173" s="85"/>
      <c r="L173" s="85"/>
      <c r="M173" s="86"/>
      <c r="N173" s="66"/>
      <c r="O173" s="68"/>
      <c r="P173" s="68"/>
    </row>
    <row r="174" spans="2:16" ht="15.75" hidden="1">
      <c r="B174" s="57" t="s">
        <v>298</v>
      </c>
      <c r="C174" s="86">
        <v>65694</v>
      </c>
      <c r="D174" s="55">
        <f>2116-12.3</f>
        <v>2103.6999999999998</v>
      </c>
      <c r="E174" s="85">
        <v>12.3</v>
      </c>
      <c r="F174" s="85">
        <v>64.900000000000006</v>
      </c>
      <c r="G174" s="85">
        <v>0</v>
      </c>
      <c r="H174" s="85">
        <v>2371</v>
      </c>
      <c r="I174" s="85">
        <v>1523.9</v>
      </c>
      <c r="J174" s="85">
        <v>6115.5</v>
      </c>
      <c r="K174" s="85">
        <v>1898.8</v>
      </c>
      <c r="L174" s="85">
        <v>1639.3</v>
      </c>
      <c r="M174" s="86">
        <v>81423.3</v>
      </c>
      <c r="N174" s="66"/>
      <c r="O174" s="68"/>
      <c r="P174" s="68"/>
    </row>
    <row r="175" spans="2:16" ht="15.75" hidden="1">
      <c r="B175" s="57"/>
      <c r="C175" s="86"/>
      <c r="D175" s="55"/>
      <c r="E175" s="85"/>
      <c r="F175" s="85"/>
      <c r="G175" s="85"/>
      <c r="H175" s="85"/>
      <c r="I175" s="85"/>
      <c r="J175" s="85"/>
      <c r="K175" s="85"/>
      <c r="L175" s="85"/>
      <c r="M175" s="86"/>
      <c r="N175" s="66"/>
      <c r="O175" s="68"/>
      <c r="P175" s="68"/>
    </row>
    <row r="176" spans="2:16" ht="15.75" hidden="1">
      <c r="B176" s="57" t="s">
        <v>299</v>
      </c>
      <c r="C176" s="86">
        <v>64969.5</v>
      </c>
      <c r="D176" s="55">
        <f>1739.3-1.8</f>
        <v>1737.5</v>
      </c>
      <c r="E176" s="85">
        <v>1.8</v>
      </c>
      <c r="F176" s="85">
        <v>136</v>
      </c>
      <c r="G176" s="85">
        <v>0</v>
      </c>
      <c r="H176" s="85">
        <v>2378.3000000000002</v>
      </c>
      <c r="I176" s="85">
        <v>1304.4000000000001</v>
      </c>
      <c r="J176" s="85">
        <v>6166.7</v>
      </c>
      <c r="K176" s="85">
        <v>1941.6</v>
      </c>
      <c r="L176" s="85">
        <v>1624.1</v>
      </c>
      <c r="M176" s="86">
        <v>80259.899999999994</v>
      </c>
      <c r="N176" s="66"/>
      <c r="O176" s="68"/>
      <c r="P176" s="68"/>
    </row>
    <row r="177" spans="2:16" ht="15.75" hidden="1">
      <c r="B177" s="57"/>
      <c r="C177" s="86"/>
      <c r="D177" s="55"/>
      <c r="E177" s="85"/>
      <c r="F177" s="85"/>
      <c r="G177" s="85"/>
      <c r="H177" s="85"/>
      <c r="I177" s="85"/>
      <c r="J177" s="85"/>
      <c r="K177" s="85"/>
      <c r="L177" s="85"/>
      <c r="M177" s="86"/>
      <c r="N177" s="66"/>
      <c r="O177" s="68"/>
      <c r="P177" s="68"/>
    </row>
    <row r="178" spans="2:16" ht="15.75" hidden="1">
      <c r="B178" s="57" t="s">
        <v>300</v>
      </c>
      <c r="C178" s="86">
        <v>69000</v>
      </c>
      <c r="D178" s="55">
        <f>3027.4-2</f>
        <v>3025.4</v>
      </c>
      <c r="E178" s="85">
        <v>2</v>
      </c>
      <c r="F178" s="85">
        <v>100</v>
      </c>
      <c r="G178" s="85">
        <v>0</v>
      </c>
      <c r="H178" s="85">
        <v>1379.6</v>
      </c>
      <c r="I178" s="85">
        <v>2009.9</v>
      </c>
      <c r="J178" s="85">
        <v>6262.2</v>
      </c>
      <c r="K178" s="85">
        <v>1958.9</v>
      </c>
      <c r="L178" s="85">
        <v>1617.9</v>
      </c>
      <c r="M178" s="86">
        <v>85355.9</v>
      </c>
      <c r="N178" s="66"/>
      <c r="O178" s="68"/>
      <c r="P178" s="68"/>
    </row>
    <row r="179" spans="2:16" ht="15.75" hidden="1">
      <c r="B179" s="57"/>
      <c r="C179" s="86"/>
      <c r="D179" s="55"/>
      <c r="E179" s="85"/>
      <c r="F179" s="85"/>
      <c r="G179" s="85"/>
      <c r="H179" s="85"/>
      <c r="I179" s="85"/>
      <c r="J179" s="85"/>
      <c r="K179" s="85"/>
      <c r="L179" s="85"/>
      <c r="M179" s="86"/>
      <c r="N179" s="66"/>
      <c r="O179" s="68"/>
      <c r="P179" s="68"/>
    </row>
    <row r="180" spans="2:16" ht="15.75" hidden="1">
      <c r="B180" s="57" t="s">
        <v>301</v>
      </c>
      <c r="C180" s="86">
        <v>72336.2</v>
      </c>
      <c r="D180" s="55">
        <f>3059.2-1.1</f>
        <v>3058.1</v>
      </c>
      <c r="E180" s="85">
        <v>1.1000000000000001</v>
      </c>
      <c r="F180" s="85">
        <v>120</v>
      </c>
      <c r="G180" s="85">
        <v>0</v>
      </c>
      <c r="H180" s="85">
        <v>2495.1999999999998</v>
      </c>
      <c r="I180" s="85">
        <v>1549</v>
      </c>
      <c r="J180" s="85">
        <v>6321.1</v>
      </c>
      <c r="K180" s="85">
        <v>2395</v>
      </c>
      <c r="L180" s="85">
        <v>1565.1</v>
      </c>
      <c r="M180" s="86">
        <v>89840.6</v>
      </c>
      <c r="N180" s="66"/>
      <c r="O180" s="68"/>
      <c r="P180" s="68"/>
    </row>
    <row r="181" spans="2:16" ht="15.75" hidden="1">
      <c r="B181" s="57"/>
      <c r="C181" s="86"/>
      <c r="D181" s="55"/>
      <c r="E181" s="85"/>
      <c r="F181" s="85"/>
      <c r="G181" s="85"/>
      <c r="H181" s="85"/>
      <c r="I181" s="85"/>
      <c r="J181" s="85"/>
      <c r="K181" s="85"/>
      <c r="L181" s="85"/>
      <c r="M181" s="86"/>
      <c r="N181" s="66"/>
      <c r="O181" s="68"/>
      <c r="P181" s="68"/>
    </row>
    <row r="182" spans="2:16" ht="15.75" hidden="1">
      <c r="B182" s="57" t="s">
        <v>302</v>
      </c>
      <c r="C182" s="86">
        <v>74604.100000000006</v>
      </c>
      <c r="D182" s="55">
        <f>2938.6-1.4</f>
        <v>2937.2</v>
      </c>
      <c r="E182" s="85">
        <v>1.4</v>
      </c>
      <c r="F182" s="85">
        <v>123.3</v>
      </c>
      <c r="G182" s="85">
        <v>0</v>
      </c>
      <c r="H182" s="85">
        <v>2603.9</v>
      </c>
      <c r="I182" s="85">
        <v>2241.5</v>
      </c>
      <c r="J182" s="85">
        <v>6358.3</v>
      </c>
      <c r="K182" s="85">
        <v>2389</v>
      </c>
      <c r="L182" s="85">
        <v>1538.3</v>
      </c>
      <c r="M182" s="86">
        <v>92796.9</v>
      </c>
      <c r="N182" s="66"/>
      <c r="O182" s="68"/>
      <c r="P182" s="68"/>
    </row>
    <row r="183" spans="2:16" ht="15.75" hidden="1">
      <c r="B183" s="57"/>
      <c r="C183" s="86"/>
      <c r="D183" s="55"/>
      <c r="E183" s="85"/>
      <c r="F183" s="85"/>
      <c r="G183" s="85"/>
      <c r="H183" s="85"/>
      <c r="I183" s="85"/>
      <c r="J183" s="85"/>
      <c r="K183" s="85"/>
      <c r="L183" s="85"/>
      <c r="M183" s="86"/>
      <c r="N183" s="66"/>
      <c r="O183" s="68"/>
      <c r="P183" s="68"/>
    </row>
    <row r="184" spans="2:16" ht="15.75" hidden="1">
      <c r="B184" s="57" t="s">
        <v>303</v>
      </c>
      <c r="C184" s="86">
        <v>76062.2</v>
      </c>
      <c r="D184" s="55">
        <f>2807-1.4</f>
        <v>2805.6</v>
      </c>
      <c r="E184" s="85">
        <v>1.4</v>
      </c>
      <c r="F184" s="85">
        <v>119.1</v>
      </c>
      <c r="G184" s="85">
        <v>0</v>
      </c>
      <c r="H184" s="85">
        <v>2263.3000000000002</v>
      </c>
      <c r="I184" s="85">
        <v>4445.1000000000004</v>
      </c>
      <c r="J184" s="85">
        <v>6465.9</v>
      </c>
      <c r="K184" s="85">
        <v>2410.6999999999998</v>
      </c>
      <c r="L184" s="85">
        <v>1523.3</v>
      </c>
      <c r="M184" s="86">
        <v>96096.7</v>
      </c>
      <c r="N184" s="66"/>
      <c r="O184" s="68"/>
      <c r="P184" s="68"/>
    </row>
    <row r="185" spans="2:16" ht="15.75" hidden="1">
      <c r="B185" s="57"/>
      <c r="C185" s="86"/>
      <c r="D185" s="55"/>
      <c r="E185" s="85"/>
      <c r="F185" s="85"/>
      <c r="G185" s="85"/>
      <c r="H185" s="85"/>
      <c r="I185" s="85"/>
      <c r="J185" s="85"/>
      <c r="K185" s="85"/>
      <c r="L185" s="85"/>
      <c r="M185" s="86"/>
      <c r="N185" s="66"/>
      <c r="O185" s="68"/>
      <c r="P185" s="68"/>
    </row>
    <row r="186" spans="2:16" ht="15.75" hidden="1">
      <c r="B186" s="57" t="s">
        <v>304</v>
      </c>
      <c r="C186" s="86">
        <v>79822.2</v>
      </c>
      <c r="D186" s="55">
        <f>3635.6-8.3</f>
        <v>3627.2999999999997</v>
      </c>
      <c r="E186" s="85">
        <v>8.3000000000000007</v>
      </c>
      <c r="F186" s="85">
        <v>121.6</v>
      </c>
      <c r="G186" s="85">
        <v>0</v>
      </c>
      <c r="H186" s="85">
        <v>2190</v>
      </c>
      <c r="I186" s="85">
        <v>3208.4</v>
      </c>
      <c r="J186" s="85">
        <v>6551.1</v>
      </c>
      <c r="K186" s="85">
        <v>2471.1999999999998</v>
      </c>
      <c r="L186" s="85">
        <v>1524.8</v>
      </c>
      <c r="M186" s="86">
        <v>99524.9</v>
      </c>
      <c r="N186" s="66"/>
      <c r="O186" s="68"/>
      <c r="P186" s="68"/>
    </row>
    <row r="187" spans="2:16" ht="15.75" hidden="1">
      <c r="B187" s="57"/>
      <c r="C187" s="86"/>
      <c r="D187" s="55"/>
      <c r="E187" s="85"/>
      <c r="F187" s="85"/>
      <c r="G187" s="85"/>
      <c r="H187" s="85"/>
      <c r="I187" s="85"/>
      <c r="J187" s="85"/>
      <c r="K187" s="85"/>
      <c r="L187" s="85"/>
      <c r="M187" s="86"/>
      <c r="N187" s="66"/>
      <c r="O187" s="68"/>
      <c r="P187" s="68"/>
    </row>
    <row r="188" spans="2:16" ht="15.75" hidden="1">
      <c r="B188" s="57" t="s">
        <v>305</v>
      </c>
      <c r="C188" s="86">
        <v>85822.5</v>
      </c>
      <c r="D188" s="55">
        <f>3218.9-1.5</f>
        <v>3217.4</v>
      </c>
      <c r="E188" s="85">
        <v>1.5</v>
      </c>
      <c r="F188" s="85">
        <v>441.5</v>
      </c>
      <c r="G188" s="85">
        <v>0</v>
      </c>
      <c r="H188" s="85">
        <v>2551.6999999999998</v>
      </c>
      <c r="I188" s="85">
        <v>2683.7</v>
      </c>
      <c r="J188" s="85">
        <v>6631.3</v>
      </c>
      <c r="K188" s="85">
        <v>2552.1999999999998</v>
      </c>
      <c r="L188" s="85">
        <v>1508.2</v>
      </c>
      <c r="M188" s="86">
        <v>105410.1</v>
      </c>
      <c r="N188" s="66"/>
      <c r="O188" s="68"/>
      <c r="P188" s="68"/>
    </row>
    <row r="189" spans="2:16" ht="15.75" hidden="1">
      <c r="B189" s="57"/>
      <c r="C189" s="86"/>
      <c r="D189" s="55"/>
      <c r="E189" s="85"/>
      <c r="F189" s="85"/>
      <c r="G189" s="85"/>
      <c r="H189" s="85"/>
      <c r="I189" s="85"/>
      <c r="J189" s="85"/>
      <c r="K189" s="85"/>
      <c r="L189" s="85"/>
      <c r="M189" s="86"/>
      <c r="N189" s="66"/>
      <c r="O189" s="68"/>
      <c r="P189" s="68"/>
    </row>
    <row r="190" spans="2:16" ht="15.75" hidden="1">
      <c r="B190" s="57" t="s">
        <v>306</v>
      </c>
      <c r="C190" s="86">
        <v>87010.1</v>
      </c>
      <c r="D190" s="55">
        <f>2864.6-11</f>
        <v>2853.6</v>
      </c>
      <c r="E190" s="85">
        <v>11</v>
      </c>
      <c r="F190" s="85">
        <v>491</v>
      </c>
      <c r="G190" s="85">
        <v>0</v>
      </c>
      <c r="H190" s="85">
        <v>2573.9</v>
      </c>
      <c r="I190" s="85">
        <v>4911.8999999999996</v>
      </c>
      <c r="J190" s="85">
        <v>6724.5</v>
      </c>
      <c r="K190" s="85">
        <v>2521.6</v>
      </c>
      <c r="L190" s="85">
        <v>1499.9</v>
      </c>
      <c r="M190" s="86">
        <v>108597.5</v>
      </c>
      <c r="N190" s="66"/>
      <c r="O190" s="68"/>
      <c r="P190" s="68"/>
    </row>
    <row r="191" spans="2:16" ht="15.75" hidden="1">
      <c r="B191" s="57"/>
      <c r="C191" s="86"/>
      <c r="D191" s="55"/>
      <c r="E191" s="85"/>
      <c r="F191" s="85"/>
      <c r="G191" s="85"/>
      <c r="H191" s="85"/>
      <c r="I191" s="85"/>
      <c r="J191" s="85"/>
      <c r="K191" s="85"/>
      <c r="L191" s="85"/>
      <c r="M191" s="86"/>
      <c r="N191" s="66"/>
      <c r="O191" s="68"/>
      <c r="P191" s="68"/>
    </row>
    <row r="192" spans="2:16" ht="15.75" hidden="1">
      <c r="B192" s="57" t="s">
        <v>307</v>
      </c>
      <c r="C192" s="86">
        <v>97175.5</v>
      </c>
      <c r="D192" s="55">
        <f>2480.9-12.8</f>
        <v>2468.1</v>
      </c>
      <c r="E192" s="85">
        <v>12.8</v>
      </c>
      <c r="F192" s="85">
        <v>127.9</v>
      </c>
      <c r="G192" s="85">
        <v>0</v>
      </c>
      <c r="H192" s="85">
        <v>1939.2</v>
      </c>
      <c r="I192" s="85">
        <v>4848.5</v>
      </c>
      <c r="J192" s="85">
        <v>6798.2</v>
      </c>
      <c r="K192" s="85">
        <v>2530.4</v>
      </c>
      <c r="L192" s="85">
        <v>1481</v>
      </c>
      <c r="M192" s="86">
        <v>117381.6</v>
      </c>
      <c r="N192" s="66"/>
      <c r="O192" s="68"/>
      <c r="P192" s="68"/>
    </row>
    <row r="193" spans="2:16" ht="15.75" hidden="1">
      <c r="B193" s="57"/>
      <c r="C193" s="86"/>
      <c r="D193" s="55"/>
      <c r="E193" s="85"/>
      <c r="F193" s="85"/>
      <c r="G193" s="85"/>
      <c r="H193" s="85"/>
      <c r="I193" s="85"/>
      <c r="J193" s="85"/>
      <c r="K193" s="85"/>
      <c r="L193" s="85"/>
      <c r="M193" s="86"/>
      <c r="N193" s="66"/>
      <c r="O193" s="68"/>
      <c r="P193" s="68"/>
    </row>
    <row r="194" spans="2:16" ht="15.75" hidden="1">
      <c r="B194" s="57" t="s">
        <v>308</v>
      </c>
      <c r="C194" s="86">
        <v>97945.3</v>
      </c>
      <c r="D194" s="55">
        <f>2405.6-2.4</f>
        <v>2403.1999999999998</v>
      </c>
      <c r="E194" s="85">
        <v>2.4</v>
      </c>
      <c r="F194" s="85">
        <v>480.9</v>
      </c>
      <c r="G194" s="85">
        <v>0</v>
      </c>
      <c r="H194" s="85">
        <v>1728</v>
      </c>
      <c r="I194" s="85">
        <v>4838.3999999999996</v>
      </c>
      <c r="J194" s="85">
        <v>6915.8</v>
      </c>
      <c r="K194" s="85">
        <v>2462.3000000000002</v>
      </c>
      <c r="L194" s="85">
        <v>1466.7</v>
      </c>
      <c r="M194" s="86">
        <v>118243.3</v>
      </c>
      <c r="N194" s="66"/>
      <c r="O194" s="68"/>
      <c r="P194" s="68"/>
    </row>
    <row r="195" spans="2:16" ht="15.75" hidden="1">
      <c r="B195" s="57"/>
      <c r="C195" s="86"/>
      <c r="D195" s="55"/>
      <c r="E195" s="85"/>
      <c r="F195" s="85"/>
      <c r="G195" s="85"/>
      <c r="H195" s="85"/>
      <c r="I195" s="85"/>
      <c r="J195" s="85"/>
      <c r="K195" s="85"/>
      <c r="L195" s="85"/>
      <c r="M195" s="86"/>
      <c r="N195" s="66"/>
      <c r="O195" s="68"/>
      <c r="P195" s="68"/>
    </row>
    <row r="196" spans="2:16" ht="15.75" hidden="1">
      <c r="B196" s="57" t="s">
        <v>311</v>
      </c>
      <c r="C196" s="86">
        <v>99448.7</v>
      </c>
      <c r="D196" s="55">
        <f>2805.8-1</f>
        <v>2804.8</v>
      </c>
      <c r="E196" s="85">
        <v>1</v>
      </c>
      <c r="F196" s="85">
        <v>707.4</v>
      </c>
      <c r="G196" s="85">
        <v>0</v>
      </c>
      <c r="H196" s="85">
        <v>232.1</v>
      </c>
      <c r="I196" s="85">
        <v>3399.4</v>
      </c>
      <c r="J196" s="85">
        <v>6981.6</v>
      </c>
      <c r="K196" s="85">
        <v>2540.3000000000002</v>
      </c>
      <c r="L196" s="85">
        <v>1443.4</v>
      </c>
      <c r="M196" s="86">
        <v>117558.7</v>
      </c>
      <c r="N196" s="66"/>
      <c r="O196" s="68"/>
      <c r="P196" s="68"/>
    </row>
    <row r="197" spans="2:16" ht="15.75" hidden="1">
      <c r="B197" s="57"/>
      <c r="C197" s="67"/>
      <c r="D197" s="63"/>
      <c r="E197" s="66"/>
      <c r="F197" s="66"/>
      <c r="G197" s="66"/>
      <c r="H197" s="66"/>
      <c r="I197" s="66"/>
      <c r="J197" s="66"/>
      <c r="K197" s="66"/>
      <c r="L197" s="66"/>
      <c r="M197" s="67"/>
      <c r="N197" s="66"/>
      <c r="O197" s="68"/>
      <c r="P197" s="68"/>
    </row>
    <row r="198" spans="2:16" ht="15.75" hidden="1">
      <c r="B198" s="55">
        <v>2001</v>
      </c>
      <c r="C198" s="67"/>
      <c r="D198" s="63"/>
      <c r="E198" s="66"/>
      <c r="F198" s="66"/>
      <c r="G198" s="66"/>
      <c r="H198" s="66"/>
      <c r="I198" s="66"/>
      <c r="J198" s="66"/>
      <c r="K198" s="66"/>
      <c r="L198" s="66"/>
      <c r="M198" s="67"/>
      <c r="N198" s="66"/>
      <c r="O198" s="68"/>
      <c r="P198" s="68"/>
    </row>
    <row r="199" spans="2:16" ht="15.75" hidden="1">
      <c r="B199" s="57"/>
      <c r="C199" s="67"/>
      <c r="D199" s="63"/>
      <c r="E199" s="66"/>
      <c r="F199" s="66"/>
      <c r="G199" s="66"/>
      <c r="H199" s="66"/>
      <c r="I199" s="66"/>
      <c r="J199" s="66"/>
      <c r="K199" s="66"/>
      <c r="L199" s="66"/>
      <c r="M199" s="67"/>
      <c r="N199" s="66"/>
      <c r="O199" s="68"/>
      <c r="P199" s="68"/>
    </row>
    <row r="200" spans="2:16" ht="15.75" hidden="1">
      <c r="B200" s="57" t="s">
        <v>298</v>
      </c>
      <c r="C200" s="86">
        <v>104035.8</v>
      </c>
      <c r="D200" s="55">
        <f>4233.3-2.4</f>
        <v>4230.9000000000005</v>
      </c>
      <c r="E200" s="85">
        <v>2.4</v>
      </c>
      <c r="F200" s="85">
        <v>95.7</v>
      </c>
      <c r="G200" s="85">
        <v>0</v>
      </c>
      <c r="H200" s="85">
        <v>1154.9000000000001</v>
      </c>
      <c r="I200" s="85">
        <v>7017.6</v>
      </c>
      <c r="J200" s="85">
        <v>7147.8</v>
      </c>
      <c r="K200" s="85">
        <v>2657.4</v>
      </c>
      <c r="L200" s="85">
        <v>1520.5</v>
      </c>
      <c r="M200" s="86">
        <v>127863</v>
      </c>
      <c r="N200" s="66"/>
      <c r="O200" s="68"/>
      <c r="P200" s="68"/>
    </row>
    <row r="201" spans="2:16" ht="15.75" hidden="1">
      <c r="B201" s="57"/>
      <c r="C201" s="86"/>
      <c r="D201" s="55"/>
      <c r="E201" s="85"/>
      <c r="F201" s="85"/>
      <c r="G201" s="85"/>
      <c r="H201" s="85"/>
      <c r="I201" s="85"/>
      <c r="J201" s="85"/>
      <c r="K201" s="85"/>
      <c r="L201" s="85"/>
      <c r="M201" s="86"/>
      <c r="N201" s="66"/>
      <c r="O201" s="68"/>
      <c r="P201" s="68"/>
    </row>
    <row r="202" spans="2:16" ht="15.75" hidden="1">
      <c r="B202" s="57" t="s">
        <v>299</v>
      </c>
      <c r="C202" s="86">
        <v>111461</v>
      </c>
      <c r="D202" s="55">
        <f>4244.5-2.4</f>
        <v>4242.1000000000004</v>
      </c>
      <c r="E202" s="85">
        <v>2.4</v>
      </c>
      <c r="F202" s="85">
        <v>166.3</v>
      </c>
      <c r="G202" s="85">
        <v>0</v>
      </c>
      <c r="H202" s="85">
        <v>1156.9000000000001</v>
      </c>
      <c r="I202" s="85">
        <v>6139.9</v>
      </c>
      <c r="J202" s="85">
        <v>7370.8</v>
      </c>
      <c r="K202" s="85">
        <v>2689.2</v>
      </c>
      <c r="L202" s="85">
        <v>1533.4</v>
      </c>
      <c r="M202" s="86">
        <v>134762.29999999999</v>
      </c>
      <c r="N202" s="66"/>
      <c r="O202" s="68"/>
      <c r="P202" s="68"/>
    </row>
    <row r="203" spans="2:16" ht="15.75" hidden="1">
      <c r="B203" s="57"/>
      <c r="C203" s="86"/>
      <c r="D203" s="55"/>
      <c r="E203" s="85"/>
      <c r="F203" s="85"/>
      <c r="G203" s="85"/>
      <c r="H203" s="85"/>
      <c r="I203" s="85"/>
      <c r="J203" s="85"/>
      <c r="K203" s="85"/>
      <c r="L203" s="85"/>
      <c r="M203" s="86"/>
      <c r="N203" s="66"/>
      <c r="O203" s="68"/>
      <c r="P203" s="68"/>
    </row>
    <row r="204" spans="2:16" ht="15.75" hidden="1">
      <c r="B204" s="57" t="s">
        <v>300</v>
      </c>
      <c r="C204" s="86">
        <v>117614.7</v>
      </c>
      <c r="D204" s="55">
        <f>3550.5-7.6</f>
        <v>3542.9</v>
      </c>
      <c r="E204" s="85">
        <v>7.6</v>
      </c>
      <c r="F204" s="85">
        <f>242.3-116.3</f>
        <v>126.00000000000001</v>
      </c>
      <c r="G204" s="85">
        <v>116.3</v>
      </c>
      <c r="H204" s="85">
        <v>1511.5</v>
      </c>
      <c r="I204" s="85">
        <v>7664.7</v>
      </c>
      <c r="J204" s="85">
        <v>7883.4</v>
      </c>
      <c r="K204" s="85">
        <v>3571.2</v>
      </c>
      <c r="L204" s="85">
        <v>1574.1</v>
      </c>
      <c r="M204" s="86">
        <v>143612.4</v>
      </c>
      <c r="N204" s="66"/>
      <c r="O204" s="68"/>
      <c r="P204" s="68"/>
    </row>
    <row r="205" spans="2:16" ht="15.75" hidden="1">
      <c r="B205" s="57"/>
      <c r="C205" s="86"/>
      <c r="D205" s="55"/>
      <c r="E205" s="85"/>
      <c r="F205" s="85"/>
      <c r="G205" s="85"/>
      <c r="H205" s="85"/>
      <c r="I205" s="85"/>
      <c r="J205" s="85"/>
      <c r="K205" s="85"/>
      <c r="L205" s="85"/>
      <c r="M205" s="86"/>
      <c r="N205" s="66"/>
      <c r="O205" s="68"/>
      <c r="P205" s="68"/>
    </row>
    <row r="206" spans="2:16" ht="15.75" hidden="1">
      <c r="B206" s="57" t="s">
        <v>301</v>
      </c>
      <c r="C206" s="86">
        <v>122489.7</v>
      </c>
      <c r="D206" s="55">
        <f>4610.5-E206</f>
        <v>4610.3</v>
      </c>
      <c r="E206" s="85">
        <v>0.2</v>
      </c>
      <c r="F206" s="85">
        <f>196.6-G206</f>
        <v>87.699999999999989</v>
      </c>
      <c r="G206" s="85">
        <v>108.9</v>
      </c>
      <c r="H206" s="85">
        <v>1545.9</v>
      </c>
      <c r="I206" s="85">
        <v>7431.3</v>
      </c>
      <c r="J206" s="85">
        <v>8328.7999999999993</v>
      </c>
      <c r="K206" s="85">
        <v>3699.1</v>
      </c>
      <c r="L206" s="85">
        <v>1609.4</v>
      </c>
      <c r="M206" s="86">
        <v>149911.20000000001</v>
      </c>
      <c r="N206" s="66"/>
      <c r="O206" s="68"/>
      <c r="P206" s="68"/>
    </row>
    <row r="207" spans="2:16" ht="15.75" hidden="1">
      <c r="B207" s="57"/>
      <c r="C207" s="86"/>
      <c r="D207" s="55"/>
      <c r="E207" s="85"/>
      <c r="F207" s="85"/>
      <c r="G207" s="85"/>
      <c r="H207" s="85"/>
      <c r="I207" s="85"/>
      <c r="J207" s="85"/>
      <c r="K207" s="85"/>
      <c r="L207" s="85"/>
      <c r="M207" s="86"/>
      <c r="N207" s="66"/>
      <c r="O207" s="68"/>
      <c r="P207" s="68"/>
    </row>
    <row r="208" spans="2:16" ht="15.75" hidden="1">
      <c r="B208" s="57" t="s">
        <v>302</v>
      </c>
      <c r="C208" s="86">
        <v>135258.70000000001</v>
      </c>
      <c r="D208" s="55">
        <v>4213.8999999999996</v>
      </c>
      <c r="E208" s="85">
        <v>0</v>
      </c>
      <c r="F208" s="85">
        <f>209.8-148.7</f>
        <v>61.100000000000023</v>
      </c>
      <c r="G208" s="85">
        <v>148.69999999999999</v>
      </c>
      <c r="H208" s="85">
        <v>3014.4</v>
      </c>
      <c r="I208" s="85">
        <v>4228.3999999999996</v>
      </c>
      <c r="J208" s="85">
        <v>8750.9</v>
      </c>
      <c r="K208" s="85">
        <v>3599.5</v>
      </c>
      <c r="L208" s="85">
        <v>1675.6</v>
      </c>
      <c r="M208" s="86">
        <v>160951.20000000001</v>
      </c>
      <c r="N208" s="66"/>
      <c r="O208" s="68"/>
      <c r="P208" s="68"/>
    </row>
    <row r="209" spans="2:16" ht="15.75" hidden="1">
      <c r="B209" s="57"/>
      <c r="C209" s="86"/>
      <c r="D209" s="55"/>
      <c r="E209" s="85"/>
      <c r="F209" s="85"/>
      <c r="G209" s="85"/>
      <c r="H209" s="85"/>
      <c r="I209" s="85"/>
      <c r="J209" s="85"/>
      <c r="K209" s="85"/>
      <c r="L209" s="85"/>
      <c r="M209" s="86"/>
      <c r="N209" s="66"/>
      <c r="O209" s="68"/>
      <c r="P209" s="68"/>
    </row>
    <row r="210" spans="2:16" ht="15.75" hidden="1">
      <c r="B210" s="57" t="s">
        <v>303</v>
      </c>
      <c r="C210" s="86">
        <v>139444.79999999999</v>
      </c>
      <c r="D210" s="55">
        <f>5594.4-6.1</f>
        <v>5588.2999999999993</v>
      </c>
      <c r="E210" s="85">
        <v>6.1</v>
      </c>
      <c r="F210" s="85">
        <f>568.3-140.7</f>
        <v>427.59999999999997</v>
      </c>
      <c r="G210" s="85">
        <v>140.69999999999999</v>
      </c>
      <c r="H210" s="85">
        <v>3923.3</v>
      </c>
      <c r="I210" s="85">
        <v>2939.9</v>
      </c>
      <c r="J210" s="85">
        <v>9273.2999999999993</v>
      </c>
      <c r="K210" s="85">
        <v>3617.7</v>
      </c>
      <c r="L210" s="85">
        <v>1754.5</v>
      </c>
      <c r="M210" s="86">
        <v>167116</v>
      </c>
      <c r="N210" s="66"/>
      <c r="O210" s="68"/>
      <c r="P210" s="68"/>
    </row>
    <row r="211" spans="2:16" ht="15.75" hidden="1">
      <c r="B211" s="57"/>
      <c r="C211" s="86"/>
      <c r="D211" s="55"/>
      <c r="E211" s="85"/>
      <c r="F211" s="85"/>
      <c r="G211" s="85"/>
      <c r="H211" s="85"/>
      <c r="I211" s="85"/>
      <c r="J211" s="85"/>
      <c r="K211" s="85"/>
      <c r="L211" s="85"/>
      <c r="M211" s="86"/>
      <c r="N211" s="66"/>
      <c r="O211" s="68"/>
      <c r="P211" s="68"/>
    </row>
    <row r="212" spans="2:16" ht="15.75" hidden="1">
      <c r="B212" s="57" t="s">
        <v>304</v>
      </c>
      <c r="C212" s="86">
        <v>151754.4</v>
      </c>
      <c r="D212" s="55">
        <f>8421.1-6.2</f>
        <v>8414.9</v>
      </c>
      <c r="E212" s="85">
        <v>6.2</v>
      </c>
      <c r="F212" s="85">
        <f>426.8-130.9</f>
        <v>295.89999999999998</v>
      </c>
      <c r="G212" s="85">
        <v>130.9</v>
      </c>
      <c r="H212" s="85">
        <v>3576.8</v>
      </c>
      <c r="I212" s="85">
        <v>2539.1999999999998</v>
      </c>
      <c r="J212" s="85">
        <v>9585</v>
      </c>
      <c r="K212" s="85">
        <v>3643.5</v>
      </c>
      <c r="L212" s="85">
        <v>1999.7</v>
      </c>
      <c r="M212" s="86">
        <v>181946.5</v>
      </c>
      <c r="N212" s="66"/>
      <c r="O212" s="68"/>
      <c r="P212" s="68"/>
    </row>
    <row r="213" spans="2:16" ht="15.75" hidden="1">
      <c r="B213" s="57"/>
      <c r="C213" s="86"/>
      <c r="D213" s="55"/>
      <c r="E213" s="85"/>
      <c r="F213" s="85"/>
      <c r="G213" s="85"/>
      <c r="H213" s="85"/>
      <c r="I213" s="85"/>
      <c r="J213" s="85"/>
      <c r="K213" s="85"/>
      <c r="L213" s="85"/>
      <c r="M213" s="86"/>
      <c r="N213" s="66"/>
      <c r="O213" s="68"/>
      <c r="P213" s="68"/>
    </row>
    <row r="214" spans="2:16" ht="15.75" hidden="1">
      <c r="B214" s="57" t="s">
        <v>305</v>
      </c>
      <c r="C214" s="86">
        <v>157103.6</v>
      </c>
      <c r="D214" s="55">
        <v>7371.5</v>
      </c>
      <c r="E214" s="85">
        <v>0</v>
      </c>
      <c r="F214" s="85">
        <f>497.7-148.9</f>
        <v>348.79999999999995</v>
      </c>
      <c r="G214" s="85">
        <v>148.9</v>
      </c>
      <c r="H214" s="85">
        <v>3760.8</v>
      </c>
      <c r="I214" s="85">
        <v>4933.3999999999996</v>
      </c>
      <c r="J214" s="85">
        <v>9847.7000000000007</v>
      </c>
      <c r="K214" s="85">
        <v>3705.4</v>
      </c>
      <c r="L214" s="85">
        <v>2027.7</v>
      </c>
      <c r="M214" s="86">
        <v>189247.8</v>
      </c>
      <c r="N214" s="66"/>
      <c r="O214" s="68"/>
      <c r="P214" s="68"/>
    </row>
    <row r="215" spans="2:16" ht="15.75" hidden="1">
      <c r="B215" s="57"/>
      <c r="C215" s="86"/>
      <c r="D215" s="55"/>
      <c r="E215" s="85"/>
      <c r="F215" s="85"/>
      <c r="G215" s="85"/>
      <c r="H215" s="85"/>
      <c r="I215" s="85"/>
      <c r="J215" s="85"/>
      <c r="K215" s="85"/>
      <c r="L215" s="85"/>
      <c r="M215" s="86"/>
      <c r="N215" s="66"/>
      <c r="O215" s="68"/>
      <c r="P215" s="68"/>
    </row>
    <row r="216" spans="2:16" ht="15.75" hidden="1">
      <c r="B216" s="57" t="s">
        <v>306</v>
      </c>
      <c r="C216" s="86">
        <v>165060.9</v>
      </c>
      <c r="D216" s="55">
        <v>10268.6</v>
      </c>
      <c r="E216" s="85">
        <v>0</v>
      </c>
      <c r="F216" s="85">
        <f>301.2-145.1</f>
        <v>156.1</v>
      </c>
      <c r="G216" s="85">
        <v>145.1</v>
      </c>
      <c r="H216" s="85">
        <v>4009.5</v>
      </c>
      <c r="I216" s="85">
        <v>4436.6000000000004</v>
      </c>
      <c r="J216" s="85">
        <v>10127.6</v>
      </c>
      <c r="K216" s="85">
        <v>3701</v>
      </c>
      <c r="L216" s="85">
        <v>1982</v>
      </c>
      <c r="M216" s="86">
        <v>199887.4</v>
      </c>
      <c r="N216" s="66"/>
      <c r="O216" s="68"/>
      <c r="P216" s="68"/>
    </row>
    <row r="217" spans="2:16" ht="15.75" hidden="1">
      <c r="B217" s="57"/>
      <c r="C217" s="86"/>
      <c r="D217" s="55"/>
      <c r="E217" s="85"/>
      <c r="F217" s="85"/>
      <c r="G217" s="85"/>
      <c r="H217" s="85"/>
      <c r="I217" s="85"/>
      <c r="J217" s="85"/>
      <c r="K217" s="85"/>
      <c r="L217" s="85"/>
      <c r="M217" s="86"/>
      <c r="N217" s="66"/>
      <c r="O217" s="68"/>
      <c r="P217" s="68"/>
    </row>
    <row r="218" spans="2:16" ht="15.75" hidden="1">
      <c r="B218" s="57" t="s">
        <v>307</v>
      </c>
      <c r="C218" s="86">
        <v>177809.1</v>
      </c>
      <c r="D218" s="55">
        <v>18419.5</v>
      </c>
      <c r="E218" s="85">
        <v>0</v>
      </c>
      <c r="F218" s="85">
        <f>330.1-117.3</f>
        <v>212.8</v>
      </c>
      <c r="G218" s="85">
        <v>117.3</v>
      </c>
      <c r="H218" s="85">
        <v>3947.4</v>
      </c>
      <c r="I218" s="85">
        <v>5478.6</v>
      </c>
      <c r="J218" s="85">
        <v>10410.6</v>
      </c>
      <c r="K218" s="85">
        <v>3651.7</v>
      </c>
      <c r="L218" s="85">
        <v>2006.6</v>
      </c>
      <c r="M218" s="86">
        <v>222053.6</v>
      </c>
      <c r="N218" s="66"/>
      <c r="O218" s="68"/>
      <c r="P218" s="68"/>
    </row>
    <row r="219" spans="2:16" ht="15.75" hidden="1">
      <c r="B219" s="57"/>
      <c r="C219" s="86"/>
      <c r="D219" s="55"/>
      <c r="E219" s="85"/>
      <c r="F219" s="85"/>
      <c r="G219" s="85"/>
      <c r="H219" s="85"/>
      <c r="I219" s="85"/>
      <c r="J219" s="85"/>
      <c r="K219" s="85"/>
      <c r="L219" s="85"/>
      <c r="M219" s="86"/>
      <c r="N219" s="66"/>
      <c r="O219" s="68"/>
      <c r="P219" s="68"/>
    </row>
    <row r="220" spans="2:16" ht="15.75" hidden="1">
      <c r="B220" s="57" t="s">
        <v>308</v>
      </c>
      <c r="C220" s="86">
        <v>192731.7</v>
      </c>
      <c r="D220" s="55">
        <v>18920.8</v>
      </c>
      <c r="E220" s="85">
        <v>0</v>
      </c>
      <c r="F220" s="85">
        <f>149-93</f>
        <v>56</v>
      </c>
      <c r="G220" s="85">
        <v>93</v>
      </c>
      <c r="H220" s="85">
        <v>4193.8</v>
      </c>
      <c r="I220" s="85">
        <v>2782.7</v>
      </c>
      <c r="J220" s="85">
        <v>10616.3</v>
      </c>
      <c r="K220" s="85">
        <v>3640.3</v>
      </c>
      <c r="L220" s="85">
        <v>2027.1</v>
      </c>
      <c r="M220" s="86">
        <v>235061.7</v>
      </c>
      <c r="N220" s="66"/>
      <c r="O220" s="68"/>
      <c r="P220" s="68"/>
    </row>
    <row r="221" spans="2:16" ht="15.75" hidden="1">
      <c r="B221" s="57"/>
      <c r="C221" s="86"/>
      <c r="D221" s="55"/>
      <c r="E221" s="85"/>
      <c r="F221" s="85"/>
      <c r="G221" s="85"/>
      <c r="H221" s="85"/>
      <c r="I221" s="85"/>
      <c r="J221" s="85"/>
      <c r="K221" s="85"/>
      <c r="L221" s="85"/>
      <c r="M221" s="86"/>
      <c r="N221" s="66"/>
      <c r="O221" s="68"/>
      <c r="P221" s="68"/>
    </row>
    <row r="222" spans="2:16" ht="15.75" hidden="1">
      <c r="B222" s="57" t="s">
        <v>311</v>
      </c>
      <c r="C222" s="86">
        <v>196858</v>
      </c>
      <c r="D222" s="55">
        <v>18019.7</v>
      </c>
      <c r="E222" s="85">
        <v>0</v>
      </c>
      <c r="F222" s="85">
        <f>300-122.6</f>
        <v>177.4</v>
      </c>
      <c r="G222" s="85">
        <v>122.6</v>
      </c>
      <c r="H222" s="85">
        <v>4245.8</v>
      </c>
      <c r="I222" s="85">
        <v>2284</v>
      </c>
      <c r="J222" s="85">
        <v>10885.4</v>
      </c>
      <c r="K222" s="85">
        <v>3661.4</v>
      </c>
      <c r="L222" s="85">
        <v>2046.3</v>
      </c>
      <c r="M222" s="86">
        <v>238300.5</v>
      </c>
      <c r="N222" s="66"/>
      <c r="O222" s="68"/>
      <c r="P222" s="68"/>
    </row>
    <row r="223" spans="2:16" ht="15.75" hidden="1">
      <c r="B223" s="57"/>
      <c r="C223" s="86"/>
      <c r="D223" s="55"/>
      <c r="E223" s="85"/>
      <c r="F223" s="85"/>
      <c r="G223" s="85"/>
      <c r="H223" s="85"/>
      <c r="I223" s="85"/>
      <c r="J223" s="85"/>
      <c r="K223" s="85"/>
      <c r="L223" s="85"/>
      <c r="M223" s="86"/>
      <c r="N223" s="66"/>
      <c r="O223" s="68"/>
      <c r="P223" s="68"/>
    </row>
    <row r="224" spans="2:16" ht="15.75" hidden="1">
      <c r="B224" s="55">
        <v>2002</v>
      </c>
      <c r="C224" s="86"/>
      <c r="D224" s="55"/>
      <c r="E224" s="85"/>
      <c r="F224" s="85"/>
      <c r="G224" s="85"/>
      <c r="H224" s="85"/>
      <c r="I224" s="85"/>
      <c r="J224" s="85"/>
      <c r="K224" s="85"/>
      <c r="L224" s="85"/>
      <c r="M224" s="86"/>
      <c r="N224" s="66"/>
      <c r="O224" s="68"/>
      <c r="P224" s="68"/>
    </row>
    <row r="225" spans="2:16" ht="15.75" hidden="1">
      <c r="B225" s="55"/>
      <c r="C225" s="86"/>
      <c r="D225" s="55"/>
      <c r="E225" s="85"/>
      <c r="F225" s="85"/>
      <c r="G225" s="85"/>
      <c r="H225" s="85"/>
      <c r="I225" s="85"/>
      <c r="J225" s="85"/>
      <c r="K225" s="85"/>
      <c r="L225" s="85"/>
      <c r="M225" s="86"/>
      <c r="N225" s="66"/>
      <c r="O225" s="68"/>
      <c r="P225" s="68"/>
    </row>
    <row r="226" spans="2:16" ht="19.5" hidden="1" customHeight="1">
      <c r="B226" s="57" t="s">
        <v>298</v>
      </c>
      <c r="C226" s="86">
        <v>214888.9</v>
      </c>
      <c r="D226" s="55">
        <v>16406.3</v>
      </c>
      <c r="E226" s="85">
        <v>0</v>
      </c>
      <c r="F226" s="85">
        <f>246.2-118.2</f>
        <v>127.99999999999999</v>
      </c>
      <c r="G226" s="85">
        <v>118.2</v>
      </c>
      <c r="H226" s="85">
        <v>5670.2</v>
      </c>
      <c r="I226" s="85">
        <v>1054.5</v>
      </c>
      <c r="J226" s="85">
        <v>11044.3</v>
      </c>
      <c r="K226" s="85">
        <v>3685.5</v>
      </c>
      <c r="L226" s="85">
        <v>2152.9</v>
      </c>
      <c r="M226" s="86">
        <v>255149</v>
      </c>
      <c r="N226" s="66"/>
      <c r="O226" s="68"/>
      <c r="P226" s="68"/>
    </row>
    <row r="227" spans="2:16" ht="19.5" hidden="1" customHeight="1">
      <c r="B227" s="57"/>
      <c r="C227" s="86"/>
      <c r="D227" s="55"/>
      <c r="E227" s="85"/>
      <c r="F227" s="85"/>
      <c r="G227" s="85"/>
      <c r="H227" s="85"/>
      <c r="I227" s="85"/>
      <c r="J227" s="85"/>
      <c r="K227" s="85"/>
      <c r="L227" s="85"/>
      <c r="M227" s="86"/>
      <c r="N227" s="66"/>
      <c r="O227" s="68"/>
      <c r="P227" s="68"/>
    </row>
    <row r="228" spans="2:16" ht="19.5" hidden="1" customHeight="1">
      <c r="B228" s="57" t="s">
        <v>299</v>
      </c>
      <c r="C228" s="86">
        <v>232084.2</v>
      </c>
      <c r="D228" s="85">
        <v>22247</v>
      </c>
      <c r="E228" s="85">
        <v>0</v>
      </c>
      <c r="F228" s="85">
        <f>1219.1-106.6</f>
        <v>1112.5</v>
      </c>
      <c r="G228" s="85">
        <v>106.6</v>
      </c>
      <c r="H228" s="85">
        <v>5225.3999999999996</v>
      </c>
      <c r="I228" s="85">
        <v>502.8</v>
      </c>
      <c r="J228" s="85">
        <v>11332.8</v>
      </c>
      <c r="K228" s="85">
        <v>3740.9</v>
      </c>
      <c r="L228" s="85">
        <v>2156</v>
      </c>
      <c r="M228" s="86">
        <v>278508.3</v>
      </c>
      <c r="N228" s="66"/>
      <c r="O228" s="68"/>
      <c r="P228" s="68"/>
    </row>
    <row r="229" spans="2:16" ht="19.5" hidden="1" customHeight="1">
      <c r="B229" s="57"/>
      <c r="C229" s="86"/>
      <c r="D229" s="85"/>
      <c r="E229" s="85"/>
      <c r="F229" s="85"/>
      <c r="G229" s="85"/>
      <c r="H229" s="85"/>
      <c r="I229" s="85"/>
      <c r="J229" s="85"/>
      <c r="K229" s="85"/>
      <c r="L229" s="85"/>
      <c r="M229" s="86"/>
      <c r="N229" s="66"/>
      <c r="O229" s="68"/>
      <c r="P229" s="68"/>
    </row>
    <row r="230" spans="2:16" ht="19.5" hidden="1" customHeight="1">
      <c r="B230" s="57" t="s">
        <v>300</v>
      </c>
      <c r="C230" s="86">
        <v>244865.4</v>
      </c>
      <c r="D230" s="85">
        <v>19996.099999999999</v>
      </c>
      <c r="E230" s="85">
        <v>0</v>
      </c>
      <c r="F230" s="85">
        <f>675.8-132.5</f>
        <v>543.29999999999995</v>
      </c>
      <c r="G230" s="85">
        <v>132.5</v>
      </c>
      <c r="H230" s="85">
        <v>3351.7</v>
      </c>
      <c r="I230" s="85">
        <v>790.2</v>
      </c>
      <c r="J230" s="85">
        <v>11587.2</v>
      </c>
      <c r="K230" s="85">
        <v>3724.3</v>
      </c>
      <c r="L230" s="85">
        <v>2181.1</v>
      </c>
      <c r="M230" s="86">
        <v>287171.90000000002</v>
      </c>
      <c r="N230" s="66"/>
      <c r="O230" s="68"/>
      <c r="P230" s="68"/>
    </row>
    <row r="231" spans="2:16" ht="19.5" hidden="1" customHeight="1">
      <c r="B231" s="57"/>
      <c r="C231" s="86"/>
      <c r="D231" s="85"/>
      <c r="E231" s="85"/>
      <c r="F231" s="85"/>
      <c r="G231" s="85"/>
      <c r="H231" s="85"/>
      <c r="I231" s="85"/>
      <c r="J231" s="85"/>
      <c r="K231" s="85"/>
      <c r="L231" s="85"/>
      <c r="M231" s="86"/>
      <c r="N231" s="66"/>
      <c r="O231" s="68"/>
      <c r="P231" s="68"/>
    </row>
    <row r="232" spans="2:16" ht="19.5" hidden="1" customHeight="1">
      <c r="B232" s="57" t="s">
        <v>301</v>
      </c>
      <c r="C232" s="86">
        <v>268030.8</v>
      </c>
      <c r="D232" s="85">
        <v>23810.9</v>
      </c>
      <c r="E232" s="85">
        <v>18.2</v>
      </c>
      <c r="F232" s="85">
        <v>2480.1999999999998</v>
      </c>
      <c r="G232" s="85">
        <v>129.30000000000001</v>
      </c>
      <c r="H232" s="85">
        <v>4399</v>
      </c>
      <c r="I232" s="85">
        <v>3716.2</v>
      </c>
      <c r="J232" s="85">
        <v>11870.1</v>
      </c>
      <c r="K232" s="85">
        <v>3792.6</v>
      </c>
      <c r="L232" s="85">
        <v>2146.4</v>
      </c>
      <c r="M232" s="86">
        <v>320393.8</v>
      </c>
      <c r="N232" s="66"/>
      <c r="O232" s="68"/>
      <c r="P232" s="68"/>
    </row>
    <row r="233" spans="2:16" ht="19.5" hidden="1" customHeight="1">
      <c r="B233" s="57"/>
      <c r="C233" s="86"/>
      <c r="D233" s="85"/>
      <c r="E233" s="85"/>
      <c r="F233" s="85"/>
      <c r="G233" s="85"/>
      <c r="H233" s="85"/>
      <c r="I233" s="85"/>
      <c r="J233" s="85"/>
      <c r="K233" s="85"/>
      <c r="L233" s="85"/>
      <c r="M233" s="86"/>
      <c r="N233" s="66"/>
      <c r="O233" s="68"/>
      <c r="P233" s="68"/>
    </row>
    <row r="234" spans="2:16" ht="19.5" hidden="1" customHeight="1">
      <c r="B234" s="57" t="s">
        <v>302</v>
      </c>
      <c r="C234" s="86">
        <v>274255.7</v>
      </c>
      <c r="D234" s="85">
        <f>21352-282</f>
        <v>21070</v>
      </c>
      <c r="E234" s="85">
        <f>261.5+20.5</f>
        <v>282</v>
      </c>
      <c r="F234" s="85">
        <f>1890.3-145</f>
        <v>1745.3</v>
      </c>
      <c r="G234" s="85">
        <v>145</v>
      </c>
      <c r="H234" s="85">
        <v>5950.8</v>
      </c>
      <c r="I234" s="85">
        <v>4792.1000000000004</v>
      </c>
      <c r="J234" s="85">
        <v>12165.5</v>
      </c>
      <c r="K234" s="85">
        <v>3862.1</v>
      </c>
      <c r="L234" s="85">
        <v>2139.6999999999998</v>
      </c>
      <c r="M234" s="86">
        <v>326408.09999999998</v>
      </c>
      <c r="N234" s="66"/>
      <c r="O234" s="68"/>
      <c r="P234" s="68"/>
    </row>
    <row r="235" spans="2:16" ht="19.5" hidden="1" customHeight="1">
      <c r="B235" s="57"/>
      <c r="C235" s="86"/>
      <c r="D235" s="85"/>
      <c r="E235" s="85"/>
      <c r="F235" s="85"/>
      <c r="G235" s="85"/>
      <c r="H235" s="85"/>
      <c r="I235" s="85"/>
      <c r="J235" s="85"/>
      <c r="K235" s="85"/>
      <c r="L235" s="85"/>
      <c r="M235" s="86"/>
      <c r="N235" s="66"/>
      <c r="O235" s="68"/>
      <c r="P235" s="68"/>
    </row>
    <row r="236" spans="2:16" ht="19.5" hidden="1" customHeight="1">
      <c r="B236" s="57" t="s">
        <v>303</v>
      </c>
      <c r="C236" s="86">
        <v>283888.7</v>
      </c>
      <c r="D236" s="85">
        <f>19431.4-649.5</f>
        <v>18781.900000000001</v>
      </c>
      <c r="E236" s="85">
        <f>626.5+23</f>
        <v>649.5</v>
      </c>
      <c r="F236" s="85">
        <f>3653-164.6</f>
        <v>3488.4</v>
      </c>
      <c r="G236" s="85">
        <v>164.6</v>
      </c>
      <c r="H236" s="85">
        <v>6184.9</v>
      </c>
      <c r="I236" s="85">
        <v>5318</v>
      </c>
      <c r="J236" s="85">
        <v>12573.8</v>
      </c>
      <c r="K236" s="85">
        <v>4686.6000000000004</v>
      </c>
      <c r="L236" s="85">
        <v>2138</v>
      </c>
      <c r="M236" s="86">
        <v>337874.4</v>
      </c>
      <c r="N236" s="66"/>
      <c r="O236" s="68"/>
      <c r="P236" s="68"/>
    </row>
    <row r="237" spans="2:16" ht="19.5" hidden="1" customHeight="1">
      <c r="B237" s="57"/>
      <c r="C237" s="86"/>
      <c r="D237" s="85"/>
      <c r="E237" s="85"/>
      <c r="F237" s="85"/>
      <c r="G237" s="85"/>
      <c r="H237" s="85"/>
      <c r="I237" s="85"/>
      <c r="J237" s="85"/>
      <c r="K237" s="85"/>
      <c r="L237" s="85"/>
      <c r="M237" s="86"/>
      <c r="N237" s="66"/>
      <c r="O237" s="68"/>
      <c r="P237" s="68"/>
    </row>
    <row r="238" spans="2:16" ht="19.5" hidden="1" customHeight="1">
      <c r="B238" s="57" t="s">
        <v>304</v>
      </c>
      <c r="C238" s="86">
        <v>323174.5</v>
      </c>
      <c r="D238" s="85">
        <f>19485-701.3</f>
        <v>18783.7</v>
      </c>
      <c r="E238" s="85">
        <f>28.3+673</f>
        <v>701.3</v>
      </c>
      <c r="F238" s="85">
        <f>3115.6-134.2</f>
        <v>2981.4</v>
      </c>
      <c r="G238" s="85">
        <v>134.19999999999999</v>
      </c>
      <c r="H238" s="85">
        <v>6250.4</v>
      </c>
      <c r="I238" s="85">
        <v>5480</v>
      </c>
      <c r="J238" s="85">
        <v>12996.9</v>
      </c>
      <c r="K238" s="85">
        <v>4921.6000000000004</v>
      </c>
      <c r="L238" s="85">
        <v>2217.1999999999998</v>
      </c>
      <c r="M238" s="86">
        <v>377641.1</v>
      </c>
      <c r="N238" s="66"/>
      <c r="O238" s="68"/>
      <c r="P238" s="68"/>
    </row>
    <row r="239" spans="2:16" ht="19.5" hidden="1" customHeight="1">
      <c r="B239" s="61"/>
      <c r="C239" s="86"/>
      <c r="D239" s="85"/>
      <c r="E239" s="85"/>
      <c r="F239" s="85"/>
      <c r="G239" s="85"/>
      <c r="H239" s="85"/>
      <c r="I239" s="85"/>
      <c r="J239" s="85"/>
      <c r="K239" s="85"/>
      <c r="L239" s="85"/>
      <c r="M239" s="86"/>
      <c r="N239" s="66"/>
      <c r="O239" s="68"/>
      <c r="P239" s="68"/>
    </row>
    <row r="240" spans="2:16" ht="19.5" hidden="1" customHeight="1">
      <c r="B240" s="57" t="s">
        <v>305</v>
      </c>
      <c r="C240" s="86">
        <v>344529.4</v>
      </c>
      <c r="D240" s="85">
        <f>23641-703.1</f>
        <v>22937.9</v>
      </c>
      <c r="E240" s="85">
        <f>673+30.1</f>
        <v>703.1</v>
      </c>
      <c r="F240" s="85">
        <f>1977.6-235.1</f>
        <v>1742.5</v>
      </c>
      <c r="G240" s="85">
        <v>235.1</v>
      </c>
      <c r="H240" s="85">
        <v>6990.8</v>
      </c>
      <c r="I240" s="85">
        <v>6327.6</v>
      </c>
      <c r="J240" s="85">
        <v>13395.8</v>
      </c>
      <c r="K240" s="85">
        <v>5075</v>
      </c>
      <c r="L240" s="85">
        <v>2227.4</v>
      </c>
      <c r="M240" s="86">
        <v>404164.6</v>
      </c>
      <c r="N240" s="66"/>
      <c r="O240" s="68"/>
      <c r="P240" s="68"/>
    </row>
    <row r="241" spans="2:16" ht="19.5" hidden="1" customHeight="1">
      <c r="B241" s="57"/>
      <c r="C241" s="86"/>
      <c r="D241" s="85"/>
      <c r="E241" s="85"/>
      <c r="F241" s="85"/>
      <c r="G241" s="85"/>
      <c r="H241" s="85"/>
      <c r="I241" s="85"/>
      <c r="J241" s="85"/>
      <c r="K241" s="85"/>
      <c r="L241" s="85"/>
      <c r="M241" s="86"/>
      <c r="N241" s="66"/>
      <c r="O241" s="68"/>
      <c r="P241" s="68"/>
    </row>
    <row r="242" spans="2:16" ht="19.5" hidden="1" customHeight="1">
      <c r="B242" s="57" t="s">
        <v>306</v>
      </c>
      <c r="C242" s="86">
        <v>384199.2</v>
      </c>
      <c r="D242" s="85">
        <f>27707.7-702.6</f>
        <v>27005.100000000002</v>
      </c>
      <c r="E242" s="85">
        <f>29.6+673</f>
        <v>702.6</v>
      </c>
      <c r="F242" s="85">
        <f>2612-792.4</f>
        <v>1819.6</v>
      </c>
      <c r="G242" s="85">
        <v>792.4</v>
      </c>
      <c r="H242" s="85">
        <v>8275.5</v>
      </c>
      <c r="I242" s="85">
        <v>4390.8</v>
      </c>
      <c r="J242" s="85">
        <v>13850.9</v>
      </c>
      <c r="K242" s="85">
        <v>5141.8</v>
      </c>
      <c r="L242" s="85">
        <v>2250.8000000000002</v>
      </c>
      <c r="M242" s="86">
        <v>448428.9</v>
      </c>
      <c r="N242" s="66"/>
      <c r="O242" s="68"/>
      <c r="P242" s="68"/>
    </row>
    <row r="243" spans="2:16" ht="19.5" hidden="1" customHeight="1">
      <c r="B243" s="57"/>
      <c r="C243" s="86"/>
      <c r="D243" s="85"/>
      <c r="E243" s="85"/>
      <c r="F243" s="85"/>
      <c r="G243" s="85"/>
      <c r="H243" s="85"/>
      <c r="I243" s="85"/>
      <c r="J243" s="85"/>
      <c r="K243" s="85"/>
      <c r="L243" s="85"/>
      <c r="M243" s="86"/>
      <c r="N243" s="66"/>
      <c r="O243" s="68"/>
      <c r="P243" s="68"/>
    </row>
    <row r="244" spans="2:16" ht="19.5" hidden="1" customHeight="1">
      <c r="B244" s="57" t="s">
        <v>307</v>
      </c>
      <c r="C244" s="86">
        <v>443779.7</v>
      </c>
      <c r="D244" s="85">
        <v>16258.1</v>
      </c>
      <c r="E244" s="85">
        <v>0</v>
      </c>
      <c r="F244" s="85">
        <f>6057.5-791.4</f>
        <v>5266.1</v>
      </c>
      <c r="G244" s="85">
        <v>791.4</v>
      </c>
      <c r="H244" s="85">
        <v>8957</v>
      </c>
      <c r="I244" s="85">
        <v>5579.6</v>
      </c>
      <c r="J244" s="85">
        <v>14346</v>
      </c>
      <c r="K244" s="85">
        <v>5364.4</v>
      </c>
      <c r="L244" s="85">
        <v>2253.8000000000002</v>
      </c>
      <c r="M244" s="86">
        <v>502596.1</v>
      </c>
      <c r="N244" s="66"/>
      <c r="O244" s="68"/>
      <c r="P244" s="68"/>
    </row>
    <row r="245" spans="2:16" ht="19.5" hidden="1" customHeight="1">
      <c r="B245" s="57"/>
      <c r="C245" s="86"/>
      <c r="D245" s="85"/>
      <c r="E245" s="85"/>
      <c r="F245" s="85"/>
      <c r="G245" s="85"/>
      <c r="H245" s="85"/>
      <c r="I245" s="85"/>
      <c r="J245" s="85"/>
      <c r="K245" s="85"/>
      <c r="L245" s="85"/>
      <c r="M245" s="86"/>
      <c r="N245" s="66"/>
      <c r="O245" s="68"/>
      <c r="P245" s="68"/>
    </row>
    <row r="246" spans="2:16" ht="19.5" hidden="1" customHeight="1">
      <c r="B246" s="57" t="s">
        <v>308</v>
      </c>
      <c r="C246" s="86">
        <v>503586.1</v>
      </c>
      <c r="D246" s="85">
        <f>28299.8-1523.5</f>
        <v>26776.3</v>
      </c>
      <c r="E246" s="85">
        <f>31.9+1491.6</f>
        <v>1523.5</v>
      </c>
      <c r="F246" s="85">
        <f>18169.5-785.6</f>
        <v>17383.900000000001</v>
      </c>
      <c r="G246" s="85">
        <v>785.6</v>
      </c>
      <c r="H246" s="85">
        <v>10393.299999999999</v>
      </c>
      <c r="I246" s="85">
        <v>2007.8</v>
      </c>
      <c r="J246" s="85">
        <v>14925.8</v>
      </c>
      <c r="K246" s="85">
        <v>5462</v>
      </c>
      <c r="L246" s="85">
        <v>2296.6</v>
      </c>
      <c r="M246" s="86">
        <v>585140.9</v>
      </c>
      <c r="N246" s="66"/>
      <c r="O246" s="68"/>
      <c r="P246" s="68"/>
    </row>
    <row r="247" spans="2:16" ht="19.5" hidden="1" customHeight="1">
      <c r="B247" s="57"/>
      <c r="C247" s="86"/>
      <c r="D247" s="85"/>
      <c r="E247" s="85"/>
      <c r="F247" s="85"/>
      <c r="G247" s="85"/>
      <c r="H247" s="85"/>
      <c r="I247" s="85"/>
      <c r="J247" s="85"/>
      <c r="K247" s="85"/>
      <c r="L247" s="85"/>
      <c r="M247" s="86"/>
      <c r="N247" s="66"/>
      <c r="O247" s="68"/>
      <c r="P247" s="68"/>
    </row>
    <row r="248" spans="2:16" ht="19.5" hidden="1" customHeight="1">
      <c r="B248" s="57" t="s">
        <v>311</v>
      </c>
      <c r="C248" s="86">
        <v>549034.4</v>
      </c>
      <c r="D248" s="85">
        <f>27649.1-1038.3</f>
        <v>26610.799999999999</v>
      </c>
      <c r="E248" s="85">
        <f>35.2+1003.1</f>
        <v>1038.3</v>
      </c>
      <c r="F248" s="85">
        <f>14050.7-95.8</f>
        <v>13954.900000000001</v>
      </c>
      <c r="G248" s="85">
        <v>95.8</v>
      </c>
      <c r="H248" s="85">
        <v>14831.8</v>
      </c>
      <c r="I248" s="85">
        <v>1643</v>
      </c>
      <c r="J248" s="85">
        <v>15863</v>
      </c>
      <c r="K248" s="85">
        <v>5554.5</v>
      </c>
      <c r="L248" s="85">
        <v>2343.1999999999998</v>
      </c>
      <c r="M248" s="86">
        <v>630969.69999999995</v>
      </c>
      <c r="N248" s="66"/>
      <c r="O248" s="68"/>
      <c r="P248" s="68"/>
    </row>
    <row r="249" spans="2:16" ht="19.5" hidden="1" customHeight="1">
      <c r="B249" s="57"/>
      <c r="C249" s="86"/>
      <c r="D249" s="85"/>
      <c r="E249" s="85"/>
      <c r="F249" s="85"/>
      <c r="G249" s="85"/>
      <c r="H249" s="85"/>
      <c r="I249" s="85"/>
      <c r="J249" s="85"/>
      <c r="K249" s="85"/>
      <c r="L249" s="85"/>
      <c r="M249" s="86"/>
      <c r="N249" s="66"/>
      <c r="O249" s="68"/>
      <c r="P249" s="68"/>
    </row>
    <row r="250" spans="2:16" ht="19.5" hidden="1" customHeight="1">
      <c r="B250" s="55">
        <v>2003</v>
      </c>
      <c r="C250" s="86"/>
      <c r="D250" s="85"/>
      <c r="E250" s="85"/>
      <c r="F250" s="85"/>
      <c r="G250" s="85"/>
      <c r="H250" s="85"/>
      <c r="I250" s="85"/>
      <c r="J250" s="85"/>
      <c r="K250" s="85"/>
      <c r="L250" s="85"/>
      <c r="M250" s="86"/>
      <c r="N250" s="66"/>
      <c r="O250" s="68"/>
      <c r="P250" s="68"/>
    </row>
    <row r="251" spans="2:16" ht="19.5" hidden="1" customHeight="1">
      <c r="B251" s="55"/>
      <c r="C251" s="86"/>
      <c r="D251" s="85"/>
      <c r="E251" s="85"/>
      <c r="F251" s="85"/>
      <c r="G251" s="85"/>
      <c r="H251" s="85"/>
      <c r="I251" s="85"/>
      <c r="J251" s="85"/>
      <c r="K251" s="85"/>
      <c r="L251" s="85"/>
      <c r="M251" s="86"/>
      <c r="N251" s="66"/>
      <c r="O251" s="68"/>
      <c r="P251" s="68"/>
    </row>
    <row r="252" spans="2:16" ht="19.5" hidden="1" customHeight="1">
      <c r="B252" s="57" t="s">
        <v>298</v>
      </c>
      <c r="C252" s="86">
        <v>602429.69999999995</v>
      </c>
      <c r="D252" s="85">
        <f>28104-E252</f>
        <v>27198.3</v>
      </c>
      <c r="E252" s="85">
        <f>37.6+868.1</f>
        <v>905.7</v>
      </c>
      <c r="F252" s="85">
        <f>10129.1-G252</f>
        <v>10087.700000000001</v>
      </c>
      <c r="G252" s="85">
        <v>41.4</v>
      </c>
      <c r="H252" s="85">
        <v>12228.7</v>
      </c>
      <c r="I252" s="85">
        <v>4629.8999999999996</v>
      </c>
      <c r="J252" s="85">
        <v>16462.8</v>
      </c>
      <c r="K252" s="85">
        <v>5671.6</v>
      </c>
      <c r="L252" s="85">
        <v>2478.5</v>
      </c>
      <c r="M252" s="86">
        <v>682134.4</v>
      </c>
      <c r="N252" s="66"/>
      <c r="O252" s="68"/>
      <c r="P252" s="68"/>
    </row>
    <row r="253" spans="2:16" ht="19.5" hidden="1" customHeight="1">
      <c r="B253" s="57"/>
      <c r="C253" s="86"/>
      <c r="D253" s="85"/>
      <c r="E253" s="85"/>
      <c r="F253" s="85"/>
      <c r="G253" s="85"/>
      <c r="H253" s="85"/>
      <c r="I253" s="85"/>
      <c r="J253" s="85"/>
      <c r="K253" s="85"/>
      <c r="L253" s="85"/>
      <c r="M253" s="86"/>
      <c r="N253" s="66"/>
      <c r="O253" s="68"/>
      <c r="P253" s="68"/>
    </row>
    <row r="254" spans="2:16" ht="19.5" hidden="1" customHeight="1">
      <c r="B254" s="57" t="s">
        <v>299</v>
      </c>
      <c r="C254" s="86">
        <v>640067.6</v>
      </c>
      <c r="D254" s="85">
        <f>42644.6-E254</f>
        <v>41372.5</v>
      </c>
      <c r="E254" s="85">
        <v>1272.0999999999999</v>
      </c>
      <c r="F254" s="85">
        <f>11765.6-G254</f>
        <v>11729.800000000001</v>
      </c>
      <c r="G254" s="85">
        <v>35.799999999999997</v>
      </c>
      <c r="H254" s="85">
        <v>10114.299999999999</v>
      </c>
      <c r="I254" s="85">
        <v>91.5</v>
      </c>
      <c r="J254" s="85">
        <v>16763.599999999999</v>
      </c>
      <c r="K254" s="85">
        <v>4679.5</v>
      </c>
      <c r="L254" s="85">
        <v>2528.4</v>
      </c>
      <c r="M254" s="86">
        <v>728655.1</v>
      </c>
      <c r="N254" s="66"/>
      <c r="O254" s="68"/>
      <c r="P254" s="68"/>
    </row>
    <row r="255" spans="2:16" ht="19.5" hidden="1" customHeight="1">
      <c r="B255" s="57"/>
      <c r="C255" s="86"/>
      <c r="D255" s="85"/>
      <c r="E255" s="85"/>
      <c r="F255" s="85"/>
      <c r="G255" s="85"/>
      <c r="H255" s="85"/>
      <c r="I255" s="85"/>
      <c r="J255" s="85"/>
      <c r="K255" s="85"/>
      <c r="L255" s="85"/>
      <c r="M255" s="86"/>
      <c r="N255" s="66"/>
      <c r="O255" s="68"/>
      <c r="P255" s="68"/>
    </row>
    <row r="256" spans="2:16" ht="19.5" hidden="1" customHeight="1">
      <c r="B256" s="57" t="s">
        <v>300</v>
      </c>
      <c r="C256" s="86">
        <v>772762.5</v>
      </c>
      <c r="D256" s="85">
        <f>58240-868.1</f>
        <v>57371.9</v>
      </c>
      <c r="E256" s="85">
        <v>868.1</v>
      </c>
      <c r="F256" s="85">
        <f>12944.3-504.1</f>
        <v>12440.199999999999</v>
      </c>
      <c r="G256" s="85">
        <v>504.1</v>
      </c>
      <c r="H256" s="85">
        <v>12014.3</v>
      </c>
      <c r="I256" s="85">
        <v>104.9</v>
      </c>
      <c r="J256" s="85">
        <v>17441</v>
      </c>
      <c r="K256" s="85">
        <v>4794.5</v>
      </c>
      <c r="L256" s="85">
        <v>2592.6</v>
      </c>
      <c r="M256" s="86">
        <v>880893.9</v>
      </c>
      <c r="N256" s="66"/>
      <c r="O256" s="68"/>
      <c r="P256" s="68"/>
    </row>
    <row r="257" spans="2:16" ht="19.5" hidden="1" customHeight="1">
      <c r="B257" s="57"/>
      <c r="C257" s="86"/>
      <c r="D257" s="85"/>
      <c r="E257" s="85"/>
      <c r="F257" s="85"/>
      <c r="G257" s="85"/>
      <c r="H257" s="85"/>
      <c r="I257" s="85"/>
      <c r="J257" s="85"/>
      <c r="K257" s="85"/>
      <c r="L257" s="85"/>
      <c r="M257" s="86"/>
      <c r="N257" s="66"/>
      <c r="O257" s="68"/>
      <c r="P257" s="68"/>
    </row>
    <row r="258" spans="2:16" ht="19.5" hidden="1" customHeight="1">
      <c r="B258" s="74" t="s">
        <v>301</v>
      </c>
      <c r="C258" s="86">
        <v>894276.2</v>
      </c>
      <c r="D258" s="85">
        <f>99385.2-E258</f>
        <v>88528.7</v>
      </c>
      <c r="E258" s="85">
        <v>10856.5</v>
      </c>
      <c r="F258" s="85">
        <f>15699-G258</f>
        <v>14484.9</v>
      </c>
      <c r="G258" s="85">
        <v>1214.0999999999999</v>
      </c>
      <c r="H258" s="85">
        <v>9839.4</v>
      </c>
      <c r="I258" s="85">
        <v>1069.8</v>
      </c>
      <c r="J258" s="85">
        <v>18217.7</v>
      </c>
      <c r="K258" s="85">
        <v>5369.9</v>
      </c>
      <c r="L258" s="85">
        <v>2623.7</v>
      </c>
      <c r="M258" s="86">
        <v>1046480.8</v>
      </c>
      <c r="N258" s="66"/>
      <c r="O258" s="68"/>
      <c r="P258" s="68"/>
    </row>
    <row r="259" spans="2:16" ht="19.5" hidden="1" customHeight="1">
      <c r="B259" s="125"/>
      <c r="C259" s="86"/>
      <c r="D259" s="85"/>
      <c r="E259" s="85"/>
      <c r="F259" s="85"/>
      <c r="G259" s="85"/>
      <c r="H259" s="85"/>
      <c r="I259" s="85"/>
      <c r="J259" s="85"/>
      <c r="K259" s="85"/>
      <c r="L259" s="85"/>
      <c r="M259" s="86"/>
      <c r="N259" s="66"/>
      <c r="O259" s="68"/>
      <c r="P259" s="68"/>
    </row>
    <row r="260" spans="2:16" ht="19.5" hidden="1" customHeight="1">
      <c r="B260" s="74" t="s">
        <v>302</v>
      </c>
      <c r="C260" s="86">
        <v>988137</v>
      </c>
      <c r="D260" s="85">
        <f>100179.2-E260</f>
        <v>98913.3</v>
      </c>
      <c r="E260" s="85">
        <v>1265.9000000000001</v>
      </c>
      <c r="F260" s="85">
        <f>8713-G260</f>
        <v>7598.7</v>
      </c>
      <c r="G260" s="85">
        <v>1114.3</v>
      </c>
      <c r="H260" s="85">
        <v>11116.2</v>
      </c>
      <c r="I260" s="85">
        <v>586.4</v>
      </c>
      <c r="J260" s="85">
        <v>18803.7</v>
      </c>
      <c r="K260" s="85">
        <v>5466.5</v>
      </c>
      <c r="L260" s="85">
        <v>2703.2</v>
      </c>
      <c r="M260" s="86">
        <v>1135705.3</v>
      </c>
      <c r="N260" s="66"/>
      <c r="O260" s="68"/>
      <c r="P260" s="68"/>
    </row>
    <row r="261" spans="2:16" ht="19.5" hidden="1" customHeight="1">
      <c r="B261" s="125"/>
      <c r="C261" s="86"/>
      <c r="D261" s="85"/>
      <c r="E261" s="85"/>
      <c r="F261" s="85"/>
      <c r="G261" s="85"/>
      <c r="H261" s="85"/>
      <c r="I261" s="85"/>
      <c r="J261" s="85"/>
      <c r="K261" s="85"/>
      <c r="L261" s="85"/>
      <c r="M261" s="86"/>
      <c r="N261" s="66"/>
      <c r="O261" s="68"/>
      <c r="P261" s="68"/>
    </row>
    <row r="262" spans="2:16" ht="19.5" hidden="1" customHeight="1">
      <c r="B262" s="74" t="s">
        <v>303</v>
      </c>
      <c r="C262" s="86">
        <v>1111506.2</v>
      </c>
      <c r="D262" s="85">
        <f>106340.3-E262</f>
        <v>104860.2</v>
      </c>
      <c r="E262" s="85">
        <v>1480.1</v>
      </c>
      <c r="F262" s="85">
        <f>14171.3-G262</f>
        <v>13876.699999999999</v>
      </c>
      <c r="G262" s="85">
        <v>294.60000000000002</v>
      </c>
      <c r="H262" s="85">
        <v>8733.2000000000007</v>
      </c>
      <c r="I262" s="85">
        <v>767.6</v>
      </c>
      <c r="J262" s="85">
        <v>19589.5</v>
      </c>
      <c r="K262" s="85">
        <v>6001.5</v>
      </c>
      <c r="L262" s="85">
        <v>2741.8</v>
      </c>
      <c r="M262" s="86">
        <v>1269851.5</v>
      </c>
      <c r="N262" s="66"/>
      <c r="O262" s="68"/>
      <c r="P262" s="68"/>
    </row>
    <row r="263" spans="2:16" ht="19.5" hidden="1" customHeight="1">
      <c r="B263" s="74"/>
      <c r="C263" s="86"/>
      <c r="D263" s="85"/>
      <c r="E263" s="85"/>
      <c r="F263" s="85"/>
      <c r="G263" s="85"/>
      <c r="H263" s="85"/>
      <c r="I263" s="85"/>
      <c r="J263" s="85"/>
      <c r="K263" s="85"/>
      <c r="L263" s="85"/>
      <c r="M263" s="86"/>
      <c r="N263" s="66"/>
      <c r="O263" s="68"/>
      <c r="P263" s="68"/>
    </row>
    <row r="264" spans="2:16" ht="19.5" hidden="1" customHeight="1">
      <c r="B264" s="74" t="s">
        <v>304</v>
      </c>
      <c r="C264" s="86">
        <v>1375578.2</v>
      </c>
      <c r="D264" s="85">
        <f>101630.6-E264</f>
        <v>99737.5</v>
      </c>
      <c r="E264" s="85">
        <v>1893.1</v>
      </c>
      <c r="F264" s="85">
        <f>6103.2-G264</f>
        <v>4924.3999999999996</v>
      </c>
      <c r="G264" s="85">
        <v>1178.8</v>
      </c>
      <c r="H264" s="85">
        <f>4920100299/1000</f>
        <v>4920100.2989999996</v>
      </c>
      <c r="I264" s="85">
        <v>725</v>
      </c>
      <c r="J264" s="85">
        <v>20317.900000000001</v>
      </c>
      <c r="K264" s="85">
        <v>6141.1</v>
      </c>
      <c r="L264" s="85">
        <v>2915.6</v>
      </c>
      <c r="M264" s="86">
        <v>1524437.5</v>
      </c>
      <c r="N264" s="66"/>
      <c r="O264" s="68"/>
      <c r="P264" s="68"/>
    </row>
    <row r="265" spans="2:16" ht="19.5" hidden="1" customHeight="1">
      <c r="B265" s="57"/>
      <c r="C265" s="86"/>
      <c r="D265" s="85"/>
      <c r="E265" s="85"/>
      <c r="F265" s="85"/>
      <c r="G265" s="85"/>
      <c r="H265" s="85">
        <f>4698281252/1000</f>
        <v>4698281.2520000003</v>
      </c>
      <c r="I265" s="85">
        <v>20</v>
      </c>
      <c r="J265" s="85"/>
      <c r="K265" s="85"/>
      <c r="L265" s="85"/>
      <c r="M265" s="86"/>
      <c r="N265" s="66"/>
      <c r="O265" s="68"/>
      <c r="P265" s="68"/>
    </row>
    <row r="266" spans="2:16" ht="19.5" hidden="1" customHeight="1">
      <c r="B266" s="57" t="s">
        <v>305</v>
      </c>
      <c r="C266" s="86">
        <v>1706165.6</v>
      </c>
      <c r="D266" s="85">
        <f>90084.9-2757.8</f>
        <v>87327.099999999991</v>
      </c>
      <c r="E266" s="85">
        <f>15.4+2742.4</f>
        <v>2757.8</v>
      </c>
      <c r="F266" s="85">
        <f>1830.3-1450.4</f>
        <v>379.89999999999986</v>
      </c>
      <c r="G266" s="85">
        <v>1450.4</v>
      </c>
      <c r="H266" s="85">
        <f>6895867959/1000</f>
        <v>6895867.9589999998</v>
      </c>
      <c r="I266" s="85">
        <v>572.70000000000005</v>
      </c>
      <c r="J266" s="85">
        <v>21169.1</v>
      </c>
      <c r="K266" s="85">
        <v>6222.2</v>
      </c>
      <c r="L266" s="85">
        <v>2984.3</v>
      </c>
      <c r="M266" s="86">
        <v>1841379</v>
      </c>
      <c r="N266" s="66"/>
      <c r="O266" s="68"/>
      <c r="P266" s="68"/>
    </row>
    <row r="267" spans="2:16" ht="19.5" hidden="1" customHeight="1">
      <c r="B267" s="57"/>
      <c r="C267" s="86"/>
      <c r="D267" s="85"/>
      <c r="E267" s="85"/>
      <c r="F267" s="85"/>
      <c r="G267" s="85"/>
      <c r="H267" s="85"/>
      <c r="I267" s="85"/>
      <c r="J267" s="85"/>
      <c r="K267" s="85"/>
      <c r="L267" s="85"/>
      <c r="M267" s="86"/>
      <c r="N267" s="66"/>
      <c r="O267" s="68"/>
      <c r="P267" s="68"/>
    </row>
    <row r="268" spans="2:16" ht="19.5" hidden="1" customHeight="1">
      <c r="B268" s="57" t="s">
        <v>306</v>
      </c>
      <c r="C268" s="86">
        <v>2173446.4</v>
      </c>
      <c r="D268" s="85">
        <f>97964.1-3386.2</f>
        <v>94577.900000000009</v>
      </c>
      <c r="E268" s="85">
        <v>3386.2</v>
      </c>
      <c r="F268" s="85">
        <f>1000-465.6</f>
        <v>534.4</v>
      </c>
      <c r="G268" s="85">
        <v>465.6</v>
      </c>
      <c r="H268" s="85">
        <v>21138.3</v>
      </c>
      <c r="I268" s="85">
        <v>750</v>
      </c>
      <c r="J268" s="85">
        <v>22319.7</v>
      </c>
      <c r="K268" s="85">
        <v>6229.5</v>
      </c>
      <c r="L268" s="85">
        <v>3089.5</v>
      </c>
      <c r="M268" s="86">
        <v>2325937.5</v>
      </c>
      <c r="N268" s="66"/>
      <c r="O268" s="68"/>
      <c r="P268" s="68"/>
    </row>
    <row r="269" spans="2:16" ht="19.5" hidden="1" customHeight="1">
      <c r="B269" s="57"/>
      <c r="C269" s="86"/>
      <c r="D269" s="85"/>
      <c r="E269" s="85"/>
      <c r="F269" s="85"/>
      <c r="G269" s="85"/>
      <c r="H269" s="85"/>
      <c r="I269" s="85"/>
      <c r="J269" s="85"/>
      <c r="K269" s="85"/>
      <c r="L269" s="85"/>
      <c r="M269" s="86"/>
      <c r="N269" s="66"/>
      <c r="O269" s="68"/>
      <c r="P269" s="68"/>
    </row>
    <row r="270" spans="2:16" ht="19.5" hidden="1" customHeight="1">
      <c r="B270" s="57" t="s">
        <v>307</v>
      </c>
      <c r="C270" s="86">
        <v>2497666.1</v>
      </c>
      <c r="D270" s="85">
        <f>140150.5-3554.9</f>
        <v>136595.6</v>
      </c>
      <c r="E270" s="85">
        <v>3554.9</v>
      </c>
      <c r="F270" s="85">
        <f>13300.2-1231.2</f>
        <v>12069</v>
      </c>
      <c r="G270" s="85">
        <v>1231.2</v>
      </c>
      <c r="H270" s="85">
        <v>17373.099999999999</v>
      </c>
      <c r="I270" s="85">
        <v>103.2</v>
      </c>
      <c r="J270" s="85">
        <v>24287.1</v>
      </c>
      <c r="K270" s="85">
        <v>6516.3</v>
      </c>
      <c r="L270" s="85">
        <v>3203.9</v>
      </c>
      <c r="M270" s="86">
        <v>2702600.5</v>
      </c>
      <c r="N270" s="66"/>
      <c r="O270" s="68"/>
      <c r="P270" s="68"/>
    </row>
    <row r="271" spans="2:16" ht="19.5" hidden="1" customHeight="1">
      <c r="B271" s="57"/>
      <c r="C271" s="86"/>
      <c r="D271" s="85"/>
      <c r="E271" s="85"/>
      <c r="F271" s="85"/>
      <c r="G271" s="85"/>
      <c r="H271" s="85"/>
      <c r="I271" s="85"/>
      <c r="J271" s="85"/>
      <c r="K271" s="85"/>
      <c r="L271" s="85"/>
      <c r="M271" s="86"/>
      <c r="N271" s="66"/>
      <c r="O271" s="68"/>
      <c r="P271" s="68"/>
    </row>
    <row r="272" spans="2:16" ht="19.5" hidden="1" customHeight="1">
      <c r="B272" s="57" t="s">
        <v>308</v>
      </c>
      <c r="C272" s="86">
        <v>2901496.9</v>
      </c>
      <c r="D272" s="85">
        <f>198008.5-E272</f>
        <v>194179.4</v>
      </c>
      <c r="E272" s="85">
        <v>3829.1</v>
      </c>
      <c r="F272" s="85">
        <f>4788.2-G272</f>
        <v>3680.2999999999997</v>
      </c>
      <c r="G272" s="85">
        <v>1107.9000000000001</v>
      </c>
      <c r="H272" s="85">
        <v>10882.2</v>
      </c>
      <c r="I272" s="85">
        <v>849.1</v>
      </c>
      <c r="J272" s="85">
        <v>25552.3</v>
      </c>
      <c r="K272" s="85">
        <v>6667.8</v>
      </c>
      <c r="L272" s="85">
        <v>3285.7</v>
      </c>
      <c r="M272" s="86">
        <v>3151530.5</v>
      </c>
      <c r="N272" s="66"/>
      <c r="O272" s="68"/>
      <c r="P272" s="68"/>
    </row>
    <row r="273" spans="2:16" ht="19.5" hidden="1" customHeight="1">
      <c r="B273" s="57"/>
      <c r="C273" s="86"/>
      <c r="D273" s="85"/>
      <c r="E273" s="85"/>
      <c r="F273" s="85"/>
      <c r="G273" s="85"/>
      <c r="H273" s="85"/>
      <c r="I273" s="85"/>
      <c r="J273" s="85"/>
      <c r="K273" s="85"/>
      <c r="L273" s="85"/>
      <c r="M273" s="86"/>
      <c r="N273" s="66"/>
      <c r="O273" s="68"/>
      <c r="P273" s="68"/>
    </row>
    <row r="274" spans="2:16" ht="19.5" hidden="1" customHeight="1">
      <c r="B274" s="57" t="s">
        <v>311</v>
      </c>
      <c r="C274" s="86">
        <v>2985267.8</v>
      </c>
      <c r="D274" s="85">
        <f>181259.1-E274</f>
        <v>179375</v>
      </c>
      <c r="E274" s="85">
        <v>1884.1</v>
      </c>
      <c r="F274" s="85">
        <f>8335.6-G274</f>
        <v>7980.7000000000007</v>
      </c>
      <c r="G274" s="85">
        <v>354.9</v>
      </c>
      <c r="H274" s="85">
        <v>9409.6</v>
      </c>
      <c r="I274" s="85">
        <v>18795.8</v>
      </c>
      <c r="J274" s="85">
        <v>26730.3</v>
      </c>
      <c r="K274" s="85">
        <v>7045.4</v>
      </c>
      <c r="L274" s="85">
        <v>3427.7</v>
      </c>
      <c r="M274" s="86">
        <v>3240271.4</v>
      </c>
      <c r="N274" s="66"/>
      <c r="O274" s="68"/>
      <c r="P274" s="68"/>
    </row>
    <row r="275" spans="2:16" ht="19.5" hidden="1" customHeight="1">
      <c r="B275" s="57"/>
      <c r="C275" s="86"/>
      <c r="D275" s="85"/>
      <c r="E275" s="85"/>
      <c r="F275" s="85"/>
      <c r="G275" s="85"/>
      <c r="H275" s="85"/>
      <c r="I275" s="85"/>
      <c r="J275" s="85"/>
      <c r="K275" s="85"/>
      <c r="L275" s="85"/>
      <c r="M275" s="86"/>
      <c r="N275" s="66"/>
      <c r="O275" s="68"/>
      <c r="P275" s="68"/>
    </row>
    <row r="276" spans="2:16" ht="19.5" hidden="1" customHeight="1">
      <c r="B276" s="55">
        <v>2004</v>
      </c>
      <c r="C276" s="86"/>
      <c r="D276" s="85"/>
      <c r="E276" s="85"/>
      <c r="F276" s="85"/>
      <c r="G276" s="85"/>
      <c r="H276" s="85"/>
      <c r="I276" s="85"/>
      <c r="J276" s="85"/>
      <c r="K276" s="85"/>
      <c r="L276" s="85"/>
      <c r="M276" s="86"/>
      <c r="N276" s="66"/>
      <c r="O276" s="68"/>
      <c r="P276" s="68"/>
    </row>
    <row r="277" spans="2:16" ht="19.5" hidden="1" customHeight="1">
      <c r="B277" s="57"/>
      <c r="C277" s="86"/>
      <c r="D277" s="85"/>
      <c r="E277" s="85"/>
      <c r="F277" s="85"/>
      <c r="G277" s="85"/>
      <c r="H277" s="85"/>
      <c r="I277" s="85"/>
      <c r="J277" s="85"/>
      <c r="K277" s="85"/>
      <c r="L277" s="85"/>
      <c r="M277" s="86"/>
      <c r="N277" s="66"/>
      <c r="O277" s="68"/>
      <c r="P277" s="68"/>
    </row>
    <row r="278" spans="2:16" ht="19.5" hidden="1" customHeight="1">
      <c r="B278" s="57" t="s">
        <v>298</v>
      </c>
      <c r="C278" s="86">
        <v>3845642.3</v>
      </c>
      <c r="D278" s="85">
        <f>117146.6-E278</f>
        <v>115262.5</v>
      </c>
      <c r="E278" s="85">
        <v>1884.1</v>
      </c>
      <c r="F278" s="85">
        <f>8096.5-G278</f>
        <v>6659.9</v>
      </c>
      <c r="G278" s="85">
        <v>1436.6</v>
      </c>
      <c r="H278" s="85">
        <v>13674.3</v>
      </c>
      <c r="I278" s="85">
        <v>799.9</v>
      </c>
      <c r="J278" s="85">
        <v>28208.7</v>
      </c>
      <c r="K278" s="85">
        <v>13353.4</v>
      </c>
      <c r="L278" s="85">
        <v>3733.4</v>
      </c>
      <c r="M278" s="86">
        <v>4030655.1</v>
      </c>
      <c r="N278" s="66"/>
      <c r="O278" s="68"/>
      <c r="P278" s="68"/>
    </row>
    <row r="279" spans="2:16" ht="19.5" hidden="1" customHeight="1">
      <c r="B279" s="57"/>
      <c r="C279" s="86"/>
      <c r="D279" s="85"/>
      <c r="E279" s="85"/>
      <c r="F279" s="85"/>
      <c r="G279" s="85"/>
      <c r="H279" s="85"/>
      <c r="I279" s="85"/>
      <c r="J279" s="85"/>
      <c r="K279" s="85"/>
      <c r="L279" s="85"/>
      <c r="M279" s="86"/>
      <c r="N279" s="66"/>
      <c r="O279" s="68"/>
      <c r="P279" s="68"/>
    </row>
    <row r="280" spans="2:16" ht="19.5" hidden="1" customHeight="1">
      <c r="B280" s="57" t="s">
        <v>299</v>
      </c>
      <c r="C280" s="86">
        <v>3907874.7</v>
      </c>
      <c r="D280" s="85">
        <v>80105</v>
      </c>
      <c r="E280" s="85">
        <v>0</v>
      </c>
      <c r="F280" s="85">
        <f>16612.2-G280</f>
        <v>14845.7</v>
      </c>
      <c r="G280" s="85">
        <v>1766.5</v>
      </c>
      <c r="H280" s="85">
        <v>9593.6</v>
      </c>
      <c r="I280" s="85">
        <v>849.6</v>
      </c>
      <c r="J280" s="85">
        <v>29553</v>
      </c>
      <c r="K280" s="85">
        <v>13434.8</v>
      </c>
      <c r="L280" s="85">
        <v>3930.2</v>
      </c>
      <c r="M280" s="86">
        <v>4061952.9</v>
      </c>
      <c r="N280" s="66"/>
      <c r="O280" s="68"/>
      <c r="P280" s="68"/>
    </row>
    <row r="281" spans="2:16" ht="19.5" hidden="1" customHeight="1">
      <c r="B281" s="57"/>
      <c r="C281" s="86"/>
      <c r="D281" s="85"/>
      <c r="E281" s="85"/>
      <c r="F281" s="85"/>
      <c r="G281" s="85"/>
      <c r="H281" s="85"/>
      <c r="I281" s="85"/>
      <c r="J281" s="85"/>
      <c r="K281" s="85"/>
      <c r="L281" s="85"/>
      <c r="M281" s="86"/>
      <c r="N281" s="66"/>
      <c r="O281" s="68"/>
      <c r="P281" s="68"/>
    </row>
    <row r="282" spans="2:16" ht="19.5" hidden="1" customHeight="1">
      <c r="B282" s="57" t="s">
        <v>300</v>
      </c>
      <c r="C282" s="86">
        <v>4437432.7</v>
      </c>
      <c r="D282" s="85">
        <v>80754.399999999994</v>
      </c>
      <c r="E282" s="85">
        <v>0</v>
      </c>
      <c r="F282" s="85">
        <f>16858.4-G282</f>
        <v>15154.000000000002</v>
      </c>
      <c r="G282" s="85">
        <v>1704.4</v>
      </c>
      <c r="H282" s="85">
        <v>11390.4</v>
      </c>
      <c r="I282" s="85">
        <v>957.3</v>
      </c>
      <c r="J282" s="85">
        <v>31265.8</v>
      </c>
      <c r="K282" s="85">
        <v>13468</v>
      </c>
      <c r="L282" s="85">
        <v>4250</v>
      </c>
      <c r="M282" s="86">
        <v>4596377.0999999996</v>
      </c>
      <c r="N282" s="66"/>
      <c r="O282" s="68"/>
      <c r="P282" s="68"/>
    </row>
    <row r="283" spans="2:16" ht="19.5" hidden="1" customHeight="1">
      <c r="B283" s="57"/>
      <c r="C283" s="86"/>
      <c r="D283" s="85"/>
      <c r="E283" s="85"/>
      <c r="F283" s="85"/>
      <c r="G283" s="85"/>
      <c r="H283" s="85"/>
      <c r="I283" s="85"/>
      <c r="J283" s="85"/>
      <c r="K283" s="85"/>
      <c r="L283" s="85"/>
      <c r="M283" s="86"/>
      <c r="N283" s="66"/>
      <c r="O283" s="68"/>
      <c r="P283" s="68"/>
    </row>
    <row r="284" spans="2:16" ht="19.5" hidden="1" customHeight="1">
      <c r="B284" s="57" t="s">
        <v>301</v>
      </c>
      <c r="C284" s="86">
        <v>4923644.8</v>
      </c>
      <c r="D284" s="85">
        <v>215112.7</v>
      </c>
      <c r="E284" s="85">
        <v>0</v>
      </c>
      <c r="F284" s="85">
        <v>24650.2</v>
      </c>
      <c r="G284" s="85">
        <v>1897.1</v>
      </c>
      <c r="H284" s="85">
        <v>14072</v>
      </c>
      <c r="I284" s="85">
        <v>800</v>
      </c>
      <c r="J284" s="85">
        <v>32310.1</v>
      </c>
      <c r="K284" s="85">
        <v>12621.3</v>
      </c>
      <c r="L284" s="85">
        <v>4521.2</v>
      </c>
      <c r="M284" s="86">
        <v>5229629.4000000004</v>
      </c>
      <c r="N284" s="66"/>
      <c r="O284" s="68"/>
      <c r="P284" s="68"/>
    </row>
    <row r="285" spans="2:16" ht="19.5" hidden="1" customHeight="1">
      <c r="B285" s="57"/>
      <c r="C285" s="86"/>
      <c r="D285" s="85"/>
      <c r="E285" s="85"/>
      <c r="F285" s="85"/>
      <c r="G285" s="85"/>
      <c r="H285" s="85"/>
      <c r="I285" s="85"/>
      <c r="J285" s="85"/>
      <c r="K285" s="85"/>
      <c r="L285" s="85"/>
      <c r="M285" s="86"/>
      <c r="N285" s="66"/>
      <c r="O285" s="68"/>
      <c r="P285" s="68"/>
    </row>
    <row r="286" spans="2:16" ht="19.5" hidden="1" customHeight="1">
      <c r="B286" s="57" t="s">
        <v>302</v>
      </c>
      <c r="C286" s="86">
        <v>5405766</v>
      </c>
      <c r="D286" s="85">
        <v>152423.6</v>
      </c>
      <c r="E286" s="85">
        <v>0</v>
      </c>
      <c r="F286" s="85">
        <v>42701.3</v>
      </c>
      <c r="G286" s="85">
        <v>2018.9</v>
      </c>
      <c r="H286" s="85">
        <v>26416.1</v>
      </c>
      <c r="I286" s="85">
        <v>950</v>
      </c>
      <c r="J286" s="85">
        <v>33861.4</v>
      </c>
      <c r="K286" s="85">
        <v>12822.3</v>
      </c>
      <c r="L286" s="85">
        <v>4886.8999999999996</v>
      </c>
      <c r="M286" s="86">
        <v>5681846.5</v>
      </c>
      <c r="N286" s="66"/>
      <c r="O286" s="68"/>
      <c r="P286" s="68"/>
    </row>
    <row r="287" spans="2:16" ht="19.5" hidden="1" customHeight="1">
      <c r="B287" s="57"/>
      <c r="C287" s="86"/>
      <c r="D287" s="85"/>
      <c r="E287" s="85"/>
      <c r="F287" s="85"/>
      <c r="G287" s="85"/>
      <c r="H287" s="85"/>
      <c r="I287" s="85"/>
      <c r="J287" s="85"/>
      <c r="K287" s="85"/>
      <c r="L287" s="85"/>
      <c r="M287" s="86"/>
      <c r="N287" s="66"/>
      <c r="O287" s="68"/>
      <c r="P287" s="68"/>
    </row>
    <row r="288" spans="2:16" ht="19.5" hidden="1" customHeight="1">
      <c r="B288" s="57" t="s">
        <v>303</v>
      </c>
      <c r="C288" s="86">
        <v>6245470.5</v>
      </c>
      <c r="D288" s="85">
        <f>115057.1-E288</f>
        <v>115057.1</v>
      </c>
      <c r="E288" s="85">
        <v>0</v>
      </c>
      <c r="F288" s="85">
        <f>43088.2-G288</f>
        <v>40980.5</v>
      </c>
      <c r="G288" s="85">
        <v>2107.6999999999998</v>
      </c>
      <c r="H288" s="85">
        <v>19227.2</v>
      </c>
      <c r="I288" s="85">
        <v>960</v>
      </c>
      <c r="J288" s="85">
        <v>35831.4</v>
      </c>
      <c r="K288" s="85">
        <v>13620.2</v>
      </c>
      <c r="L288" s="85">
        <v>5330.2</v>
      </c>
      <c r="M288" s="86">
        <v>6478584.7999999998</v>
      </c>
      <c r="N288" s="66"/>
      <c r="O288" s="68">
        <f>+M288-SUM(C288:L288)</f>
        <v>0</v>
      </c>
      <c r="P288" s="68"/>
    </row>
    <row r="289" spans="2:16" ht="19.5" hidden="1" customHeight="1">
      <c r="B289" s="57"/>
      <c r="C289" s="86"/>
      <c r="D289" s="85"/>
      <c r="E289" s="85"/>
      <c r="F289" s="85"/>
      <c r="G289" s="85"/>
      <c r="H289" s="85"/>
      <c r="I289" s="85"/>
      <c r="J289" s="85"/>
      <c r="K289" s="85"/>
      <c r="L289" s="85"/>
      <c r="M289" s="86"/>
      <c r="N289" s="66"/>
      <c r="O289" s="68"/>
      <c r="P289" s="68"/>
    </row>
    <row r="290" spans="2:16" ht="19.5" hidden="1" customHeight="1">
      <c r="B290" s="57" t="s">
        <v>304</v>
      </c>
      <c r="C290" s="86">
        <v>6315173</v>
      </c>
      <c r="D290" s="85">
        <v>161170.4</v>
      </c>
      <c r="E290" s="85">
        <v>0</v>
      </c>
      <c r="F290" s="85">
        <f>52147.7-G290</f>
        <v>50050.6</v>
      </c>
      <c r="G290" s="85">
        <v>2097.1</v>
      </c>
      <c r="H290" s="85">
        <v>35219.300000000003</v>
      </c>
      <c r="I290" s="85">
        <v>2928.9</v>
      </c>
      <c r="J290" s="85">
        <v>45610.3</v>
      </c>
      <c r="K290" s="85">
        <v>22371.9</v>
      </c>
      <c r="L290" s="85">
        <v>6060.1</v>
      </c>
      <c r="M290" s="86">
        <v>6640681.5</v>
      </c>
      <c r="N290" s="66"/>
      <c r="O290" s="68">
        <f>+M290-SUM(C290:L290)</f>
        <v>-9.999999962747097E-2</v>
      </c>
      <c r="P290" s="68"/>
    </row>
    <row r="291" spans="2:16" ht="19.5" hidden="1" customHeight="1">
      <c r="B291" s="57"/>
      <c r="C291" s="86"/>
      <c r="D291" s="85"/>
      <c r="E291" s="85"/>
      <c r="F291" s="85"/>
      <c r="G291" s="85"/>
      <c r="H291" s="85"/>
      <c r="I291" s="85"/>
      <c r="J291" s="85"/>
      <c r="K291" s="85"/>
      <c r="L291" s="85"/>
      <c r="M291" s="86"/>
      <c r="N291" s="66"/>
      <c r="O291" s="68"/>
      <c r="P291" s="68"/>
    </row>
    <row r="292" spans="2:16" ht="19.5" hidden="1" customHeight="1">
      <c r="B292" s="57" t="s">
        <v>305</v>
      </c>
      <c r="C292" s="86">
        <v>7276266.0999999996</v>
      </c>
      <c r="D292" s="85">
        <v>282968.5</v>
      </c>
      <c r="E292" s="85">
        <v>0</v>
      </c>
      <c r="F292" s="85">
        <f>59217-G292</f>
        <v>57153</v>
      </c>
      <c r="G292" s="85">
        <v>2064</v>
      </c>
      <c r="H292" s="85">
        <v>39072.9</v>
      </c>
      <c r="I292" s="85">
        <v>3000</v>
      </c>
      <c r="J292" s="85">
        <v>54909.9</v>
      </c>
      <c r="K292" s="85">
        <v>23024.1</v>
      </c>
      <c r="L292" s="85">
        <v>6551.9</v>
      </c>
      <c r="M292" s="86">
        <v>7745010.2999999998</v>
      </c>
      <c r="N292" s="66"/>
      <c r="O292" s="68">
        <f>+M292-SUM(C292:L292)</f>
        <v>-0.10000000055879354</v>
      </c>
      <c r="P292" s="68"/>
    </row>
    <row r="293" spans="2:16" ht="19.5" hidden="1" customHeight="1">
      <c r="B293" s="57"/>
      <c r="C293" s="86"/>
      <c r="D293" s="85"/>
      <c r="E293" s="85"/>
      <c r="F293" s="85"/>
      <c r="G293" s="85"/>
      <c r="H293" s="85"/>
      <c r="I293" s="85"/>
      <c r="J293" s="85"/>
      <c r="K293" s="85"/>
      <c r="L293" s="85"/>
      <c r="M293" s="86"/>
      <c r="N293" s="66"/>
      <c r="O293" s="68"/>
      <c r="P293" s="68"/>
    </row>
    <row r="294" spans="2:16" ht="19.5" hidden="1" customHeight="1">
      <c r="B294" s="57" t="s">
        <v>306</v>
      </c>
      <c r="C294" s="86">
        <v>7984878</v>
      </c>
      <c r="D294" s="85">
        <v>196281.4</v>
      </c>
      <c r="E294" s="85">
        <v>0</v>
      </c>
      <c r="F294" s="85">
        <f>73854.3-G294</f>
        <v>71713.8</v>
      </c>
      <c r="G294" s="85">
        <v>2140.5</v>
      </c>
      <c r="H294" s="85">
        <v>41195</v>
      </c>
      <c r="I294" s="85">
        <v>42168.1</v>
      </c>
      <c r="J294" s="85">
        <v>57538.7</v>
      </c>
      <c r="K294" s="85">
        <v>23078.6</v>
      </c>
      <c r="L294" s="85">
        <v>7180.1</v>
      </c>
      <c r="M294" s="86">
        <v>8426174.1999999993</v>
      </c>
      <c r="N294" s="66"/>
      <c r="O294" s="68">
        <f>+M294-SUM(C294:L294)</f>
        <v>0</v>
      </c>
      <c r="P294" s="68"/>
    </row>
    <row r="295" spans="2:16" ht="19.5" hidden="1" customHeight="1">
      <c r="B295" s="57"/>
      <c r="C295" s="86"/>
      <c r="D295" s="85"/>
      <c r="E295" s="85"/>
      <c r="F295" s="85"/>
      <c r="G295" s="85"/>
      <c r="H295" s="85"/>
      <c r="I295" s="85"/>
      <c r="J295" s="85"/>
      <c r="K295" s="85"/>
      <c r="L295" s="85"/>
      <c r="M295" s="86"/>
      <c r="N295" s="66"/>
      <c r="O295" s="68"/>
      <c r="P295" s="68"/>
    </row>
    <row r="296" spans="2:16" ht="19.5" hidden="1" customHeight="1">
      <c r="B296" s="57" t="s">
        <v>307</v>
      </c>
      <c r="C296" s="86">
        <v>8140530.5</v>
      </c>
      <c r="D296" s="85">
        <v>467994</v>
      </c>
      <c r="E296" s="85">
        <v>0</v>
      </c>
      <c r="F296" s="85">
        <f>68303.8-G296</f>
        <v>66059.199999999997</v>
      </c>
      <c r="G296" s="85">
        <v>2244.6</v>
      </c>
      <c r="H296" s="85">
        <v>34663.4</v>
      </c>
      <c r="I296" s="85">
        <v>29604.9</v>
      </c>
      <c r="J296" s="85">
        <v>54350.5</v>
      </c>
      <c r="K296" s="85">
        <v>31854.6</v>
      </c>
      <c r="L296" s="85">
        <v>7803.6</v>
      </c>
      <c r="M296" s="86">
        <v>8835105.3000000007</v>
      </c>
      <c r="N296" s="66"/>
      <c r="O296" s="68">
        <f>+M296-SUM(C296:L296)</f>
        <v>0</v>
      </c>
      <c r="P296" s="68"/>
    </row>
    <row r="297" spans="2:16" ht="19.5" hidden="1" customHeight="1">
      <c r="B297" s="57"/>
      <c r="C297" s="86"/>
      <c r="D297" s="85"/>
      <c r="E297" s="85"/>
      <c r="F297" s="85"/>
      <c r="G297" s="85"/>
      <c r="H297" s="85"/>
      <c r="I297" s="85"/>
      <c r="J297" s="85"/>
      <c r="K297" s="85"/>
      <c r="L297" s="85"/>
      <c r="M297" s="86"/>
      <c r="N297" s="66"/>
      <c r="O297" s="68"/>
      <c r="P297" s="68"/>
    </row>
    <row r="298" spans="2:16" ht="19.5" hidden="1" customHeight="1">
      <c r="B298" s="57" t="s">
        <v>308</v>
      </c>
      <c r="C298" s="86">
        <v>9217598.4000000004</v>
      </c>
      <c r="D298" s="85">
        <v>581626</v>
      </c>
      <c r="E298" s="85">
        <v>0</v>
      </c>
      <c r="F298" s="85">
        <f>64730.4-G298</f>
        <v>62131.5</v>
      </c>
      <c r="G298" s="85">
        <v>2598.9</v>
      </c>
      <c r="H298" s="85">
        <v>65207.199999999997</v>
      </c>
      <c r="I298" s="85">
        <v>35196.5</v>
      </c>
      <c r="J298" s="85">
        <v>66599.5</v>
      </c>
      <c r="K298" s="85">
        <v>25522.6</v>
      </c>
      <c r="L298" s="85">
        <v>8549.6</v>
      </c>
      <c r="M298" s="86">
        <v>10065030.300000001</v>
      </c>
      <c r="N298" s="66"/>
      <c r="O298" s="68">
        <f>+M298-SUM(C298:L298)</f>
        <v>0.10000000149011612</v>
      </c>
      <c r="P298" s="68"/>
    </row>
    <row r="299" spans="2:16" ht="19.5" hidden="1" customHeight="1">
      <c r="B299" s="57"/>
      <c r="C299" s="86"/>
      <c r="D299" s="85"/>
      <c r="E299" s="85"/>
      <c r="F299" s="85"/>
      <c r="G299" s="85"/>
      <c r="H299" s="85"/>
      <c r="I299" s="85"/>
      <c r="J299" s="85"/>
      <c r="K299" s="85"/>
      <c r="L299" s="85"/>
      <c r="M299" s="86"/>
      <c r="N299" s="66"/>
      <c r="O299" s="68"/>
      <c r="P299" s="68"/>
    </row>
    <row r="300" spans="2:16" ht="19.5" hidden="1" customHeight="1">
      <c r="B300" s="57" t="s">
        <v>311</v>
      </c>
      <c r="C300" s="86">
        <v>9219055.0999999996</v>
      </c>
      <c r="D300" s="85">
        <v>1020699.4</v>
      </c>
      <c r="E300" s="85">
        <v>0</v>
      </c>
      <c r="F300" s="85">
        <f>55246.3-G300</f>
        <v>52589.100000000006</v>
      </c>
      <c r="G300" s="85">
        <v>2657.2</v>
      </c>
      <c r="H300" s="85">
        <v>43505.9</v>
      </c>
      <c r="I300" s="85">
        <v>4288.6000000000004</v>
      </c>
      <c r="J300" s="85">
        <v>70194.600000000006</v>
      </c>
      <c r="K300" s="85">
        <v>32014</v>
      </c>
      <c r="L300" s="85">
        <v>9383.2999999999993</v>
      </c>
      <c r="M300" s="86">
        <v>10454387.199999999</v>
      </c>
      <c r="N300" s="66"/>
      <c r="O300" s="68">
        <f>+M300-SUM(C300:L300)</f>
        <v>0</v>
      </c>
      <c r="P300" s="68"/>
    </row>
    <row r="301" spans="2:16" ht="19.5" hidden="1" customHeight="1">
      <c r="B301" s="57"/>
      <c r="C301" s="86"/>
      <c r="D301" s="85"/>
      <c r="E301" s="85"/>
      <c r="F301" s="85"/>
      <c r="G301" s="85"/>
      <c r="H301" s="85"/>
      <c r="I301" s="85"/>
      <c r="J301" s="85"/>
      <c r="K301" s="85"/>
      <c r="L301" s="85"/>
      <c r="M301" s="86"/>
      <c r="N301" s="66"/>
      <c r="O301" s="68"/>
      <c r="P301" s="68"/>
    </row>
    <row r="302" spans="2:16" ht="19.5" hidden="1" customHeight="1">
      <c r="B302" s="55">
        <v>2005</v>
      </c>
      <c r="C302" s="86"/>
      <c r="D302" s="85"/>
      <c r="E302" s="85"/>
      <c r="F302" s="85"/>
      <c r="G302" s="85"/>
      <c r="H302" s="85"/>
      <c r="I302" s="85"/>
      <c r="J302" s="85"/>
      <c r="K302" s="85"/>
      <c r="L302" s="85"/>
      <c r="M302" s="86"/>
      <c r="N302" s="66"/>
      <c r="O302" s="68"/>
      <c r="P302" s="68"/>
    </row>
    <row r="303" spans="2:16" ht="19.5" hidden="1" customHeight="1">
      <c r="B303" s="55"/>
      <c r="C303" s="86"/>
      <c r="D303" s="85"/>
      <c r="E303" s="85"/>
      <c r="F303" s="85"/>
      <c r="G303" s="85"/>
      <c r="H303" s="85"/>
      <c r="I303" s="85"/>
      <c r="J303" s="85"/>
      <c r="K303" s="85"/>
      <c r="L303" s="85"/>
      <c r="M303" s="86"/>
      <c r="N303" s="66"/>
      <c r="O303" s="68"/>
      <c r="P303" s="68"/>
    </row>
    <row r="304" spans="2:16" ht="19.5" hidden="1" customHeight="1">
      <c r="B304" s="57" t="s">
        <v>298</v>
      </c>
      <c r="C304" s="86">
        <v>10130401.800000001</v>
      </c>
      <c r="D304" s="85">
        <f>839259.1-E304</f>
        <v>837064.2</v>
      </c>
      <c r="E304" s="85">
        <v>2194.9</v>
      </c>
      <c r="F304" s="85">
        <f>59453.3-G304</f>
        <v>59453.3</v>
      </c>
      <c r="G304" s="85">
        <v>0</v>
      </c>
      <c r="H304" s="85">
        <v>32125.4</v>
      </c>
      <c r="I304" s="85">
        <v>8176.7</v>
      </c>
      <c r="J304" s="85">
        <v>76559.100000000006</v>
      </c>
      <c r="K304" s="85">
        <v>32151.9</v>
      </c>
      <c r="L304" s="85">
        <v>10687.5</v>
      </c>
      <c r="M304" s="86">
        <v>11188814.800000001</v>
      </c>
      <c r="N304" s="66"/>
      <c r="O304" s="68">
        <f>+M304-SUM(C304:L304)</f>
        <v>0</v>
      </c>
      <c r="P304" s="68"/>
    </row>
    <row r="305" spans="2:16" ht="19.5" hidden="1" customHeight="1">
      <c r="B305" s="55"/>
      <c r="C305" s="86"/>
      <c r="D305" s="85"/>
      <c r="E305" s="85"/>
      <c r="F305" s="85"/>
      <c r="G305" s="85"/>
      <c r="H305" s="85"/>
      <c r="I305" s="85"/>
      <c r="J305" s="85"/>
      <c r="K305" s="85"/>
      <c r="L305" s="85"/>
      <c r="M305" s="86"/>
      <c r="N305" s="66"/>
      <c r="O305" s="68"/>
      <c r="P305" s="68"/>
    </row>
    <row r="306" spans="2:16" ht="15.75" hidden="1">
      <c r="B306" s="126" t="s">
        <v>299</v>
      </c>
      <c r="C306" s="86">
        <v>11745874.5</v>
      </c>
      <c r="D306" s="85">
        <f>834444.8-E306</f>
        <v>832700.5</v>
      </c>
      <c r="E306" s="85">
        <v>1744.3</v>
      </c>
      <c r="F306" s="85">
        <f>132932-G306</f>
        <v>132932</v>
      </c>
      <c r="G306" s="85">
        <v>0</v>
      </c>
      <c r="H306" s="85">
        <v>30587.7</v>
      </c>
      <c r="I306" s="85">
        <v>72056.399999999994</v>
      </c>
      <c r="J306" s="85">
        <v>81909.100000000006</v>
      </c>
      <c r="K306" s="85">
        <v>25722.1</v>
      </c>
      <c r="L306" s="85">
        <v>11866.6</v>
      </c>
      <c r="M306" s="86">
        <v>12935393.300000001</v>
      </c>
      <c r="N306" s="66"/>
      <c r="O306" s="68">
        <f>+M306-SUM(C306:L306)</f>
        <v>0.10000000149011612</v>
      </c>
      <c r="P306" s="68"/>
    </row>
    <row r="307" spans="2:16" ht="19.5" hidden="1" customHeight="1">
      <c r="B307" s="57"/>
      <c r="C307" s="86"/>
      <c r="D307" s="85"/>
      <c r="E307" s="85"/>
      <c r="F307" s="85"/>
      <c r="G307" s="85"/>
      <c r="H307" s="85"/>
      <c r="I307" s="85"/>
      <c r="J307" s="85"/>
      <c r="K307" s="85"/>
      <c r="L307" s="85"/>
      <c r="M307" s="86"/>
      <c r="N307" s="66"/>
      <c r="O307" s="68"/>
      <c r="P307" s="68"/>
    </row>
    <row r="308" spans="2:16" ht="19.5" hidden="1" customHeight="1">
      <c r="B308" s="57" t="s">
        <v>300</v>
      </c>
      <c r="C308" s="86">
        <v>12981816.4</v>
      </c>
      <c r="D308" s="85">
        <f>812712.2-E308</f>
        <v>810545.7</v>
      </c>
      <c r="E308" s="85">
        <v>2166.5</v>
      </c>
      <c r="F308" s="85">
        <f>116138.6-G308</f>
        <v>116138.6</v>
      </c>
      <c r="G308" s="85">
        <v>0</v>
      </c>
      <c r="H308" s="85">
        <v>23937.8</v>
      </c>
      <c r="I308" s="85">
        <v>200434.8</v>
      </c>
      <c r="J308" s="85">
        <v>90925.3</v>
      </c>
      <c r="K308" s="85">
        <v>25941.599999999999</v>
      </c>
      <c r="L308" s="85">
        <v>13183.9</v>
      </c>
      <c r="M308" s="86">
        <v>14265090.5</v>
      </c>
      <c r="N308" s="66"/>
      <c r="O308" s="68">
        <f>+M308-SUM(C308:L308)</f>
        <v>-0.10000000149011612</v>
      </c>
      <c r="P308" s="68"/>
    </row>
    <row r="309" spans="2:16" ht="19.5" hidden="1" customHeight="1">
      <c r="B309" s="57"/>
      <c r="C309" s="86"/>
      <c r="D309" s="85"/>
      <c r="E309" s="85"/>
      <c r="F309" s="85"/>
      <c r="G309" s="85"/>
      <c r="H309" s="85"/>
      <c r="I309" s="85"/>
      <c r="J309" s="85"/>
      <c r="K309" s="85"/>
      <c r="L309" s="85"/>
      <c r="M309" s="86"/>
      <c r="N309" s="66"/>
      <c r="O309" s="68"/>
      <c r="P309" s="68"/>
    </row>
    <row r="310" spans="2:16" ht="19.5" hidden="1" customHeight="1">
      <c r="B310" s="57" t="s">
        <v>301</v>
      </c>
      <c r="C310" s="86">
        <v>15021513.1</v>
      </c>
      <c r="D310" s="85">
        <f>662472.6-E310</f>
        <v>662472.6</v>
      </c>
      <c r="E310" s="85">
        <v>0</v>
      </c>
      <c r="F310" s="85">
        <f>96467.6-G310</f>
        <v>96467.6</v>
      </c>
      <c r="G310" s="85">
        <v>0</v>
      </c>
      <c r="H310" s="85">
        <v>29974</v>
      </c>
      <c r="I310" s="85">
        <v>168664</v>
      </c>
      <c r="J310" s="85">
        <v>64629.5</v>
      </c>
      <c r="K310" s="85">
        <v>23806.3</v>
      </c>
      <c r="L310" s="85">
        <v>18060.5</v>
      </c>
      <c r="M310" s="86">
        <v>16085587.5</v>
      </c>
      <c r="N310" s="66"/>
      <c r="O310" s="68">
        <f>+M310-SUM(C310:L310)</f>
        <v>-9.999999962747097E-2</v>
      </c>
      <c r="P310" s="68"/>
    </row>
    <row r="311" spans="2:16" ht="19.5" hidden="1" customHeight="1">
      <c r="B311" s="57"/>
      <c r="C311" s="86"/>
      <c r="D311" s="85"/>
      <c r="E311" s="85"/>
      <c r="F311" s="85"/>
      <c r="G311" s="85"/>
      <c r="H311" s="85"/>
      <c r="I311" s="85"/>
      <c r="J311" s="85"/>
      <c r="K311" s="85"/>
      <c r="L311" s="85"/>
      <c r="M311" s="86"/>
      <c r="N311" s="66"/>
      <c r="O311" s="68"/>
      <c r="P311" s="68"/>
    </row>
    <row r="312" spans="2:16" ht="19.5" hidden="1" customHeight="1">
      <c r="B312" s="57" t="s">
        <v>302</v>
      </c>
      <c r="C312" s="86">
        <v>17735202.800000001</v>
      </c>
      <c r="D312" s="85">
        <f>802292.5-E312</f>
        <v>802292.5</v>
      </c>
      <c r="E312" s="85">
        <v>0</v>
      </c>
      <c r="F312" s="85">
        <f>67565.6-G312</f>
        <v>47156.900000000009</v>
      </c>
      <c r="G312" s="85">
        <v>20408.7</v>
      </c>
      <c r="H312" s="85">
        <v>62724.9</v>
      </c>
      <c r="I312" s="85">
        <v>261538.4</v>
      </c>
      <c r="J312" s="85">
        <v>74796.3</v>
      </c>
      <c r="K312" s="85">
        <v>29860.3</v>
      </c>
      <c r="L312" s="85">
        <v>19948.900000000001</v>
      </c>
      <c r="M312" s="86">
        <v>19053929.600000001</v>
      </c>
      <c r="N312" s="66"/>
      <c r="O312" s="68">
        <f>+M312-SUM(C312:L312)</f>
        <v>-9.9999994039535522E-2</v>
      </c>
      <c r="P312" s="68"/>
    </row>
    <row r="313" spans="2:16" ht="19.5" hidden="1" customHeight="1">
      <c r="B313" s="57"/>
      <c r="C313" s="86"/>
      <c r="D313" s="85"/>
      <c r="E313" s="85"/>
      <c r="F313" s="85"/>
      <c r="G313" s="85"/>
      <c r="H313" s="85"/>
      <c r="I313" s="85"/>
      <c r="J313" s="85"/>
      <c r="K313" s="85"/>
      <c r="L313" s="85"/>
      <c r="M313" s="86"/>
      <c r="N313" s="66"/>
      <c r="O313" s="68"/>
      <c r="P313" s="68"/>
    </row>
    <row r="314" spans="2:16" ht="19.5" hidden="1" customHeight="1">
      <c r="B314" s="57" t="s">
        <v>303</v>
      </c>
      <c r="C314" s="86">
        <v>19129.100300000002</v>
      </c>
      <c r="D314" s="85">
        <v>811.35329999999999</v>
      </c>
      <c r="E314" s="85">
        <v>0</v>
      </c>
      <c r="F314" s="85">
        <v>251.31200000000001</v>
      </c>
      <c r="G314" s="85">
        <v>0</v>
      </c>
      <c r="H314" s="85">
        <v>59.688499999999998</v>
      </c>
      <c r="I314" s="85">
        <v>286.91629999999998</v>
      </c>
      <c r="J314" s="85">
        <v>81.784600000000012</v>
      </c>
      <c r="K314" s="85">
        <v>31.8749</v>
      </c>
      <c r="L314" s="85">
        <v>19.266400000000001</v>
      </c>
      <c r="M314" s="86">
        <v>20671.296399999999</v>
      </c>
      <c r="N314" s="66"/>
      <c r="O314" s="68">
        <f>+M314-SUM(C314:L314)</f>
        <v>9.9999997473787516E-5</v>
      </c>
      <c r="P314" s="68"/>
    </row>
    <row r="315" spans="2:16" ht="19.5" hidden="1" customHeight="1">
      <c r="B315" s="57"/>
      <c r="C315" s="86"/>
      <c r="D315" s="86"/>
      <c r="E315" s="86"/>
      <c r="F315" s="86"/>
      <c r="G315" s="86"/>
      <c r="H315" s="86"/>
      <c r="I315" s="86"/>
      <c r="J315" s="86"/>
      <c r="K315" s="86"/>
      <c r="L315" s="86"/>
      <c r="M315" s="86"/>
      <c r="N315" s="66"/>
      <c r="O315" s="68"/>
      <c r="P315" s="68"/>
    </row>
    <row r="316" spans="2:16" ht="19.5" hidden="1" customHeight="1">
      <c r="B316" s="57" t="s">
        <v>304</v>
      </c>
      <c r="C316" s="86">
        <v>21784.204100000003</v>
      </c>
      <c r="D316" s="85">
        <v>1216.4038999999998</v>
      </c>
      <c r="E316" s="85">
        <v>0</v>
      </c>
      <c r="F316" s="85">
        <v>316.00170000000003</v>
      </c>
      <c r="G316" s="85">
        <v>0</v>
      </c>
      <c r="H316" s="85">
        <v>71.139300000000006</v>
      </c>
      <c r="I316" s="85">
        <v>360.03500000000003</v>
      </c>
      <c r="J316" s="85">
        <v>94.536699999999996</v>
      </c>
      <c r="K316" s="85">
        <v>33.831300000000006</v>
      </c>
      <c r="L316" s="85">
        <v>21.922099999999997</v>
      </c>
      <c r="M316" s="86">
        <v>23898.074100000002</v>
      </c>
      <c r="N316" s="66"/>
      <c r="O316" s="68">
        <f>+M316-SUM(C316:L316)</f>
        <v>0</v>
      </c>
      <c r="P316" s="68"/>
    </row>
    <row r="317" spans="2:16" ht="19.5" hidden="1" customHeight="1">
      <c r="B317" s="57"/>
      <c r="C317" s="86"/>
      <c r="D317" s="86"/>
      <c r="E317" s="86"/>
      <c r="F317" s="86"/>
      <c r="G317" s="86"/>
      <c r="H317" s="86"/>
      <c r="I317" s="86"/>
      <c r="J317" s="86"/>
      <c r="K317" s="86"/>
      <c r="L317" s="86"/>
      <c r="M317" s="86"/>
      <c r="N317" s="66"/>
      <c r="O317" s="68"/>
      <c r="P317" s="68"/>
    </row>
    <row r="318" spans="2:16" ht="19.5" hidden="1" customHeight="1">
      <c r="B318" s="57" t="s">
        <v>305</v>
      </c>
      <c r="C318" s="86">
        <v>24247.981</v>
      </c>
      <c r="D318" s="85">
        <v>1555.7206999999999</v>
      </c>
      <c r="E318" s="85">
        <v>0</v>
      </c>
      <c r="F318" s="85">
        <v>414.88509999999997</v>
      </c>
      <c r="G318" s="85">
        <v>0</v>
      </c>
      <c r="H318" s="85">
        <v>52.352899999999998</v>
      </c>
      <c r="I318" s="85">
        <v>598.29200000000003</v>
      </c>
      <c r="J318" s="85">
        <v>98.677999999999997</v>
      </c>
      <c r="K318" s="85">
        <v>103.46130000000001</v>
      </c>
      <c r="L318" s="85">
        <v>31.0641</v>
      </c>
      <c r="M318" s="86">
        <v>27102.4352</v>
      </c>
      <c r="N318" s="66"/>
      <c r="O318" s="68">
        <f>+M318-SUM(C318:L318)</f>
        <v>1.0000000111176632E-4</v>
      </c>
      <c r="P318" s="68"/>
    </row>
    <row r="319" spans="2:16" ht="19.5" hidden="1" customHeight="1">
      <c r="B319" s="57"/>
      <c r="C319" s="86"/>
      <c r="D319" s="86"/>
      <c r="E319" s="86"/>
      <c r="F319" s="86"/>
      <c r="G319" s="86"/>
      <c r="H319" s="86"/>
      <c r="I319" s="86"/>
      <c r="J319" s="86"/>
      <c r="K319" s="86"/>
      <c r="L319" s="86"/>
      <c r="M319" s="86"/>
      <c r="N319" s="66"/>
      <c r="O319" s="68"/>
      <c r="P319" s="68"/>
    </row>
    <row r="320" spans="2:16" ht="19.5" hidden="1" customHeight="1">
      <c r="B320" s="57" t="s">
        <v>306</v>
      </c>
      <c r="C320" s="86">
        <v>27740.880100000002</v>
      </c>
      <c r="D320" s="85">
        <v>1438.5562</v>
      </c>
      <c r="E320" s="85">
        <v>0</v>
      </c>
      <c r="F320" s="85">
        <v>485.89240000000001</v>
      </c>
      <c r="G320" s="85">
        <v>0</v>
      </c>
      <c r="H320" s="85">
        <v>67.7851</v>
      </c>
      <c r="I320" s="85">
        <v>821.15180000000009</v>
      </c>
      <c r="J320" s="85">
        <v>103.0943</v>
      </c>
      <c r="K320" s="85">
        <v>137.3613</v>
      </c>
      <c r="L320" s="85">
        <v>22.739799999999999</v>
      </c>
      <c r="M320" s="86">
        <v>30817.460800000001</v>
      </c>
      <c r="N320" s="66"/>
      <c r="O320" s="68">
        <f>+M320-SUM(C320:L320)</f>
        <v>-2.0000000222353265E-4</v>
      </c>
      <c r="P320" s="68"/>
    </row>
    <row r="321" spans="2:16" ht="19.5" hidden="1" customHeight="1">
      <c r="B321" s="57"/>
      <c r="C321" s="86"/>
      <c r="D321" s="86"/>
      <c r="E321" s="86"/>
      <c r="F321" s="86"/>
      <c r="G321" s="86"/>
      <c r="H321" s="86"/>
      <c r="I321" s="86"/>
      <c r="J321" s="86"/>
      <c r="K321" s="86"/>
      <c r="L321" s="86"/>
      <c r="M321" s="86"/>
      <c r="N321" s="66"/>
      <c r="O321" s="68"/>
      <c r="P321" s="68"/>
    </row>
    <row r="322" spans="2:16" ht="19.5" hidden="1" customHeight="1">
      <c r="B322" s="57" t="s">
        <v>307</v>
      </c>
      <c r="C322" s="86">
        <v>38686.329399999995</v>
      </c>
      <c r="D322" s="85">
        <v>1219.3708999999999</v>
      </c>
      <c r="E322" s="85">
        <v>0</v>
      </c>
      <c r="F322" s="85">
        <v>989.66309999999999</v>
      </c>
      <c r="G322" s="85">
        <v>0</v>
      </c>
      <c r="H322" s="85">
        <v>56.879599999999996</v>
      </c>
      <c r="I322" s="85">
        <v>869.76419999999996</v>
      </c>
      <c r="J322" s="85">
        <v>152.6979</v>
      </c>
      <c r="K322" s="85">
        <v>97.004199999999997</v>
      </c>
      <c r="L322" s="85">
        <v>25.216799999999999</v>
      </c>
      <c r="M322" s="86">
        <v>42096.925999999999</v>
      </c>
      <c r="N322" s="66"/>
      <c r="O322" s="68">
        <f>+M322-SUM(C322:L322)</f>
        <v>-9.9999997473787516E-5</v>
      </c>
      <c r="P322" s="68"/>
    </row>
    <row r="323" spans="2:16" ht="19.5" hidden="1" customHeight="1">
      <c r="B323" s="57"/>
      <c r="C323" s="86"/>
      <c r="D323" s="86"/>
      <c r="E323" s="86"/>
      <c r="F323" s="86"/>
      <c r="G323" s="86"/>
      <c r="H323" s="86"/>
      <c r="I323" s="86"/>
      <c r="J323" s="86"/>
      <c r="K323" s="86"/>
      <c r="L323" s="86"/>
      <c r="M323" s="86"/>
      <c r="N323" s="66"/>
      <c r="O323" s="68"/>
      <c r="P323" s="68"/>
    </row>
    <row r="324" spans="2:16" ht="19.5" hidden="1" customHeight="1">
      <c r="B324" s="57" t="s">
        <v>308</v>
      </c>
      <c r="C324" s="86">
        <v>48038.8822</v>
      </c>
      <c r="D324" s="85">
        <v>1467.5002790000001</v>
      </c>
      <c r="E324" s="85">
        <v>48.173721</v>
      </c>
      <c r="F324" s="85">
        <v>737.73259999999993</v>
      </c>
      <c r="G324" s="85">
        <v>0</v>
      </c>
      <c r="H324" s="85">
        <v>94.231399999999994</v>
      </c>
      <c r="I324" s="85">
        <v>699.47360000000003</v>
      </c>
      <c r="J324" s="85">
        <v>116.9161</v>
      </c>
      <c r="K324" s="85">
        <v>144.8603</v>
      </c>
      <c r="L324" s="85">
        <v>136.95820000000001</v>
      </c>
      <c r="M324" s="86">
        <v>51484.728299999995</v>
      </c>
      <c r="N324" s="66"/>
      <c r="O324" s="68">
        <f>+M324-SUM(C324:L324)</f>
        <v>-1.0000000474974513E-4</v>
      </c>
      <c r="P324" s="68"/>
    </row>
    <row r="325" spans="2:16" ht="19.5" hidden="1" customHeight="1">
      <c r="B325" s="57"/>
      <c r="C325" s="86"/>
      <c r="D325" s="86"/>
      <c r="E325" s="86"/>
      <c r="F325" s="86"/>
      <c r="G325" s="86"/>
      <c r="H325" s="86"/>
      <c r="I325" s="86"/>
      <c r="J325" s="86"/>
      <c r="K325" s="86"/>
      <c r="L325" s="86"/>
      <c r="M325" s="86"/>
      <c r="N325" s="66"/>
      <c r="O325" s="68"/>
      <c r="P325" s="68"/>
    </row>
    <row r="326" spans="2:16" ht="19.5" hidden="1" customHeight="1">
      <c r="B326" s="57" t="s">
        <v>311</v>
      </c>
      <c r="C326" s="86">
        <v>60126.346100000002</v>
      </c>
      <c r="D326" s="85">
        <v>1413.0280789999999</v>
      </c>
      <c r="E326" s="85">
        <v>30.952120999999998</v>
      </c>
      <c r="F326" s="86">
        <v>1474.4149</v>
      </c>
      <c r="G326" s="85">
        <v>0</v>
      </c>
      <c r="H326" s="85">
        <v>159.26729999999998</v>
      </c>
      <c r="I326" s="85">
        <v>1087.9116000000001</v>
      </c>
      <c r="J326" s="85">
        <v>117.0497</v>
      </c>
      <c r="K326" s="85">
        <v>145.5299</v>
      </c>
      <c r="L326" s="86">
        <v>258.6497</v>
      </c>
      <c r="M326" s="98">
        <v>64813.1495</v>
      </c>
      <c r="N326" s="66"/>
      <c r="O326" s="68">
        <f>+M326-SUM(C326:L326)</f>
        <v>9.9999982921872288E-5</v>
      </c>
      <c r="P326" s="68"/>
    </row>
    <row r="327" spans="2:16" ht="19.5" hidden="1" customHeight="1">
      <c r="B327" s="57"/>
      <c r="C327" s="86"/>
      <c r="D327" s="86"/>
      <c r="E327" s="86"/>
      <c r="F327" s="86"/>
      <c r="G327" s="86"/>
      <c r="H327" s="86"/>
      <c r="I327" s="86"/>
      <c r="J327" s="86"/>
      <c r="K327" s="86"/>
      <c r="L327" s="86"/>
      <c r="M327" s="86"/>
      <c r="N327" s="66"/>
      <c r="O327" s="68"/>
      <c r="P327" s="68"/>
    </row>
    <row r="328" spans="2:16" ht="19.5" hidden="1" customHeight="1">
      <c r="B328" s="55">
        <v>2006</v>
      </c>
      <c r="C328" s="86"/>
      <c r="D328" s="85"/>
      <c r="E328" s="85"/>
      <c r="F328" s="86"/>
      <c r="G328" s="85"/>
      <c r="H328" s="85"/>
      <c r="I328" s="85"/>
      <c r="J328" s="85"/>
      <c r="K328" s="85"/>
      <c r="L328" s="86"/>
      <c r="M328" s="98"/>
      <c r="N328" s="66"/>
      <c r="O328" s="68"/>
      <c r="P328" s="68"/>
    </row>
    <row r="329" spans="2:16" ht="19.5" hidden="1" customHeight="1">
      <c r="B329" s="57"/>
      <c r="C329" s="86"/>
      <c r="D329" s="85"/>
      <c r="E329" s="85"/>
      <c r="F329" s="86"/>
      <c r="G329" s="85"/>
      <c r="H329" s="86"/>
      <c r="I329" s="89"/>
      <c r="J329" s="86"/>
      <c r="K329" s="89"/>
      <c r="L329" s="86"/>
      <c r="M329" s="98"/>
      <c r="N329" s="66"/>
      <c r="O329" s="68">
        <f t="shared" ref="O329:O336" si="0">+M329-SUM(C329:L329)</f>
        <v>0</v>
      </c>
      <c r="P329" s="68"/>
    </row>
    <row r="330" spans="2:16" ht="19.5" hidden="1" customHeight="1">
      <c r="B330" s="57" t="s">
        <v>298</v>
      </c>
      <c r="C330" s="86">
        <v>69189.518299999996</v>
      </c>
      <c r="D330" s="85">
        <v>1555.6913549999999</v>
      </c>
      <c r="E330" s="85">
        <v>70.422844999999995</v>
      </c>
      <c r="F330" s="86">
        <v>2296.8772000000004</v>
      </c>
      <c r="G330" s="85">
        <v>0</v>
      </c>
      <c r="H330" s="86">
        <v>141.96520000000001</v>
      </c>
      <c r="I330" s="89">
        <v>1178.2513000000001</v>
      </c>
      <c r="J330" s="86">
        <v>153.81360000000001</v>
      </c>
      <c r="K330" s="89">
        <v>127.3691</v>
      </c>
      <c r="L330" s="86">
        <v>325.41000000000003</v>
      </c>
      <c r="M330" s="98">
        <v>75039.318900000013</v>
      </c>
      <c r="N330" s="66"/>
      <c r="O330" s="68">
        <f t="shared" si="0"/>
        <v>0</v>
      </c>
      <c r="P330" s="68"/>
    </row>
    <row r="331" spans="2:16" ht="19.5" hidden="1" customHeight="1">
      <c r="B331" s="57"/>
      <c r="C331" s="86"/>
      <c r="D331" s="86"/>
      <c r="E331" s="86"/>
      <c r="F331" s="86"/>
      <c r="G331" s="86"/>
      <c r="H331" s="86"/>
      <c r="I331" s="86"/>
      <c r="J331" s="86"/>
      <c r="K331" s="86"/>
      <c r="L331" s="86"/>
      <c r="M331" s="86"/>
      <c r="N331" s="66"/>
      <c r="O331" s="68">
        <f t="shared" si="0"/>
        <v>0</v>
      </c>
      <c r="P331" s="141"/>
    </row>
    <row r="332" spans="2:16" ht="19.5" hidden="1" customHeight="1">
      <c r="B332" s="57" t="s">
        <v>299</v>
      </c>
      <c r="C332" s="86">
        <v>75568.603940000001</v>
      </c>
      <c r="D332" s="85">
        <v>1629.1175699999999</v>
      </c>
      <c r="E332" s="85">
        <v>109.01483</v>
      </c>
      <c r="F332" s="86">
        <v>2494.532972</v>
      </c>
      <c r="G332" s="85">
        <v>0</v>
      </c>
      <c r="H332" s="86">
        <v>144.39087900000001</v>
      </c>
      <c r="I332" s="89">
        <v>572.83203200000014</v>
      </c>
      <c r="J332" s="86">
        <v>195.39247</v>
      </c>
      <c r="K332" s="89">
        <v>215.17898399999999</v>
      </c>
      <c r="L332" s="86">
        <v>336.25060400000001</v>
      </c>
      <c r="M332" s="98">
        <v>81265.314280999999</v>
      </c>
      <c r="N332" s="66"/>
      <c r="O332" s="68">
        <f t="shared" si="0"/>
        <v>0</v>
      </c>
      <c r="P332" s="141"/>
    </row>
    <row r="333" spans="2:16" ht="19.5" hidden="1" customHeight="1">
      <c r="B333" s="57"/>
      <c r="C333" s="86"/>
      <c r="D333" s="86"/>
      <c r="E333" s="86"/>
      <c r="F333" s="86"/>
      <c r="G333" s="86"/>
      <c r="H333" s="86"/>
      <c r="I333" s="86"/>
      <c r="J333" s="86"/>
      <c r="K333" s="86"/>
      <c r="L333" s="86"/>
      <c r="M333" s="86"/>
      <c r="N333" s="66"/>
      <c r="O333" s="68">
        <f t="shared" si="0"/>
        <v>0</v>
      </c>
      <c r="P333" s="141"/>
    </row>
    <row r="334" spans="2:16" ht="19.5" hidden="1" customHeight="1">
      <c r="B334" s="57" t="s">
        <v>300</v>
      </c>
      <c r="C334" s="86">
        <v>83589.314393000008</v>
      </c>
      <c r="D334" s="85">
        <v>2588.3065360000001</v>
      </c>
      <c r="E334" s="85">
        <v>221.98886400000001</v>
      </c>
      <c r="F334" s="86">
        <v>3490.3854999999999</v>
      </c>
      <c r="G334" s="85">
        <v>0</v>
      </c>
      <c r="H334" s="86">
        <v>95.790192999999974</v>
      </c>
      <c r="I334" s="89">
        <v>1439.1286270000001</v>
      </c>
      <c r="J334" s="86">
        <v>265.71403299999997</v>
      </c>
      <c r="K334" s="89">
        <v>218.18211799999997</v>
      </c>
      <c r="L334" s="86">
        <v>628.090957</v>
      </c>
      <c r="M334" s="98">
        <v>92536.901217000006</v>
      </c>
      <c r="N334" s="66"/>
      <c r="O334" s="68">
        <f t="shared" si="0"/>
        <v>-3.9999868022277951E-6</v>
      </c>
      <c r="P334" s="68"/>
    </row>
    <row r="335" spans="2:16" ht="19.5" hidden="1" customHeight="1">
      <c r="B335" s="57"/>
      <c r="C335" s="86"/>
      <c r="D335" s="86"/>
      <c r="E335" s="86"/>
      <c r="F335" s="86"/>
      <c r="G335" s="86"/>
      <c r="H335" s="86"/>
      <c r="I335" s="86"/>
      <c r="J335" s="86"/>
      <c r="K335" s="86"/>
      <c r="L335" s="86"/>
      <c r="M335" s="86"/>
      <c r="N335" s="66"/>
      <c r="O335" s="68"/>
      <c r="P335" s="68"/>
    </row>
    <row r="336" spans="2:16" ht="19.5" hidden="1" customHeight="1">
      <c r="B336" s="57" t="s">
        <v>301</v>
      </c>
      <c r="C336" s="86">
        <v>100991.6263</v>
      </c>
      <c r="D336" s="85">
        <v>4870.2497309999999</v>
      </c>
      <c r="E336" s="85">
        <v>57.547569000000003</v>
      </c>
      <c r="F336" s="86">
        <v>2579.2912000000001</v>
      </c>
      <c r="G336" s="85">
        <v>0</v>
      </c>
      <c r="H336" s="86">
        <v>52.562899999999999</v>
      </c>
      <c r="I336" s="89">
        <v>1304.8988999999999</v>
      </c>
      <c r="J336" s="86">
        <v>177.34360000000001</v>
      </c>
      <c r="K336" s="89">
        <v>331.25349999999997</v>
      </c>
      <c r="L336" s="86">
        <v>729.89599999999996</v>
      </c>
      <c r="M336" s="98">
        <v>111094.6697</v>
      </c>
      <c r="N336" s="66"/>
      <c r="O336" s="68">
        <f t="shared" si="0"/>
        <v>0</v>
      </c>
      <c r="P336" s="68"/>
    </row>
    <row r="337" spans="2:16" ht="19.5" hidden="1" customHeight="1">
      <c r="B337" s="57"/>
      <c r="C337" s="86"/>
      <c r="D337" s="86"/>
      <c r="E337" s="86"/>
      <c r="F337" s="86"/>
      <c r="G337" s="86"/>
      <c r="H337" s="86"/>
      <c r="I337" s="86"/>
      <c r="J337" s="86"/>
      <c r="K337" s="86"/>
      <c r="L337" s="86"/>
      <c r="M337" s="86"/>
      <c r="N337" s="66"/>
      <c r="O337" s="68"/>
      <c r="P337" s="68"/>
    </row>
    <row r="338" spans="2:16" ht="19.5" hidden="1" customHeight="1">
      <c r="B338" s="57" t="s">
        <v>302</v>
      </c>
      <c r="C338" s="86">
        <v>134359.0534</v>
      </c>
      <c r="D338" s="85">
        <v>6437.7518460000001</v>
      </c>
      <c r="E338" s="85">
        <v>192.279954</v>
      </c>
      <c r="F338" s="86">
        <v>2393.1367</v>
      </c>
      <c r="G338" s="85">
        <v>0</v>
      </c>
      <c r="H338" s="86">
        <v>82.523300000000006</v>
      </c>
      <c r="I338" s="89">
        <v>2086.3676999999998</v>
      </c>
      <c r="J338" s="86">
        <v>189.7243</v>
      </c>
      <c r="K338" s="89">
        <v>397.56690000000003</v>
      </c>
      <c r="L338" s="86">
        <v>561.28719999999998</v>
      </c>
      <c r="M338" s="98">
        <v>146699.69130000001</v>
      </c>
      <c r="N338" s="66"/>
      <c r="O338" s="68">
        <f>+M338-SUM(C338:L338)</f>
        <v>0</v>
      </c>
      <c r="P338" s="68"/>
    </row>
    <row r="339" spans="2:16" ht="19.5" hidden="1" customHeight="1">
      <c r="B339" s="57"/>
      <c r="C339" s="86"/>
      <c r="D339" s="86"/>
      <c r="E339" s="86"/>
      <c r="F339" s="86"/>
      <c r="G339" s="86"/>
      <c r="H339" s="86"/>
      <c r="I339" s="86"/>
      <c r="J339" s="86"/>
      <c r="K339" s="86"/>
      <c r="L339" s="86"/>
      <c r="M339" s="86"/>
      <c r="N339" s="66"/>
      <c r="O339" s="68"/>
      <c r="P339" s="68"/>
    </row>
    <row r="340" spans="2:16" ht="19.5" hidden="1" customHeight="1">
      <c r="B340" s="57" t="s">
        <v>303</v>
      </c>
      <c r="C340" s="86">
        <v>162710.85209999999</v>
      </c>
      <c r="D340" s="85">
        <v>5271.1885520000005</v>
      </c>
      <c r="E340" s="85">
        <v>57.752147999999998</v>
      </c>
      <c r="F340" s="86">
        <v>3655.8964000000001</v>
      </c>
      <c r="G340" s="85">
        <v>0</v>
      </c>
      <c r="H340" s="86">
        <v>45.000099999999996</v>
      </c>
      <c r="I340" s="89">
        <v>3574.2836000000002</v>
      </c>
      <c r="J340" s="86">
        <v>211.97729999999999</v>
      </c>
      <c r="K340" s="89">
        <v>999.41409999999996</v>
      </c>
      <c r="L340" s="86">
        <v>19.266400000000001</v>
      </c>
      <c r="M340" s="98">
        <v>176545.63069999998</v>
      </c>
      <c r="N340" s="66"/>
      <c r="O340" s="68">
        <f>+M340-SUM(C340:L340)</f>
        <v>0</v>
      </c>
      <c r="P340" s="68"/>
    </row>
    <row r="341" spans="2:16" ht="19.5" hidden="1" customHeight="1">
      <c r="B341" s="57"/>
      <c r="C341" s="86"/>
      <c r="D341" s="86"/>
      <c r="E341" s="86"/>
      <c r="F341" s="86"/>
      <c r="G341" s="86"/>
      <c r="H341" s="86"/>
      <c r="I341" s="86"/>
      <c r="J341" s="86"/>
      <c r="K341" s="86"/>
      <c r="L341" s="86"/>
      <c r="M341" s="86"/>
      <c r="N341" s="66"/>
      <c r="O341" s="68"/>
      <c r="P341" s="68"/>
    </row>
    <row r="342" spans="2:16" ht="19.5" hidden="1" customHeight="1">
      <c r="B342" s="57" t="s">
        <v>304</v>
      </c>
      <c r="C342" s="86">
        <v>216127.33680000002</v>
      </c>
      <c r="D342" s="85">
        <v>2870.3518929999996</v>
      </c>
      <c r="E342" s="85">
        <v>38.158507</v>
      </c>
      <c r="F342" s="86">
        <v>2881.9142000000002</v>
      </c>
      <c r="G342" s="85">
        <v>0</v>
      </c>
      <c r="H342" s="86">
        <v>295.78459999999995</v>
      </c>
      <c r="I342" s="89">
        <v>5351.5030999999999</v>
      </c>
      <c r="J342" s="86">
        <v>275.62579999999997</v>
      </c>
      <c r="K342" s="89">
        <v>545.66489999999999</v>
      </c>
      <c r="L342" s="86">
        <v>1664.5387000000001</v>
      </c>
      <c r="M342" s="98">
        <v>230050.87840000002</v>
      </c>
      <c r="N342" s="66"/>
      <c r="O342" s="68">
        <f>+M342-SUM(C342:L342)</f>
        <v>-1.0000003385357559E-4</v>
      </c>
      <c r="P342" s="68"/>
    </row>
    <row r="343" spans="2:16" ht="19.5" hidden="1" customHeight="1">
      <c r="B343" s="57"/>
      <c r="C343" s="86"/>
      <c r="D343" s="86"/>
      <c r="E343" s="86"/>
      <c r="F343" s="86"/>
      <c r="G343" s="86"/>
      <c r="H343" s="86"/>
      <c r="I343" s="86"/>
      <c r="J343" s="86"/>
      <c r="K343" s="86"/>
      <c r="L343" s="86"/>
      <c r="M343" s="86"/>
      <c r="N343" s="66"/>
      <c r="O343" s="68"/>
      <c r="P343" s="68"/>
    </row>
    <row r="344" spans="2:16" ht="19.5" hidden="1" customHeight="1">
      <c r="B344" s="57" t="s">
        <v>305</v>
      </c>
      <c r="C344" s="86">
        <v>319839.8</v>
      </c>
      <c r="D344" s="85">
        <f>6379.6-E344</f>
        <v>4435.1000000000004</v>
      </c>
      <c r="E344" s="85">
        <v>1944.5</v>
      </c>
      <c r="F344" s="86">
        <v>4550.2</v>
      </c>
      <c r="G344" s="85">
        <v>0</v>
      </c>
      <c r="H344" s="86">
        <v>59</v>
      </c>
      <c r="I344" s="89">
        <v>1446.2</v>
      </c>
      <c r="J344" s="86">
        <v>250.2</v>
      </c>
      <c r="K344" s="89">
        <v>1423.6</v>
      </c>
      <c r="L344" s="86">
        <v>1814.5</v>
      </c>
      <c r="M344" s="98">
        <v>335763.1</v>
      </c>
      <c r="N344" s="66"/>
      <c r="O344" s="68">
        <f>+M344-SUM(C344:L344)</f>
        <v>0</v>
      </c>
      <c r="P344" s="68"/>
    </row>
    <row r="345" spans="2:16" ht="19.5" hidden="1" customHeight="1">
      <c r="B345" s="57"/>
      <c r="C345" s="86"/>
      <c r="D345" s="85"/>
      <c r="E345" s="85"/>
      <c r="F345" s="86"/>
      <c r="G345" s="85"/>
      <c r="H345" s="86"/>
      <c r="I345" s="89"/>
      <c r="J345" s="86"/>
      <c r="K345" s="89"/>
      <c r="L345" s="86"/>
      <c r="M345" s="98"/>
      <c r="N345" s="66"/>
      <c r="O345" s="68"/>
      <c r="P345" s="68"/>
    </row>
    <row r="346" spans="2:16" ht="19.5" hidden="1" customHeight="1">
      <c r="B346" s="57" t="s">
        <v>306</v>
      </c>
      <c r="C346" s="86">
        <v>448047.9</v>
      </c>
      <c r="D346" s="85">
        <f>10460.7-E346</f>
        <v>9055.9000000000015</v>
      </c>
      <c r="E346" s="85">
        <v>1404.8</v>
      </c>
      <c r="F346" s="86">
        <f>4594.9-G346</f>
        <v>4594.8999999999996</v>
      </c>
      <c r="G346" s="85">
        <v>0</v>
      </c>
      <c r="H346" s="86">
        <v>394.4</v>
      </c>
      <c r="I346" s="89">
        <v>2210.9</v>
      </c>
      <c r="J346" s="86">
        <v>354.4</v>
      </c>
      <c r="K346" s="89">
        <v>4217.6000000000004</v>
      </c>
      <c r="L346" s="86">
        <v>1160.2</v>
      </c>
      <c r="M346" s="98">
        <v>471440.9</v>
      </c>
      <c r="N346" s="66"/>
      <c r="O346" s="68">
        <f>+M346-SUM(C346:L346)</f>
        <v>-0.10000000009313226</v>
      </c>
      <c r="P346" s="68"/>
    </row>
    <row r="347" spans="2:16" ht="19.5" hidden="1" customHeight="1">
      <c r="B347" s="57"/>
      <c r="C347" s="86"/>
      <c r="D347" s="85"/>
      <c r="E347" s="85"/>
      <c r="F347" s="86"/>
      <c r="G347" s="85"/>
      <c r="H347" s="86"/>
      <c r="I347" s="89"/>
      <c r="J347" s="86"/>
      <c r="K347" s="89"/>
      <c r="L347" s="86"/>
      <c r="M347" s="98"/>
      <c r="N347" s="66"/>
      <c r="O347" s="68"/>
      <c r="P347" s="68"/>
    </row>
    <row r="348" spans="2:16" ht="19.5" hidden="1" customHeight="1">
      <c r="B348" s="57" t="s">
        <v>307</v>
      </c>
      <c r="C348" s="86">
        <v>605882.80000000005</v>
      </c>
      <c r="D348" s="85">
        <f>11857.9-E348</f>
        <v>11857.9</v>
      </c>
      <c r="E348" s="85">
        <v>0</v>
      </c>
      <c r="F348" s="86">
        <f>15983.7-G348</f>
        <v>15983.7</v>
      </c>
      <c r="G348" s="85">
        <v>0</v>
      </c>
      <c r="H348" s="86">
        <v>739.4</v>
      </c>
      <c r="I348" s="89">
        <v>3157.8</v>
      </c>
      <c r="J348" s="86">
        <v>384.4</v>
      </c>
      <c r="K348" s="89">
        <v>4280.7</v>
      </c>
      <c r="L348" s="86">
        <v>1816.7</v>
      </c>
      <c r="M348" s="98">
        <v>644103.4</v>
      </c>
      <c r="N348" s="66"/>
      <c r="O348" s="68">
        <f>+M348-SUM(C348:L348)</f>
        <v>0</v>
      </c>
      <c r="P348" s="68"/>
    </row>
    <row r="349" spans="2:16" ht="19.5" hidden="1" customHeight="1">
      <c r="B349" s="57"/>
      <c r="C349" s="86"/>
      <c r="D349" s="85"/>
      <c r="E349" s="85"/>
      <c r="F349" s="86"/>
      <c r="G349" s="85"/>
      <c r="H349" s="86"/>
      <c r="I349" s="89"/>
      <c r="J349" s="86"/>
      <c r="K349" s="89"/>
      <c r="L349" s="86"/>
      <c r="M349" s="98"/>
      <c r="N349" s="66"/>
      <c r="O349" s="68"/>
      <c r="P349" s="68"/>
    </row>
    <row r="350" spans="2:16" ht="19.5" hidden="1" customHeight="1">
      <c r="B350" s="57" t="s">
        <v>308</v>
      </c>
      <c r="C350" s="86">
        <v>754722.8</v>
      </c>
      <c r="D350" s="85">
        <f>9008.9-E350</f>
        <v>9006.4</v>
      </c>
      <c r="E350" s="85">
        <v>2.5</v>
      </c>
      <c r="F350" s="86">
        <f>17558.4-G350</f>
        <v>17558.400000000001</v>
      </c>
      <c r="G350" s="85">
        <v>0</v>
      </c>
      <c r="H350" s="86">
        <v>1124.2</v>
      </c>
      <c r="I350" s="89">
        <v>3341.9</v>
      </c>
      <c r="J350" s="86">
        <v>440.6</v>
      </c>
      <c r="K350" s="89">
        <v>3824.3</v>
      </c>
      <c r="L350" s="86">
        <v>1975.1</v>
      </c>
      <c r="M350" s="98">
        <v>791996.1</v>
      </c>
      <c r="N350" s="66"/>
      <c r="O350" s="68">
        <f>+M350-SUM(C350:L350)</f>
        <v>-0.10000000009313226</v>
      </c>
      <c r="P350" s="68"/>
    </row>
    <row r="351" spans="2:16" ht="19.5" hidden="1" customHeight="1">
      <c r="B351" s="57"/>
      <c r="C351" s="86"/>
      <c r="D351" s="85"/>
      <c r="E351" s="85"/>
      <c r="F351" s="86"/>
      <c r="G351" s="85"/>
      <c r="H351" s="86"/>
      <c r="I351" s="89"/>
      <c r="J351" s="86"/>
      <c r="K351" s="89"/>
      <c r="L351" s="86"/>
      <c r="M351" s="98"/>
      <c r="N351" s="66"/>
      <c r="O351" s="68"/>
      <c r="P351" s="68"/>
    </row>
    <row r="352" spans="2:16" ht="19.5" hidden="1" customHeight="1">
      <c r="B352" s="57" t="s">
        <v>311</v>
      </c>
      <c r="C352" s="86">
        <v>918150.3</v>
      </c>
      <c r="D352" s="85">
        <f>24709.5-E352</f>
        <v>24706.5</v>
      </c>
      <c r="E352" s="85">
        <v>3</v>
      </c>
      <c r="F352" s="86">
        <f>26183.3-G352</f>
        <v>26183.3</v>
      </c>
      <c r="G352" s="85">
        <v>0</v>
      </c>
      <c r="H352" s="86">
        <v>1017.4</v>
      </c>
      <c r="I352" s="89">
        <v>3793.5</v>
      </c>
      <c r="J352" s="86">
        <v>465.2</v>
      </c>
      <c r="K352" s="89">
        <v>5038.6000000000004</v>
      </c>
      <c r="L352" s="86">
        <v>3507.1</v>
      </c>
      <c r="M352" s="98">
        <v>982865</v>
      </c>
      <c r="N352" s="66"/>
      <c r="O352" s="68">
        <f>+M352-SUM(C352:L352)</f>
        <v>9.9999999976716936E-2</v>
      </c>
      <c r="P352" s="68"/>
    </row>
    <row r="353" spans="2:16" ht="19.5" hidden="1" customHeight="1">
      <c r="B353" s="57"/>
      <c r="C353" s="86"/>
      <c r="D353" s="85"/>
      <c r="E353" s="86"/>
      <c r="F353" s="98"/>
      <c r="G353" s="85"/>
      <c r="H353" s="86"/>
      <c r="I353" s="89"/>
      <c r="J353" s="86"/>
      <c r="K353" s="89"/>
      <c r="L353" s="86"/>
      <c r="M353" s="98"/>
      <c r="N353" s="66"/>
      <c r="O353" s="68"/>
      <c r="P353" s="68"/>
    </row>
    <row r="354" spans="2:16" ht="19.5" hidden="1" customHeight="1">
      <c r="B354" s="55">
        <v>2007</v>
      </c>
      <c r="C354" s="86"/>
      <c r="D354" s="85"/>
      <c r="E354" s="86"/>
      <c r="F354" s="142"/>
      <c r="G354" s="85"/>
      <c r="H354" s="86"/>
      <c r="I354" s="89"/>
      <c r="J354" s="86"/>
      <c r="K354" s="89"/>
      <c r="L354" s="86"/>
      <c r="M354" s="98"/>
      <c r="N354" s="66"/>
      <c r="O354" s="68"/>
      <c r="P354" s="68"/>
    </row>
    <row r="355" spans="2:16" ht="19.5" hidden="1" customHeight="1">
      <c r="B355" s="57"/>
      <c r="C355" s="86"/>
      <c r="D355" s="85"/>
      <c r="E355" s="86"/>
      <c r="F355" s="98"/>
      <c r="G355" s="85"/>
      <c r="H355" s="86"/>
      <c r="I355" s="89"/>
      <c r="J355" s="86"/>
      <c r="K355" s="89"/>
      <c r="L355" s="86"/>
      <c r="M355" s="98"/>
      <c r="N355" s="66"/>
      <c r="O355" s="68"/>
      <c r="P355" s="68"/>
    </row>
    <row r="356" spans="2:16" ht="19.5" hidden="1" customHeight="1">
      <c r="B356" s="57" t="s">
        <v>298</v>
      </c>
      <c r="C356" s="86">
        <v>1213077.77208856</v>
      </c>
      <c r="D356" s="85">
        <v>19017.340518000001</v>
      </c>
      <c r="E356" s="85">
        <v>0</v>
      </c>
      <c r="F356" s="86">
        <v>11877.583699999999</v>
      </c>
      <c r="G356" s="85">
        <v>0</v>
      </c>
      <c r="H356" s="86">
        <v>301.11937499999999</v>
      </c>
      <c r="I356" s="89">
        <v>4975.3584310000015</v>
      </c>
      <c r="J356" s="86">
        <v>1683.003019</v>
      </c>
      <c r="K356" s="89">
        <v>3836.6872410000001</v>
      </c>
      <c r="L356" s="86">
        <v>3253.7572930000001</v>
      </c>
      <c r="M356" s="98">
        <v>1258022.6216655599</v>
      </c>
      <c r="N356" s="66"/>
      <c r="O356" s="68">
        <f>+M354-SUM(C354:L354)</f>
        <v>0</v>
      </c>
      <c r="P356" s="68"/>
    </row>
    <row r="357" spans="2:16" ht="19.5" hidden="1" customHeight="1">
      <c r="B357" s="57"/>
      <c r="C357" s="86"/>
      <c r="D357" s="85"/>
      <c r="E357" s="85"/>
      <c r="F357" s="86"/>
      <c r="G357" s="85"/>
      <c r="H357" s="86"/>
      <c r="I357" s="89"/>
      <c r="J357" s="86"/>
      <c r="K357" s="89"/>
      <c r="L357" s="86"/>
      <c r="M357" s="98"/>
      <c r="N357" s="66"/>
      <c r="O357" s="68"/>
      <c r="P357" s="68"/>
    </row>
    <row r="358" spans="2:16" ht="19.5" hidden="1" customHeight="1">
      <c r="B358" s="57" t="s">
        <v>299</v>
      </c>
      <c r="C358" s="86">
        <v>1701723.1</v>
      </c>
      <c r="D358" s="85">
        <v>37198.199999999997</v>
      </c>
      <c r="E358" s="85">
        <v>0</v>
      </c>
      <c r="F358" s="86">
        <v>16659.400000000001</v>
      </c>
      <c r="G358" s="85">
        <v>0</v>
      </c>
      <c r="H358" s="86">
        <v>1859.1</v>
      </c>
      <c r="I358" s="89">
        <v>3549.7</v>
      </c>
      <c r="J358" s="86">
        <v>2011</v>
      </c>
      <c r="K358" s="89">
        <v>4007.7</v>
      </c>
      <c r="L358" s="86">
        <v>7179.6</v>
      </c>
      <c r="M358" s="98">
        <v>1774188</v>
      </c>
      <c r="N358" s="66"/>
      <c r="O358" s="68">
        <f>+M355-SUM(C355:L355)</f>
        <v>0</v>
      </c>
      <c r="P358" s="68"/>
    </row>
    <row r="359" spans="2:16" ht="19.5" hidden="1" customHeight="1">
      <c r="B359" s="57"/>
      <c r="C359" s="86"/>
      <c r="D359" s="85"/>
      <c r="E359" s="85"/>
      <c r="F359" s="86"/>
      <c r="G359" s="85"/>
      <c r="H359" s="86"/>
      <c r="I359" s="89"/>
      <c r="J359" s="86"/>
      <c r="K359" s="89"/>
      <c r="L359" s="86"/>
      <c r="M359" s="98"/>
      <c r="N359" s="66"/>
      <c r="O359" s="68"/>
      <c r="P359" s="68"/>
    </row>
    <row r="360" spans="2:16" ht="19.5" hidden="1" customHeight="1">
      <c r="B360" s="57" t="s">
        <v>300</v>
      </c>
      <c r="C360" s="86">
        <v>3046978.9</v>
      </c>
      <c r="D360" s="85">
        <f>6525.5-E360</f>
        <v>6525.5</v>
      </c>
      <c r="E360" s="85">
        <v>0</v>
      </c>
      <c r="F360" s="86">
        <f>37410.2-G360</f>
        <v>37410.199999999997</v>
      </c>
      <c r="G360" s="85">
        <v>0</v>
      </c>
      <c r="H360" s="86">
        <v>2916.5</v>
      </c>
      <c r="I360" s="89">
        <v>6340.2</v>
      </c>
      <c r="J360" s="86">
        <v>1224.7</v>
      </c>
      <c r="K360" s="89">
        <v>7520.3</v>
      </c>
      <c r="L360" s="86">
        <v>6602.6</v>
      </c>
      <c r="M360" s="98">
        <v>3115519</v>
      </c>
      <c r="N360" s="66"/>
      <c r="O360" s="68">
        <f>+M356-SUM(C356:L356)</f>
        <v>0</v>
      </c>
      <c r="P360" s="68"/>
    </row>
    <row r="361" spans="2:16" ht="19.5" hidden="1" customHeight="1">
      <c r="B361" s="57"/>
      <c r="C361" s="86"/>
      <c r="D361" s="85"/>
      <c r="E361" s="85"/>
      <c r="F361" s="86"/>
      <c r="G361" s="85"/>
      <c r="H361" s="86"/>
      <c r="I361" s="89"/>
      <c r="J361" s="86"/>
      <c r="K361" s="89"/>
      <c r="L361" s="86"/>
      <c r="M361" s="98"/>
      <c r="N361" s="66"/>
      <c r="O361" s="68"/>
      <c r="P361" s="68"/>
    </row>
    <row r="362" spans="2:16" ht="19.5" hidden="1" customHeight="1">
      <c r="B362" s="57" t="s">
        <v>301</v>
      </c>
      <c r="C362" s="86">
        <v>4668198</v>
      </c>
      <c r="D362" s="85">
        <f>33863.9-E362</f>
        <v>33863.9</v>
      </c>
      <c r="E362" s="85">
        <v>0</v>
      </c>
      <c r="F362" s="86">
        <f>64737.7-G362</f>
        <v>64737.7</v>
      </c>
      <c r="G362" s="85">
        <v>0</v>
      </c>
      <c r="H362" s="86">
        <v>507.5</v>
      </c>
      <c r="I362" s="89">
        <v>1790.5</v>
      </c>
      <c r="J362" s="86">
        <v>352.7</v>
      </c>
      <c r="K362" s="89">
        <v>32523.5</v>
      </c>
      <c r="L362" s="86">
        <v>17094.3</v>
      </c>
      <c r="M362" s="98">
        <v>4790068.4000000004</v>
      </c>
      <c r="N362" s="66"/>
      <c r="O362" s="68">
        <f>+M355-SUM(C355:L355)</f>
        <v>0</v>
      </c>
      <c r="P362" s="68"/>
    </row>
    <row r="363" spans="2:16" ht="19.5" hidden="1" customHeight="1">
      <c r="B363" s="57"/>
      <c r="C363" s="86"/>
      <c r="D363" s="85"/>
      <c r="E363" s="85"/>
      <c r="F363" s="86"/>
      <c r="G363" s="85"/>
      <c r="H363" s="86"/>
      <c r="I363" s="89"/>
      <c r="J363" s="86"/>
      <c r="K363" s="89"/>
      <c r="L363" s="86"/>
      <c r="M363" s="98"/>
      <c r="N363" s="66"/>
      <c r="O363" s="68"/>
      <c r="P363" s="68"/>
    </row>
    <row r="364" spans="2:16" ht="19.5" hidden="1" customHeight="1">
      <c r="B364" s="57" t="s">
        <v>302</v>
      </c>
      <c r="C364" s="86">
        <v>10467285.4</v>
      </c>
      <c r="D364" s="85">
        <f>32600.6-E364</f>
        <v>32600.6</v>
      </c>
      <c r="E364" s="85">
        <v>0</v>
      </c>
      <c r="F364" s="86">
        <f>49316.9-G364</f>
        <v>49316.9</v>
      </c>
      <c r="G364" s="85">
        <v>0</v>
      </c>
      <c r="H364" s="86">
        <v>8610.7999999999993</v>
      </c>
      <c r="I364" s="89">
        <v>7218.7</v>
      </c>
      <c r="J364" s="86">
        <v>1615.8</v>
      </c>
      <c r="K364" s="89">
        <v>9489</v>
      </c>
      <c r="L364" s="86">
        <v>37473.300000000003</v>
      </c>
      <c r="M364" s="98">
        <v>1063610.3999999999</v>
      </c>
      <c r="N364" s="66"/>
      <c r="O364" s="68">
        <f>+M357-SUM(C357:L357)</f>
        <v>0</v>
      </c>
      <c r="P364" s="68"/>
    </row>
    <row r="365" spans="2:16" ht="19.5" hidden="1" customHeight="1">
      <c r="B365" s="57"/>
      <c r="C365" s="86"/>
      <c r="D365" s="85"/>
      <c r="E365" s="85"/>
      <c r="F365" s="86"/>
      <c r="G365" s="85"/>
      <c r="H365" s="86"/>
      <c r="I365" s="89"/>
      <c r="J365" s="86"/>
      <c r="K365" s="89"/>
      <c r="L365" s="86"/>
      <c r="M365" s="98"/>
      <c r="N365" s="66"/>
      <c r="O365" s="68"/>
      <c r="P365" s="68"/>
    </row>
    <row r="366" spans="2:16" ht="19.5" hidden="1" customHeight="1">
      <c r="B366" s="57" t="s">
        <v>303</v>
      </c>
      <c r="C366" s="86">
        <v>24139118.399999999</v>
      </c>
      <c r="D366" s="85">
        <f>132232-E366</f>
        <v>132232</v>
      </c>
      <c r="E366" s="85">
        <v>0</v>
      </c>
      <c r="F366" s="86">
        <f>228002.7-G366</f>
        <v>228002.7</v>
      </c>
      <c r="G366" s="85">
        <v>0</v>
      </c>
      <c r="H366" s="86">
        <v>11649</v>
      </c>
      <c r="I366" s="89">
        <v>9612</v>
      </c>
      <c r="J366" s="86">
        <v>2763.2</v>
      </c>
      <c r="K366" s="89">
        <v>10737.8</v>
      </c>
      <c r="L366" s="86">
        <v>83900.1</v>
      </c>
      <c r="M366" s="98">
        <v>24618015.199999999</v>
      </c>
      <c r="N366" s="66"/>
      <c r="O366" s="68">
        <f>+M359-SUM(C359:L359)</f>
        <v>0</v>
      </c>
      <c r="P366" s="68"/>
    </row>
    <row r="367" spans="2:16" ht="19.5" hidden="1" customHeight="1">
      <c r="B367" s="57"/>
      <c r="C367" s="86"/>
      <c r="D367" s="85"/>
      <c r="E367" s="85"/>
      <c r="F367" s="86"/>
      <c r="G367" s="85"/>
      <c r="H367" s="86"/>
      <c r="I367" s="89"/>
      <c r="J367" s="86"/>
      <c r="K367" s="89"/>
      <c r="L367" s="86"/>
      <c r="M367" s="98"/>
      <c r="N367" s="66"/>
      <c r="O367" s="68"/>
      <c r="P367" s="68"/>
    </row>
    <row r="368" spans="2:16" ht="19.5" hidden="1" customHeight="1">
      <c r="B368" s="57" t="s">
        <v>304</v>
      </c>
      <c r="C368" s="86">
        <v>39094984.700000003</v>
      </c>
      <c r="D368" s="85">
        <f>239853.5-E368</f>
        <v>239853.5</v>
      </c>
      <c r="E368" s="85">
        <v>0</v>
      </c>
      <c r="F368" s="86">
        <f>42003.2-G368</f>
        <v>42003.199999999997</v>
      </c>
      <c r="G368" s="85">
        <v>0</v>
      </c>
      <c r="H368" s="86">
        <v>6.5</v>
      </c>
      <c r="I368" s="89">
        <v>26749</v>
      </c>
      <c r="J368" s="86">
        <v>5784.1</v>
      </c>
      <c r="K368" s="89">
        <v>14117.7</v>
      </c>
      <c r="L368" s="86">
        <v>83317.399999999994</v>
      </c>
      <c r="M368" s="98">
        <v>39506816.200000003</v>
      </c>
      <c r="N368" s="66"/>
      <c r="O368" s="68">
        <f>+M361-SUM(C361:L361)</f>
        <v>0</v>
      </c>
      <c r="P368" s="68"/>
    </row>
    <row r="369" spans="2:20" ht="19.5" hidden="1" customHeight="1">
      <c r="B369" s="57"/>
      <c r="C369" s="86"/>
      <c r="D369" s="85"/>
      <c r="E369" s="85"/>
      <c r="F369" s="86"/>
      <c r="G369" s="85"/>
      <c r="H369" s="86"/>
      <c r="I369" s="89"/>
      <c r="J369" s="86"/>
      <c r="K369" s="89"/>
      <c r="L369" s="86"/>
      <c r="M369" s="98"/>
      <c r="N369" s="66"/>
      <c r="O369" s="68"/>
      <c r="P369" s="68"/>
    </row>
    <row r="370" spans="2:20" ht="19.5" hidden="1" customHeight="1">
      <c r="B370" s="57" t="s">
        <v>305</v>
      </c>
      <c r="C370" s="86">
        <v>59614089.299999997</v>
      </c>
      <c r="D370" s="85">
        <f>143068.2-E370</f>
        <v>143068.20000000001</v>
      </c>
      <c r="E370" s="85">
        <v>0</v>
      </c>
      <c r="F370" s="86">
        <f>104044.1-G370</f>
        <v>104044.1</v>
      </c>
      <c r="G370" s="85">
        <v>0</v>
      </c>
      <c r="H370" s="86">
        <v>6.5</v>
      </c>
      <c r="I370" s="89">
        <v>69191.3</v>
      </c>
      <c r="J370" s="86">
        <v>110939.6</v>
      </c>
      <c r="K370" s="89">
        <v>5998.7</v>
      </c>
      <c r="L370" s="86">
        <v>76989.8</v>
      </c>
      <c r="M370" s="98">
        <v>60124327.399999999</v>
      </c>
      <c r="N370" s="66"/>
      <c r="O370" s="68">
        <f>+M363-SUM(C363:L363)</f>
        <v>0</v>
      </c>
      <c r="P370" s="68"/>
    </row>
    <row r="371" spans="2:20" ht="19.5" hidden="1" customHeight="1">
      <c r="B371" s="57"/>
      <c r="C371" s="86"/>
      <c r="D371" s="85"/>
      <c r="E371" s="85"/>
      <c r="F371" s="86"/>
      <c r="G371" s="85"/>
      <c r="H371" s="86"/>
      <c r="I371" s="89"/>
      <c r="J371" s="86"/>
      <c r="K371" s="89"/>
      <c r="L371" s="86"/>
      <c r="M371" s="98"/>
      <c r="N371" s="66"/>
      <c r="O371" s="68"/>
      <c r="P371" s="68"/>
    </row>
    <row r="372" spans="2:20" ht="19.5" hidden="1" customHeight="1">
      <c r="B372" s="57" t="s">
        <v>306</v>
      </c>
      <c r="C372" s="86">
        <v>94981551.900000006</v>
      </c>
      <c r="D372" s="85">
        <f>235565.1-E372</f>
        <v>235565.1</v>
      </c>
      <c r="E372" s="85">
        <v>0</v>
      </c>
      <c r="F372" s="86">
        <f>202656.3-G372</f>
        <v>202656.3</v>
      </c>
      <c r="G372" s="85">
        <v>0</v>
      </c>
      <c r="H372" s="86">
        <v>6.5</v>
      </c>
      <c r="I372" s="89">
        <v>59086.7</v>
      </c>
      <c r="J372" s="86">
        <v>12466.3</v>
      </c>
      <c r="K372" s="89">
        <v>109868.2</v>
      </c>
      <c r="L372" s="86">
        <v>107539</v>
      </c>
      <c r="M372" s="98">
        <v>95708740.099999994</v>
      </c>
      <c r="N372" s="66"/>
      <c r="O372" s="68">
        <f>+M365-SUM(C365:L365)</f>
        <v>0</v>
      </c>
      <c r="P372" s="68"/>
    </row>
    <row r="373" spans="2:20" ht="19.5" hidden="1" customHeight="1">
      <c r="B373" s="57"/>
      <c r="C373" s="86"/>
      <c r="D373" s="85"/>
      <c r="E373" s="85"/>
      <c r="F373" s="86"/>
      <c r="G373" s="85"/>
      <c r="H373" s="86"/>
      <c r="I373" s="89"/>
      <c r="J373" s="86"/>
      <c r="K373" s="89"/>
      <c r="L373" s="86"/>
      <c r="M373" s="98"/>
      <c r="N373" s="66"/>
      <c r="O373" s="68"/>
      <c r="P373" s="68"/>
    </row>
    <row r="374" spans="2:20" ht="19.5" hidden="1" customHeight="1">
      <c r="B374" s="57" t="s">
        <v>307</v>
      </c>
      <c r="C374" s="86">
        <v>156743591.90000001</v>
      </c>
      <c r="D374" s="85">
        <f>544342.1-E374</f>
        <v>544342.1</v>
      </c>
      <c r="E374" s="85">
        <v>0</v>
      </c>
      <c r="F374" s="86">
        <f>286914.5-G374</f>
        <v>286914.5</v>
      </c>
      <c r="G374" s="85">
        <v>0</v>
      </c>
      <c r="H374" s="86">
        <v>6.5</v>
      </c>
      <c r="I374" s="89">
        <v>298624.59999999998</v>
      </c>
      <c r="J374" s="86">
        <v>16285</v>
      </c>
      <c r="K374" s="89">
        <v>111492.3</v>
      </c>
      <c r="L374" s="86">
        <v>213787.6</v>
      </c>
      <c r="M374" s="98">
        <v>158215044.59999999</v>
      </c>
      <c r="N374" s="66"/>
      <c r="O374" s="68">
        <f>+M367-SUM(C367:L367)</f>
        <v>0</v>
      </c>
      <c r="P374" s="68"/>
    </row>
    <row r="375" spans="2:20" ht="19.5" hidden="1" customHeight="1">
      <c r="B375" s="57"/>
      <c r="C375" s="86"/>
      <c r="D375" s="85"/>
      <c r="E375" s="85"/>
      <c r="F375" s="86"/>
      <c r="G375" s="85"/>
      <c r="H375" s="86"/>
      <c r="I375" s="89"/>
      <c r="J375" s="86"/>
      <c r="K375" s="89"/>
      <c r="L375" s="86"/>
      <c r="M375" s="98"/>
      <c r="N375" s="66"/>
      <c r="O375" s="68"/>
      <c r="P375" s="68"/>
    </row>
    <row r="376" spans="2:20" ht="19.5" hidden="1" customHeight="1">
      <c r="B376" s="57" t="s">
        <v>308</v>
      </c>
      <c r="C376" s="86">
        <v>407369334.5</v>
      </c>
      <c r="D376" s="85">
        <f>1679020.8-E376</f>
        <v>1679020.8</v>
      </c>
      <c r="E376" s="85">
        <v>0</v>
      </c>
      <c r="F376" s="86">
        <f>1207449.4-G376</f>
        <v>1207449.3999999999</v>
      </c>
      <c r="G376" s="85">
        <v>0</v>
      </c>
      <c r="H376" s="86">
        <v>0</v>
      </c>
      <c r="I376" s="89">
        <v>113648.7</v>
      </c>
      <c r="J376" s="86">
        <v>105683.7</v>
      </c>
      <c r="K376" s="89">
        <v>114919</v>
      </c>
      <c r="L376" s="86">
        <v>209000</v>
      </c>
      <c r="M376" s="98">
        <v>410799056</v>
      </c>
      <c r="N376" s="66"/>
      <c r="O376" s="68">
        <f>+M369-SUM(C369:L369)</f>
        <v>0</v>
      </c>
      <c r="P376" s="68"/>
    </row>
    <row r="377" spans="2:20" ht="19.5" hidden="1" customHeight="1">
      <c r="B377" s="57"/>
      <c r="C377" s="86"/>
      <c r="D377" s="85"/>
      <c r="E377" s="85"/>
      <c r="F377" s="86"/>
      <c r="G377" s="85"/>
      <c r="H377" s="86"/>
      <c r="I377" s="89"/>
      <c r="J377" s="86"/>
      <c r="K377" s="89"/>
      <c r="L377" s="86"/>
      <c r="M377" s="98"/>
      <c r="N377" s="66"/>
      <c r="O377" s="68"/>
      <c r="P377" s="68"/>
    </row>
    <row r="378" spans="2:20" ht="19.5" hidden="1" customHeight="1">
      <c r="B378" s="57" t="s">
        <v>311</v>
      </c>
      <c r="C378" s="86">
        <v>624314533.79999995</v>
      </c>
      <c r="D378" s="85">
        <f>4966179.6-E378</f>
        <v>4966179.5999999996</v>
      </c>
      <c r="E378" s="85">
        <v>0</v>
      </c>
      <c r="F378" s="86">
        <f>933924-G378</f>
        <v>933924</v>
      </c>
      <c r="G378" s="85">
        <v>0</v>
      </c>
      <c r="H378" s="86">
        <v>0</v>
      </c>
      <c r="I378" s="89">
        <v>358750.6</v>
      </c>
      <c r="J378" s="86">
        <v>116234.1</v>
      </c>
      <c r="K378" s="89">
        <v>146570.70000000001</v>
      </c>
      <c r="L378" s="86">
        <v>343277.6</v>
      </c>
      <c r="M378" s="98">
        <v>631179470.5</v>
      </c>
      <c r="N378" s="66"/>
      <c r="O378" s="68">
        <f>+M371-SUM(C371:L371)</f>
        <v>0</v>
      </c>
      <c r="P378" s="68"/>
    </row>
    <row r="379" spans="2:20" ht="19.5" hidden="1" customHeight="1">
      <c r="B379" s="57"/>
      <c r="C379" s="86"/>
      <c r="D379" s="85"/>
      <c r="E379" s="85"/>
      <c r="F379" s="86"/>
      <c r="G379" s="85"/>
      <c r="H379" s="86"/>
      <c r="I379" s="89"/>
      <c r="J379" s="86"/>
      <c r="K379" s="89"/>
      <c r="L379" s="86"/>
      <c r="M379" s="98"/>
      <c r="N379" s="66"/>
      <c r="O379" s="68"/>
      <c r="P379" s="68"/>
    </row>
    <row r="380" spans="2:20" ht="19.5" customHeight="1">
      <c r="B380" s="55">
        <v>2009</v>
      </c>
      <c r="C380" s="86"/>
      <c r="D380" s="85"/>
      <c r="E380" s="85"/>
      <c r="F380" s="86"/>
      <c r="G380" s="85"/>
      <c r="H380" s="86"/>
      <c r="I380" s="89"/>
      <c r="J380" s="86"/>
      <c r="K380" s="89"/>
      <c r="L380" s="86"/>
      <c r="M380" s="98"/>
      <c r="N380" s="66"/>
      <c r="O380" s="68"/>
      <c r="P380" s="68"/>
    </row>
    <row r="381" spans="2:20" ht="19.5" customHeight="1">
      <c r="B381" s="55"/>
      <c r="C381" s="86"/>
      <c r="D381" s="85"/>
      <c r="E381" s="85"/>
      <c r="F381" s="86"/>
      <c r="G381" s="85"/>
      <c r="H381" s="86"/>
      <c r="I381" s="89"/>
      <c r="J381" s="86"/>
      <c r="K381" s="89"/>
      <c r="L381" s="86"/>
      <c r="M381" s="98"/>
      <c r="N381" s="66"/>
      <c r="O381" s="68"/>
      <c r="P381" s="68"/>
    </row>
    <row r="382" spans="2:20" ht="19.5" customHeight="1">
      <c r="B382" s="57" t="s">
        <v>298</v>
      </c>
      <c r="C382" s="86">
        <v>297563.5</v>
      </c>
      <c r="D382" s="85">
        <f>2-E382</f>
        <v>2</v>
      </c>
      <c r="E382" s="85">
        <v>0</v>
      </c>
      <c r="F382" s="86">
        <f>59.7-G382</f>
        <v>59.7</v>
      </c>
      <c r="G382" s="85">
        <v>0</v>
      </c>
      <c r="H382" s="86">
        <v>9.1577999999999996E-5</v>
      </c>
      <c r="I382" s="89">
        <v>0.5</v>
      </c>
      <c r="J382" s="86">
        <v>1.7551139999999998E-5</v>
      </c>
      <c r="K382" s="89">
        <v>1.6920929999999998E-5</v>
      </c>
      <c r="L382" s="86">
        <v>6.4574230000000011E-5</v>
      </c>
      <c r="M382" s="98">
        <v>297625.7</v>
      </c>
      <c r="N382" s="66"/>
      <c r="O382" s="68">
        <f>+M375-SUM(C375:L375)</f>
        <v>0</v>
      </c>
      <c r="P382" s="68"/>
      <c r="T382" s="49">
        <f>9*2.5</f>
        <v>22.5</v>
      </c>
    </row>
    <row r="383" spans="2:20" ht="19.5" customHeight="1">
      <c r="B383" s="57"/>
      <c r="C383" s="86"/>
      <c r="D383" s="85"/>
      <c r="E383" s="85"/>
      <c r="F383" s="86"/>
      <c r="G383" s="85"/>
      <c r="H383" s="86"/>
      <c r="I383" s="89"/>
      <c r="J383" s="86"/>
      <c r="K383" s="89"/>
      <c r="L383" s="86"/>
      <c r="M383" s="98"/>
      <c r="N383" s="66"/>
      <c r="O383" s="68"/>
      <c r="P383" s="68"/>
    </row>
    <row r="384" spans="2:20" ht="19.5" customHeight="1">
      <c r="B384" s="57" t="s">
        <v>299</v>
      </c>
      <c r="C384" s="86">
        <v>383181.5</v>
      </c>
      <c r="D384" s="85">
        <f>0-E384</f>
        <v>0</v>
      </c>
      <c r="E384" s="85">
        <v>0</v>
      </c>
      <c r="F384" s="86">
        <f>8.5-G384</f>
        <v>8.5</v>
      </c>
      <c r="G384" s="85">
        <v>0</v>
      </c>
      <c r="H384" s="86">
        <v>0</v>
      </c>
      <c r="I384" s="89">
        <v>1.4243823999999998E-4</v>
      </c>
      <c r="J384" s="86">
        <v>4.7930659999999996E-5</v>
      </c>
      <c r="K384" s="89">
        <v>6.9909211E-4</v>
      </c>
      <c r="L384" s="86">
        <v>1.5746413999999999E-4</v>
      </c>
      <c r="M384" s="98">
        <v>383190</v>
      </c>
      <c r="N384" s="66"/>
      <c r="O384" s="68">
        <f>+M376-SUM(C376:L376)</f>
        <v>-9.9999964237213135E-2</v>
      </c>
      <c r="P384" s="68"/>
    </row>
    <row r="385" spans="2:16" ht="19.5" customHeight="1">
      <c r="B385" s="57"/>
      <c r="C385" s="86"/>
      <c r="D385" s="85"/>
      <c r="E385" s="85"/>
      <c r="F385" s="86"/>
      <c r="G385" s="85"/>
      <c r="H385" s="86"/>
      <c r="I385" s="89"/>
      <c r="J385" s="86"/>
      <c r="K385" s="89"/>
      <c r="L385" s="86"/>
      <c r="M385" s="98"/>
      <c r="N385" s="66"/>
      <c r="O385" s="68"/>
      <c r="P385" s="68"/>
    </row>
    <row r="386" spans="2:16" ht="19.5" customHeight="1">
      <c r="B386" s="57" t="s">
        <v>300</v>
      </c>
      <c r="C386" s="86">
        <v>396824.4</v>
      </c>
      <c r="D386" s="85">
        <f>78.3-E386</f>
        <v>78.3</v>
      </c>
      <c r="E386" s="85">
        <v>0</v>
      </c>
      <c r="F386" s="86">
        <f>66-G386</f>
        <v>66</v>
      </c>
      <c r="G386" s="85">
        <v>0</v>
      </c>
      <c r="H386" s="86">
        <v>0</v>
      </c>
      <c r="I386" s="89">
        <v>7.8818540999999994E-4</v>
      </c>
      <c r="J386" s="86">
        <v>2873.1</v>
      </c>
      <c r="K386" s="89">
        <v>2873.1</v>
      </c>
      <c r="L386" s="86">
        <v>5.4376947999999997E-4</v>
      </c>
      <c r="M386" s="98">
        <v>399841.8</v>
      </c>
      <c r="N386" s="66"/>
      <c r="O386" s="68">
        <f>+M379-SUM(C379:L379)</f>
        <v>0</v>
      </c>
      <c r="P386" s="68"/>
    </row>
    <row r="387" spans="2:16" ht="19.5" customHeight="1">
      <c r="B387" s="57"/>
      <c r="C387" s="86"/>
      <c r="D387" s="85"/>
      <c r="E387" s="85"/>
      <c r="F387" s="86"/>
      <c r="G387" s="85"/>
      <c r="H387" s="86"/>
      <c r="I387" s="89"/>
      <c r="J387" s="86"/>
      <c r="K387" s="89"/>
      <c r="L387" s="86"/>
      <c r="M387" s="98"/>
      <c r="N387" s="66"/>
      <c r="O387" s="68"/>
      <c r="P387" s="68"/>
    </row>
    <row r="388" spans="2:16" ht="19.5" customHeight="1">
      <c r="B388" s="57" t="s">
        <v>301</v>
      </c>
      <c r="C388" s="86">
        <v>487314</v>
      </c>
      <c r="D388" s="85">
        <f>204.8-E388</f>
        <v>204.8</v>
      </c>
      <c r="E388" s="85">
        <v>0</v>
      </c>
      <c r="F388" s="86">
        <f>51-G388</f>
        <v>0</v>
      </c>
      <c r="G388" s="85">
        <v>51</v>
      </c>
      <c r="H388" s="86">
        <v>0</v>
      </c>
      <c r="I388" s="89">
        <v>1.8</v>
      </c>
      <c r="J388" s="86">
        <v>2.7103103999999998E-4</v>
      </c>
      <c r="K388" s="89">
        <v>2873.1</v>
      </c>
      <c r="L388" s="86">
        <v>1.8</v>
      </c>
      <c r="M388" s="98">
        <v>490446.6</v>
      </c>
      <c r="N388" s="66"/>
      <c r="O388" s="68">
        <f>+M381-SUM(C381:L381)</f>
        <v>0</v>
      </c>
      <c r="P388" s="68"/>
    </row>
    <row r="389" spans="2:16" ht="19.5" customHeight="1">
      <c r="B389" s="57"/>
      <c r="C389" s="86"/>
      <c r="D389" s="85"/>
      <c r="E389" s="85"/>
      <c r="F389" s="86"/>
      <c r="G389" s="85"/>
      <c r="H389" s="86"/>
      <c r="I389" s="89"/>
      <c r="J389" s="86"/>
      <c r="K389" s="89"/>
      <c r="L389" s="86"/>
      <c r="M389" s="98"/>
      <c r="N389" s="66"/>
      <c r="O389" s="68"/>
      <c r="P389" s="68"/>
    </row>
    <row r="390" spans="2:16" ht="19.5" customHeight="1">
      <c r="B390" s="57" t="s">
        <v>302</v>
      </c>
      <c r="C390" s="86">
        <v>587993.5</v>
      </c>
      <c r="D390" s="85">
        <f>88-E390</f>
        <v>25</v>
      </c>
      <c r="E390" s="85">
        <v>63</v>
      </c>
      <c r="F390" s="86">
        <f>710-G390</f>
        <v>710</v>
      </c>
      <c r="G390" s="85">
        <v>0</v>
      </c>
      <c r="H390" s="86">
        <v>0</v>
      </c>
      <c r="I390" s="89">
        <v>5076.8999999999996</v>
      </c>
      <c r="J390" s="86">
        <v>4.7613762000000003E-4</v>
      </c>
      <c r="K390" s="89">
        <v>2873.1</v>
      </c>
      <c r="L390" s="86">
        <v>3.3</v>
      </c>
      <c r="M390" s="98">
        <v>596744.80000000005</v>
      </c>
      <c r="N390" s="66"/>
      <c r="O390" s="68">
        <f>+M383-SUM(C383:L383)</f>
        <v>0</v>
      </c>
      <c r="P390" s="68"/>
    </row>
    <row r="391" spans="2:16" ht="19.5" customHeight="1">
      <c r="B391" s="57"/>
      <c r="C391" s="86"/>
      <c r="D391" s="85"/>
      <c r="E391" s="85"/>
      <c r="F391" s="86"/>
      <c r="G391" s="85"/>
      <c r="H391" s="86"/>
      <c r="I391" s="89"/>
      <c r="J391" s="86"/>
      <c r="K391" s="89"/>
      <c r="L391" s="86"/>
      <c r="M391" s="98"/>
      <c r="N391" s="66"/>
      <c r="O391" s="68"/>
      <c r="P391" s="68"/>
    </row>
    <row r="392" spans="2:16" ht="19.5" customHeight="1">
      <c r="B392" s="57" t="s">
        <v>303</v>
      </c>
      <c r="C392" s="86">
        <v>695614.7</v>
      </c>
      <c r="D392" s="85">
        <f>223.9-E392</f>
        <v>223.9</v>
      </c>
      <c r="E392" s="85"/>
      <c r="F392" s="86">
        <f>6658.2-G392</f>
        <v>6658.2</v>
      </c>
      <c r="G392" s="85"/>
      <c r="H392" s="86">
        <v>0</v>
      </c>
      <c r="I392" s="89">
        <v>5922.9</v>
      </c>
      <c r="J392" s="86">
        <v>6.8</v>
      </c>
      <c r="K392" s="89">
        <v>2873.1</v>
      </c>
      <c r="L392" s="86">
        <v>3.3</v>
      </c>
      <c r="M392" s="98">
        <v>711302.9</v>
      </c>
      <c r="N392" s="66"/>
      <c r="O392" s="68">
        <f>+M385-SUM(C385:L385)</f>
        <v>0</v>
      </c>
      <c r="P392" s="68"/>
    </row>
    <row r="393" spans="2:16" ht="19.5" customHeight="1">
      <c r="B393" s="57"/>
      <c r="C393" s="86"/>
      <c r="D393" s="85"/>
      <c r="E393" s="85"/>
      <c r="F393" s="86"/>
      <c r="G393" s="85"/>
      <c r="H393" s="86"/>
      <c r="I393" s="89"/>
      <c r="J393" s="86"/>
      <c r="K393" s="89"/>
      <c r="L393" s="86"/>
      <c r="M393" s="98"/>
      <c r="N393" s="66"/>
      <c r="O393" s="68"/>
      <c r="P393" s="68"/>
    </row>
    <row r="394" spans="2:16" ht="19.5" customHeight="1">
      <c r="B394" s="57"/>
      <c r="C394" s="86"/>
      <c r="D394" s="85"/>
      <c r="E394" s="85"/>
      <c r="F394" s="86"/>
      <c r="G394" s="85"/>
      <c r="H394" s="86"/>
      <c r="I394" s="89"/>
      <c r="J394" s="86"/>
      <c r="K394" s="89"/>
      <c r="L394" s="86"/>
      <c r="M394" s="98"/>
      <c r="N394" s="66"/>
      <c r="O394" s="68"/>
      <c r="P394" s="68"/>
    </row>
    <row r="395" spans="2:16" ht="19.5" customHeight="1">
      <c r="B395" s="57"/>
      <c r="C395" s="86"/>
      <c r="D395" s="85"/>
      <c r="E395" s="85"/>
      <c r="F395" s="86"/>
      <c r="G395" s="85"/>
      <c r="H395" s="86"/>
      <c r="I395" s="89"/>
      <c r="J395" s="86"/>
      <c r="K395" s="89"/>
      <c r="L395" s="86"/>
      <c r="M395" s="98"/>
      <c r="N395" s="66"/>
      <c r="O395" s="68"/>
      <c r="P395" s="68"/>
    </row>
    <row r="396" spans="2:16" ht="19.5" customHeight="1">
      <c r="B396" s="57"/>
      <c r="C396" s="86"/>
      <c r="D396" s="85"/>
      <c r="E396" s="85"/>
      <c r="F396" s="86"/>
      <c r="G396" s="85"/>
      <c r="H396" s="86"/>
      <c r="I396" s="89"/>
      <c r="J396" s="86"/>
      <c r="K396" s="89"/>
      <c r="L396" s="86"/>
      <c r="M396" s="98"/>
      <c r="N396" s="66"/>
      <c r="O396" s="68"/>
      <c r="P396" s="68"/>
    </row>
    <row r="397" spans="2:16" ht="19.5" customHeight="1">
      <c r="B397" s="57"/>
      <c r="C397" s="86"/>
      <c r="D397" s="85"/>
      <c r="E397" s="85"/>
      <c r="F397" s="86"/>
      <c r="G397" s="85"/>
      <c r="H397" s="86"/>
      <c r="I397" s="89"/>
      <c r="J397" s="86"/>
      <c r="K397" s="89"/>
      <c r="L397" s="86"/>
      <c r="M397" s="98"/>
      <c r="N397" s="66"/>
      <c r="O397" s="68"/>
      <c r="P397" s="68"/>
    </row>
    <row r="398" spans="2:16" ht="19.5" customHeight="1">
      <c r="B398" s="57"/>
      <c r="C398" s="86"/>
      <c r="D398" s="85"/>
      <c r="E398" s="85"/>
      <c r="F398" s="86"/>
      <c r="G398" s="85"/>
      <c r="H398" s="86"/>
      <c r="I398" s="89"/>
      <c r="J398" s="86"/>
      <c r="K398" s="89"/>
      <c r="L398" s="86"/>
      <c r="M398" s="98"/>
      <c r="N398" s="66"/>
      <c r="O398" s="68"/>
      <c r="P398" s="68"/>
    </row>
    <row r="399" spans="2:16" ht="19.5" customHeight="1">
      <c r="B399" s="57"/>
      <c r="C399" s="86"/>
      <c r="D399" s="85"/>
      <c r="E399" s="85"/>
      <c r="F399" s="86"/>
      <c r="G399" s="85"/>
      <c r="H399" s="86"/>
      <c r="I399" s="89"/>
      <c r="J399" s="86"/>
      <c r="K399" s="89"/>
      <c r="L399" s="86"/>
      <c r="M399" s="98"/>
      <c r="N399" s="66"/>
      <c r="O399" s="68"/>
      <c r="P399" s="68"/>
    </row>
    <row r="400" spans="2:16" ht="19.5" customHeight="1">
      <c r="B400" s="57"/>
      <c r="C400" s="86"/>
      <c r="D400" s="85"/>
      <c r="E400" s="85"/>
      <c r="F400" s="86"/>
      <c r="G400" s="85"/>
      <c r="H400" s="86"/>
      <c r="I400" s="89"/>
      <c r="J400" s="86"/>
      <c r="K400" s="89"/>
      <c r="L400" s="86"/>
      <c r="M400" s="98"/>
      <c r="N400" s="66"/>
      <c r="O400" s="68"/>
      <c r="P400" s="68"/>
    </row>
    <row r="401" spans="2:20" ht="19.5" customHeight="1">
      <c r="B401" s="57"/>
      <c r="C401" s="86"/>
      <c r="D401" s="85"/>
      <c r="E401" s="85"/>
      <c r="F401" s="86"/>
      <c r="G401" s="85"/>
      <c r="H401" s="86"/>
      <c r="I401" s="89"/>
      <c r="J401" s="86"/>
      <c r="K401" s="89"/>
      <c r="L401" s="86"/>
      <c r="M401" s="98"/>
      <c r="N401" s="66"/>
      <c r="O401" s="68"/>
      <c r="P401" s="68"/>
    </row>
    <row r="402" spans="2:20" ht="19.5" customHeight="1">
      <c r="B402" s="57"/>
      <c r="C402" s="86"/>
      <c r="D402" s="85"/>
      <c r="E402" s="85"/>
      <c r="F402" s="86"/>
      <c r="G402" s="85"/>
      <c r="H402" s="86"/>
      <c r="I402" s="89"/>
      <c r="J402" s="86"/>
      <c r="K402" s="89"/>
      <c r="L402" s="86"/>
      <c r="M402" s="98"/>
      <c r="N402" s="66"/>
      <c r="O402" s="68"/>
      <c r="P402" s="68"/>
    </row>
    <row r="403" spans="2:20" ht="19.5" customHeight="1">
      <c r="B403" s="57"/>
      <c r="C403" s="86"/>
      <c r="D403" s="85"/>
      <c r="E403" s="85"/>
      <c r="F403" s="86"/>
      <c r="G403" s="85"/>
      <c r="H403" s="86"/>
      <c r="I403" s="89"/>
      <c r="J403" s="86"/>
      <c r="K403" s="89"/>
      <c r="L403" s="86"/>
      <c r="M403" s="98"/>
      <c r="N403" s="66"/>
      <c r="O403" s="68"/>
      <c r="P403" s="68"/>
    </row>
    <row r="404" spans="2:20" ht="19.5" customHeight="1">
      <c r="B404" s="57" t="s">
        <v>311</v>
      </c>
      <c r="C404" s="86">
        <v>2.7215608331691002E+17</v>
      </c>
      <c r="D404" s="85">
        <f>100652371636319-E404</f>
        <v>100652371636319</v>
      </c>
      <c r="E404" s="85">
        <v>0</v>
      </c>
      <c r="F404" s="86">
        <f>7162778576676.9-G404</f>
        <v>7162778576676.9004</v>
      </c>
      <c r="G404" s="85">
        <v>0</v>
      </c>
      <c r="H404" s="86">
        <v>0</v>
      </c>
      <c r="I404" s="89">
        <v>9103358509247.9004</v>
      </c>
      <c r="J404" s="86">
        <v>361539696647.20001</v>
      </c>
      <c r="K404" s="89">
        <v>472744230985.5</v>
      </c>
      <c r="L404" s="86">
        <v>376662102722006</v>
      </c>
      <c r="M404" s="98">
        <v>2.7265049821228198E+17</v>
      </c>
      <c r="N404" s="66"/>
      <c r="O404" s="68"/>
      <c r="P404" s="68"/>
    </row>
    <row r="405" spans="2:20" ht="19.5" customHeight="1">
      <c r="B405" s="57"/>
      <c r="C405" s="86"/>
      <c r="D405" s="85"/>
      <c r="E405" s="85"/>
      <c r="F405" s="86"/>
      <c r="G405" s="85"/>
      <c r="H405" s="86"/>
      <c r="I405" s="89"/>
      <c r="J405" s="86"/>
      <c r="K405" s="89"/>
      <c r="L405" s="86"/>
      <c r="M405" s="98"/>
      <c r="N405" s="66"/>
      <c r="O405" s="68"/>
      <c r="P405" s="68"/>
    </row>
    <row r="406" spans="2:20" ht="19.5" customHeight="1" thickBot="1">
      <c r="B406" s="127"/>
      <c r="C406" s="127"/>
      <c r="D406" s="127"/>
      <c r="E406" s="127"/>
      <c r="F406" s="127"/>
      <c r="G406" s="127"/>
      <c r="H406" s="127"/>
      <c r="I406" s="127"/>
      <c r="J406" s="127"/>
      <c r="K406" s="127"/>
      <c r="L406" s="127"/>
      <c r="M406" s="127"/>
      <c r="N406" s="66"/>
      <c r="O406" s="68"/>
      <c r="P406" s="68"/>
      <c r="T406" s="49">
        <f>+T382*12*0.12</f>
        <v>32.4</v>
      </c>
    </row>
    <row r="407" spans="2:20" ht="19.5" customHeight="1" thickTop="1">
      <c r="B407" s="60"/>
      <c r="C407" s="128"/>
      <c r="D407" s="129"/>
      <c r="E407" s="128"/>
      <c r="F407" s="128"/>
      <c r="G407" s="128"/>
      <c r="H407" s="128"/>
      <c r="I407" s="128"/>
      <c r="J407" s="128"/>
      <c r="K407" s="128"/>
      <c r="L407" s="128"/>
      <c r="M407" s="128"/>
      <c r="N407" s="68"/>
      <c r="O407" s="68"/>
      <c r="P407" s="64"/>
      <c r="T407" s="49">
        <f>+T406+T382</f>
        <v>54.9</v>
      </c>
    </row>
    <row r="408" spans="2:20" ht="19.5" customHeight="1">
      <c r="B408" s="130" t="s">
        <v>325</v>
      </c>
      <c r="C408" s="114"/>
      <c r="D408" s="114"/>
      <c r="E408" s="114"/>
      <c r="F408" s="114"/>
      <c r="G408" s="114"/>
      <c r="H408" s="114"/>
      <c r="I408" s="114"/>
      <c r="J408" s="134"/>
      <c r="K408" s="114"/>
      <c r="L408" s="114"/>
      <c r="M408" s="114"/>
      <c r="N408" s="65"/>
      <c r="T408" s="49">
        <f>+T407*0.57</f>
        <v>31.292999999999996</v>
      </c>
    </row>
    <row r="409" spans="2:20" ht="19.5" customHeight="1">
      <c r="B409" s="130" t="s">
        <v>326</v>
      </c>
      <c r="C409" s="114"/>
      <c r="D409" s="114"/>
      <c r="E409" s="114"/>
      <c r="F409" s="114"/>
      <c r="G409" s="114"/>
      <c r="H409" s="114"/>
      <c r="I409" s="114"/>
      <c r="J409" s="134"/>
      <c r="K409" s="114"/>
      <c r="L409" s="114"/>
      <c r="M409" s="114"/>
      <c r="N409" s="65"/>
    </row>
    <row r="410" spans="2:20" ht="19.5" customHeight="1">
      <c r="B410" s="130" t="s">
        <v>327</v>
      </c>
      <c r="C410" s="114"/>
      <c r="D410" s="114"/>
      <c r="E410" s="114"/>
      <c r="F410" s="114"/>
      <c r="G410" s="114"/>
      <c r="H410" s="114"/>
      <c r="I410" s="114"/>
      <c r="J410" s="134"/>
      <c r="K410" s="114"/>
      <c r="L410" s="114"/>
      <c r="M410" s="114"/>
      <c r="N410" s="65"/>
    </row>
    <row r="411" spans="2:20" ht="19.5" customHeight="1">
      <c r="B411" s="130" t="s">
        <v>328</v>
      </c>
      <c r="C411" s="114"/>
      <c r="D411" s="114"/>
      <c r="E411" s="114"/>
      <c r="F411" s="114"/>
      <c r="G411" s="114"/>
      <c r="H411" s="114"/>
      <c r="I411" s="114"/>
      <c r="J411" s="114"/>
      <c r="K411" s="114"/>
      <c r="L411" s="114"/>
      <c r="M411" s="114"/>
      <c r="N411" s="65"/>
    </row>
    <row r="412" spans="2:20" ht="14.1" customHeight="1">
      <c r="B412" s="70"/>
      <c r="C412" s="114"/>
      <c r="D412" s="114"/>
      <c r="E412" s="114"/>
      <c r="F412" s="114"/>
      <c r="G412" s="114"/>
      <c r="H412" s="114"/>
      <c r="I412" s="114"/>
      <c r="J412" s="114"/>
      <c r="K412" s="114"/>
      <c r="L412" s="114"/>
      <c r="M412" s="114"/>
      <c r="N412" s="65"/>
    </row>
    <row r="413" spans="2:20" ht="14.1" customHeight="1">
      <c r="B413" s="70"/>
      <c r="C413" s="114"/>
      <c r="D413" s="114"/>
      <c r="E413" s="114"/>
      <c r="F413" s="114"/>
      <c r="G413" s="114"/>
      <c r="H413" s="114"/>
      <c r="I413" s="114"/>
      <c r="J413" s="114"/>
      <c r="K413" s="114"/>
      <c r="L413" s="114"/>
      <c r="M413" s="114"/>
      <c r="N413" s="65"/>
    </row>
    <row r="414" spans="2:20" ht="14.1" customHeight="1">
      <c r="B414" s="62"/>
      <c r="C414" s="114"/>
      <c r="D414" s="114"/>
      <c r="E414" s="114"/>
      <c r="F414" s="114"/>
      <c r="G414" s="114"/>
      <c r="H414" s="114"/>
      <c r="I414" s="114"/>
      <c r="J414" s="114"/>
      <c r="K414" s="114"/>
      <c r="L414" s="114"/>
      <c r="M414" s="114"/>
      <c r="N414" s="65"/>
    </row>
    <row r="415" spans="2:20" ht="15" customHeight="1">
      <c r="B415" s="115"/>
      <c r="C415" s="114"/>
      <c r="D415" s="114"/>
      <c r="E415" s="114"/>
      <c r="F415" s="114"/>
      <c r="G415" s="114"/>
      <c r="H415" s="114"/>
      <c r="I415" s="114"/>
      <c r="J415" s="114"/>
      <c r="K415" s="114"/>
      <c r="L415" s="114"/>
      <c r="M415" s="114"/>
      <c r="N415" s="65"/>
    </row>
    <row r="416" spans="2:20" ht="15" customHeight="1">
      <c r="C416" s="114"/>
      <c r="D416" s="114"/>
      <c r="E416" s="114"/>
      <c r="F416" s="114"/>
      <c r="G416" s="114"/>
      <c r="H416" s="114"/>
      <c r="I416" s="114"/>
      <c r="J416" s="114"/>
      <c r="K416" s="114"/>
      <c r="L416" s="114"/>
      <c r="M416" s="114"/>
      <c r="N416" s="65"/>
    </row>
    <row r="417" spans="3:14" ht="15" customHeight="1">
      <c r="C417" s="114"/>
      <c r="D417" s="114"/>
      <c r="E417" s="114"/>
      <c r="F417" s="114"/>
      <c r="G417" s="114"/>
      <c r="H417" s="114"/>
      <c r="I417" s="114"/>
      <c r="J417" s="114"/>
      <c r="K417" s="114"/>
      <c r="L417" s="114"/>
      <c r="M417" s="114"/>
      <c r="N417" s="65"/>
    </row>
    <row r="418" spans="3:14" ht="15" customHeight="1">
      <c r="C418" s="114"/>
      <c r="D418" s="114"/>
      <c r="E418" s="114"/>
      <c r="F418" s="114"/>
      <c r="G418" s="114"/>
      <c r="H418" s="114"/>
      <c r="I418" s="114"/>
      <c r="J418" s="114"/>
      <c r="K418" s="114"/>
      <c r="L418" s="114"/>
      <c r="M418" s="114"/>
      <c r="N418" s="65"/>
    </row>
    <row r="419" spans="3:14" ht="15" customHeight="1">
      <c r="C419" s="114"/>
      <c r="D419" s="114"/>
      <c r="E419" s="114"/>
      <c r="F419" s="114"/>
      <c r="G419" s="114"/>
      <c r="H419" s="114"/>
      <c r="I419" s="114"/>
      <c r="J419" s="114"/>
      <c r="K419" s="114"/>
      <c r="L419" s="114"/>
      <c r="M419" s="114"/>
      <c r="N419" s="65"/>
    </row>
    <row r="420" spans="3:14" ht="15" customHeight="1">
      <c r="C420" s="114"/>
      <c r="D420" s="114"/>
      <c r="E420" s="114"/>
      <c r="F420" s="114"/>
      <c r="G420" s="114"/>
      <c r="H420" s="114"/>
      <c r="I420" s="114"/>
      <c r="J420" s="114"/>
      <c r="K420" s="114"/>
      <c r="L420" s="114"/>
      <c r="M420" s="114"/>
      <c r="N420" s="65"/>
    </row>
    <row r="421" spans="3:14" ht="15" customHeight="1">
      <c r="C421" s="135"/>
      <c r="D421" s="135"/>
      <c r="E421" s="135"/>
      <c r="F421" s="135"/>
      <c r="G421" s="135"/>
      <c r="H421" s="135"/>
      <c r="I421" s="135"/>
      <c r="J421" s="135"/>
      <c r="K421" s="135"/>
      <c r="L421" s="135"/>
      <c r="M421" s="135"/>
      <c r="N421" s="65"/>
    </row>
    <row r="422" spans="3:14" ht="12.75" customHeight="1">
      <c r="C422" s="135"/>
      <c r="D422" s="135"/>
      <c r="E422" s="135"/>
      <c r="F422" s="135"/>
      <c r="G422" s="135"/>
      <c r="H422" s="135"/>
      <c r="I422" s="135"/>
      <c r="J422" s="135"/>
      <c r="K422" s="135"/>
      <c r="L422" s="135"/>
      <c r="M422" s="135"/>
      <c r="N422" s="65"/>
    </row>
    <row r="423" spans="3:14" ht="12.75" customHeight="1">
      <c r="C423" s="135"/>
      <c r="D423" s="135"/>
      <c r="E423" s="135"/>
      <c r="F423" s="135"/>
      <c r="G423" s="135"/>
      <c r="H423" s="135"/>
      <c r="I423" s="135"/>
      <c r="J423" s="135"/>
      <c r="K423" s="135"/>
      <c r="L423" s="135"/>
      <c r="M423" s="135"/>
      <c r="N423" s="65"/>
    </row>
    <row r="424" spans="3:14" ht="12.75" customHeight="1">
      <c r="C424" s="135"/>
      <c r="D424" s="135"/>
      <c r="E424" s="135"/>
      <c r="F424" s="135"/>
      <c r="G424" s="135"/>
      <c r="H424" s="135"/>
      <c r="I424" s="135"/>
      <c r="J424" s="135"/>
      <c r="K424" s="135"/>
      <c r="L424" s="135"/>
      <c r="M424" s="135"/>
      <c r="N424" s="65"/>
    </row>
    <row r="425" spans="3:14" ht="12.75" customHeight="1">
      <c r="C425" s="135"/>
      <c r="D425" s="135"/>
      <c r="E425" s="135"/>
      <c r="F425" s="135"/>
      <c r="G425" s="135"/>
      <c r="H425" s="135"/>
      <c r="I425" s="135"/>
      <c r="J425" s="135"/>
      <c r="K425" s="135"/>
      <c r="L425" s="135"/>
      <c r="M425" s="135"/>
      <c r="N425" s="65"/>
    </row>
    <row r="426" spans="3:14" ht="12.75" customHeight="1">
      <c r="C426" s="135"/>
      <c r="D426" s="135"/>
      <c r="E426" s="135"/>
      <c r="F426" s="135"/>
      <c r="G426" s="135"/>
      <c r="H426" s="135"/>
      <c r="I426" s="135"/>
      <c r="J426" s="135"/>
      <c r="K426" s="135"/>
      <c r="L426" s="135"/>
      <c r="M426" s="135"/>
      <c r="N426" s="65"/>
    </row>
    <row r="427" spans="3:14" ht="12.75" customHeight="1">
      <c r="C427" s="135"/>
      <c r="D427" s="135"/>
      <c r="E427" s="135"/>
      <c r="F427" s="135"/>
      <c r="G427" s="135"/>
      <c r="H427" s="135"/>
      <c r="I427" s="135"/>
      <c r="J427" s="135"/>
      <c r="K427" s="135"/>
      <c r="L427" s="135"/>
      <c r="M427" s="135"/>
      <c r="N427" s="65"/>
    </row>
    <row r="428" spans="3:14" ht="12.75" customHeight="1">
      <c r="C428" s="135"/>
      <c r="D428" s="135"/>
      <c r="E428" s="135"/>
      <c r="F428" s="135"/>
      <c r="G428" s="135"/>
      <c r="H428" s="135"/>
      <c r="I428" s="135"/>
      <c r="J428" s="135"/>
      <c r="K428" s="135"/>
      <c r="L428" s="135"/>
      <c r="M428" s="135"/>
      <c r="N428" s="65"/>
    </row>
    <row r="429" spans="3:14" ht="12.75" customHeight="1">
      <c r="C429" s="135"/>
      <c r="D429" s="135"/>
      <c r="E429" s="135"/>
      <c r="F429" s="135"/>
      <c r="G429" s="135"/>
      <c r="H429" s="135"/>
      <c r="I429" s="135"/>
      <c r="J429" s="135"/>
      <c r="K429" s="135"/>
      <c r="L429" s="135"/>
      <c r="M429" s="135"/>
      <c r="N429" s="65"/>
    </row>
    <row r="430" spans="3:14" ht="12.75" customHeight="1">
      <c r="C430" s="135"/>
      <c r="D430" s="135"/>
      <c r="E430" s="135"/>
      <c r="F430" s="135"/>
      <c r="G430" s="135"/>
      <c r="H430" s="135"/>
      <c r="I430" s="135"/>
      <c r="J430" s="135"/>
      <c r="K430" s="135"/>
      <c r="L430" s="135"/>
      <c r="M430" s="135"/>
      <c r="N430" s="65"/>
    </row>
    <row r="431" spans="3:14" ht="12.75" customHeight="1">
      <c r="C431" s="135"/>
      <c r="D431" s="135"/>
      <c r="E431" s="135"/>
      <c r="F431" s="135"/>
      <c r="G431" s="135"/>
      <c r="H431" s="135"/>
      <c r="I431" s="135"/>
      <c r="J431" s="135"/>
      <c r="K431" s="135"/>
      <c r="L431" s="135"/>
      <c r="M431" s="135"/>
      <c r="N431" s="65"/>
    </row>
    <row r="432" spans="3:14">
      <c r="C432" s="135"/>
      <c r="D432" s="135"/>
      <c r="E432" s="135"/>
      <c r="F432" s="135"/>
      <c r="G432" s="135"/>
      <c r="H432" s="135"/>
      <c r="I432" s="135"/>
      <c r="J432" s="135"/>
      <c r="K432" s="135"/>
      <c r="L432" s="135"/>
      <c r="M432" s="135"/>
      <c r="N432" s="65"/>
    </row>
    <row r="433" spans="3:14">
      <c r="C433" s="135"/>
      <c r="D433" s="135"/>
      <c r="E433" s="135"/>
      <c r="F433" s="135"/>
      <c r="G433" s="135"/>
      <c r="H433" s="135"/>
      <c r="I433" s="135"/>
      <c r="J433" s="135"/>
      <c r="K433" s="135"/>
      <c r="L433" s="135"/>
      <c r="M433" s="135"/>
      <c r="N433" s="65"/>
    </row>
    <row r="434" spans="3:14">
      <c r="C434" s="135"/>
      <c r="D434" s="135"/>
      <c r="E434" s="135"/>
      <c r="F434" s="135"/>
      <c r="G434" s="135"/>
      <c r="H434" s="135"/>
      <c r="I434" s="135"/>
      <c r="J434" s="135"/>
      <c r="K434" s="135"/>
      <c r="L434" s="135"/>
      <c r="M434" s="135"/>
      <c r="N434" s="65"/>
    </row>
    <row r="435" spans="3:14">
      <c r="C435" s="65"/>
      <c r="D435" s="65"/>
      <c r="E435" s="65"/>
      <c r="F435" s="65"/>
      <c r="G435" s="65"/>
      <c r="H435" s="65"/>
      <c r="I435" s="65"/>
      <c r="J435" s="65"/>
      <c r="K435" s="65"/>
      <c r="L435" s="65"/>
      <c r="M435" s="65"/>
      <c r="N435" s="65"/>
    </row>
    <row r="436" spans="3:14">
      <c r="C436" s="65"/>
      <c r="D436" s="65"/>
      <c r="E436" s="65"/>
      <c r="F436" s="65"/>
      <c r="G436" s="65"/>
      <c r="H436" s="65"/>
      <c r="I436" s="65"/>
      <c r="J436" s="65"/>
      <c r="K436" s="65"/>
      <c r="L436" s="65"/>
      <c r="M436" s="65"/>
      <c r="N436" s="65"/>
    </row>
    <row r="437" spans="3:14">
      <c r="C437" s="65"/>
      <c r="D437" s="65"/>
      <c r="E437" s="65"/>
      <c r="F437" s="65"/>
      <c r="G437" s="65"/>
      <c r="H437" s="65"/>
      <c r="I437" s="65"/>
      <c r="J437" s="65"/>
      <c r="K437" s="65"/>
      <c r="L437" s="65"/>
      <c r="M437" s="65"/>
      <c r="N437" s="65"/>
    </row>
    <row r="438" spans="3:14">
      <c r="C438" s="65"/>
      <c r="D438" s="65"/>
      <c r="E438" s="65"/>
      <c r="F438" s="65"/>
      <c r="G438" s="65"/>
      <c r="H438" s="65"/>
      <c r="I438" s="65"/>
      <c r="J438" s="65"/>
      <c r="K438" s="65"/>
      <c r="L438" s="65"/>
      <c r="M438" s="65"/>
      <c r="N438" s="65"/>
    </row>
    <row r="439" spans="3:14">
      <c r="C439" s="65"/>
      <c r="D439" s="65"/>
      <c r="E439" s="65"/>
      <c r="F439" s="65"/>
      <c r="G439" s="65"/>
      <c r="H439" s="65"/>
      <c r="I439" s="65"/>
      <c r="J439" s="65"/>
      <c r="K439" s="65"/>
      <c r="L439" s="65"/>
      <c r="M439" s="65"/>
      <c r="N439" s="65"/>
    </row>
    <row r="440" spans="3:14">
      <c r="C440" s="65"/>
      <c r="D440" s="65"/>
      <c r="E440" s="65"/>
      <c r="F440" s="65"/>
      <c r="G440" s="65"/>
      <c r="H440" s="65"/>
      <c r="I440" s="65"/>
      <c r="J440" s="65"/>
      <c r="K440" s="65"/>
      <c r="L440" s="65"/>
      <c r="M440" s="65"/>
      <c r="N440" s="65"/>
    </row>
    <row r="441" spans="3:14">
      <c r="C441" s="65"/>
      <c r="D441" s="65"/>
      <c r="E441" s="65"/>
      <c r="F441" s="65"/>
      <c r="G441" s="65"/>
      <c r="H441" s="65"/>
      <c r="I441" s="65"/>
      <c r="J441" s="65"/>
      <c r="K441" s="65"/>
      <c r="L441" s="65"/>
      <c r="M441" s="65"/>
      <c r="N441" s="65"/>
    </row>
    <row r="442" spans="3:14">
      <c r="C442" s="65"/>
      <c r="D442" s="65"/>
      <c r="E442" s="65"/>
      <c r="F442" s="65"/>
      <c r="G442" s="65"/>
      <c r="H442" s="65"/>
      <c r="I442" s="65"/>
      <c r="J442" s="65"/>
      <c r="K442" s="65"/>
      <c r="L442" s="65"/>
      <c r="M442" s="65"/>
      <c r="N442" s="65"/>
    </row>
    <row r="443" spans="3:14">
      <c r="C443" s="65"/>
      <c r="D443" s="65"/>
      <c r="E443" s="65"/>
      <c r="F443" s="65"/>
      <c r="G443" s="65"/>
      <c r="H443" s="65"/>
      <c r="I443" s="65"/>
      <c r="J443" s="65"/>
      <c r="K443" s="65"/>
      <c r="L443" s="65"/>
      <c r="M443" s="65"/>
      <c r="N443" s="65"/>
    </row>
    <row r="444" spans="3:14">
      <c r="C444" s="65"/>
      <c r="D444" s="65"/>
      <c r="E444" s="65"/>
      <c r="F444" s="65"/>
      <c r="G444" s="65"/>
      <c r="H444" s="65"/>
      <c r="I444" s="65"/>
      <c r="J444" s="65"/>
      <c r="K444" s="65"/>
      <c r="L444" s="65"/>
      <c r="M444" s="65"/>
      <c r="N444" s="65"/>
    </row>
    <row r="445" spans="3:14">
      <c r="C445" s="65"/>
      <c r="D445" s="65"/>
      <c r="E445" s="65"/>
      <c r="F445" s="65"/>
      <c r="G445" s="65"/>
      <c r="H445" s="65"/>
      <c r="I445" s="65"/>
      <c r="J445" s="65"/>
      <c r="K445" s="65"/>
      <c r="L445" s="65"/>
      <c r="M445" s="65"/>
      <c r="N445" s="65"/>
    </row>
    <row r="446" spans="3:14">
      <c r="C446" s="65"/>
      <c r="D446" s="65"/>
      <c r="E446" s="65"/>
      <c r="F446" s="65"/>
      <c r="G446" s="65"/>
      <c r="H446" s="65"/>
      <c r="I446" s="65"/>
      <c r="J446" s="65"/>
      <c r="K446" s="65"/>
      <c r="L446" s="65"/>
      <c r="M446" s="65"/>
      <c r="N446" s="65"/>
    </row>
    <row r="447" spans="3:14">
      <c r="C447" s="65"/>
      <c r="D447" s="65"/>
      <c r="E447" s="65"/>
      <c r="F447" s="65"/>
      <c r="G447" s="65"/>
      <c r="H447" s="65"/>
      <c r="I447" s="65"/>
      <c r="J447" s="65"/>
      <c r="K447" s="65"/>
      <c r="L447" s="65"/>
      <c r="M447" s="65"/>
      <c r="N447" s="65"/>
    </row>
    <row r="448" spans="3:14">
      <c r="C448" s="65"/>
      <c r="D448" s="65"/>
      <c r="E448" s="65"/>
      <c r="F448" s="65"/>
      <c r="G448" s="65"/>
      <c r="H448" s="65"/>
      <c r="I448" s="65"/>
      <c r="J448" s="65"/>
      <c r="K448" s="65"/>
      <c r="L448" s="65"/>
      <c r="M448" s="65"/>
      <c r="N448" s="65"/>
    </row>
    <row r="449" spans="3:14">
      <c r="C449" s="65"/>
      <c r="D449" s="65"/>
      <c r="E449" s="65"/>
      <c r="F449" s="65"/>
      <c r="G449" s="65"/>
      <c r="H449" s="65"/>
      <c r="I449" s="65"/>
      <c r="J449" s="65"/>
      <c r="K449" s="65"/>
      <c r="L449" s="65"/>
      <c r="M449" s="65"/>
      <c r="N449" s="65"/>
    </row>
    <row r="450" spans="3:14">
      <c r="C450" s="65"/>
      <c r="D450" s="65"/>
      <c r="E450" s="65"/>
      <c r="F450" s="65"/>
      <c r="G450" s="65"/>
      <c r="H450" s="65"/>
      <c r="I450" s="65"/>
      <c r="J450" s="65"/>
      <c r="K450" s="65"/>
      <c r="L450" s="65"/>
      <c r="M450" s="65"/>
      <c r="N450" s="65"/>
    </row>
    <row r="451" spans="3:14">
      <c r="C451" s="65"/>
      <c r="D451" s="65"/>
      <c r="E451" s="65"/>
      <c r="F451" s="65"/>
      <c r="G451" s="65"/>
      <c r="H451" s="65"/>
      <c r="I451" s="65"/>
      <c r="J451" s="65"/>
      <c r="K451" s="65"/>
      <c r="L451" s="65"/>
      <c r="M451" s="65"/>
      <c r="N451" s="65"/>
    </row>
    <row r="452" spans="3:14">
      <c r="C452" s="65"/>
      <c r="D452" s="65"/>
      <c r="E452" s="65"/>
      <c r="F452" s="65"/>
      <c r="G452" s="65"/>
      <c r="H452" s="65"/>
      <c r="I452" s="65"/>
      <c r="J452" s="65"/>
      <c r="K452" s="65"/>
      <c r="L452" s="65"/>
      <c r="M452" s="65"/>
      <c r="N452" s="65"/>
    </row>
    <row r="453" spans="3:14">
      <c r="C453" s="65"/>
      <c r="D453" s="65"/>
      <c r="E453" s="65"/>
      <c r="F453" s="65"/>
      <c r="G453" s="65"/>
      <c r="H453" s="65"/>
      <c r="I453" s="65"/>
      <c r="J453" s="65"/>
      <c r="K453" s="65"/>
      <c r="L453" s="65"/>
      <c r="M453" s="65"/>
      <c r="N453" s="65"/>
    </row>
    <row r="454" spans="3:14">
      <c r="C454" s="65"/>
      <c r="D454" s="65"/>
      <c r="E454" s="65"/>
      <c r="F454" s="65"/>
      <c r="G454" s="65"/>
      <c r="H454" s="65"/>
      <c r="I454" s="65"/>
      <c r="J454" s="65"/>
      <c r="K454" s="65"/>
      <c r="L454" s="65"/>
      <c r="M454" s="65"/>
      <c r="N454" s="65"/>
    </row>
    <row r="455" spans="3:14">
      <c r="C455" s="65"/>
      <c r="D455" s="65"/>
      <c r="E455" s="65"/>
      <c r="F455" s="65"/>
      <c r="G455" s="65"/>
      <c r="H455" s="65"/>
      <c r="I455" s="65"/>
      <c r="J455" s="65"/>
      <c r="K455" s="65"/>
      <c r="L455" s="65"/>
      <c r="M455" s="65"/>
      <c r="N455" s="65"/>
    </row>
    <row r="456" spans="3:14">
      <c r="C456" s="65"/>
      <c r="D456" s="65"/>
      <c r="E456" s="65"/>
      <c r="F456" s="65"/>
      <c r="G456" s="65"/>
      <c r="H456" s="65"/>
      <c r="I456" s="65"/>
      <c r="J456" s="65"/>
      <c r="K456" s="65"/>
      <c r="L456" s="65"/>
      <c r="M456" s="65"/>
      <c r="N456" s="65"/>
    </row>
    <row r="457" spans="3:14">
      <c r="C457" s="65"/>
      <c r="D457" s="65"/>
      <c r="E457" s="65"/>
      <c r="F457" s="65"/>
      <c r="G457" s="65"/>
      <c r="H457" s="65"/>
      <c r="I457" s="65"/>
      <c r="J457" s="65"/>
      <c r="K457" s="65"/>
      <c r="L457" s="65"/>
      <c r="M457" s="65"/>
      <c r="N457" s="65"/>
    </row>
    <row r="458" spans="3:14">
      <c r="C458" s="65"/>
      <c r="D458" s="65"/>
      <c r="E458" s="65"/>
      <c r="F458" s="65"/>
      <c r="G458" s="65"/>
      <c r="H458" s="65"/>
      <c r="I458" s="65"/>
      <c r="J458" s="65"/>
      <c r="K458" s="65"/>
      <c r="L458" s="65"/>
      <c r="M458" s="65"/>
      <c r="N458" s="65"/>
    </row>
    <row r="459" spans="3:14">
      <c r="C459" s="65"/>
      <c r="D459" s="65"/>
      <c r="E459" s="65"/>
      <c r="F459" s="65"/>
      <c r="G459" s="65"/>
      <c r="H459" s="65"/>
      <c r="I459" s="65"/>
      <c r="J459" s="65"/>
      <c r="K459" s="65"/>
      <c r="L459" s="65"/>
      <c r="M459" s="65"/>
      <c r="N459" s="65"/>
    </row>
    <row r="483" spans="3:5">
      <c r="C483" s="120"/>
      <c r="D483" s="120"/>
      <c r="E483" s="120"/>
    </row>
    <row r="484" spans="3:5">
      <c r="C484" s="120"/>
      <c r="D484" s="120"/>
      <c r="E484" s="120"/>
    </row>
    <row r="485" spans="3:5">
      <c r="C485" s="120"/>
      <c r="D485" s="120"/>
      <c r="E485" s="120"/>
    </row>
    <row r="486" spans="3:5">
      <c r="C486" s="120"/>
      <c r="D486" s="120"/>
      <c r="E486" s="120"/>
    </row>
  </sheetData>
  <customSheetViews>
    <customSheetView guid="{705E0D18-9A83-42CA-8732-90923BE2EC7D}"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1"/>
      <headerFooter alignWithMargins="0"/>
    </customSheetView>
    <customSheetView guid="{D45E5F9E-4EA6-40A2-8A1D-3AC67FB8CE54}"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2"/>
      <headerFooter alignWithMargins="0"/>
    </customSheetView>
    <customSheetView guid="{098C004C-808F-436E-8F18-182F927479D1}"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3"/>
      <headerFooter alignWithMargins="0"/>
    </customSheetView>
    <customSheetView guid="{89CA84C2-78F5-4B05-8F1D-B7C5F97BCB4E}"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4"/>
      <headerFooter alignWithMargins="0"/>
    </customSheetView>
  </customSheetViews>
  <phoneticPr fontId="0" type="noConversion"/>
  <pageMargins left="0.2" right="0.14000000000000001" top="0.75" bottom="0.21249999999999999" header="0.5" footer="0.5"/>
  <pageSetup paperSize="9" scale="50" orientation="landscape" horizontalDpi="300" verticalDpi="300" r:id="rId5"/>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autoPageBreaks="0" fitToPage="1"/>
  </sheetPr>
  <dimension ref="A1:IV328"/>
  <sheetViews>
    <sheetView showOutlineSymbols="0" zoomScaleNormal="60" zoomScaleSheetLayoutView="100" workbookViewId="0">
      <pane xSplit="1" ySplit="13" topLeftCell="B180" activePane="bottomRight" state="frozen"/>
      <selection pane="topRight" activeCell="B1" sqref="B1"/>
      <selection pane="bottomLeft" activeCell="A14" sqref="A14"/>
      <selection pane="bottomRight" activeCell="F202" sqref="F202"/>
    </sheetView>
  </sheetViews>
  <sheetFormatPr defaultColWidth="8.6640625" defaultRowHeight="15.75"/>
  <cols>
    <col min="1" max="1" width="14.77734375" style="678" customWidth="1"/>
    <col min="2" max="2" width="13.6640625" style="678" bestFit="1" customWidth="1"/>
    <col min="3" max="3" width="13.44140625" style="678" customWidth="1"/>
    <col min="4" max="4" width="14" style="678" hidden="1" customWidth="1"/>
    <col min="5" max="5" width="12.77734375" style="678" customWidth="1"/>
    <col min="6" max="6" width="16.44140625" style="678" customWidth="1"/>
    <col min="7" max="7" width="13.44140625" style="678" bestFit="1" customWidth="1"/>
    <col min="8" max="9" width="11" style="678" customWidth="1"/>
    <col min="10" max="14" width="8.6640625" style="678"/>
    <col min="15" max="15" width="9.5546875" style="678" bestFit="1" customWidth="1"/>
    <col min="16" max="16384" width="8.6640625" style="678"/>
  </cols>
  <sheetData>
    <row r="1" spans="1:12" ht="23.25" customHeight="1">
      <c r="A1" s="1976" t="s">
        <v>1133</v>
      </c>
      <c r="B1" s="1976"/>
      <c r="C1" s="1976"/>
      <c r="D1" s="1976"/>
      <c r="E1" s="1976"/>
      <c r="F1" s="1976"/>
      <c r="G1" s="1976"/>
      <c r="H1" s="1976"/>
      <c r="I1" s="1976"/>
      <c r="J1" s="1976"/>
      <c r="K1" s="1976"/>
    </row>
    <row r="2" spans="1:12" ht="12.75" customHeight="1">
      <c r="A2" s="679"/>
      <c r="B2" s="680"/>
      <c r="C2" s="680"/>
      <c r="D2" s="680"/>
      <c r="E2" s="680"/>
    </row>
    <row r="3" spans="1:12" ht="12.75" customHeight="1">
      <c r="A3" s="1976" t="s">
        <v>1039</v>
      </c>
      <c r="B3" s="1976"/>
      <c r="C3" s="1976"/>
      <c r="D3" s="1976"/>
      <c r="E3" s="1976"/>
      <c r="F3" s="1976"/>
      <c r="G3" s="1976"/>
      <c r="H3" s="1976"/>
      <c r="I3" s="1976"/>
      <c r="J3" s="1976"/>
      <c r="K3" s="1976"/>
    </row>
    <row r="4" spans="1:12" ht="12.75" customHeight="1" thickBot="1">
      <c r="A4" s="681"/>
      <c r="B4" s="681"/>
      <c r="C4" s="681"/>
      <c r="D4" s="681"/>
      <c r="E4" s="681"/>
      <c r="F4" s="681"/>
      <c r="G4" s="681"/>
      <c r="H4" s="681"/>
      <c r="I4" s="681"/>
    </row>
    <row r="5" spans="1:12" ht="12.75" customHeight="1" thickTop="1">
      <c r="A5" s="682"/>
      <c r="B5" s="682"/>
      <c r="C5" s="682"/>
      <c r="D5" s="683"/>
      <c r="E5" s="682"/>
      <c r="F5" s="683"/>
      <c r="G5" s="684"/>
      <c r="H5" s="685"/>
      <c r="I5" s="685"/>
      <c r="J5" s="682"/>
      <c r="K5" s="682"/>
      <c r="L5" s="686"/>
    </row>
    <row r="6" spans="1:12" ht="12.75" customHeight="1">
      <c r="A6" s="687"/>
      <c r="B6" s="688"/>
      <c r="C6" s="688" t="s">
        <v>37</v>
      </c>
      <c r="D6" s="689"/>
      <c r="E6" s="688"/>
      <c r="F6" s="690"/>
      <c r="G6" s="691"/>
      <c r="H6" s="692"/>
      <c r="I6" s="693"/>
      <c r="J6" s="688"/>
      <c r="K6" s="688"/>
      <c r="L6" s="686"/>
    </row>
    <row r="7" spans="1:12" ht="12.75" customHeight="1">
      <c r="A7" s="687"/>
      <c r="B7" s="688"/>
      <c r="C7" s="688" t="s">
        <v>185</v>
      </c>
      <c r="D7" s="689"/>
      <c r="E7" s="688"/>
      <c r="F7" s="1973" t="s">
        <v>188</v>
      </c>
      <c r="G7" s="1974"/>
      <c r="H7" s="1975"/>
      <c r="I7" s="693"/>
      <c r="J7" s="688"/>
      <c r="K7" s="688"/>
      <c r="L7" s="686"/>
    </row>
    <row r="8" spans="1:12" ht="12.75" customHeight="1">
      <c r="A8" s="687"/>
      <c r="B8" s="688" t="s">
        <v>189</v>
      </c>
      <c r="C8" s="688" t="s">
        <v>190</v>
      </c>
      <c r="D8" s="690" t="s">
        <v>1182</v>
      </c>
      <c r="E8" s="688"/>
      <c r="F8" s="690"/>
      <c r="G8" s="691"/>
      <c r="H8" s="692"/>
      <c r="I8" s="692" t="s">
        <v>1184</v>
      </c>
      <c r="J8" s="688" t="s">
        <v>34</v>
      </c>
      <c r="K8" s="688"/>
      <c r="L8" s="686"/>
    </row>
    <row r="9" spans="1:12" ht="16.5" customHeight="1" thickBot="1">
      <c r="A9" s="687"/>
      <c r="B9" s="688" t="s">
        <v>45</v>
      </c>
      <c r="C9" s="688" t="s">
        <v>191</v>
      </c>
      <c r="D9" s="690" t="s">
        <v>1183</v>
      </c>
      <c r="E9" s="688"/>
      <c r="F9" s="694"/>
      <c r="G9" s="695"/>
      <c r="H9" s="692"/>
      <c r="I9" s="692" t="s">
        <v>1185</v>
      </c>
      <c r="J9" s="688" t="s">
        <v>35</v>
      </c>
      <c r="K9" s="688" t="s">
        <v>37</v>
      </c>
      <c r="L9" s="686"/>
    </row>
    <row r="10" spans="1:12" ht="12.75" customHeight="1" thickTop="1">
      <c r="A10" s="687"/>
      <c r="B10" s="688" t="s">
        <v>192</v>
      </c>
      <c r="C10" s="688" t="s">
        <v>193</v>
      </c>
      <c r="D10" s="689"/>
      <c r="E10" s="688" t="s">
        <v>194</v>
      </c>
      <c r="F10" s="696"/>
      <c r="G10" s="696"/>
      <c r="H10" s="696"/>
      <c r="I10" s="693"/>
      <c r="J10" s="688" t="s">
        <v>195</v>
      </c>
      <c r="K10" s="688" t="s">
        <v>196</v>
      </c>
      <c r="L10" s="686"/>
    </row>
    <row r="11" spans="1:12" ht="12.75" customHeight="1">
      <c r="A11" s="687"/>
      <c r="B11" s="687"/>
      <c r="C11" s="687"/>
      <c r="D11" s="689"/>
      <c r="E11" s="688" t="s">
        <v>738</v>
      </c>
      <c r="F11" s="688" t="s">
        <v>1188</v>
      </c>
      <c r="G11" s="688" t="s">
        <v>739</v>
      </c>
      <c r="H11" s="688" t="s">
        <v>37</v>
      </c>
      <c r="I11" s="693"/>
      <c r="J11" s="687"/>
      <c r="K11" s="687"/>
      <c r="L11" s="686"/>
    </row>
    <row r="12" spans="1:12" ht="12.6" customHeight="1">
      <c r="A12" s="697" t="s">
        <v>220</v>
      </c>
      <c r="B12" s="688"/>
      <c r="C12" s="688"/>
      <c r="D12" s="689"/>
      <c r="E12" s="688"/>
      <c r="F12" s="688"/>
      <c r="G12" s="688"/>
      <c r="H12" s="688"/>
      <c r="I12" s="693"/>
      <c r="J12" s="688"/>
      <c r="K12" s="688"/>
      <c r="L12" s="686"/>
    </row>
    <row r="13" spans="1:12" ht="7.15" customHeight="1" thickBot="1">
      <c r="A13" s="698"/>
      <c r="B13" s="699"/>
      <c r="C13" s="700"/>
      <c r="D13" s="701"/>
      <c r="E13" s="700"/>
      <c r="F13" s="700"/>
      <c r="G13" s="700"/>
      <c r="H13" s="700"/>
      <c r="I13" s="701"/>
      <c r="J13" s="700"/>
      <c r="K13" s="700"/>
      <c r="L13" s="686"/>
    </row>
    <row r="14" spans="1:12" ht="12.75" customHeight="1" thickTop="1">
      <c r="A14" s="702"/>
      <c r="B14" s="703"/>
      <c r="C14" s="704"/>
      <c r="D14" s="689"/>
      <c r="E14" s="704"/>
      <c r="F14" s="704"/>
      <c r="G14" s="704"/>
      <c r="H14" s="704"/>
      <c r="I14" s="693"/>
      <c r="J14" s="704"/>
      <c r="K14" s="704"/>
      <c r="L14" s="686"/>
    </row>
    <row r="15" spans="1:12" ht="12.75" hidden="1" customHeight="1">
      <c r="A15" s="705">
        <v>1980</v>
      </c>
      <c r="B15" s="706">
        <v>674.8</v>
      </c>
      <c r="C15" s="706">
        <v>1049.8</v>
      </c>
      <c r="D15" s="689"/>
      <c r="E15" s="706">
        <v>-375</v>
      </c>
      <c r="F15" s="706">
        <v>137.5</v>
      </c>
      <c r="G15" s="706">
        <v>164.8</v>
      </c>
      <c r="H15" s="706">
        <v>302.3</v>
      </c>
      <c r="I15" s="693"/>
      <c r="J15" s="706">
        <v>72.7</v>
      </c>
      <c r="K15" s="706">
        <v>375</v>
      </c>
      <c r="L15" s="686"/>
    </row>
    <row r="16" spans="1:12" ht="12.75" hidden="1" customHeight="1">
      <c r="A16" s="705">
        <v>1981</v>
      </c>
      <c r="B16" s="706">
        <v>949.1</v>
      </c>
      <c r="C16" s="706">
        <v>1283.9000000000001</v>
      </c>
      <c r="D16" s="689"/>
      <c r="E16" s="688">
        <v>-334.8</v>
      </c>
      <c r="F16" s="706">
        <v>159.69999999999999</v>
      </c>
      <c r="G16" s="706">
        <v>108.9</v>
      </c>
      <c r="H16" s="706">
        <v>286.60000000000002</v>
      </c>
      <c r="I16" s="693"/>
      <c r="J16" s="706">
        <v>66.2</v>
      </c>
      <c r="K16" s="706">
        <v>334.8</v>
      </c>
      <c r="L16" s="686"/>
    </row>
    <row r="17" spans="1:12" ht="12.75" hidden="1" customHeight="1">
      <c r="A17" s="705">
        <v>1982</v>
      </c>
      <c r="B17" s="706">
        <v>1364.5</v>
      </c>
      <c r="C17" s="706">
        <v>1681.1</v>
      </c>
      <c r="D17" s="689"/>
      <c r="E17" s="706">
        <v>-316.60000000000002</v>
      </c>
      <c r="F17" s="706">
        <v>-12.9</v>
      </c>
      <c r="G17" s="706">
        <v>109.9</v>
      </c>
      <c r="H17" s="706">
        <v>97</v>
      </c>
      <c r="I17" s="693"/>
      <c r="J17" s="706">
        <v>219.6</v>
      </c>
      <c r="K17" s="706">
        <v>316.60000000000002</v>
      </c>
      <c r="L17" s="686"/>
    </row>
    <row r="18" spans="1:12" ht="12.75" hidden="1" customHeight="1">
      <c r="A18" s="705">
        <v>1983</v>
      </c>
      <c r="B18" s="706">
        <v>1780.7</v>
      </c>
      <c r="C18" s="706">
        <v>2247.1</v>
      </c>
      <c r="D18" s="689"/>
      <c r="E18" s="706">
        <v>-466.4</v>
      </c>
      <c r="F18" s="706">
        <v>106.2</v>
      </c>
      <c r="G18" s="706">
        <v>310.3</v>
      </c>
      <c r="H18" s="706">
        <v>416.5</v>
      </c>
      <c r="I18" s="693"/>
      <c r="J18" s="706">
        <v>49.9</v>
      </c>
      <c r="K18" s="706">
        <v>466.4</v>
      </c>
      <c r="L18" s="686"/>
    </row>
    <row r="19" spans="1:12" ht="12.75" hidden="1" customHeight="1">
      <c r="A19" s="705">
        <v>1984</v>
      </c>
      <c r="B19" s="706" t="s">
        <v>197</v>
      </c>
      <c r="C19" s="706" t="s">
        <v>198</v>
      </c>
      <c r="D19" s="689"/>
      <c r="E19" s="706">
        <v>-630</v>
      </c>
      <c r="F19" s="706">
        <v>205.7</v>
      </c>
      <c r="G19" s="706">
        <v>373.6</v>
      </c>
      <c r="H19" s="706">
        <v>579.29999999999995</v>
      </c>
      <c r="I19" s="693"/>
      <c r="J19" s="706">
        <v>50.7</v>
      </c>
      <c r="K19" s="706">
        <v>630</v>
      </c>
      <c r="L19" s="686"/>
    </row>
    <row r="20" spans="1:12" ht="12.75" hidden="1" customHeight="1">
      <c r="A20" s="705">
        <v>1985</v>
      </c>
      <c r="B20" s="706" t="s">
        <v>199</v>
      </c>
      <c r="C20" s="706" t="s">
        <v>200</v>
      </c>
      <c r="D20" s="689"/>
      <c r="E20" s="706">
        <v>-710.7</v>
      </c>
      <c r="F20" s="706">
        <v>274.3</v>
      </c>
      <c r="G20" s="706">
        <v>495.8</v>
      </c>
      <c r="H20" s="706">
        <v>221.5</v>
      </c>
      <c r="I20" s="693"/>
      <c r="J20" s="706">
        <v>489.2</v>
      </c>
      <c r="K20" s="706">
        <v>710.7</v>
      </c>
      <c r="L20" s="686"/>
    </row>
    <row r="21" spans="1:12" ht="12.75" hidden="1" customHeight="1">
      <c r="A21" s="705">
        <v>1986</v>
      </c>
      <c r="B21" s="706" t="s">
        <v>201</v>
      </c>
      <c r="C21" s="706" t="s">
        <v>202</v>
      </c>
      <c r="D21" s="689"/>
      <c r="E21" s="706">
        <v>-691.6</v>
      </c>
      <c r="F21" s="706">
        <v>-222.7</v>
      </c>
      <c r="G21" s="706">
        <v>703.4</v>
      </c>
      <c r="H21" s="706">
        <v>480.7</v>
      </c>
      <c r="I21" s="693"/>
      <c r="J21" s="706">
        <v>210.9</v>
      </c>
      <c r="K21" s="706">
        <v>691.6</v>
      </c>
      <c r="L21" s="686"/>
    </row>
    <row r="22" spans="1:12" ht="12.75" hidden="1" customHeight="1">
      <c r="A22" s="705">
        <v>1987</v>
      </c>
      <c r="B22" s="706" t="s">
        <v>203</v>
      </c>
      <c r="C22" s="706" t="s">
        <v>204</v>
      </c>
      <c r="D22" s="689"/>
      <c r="E22" s="706">
        <v>-996.9</v>
      </c>
      <c r="F22" s="706">
        <v>166</v>
      </c>
      <c r="G22" s="706">
        <v>620.20000000000005</v>
      </c>
      <c r="H22" s="706">
        <v>481.7</v>
      </c>
      <c r="I22" s="693"/>
      <c r="J22" s="706">
        <v>210.8</v>
      </c>
      <c r="K22" s="706">
        <v>996.9</v>
      </c>
      <c r="L22" s="686"/>
    </row>
    <row r="23" spans="1:12" ht="12.75" hidden="1" customHeight="1">
      <c r="A23" s="705">
        <v>1988</v>
      </c>
      <c r="B23" s="706" t="s">
        <v>205</v>
      </c>
      <c r="C23" s="706" t="s">
        <v>206</v>
      </c>
      <c r="D23" s="689"/>
      <c r="E23" s="706">
        <v>-895.8</v>
      </c>
      <c r="F23" s="706">
        <v>146.69999999999999</v>
      </c>
      <c r="G23" s="706">
        <v>601.5</v>
      </c>
      <c r="H23" s="706">
        <v>748.2</v>
      </c>
      <c r="I23" s="693"/>
      <c r="J23" s="706">
        <v>147.6</v>
      </c>
      <c r="K23" s="706">
        <v>895.8</v>
      </c>
      <c r="L23" s="686"/>
    </row>
    <row r="24" spans="1:12" ht="12.75" hidden="1" customHeight="1">
      <c r="A24" s="705">
        <v>1989</v>
      </c>
      <c r="B24" s="706">
        <v>4356.3</v>
      </c>
      <c r="C24" s="706">
        <v>5475.6</v>
      </c>
      <c r="D24" s="689"/>
      <c r="E24" s="706">
        <f>B24-C24</f>
        <v>-1119.3000000000002</v>
      </c>
      <c r="F24" s="706">
        <v>29.2</v>
      </c>
      <c r="G24" s="706">
        <v>960.9</v>
      </c>
      <c r="H24" s="706">
        <v>990.1</v>
      </c>
      <c r="I24" s="693"/>
      <c r="J24" s="706">
        <v>129.19999999999999</v>
      </c>
      <c r="K24" s="706">
        <v>1119.3</v>
      </c>
      <c r="L24" s="686"/>
    </row>
    <row r="25" spans="1:12" ht="12.75" hidden="1" customHeight="1">
      <c r="A25" s="705">
        <v>1990</v>
      </c>
      <c r="B25" s="706">
        <v>5308</v>
      </c>
      <c r="C25" s="706">
        <v>6445.7</v>
      </c>
      <c r="D25" s="689"/>
      <c r="E25" s="706">
        <v>-1137.7</v>
      </c>
      <c r="F25" s="706">
        <v>58.9</v>
      </c>
      <c r="G25" s="706">
        <v>877.3</v>
      </c>
      <c r="H25" s="706">
        <v>936.2</v>
      </c>
      <c r="I25" s="693"/>
      <c r="J25" s="706">
        <v>201.5</v>
      </c>
      <c r="K25" s="706">
        <v>1137.7</v>
      </c>
      <c r="L25" s="686"/>
    </row>
    <row r="26" spans="1:12" ht="12.75" hidden="1" customHeight="1">
      <c r="A26" s="705">
        <v>1991</v>
      </c>
      <c r="B26" s="706" t="s">
        <v>207</v>
      </c>
      <c r="C26" s="706" t="s">
        <v>208</v>
      </c>
      <c r="D26" s="689"/>
      <c r="E26" s="706">
        <v>-1596.7</v>
      </c>
      <c r="F26" s="706">
        <v>140.30000000000001</v>
      </c>
      <c r="G26" s="706">
        <v>1362.1</v>
      </c>
      <c r="H26" s="706">
        <v>1502.4</v>
      </c>
      <c r="I26" s="693"/>
      <c r="J26" s="706">
        <v>94.3</v>
      </c>
      <c r="K26" s="706">
        <v>1596.7</v>
      </c>
      <c r="L26" s="686"/>
    </row>
    <row r="27" spans="1:12" ht="12.75" hidden="1" customHeight="1">
      <c r="A27" s="705">
        <v>1992</v>
      </c>
      <c r="B27" s="706">
        <v>9363.7999999999993</v>
      </c>
      <c r="C27" s="706">
        <v>11073.1</v>
      </c>
      <c r="D27" s="689"/>
      <c r="E27" s="706">
        <v>-1709.3</v>
      </c>
      <c r="F27" s="706">
        <v>208.1</v>
      </c>
      <c r="G27" s="706">
        <v>1112.8</v>
      </c>
      <c r="H27" s="706">
        <v>1320.9</v>
      </c>
      <c r="I27" s="693"/>
      <c r="J27" s="706">
        <v>388.4</v>
      </c>
      <c r="K27" s="706">
        <v>1709.3</v>
      </c>
      <c r="L27" s="686"/>
    </row>
    <row r="28" spans="1:12" ht="12.75" hidden="1" customHeight="1">
      <c r="A28" s="705">
        <v>1993</v>
      </c>
      <c r="B28" s="706" t="s">
        <v>209</v>
      </c>
      <c r="C28" s="706" t="s">
        <v>210</v>
      </c>
      <c r="D28" s="689"/>
      <c r="E28" s="706">
        <v>-2644.5</v>
      </c>
      <c r="F28" s="706">
        <v>416.7</v>
      </c>
      <c r="G28" s="706">
        <v>862</v>
      </c>
      <c r="H28" s="706">
        <v>1287.7</v>
      </c>
      <c r="I28" s="693"/>
      <c r="J28" s="706">
        <v>1365.8</v>
      </c>
      <c r="K28" s="706">
        <v>2644.5</v>
      </c>
      <c r="L28" s="686"/>
    </row>
    <row r="29" spans="1:12" ht="12.75" hidden="1" customHeight="1">
      <c r="A29" s="705">
        <v>1994</v>
      </c>
      <c r="B29" s="706" t="s">
        <v>211</v>
      </c>
      <c r="C29" s="706" t="s">
        <v>212</v>
      </c>
      <c r="D29" s="689"/>
      <c r="E29" s="706">
        <v>-2134.8000000000002</v>
      </c>
      <c r="F29" s="706">
        <v>1985.4</v>
      </c>
      <c r="G29" s="706">
        <v>-209.1</v>
      </c>
      <c r="H29" s="706">
        <v>1776.3</v>
      </c>
      <c r="I29" s="693"/>
      <c r="J29" s="706">
        <v>358.5</v>
      </c>
      <c r="K29" s="706">
        <v>2134.8000000000002</v>
      </c>
      <c r="L29" s="686"/>
    </row>
    <row r="30" spans="1:12" ht="12.75" hidden="1" customHeight="1">
      <c r="A30" s="705">
        <v>1995</v>
      </c>
      <c r="B30" s="706">
        <v>16514.3</v>
      </c>
      <c r="C30" s="706">
        <v>21813.5</v>
      </c>
      <c r="D30" s="689"/>
      <c r="E30" s="706">
        <v>-5791.6</v>
      </c>
      <c r="F30" s="706">
        <v>5153.3</v>
      </c>
      <c r="G30" s="706">
        <v>360.5</v>
      </c>
      <c r="H30" s="706">
        <v>4792.8</v>
      </c>
      <c r="I30" s="693"/>
      <c r="J30" s="706">
        <v>989.5</v>
      </c>
      <c r="K30" s="706">
        <v>5791.6</v>
      </c>
      <c r="L30" s="686"/>
    </row>
    <row r="31" spans="1:12" ht="12.75" hidden="1" customHeight="1">
      <c r="A31" s="705">
        <v>1996</v>
      </c>
      <c r="B31" s="706">
        <v>20876.599999999999</v>
      </c>
      <c r="C31" s="706">
        <v>26024</v>
      </c>
      <c r="D31" s="689"/>
      <c r="E31" s="706">
        <v>-5147.3999999999996</v>
      </c>
      <c r="F31" s="706">
        <v>4111.6000000000004</v>
      </c>
      <c r="G31" s="706">
        <v>139.1</v>
      </c>
      <c r="H31" s="706">
        <v>3972.5</v>
      </c>
      <c r="I31" s="693"/>
      <c r="J31" s="706">
        <v>1174.9000000000001</v>
      </c>
      <c r="K31" s="706">
        <v>5147.3999999999996</v>
      </c>
      <c r="L31" s="686"/>
    </row>
    <row r="32" spans="1:12" ht="12.75" hidden="1" customHeight="1">
      <c r="A32" s="705">
        <v>1997</v>
      </c>
      <c r="B32" s="706">
        <v>27289.599999999999</v>
      </c>
      <c r="C32" s="706">
        <v>32366.400000000001</v>
      </c>
      <c r="D32" s="689"/>
      <c r="E32" s="706">
        <f>B32-C32</f>
        <v>-5076.8000000000029</v>
      </c>
      <c r="F32" s="706">
        <v>5006</v>
      </c>
      <c r="G32" s="688">
        <v>161.80000000000001</v>
      </c>
      <c r="H32" s="706">
        <f>G32+F32</f>
        <v>5167.8</v>
      </c>
      <c r="I32" s="693"/>
      <c r="J32" s="706">
        <v>-91</v>
      </c>
      <c r="K32" s="706">
        <f>J32+H32</f>
        <v>5076.8</v>
      </c>
      <c r="L32" s="686"/>
    </row>
    <row r="33" spans="1:12" ht="12.75" hidden="1" customHeight="1">
      <c r="A33" s="705" t="s">
        <v>213</v>
      </c>
      <c r="B33" s="706">
        <f>57595.9+1499.5</f>
        <v>59095.4</v>
      </c>
      <c r="C33" s="706">
        <v>69722.8</v>
      </c>
      <c r="D33" s="689"/>
      <c r="E33" s="706">
        <f>B33-C33</f>
        <v>-10627.400000000001</v>
      </c>
      <c r="F33" s="706">
        <v>13553.6</v>
      </c>
      <c r="G33" s="706">
        <f>-779+760.9</f>
        <v>-18.100000000000023</v>
      </c>
      <c r="H33" s="706">
        <f>G33+F33</f>
        <v>13535.5</v>
      </c>
      <c r="I33" s="693"/>
      <c r="J33" s="706">
        <v>-2908.2</v>
      </c>
      <c r="K33" s="706">
        <f>J33+H33</f>
        <v>10627.3</v>
      </c>
      <c r="L33" s="686"/>
    </row>
    <row r="34" spans="1:12" ht="12.75" hidden="1" customHeight="1">
      <c r="A34" s="705" t="s">
        <v>214</v>
      </c>
      <c r="B34" s="706">
        <v>60707.5</v>
      </c>
      <c r="C34" s="706">
        <v>79638.399999999994</v>
      </c>
      <c r="D34" s="689"/>
      <c r="E34" s="706">
        <f>B34-C34</f>
        <v>-18930.899999999994</v>
      </c>
      <c r="F34" s="706">
        <v>24457.8</v>
      </c>
      <c r="G34" s="706">
        <v>-631.9</v>
      </c>
      <c r="H34" s="706">
        <f>G34+F34</f>
        <v>23825.899999999998</v>
      </c>
      <c r="I34" s="693"/>
      <c r="J34" s="706">
        <v>-4895</v>
      </c>
      <c r="K34" s="706">
        <f>J34+H34</f>
        <v>18930.899999999998</v>
      </c>
      <c r="L34" s="686"/>
    </row>
    <row r="35" spans="1:12" ht="12.75" hidden="1" customHeight="1">
      <c r="A35" s="705">
        <v>2000</v>
      </c>
      <c r="B35" s="688">
        <f>SUM(B41:B52)</f>
        <v>91341.6</v>
      </c>
      <c r="C35" s="688">
        <f>SUM(C41:C52)</f>
        <v>162309.70000000001</v>
      </c>
      <c r="D35" s="689"/>
      <c r="E35" s="706">
        <f>SUM(E41:E52)</f>
        <v>-70968.100000000006</v>
      </c>
      <c r="F35" s="688">
        <f>SUM(F41:F52)</f>
        <v>69917.100000000006</v>
      </c>
      <c r="G35" s="688">
        <f>SUM(G41:G52)</f>
        <v>-1683.9</v>
      </c>
      <c r="H35" s="706">
        <f>SUM(H41:H52)</f>
        <v>68233.200000000012</v>
      </c>
      <c r="I35" s="693"/>
      <c r="J35" s="688">
        <f>SUM(J41:J52)</f>
        <v>2734.8999999999996</v>
      </c>
      <c r="K35" s="706">
        <f>SUM(K41:K52)</f>
        <v>70968.100000000006</v>
      </c>
      <c r="L35" s="686"/>
    </row>
    <row r="36" spans="1:12" ht="12.75" hidden="1" customHeight="1">
      <c r="A36" s="705">
        <v>2001</v>
      </c>
      <c r="B36" s="706">
        <f>SUM(B56:B67)</f>
        <v>138892</v>
      </c>
      <c r="C36" s="688">
        <f>SUM(C56:C67)</f>
        <v>176715.9</v>
      </c>
      <c r="D36" s="689"/>
      <c r="E36" s="688">
        <f>SUM(E56:E67)</f>
        <v>-37823.900000000009</v>
      </c>
      <c r="F36" s="688">
        <f>SUM(F56:F67)</f>
        <v>36824.199999999997</v>
      </c>
      <c r="G36" s="688">
        <f>SUM(G56:G67)</f>
        <v>4769.2</v>
      </c>
      <c r="H36" s="688">
        <f>SUM(H56:H67)</f>
        <v>41593.399999999994</v>
      </c>
      <c r="I36" s="693"/>
      <c r="J36" s="688">
        <f>SUM(J56:J67)</f>
        <v>706.69999999999982</v>
      </c>
      <c r="K36" s="688">
        <f>SUM(K56:K67)</f>
        <v>37823.9</v>
      </c>
      <c r="L36" s="686"/>
    </row>
    <row r="37" spans="1:12" ht="12.75" hidden="1" customHeight="1">
      <c r="A37" s="705">
        <v>2002</v>
      </c>
      <c r="B37" s="706">
        <f>SUM(B71:B82)</f>
        <v>304984.09999999998</v>
      </c>
      <c r="C37" s="706">
        <f>SUM(C71:C82)</f>
        <v>363665.9</v>
      </c>
      <c r="D37" s="689"/>
      <c r="E37" s="706">
        <f>SUM(E71:E82)</f>
        <v>-58681.8</v>
      </c>
      <c r="F37" s="706">
        <f>SUM(F71:F82)</f>
        <v>49762.399999999994</v>
      </c>
      <c r="G37" s="706">
        <f>SUM(G71:G82)</f>
        <v>10402.200000000001</v>
      </c>
      <c r="H37" s="706">
        <f>SUM(H71:H82)</f>
        <v>60164.6</v>
      </c>
      <c r="I37" s="693"/>
      <c r="J37" s="706">
        <f>SUM(J71:J82)</f>
        <v>-1482.9999999999998</v>
      </c>
      <c r="K37" s="706">
        <f>SUM(K71:K82)</f>
        <v>58681.60000000002</v>
      </c>
      <c r="L37" s="686"/>
    </row>
    <row r="38" spans="1:12" ht="12.75" hidden="1" customHeight="1">
      <c r="A38" s="687"/>
      <c r="B38" s="707"/>
      <c r="C38" s="707"/>
      <c r="D38" s="689"/>
      <c r="E38" s="707"/>
      <c r="F38" s="707"/>
      <c r="G38" s="704"/>
      <c r="H38" s="707"/>
      <c r="I38" s="693"/>
      <c r="J38" s="707"/>
      <c r="K38" s="707"/>
      <c r="L38" s="686"/>
    </row>
    <row r="39" spans="1:12" ht="12.75" hidden="1" customHeight="1">
      <c r="A39" s="708">
        <v>2000</v>
      </c>
      <c r="B39" s="707"/>
      <c r="C39" s="707"/>
      <c r="D39" s="689"/>
      <c r="E39" s="707"/>
      <c r="F39" s="707"/>
      <c r="G39" s="707"/>
      <c r="H39" s="707"/>
      <c r="I39" s="693"/>
      <c r="J39" s="707"/>
      <c r="K39" s="707"/>
      <c r="L39" s="686"/>
    </row>
    <row r="40" spans="1:12" ht="12.75" hidden="1" customHeight="1">
      <c r="A40" s="708"/>
      <c r="B40" s="707"/>
      <c r="C40" s="707"/>
      <c r="D40" s="689"/>
      <c r="E40" s="707"/>
      <c r="F40" s="707"/>
      <c r="G40" s="707"/>
      <c r="H40" s="707"/>
      <c r="I40" s="693"/>
      <c r="J40" s="707"/>
      <c r="K40" s="707"/>
      <c r="L40" s="686"/>
    </row>
    <row r="41" spans="1:12" ht="12.75" hidden="1" customHeight="1">
      <c r="A41" s="706" t="s">
        <v>345</v>
      </c>
      <c r="B41" s="706">
        <f>4783+4.5</f>
        <v>4787.5</v>
      </c>
      <c r="C41" s="706">
        <v>11811.9</v>
      </c>
      <c r="D41" s="689"/>
      <c r="E41" s="706">
        <f t="shared" ref="E41:E52" si="0">B41-C41</f>
        <v>-7024.4</v>
      </c>
      <c r="F41" s="706">
        <v>8066.5</v>
      </c>
      <c r="G41" s="706">
        <v>-351.9</v>
      </c>
      <c r="H41" s="706">
        <f t="shared" ref="H41:H52" si="1">G41+F41</f>
        <v>7714.6</v>
      </c>
      <c r="I41" s="693"/>
      <c r="J41" s="706">
        <v>-690.2</v>
      </c>
      <c r="K41" s="706">
        <f t="shared" ref="K41:K52" si="2">J41+H41</f>
        <v>7024.4000000000005</v>
      </c>
      <c r="L41" s="686"/>
    </row>
    <row r="42" spans="1:12" ht="12.75" hidden="1" customHeight="1">
      <c r="A42" s="706" t="s">
        <v>334</v>
      </c>
      <c r="B42" s="706">
        <f>10797.5+4.5-4847.1</f>
        <v>5954.9</v>
      </c>
      <c r="C42" s="706">
        <f>21590.7-C41</f>
        <v>9778.8000000000011</v>
      </c>
      <c r="D42" s="689"/>
      <c r="E42" s="706">
        <f t="shared" si="0"/>
        <v>-3823.9000000000015</v>
      </c>
      <c r="F42" s="706">
        <f>12639.4-8066.5</f>
        <v>4572.8999999999996</v>
      </c>
      <c r="G42" s="706">
        <f>-866.9--351.9</f>
        <v>-515</v>
      </c>
      <c r="H42" s="706">
        <f t="shared" si="1"/>
        <v>4057.8999999999996</v>
      </c>
      <c r="I42" s="693"/>
      <c r="J42" s="706">
        <f>-983.8--690.2</f>
        <v>-293.59999999999991</v>
      </c>
      <c r="K42" s="706">
        <f t="shared" si="2"/>
        <v>3764.2999999999997</v>
      </c>
      <c r="L42" s="686"/>
    </row>
    <row r="43" spans="1:12" ht="12.75" hidden="1" customHeight="1">
      <c r="A43" s="706" t="s">
        <v>335</v>
      </c>
      <c r="B43" s="706">
        <f>19665.3+4.5-B42-B41</f>
        <v>8927.4</v>
      </c>
      <c r="C43" s="706">
        <f>33584.1-C42-C41</f>
        <v>11993.399999999996</v>
      </c>
      <c r="D43" s="689"/>
      <c r="E43" s="706">
        <f t="shared" si="0"/>
        <v>-3065.9999999999964</v>
      </c>
      <c r="F43" s="706">
        <f>16131-12639.4</f>
        <v>3491.6000000000004</v>
      </c>
      <c r="G43" s="706">
        <f>-1028.2--866.9</f>
        <v>-161.30000000000007</v>
      </c>
      <c r="H43" s="706">
        <f t="shared" si="1"/>
        <v>3330.3</v>
      </c>
      <c r="I43" s="693"/>
      <c r="J43" s="706">
        <f>-1188.5+983.8</f>
        <v>-204.70000000000005</v>
      </c>
      <c r="K43" s="706">
        <f t="shared" si="2"/>
        <v>3125.6000000000004</v>
      </c>
      <c r="L43" s="686"/>
    </row>
    <row r="44" spans="1:12" ht="12.75" hidden="1" customHeight="1">
      <c r="A44" s="706" t="s">
        <v>336</v>
      </c>
      <c r="B44" s="706">
        <f>25086-19665.3</f>
        <v>5420.7000000000007</v>
      </c>
      <c r="C44" s="706">
        <f>43389.8-33584.1</f>
        <v>9805.7000000000044</v>
      </c>
      <c r="D44" s="689"/>
      <c r="E44" s="706">
        <f t="shared" si="0"/>
        <v>-4385.0000000000036</v>
      </c>
      <c r="F44" s="706">
        <f>20673-16131</f>
        <v>4542</v>
      </c>
      <c r="G44" s="706">
        <f>-1122.4--1028.2</f>
        <v>-94.200000000000045</v>
      </c>
      <c r="H44" s="706">
        <f t="shared" si="1"/>
        <v>4447.8</v>
      </c>
      <c r="I44" s="693"/>
      <c r="J44" s="706">
        <f>-1251.3+1188.5</f>
        <v>-62.799999999999955</v>
      </c>
      <c r="K44" s="706">
        <f t="shared" si="2"/>
        <v>4385</v>
      </c>
      <c r="L44" s="686"/>
    </row>
    <row r="45" spans="1:12" ht="12.75" hidden="1" customHeight="1">
      <c r="A45" s="706" t="s">
        <v>337</v>
      </c>
      <c r="B45" s="706">
        <f>(31710.8-25086)+(190-4.5)</f>
        <v>6810.2999999999993</v>
      </c>
      <c r="C45" s="706">
        <f>56226-43389.8</f>
        <v>12836.199999999997</v>
      </c>
      <c r="D45" s="689"/>
      <c r="E45" s="706">
        <f t="shared" si="0"/>
        <v>-6025.8999999999978</v>
      </c>
      <c r="F45" s="706">
        <f>26734-20673</f>
        <v>6061</v>
      </c>
      <c r="G45" s="706">
        <f>-1116.2--1122.4</f>
        <v>6.2000000000000455</v>
      </c>
      <c r="H45" s="706">
        <f t="shared" si="1"/>
        <v>6067.2</v>
      </c>
      <c r="I45" s="693"/>
      <c r="J45" s="706">
        <f>-1292.6+1251.3</f>
        <v>-41.299999999999955</v>
      </c>
      <c r="K45" s="706">
        <f t="shared" si="2"/>
        <v>6025.9</v>
      </c>
      <c r="L45" s="686"/>
    </row>
    <row r="46" spans="1:12" ht="12.75" hidden="1" customHeight="1">
      <c r="A46" s="706" t="s">
        <v>338</v>
      </c>
      <c r="B46" s="706">
        <f>39009.5-31710.8</f>
        <v>7298.7000000000007</v>
      </c>
      <c r="C46" s="706">
        <f>64934.1-56226</f>
        <v>8708.0999999999985</v>
      </c>
      <c r="D46" s="689"/>
      <c r="E46" s="706">
        <f t="shared" si="0"/>
        <v>-1409.3999999999978</v>
      </c>
      <c r="F46" s="706">
        <f>28150.5-26734</f>
        <v>1416.5</v>
      </c>
      <c r="G46" s="706">
        <f>-1124.7+1116.2</f>
        <v>-8.5</v>
      </c>
      <c r="H46" s="706">
        <f t="shared" si="1"/>
        <v>1408</v>
      </c>
      <c r="I46" s="693"/>
      <c r="J46" s="706">
        <f>-1291.2+1292.6</f>
        <v>1.3999999999998636</v>
      </c>
      <c r="K46" s="706">
        <f t="shared" si="2"/>
        <v>1409.3999999999999</v>
      </c>
      <c r="L46" s="686"/>
    </row>
    <row r="47" spans="1:12" ht="12.75" hidden="1" customHeight="1">
      <c r="A47" s="706" t="s">
        <v>339</v>
      </c>
      <c r="B47" s="706">
        <f>46863.4-39009.5</f>
        <v>7853.9000000000015</v>
      </c>
      <c r="C47" s="706">
        <f>78291.2-64934.1</f>
        <v>13357.099999999999</v>
      </c>
      <c r="D47" s="689"/>
      <c r="E47" s="706">
        <f t="shared" si="0"/>
        <v>-5503.1999999999971</v>
      </c>
      <c r="F47" s="706">
        <f>33589.5-28150.5</f>
        <v>5439</v>
      </c>
      <c r="G47" s="706">
        <f>-1055.6+1124.7</f>
        <v>69.100000000000136</v>
      </c>
      <c r="H47" s="706">
        <f t="shared" si="1"/>
        <v>5508.1</v>
      </c>
      <c r="I47" s="693"/>
      <c r="J47" s="706">
        <f>-1296.1+1291.2</f>
        <v>-4.8999999999998636</v>
      </c>
      <c r="K47" s="706">
        <f t="shared" si="2"/>
        <v>5503.2000000000007</v>
      </c>
      <c r="L47" s="686"/>
    </row>
    <row r="48" spans="1:12" ht="12.75" hidden="1" customHeight="1">
      <c r="A48" s="706" t="s">
        <v>340</v>
      </c>
      <c r="B48" s="706">
        <f>53819+536.5-190-46863.4</f>
        <v>7302.0999999999985</v>
      </c>
      <c r="C48" s="706">
        <f>90630.8-78291.2</f>
        <v>12339.600000000006</v>
      </c>
      <c r="D48" s="689"/>
      <c r="E48" s="706">
        <f t="shared" si="0"/>
        <v>-5037.5000000000073</v>
      </c>
      <c r="F48" s="706">
        <f>38855.2-33589.5</f>
        <v>5265.6999999999971</v>
      </c>
      <c r="G48" s="706">
        <f>-1282.1+1055.6</f>
        <v>-226.5</v>
      </c>
      <c r="H48" s="706">
        <f t="shared" si="1"/>
        <v>5039.1999999999971</v>
      </c>
      <c r="I48" s="693"/>
      <c r="J48" s="706">
        <f>-1297.8+1296.1</f>
        <v>-1.7000000000000455</v>
      </c>
      <c r="K48" s="706">
        <f t="shared" si="2"/>
        <v>5037.4999999999973</v>
      </c>
      <c r="L48" s="686"/>
    </row>
    <row r="49" spans="1:256" ht="12.75" hidden="1" customHeight="1">
      <c r="A49" s="706" t="s">
        <v>341</v>
      </c>
      <c r="B49" s="706">
        <f>61065.1+664.2-536.5-53819</f>
        <v>7373.7999999999956</v>
      </c>
      <c r="C49" s="706">
        <f>100730.2-90630.8</f>
        <v>10099.399999999994</v>
      </c>
      <c r="D49" s="689"/>
      <c r="E49" s="706">
        <f t="shared" si="0"/>
        <v>-2725.5999999999985</v>
      </c>
      <c r="F49" s="706">
        <f>41850-38855.2</f>
        <v>2994.8000000000029</v>
      </c>
      <c r="G49" s="706">
        <f>-1438.8+1282.1</f>
        <v>-156.70000000000005</v>
      </c>
      <c r="H49" s="706">
        <f t="shared" si="1"/>
        <v>2838.1000000000031</v>
      </c>
      <c r="I49" s="693"/>
      <c r="J49" s="706">
        <f>-1410.3+1297.8</f>
        <v>-112.5</v>
      </c>
      <c r="K49" s="706">
        <f t="shared" si="2"/>
        <v>2725.6000000000031</v>
      </c>
      <c r="L49" s="686"/>
    </row>
    <row r="50" spans="1:256" ht="12.75" hidden="1" customHeight="1">
      <c r="A50" s="706" t="s">
        <v>342</v>
      </c>
      <c r="B50" s="706">
        <f>68278.4+664.2-664.2-61065.1</f>
        <v>7213.2999999999956</v>
      </c>
      <c r="C50" s="706">
        <f>115237.1-100730.2</f>
        <v>14506.900000000009</v>
      </c>
      <c r="D50" s="689"/>
      <c r="E50" s="706">
        <f t="shared" si="0"/>
        <v>-7293.6000000000131</v>
      </c>
      <c r="F50" s="706">
        <f>50000.9-41850</f>
        <v>8150.9000000000015</v>
      </c>
      <c r="G50" s="706">
        <f>-1368.9+1438.8</f>
        <v>69.899999999999864</v>
      </c>
      <c r="H50" s="706">
        <f t="shared" si="1"/>
        <v>8220.8000000000011</v>
      </c>
      <c r="I50" s="693"/>
      <c r="J50" s="706">
        <f>-2337.5+1410.3</f>
        <v>-927.2</v>
      </c>
      <c r="K50" s="706">
        <f t="shared" si="2"/>
        <v>7293.6000000000013</v>
      </c>
      <c r="L50" s="686"/>
    </row>
    <row r="51" spans="1:256" ht="12.75" hidden="1" customHeight="1">
      <c r="A51" s="706" t="s">
        <v>343</v>
      </c>
      <c r="B51" s="706">
        <f>76971+710.1-664.2-68278.4</f>
        <v>8738.5000000000146</v>
      </c>
      <c r="C51" s="706">
        <f>132861.1-115237.1</f>
        <v>17624</v>
      </c>
      <c r="D51" s="689"/>
      <c r="E51" s="706">
        <f t="shared" si="0"/>
        <v>-8885.4999999999854</v>
      </c>
      <c r="F51" s="706">
        <f>57897.6-50000.9</f>
        <v>7896.6999999999971</v>
      </c>
      <c r="G51" s="706">
        <f>-1354.6+1368.9</f>
        <v>14.300000000000182</v>
      </c>
      <c r="H51" s="706">
        <f t="shared" si="1"/>
        <v>7910.9999999999973</v>
      </c>
      <c r="I51" s="693"/>
      <c r="J51" s="706">
        <f>-1363+2337.5</f>
        <v>974.5</v>
      </c>
      <c r="K51" s="706">
        <f t="shared" si="2"/>
        <v>8885.4999999999964</v>
      </c>
      <c r="L51" s="686"/>
    </row>
    <row r="52" spans="1:256" ht="12.75" hidden="1" customHeight="1">
      <c r="A52" s="706" t="s">
        <v>344</v>
      </c>
      <c r="B52" s="688">
        <f>87825+3516.6-710.1-76971</f>
        <v>13660.5</v>
      </c>
      <c r="C52" s="688">
        <f>162309.7-132861.1</f>
        <v>29448.600000000006</v>
      </c>
      <c r="D52" s="689"/>
      <c r="E52" s="706">
        <f t="shared" si="0"/>
        <v>-15788.100000000006</v>
      </c>
      <c r="F52" s="688">
        <f>69917.1-57897.6</f>
        <v>12019.500000000007</v>
      </c>
      <c r="G52" s="688">
        <f>-1683.9+1354.6</f>
        <v>-329.30000000000018</v>
      </c>
      <c r="H52" s="706">
        <f t="shared" si="1"/>
        <v>11690.200000000008</v>
      </c>
      <c r="I52" s="693"/>
      <c r="J52" s="688">
        <f>2734.9+1363</f>
        <v>4097.8999999999996</v>
      </c>
      <c r="K52" s="706">
        <f t="shared" si="2"/>
        <v>15788.100000000008</v>
      </c>
      <c r="L52" s="691"/>
      <c r="M52" s="709"/>
      <c r="N52" s="709"/>
      <c r="O52" s="709"/>
      <c r="P52" s="709"/>
      <c r="Q52" s="709"/>
      <c r="R52" s="709"/>
      <c r="S52" s="709"/>
      <c r="T52" s="709"/>
      <c r="U52" s="709"/>
      <c r="V52" s="709"/>
      <c r="W52" s="709"/>
      <c r="X52" s="709"/>
      <c r="Y52" s="709"/>
      <c r="Z52" s="709"/>
      <c r="AA52" s="709"/>
      <c r="AB52" s="709"/>
      <c r="AC52" s="709"/>
      <c r="AD52" s="709"/>
      <c r="AE52" s="709"/>
      <c r="AF52" s="709"/>
      <c r="AG52" s="709"/>
      <c r="AH52" s="709"/>
      <c r="AI52" s="709"/>
      <c r="AJ52" s="709"/>
      <c r="AK52" s="709"/>
      <c r="AL52" s="709"/>
      <c r="AM52" s="709"/>
      <c r="AN52" s="709"/>
      <c r="AO52" s="709"/>
      <c r="AP52" s="709"/>
      <c r="AQ52" s="709"/>
      <c r="AR52" s="709"/>
      <c r="AS52" s="709"/>
      <c r="AT52" s="709"/>
      <c r="AU52" s="709"/>
      <c r="AV52" s="709"/>
      <c r="AW52" s="709"/>
      <c r="AX52" s="709"/>
      <c r="AY52" s="709"/>
      <c r="AZ52" s="709"/>
      <c r="BA52" s="709"/>
      <c r="BB52" s="709"/>
      <c r="BC52" s="709"/>
      <c r="BD52" s="709"/>
      <c r="BE52" s="709"/>
      <c r="BF52" s="709"/>
      <c r="BG52" s="709"/>
      <c r="BH52" s="709"/>
      <c r="BI52" s="709"/>
      <c r="BJ52" s="709"/>
      <c r="BK52" s="709"/>
      <c r="BL52" s="709"/>
      <c r="BM52" s="709"/>
      <c r="BN52" s="709"/>
      <c r="BO52" s="709"/>
      <c r="BP52" s="709"/>
      <c r="BQ52" s="709"/>
      <c r="BR52" s="709"/>
      <c r="BS52" s="709"/>
      <c r="BT52" s="709"/>
      <c r="BU52" s="709"/>
      <c r="BV52" s="709"/>
      <c r="BW52" s="709"/>
      <c r="BX52" s="709"/>
      <c r="BY52" s="709"/>
      <c r="BZ52" s="709"/>
      <c r="CA52" s="709"/>
      <c r="CB52" s="709"/>
      <c r="CC52" s="709"/>
      <c r="CD52" s="709"/>
      <c r="CE52" s="709"/>
      <c r="CF52" s="709"/>
      <c r="CG52" s="709"/>
      <c r="CH52" s="709"/>
      <c r="CI52" s="709"/>
      <c r="CJ52" s="709"/>
      <c r="CK52" s="709"/>
      <c r="CL52" s="709"/>
      <c r="CM52" s="709"/>
      <c r="CN52" s="709"/>
      <c r="CO52" s="709"/>
      <c r="CP52" s="709"/>
      <c r="CQ52" s="709"/>
      <c r="CR52" s="709"/>
      <c r="CS52" s="709"/>
      <c r="CT52" s="709"/>
      <c r="CU52" s="709"/>
      <c r="CV52" s="709"/>
      <c r="CW52" s="709"/>
      <c r="CX52" s="709"/>
      <c r="CY52" s="709"/>
      <c r="CZ52" s="709"/>
      <c r="DA52" s="709"/>
      <c r="DB52" s="709"/>
      <c r="DC52" s="709"/>
      <c r="DD52" s="709"/>
      <c r="DE52" s="709"/>
      <c r="DF52" s="709"/>
      <c r="DG52" s="709"/>
      <c r="DH52" s="709"/>
      <c r="DI52" s="709"/>
      <c r="DJ52" s="709"/>
      <c r="DK52" s="709"/>
      <c r="DL52" s="709"/>
      <c r="DM52" s="709"/>
      <c r="DN52" s="709"/>
      <c r="DO52" s="709"/>
      <c r="DP52" s="709"/>
      <c r="DQ52" s="709"/>
      <c r="DR52" s="709"/>
      <c r="DS52" s="709"/>
      <c r="DT52" s="709"/>
      <c r="DU52" s="709"/>
      <c r="DV52" s="709"/>
      <c r="DW52" s="709"/>
      <c r="DX52" s="709"/>
      <c r="DY52" s="709"/>
      <c r="DZ52" s="709"/>
      <c r="EA52" s="709"/>
      <c r="EB52" s="709"/>
      <c r="EC52" s="709"/>
      <c r="ED52" s="709"/>
      <c r="EE52" s="709"/>
      <c r="EF52" s="709"/>
      <c r="EG52" s="709"/>
      <c r="EH52" s="709"/>
      <c r="EI52" s="709"/>
      <c r="EJ52" s="709"/>
      <c r="EK52" s="709"/>
      <c r="EL52" s="709"/>
      <c r="EM52" s="709"/>
      <c r="EN52" s="709"/>
      <c r="EO52" s="709"/>
      <c r="EP52" s="709"/>
      <c r="EQ52" s="709"/>
      <c r="ER52" s="709"/>
      <c r="ES52" s="709"/>
      <c r="ET52" s="709"/>
      <c r="EU52" s="709"/>
      <c r="EV52" s="709"/>
      <c r="EW52" s="709"/>
      <c r="EX52" s="709"/>
      <c r="EY52" s="709"/>
      <c r="EZ52" s="709"/>
      <c r="FA52" s="709"/>
      <c r="FB52" s="709"/>
      <c r="FC52" s="709"/>
      <c r="FD52" s="709"/>
      <c r="FE52" s="709"/>
      <c r="FF52" s="709"/>
      <c r="FG52" s="709"/>
      <c r="FH52" s="709"/>
      <c r="FI52" s="709"/>
      <c r="FJ52" s="709"/>
      <c r="FK52" s="709"/>
      <c r="FL52" s="709"/>
      <c r="FM52" s="709"/>
      <c r="FN52" s="709"/>
      <c r="FO52" s="709"/>
      <c r="FP52" s="709"/>
      <c r="FQ52" s="709"/>
      <c r="FR52" s="709"/>
      <c r="FS52" s="709"/>
      <c r="FT52" s="709"/>
      <c r="FU52" s="709"/>
      <c r="FV52" s="709"/>
      <c r="FW52" s="709"/>
      <c r="FX52" s="709"/>
      <c r="FY52" s="709"/>
      <c r="FZ52" s="709"/>
      <c r="GA52" s="709"/>
      <c r="GB52" s="709"/>
      <c r="GC52" s="709"/>
      <c r="GD52" s="709"/>
      <c r="GE52" s="709"/>
      <c r="GF52" s="709"/>
      <c r="GG52" s="709"/>
      <c r="GH52" s="709"/>
      <c r="GI52" s="709"/>
      <c r="GJ52" s="709"/>
      <c r="GK52" s="709"/>
      <c r="GL52" s="709"/>
      <c r="GM52" s="709"/>
      <c r="GN52" s="709"/>
      <c r="GO52" s="709"/>
      <c r="GP52" s="709"/>
      <c r="GQ52" s="709"/>
      <c r="GR52" s="709"/>
      <c r="GS52" s="709"/>
      <c r="GT52" s="709"/>
      <c r="GU52" s="709"/>
      <c r="GV52" s="709"/>
      <c r="GW52" s="709"/>
      <c r="GX52" s="709"/>
      <c r="GY52" s="709"/>
      <c r="GZ52" s="709"/>
      <c r="HA52" s="709"/>
      <c r="HB52" s="709"/>
      <c r="HC52" s="709"/>
      <c r="HD52" s="709"/>
      <c r="HE52" s="709"/>
      <c r="HF52" s="709"/>
      <c r="HG52" s="709"/>
      <c r="HH52" s="709"/>
      <c r="HI52" s="709"/>
      <c r="HJ52" s="709"/>
      <c r="HK52" s="709"/>
      <c r="HL52" s="709"/>
      <c r="HM52" s="709"/>
      <c r="HN52" s="709"/>
      <c r="HO52" s="709"/>
      <c r="HP52" s="709"/>
      <c r="HQ52" s="709"/>
      <c r="HR52" s="709"/>
      <c r="HS52" s="709"/>
      <c r="HT52" s="709"/>
      <c r="HU52" s="709"/>
      <c r="HV52" s="709"/>
      <c r="HW52" s="709"/>
      <c r="HX52" s="709"/>
      <c r="HY52" s="709"/>
      <c r="HZ52" s="709"/>
      <c r="IA52" s="709"/>
      <c r="IB52" s="709"/>
      <c r="IC52" s="709"/>
      <c r="ID52" s="709"/>
      <c r="IE52" s="709"/>
      <c r="IF52" s="709"/>
      <c r="IG52" s="709"/>
      <c r="IH52" s="709"/>
      <c r="II52" s="709"/>
      <c r="IJ52" s="709"/>
      <c r="IK52" s="709"/>
      <c r="IL52" s="709"/>
      <c r="IM52" s="709"/>
      <c r="IN52" s="709"/>
      <c r="IO52" s="709"/>
      <c r="IP52" s="709"/>
      <c r="IQ52" s="709"/>
      <c r="IR52" s="709"/>
      <c r="IS52" s="709"/>
      <c r="IT52" s="709"/>
      <c r="IU52" s="709"/>
      <c r="IV52" s="709"/>
    </row>
    <row r="53" spans="1:256" ht="12.75" hidden="1" customHeight="1">
      <c r="A53" s="687"/>
      <c r="B53" s="688"/>
      <c r="C53" s="688"/>
      <c r="D53" s="689"/>
      <c r="E53" s="706"/>
      <c r="F53" s="688"/>
      <c r="G53" s="688"/>
      <c r="H53" s="706"/>
      <c r="I53" s="693"/>
      <c r="J53" s="688"/>
      <c r="K53" s="706"/>
      <c r="L53" s="691"/>
      <c r="M53" s="709"/>
      <c r="N53" s="709"/>
      <c r="O53" s="709"/>
      <c r="P53" s="709"/>
      <c r="Q53" s="709"/>
      <c r="R53" s="709"/>
      <c r="S53" s="709"/>
      <c r="T53" s="709"/>
      <c r="U53" s="709"/>
      <c r="V53" s="709"/>
      <c r="W53" s="709"/>
      <c r="X53" s="709"/>
      <c r="Y53" s="709"/>
      <c r="Z53" s="709"/>
      <c r="AA53" s="709"/>
      <c r="AB53" s="709"/>
      <c r="AC53" s="709"/>
      <c r="AD53" s="709"/>
      <c r="AE53" s="709"/>
      <c r="AF53" s="709"/>
      <c r="AG53" s="709"/>
      <c r="AH53" s="709"/>
      <c r="AI53" s="709"/>
      <c r="AJ53" s="709"/>
      <c r="AK53" s="709"/>
      <c r="AL53" s="709"/>
      <c r="AM53" s="709"/>
      <c r="AN53" s="709"/>
      <c r="AO53" s="709"/>
      <c r="AP53" s="709"/>
      <c r="AQ53" s="709"/>
      <c r="AR53" s="709"/>
      <c r="AS53" s="709"/>
      <c r="AT53" s="709"/>
      <c r="AU53" s="709"/>
      <c r="AV53" s="709"/>
      <c r="AW53" s="709"/>
      <c r="AX53" s="709"/>
      <c r="AY53" s="709"/>
      <c r="AZ53" s="709"/>
      <c r="BA53" s="709"/>
      <c r="BB53" s="709"/>
      <c r="BC53" s="709"/>
      <c r="BD53" s="709"/>
      <c r="BE53" s="709"/>
      <c r="BF53" s="709"/>
      <c r="BG53" s="709"/>
      <c r="BH53" s="709"/>
      <c r="BI53" s="709"/>
      <c r="BJ53" s="709"/>
      <c r="BK53" s="709"/>
      <c r="BL53" s="709"/>
      <c r="BM53" s="709"/>
      <c r="BN53" s="709"/>
      <c r="BO53" s="709"/>
      <c r="BP53" s="709"/>
      <c r="BQ53" s="709"/>
      <c r="BR53" s="709"/>
      <c r="BS53" s="709"/>
      <c r="BT53" s="709"/>
      <c r="BU53" s="709"/>
      <c r="BV53" s="709"/>
      <c r="BW53" s="709"/>
      <c r="BX53" s="709"/>
      <c r="BY53" s="709"/>
      <c r="BZ53" s="709"/>
      <c r="CA53" s="709"/>
      <c r="CB53" s="709"/>
      <c r="CC53" s="709"/>
      <c r="CD53" s="709"/>
      <c r="CE53" s="709"/>
      <c r="CF53" s="709"/>
      <c r="CG53" s="709"/>
      <c r="CH53" s="709"/>
      <c r="CI53" s="709"/>
      <c r="CJ53" s="709"/>
      <c r="CK53" s="709"/>
      <c r="CL53" s="709"/>
      <c r="CM53" s="709"/>
      <c r="CN53" s="709"/>
      <c r="CO53" s="709"/>
      <c r="CP53" s="709"/>
      <c r="CQ53" s="709"/>
      <c r="CR53" s="709"/>
      <c r="CS53" s="709"/>
      <c r="CT53" s="709"/>
      <c r="CU53" s="709"/>
      <c r="CV53" s="709"/>
      <c r="CW53" s="709"/>
      <c r="CX53" s="709"/>
      <c r="CY53" s="709"/>
      <c r="CZ53" s="709"/>
      <c r="DA53" s="709"/>
      <c r="DB53" s="709"/>
      <c r="DC53" s="709"/>
      <c r="DD53" s="709"/>
      <c r="DE53" s="709"/>
      <c r="DF53" s="709"/>
      <c r="DG53" s="709"/>
      <c r="DH53" s="709"/>
      <c r="DI53" s="709"/>
      <c r="DJ53" s="709"/>
      <c r="DK53" s="709"/>
      <c r="DL53" s="709"/>
      <c r="DM53" s="709"/>
      <c r="DN53" s="709"/>
      <c r="DO53" s="709"/>
      <c r="DP53" s="709"/>
      <c r="DQ53" s="709"/>
      <c r="DR53" s="709"/>
      <c r="DS53" s="709"/>
      <c r="DT53" s="709"/>
      <c r="DU53" s="709"/>
      <c r="DV53" s="709"/>
      <c r="DW53" s="709"/>
      <c r="DX53" s="709"/>
      <c r="DY53" s="709"/>
      <c r="DZ53" s="709"/>
      <c r="EA53" s="709"/>
      <c r="EB53" s="709"/>
      <c r="EC53" s="709"/>
      <c r="ED53" s="709"/>
      <c r="EE53" s="709"/>
      <c r="EF53" s="709"/>
      <c r="EG53" s="709"/>
      <c r="EH53" s="709"/>
      <c r="EI53" s="709"/>
      <c r="EJ53" s="709"/>
      <c r="EK53" s="709"/>
      <c r="EL53" s="709"/>
      <c r="EM53" s="709"/>
      <c r="EN53" s="709"/>
      <c r="EO53" s="709"/>
      <c r="EP53" s="709"/>
      <c r="EQ53" s="709"/>
      <c r="ER53" s="709"/>
      <c r="ES53" s="709"/>
      <c r="ET53" s="709"/>
      <c r="EU53" s="709"/>
      <c r="EV53" s="709"/>
      <c r="EW53" s="709"/>
      <c r="EX53" s="709"/>
      <c r="EY53" s="709"/>
      <c r="EZ53" s="709"/>
      <c r="FA53" s="709"/>
      <c r="FB53" s="709"/>
      <c r="FC53" s="709"/>
      <c r="FD53" s="709"/>
      <c r="FE53" s="709"/>
      <c r="FF53" s="709"/>
      <c r="FG53" s="709"/>
      <c r="FH53" s="709"/>
      <c r="FI53" s="709"/>
      <c r="FJ53" s="709"/>
      <c r="FK53" s="709"/>
      <c r="FL53" s="709"/>
      <c r="FM53" s="709"/>
      <c r="FN53" s="709"/>
      <c r="FO53" s="709"/>
      <c r="FP53" s="709"/>
      <c r="FQ53" s="709"/>
      <c r="FR53" s="709"/>
      <c r="FS53" s="709"/>
      <c r="FT53" s="709"/>
      <c r="FU53" s="709"/>
      <c r="FV53" s="709"/>
      <c r="FW53" s="709"/>
      <c r="FX53" s="709"/>
      <c r="FY53" s="709"/>
      <c r="FZ53" s="709"/>
      <c r="GA53" s="709"/>
      <c r="GB53" s="709"/>
      <c r="GC53" s="709"/>
      <c r="GD53" s="709"/>
      <c r="GE53" s="709"/>
      <c r="GF53" s="709"/>
      <c r="GG53" s="709"/>
      <c r="GH53" s="709"/>
      <c r="GI53" s="709"/>
      <c r="GJ53" s="709"/>
      <c r="GK53" s="709"/>
      <c r="GL53" s="709"/>
      <c r="GM53" s="709"/>
      <c r="GN53" s="709"/>
      <c r="GO53" s="709"/>
      <c r="GP53" s="709"/>
      <c r="GQ53" s="709"/>
      <c r="GR53" s="709"/>
      <c r="GS53" s="709"/>
      <c r="GT53" s="709"/>
      <c r="GU53" s="709"/>
      <c r="GV53" s="709"/>
      <c r="GW53" s="709"/>
      <c r="GX53" s="709"/>
      <c r="GY53" s="709"/>
      <c r="GZ53" s="709"/>
      <c r="HA53" s="709"/>
      <c r="HB53" s="709"/>
      <c r="HC53" s="709"/>
      <c r="HD53" s="709"/>
      <c r="HE53" s="709"/>
      <c r="HF53" s="709"/>
      <c r="HG53" s="709"/>
      <c r="HH53" s="709"/>
      <c r="HI53" s="709"/>
      <c r="HJ53" s="709"/>
      <c r="HK53" s="709"/>
      <c r="HL53" s="709"/>
      <c r="HM53" s="709"/>
      <c r="HN53" s="709"/>
      <c r="HO53" s="709"/>
      <c r="HP53" s="709"/>
      <c r="HQ53" s="709"/>
      <c r="HR53" s="709"/>
      <c r="HS53" s="709"/>
      <c r="HT53" s="709"/>
      <c r="HU53" s="709"/>
      <c r="HV53" s="709"/>
      <c r="HW53" s="709"/>
      <c r="HX53" s="709"/>
      <c r="HY53" s="709"/>
      <c r="HZ53" s="709"/>
      <c r="IA53" s="709"/>
      <c r="IB53" s="709"/>
      <c r="IC53" s="709"/>
      <c r="ID53" s="709"/>
      <c r="IE53" s="709"/>
      <c r="IF53" s="709"/>
      <c r="IG53" s="709"/>
      <c r="IH53" s="709"/>
      <c r="II53" s="709"/>
      <c r="IJ53" s="709"/>
      <c r="IK53" s="709"/>
      <c r="IL53" s="709"/>
      <c r="IM53" s="709"/>
      <c r="IN53" s="709"/>
      <c r="IO53" s="709"/>
      <c r="IP53" s="709"/>
      <c r="IQ53" s="709"/>
      <c r="IR53" s="709"/>
      <c r="IS53" s="709"/>
      <c r="IT53" s="709"/>
      <c r="IU53" s="709"/>
      <c r="IV53" s="709"/>
    </row>
    <row r="54" spans="1:256" ht="12.75" hidden="1" customHeight="1">
      <c r="A54" s="708">
        <v>2001</v>
      </c>
      <c r="B54" s="688"/>
      <c r="C54" s="688"/>
      <c r="D54" s="689"/>
      <c r="E54" s="706"/>
      <c r="F54" s="688"/>
      <c r="G54" s="688"/>
      <c r="H54" s="706"/>
      <c r="I54" s="693"/>
      <c r="J54" s="688"/>
      <c r="K54" s="706"/>
      <c r="L54" s="691"/>
      <c r="M54" s="709"/>
      <c r="N54" s="709"/>
      <c r="O54" s="709"/>
      <c r="P54" s="709"/>
      <c r="Q54" s="709"/>
      <c r="R54" s="709"/>
      <c r="S54" s="709"/>
      <c r="T54" s="709"/>
      <c r="U54" s="709"/>
      <c r="V54" s="709"/>
      <c r="W54" s="709"/>
      <c r="X54" s="709"/>
      <c r="Y54" s="709"/>
      <c r="Z54" s="709"/>
      <c r="AA54" s="709"/>
      <c r="AB54" s="709"/>
      <c r="AC54" s="709"/>
      <c r="AD54" s="709"/>
      <c r="AE54" s="709"/>
      <c r="AF54" s="709"/>
      <c r="AG54" s="709"/>
      <c r="AH54" s="709"/>
      <c r="AI54" s="709"/>
      <c r="AJ54" s="709"/>
      <c r="AK54" s="709"/>
      <c r="AL54" s="709"/>
      <c r="AM54" s="709"/>
      <c r="AN54" s="709"/>
      <c r="AO54" s="709"/>
      <c r="AP54" s="709"/>
      <c r="AQ54" s="709"/>
      <c r="AR54" s="709"/>
      <c r="AS54" s="709"/>
      <c r="AT54" s="709"/>
      <c r="AU54" s="709"/>
      <c r="AV54" s="709"/>
      <c r="AW54" s="709"/>
      <c r="AX54" s="709"/>
      <c r="AY54" s="709"/>
      <c r="AZ54" s="709"/>
      <c r="BA54" s="709"/>
      <c r="BB54" s="709"/>
      <c r="BC54" s="709"/>
      <c r="BD54" s="709"/>
      <c r="BE54" s="709"/>
      <c r="BF54" s="709"/>
      <c r="BG54" s="709"/>
      <c r="BH54" s="709"/>
      <c r="BI54" s="709"/>
      <c r="BJ54" s="709"/>
      <c r="BK54" s="709"/>
      <c r="BL54" s="709"/>
      <c r="BM54" s="709"/>
      <c r="BN54" s="709"/>
      <c r="BO54" s="709"/>
      <c r="BP54" s="709"/>
      <c r="BQ54" s="709"/>
      <c r="BR54" s="709"/>
      <c r="BS54" s="709"/>
      <c r="BT54" s="709"/>
      <c r="BU54" s="709"/>
      <c r="BV54" s="709"/>
      <c r="BW54" s="709"/>
      <c r="BX54" s="709"/>
      <c r="BY54" s="709"/>
      <c r="BZ54" s="709"/>
      <c r="CA54" s="709"/>
      <c r="CB54" s="709"/>
      <c r="CC54" s="709"/>
      <c r="CD54" s="709"/>
      <c r="CE54" s="709"/>
      <c r="CF54" s="709"/>
      <c r="CG54" s="709"/>
      <c r="CH54" s="709"/>
      <c r="CI54" s="709"/>
      <c r="CJ54" s="709"/>
      <c r="CK54" s="709"/>
      <c r="CL54" s="709"/>
      <c r="CM54" s="709"/>
      <c r="CN54" s="709"/>
      <c r="CO54" s="709"/>
      <c r="CP54" s="709"/>
      <c r="CQ54" s="709"/>
      <c r="CR54" s="709"/>
      <c r="CS54" s="709"/>
      <c r="CT54" s="709"/>
      <c r="CU54" s="709"/>
      <c r="CV54" s="709"/>
      <c r="CW54" s="709"/>
      <c r="CX54" s="709"/>
      <c r="CY54" s="709"/>
      <c r="CZ54" s="709"/>
      <c r="DA54" s="709"/>
      <c r="DB54" s="709"/>
      <c r="DC54" s="709"/>
      <c r="DD54" s="709"/>
      <c r="DE54" s="709"/>
      <c r="DF54" s="709"/>
      <c r="DG54" s="709"/>
      <c r="DH54" s="709"/>
      <c r="DI54" s="709"/>
      <c r="DJ54" s="709"/>
      <c r="DK54" s="709"/>
      <c r="DL54" s="709"/>
      <c r="DM54" s="709"/>
      <c r="DN54" s="709"/>
      <c r="DO54" s="709"/>
      <c r="DP54" s="709"/>
      <c r="DQ54" s="709"/>
      <c r="DR54" s="709"/>
      <c r="DS54" s="709"/>
      <c r="DT54" s="709"/>
      <c r="DU54" s="709"/>
      <c r="DV54" s="709"/>
      <c r="DW54" s="709"/>
      <c r="DX54" s="709"/>
      <c r="DY54" s="709"/>
      <c r="DZ54" s="709"/>
      <c r="EA54" s="709"/>
      <c r="EB54" s="709"/>
      <c r="EC54" s="709"/>
      <c r="ED54" s="709"/>
      <c r="EE54" s="709"/>
      <c r="EF54" s="709"/>
      <c r="EG54" s="709"/>
      <c r="EH54" s="709"/>
      <c r="EI54" s="709"/>
      <c r="EJ54" s="709"/>
      <c r="EK54" s="709"/>
      <c r="EL54" s="709"/>
      <c r="EM54" s="709"/>
      <c r="EN54" s="709"/>
      <c r="EO54" s="709"/>
      <c r="EP54" s="709"/>
      <c r="EQ54" s="709"/>
      <c r="ER54" s="709"/>
      <c r="ES54" s="709"/>
      <c r="ET54" s="709"/>
      <c r="EU54" s="709"/>
      <c r="EV54" s="709"/>
      <c r="EW54" s="709"/>
      <c r="EX54" s="709"/>
      <c r="EY54" s="709"/>
      <c r="EZ54" s="709"/>
      <c r="FA54" s="709"/>
      <c r="FB54" s="709"/>
      <c r="FC54" s="709"/>
      <c r="FD54" s="709"/>
      <c r="FE54" s="709"/>
      <c r="FF54" s="709"/>
      <c r="FG54" s="709"/>
      <c r="FH54" s="709"/>
      <c r="FI54" s="709"/>
      <c r="FJ54" s="709"/>
      <c r="FK54" s="709"/>
      <c r="FL54" s="709"/>
      <c r="FM54" s="709"/>
      <c r="FN54" s="709"/>
      <c r="FO54" s="709"/>
      <c r="FP54" s="709"/>
      <c r="FQ54" s="709"/>
      <c r="FR54" s="709"/>
      <c r="FS54" s="709"/>
      <c r="FT54" s="709"/>
      <c r="FU54" s="709"/>
      <c r="FV54" s="709"/>
      <c r="FW54" s="709"/>
      <c r="FX54" s="709"/>
      <c r="FY54" s="709"/>
      <c r="FZ54" s="709"/>
      <c r="GA54" s="709"/>
      <c r="GB54" s="709"/>
      <c r="GC54" s="709"/>
      <c r="GD54" s="709"/>
      <c r="GE54" s="709"/>
      <c r="GF54" s="709"/>
      <c r="GG54" s="709"/>
      <c r="GH54" s="709"/>
      <c r="GI54" s="709"/>
      <c r="GJ54" s="709"/>
      <c r="GK54" s="709"/>
      <c r="GL54" s="709"/>
      <c r="GM54" s="709"/>
      <c r="GN54" s="709"/>
      <c r="GO54" s="709"/>
      <c r="GP54" s="709"/>
      <c r="GQ54" s="709"/>
      <c r="GR54" s="709"/>
      <c r="GS54" s="709"/>
      <c r="GT54" s="709"/>
      <c r="GU54" s="709"/>
      <c r="GV54" s="709"/>
      <c r="GW54" s="709"/>
      <c r="GX54" s="709"/>
      <c r="GY54" s="709"/>
      <c r="GZ54" s="709"/>
      <c r="HA54" s="709"/>
      <c r="HB54" s="709"/>
      <c r="HC54" s="709"/>
      <c r="HD54" s="709"/>
      <c r="HE54" s="709"/>
      <c r="HF54" s="709"/>
      <c r="HG54" s="709"/>
      <c r="HH54" s="709"/>
      <c r="HI54" s="709"/>
      <c r="HJ54" s="709"/>
      <c r="HK54" s="709"/>
      <c r="HL54" s="709"/>
      <c r="HM54" s="709"/>
      <c r="HN54" s="709"/>
      <c r="HO54" s="709"/>
      <c r="HP54" s="709"/>
      <c r="HQ54" s="709"/>
      <c r="HR54" s="709"/>
      <c r="HS54" s="709"/>
      <c r="HT54" s="709"/>
      <c r="HU54" s="709"/>
      <c r="HV54" s="709"/>
      <c r="HW54" s="709"/>
      <c r="HX54" s="709"/>
      <c r="HY54" s="709"/>
      <c r="HZ54" s="709"/>
      <c r="IA54" s="709"/>
      <c r="IB54" s="709"/>
      <c r="IC54" s="709"/>
      <c r="ID54" s="709"/>
      <c r="IE54" s="709"/>
      <c r="IF54" s="709"/>
      <c r="IG54" s="709"/>
      <c r="IH54" s="709"/>
      <c r="II54" s="709"/>
      <c r="IJ54" s="709"/>
      <c r="IK54" s="709"/>
      <c r="IL54" s="709"/>
      <c r="IM54" s="709"/>
      <c r="IN54" s="709"/>
      <c r="IO54" s="709"/>
      <c r="IP54" s="709"/>
      <c r="IQ54" s="709"/>
      <c r="IR54" s="709"/>
      <c r="IS54" s="709"/>
      <c r="IT54" s="709"/>
      <c r="IU54" s="709"/>
      <c r="IV54" s="709"/>
    </row>
    <row r="55" spans="1:256" ht="12.75" hidden="1" customHeight="1">
      <c r="A55" s="708"/>
      <c r="B55" s="688"/>
      <c r="C55" s="688"/>
      <c r="D55" s="689"/>
      <c r="E55" s="706"/>
      <c r="F55" s="688"/>
      <c r="G55" s="688"/>
      <c r="H55" s="706"/>
      <c r="I55" s="693"/>
      <c r="J55" s="688"/>
      <c r="K55" s="706"/>
      <c r="L55" s="691"/>
      <c r="M55" s="709"/>
      <c r="N55" s="709"/>
      <c r="O55" s="709"/>
      <c r="P55" s="709"/>
      <c r="Q55" s="709"/>
      <c r="R55" s="709"/>
      <c r="S55" s="709"/>
      <c r="T55" s="709"/>
      <c r="U55" s="709"/>
      <c r="V55" s="709"/>
      <c r="W55" s="709"/>
      <c r="X55" s="709"/>
      <c r="Y55" s="709"/>
      <c r="Z55" s="709"/>
      <c r="AA55" s="709"/>
      <c r="AB55" s="709"/>
      <c r="AC55" s="709"/>
      <c r="AD55" s="709"/>
      <c r="AE55" s="709"/>
      <c r="AF55" s="709"/>
      <c r="AG55" s="709"/>
      <c r="AH55" s="709"/>
      <c r="AI55" s="709"/>
      <c r="AJ55" s="709"/>
      <c r="AK55" s="709"/>
      <c r="AL55" s="709"/>
      <c r="AM55" s="709"/>
      <c r="AN55" s="709"/>
      <c r="AO55" s="709"/>
      <c r="AP55" s="709"/>
      <c r="AQ55" s="709"/>
      <c r="AR55" s="709"/>
      <c r="AS55" s="709"/>
      <c r="AT55" s="709"/>
      <c r="AU55" s="709"/>
      <c r="AV55" s="709"/>
      <c r="AW55" s="709"/>
      <c r="AX55" s="709"/>
      <c r="AY55" s="709"/>
      <c r="AZ55" s="709"/>
      <c r="BA55" s="709"/>
      <c r="BB55" s="709"/>
      <c r="BC55" s="709"/>
      <c r="BD55" s="709"/>
      <c r="BE55" s="709"/>
      <c r="BF55" s="709"/>
      <c r="BG55" s="709"/>
      <c r="BH55" s="709"/>
      <c r="BI55" s="709"/>
      <c r="BJ55" s="709"/>
      <c r="BK55" s="709"/>
      <c r="BL55" s="709"/>
      <c r="BM55" s="709"/>
      <c r="BN55" s="709"/>
      <c r="BO55" s="709"/>
      <c r="BP55" s="709"/>
      <c r="BQ55" s="709"/>
      <c r="BR55" s="709"/>
      <c r="BS55" s="709"/>
      <c r="BT55" s="709"/>
      <c r="BU55" s="709"/>
      <c r="BV55" s="709"/>
      <c r="BW55" s="709"/>
      <c r="BX55" s="709"/>
      <c r="BY55" s="709"/>
      <c r="BZ55" s="709"/>
      <c r="CA55" s="709"/>
      <c r="CB55" s="709"/>
      <c r="CC55" s="709"/>
      <c r="CD55" s="709"/>
      <c r="CE55" s="709"/>
      <c r="CF55" s="709"/>
      <c r="CG55" s="709"/>
      <c r="CH55" s="709"/>
      <c r="CI55" s="709"/>
      <c r="CJ55" s="709"/>
      <c r="CK55" s="709"/>
      <c r="CL55" s="709"/>
      <c r="CM55" s="709"/>
      <c r="CN55" s="709"/>
      <c r="CO55" s="709"/>
      <c r="CP55" s="709"/>
      <c r="CQ55" s="709"/>
      <c r="CR55" s="709"/>
      <c r="CS55" s="709"/>
      <c r="CT55" s="709"/>
      <c r="CU55" s="709"/>
      <c r="CV55" s="709"/>
      <c r="CW55" s="709"/>
      <c r="CX55" s="709"/>
      <c r="CY55" s="709"/>
      <c r="CZ55" s="709"/>
      <c r="DA55" s="709"/>
      <c r="DB55" s="709"/>
      <c r="DC55" s="709"/>
      <c r="DD55" s="709"/>
      <c r="DE55" s="709"/>
      <c r="DF55" s="709"/>
      <c r="DG55" s="709"/>
      <c r="DH55" s="709"/>
      <c r="DI55" s="709"/>
      <c r="DJ55" s="709"/>
      <c r="DK55" s="709"/>
      <c r="DL55" s="709"/>
      <c r="DM55" s="709"/>
      <c r="DN55" s="709"/>
      <c r="DO55" s="709"/>
      <c r="DP55" s="709"/>
      <c r="DQ55" s="709"/>
      <c r="DR55" s="709"/>
      <c r="DS55" s="709"/>
      <c r="DT55" s="709"/>
      <c r="DU55" s="709"/>
      <c r="DV55" s="709"/>
      <c r="DW55" s="709"/>
      <c r="DX55" s="709"/>
      <c r="DY55" s="709"/>
      <c r="DZ55" s="709"/>
      <c r="EA55" s="709"/>
      <c r="EB55" s="709"/>
      <c r="EC55" s="709"/>
      <c r="ED55" s="709"/>
      <c r="EE55" s="709"/>
      <c r="EF55" s="709"/>
      <c r="EG55" s="709"/>
      <c r="EH55" s="709"/>
      <c r="EI55" s="709"/>
      <c r="EJ55" s="709"/>
      <c r="EK55" s="709"/>
      <c r="EL55" s="709"/>
      <c r="EM55" s="709"/>
      <c r="EN55" s="709"/>
      <c r="EO55" s="709"/>
      <c r="EP55" s="709"/>
      <c r="EQ55" s="709"/>
      <c r="ER55" s="709"/>
      <c r="ES55" s="709"/>
      <c r="ET55" s="709"/>
      <c r="EU55" s="709"/>
      <c r="EV55" s="709"/>
      <c r="EW55" s="709"/>
      <c r="EX55" s="709"/>
      <c r="EY55" s="709"/>
      <c r="EZ55" s="709"/>
      <c r="FA55" s="709"/>
      <c r="FB55" s="709"/>
      <c r="FC55" s="709"/>
      <c r="FD55" s="709"/>
      <c r="FE55" s="709"/>
      <c r="FF55" s="709"/>
      <c r="FG55" s="709"/>
      <c r="FH55" s="709"/>
      <c r="FI55" s="709"/>
      <c r="FJ55" s="709"/>
      <c r="FK55" s="709"/>
      <c r="FL55" s="709"/>
      <c r="FM55" s="709"/>
      <c r="FN55" s="709"/>
      <c r="FO55" s="709"/>
      <c r="FP55" s="709"/>
      <c r="FQ55" s="709"/>
      <c r="FR55" s="709"/>
      <c r="FS55" s="709"/>
      <c r="FT55" s="709"/>
      <c r="FU55" s="709"/>
      <c r="FV55" s="709"/>
      <c r="FW55" s="709"/>
      <c r="FX55" s="709"/>
      <c r="FY55" s="709"/>
      <c r="FZ55" s="709"/>
      <c r="GA55" s="709"/>
      <c r="GB55" s="709"/>
      <c r="GC55" s="709"/>
      <c r="GD55" s="709"/>
      <c r="GE55" s="709"/>
      <c r="GF55" s="709"/>
      <c r="GG55" s="709"/>
      <c r="GH55" s="709"/>
      <c r="GI55" s="709"/>
      <c r="GJ55" s="709"/>
      <c r="GK55" s="709"/>
      <c r="GL55" s="709"/>
      <c r="GM55" s="709"/>
      <c r="GN55" s="709"/>
      <c r="GO55" s="709"/>
      <c r="GP55" s="709"/>
      <c r="GQ55" s="709"/>
      <c r="GR55" s="709"/>
      <c r="GS55" s="709"/>
      <c r="GT55" s="709"/>
      <c r="GU55" s="709"/>
      <c r="GV55" s="709"/>
      <c r="GW55" s="709"/>
      <c r="GX55" s="709"/>
      <c r="GY55" s="709"/>
      <c r="GZ55" s="709"/>
      <c r="HA55" s="709"/>
      <c r="HB55" s="709"/>
      <c r="HC55" s="709"/>
      <c r="HD55" s="709"/>
      <c r="HE55" s="709"/>
      <c r="HF55" s="709"/>
      <c r="HG55" s="709"/>
      <c r="HH55" s="709"/>
      <c r="HI55" s="709"/>
      <c r="HJ55" s="709"/>
      <c r="HK55" s="709"/>
      <c r="HL55" s="709"/>
      <c r="HM55" s="709"/>
      <c r="HN55" s="709"/>
      <c r="HO55" s="709"/>
      <c r="HP55" s="709"/>
      <c r="HQ55" s="709"/>
      <c r="HR55" s="709"/>
      <c r="HS55" s="709"/>
      <c r="HT55" s="709"/>
      <c r="HU55" s="709"/>
      <c r="HV55" s="709"/>
      <c r="HW55" s="709"/>
      <c r="HX55" s="709"/>
      <c r="HY55" s="709"/>
      <c r="HZ55" s="709"/>
      <c r="IA55" s="709"/>
      <c r="IB55" s="709"/>
      <c r="IC55" s="709"/>
      <c r="ID55" s="709"/>
      <c r="IE55" s="709"/>
      <c r="IF55" s="709"/>
      <c r="IG55" s="709"/>
      <c r="IH55" s="709"/>
      <c r="II55" s="709"/>
      <c r="IJ55" s="709"/>
      <c r="IK55" s="709"/>
      <c r="IL55" s="709"/>
      <c r="IM55" s="709"/>
      <c r="IN55" s="709"/>
      <c r="IO55" s="709"/>
      <c r="IP55" s="709"/>
      <c r="IQ55" s="709"/>
      <c r="IR55" s="709"/>
      <c r="IS55" s="709"/>
      <c r="IT55" s="709"/>
      <c r="IU55" s="709"/>
      <c r="IV55" s="709"/>
    </row>
    <row r="56" spans="1:256" ht="12.75" hidden="1" customHeight="1">
      <c r="A56" s="706" t="s">
        <v>345</v>
      </c>
      <c r="B56" s="688">
        <v>7520.5</v>
      </c>
      <c r="C56" s="688">
        <v>15728.1</v>
      </c>
      <c r="D56" s="689"/>
      <c r="E56" s="706">
        <f t="shared" ref="E56:E65" si="3">B56-C56</f>
        <v>-8207.6</v>
      </c>
      <c r="F56" s="688">
        <v>8191.3</v>
      </c>
      <c r="G56" s="688">
        <v>51.7</v>
      </c>
      <c r="H56" s="706">
        <f t="shared" ref="H56:H67" si="4">G56+F56</f>
        <v>8243</v>
      </c>
      <c r="I56" s="693"/>
      <c r="J56" s="688">
        <v>-35.4</v>
      </c>
      <c r="K56" s="706">
        <f t="shared" ref="K56:K61" si="5">J56+H56</f>
        <v>8207.6</v>
      </c>
      <c r="L56" s="691"/>
      <c r="M56" s="709"/>
      <c r="N56" s="709"/>
      <c r="O56" s="709"/>
      <c r="P56" s="709"/>
      <c r="Q56" s="709"/>
      <c r="R56" s="709"/>
      <c r="S56" s="709"/>
      <c r="T56" s="709"/>
      <c r="U56" s="709"/>
      <c r="V56" s="709"/>
      <c r="W56" s="709"/>
      <c r="X56" s="709"/>
      <c r="Y56" s="709"/>
      <c r="Z56" s="709"/>
      <c r="AA56" s="709"/>
      <c r="AB56" s="709"/>
      <c r="AC56" s="709"/>
      <c r="AD56" s="709"/>
      <c r="AE56" s="709"/>
      <c r="AF56" s="709"/>
      <c r="AG56" s="709"/>
      <c r="AH56" s="709"/>
      <c r="AI56" s="709"/>
      <c r="AJ56" s="709"/>
      <c r="AK56" s="709"/>
      <c r="AL56" s="709"/>
      <c r="AM56" s="709"/>
      <c r="AN56" s="709"/>
      <c r="AO56" s="709"/>
      <c r="AP56" s="709"/>
      <c r="AQ56" s="709"/>
      <c r="AR56" s="709"/>
      <c r="AS56" s="709"/>
      <c r="AT56" s="709"/>
      <c r="AU56" s="709"/>
      <c r="AV56" s="709"/>
      <c r="AW56" s="709"/>
      <c r="AX56" s="709"/>
      <c r="AY56" s="709"/>
      <c r="AZ56" s="709"/>
      <c r="BA56" s="709"/>
      <c r="BB56" s="709"/>
      <c r="BC56" s="709"/>
      <c r="BD56" s="709"/>
      <c r="BE56" s="709"/>
      <c r="BF56" s="709"/>
      <c r="BG56" s="709"/>
      <c r="BH56" s="709"/>
      <c r="BI56" s="709"/>
      <c r="BJ56" s="709"/>
      <c r="BK56" s="709"/>
      <c r="BL56" s="709"/>
      <c r="BM56" s="709"/>
      <c r="BN56" s="709"/>
      <c r="BO56" s="709"/>
      <c r="BP56" s="709"/>
      <c r="BQ56" s="709"/>
      <c r="BR56" s="709"/>
      <c r="BS56" s="709"/>
      <c r="BT56" s="709"/>
      <c r="BU56" s="709"/>
      <c r="BV56" s="709"/>
      <c r="BW56" s="709"/>
      <c r="BX56" s="709"/>
      <c r="BY56" s="709"/>
      <c r="BZ56" s="709"/>
      <c r="CA56" s="709"/>
      <c r="CB56" s="709"/>
      <c r="CC56" s="709"/>
      <c r="CD56" s="709"/>
      <c r="CE56" s="709"/>
      <c r="CF56" s="709"/>
      <c r="CG56" s="709"/>
      <c r="CH56" s="709"/>
      <c r="CI56" s="709"/>
      <c r="CJ56" s="709"/>
      <c r="CK56" s="709"/>
      <c r="CL56" s="709"/>
      <c r="CM56" s="709"/>
      <c r="CN56" s="709"/>
      <c r="CO56" s="709"/>
      <c r="CP56" s="709"/>
      <c r="CQ56" s="709"/>
      <c r="CR56" s="709"/>
      <c r="CS56" s="709"/>
      <c r="CT56" s="709"/>
      <c r="CU56" s="709"/>
      <c r="CV56" s="709"/>
      <c r="CW56" s="709"/>
      <c r="CX56" s="709"/>
      <c r="CY56" s="709"/>
      <c r="CZ56" s="709"/>
      <c r="DA56" s="709"/>
      <c r="DB56" s="709"/>
      <c r="DC56" s="709"/>
      <c r="DD56" s="709"/>
      <c r="DE56" s="709"/>
      <c r="DF56" s="709"/>
      <c r="DG56" s="709"/>
      <c r="DH56" s="709"/>
      <c r="DI56" s="709"/>
      <c r="DJ56" s="709"/>
      <c r="DK56" s="709"/>
      <c r="DL56" s="709"/>
      <c r="DM56" s="709"/>
      <c r="DN56" s="709"/>
      <c r="DO56" s="709"/>
      <c r="DP56" s="709"/>
      <c r="DQ56" s="709"/>
      <c r="DR56" s="709"/>
      <c r="DS56" s="709"/>
      <c r="DT56" s="709"/>
      <c r="DU56" s="709"/>
      <c r="DV56" s="709"/>
      <c r="DW56" s="709"/>
      <c r="DX56" s="709"/>
      <c r="DY56" s="709"/>
      <c r="DZ56" s="709"/>
      <c r="EA56" s="709"/>
      <c r="EB56" s="709"/>
      <c r="EC56" s="709"/>
      <c r="ED56" s="709"/>
      <c r="EE56" s="709"/>
      <c r="EF56" s="709"/>
      <c r="EG56" s="709"/>
      <c r="EH56" s="709"/>
      <c r="EI56" s="709"/>
      <c r="EJ56" s="709"/>
      <c r="EK56" s="709"/>
      <c r="EL56" s="709"/>
      <c r="EM56" s="709"/>
      <c r="EN56" s="709"/>
      <c r="EO56" s="709"/>
      <c r="EP56" s="709"/>
      <c r="EQ56" s="709"/>
      <c r="ER56" s="709"/>
      <c r="ES56" s="709"/>
      <c r="ET56" s="709"/>
      <c r="EU56" s="709"/>
      <c r="EV56" s="709"/>
      <c r="EW56" s="709"/>
      <c r="EX56" s="709"/>
      <c r="EY56" s="709"/>
      <c r="EZ56" s="709"/>
      <c r="FA56" s="709"/>
      <c r="FB56" s="709"/>
      <c r="FC56" s="709"/>
      <c r="FD56" s="709"/>
      <c r="FE56" s="709"/>
      <c r="FF56" s="709"/>
      <c r="FG56" s="709"/>
      <c r="FH56" s="709"/>
      <c r="FI56" s="709"/>
      <c r="FJ56" s="709"/>
      <c r="FK56" s="709"/>
      <c r="FL56" s="709"/>
      <c r="FM56" s="709"/>
      <c r="FN56" s="709"/>
      <c r="FO56" s="709"/>
      <c r="FP56" s="709"/>
      <c r="FQ56" s="709"/>
      <c r="FR56" s="709"/>
      <c r="FS56" s="709"/>
      <c r="FT56" s="709"/>
      <c r="FU56" s="709"/>
      <c r="FV56" s="709"/>
      <c r="FW56" s="709"/>
      <c r="FX56" s="709"/>
      <c r="FY56" s="709"/>
      <c r="FZ56" s="709"/>
      <c r="GA56" s="709"/>
      <c r="GB56" s="709"/>
      <c r="GC56" s="709"/>
      <c r="GD56" s="709"/>
      <c r="GE56" s="709"/>
      <c r="GF56" s="709"/>
      <c r="GG56" s="709"/>
      <c r="GH56" s="709"/>
      <c r="GI56" s="709"/>
      <c r="GJ56" s="709"/>
      <c r="GK56" s="709"/>
      <c r="GL56" s="709"/>
      <c r="GM56" s="709"/>
      <c r="GN56" s="709"/>
      <c r="GO56" s="709"/>
      <c r="GP56" s="709"/>
      <c r="GQ56" s="709"/>
      <c r="GR56" s="709"/>
      <c r="GS56" s="709"/>
      <c r="GT56" s="709"/>
      <c r="GU56" s="709"/>
      <c r="GV56" s="709"/>
      <c r="GW56" s="709"/>
      <c r="GX56" s="709"/>
      <c r="GY56" s="709"/>
      <c r="GZ56" s="709"/>
      <c r="HA56" s="709"/>
      <c r="HB56" s="709"/>
      <c r="HC56" s="709"/>
      <c r="HD56" s="709"/>
      <c r="HE56" s="709"/>
      <c r="HF56" s="709"/>
      <c r="HG56" s="709"/>
      <c r="HH56" s="709"/>
      <c r="HI56" s="709"/>
      <c r="HJ56" s="709"/>
      <c r="HK56" s="709"/>
      <c r="HL56" s="709"/>
      <c r="HM56" s="709"/>
      <c r="HN56" s="709"/>
      <c r="HO56" s="709"/>
      <c r="HP56" s="709"/>
      <c r="HQ56" s="709"/>
      <c r="HR56" s="709"/>
      <c r="HS56" s="709"/>
      <c r="HT56" s="709"/>
      <c r="HU56" s="709"/>
      <c r="HV56" s="709"/>
      <c r="HW56" s="709"/>
      <c r="HX56" s="709"/>
      <c r="HY56" s="709"/>
      <c r="HZ56" s="709"/>
      <c r="IA56" s="709"/>
      <c r="IB56" s="709"/>
      <c r="IC56" s="709"/>
      <c r="ID56" s="709"/>
      <c r="IE56" s="709"/>
      <c r="IF56" s="709"/>
      <c r="IG56" s="709"/>
      <c r="IH56" s="709"/>
      <c r="II56" s="709"/>
      <c r="IJ56" s="709"/>
      <c r="IK56" s="709"/>
      <c r="IL56" s="709"/>
      <c r="IM56" s="709"/>
      <c r="IN56" s="709"/>
      <c r="IO56" s="709"/>
      <c r="IP56" s="709"/>
      <c r="IQ56" s="709"/>
      <c r="IR56" s="709"/>
      <c r="IS56" s="709"/>
      <c r="IT56" s="709"/>
      <c r="IU56" s="709"/>
      <c r="IV56" s="709"/>
    </row>
    <row r="57" spans="1:256" ht="12.75" hidden="1" customHeight="1">
      <c r="A57" s="706" t="s">
        <v>334</v>
      </c>
      <c r="B57" s="688">
        <f>16160.4+0.7-7520.5</f>
        <v>8640.6</v>
      </c>
      <c r="C57" s="688">
        <f>28107.7-15728.1</f>
        <v>12379.6</v>
      </c>
      <c r="D57" s="689"/>
      <c r="E57" s="706">
        <f t="shared" si="3"/>
        <v>-3739</v>
      </c>
      <c r="F57" s="688">
        <f>10629.3-8191.3</f>
        <v>2437.9999999999991</v>
      </c>
      <c r="G57" s="688">
        <f>1452.1-51.7</f>
        <v>1400.3999999999999</v>
      </c>
      <c r="H57" s="706">
        <f t="shared" si="4"/>
        <v>3838.3999999999987</v>
      </c>
      <c r="I57" s="693"/>
      <c r="J57" s="688">
        <f>-134.8+35.4</f>
        <v>-99.4</v>
      </c>
      <c r="K57" s="706">
        <f t="shared" si="5"/>
        <v>3738.9999999999986</v>
      </c>
      <c r="L57" s="691"/>
      <c r="M57" s="709"/>
      <c r="N57" s="709"/>
      <c r="O57" s="709"/>
      <c r="P57" s="709"/>
      <c r="Q57" s="709"/>
      <c r="R57" s="709"/>
      <c r="S57" s="709"/>
      <c r="T57" s="709"/>
      <c r="U57" s="709"/>
      <c r="V57" s="709"/>
      <c r="W57" s="709"/>
      <c r="X57" s="709"/>
      <c r="Y57" s="709"/>
      <c r="Z57" s="709"/>
      <c r="AA57" s="709"/>
      <c r="AB57" s="709"/>
      <c r="AC57" s="709"/>
      <c r="AD57" s="709"/>
      <c r="AE57" s="709"/>
      <c r="AF57" s="709"/>
      <c r="AG57" s="709"/>
      <c r="AH57" s="709"/>
      <c r="AI57" s="709"/>
      <c r="AJ57" s="709"/>
      <c r="AK57" s="709"/>
      <c r="AL57" s="709"/>
      <c r="AM57" s="709"/>
      <c r="AN57" s="709"/>
      <c r="AO57" s="709"/>
      <c r="AP57" s="709"/>
      <c r="AQ57" s="709"/>
      <c r="AR57" s="709"/>
      <c r="AS57" s="709"/>
      <c r="AT57" s="709"/>
      <c r="AU57" s="709"/>
      <c r="AV57" s="709"/>
      <c r="AW57" s="709"/>
      <c r="AX57" s="709"/>
      <c r="AY57" s="709"/>
      <c r="AZ57" s="709"/>
      <c r="BA57" s="709"/>
      <c r="BB57" s="709"/>
      <c r="BC57" s="709"/>
      <c r="BD57" s="709"/>
      <c r="BE57" s="709"/>
      <c r="BF57" s="709"/>
      <c r="BG57" s="709"/>
      <c r="BH57" s="709"/>
      <c r="BI57" s="709"/>
      <c r="BJ57" s="709"/>
      <c r="BK57" s="709"/>
      <c r="BL57" s="709"/>
      <c r="BM57" s="709"/>
      <c r="BN57" s="709"/>
      <c r="BO57" s="709"/>
      <c r="BP57" s="709"/>
      <c r="BQ57" s="709"/>
      <c r="BR57" s="709"/>
      <c r="BS57" s="709"/>
      <c r="BT57" s="709"/>
      <c r="BU57" s="709"/>
      <c r="BV57" s="709"/>
      <c r="BW57" s="709"/>
      <c r="BX57" s="709"/>
      <c r="BY57" s="709"/>
      <c r="BZ57" s="709"/>
      <c r="CA57" s="709"/>
      <c r="CB57" s="709"/>
      <c r="CC57" s="709"/>
      <c r="CD57" s="709"/>
      <c r="CE57" s="709"/>
      <c r="CF57" s="709"/>
      <c r="CG57" s="709"/>
      <c r="CH57" s="709"/>
      <c r="CI57" s="709"/>
      <c r="CJ57" s="709"/>
      <c r="CK57" s="709"/>
      <c r="CL57" s="709"/>
      <c r="CM57" s="709"/>
      <c r="CN57" s="709"/>
      <c r="CO57" s="709"/>
      <c r="CP57" s="709"/>
      <c r="CQ57" s="709"/>
      <c r="CR57" s="709"/>
      <c r="CS57" s="709"/>
      <c r="CT57" s="709"/>
      <c r="CU57" s="709"/>
      <c r="CV57" s="709"/>
      <c r="CW57" s="709"/>
      <c r="CX57" s="709"/>
      <c r="CY57" s="709"/>
      <c r="CZ57" s="709"/>
      <c r="DA57" s="709"/>
      <c r="DB57" s="709"/>
      <c r="DC57" s="709"/>
      <c r="DD57" s="709"/>
      <c r="DE57" s="709"/>
      <c r="DF57" s="709"/>
      <c r="DG57" s="709"/>
      <c r="DH57" s="709"/>
      <c r="DI57" s="709"/>
      <c r="DJ57" s="709"/>
      <c r="DK57" s="709"/>
      <c r="DL57" s="709"/>
      <c r="DM57" s="709"/>
      <c r="DN57" s="709"/>
      <c r="DO57" s="709"/>
      <c r="DP57" s="709"/>
      <c r="DQ57" s="709"/>
      <c r="DR57" s="709"/>
      <c r="DS57" s="709"/>
      <c r="DT57" s="709"/>
      <c r="DU57" s="709"/>
      <c r="DV57" s="709"/>
      <c r="DW57" s="709"/>
      <c r="DX57" s="709"/>
      <c r="DY57" s="709"/>
      <c r="DZ57" s="709"/>
      <c r="EA57" s="709"/>
      <c r="EB57" s="709"/>
      <c r="EC57" s="709"/>
      <c r="ED57" s="709"/>
      <c r="EE57" s="709"/>
      <c r="EF57" s="709"/>
      <c r="EG57" s="709"/>
      <c r="EH57" s="709"/>
      <c r="EI57" s="709"/>
      <c r="EJ57" s="709"/>
      <c r="EK57" s="709"/>
      <c r="EL57" s="709"/>
      <c r="EM57" s="709"/>
      <c r="EN57" s="709"/>
      <c r="EO57" s="709"/>
      <c r="EP57" s="709"/>
      <c r="EQ57" s="709"/>
      <c r="ER57" s="709"/>
      <c r="ES57" s="709"/>
      <c r="ET57" s="709"/>
      <c r="EU57" s="709"/>
      <c r="EV57" s="709"/>
      <c r="EW57" s="709"/>
      <c r="EX57" s="709"/>
      <c r="EY57" s="709"/>
      <c r="EZ57" s="709"/>
      <c r="FA57" s="709"/>
      <c r="FB57" s="709"/>
      <c r="FC57" s="709"/>
      <c r="FD57" s="709"/>
      <c r="FE57" s="709"/>
      <c r="FF57" s="709"/>
      <c r="FG57" s="709"/>
      <c r="FH57" s="709"/>
      <c r="FI57" s="709"/>
      <c r="FJ57" s="709"/>
      <c r="FK57" s="709"/>
      <c r="FL57" s="709"/>
      <c r="FM57" s="709"/>
      <c r="FN57" s="709"/>
      <c r="FO57" s="709"/>
      <c r="FP57" s="709"/>
      <c r="FQ57" s="709"/>
      <c r="FR57" s="709"/>
      <c r="FS57" s="709"/>
      <c r="FT57" s="709"/>
      <c r="FU57" s="709"/>
      <c r="FV57" s="709"/>
      <c r="FW57" s="709"/>
      <c r="FX57" s="709"/>
      <c r="FY57" s="709"/>
      <c r="FZ57" s="709"/>
      <c r="GA57" s="709"/>
      <c r="GB57" s="709"/>
      <c r="GC57" s="709"/>
      <c r="GD57" s="709"/>
      <c r="GE57" s="709"/>
      <c r="GF57" s="709"/>
      <c r="GG57" s="709"/>
      <c r="GH57" s="709"/>
      <c r="GI57" s="709"/>
      <c r="GJ57" s="709"/>
      <c r="GK57" s="709"/>
      <c r="GL57" s="709"/>
      <c r="GM57" s="709"/>
      <c r="GN57" s="709"/>
      <c r="GO57" s="709"/>
      <c r="GP57" s="709"/>
      <c r="GQ57" s="709"/>
      <c r="GR57" s="709"/>
      <c r="GS57" s="709"/>
      <c r="GT57" s="709"/>
      <c r="GU57" s="709"/>
      <c r="GV57" s="709"/>
      <c r="GW57" s="709"/>
      <c r="GX57" s="709"/>
      <c r="GY57" s="709"/>
      <c r="GZ57" s="709"/>
      <c r="HA57" s="709"/>
      <c r="HB57" s="709"/>
      <c r="HC57" s="709"/>
      <c r="HD57" s="709"/>
      <c r="HE57" s="709"/>
      <c r="HF57" s="709"/>
      <c r="HG57" s="709"/>
      <c r="HH57" s="709"/>
      <c r="HI57" s="709"/>
      <c r="HJ57" s="709"/>
      <c r="HK57" s="709"/>
      <c r="HL57" s="709"/>
      <c r="HM57" s="709"/>
      <c r="HN57" s="709"/>
      <c r="HO57" s="709"/>
      <c r="HP57" s="709"/>
      <c r="HQ57" s="709"/>
      <c r="HR57" s="709"/>
      <c r="HS57" s="709"/>
      <c r="HT57" s="709"/>
      <c r="HU57" s="709"/>
      <c r="HV57" s="709"/>
      <c r="HW57" s="709"/>
      <c r="HX57" s="709"/>
      <c r="HY57" s="709"/>
      <c r="HZ57" s="709"/>
      <c r="IA57" s="709"/>
      <c r="IB57" s="709"/>
      <c r="IC57" s="709"/>
      <c r="ID57" s="709"/>
      <c r="IE57" s="709"/>
      <c r="IF57" s="709"/>
      <c r="IG57" s="709"/>
      <c r="IH57" s="709"/>
      <c r="II57" s="709"/>
      <c r="IJ57" s="709"/>
      <c r="IK57" s="709"/>
      <c r="IL57" s="709"/>
      <c r="IM57" s="709"/>
      <c r="IN57" s="709"/>
      <c r="IO57" s="709"/>
      <c r="IP57" s="709"/>
      <c r="IQ57" s="709"/>
      <c r="IR57" s="709"/>
      <c r="IS57" s="709"/>
      <c r="IT57" s="709"/>
      <c r="IU57" s="709"/>
      <c r="IV57" s="709"/>
    </row>
    <row r="58" spans="1:256" ht="12.75" hidden="1" customHeight="1">
      <c r="A58" s="706" t="s">
        <v>335</v>
      </c>
      <c r="B58" s="688">
        <f>29706.9+143.3-16160.4-0.7</f>
        <v>13689.1</v>
      </c>
      <c r="C58" s="706">
        <f>39262.7-28107.7</f>
        <v>11154.999999999996</v>
      </c>
      <c r="D58" s="689"/>
      <c r="E58" s="706">
        <f t="shared" si="3"/>
        <v>2534.100000000004</v>
      </c>
      <c r="F58" s="688">
        <f>8207.7-10629.3</f>
        <v>-2421.5999999999985</v>
      </c>
      <c r="G58" s="706">
        <f>1485.1-1452.1</f>
        <v>33</v>
      </c>
      <c r="H58" s="706">
        <f t="shared" si="4"/>
        <v>-2388.5999999999985</v>
      </c>
      <c r="I58" s="693"/>
      <c r="J58" s="688">
        <f>-280.3+134.8</f>
        <v>-145.5</v>
      </c>
      <c r="K58" s="706">
        <f t="shared" si="5"/>
        <v>-2534.0999999999985</v>
      </c>
      <c r="L58" s="691"/>
      <c r="M58" s="709"/>
      <c r="N58" s="709"/>
      <c r="O58" s="709"/>
      <c r="P58" s="709"/>
      <c r="Q58" s="709"/>
      <c r="R58" s="709"/>
      <c r="S58" s="709"/>
      <c r="T58" s="709"/>
      <c r="U58" s="709"/>
      <c r="V58" s="709"/>
      <c r="W58" s="709"/>
      <c r="X58" s="709"/>
      <c r="Y58" s="709"/>
      <c r="Z58" s="709"/>
      <c r="AA58" s="709"/>
      <c r="AB58" s="709"/>
      <c r="AC58" s="709"/>
      <c r="AD58" s="709"/>
      <c r="AE58" s="709"/>
      <c r="AF58" s="709"/>
      <c r="AG58" s="709"/>
      <c r="AH58" s="709"/>
      <c r="AI58" s="709"/>
      <c r="AJ58" s="709"/>
      <c r="AK58" s="709"/>
      <c r="AL58" s="709"/>
      <c r="AM58" s="709"/>
      <c r="AN58" s="709"/>
      <c r="AO58" s="709"/>
      <c r="AP58" s="709"/>
      <c r="AQ58" s="709"/>
      <c r="AR58" s="709"/>
      <c r="AS58" s="709"/>
      <c r="AT58" s="709"/>
      <c r="AU58" s="709"/>
      <c r="AV58" s="709"/>
      <c r="AW58" s="709"/>
      <c r="AX58" s="709"/>
      <c r="AY58" s="709"/>
      <c r="AZ58" s="709"/>
      <c r="BA58" s="709"/>
      <c r="BB58" s="709"/>
      <c r="BC58" s="709"/>
      <c r="BD58" s="709"/>
      <c r="BE58" s="709"/>
      <c r="BF58" s="709"/>
      <c r="BG58" s="709"/>
      <c r="BH58" s="709"/>
      <c r="BI58" s="709"/>
      <c r="BJ58" s="709"/>
      <c r="BK58" s="709"/>
      <c r="BL58" s="709"/>
      <c r="BM58" s="709"/>
      <c r="BN58" s="709"/>
      <c r="BO58" s="709"/>
      <c r="BP58" s="709"/>
      <c r="BQ58" s="709"/>
      <c r="BR58" s="709"/>
      <c r="BS58" s="709"/>
      <c r="BT58" s="709"/>
      <c r="BU58" s="709"/>
      <c r="BV58" s="709"/>
      <c r="BW58" s="709"/>
      <c r="BX58" s="709"/>
      <c r="BY58" s="709"/>
      <c r="BZ58" s="709"/>
      <c r="CA58" s="709"/>
      <c r="CB58" s="709"/>
      <c r="CC58" s="709"/>
      <c r="CD58" s="709"/>
      <c r="CE58" s="709"/>
      <c r="CF58" s="709"/>
      <c r="CG58" s="709"/>
      <c r="CH58" s="709"/>
      <c r="CI58" s="709"/>
      <c r="CJ58" s="709"/>
      <c r="CK58" s="709"/>
      <c r="CL58" s="709"/>
      <c r="CM58" s="709"/>
      <c r="CN58" s="709"/>
      <c r="CO58" s="709"/>
      <c r="CP58" s="709"/>
      <c r="CQ58" s="709"/>
      <c r="CR58" s="709"/>
      <c r="CS58" s="709"/>
      <c r="CT58" s="709"/>
      <c r="CU58" s="709"/>
      <c r="CV58" s="709"/>
      <c r="CW58" s="709"/>
      <c r="CX58" s="709"/>
      <c r="CY58" s="709"/>
      <c r="CZ58" s="709"/>
      <c r="DA58" s="709"/>
      <c r="DB58" s="709"/>
      <c r="DC58" s="709"/>
      <c r="DD58" s="709"/>
      <c r="DE58" s="709"/>
      <c r="DF58" s="709"/>
      <c r="DG58" s="709"/>
      <c r="DH58" s="709"/>
      <c r="DI58" s="709"/>
      <c r="DJ58" s="709"/>
      <c r="DK58" s="709"/>
      <c r="DL58" s="709"/>
      <c r="DM58" s="709"/>
      <c r="DN58" s="709"/>
      <c r="DO58" s="709"/>
      <c r="DP58" s="709"/>
      <c r="DQ58" s="709"/>
      <c r="DR58" s="709"/>
      <c r="DS58" s="709"/>
      <c r="DT58" s="709"/>
      <c r="DU58" s="709"/>
      <c r="DV58" s="709"/>
      <c r="DW58" s="709"/>
      <c r="DX58" s="709"/>
      <c r="DY58" s="709"/>
      <c r="DZ58" s="709"/>
      <c r="EA58" s="709"/>
      <c r="EB58" s="709"/>
      <c r="EC58" s="709"/>
      <c r="ED58" s="709"/>
      <c r="EE58" s="709"/>
      <c r="EF58" s="709"/>
      <c r="EG58" s="709"/>
      <c r="EH58" s="709"/>
      <c r="EI58" s="709"/>
      <c r="EJ58" s="709"/>
      <c r="EK58" s="709"/>
      <c r="EL58" s="709"/>
      <c r="EM58" s="709"/>
      <c r="EN58" s="709"/>
      <c r="EO58" s="709"/>
      <c r="EP58" s="709"/>
      <c r="EQ58" s="709"/>
      <c r="ER58" s="709"/>
      <c r="ES58" s="709"/>
      <c r="ET58" s="709"/>
      <c r="EU58" s="709"/>
      <c r="EV58" s="709"/>
      <c r="EW58" s="709"/>
      <c r="EX58" s="709"/>
      <c r="EY58" s="709"/>
      <c r="EZ58" s="709"/>
      <c r="FA58" s="709"/>
      <c r="FB58" s="709"/>
      <c r="FC58" s="709"/>
      <c r="FD58" s="709"/>
      <c r="FE58" s="709"/>
      <c r="FF58" s="709"/>
      <c r="FG58" s="709"/>
      <c r="FH58" s="709"/>
      <c r="FI58" s="709"/>
      <c r="FJ58" s="709"/>
      <c r="FK58" s="709"/>
      <c r="FL58" s="709"/>
      <c r="FM58" s="709"/>
      <c r="FN58" s="709"/>
      <c r="FO58" s="709"/>
      <c r="FP58" s="709"/>
      <c r="FQ58" s="709"/>
      <c r="FR58" s="709"/>
      <c r="FS58" s="709"/>
      <c r="FT58" s="709"/>
      <c r="FU58" s="709"/>
      <c r="FV58" s="709"/>
      <c r="FW58" s="709"/>
      <c r="FX58" s="709"/>
      <c r="FY58" s="709"/>
      <c r="FZ58" s="709"/>
      <c r="GA58" s="709"/>
      <c r="GB58" s="709"/>
      <c r="GC58" s="709"/>
      <c r="GD58" s="709"/>
      <c r="GE58" s="709"/>
      <c r="GF58" s="709"/>
      <c r="GG58" s="709"/>
      <c r="GH58" s="709"/>
      <c r="GI58" s="709"/>
      <c r="GJ58" s="709"/>
      <c r="GK58" s="709"/>
      <c r="GL58" s="709"/>
      <c r="GM58" s="709"/>
      <c r="GN58" s="709"/>
      <c r="GO58" s="709"/>
      <c r="GP58" s="709"/>
      <c r="GQ58" s="709"/>
      <c r="GR58" s="709"/>
      <c r="GS58" s="709"/>
      <c r="GT58" s="709"/>
      <c r="GU58" s="709"/>
      <c r="GV58" s="709"/>
      <c r="GW58" s="709"/>
      <c r="GX58" s="709"/>
      <c r="GY58" s="709"/>
      <c r="GZ58" s="709"/>
      <c r="HA58" s="709"/>
      <c r="HB58" s="709"/>
      <c r="HC58" s="709"/>
      <c r="HD58" s="709"/>
      <c r="HE58" s="709"/>
      <c r="HF58" s="709"/>
      <c r="HG58" s="709"/>
      <c r="HH58" s="709"/>
      <c r="HI58" s="709"/>
      <c r="HJ58" s="709"/>
      <c r="HK58" s="709"/>
      <c r="HL58" s="709"/>
      <c r="HM58" s="709"/>
      <c r="HN58" s="709"/>
      <c r="HO58" s="709"/>
      <c r="HP58" s="709"/>
      <c r="HQ58" s="709"/>
      <c r="HR58" s="709"/>
      <c r="HS58" s="709"/>
      <c r="HT58" s="709"/>
      <c r="HU58" s="709"/>
      <c r="HV58" s="709"/>
      <c r="HW58" s="709"/>
      <c r="HX58" s="709"/>
      <c r="HY58" s="709"/>
      <c r="HZ58" s="709"/>
      <c r="IA58" s="709"/>
      <c r="IB58" s="709"/>
      <c r="IC58" s="709"/>
      <c r="ID58" s="709"/>
      <c r="IE58" s="709"/>
      <c r="IF58" s="709"/>
      <c r="IG58" s="709"/>
      <c r="IH58" s="709"/>
      <c r="II58" s="709"/>
      <c r="IJ58" s="709"/>
      <c r="IK58" s="709"/>
      <c r="IL58" s="709"/>
      <c r="IM58" s="709"/>
      <c r="IN58" s="709"/>
      <c r="IO58" s="709"/>
      <c r="IP58" s="709"/>
      <c r="IQ58" s="709"/>
      <c r="IR58" s="709"/>
      <c r="IS58" s="709"/>
      <c r="IT58" s="709"/>
      <c r="IU58" s="709"/>
      <c r="IV58" s="709"/>
    </row>
    <row r="59" spans="1:256" ht="12.75" hidden="1" customHeight="1">
      <c r="A59" s="706" t="s">
        <v>336</v>
      </c>
      <c r="B59" s="688">
        <f>37655.1-29706.9</f>
        <v>7948.1999999999971</v>
      </c>
      <c r="C59" s="706">
        <f>49656.3-39262.7</f>
        <v>10393.600000000006</v>
      </c>
      <c r="D59" s="689"/>
      <c r="E59" s="706">
        <f t="shared" si="3"/>
        <v>-2445.4000000000087</v>
      </c>
      <c r="F59" s="688">
        <f>11218.9-8207.7</f>
        <v>3011.1999999999989</v>
      </c>
      <c r="G59" s="706">
        <f>980.4-1485.1</f>
        <v>-504.69999999999993</v>
      </c>
      <c r="H59" s="706">
        <f t="shared" si="4"/>
        <v>2506.4999999999991</v>
      </c>
      <c r="I59" s="693"/>
      <c r="J59" s="688">
        <f>-341.4+280.3</f>
        <v>-61.099999999999966</v>
      </c>
      <c r="K59" s="706">
        <f t="shared" si="5"/>
        <v>2445.3999999999992</v>
      </c>
      <c r="L59" s="691"/>
      <c r="M59" s="709"/>
      <c r="N59" s="709"/>
      <c r="O59" s="709"/>
      <c r="P59" s="709"/>
      <c r="Q59" s="709"/>
      <c r="R59" s="709"/>
      <c r="S59" s="709"/>
      <c r="T59" s="709"/>
      <c r="U59" s="709"/>
      <c r="V59" s="709"/>
      <c r="W59" s="709"/>
      <c r="X59" s="709"/>
      <c r="Y59" s="709"/>
      <c r="Z59" s="709"/>
      <c r="AA59" s="709"/>
      <c r="AB59" s="709"/>
      <c r="AC59" s="709"/>
      <c r="AD59" s="709"/>
      <c r="AE59" s="709"/>
      <c r="AF59" s="709"/>
      <c r="AG59" s="709"/>
      <c r="AH59" s="709"/>
      <c r="AI59" s="709"/>
      <c r="AJ59" s="709"/>
      <c r="AK59" s="709"/>
      <c r="AL59" s="709"/>
      <c r="AM59" s="709"/>
      <c r="AN59" s="709"/>
      <c r="AO59" s="709"/>
      <c r="AP59" s="709"/>
      <c r="AQ59" s="709"/>
      <c r="AR59" s="709"/>
      <c r="AS59" s="709"/>
      <c r="AT59" s="709"/>
      <c r="AU59" s="709"/>
      <c r="AV59" s="709"/>
      <c r="AW59" s="709"/>
      <c r="AX59" s="709"/>
      <c r="AY59" s="709"/>
      <c r="AZ59" s="709"/>
      <c r="BA59" s="709"/>
      <c r="BB59" s="709"/>
      <c r="BC59" s="709"/>
      <c r="BD59" s="709"/>
      <c r="BE59" s="709"/>
      <c r="BF59" s="709"/>
      <c r="BG59" s="709"/>
      <c r="BH59" s="709"/>
      <c r="BI59" s="709"/>
      <c r="BJ59" s="709"/>
      <c r="BK59" s="709"/>
      <c r="BL59" s="709"/>
      <c r="BM59" s="709"/>
      <c r="BN59" s="709"/>
      <c r="BO59" s="709"/>
      <c r="BP59" s="709"/>
      <c r="BQ59" s="709"/>
      <c r="BR59" s="709"/>
      <c r="BS59" s="709"/>
      <c r="BT59" s="709"/>
      <c r="BU59" s="709"/>
      <c r="BV59" s="709"/>
      <c r="BW59" s="709"/>
      <c r="BX59" s="709"/>
      <c r="BY59" s="709"/>
      <c r="BZ59" s="709"/>
      <c r="CA59" s="709"/>
      <c r="CB59" s="709"/>
      <c r="CC59" s="709"/>
      <c r="CD59" s="709"/>
      <c r="CE59" s="709"/>
      <c r="CF59" s="709"/>
      <c r="CG59" s="709"/>
      <c r="CH59" s="709"/>
      <c r="CI59" s="709"/>
      <c r="CJ59" s="709"/>
      <c r="CK59" s="709"/>
      <c r="CL59" s="709"/>
      <c r="CM59" s="709"/>
      <c r="CN59" s="709"/>
      <c r="CO59" s="709"/>
      <c r="CP59" s="709"/>
      <c r="CQ59" s="709"/>
      <c r="CR59" s="709"/>
      <c r="CS59" s="709"/>
      <c r="CT59" s="709"/>
      <c r="CU59" s="709"/>
      <c r="CV59" s="709"/>
      <c r="CW59" s="709"/>
      <c r="CX59" s="709"/>
      <c r="CY59" s="709"/>
      <c r="CZ59" s="709"/>
      <c r="DA59" s="709"/>
      <c r="DB59" s="709"/>
      <c r="DC59" s="709"/>
      <c r="DD59" s="709"/>
      <c r="DE59" s="709"/>
      <c r="DF59" s="709"/>
      <c r="DG59" s="709"/>
      <c r="DH59" s="709"/>
      <c r="DI59" s="709"/>
      <c r="DJ59" s="709"/>
      <c r="DK59" s="709"/>
      <c r="DL59" s="709"/>
      <c r="DM59" s="709"/>
      <c r="DN59" s="709"/>
      <c r="DO59" s="709"/>
      <c r="DP59" s="709"/>
      <c r="DQ59" s="709"/>
      <c r="DR59" s="709"/>
      <c r="DS59" s="709"/>
      <c r="DT59" s="709"/>
      <c r="DU59" s="709"/>
      <c r="DV59" s="709"/>
      <c r="DW59" s="709"/>
      <c r="DX59" s="709"/>
      <c r="DY59" s="709"/>
      <c r="DZ59" s="709"/>
      <c r="EA59" s="709"/>
      <c r="EB59" s="709"/>
      <c r="EC59" s="709"/>
      <c r="ED59" s="709"/>
      <c r="EE59" s="709"/>
      <c r="EF59" s="709"/>
      <c r="EG59" s="709"/>
      <c r="EH59" s="709"/>
      <c r="EI59" s="709"/>
      <c r="EJ59" s="709"/>
      <c r="EK59" s="709"/>
      <c r="EL59" s="709"/>
      <c r="EM59" s="709"/>
      <c r="EN59" s="709"/>
      <c r="EO59" s="709"/>
      <c r="EP59" s="709"/>
      <c r="EQ59" s="709"/>
      <c r="ER59" s="709"/>
      <c r="ES59" s="709"/>
      <c r="ET59" s="709"/>
      <c r="EU59" s="709"/>
      <c r="EV59" s="709"/>
      <c r="EW59" s="709"/>
      <c r="EX59" s="709"/>
      <c r="EY59" s="709"/>
      <c r="EZ59" s="709"/>
      <c r="FA59" s="709"/>
      <c r="FB59" s="709"/>
      <c r="FC59" s="709"/>
      <c r="FD59" s="709"/>
      <c r="FE59" s="709"/>
      <c r="FF59" s="709"/>
      <c r="FG59" s="709"/>
      <c r="FH59" s="709"/>
      <c r="FI59" s="709"/>
      <c r="FJ59" s="709"/>
      <c r="FK59" s="709"/>
      <c r="FL59" s="709"/>
      <c r="FM59" s="709"/>
      <c r="FN59" s="709"/>
      <c r="FO59" s="709"/>
      <c r="FP59" s="709"/>
      <c r="FQ59" s="709"/>
      <c r="FR59" s="709"/>
      <c r="FS59" s="709"/>
      <c r="FT59" s="709"/>
      <c r="FU59" s="709"/>
      <c r="FV59" s="709"/>
      <c r="FW59" s="709"/>
      <c r="FX59" s="709"/>
      <c r="FY59" s="709"/>
      <c r="FZ59" s="709"/>
      <c r="GA59" s="709"/>
      <c r="GB59" s="709"/>
      <c r="GC59" s="709"/>
      <c r="GD59" s="709"/>
      <c r="GE59" s="709"/>
      <c r="GF59" s="709"/>
      <c r="GG59" s="709"/>
      <c r="GH59" s="709"/>
      <c r="GI59" s="709"/>
      <c r="GJ59" s="709"/>
      <c r="GK59" s="709"/>
      <c r="GL59" s="709"/>
      <c r="GM59" s="709"/>
      <c r="GN59" s="709"/>
      <c r="GO59" s="709"/>
      <c r="GP59" s="709"/>
      <c r="GQ59" s="709"/>
      <c r="GR59" s="709"/>
      <c r="GS59" s="709"/>
      <c r="GT59" s="709"/>
      <c r="GU59" s="709"/>
      <c r="GV59" s="709"/>
      <c r="GW59" s="709"/>
      <c r="GX59" s="709"/>
      <c r="GY59" s="709"/>
      <c r="GZ59" s="709"/>
      <c r="HA59" s="709"/>
      <c r="HB59" s="709"/>
      <c r="HC59" s="709"/>
      <c r="HD59" s="709"/>
      <c r="HE59" s="709"/>
      <c r="HF59" s="709"/>
      <c r="HG59" s="709"/>
      <c r="HH59" s="709"/>
      <c r="HI59" s="709"/>
      <c r="HJ59" s="709"/>
      <c r="HK59" s="709"/>
      <c r="HL59" s="709"/>
      <c r="HM59" s="709"/>
      <c r="HN59" s="709"/>
      <c r="HO59" s="709"/>
      <c r="HP59" s="709"/>
      <c r="HQ59" s="709"/>
      <c r="HR59" s="709"/>
      <c r="HS59" s="709"/>
      <c r="HT59" s="709"/>
      <c r="HU59" s="709"/>
      <c r="HV59" s="709"/>
      <c r="HW59" s="709"/>
      <c r="HX59" s="709"/>
      <c r="HY59" s="709"/>
      <c r="HZ59" s="709"/>
      <c r="IA59" s="709"/>
      <c r="IB59" s="709"/>
      <c r="IC59" s="709"/>
      <c r="ID59" s="709"/>
      <c r="IE59" s="709"/>
      <c r="IF59" s="709"/>
      <c r="IG59" s="709"/>
      <c r="IH59" s="709"/>
      <c r="II59" s="709"/>
      <c r="IJ59" s="709"/>
      <c r="IK59" s="709"/>
      <c r="IL59" s="709"/>
      <c r="IM59" s="709"/>
      <c r="IN59" s="709"/>
      <c r="IO59" s="709"/>
      <c r="IP59" s="709"/>
      <c r="IQ59" s="709"/>
      <c r="IR59" s="709"/>
      <c r="IS59" s="709"/>
      <c r="IT59" s="709"/>
      <c r="IU59" s="709"/>
      <c r="IV59" s="709"/>
    </row>
    <row r="60" spans="1:256" ht="12.75" hidden="1" customHeight="1">
      <c r="A60" s="706" t="s">
        <v>337</v>
      </c>
      <c r="B60" s="688">
        <v>8630.6</v>
      </c>
      <c r="C60" s="706">
        <v>13967</v>
      </c>
      <c r="D60" s="689"/>
      <c r="E60" s="706">
        <f t="shared" si="3"/>
        <v>-5336.4</v>
      </c>
      <c r="F60" s="688">
        <v>5334.2</v>
      </c>
      <c r="G60" s="706">
        <v>48</v>
      </c>
      <c r="H60" s="706">
        <f t="shared" si="4"/>
        <v>5382.2</v>
      </c>
      <c r="I60" s="693"/>
      <c r="J60" s="688">
        <v>-45.8</v>
      </c>
      <c r="K60" s="706">
        <f t="shared" si="5"/>
        <v>5336.4</v>
      </c>
      <c r="L60" s="691"/>
      <c r="M60" s="709"/>
      <c r="N60" s="709"/>
      <c r="O60" s="709"/>
      <c r="P60" s="709"/>
      <c r="Q60" s="709"/>
      <c r="R60" s="709"/>
      <c r="S60" s="709"/>
      <c r="T60" s="709"/>
      <c r="U60" s="709"/>
      <c r="V60" s="709"/>
      <c r="W60" s="709"/>
      <c r="X60" s="709"/>
      <c r="Y60" s="709"/>
      <c r="Z60" s="709"/>
      <c r="AA60" s="709"/>
      <c r="AB60" s="709"/>
      <c r="AC60" s="709"/>
      <c r="AD60" s="709"/>
      <c r="AE60" s="709"/>
      <c r="AF60" s="709"/>
      <c r="AG60" s="709"/>
      <c r="AH60" s="709"/>
      <c r="AI60" s="709"/>
      <c r="AJ60" s="709"/>
      <c r="AK60" s="709"/>
      <c r="AL60" s="709"/>
      <c r="AM60" s="709"/>
      <c r="AN60" s="709"/>
      <c r="AO60" s="709"/>
      <c r="AP60" s="709"/>
      <c r="AQ60" s="709"/>
      <c r="AR60" s="709"/>
      <c r="AS60" s="709"/>
      <c r="AT60" s="709"/>
      <c r="AU60" s="709"/>
      <c r="AV60" s="709"/>
      <c r="AW60" s="709"/>
      <c r="AX60" s="709"/>
      <c r="AY60" s="709"/>
      <c r="AZ60" s="709"/>
      <c r="BA60" s="709"/>
      <c r="BB60" s="709"/>
      <c r="BC60" s="709"/>
      <c r="BD60" s="709"/>
      <c r="BE60" s="709"/>
      <c r="BF60" s="709"/>
      <c r="BG60" s="709"/>
      <c r="BH60" s="709"/>
      <c r="BI60" s="709"/>
      <c r="BJ60" s="709"/>
      <c r="BK60" s="709"/>
      <c r="BL60" s="709"/>
      <c r="BM60" s="709"/>
      <c r="BN60" s="709"/>
      <c r="BO60" s="709"/>
      <c r="BP60" s="709"/>
      <c r="BQ60" s="709"/>
      <c r="BR60" s="709"/>
      <c r="BS60" s="709"/>
      <c r="BT60" s="709"/>
      <c r="BU60" s="709"/>
      <c r="BV60" s="709"/>
      <c r="BW60" s="709"/>
      <c r="BX60" s="709"/>
      <c r="BY60" s="709"/>
      <c r="BZ60" s="709"/>
      <c r="CA60" s="709"/>
      <c r="CB60" s="709"/>
      <c r="CC60" s="709"/>
      <c r="CD60" s="709"/>
      <c r="CE60" s="709"/>
      <c r="CF60" s="709"/>
      <c r="CG60" s="709"/>
      <c r="CH60" s="709"/>
      <c r="CI60" s="709"/>
      <c r="CJ60" s="709"/>
      <c r="CK60" s="709"/>
      <c r="CL60" s="709"/>
      <c r="CM60" s="709"/>
      <c r="CN60" s="709"/>
      <c r="CO60" s="709"/>
      <c r="CP60" s="709"/>
      <c r="CQ60" s="709"/>
      <c r="CR60" s="709"/>
      <c r="CS60" s="709"/>
      <c r="CT60" s="709"/>
      <c r="CU60" s="709"/>
      <c r="CV60" s="709"/>
      <c r="CW60" s="709"/>
      <c r="CX60" s="709"/>
      <c r="CY60" s="709"/>
      <c r="CZ60" s="709"/>
      <c r="DA60" s="709"/>
      <c r="DB60" s="709"/>
      <c r="DC60" s="709"/>
      <c r="DD60" s="709"/>
      <c r="DE60" s="709"/>
      <c r="DF60" s="709"/>
      <c r="DG60" s="709"/>
      <c r="DH60" s="709"/>
      <c r="DI60" s="709"/>
      <c r="DJ60" s="709"/>
      <c r="DK60" s="709"/>
      <c r="DL60" s="709"/>
      <c r="DM60" s="709"/>
      <c r="DN60" s="709"/>
      <c r="DO60" s="709"/>
      <c r="DP60" s="709"/>
      <c r="DQ60" s="709"/>
      <c r="DR60" s="709"/>
      <c r="DS60" s="709"/>
      <c r="DT60" s="709"/>
      <c r="DU60" s="709"/>
      <c r="DV60" s="709"/>
      <c r="DW60" s="709"/>
      <c r="DX60" s="709"/>
      <c r="DY60" s="709"/>
      <c r="DZ60" s="709"/>
      <c r="EA60" s="709"/>
      <c r="EB60" s="709"/>
      <c r="EC60" s="709"/>
      <c r="ED60" s="709"/>
      <c r="EE60" s="709"/>
      <c r="EF60" s="709"/>
      <c r="EG60" s="709"/>
      <c r="EH60" s="709"/>
      <c r="EI60" s="709"/>
      <c r="EJ60" s="709"/>
      <c r="EK60" s="709"/>
      <c r="EL60" s="709"/>
      <c r="EM60" s="709"/>
      <c r="EN60" s="709"/>
      <c r="EO60" s="709"/>
      <c r="EP60" s="709"/>
      <c r="EQ60" s="709"/>
      <c r="ER60" s="709"/>
      <c r="ES60" s="709"/>
      <c r="ET60" s="709"/>
      <c r="EU60" s="709"/>
      <c r="EV60" s="709"/>
      <c r="EW60" s="709"/>
      <c r="EX60" s="709"/>
      <c r="EY60" s="709"/>
      <c r="EZ60" s="709"/>
      <c r="FA60" s="709"/>
      <c r="FB60" s="709"/>
      <c r="FC60" s="709"/>
      <c r="FD60" s="709"/>
      <c r="FE60" s="709"/>
      <c r="FF60" s="709"/>
      <c r="FG60" s="709"/>
      <c r="FH60" s="709"/>
      <c r="FI60" s="709"/>
      <c r="FJ60" s="709"/>
      <c r="FK60" s="709"/>
      <c r="FL60" s="709"/>
      <c r="FM60" s="709"/>
      <c r="FN60" s="709"/>
      <c r="FO60" s="709"/>
      <c r="FP60" s="709"/>
      <c r="FQ60" s="709"/>
      <c r="FR60" s="709"/>
      <c r="FS60" s="709"/>
      <c r="FT60" s="709"/>
      <c r="FU60" s="709"/>
      <c r="FV60" s="709"/>
      <c r="FW60" s="709"/>
      <c r="FX60" s="709"/>
      <c r="FY60" s="709"/>
      <c r="FZ60" s="709"/>
      <c r="GA60" s="709"/>
      <c r="GB60" s="709"/>
      <c r="GC60" s="709"/>
      <c r="GD60" s="709"/>
      <c r="GE60" s="709"/>
      <c r="GF60" s="709"/>
      <c r="GG60" s="709"/>
      <c r="GH60" s="709"/>
      <c r="GI60" s="709"/>
      <c r="GJ60" s="709"/>
      <c r="GK60" s="709"/>
      <c r="GL60" s="709"/>
      <c r="GM60" s="709"/>
      <c r="GN60" s="709"/>
      <c r="GO60" s="709"/>
      <c r="GP60" s="709"/>
      <c r="GQ60" s="709"/>
      <c r="GR60" s="709"/>
      <c r="GS60" s="709"/>
      <c r="GT60" s="709"/>
      <c r="GU60" s="709"/>
      <c r="GV60" s="709"/>
      <c r="GW60" s="709"/>
      <c r="GX60" s="709"/>
      <c r="GY60" s="709"/>
      <c r="GZ60" s="709"/>
      <c r="HA60" s="709"/>
      <c r="HB60" s="709"/>
      <c r="HC60" s="709"/>
      <c r="HD60" s="709"/>
      <c r="HE60" s="709"/>
      <c r="HF60" s="709"/>
      <c r="HG60" s="709"/>
      <c r="HH60" s="709"/>
      <c r="HI60" s="709"/>
      <c r="HJ60" s="709"/>
      <c r="HK60" s="709"/>
      <c r="HL60" s="709"/>
      <c r="HM60" s="709"/>
      <c r="HN60" s="709"/>
      <c r="HO60" s="709"/>
      <c r="HP60" s="709"/>
      <c r="HQ60" s="709"/>
      <c r="HR60" s="709"/>
      <c r="HS60" s="709"/>
      <c r="HT60" s="709"/>
      <c r="HU60" s="709"/>
      <c r="HV60" s="709"/>
      <c r="HW60" s="709"/>
      <c r="HX60" s="709"/>
      <c r="HY60" s="709"/>
      <c r="HZ60" s="709"/>
      <c r="IA60" s="709"/>
      <c r="IB60" s="709"/>
      <c r="IC60" s="709"/>
      <c r="ID60" s="709"/>
      <c r="IE60" s="709"/>
      <c r="IF60" s="709"/>
      <c r="IG60" s="709"/>
      <c r="IH60" s="709"/>
      <c r="II60" s="709"/>
      <c r="IJ60" s="709"/>
      <c r="IK60" s="709"/>
      <c r="IL60" s="709"/>
      <c r="IM60" s="709"/>
      <c r="IN60" s="709"/>
      <c r="IO60" s="709"/>
      <c r="IP60" s="709"/>
      <c r="IQ60" s="709"/>
      <c r="IR60" s="709"/>
      <c r="IS60" s="709"/>
      <c r="IT60" s="709"/>
      <c r="IU60" s="709"/>
      <c r="IV60" s="709"/>
    </row>
    <row r="61" spans="1:256" ht="12.75" hidden="1" customHeight="1">
      <c r="A61" s="706" t="s">
        <v>338</v>
      </c>
      <c r="B61" s="688">
        <f>9289.7+229.9</f>
        <v>9519.6</v>
      </c>
      <c r="C61" s="706">
        <v>12355</v>
      </c>
      <c r="D61" s="689"/>
      <c r="E61" s="706">
        <f t="shared" si="3"/>
        <v>-2835.3999999999996</v>
      </c>
      <c r="F61" s="688">
        <v>3165.1</v>
      </c>
      <c r="G61" s="706">
        <v>-308.5</v>
      </c>
      <c r="H61" s="706">
        <f t="shared" si="4"/>
        <v>2856.6</v>
      </c>
      <c r="I61" s="693"/>
      <c r="J61" s="688">
        <v>-21.2</v>
      </c>
      <c r="K61" s="706">
        <f t="shared" si="5"/>
        <v>2835.4</v>
      </c>
      <c r="L61" s="691"/>
      <c r="M61" s="709"/>
      <c r="N61" s="709"/>
      <c r="O61" s="709"/>
      <c r="P61" s="709"/>
      <c r="Q61" s="709"/>
      <c r="R61" s="709"/>
      <c r="S61" s="709"/>
      <c r="T61" s="709"/>
      <c r="U61" s="709"/>
      <c r="V61" s="709"/>
      <c r="W61" s="709"/>
      <c r="X61" s="709"/>
      <c r="Y61" s="709"/>
      <c r="Z61" s="709"/>
      <c r="AA61" s="709"/>
      <c r="AB61" s="709"/>
      <c r="AC61" s="709"/>
      <c r="AD61" s="709"/>
      <c r="AE61" s="709"/>
      <c r="AF61" s="709"/>
      <c r="AG61" s="709"/>
      <c r="AH61" s="709"/>
      <c r="AI61" s="709"/>
      <c r="AJ61" s="709"/>
      <c r="AK61" s="709"/>
      <c r="AL61" s="709"/>
      <c r="AM61" s="709"/>
      <c r="AN61" s="709"/>
      <c r="AO61" s="709"/>
      <c r="AP61" s="709"/>
      <c r="AQ61" s="709"/>
      <c r="AR61" s="709"/>
      <c r="AS61" s="709"/>
      <c r="AT61" s="709"/>
      <c r="AU61" s="709"/>
      <c r="AV61" s="709"/>
      <c r="AW61" s="709"/>
      <c r="AX61" s="709"/>
      <c r="AY61" s="709"/>
      <c r="AZ61" s="709"/>
      <c r="BA61" s="709"/>
      <c r="BB61" s="709"/>
      <c r="BC61" s="709"/>
      <c r="BD61" s="709"/>
      <c r="BE61" s="709"/>
      <c r="BF61" s="709"/>
      <c r="BG61" s="709"/>
      <c r="BH61" s="709"/>
      <c r="BI61" s="709"/>
      <c r="BJ61" s="709"/>
      <c r="BK61" s="709"/>
      <c r="BL61" s="709"/>
      <c r="BM61" s="709"/>
      <c r="BN61" s="709"/>
      <c r="BO61" s="709"/>
      <c r="BP61" s="709"/>
      <c r="BQ61" s="709"/>
      <c r="BR61" s="709"/>
      <c r="BS61" s="709"/>
      <c r="BT61" s="709"/>
      <c r="BU61" s="709"/>
      <c r="BV61" s="709"/>
      <c r="BW61" s="709"/>
      <c r="BX61" s="709"/>
      <c r="BY61" s="709"/>
      <c r="BZ61" s="709"/>
      <c r="CA61" s="709"/>
      <c r="CB61" s="709"/>
      <c r="CC61" s="709"/>
      <c r="CD61" s="709"/>
      <c r="CE61" s="709"/>
      <c r="CF61" s="709"/>
      <c r="CG61" s="709"/>
      <c r="CH61" s="709"/>
      <c r="CI61" s="709"/>
      <c r="CJ61" s="709"/>
      <c r="CK61" s="709"/>
      <c r="CL61" s="709"/>
      <c r="CM61" s="709"/>
      <c r="CN61" s="709"/>
      <c r="CO61" s="709"/>
      <c r="CP61" s="709"/>
      <c r="CQ61" s="709"/>
      <c r="CR61" s="709"/>
      <c r="CS61" s="709"/>
      <c r="CT61" s="709"/>
      <c r="CU61" s="709"/>
      <c r="CV61" s="709"/>
      <c r="CW61" s="709"/>
      <c r="CX61" s="709"/>
      <c r="CY61" s="709"/>
      <c r="CZ61" s="709"/>
      <c r="DA61" s="709"/>
      <c r="DB61" s="709"/>
      <c r="DC61" s="709"/>
      <c r="DD61" s="709"/>
      <c r="DE61" s="709"/>
      <c r="DF61" s="709"/>
      <c r="DG61" s="709"/>
      <c r="DH61" s="709"/>
      <c r="DI61" s="709"/>
      <c r="DJ61" s="709"/>
      <c r="DK61" s="709"/>
      <c r="DL61" s="709"/>
      <c r="DM61" s="709"/>
      <c r="DN61" s="709"/>
      <c r="DO61" s="709"/>
      <c r="DP61" s="709"/>
      <c r="DQ61" s="709"/>
      <c r="DR61" s="709"/>
      <c r="DS61" s="709"/>
      <c r="DT61" s="709"/>
      <c r="DU61" s="709"/>
      <c r="DV61" s="709"/>
      <c r="DW61" s="709"/>
      <c r="DX61" s="709"/>
      <c r="DY61" s="709"/>
      <c r="DZ61" s="709"/>
      <c r="EA61" s="709"/>
      <c r="EB61" s="709"/>
      <c r="EC61" s="709"/>
      <c r="ED61" s="709"/>
      <c r="EE61" s="709"/>
      <c r="EF61" s="709"/>
      <c r="EG61" s="709"/>
      <c r="EH61" s="709"/>
      <c r="EI61" s="709"/>
      <c r="EJ61" s="709"/>
      <c r="EK61" s="709"/>
      <c r="EL61" s="709"/>
      <c r="EM61" s="709"/>
      <c r="EN61" s="709"/>
      <c r="EO61" s="709"/>
      <c r="EP61" s="709"/>
      <c r="EQ61" s="709"/>
      <c r="ER61" s="709"/>
      <c r="ES61" s="709"/>
      <c r="ET61" s="709"/>
      <c r="EU61" s="709"/>
      <c r="EV61" s="709"/>
      <c r="EW61" s="709"/>
      <c r="EX61" s="709"/>
      <c r="EY61" s="709"/>
      <c r="EZ61" s="709"/>
      <c r="FA61" s="709"/>
      <c r="FB61" s="709"/>
      <c r="FC61" s="709"/>
      <c r="FD61" s="709"/>
      <c r="FE61" s="709"/>
      <c r="FF61" s="709"/>
      <c r="FG61" s="709"/>
      <c r="FH61" s="709"/>
      <c r="FI61" s="709"/>
      <c r="FJ61" s="709"/>
      <c r="FK61" s="709"/>
      <c r="FL61" s="709"/>
      <c r="FM61" s="709"/>
      <c r="FN61" s="709"/>
      <c r="FO61" s="709"/>
      <c r="FP61" s="709"/>
      <c r="FQ61" s="709"/>
      <c r="FR61" s="709"/>
      <c r="FS61" s="709"/>
      <c r="FT61" s="709"/>
      <c r="FU61" s="709"/>
      <c r="FV61" s="709"/>
      <c r="FW61" s="709"/>
      <c r="FX61" s="709"/>
      <c r="FY61" s="709"/>
      <c r="FZ61" s="709"/>
      <c r="GA61" s="709"/>
      <c r="GB61" s="709"/>
      <c r="GC61" s="709"/>
      <c r="GD61" s="709"/>
      <c r="GE61" s="709"/>
      <c r="GF61" s="709"/>
      <c r="GG61" s="709"/>
      <c r="GH61" s="709"/>
      <c r="GI61" s="709"/>
      <c r="GJ61" s="709"/>
      <c r="GK61" s="709"/>
      <c r="GL61" s="709"/>
      <c r="GM61" s="709"/>
      <c r="GN61" s="709"/>
      <c r="GO61" s="709"/>
      <c r="GP61" s="709"/>
      <c r="GQ61" s="709"/>
      <c r="GR61" s="709"/>
      <c r="GS61" s="709"/>
      <c r="GT61" s="709"/>
      <c r="GU61" s="709"/>
      <c r="GV61" s="709"/>
      <c r="GW61" s="709"/>
      <c r="GX61" s="709"/>
      <c r="GY61" s="709"/>
      <c r="GZ61" s="709"/>
      <c r="HA61" s="709"/>
      <c r="HB61" s="709"/>
      <c r="HC61" s="709"/>
      <c r="HD61" s="709"/>
      <c r="HE61" s="709"/>
      <c r="HF61" s="709"/>
      <c r="HG61" s="709"/>
      <c r="HH61" s="709"/>
      <c r="HI61" s="709"/>
      <c r="HJ61" s="709"/>
      <c r="HK61" s="709"/>
      <c r="HL61" s="709"/>
      <c r="HM61" s="709"/>
      <c r="HN61" s="709"/>
      <c r="HO61" s="709"/>
      <c r="HP61" s="709"/>
      <c r="HQ61" s="709"/>
      <c r="HR61" s="709"/>
      <c r="HS61" s="709"/>
      <c r="HT61" s="709"/>
      <c r="HU61" s="709"/>
      <c r="HV61" s="709"/>
      <c r="HW61" s="709"/>
      <c r="HX61" s="709"/>
      <c r="HY61" s="709"/>
      <c r="HZ61" s="709"/>
      <c r="IA61" s="709"/>
      <c r="IB61" s="709"/>
      <c r="IC61" s="709"/>
      <c r="ID61" s="709"/>
      <c r="IE61" s="709"/>
      <c r="IF61" s="709"/>
      <c r="IG61" s="709"/>
      <c r="IH61" s="709"/>
      <c r="II61" s="709"/>
      <c r="IJ61" s="709"/>
      <c r="IK61" s="709"/>
      <c r="IL61" s="709"/>
      <c r="IM61" s="709"/>
      <c r="IN61" s="709"/>
      <c r="IO61" s="709"/>
      <c r="IP61" s="709"/>
      <c r="IQ61" s="709"/>
      <c r="IR61" s="709"/>
      <c r="IS61" s="709"/>
      <c r="IT61" s="709"/>
      <c r="IU61" s="709"/>
      <c r="IV61" s="709"/>
    </row>
    <row r="62" spans="1:256" ht="12.75" hidden="1" customHeight="1">
      <c r="A62" s="706" t="s">
        <v>339</v>
      </c>
      <c r="B62" s="688">
        <f>13008.6+3.9</f>
        <v>13012.5</v>
      </c>
      <c r="C62" s="706">
        <v>10774.4</v>
      </c>
      <c r="D62" s="689"/>
      <c r="E62" s="706">
        <f t="shared" si="3"/>
        <v>2238.1000000000004</v>
      </c>
      <c r="F62" s="688">
        <v>2270.3000000000002</v>
      </c>
      <c r="G62" s="706">
        <v>119.6</v>
      </c>
      <c r="H62" s="706">
        <f t="shared" si="4"/>
        <v>2389.9</v>
      </c>
      <c r="I62" s="693"/>
      <c r="J62" s="688">
        <v>-151.80000000000001</v>
      </c>
      <c r="K62" s="706">
        <f>-(+J62+H62)</f>
        <v>-2238.1</v>
      </c>
      <c r="L62" s="691"/>
      <c r="M62" s="709"/>
      <c r="N62" s="709"/>
      <c r="O62" s="709"/>
      <c r="P62" s="709"/>
      <c r="Q62" s="709"/>
      <c r="R62" s="709"/>
      <c r="S62" s="709"/>
      <c r="T62" s="709"/>
      <c r="U62" s="709"/>
      <c r="V62" s="709"/>
      <c r="W62" s="709"/>
      <c r="X62" s="709"/>
      <c r="Y62" s="709"/>
      <c r="Z62" s="709"/>
      <c r="AA62" s="709"/>
      <c r="AB62" s="709"/>
      <c r="AC62" s="709"/>
      <c r="AD62" s="709"/>
      <c r="AE62" s="709"/>
      <c r="AF62" s="709"/>
      <c r="AG62" s="709"/>
      <c r="AH62" s="709"/>
      <c r="AI62" s="709"/>
      <c r="AJ62" s="709"/>
      <c r="AK62" s="709"/>
      <c r="AL62" s="709"/>
      <c r="AM62" s="709"/>
      <c r="AN62" s="709"/>
      <c r="AO62" s="709"/>
      <c r="AP62" s="709"/>
      <c r="AQ62" s="709"/>
      <c r="AR62" s="709"/>
      <c r="AS62" s="709"/>
      <c r="AT62" s="709"/>
      <c r="AU62" s="709"/>
      <c r="AV62" s="709"/>
      <c r="AW62" s="709"/>
      <c r="AX62" s="709"/>
      <c r="AY62" s="709"/>
      <c r="AZ62" s="709"/>
      <c r="BA62" s="709"/>
      <c r="BB62" s="709"/>
      <c r="BC62" s="709"/>
      <c r="BD62" s="709"/>
      <c r="BE62" s="709"/>
      <c r="BF62" s="709"/>
      <c r="BG62" s="709"/>
      <c r="BH62" s="709"/>
      <c r="BI62" s="709"/>
      <c r="BJ62" s="709"/>
      <c r="BK62" s="709"/>
      <c r="BL62" s="709"/>
      <c r="BM62" s="709"/>
      <c r="BN62" s="709"/>
      <c r="BO62" s="709"/>
      <c r="BP62" s="709"/>
      <c r="BQ62" s="709"/>
      <c r="BR62" s="709"/>
      <c r="BS62" s="709"/>
      <c r="BT62" s="709"/>
      <c r="BU62" s="709"/>
      <c r="BV62" s="709"/>
      <c r="BW62" s="709"/>
      <c r="BX62" s="709"/>
      <c r="BY62" s="709"/>
      <c r="BZ62" s="709"/>
      <c r="CA62" s="709"/>
      <c r="CB62" s="709"/>
      <c r="CC62" s="709"/>
      <c r="CD62" s="709"/>
      <c r="CE62" s="709"/>
      <c r="CF62" s="709"/>
      <c r="CG62" s="709"/>
      <c r="CH62" s="709"/>
      <c r="CI62" s="709"/>
      <c r="CJ62" s="709"/>
      <c r="CK62" s="709"/>
      <c r="CL62" s="709"/>
      <c r="CM62" s="709"/>
      <c r="CN62" s="709"/>
      <c r="CO62" s="709"/>
      <c r="CP62" s="709"/>
      <c r="CQ62" s="709"/>
      <c r="CR62" s="709"/>
      <c r="CS62" s="709"/>
      <c r="CT62" s="709"/>
      <c r="CU62" s="709"/>
      <c r="CV62" s="709"/>
      <c r="CW62" s="709"/>
      <c r="CX62" s="709"/>
      <c r="CY62" s="709"/>
      <c r="CZ62" s="709"/>
      <c r="DA62" s="709"/>
      <c r="DB62" s="709"/>
      <c r="DC62" s="709"/>
      <c r="DD62" s="709"/>
      <c r="DE62" s="709"/>
      <c r="DF62" s="709"/>
      <c r="DG62" s="709"/>
      <c r="DH62" s="709"/>
      <c r="DI62" s="709"/>
      <c r="DJ62" s="709"/>
      <c r="DK62" s="709"/>
      <c r="DL62" s="709"/>
      <c r="DM62" s="709"/>
      <c r="DN62" s="709"/>
      <c r="DO62" s="709"/>
      <c r="DP62" s="709"/>
      <c r="DQ62" s="709"/>
      <c r="DR62" s="709"/>
      <c r="DS62" s="709"/>
      <c r="DT62" s="709"/>
      <c r="DU62" s="709"/>
      <c r="DV62" s="709"/>
      <c r="DW62" s="709"/>
      <c r="DX62" s="709"/>
      <c r="DY62" s="709"/>
      <c r="DZ62" s="709"/>
      <c r="EA62" s="709"/>
      <c r="EB62" s="709"/>
      <c r="EC62" s="709"/>
      <c r="ED62" s="709"/>
      <c r="EE62" s="709"/>
      <c r="EF62" s="709"/>
      <c r="EG62" s="709"/>
      <c r="EH62" s="709"/>
      <c r="EI62" s="709"/>
      <c r="EJ62" s="709"/>
      <c r="EK62" s="709"/>
      <c r="EL62" s="709"/>
      <c r="EM62" s="709"/>
      <c r="EN62" s="709"/>
      <c r="EO62" s="709"/>
      <c r="EP62" s="709"/>
      <c r="EQ62" s="709"/>
      <c r="ER62" s="709"/>
      <c r="ES62" s="709"/>
      <c r="ET62" s="709"/>
      <c r="EU62" s="709"/>
      <c r="EV62" s="709"/>
      <c r="EW62" s="709"/>
      <c r="EX62" s="709"/>
      <c r="EY62" s="709"/>
      <c r="EZ62" s="709"/>
      <c r="FA62" s="709"/>
      <c r="FB62" s="709"/>
      <c r="FC62" s="709"/>
      <c r="FD62" s="709"/>
      <c r="FE62" s="709"/>
      <c r="FF62" s="709"/>
      <c r="FG62" s="709"/>
      <c r="FH62" s="709"/>
      <c r="FI62" s="709"/>
      <c r="FJ62" s="709"/>
      <c r="FK62" s="709"/>
      <c r="FL62" s="709"/>
      <c r="FM62" s="709"/>
      <c r="FN62" s="709"/>
      <c r="FO62" s="709"/>
      <c r="FP62" s="709"/>
      <c r="FQ62" s="709"/>
      <c r="FR62" s="709"/>
      <c r="FS62" s="709"/>
      <c r="FT62" s="709"/>
      <c r="FU62" s="709"/>
      <c r="FV62" s="709"/>
      <c r="FW62" s="709"/>
      <c r="FX62" s="709"/>
      <c r="FY62" s="709"/>
      <c r="FZ62" s="709"/>
      <c r="GA62" s="709"/>
      <c r="GB62" s="709"/>
      <c r="GC62" s="709"/>
      <c r="GD62" s="709"/>
      <c r="GE62" s="709"/>
      <c r="GF62" s="709"/>
      <c r="GG62" s="709"/>
      <c r="GH62" s="709"/>
      <c r="GI62" s="709"/>
      <c r="GJ62" s="709"/>
      <c r="GK62" s="709"/>
      <c r="GL62" s="709"/>
      <c r="GM62" s="709"/>
      <c r="GN62" s="709"/>
      <c r="GO62" s="709"/>
      <c r="GP62" s="709"/>
      <c r="GQ62" s="709"/>
      <c r="GR62" s="709"/>
      <c r="GS62" s="709"/>
      <c r="GT62" s="709"/>
      <c r="GU62" s="709"/>
      <c r="GV62" s="709"/>
      <c r="GW62" s="709"/>
      <c r="GX62" s="709"/>
      <c r="GY62" s="709"/>
      <c r="GZ62" s="709"/>
      <c r="HA62" s="709"/>
      <c r="HB62" s="709"/>
      <c r="HC62" s="709"/>
      <c r="HD62" s="709"/>
      <c r="HE62" s="709"/>
      <c r="HF62" s="709"/>
      <c r="HG62" s="709"/>
      <c r="HH62" s="709"/>
      <c r="HI62" s="709"/>
      <c r="HJ62" s="709"/>
      <c r="HK62" s="709"/>
      <c r="HL62" s="709"/>
      <c r="HM62" s="709"/>
      <c r="HN62" s="709"/>
      <c r="HO62" s="709"/>
      <c r="HP62" s="709"/>
      <c r="HQ62" s="709"/>
      <c r="HR62" s="709"/>
      <c r="HS62" s="709"/>
      <c r="HT62" s="709"/>
      <c r="HU62" s="709"/>
      <c r="HV62" s="709"/>
      <c r="HW62" s="709"/>
      <c r="HX62" s="709"/>
      <c r="HY62" s="709"/>
      <c r="HZ62" s="709"/>
      <c r="IA62" s="709"/>
      <c r="IB62" s="709"/>
      <c r="IC62" s="709"/>
      <c r="ID62" s="709"/>
      <c r="IE62" s="709"/>
      <c r="IF62" s="709"/>
      <c r="IG62" s="709"/>
      <c r="IH62" s="709"/>
      <c r="II62" s="709"/>
      <c r="IJ62" s="709"/>
      <c r="IK62" s="709"/>
      <c r="IL62" s="709"/>
      <c r="IM62" s="709"/>
      <c r="IN62" s="709"/>
      <c r="IO62" s="709"/>
      <c r="IP62" s="709"/>
      <c r="IQ62" s="709"/>
      <c r="IR62" s="709"/>
      <c r="IS62" s="709"/>
      <c r="IT62" s="709"/>
      <c r="IU62" s="709"/>
      <c r="IV62" s="709"/>
    </row>
    <row r="63" spans="1:256" ht="12.75" hidden="1" customHeight="1">
      <c r="A63" s="706" t="s">
        <v>340</v>
      </c>
      <c r="B63" s="688">
        <v>10744.3</v>
      </c>
      <c r="C63" s="706">
        <v>15745.5</v>
      </c>
      <c r="D63" s="689"/>
      <c r="E63" s="706">
        <f t="shared" si="3"/>
        <v>-5001.2000000000007</v>
      </c>
      <c r="F63" s="688">
        <v>5077.8999999999996</v>
      </c>
      <c r="G63" s="706">
        <v>-20.8</v>
      </c>
      <c r="H63" s="706">
        <f t="shared" si="4"/>
        <v>5057.0999999999995</v>
      </c>
      <c r="I63" s="693"/>
      <c r="J63" s="688">
        <v>-55.9</v>
      </c>
      <c r="K63" s="706">
        <f>J63+H63</f>
        <v>5001.2</v>
      </c>
      <c r="L63" s="691"/>
      <c r="M63" s="709"/>
      <c r="N63" s="709"/>
      <c r="O63" s="709"/>
      <c r="P63" s="709"/>
      <c r="Q63" s="709"/>
      <c r="R63" s="709"/>
      <c r="S63" s="709"/>
      <c r="T63" s="709"/>
      <c r="U63" s="709"/>
      <c r="V63" s="709"/>
      <c r="W63" s="709"/>
      <c r="X63" s="709"/>
      <c r="Y63" s="709"/>
      <c r="Z63" s="709"/>
      <c r="AA63" s="709"/>
      <c r="AB63" s="709"/>
      <c r="AC63" s="709"/>
      <c r="AD63" s="709"/>
      <c r="AE63" s="709"/>
      <c r="AF63" s="709"/>
      <c r="AG63" s="709"/>
      <c r="AH63" s="709"/>
      <c r="AI63" s="709"/>
      <c r="AJ63" s="709"/>
      <c r="AK63" s="709"/>
      <c r="AL63" s="709"/>
      <c r="AM63" s="709"/>
      <c r="AN63" s="709"/>
      <c r="AO63" s="709"/>
      <c r="AP63" s="709"/>
      <c r="AQ63" s="709"/>
      <c r="AR63" s="709"/>
      <c r="AS63" s="709"/>
      <c r="AT63" s="709"/>
      <c r="AU63" s="709"/>
      <c r="AV63" s="709"/>
      <c r="AW63" s="709"/>
      <c r="AX63" s="709"/>
      <c r="AY63" s="709"/>
      <c r="AZ63" s="709"/>
      <c r="BA63" s="709"/>
      <c r="BB63" s="709"/>
      <c r="BC63" s="709"/>
      <c r="BD63" s="709"/>
      <c r="BE63" s="709"/>
      <c r="BF63" s="709"/>
      <c r="BG63" s="709"/>
      <c r="BH63" s="709"/>
      <c r="BI63" s="709"/>
      <c r="BJ63" s="709"/>
      <c r="BK63" s="709"/>
      <c r="BL63" s="709"/>
      <c r="BM63" s="709"/>
      <c r="BN63" s="709"/>
      <c r="BO63" s="709"/>
      <c r="BP63" s="709"/>
      <c r="BQ63" s="709"/>
      <c r="BR63" s="709"/>
      <c r="BS63" s="709"/>
      <c r="BT63" s="709"/>
      <c r="BU63" s="709"/>
      <c r="BV63" s="709"/>
      <c r="BW63" s="709"/>
      <c r="BX63" s="709"/>
      <c r="BY63" s="709"/>
      <c r="BZ63" s="709"/>
      <c r="CA63" s="709"/>
      <c r="CB63" s="709"/>
      <c r="CC63" s="709"/>
      <c r="CD63" s="709"/>
      <c r="CE63" s="709"/>
      <c r="CF63" s="709"/>
      <c r="CG63" s="709"/>
      <c r="CH63" s="709"/>
      <c r="CI63" s="709"/>
      <c r="CJ63" s="709"/>
      <c r="CK63" s="709"/>
      <c r="CL63" s="709"/>
      <c r="CM63" s="709"/>
      <c r="CN63" s="709"/>
      <c r="CO63" s="709"/>
      <c r="CP63" s="709"/>
      <c r="CQ63" s="709"/>
      <c r="CR63" s="709"/>
      <c r="CS63" s="709"/>
      <c r="CT63" s="709"/>
      <c r="CU63" s="709"/>
      <c r="CV63" s="709"/>
      <c r="CW63" s="709"/>
      <c r="CX63" s="709"/>
      <c r="CY63" s="709"/>
      <c r="CZ63" s="709"/>
      <c r="DA63" s="709"/>
      <c r="DB63" s="709"/>
      <c r="DC63" s="709"/>
      <c r="DD63" s="709"/>
      <c r="DE63" s="709"/>
      <c r="DF63" s="709"/>
      <c r="DG63" s="709"/>
      <c r="DH63" s="709"/>
      <c r="DI63" s="709"/>
      <c r="DJ63" s="709"/>
      <c r="DK63" s="709"/>
      <c r="DL63" s="709"/>
      <c r="DM63" s="709"/>
      <c r="DN63" s="709"/>
      <c r="DO63" s="709"/>
      <c r="DP63" s="709"/>
      <c r="DQ63" s="709"/>
      <c r="DR63" s="709"/>
      <c r="DS63" s="709"/>
      <c r="DT63" s="709"/>
      <c r="DU63" s="709"/>
      <c r="DV63" s="709"/>
      <c r="DW63" s="709"/>
      <c r="DX63" s="709"/>
      <c r="DY63" s="709"/>
      <c r="DZ63" s="709"/>
      <c r="EA63" s="709"/>
      <c r="EB63" s="709"/>
      <c r="EC63" s="709"/>
      <c r="ED63" s="709"/>
      <c r="EE63" s="709"/>
      <c r="EF63" s="709"/>
      <c r="EG63" s="709"/>
      <c r="EH63" s="709"/>
      <c r="EI63" s="709"/>
      <c r="EJ63" s="709"/>
      <c r="EK63" s="709"/>
      <c r="EL63" s="709"/>
      <c r="EM63" s="709"/>
      <c r="EN63" s="709"/>
      <c r="EO63" s="709"/>
      <c r="EP63" s="709"/>
      <c r="EQ63" s="709"/>
      <c r="ER63" s="709"/>
      <c r="ES63" s="709"/>
      <c r="ET63" s="709"/>
      <c r="EU63" s="709"/>
      <c r="EV63" s="709"/>
      <c r="EW63" s="709"/>
      <c r="EX63" s="709"/>
      <c r="EY63" s="709"/>
      <c r="EZ63" s="709"/>
      <c r="FA63" s="709"/>
      <c r="FB63" s="709"/>
      <c r="FC63" s="709"/>
      <c r="FD63" s="709"/>
      <c r="FE63" s="709"/>
      <c r="FF63" s="709"/>
      <c r="FG63" s="709"/>
      <c r="FH63" s="709"/>
      <c r="FI63" s="709"/>
      <c r="FJ63" s="709"/>
      <c r="FK63" s="709"/>
      <c r="FL63" s="709"/>
      <c r="FM63" s="709"/>
      <c r="FN63" s="709"/>
      <c r="FO63" s="709"/>
      <c r="FP63" s="709"/>
      <c r="FQ63" s="709"/>
      <c r="FR63" s="709"/>
      <c r="FS63" s="709"/>
      <c r="FT63" s="709"/>
      <c r="FU63" s="709"/>
      <c r="FV63" s="709"/>
      <c r="FW63" s="709"/>
      <c r="FX63" s="709"/>
      <c r="FY63" s="709"/>
      <c r="FZ63" s="709"/>
      <c r="GA63" s="709"/>
      <c r="GB63" s="709"/>
      <c r="GC63" s="709"/>
      <c r="GD63" s="709"/>
      <c r="GE63" s="709"/>
      <c r="GF63" s="709"/>
      <c r="GG63" s="709"/>
      <c r="GH63" s="709"/>
      <c r="GI63" s="709"/>
      <c r="GJ63" s="709"/>
      <c r="GK63" s="709"/>
      <c r="GL63" s="709"/>
      <c r="GM63" s="709"/>
      <c r="GN63" s="709"/>
      <c r="GO63" s="709"/>
      <c r="GP63" s="709"/>
      <c r="GQ63" s="709"/>
      <c r="GR63" s="709"/>
      <c r="GS63" s="709"/>
      <c r="GT63" s="709"/>
      <c r="GU63" s="709"/>
      <c r="GV63" s="709"/>
      <c r="GW63" s="709"/>
      <c r="GX63" s="709"/>
      <c r="GY63" s="709"/>
      <c r="GZ63" s="709"/>
      <c r="HA63" s="709"/>
      <c r="HB63" s="709"/>
      <c r="HC63" s="709"/>
      <c r="HD63" s="709"/>
      <c r="HE63" s="709"/>
      <c r="HF63" s="709"/>
      <c r="HG63" s="709"/>
      <c r="HH63" s="709"/>
      <c r="HI63" s="709"/>
      <c r="HJ63" s="709"/>
      <c r="HK63" s="709"/>
      <c r="HL63" s="709"/>
      <c r="HM63" s="709"/>
      <c r="HN63" s="709"/>
      <c r="HO63" s="709"/>
      <c r="HP63" s="709"/>
      <c r="HQ63" s="709"/>
      <c r="HR63" s="709"/>
      <c r="HS63" s="709"/>
      <c r="HT63" s="709"/>
      <c r="HU63" s="709"/>
      <c r="HV63" s="709"/>
      <c r="HW63" s="709"/>
      <c r="HX63" s="709"/>
      <c r="HY63" s="709"/>
      <c r="HZ63" s="709"/>
      <c r="IA63" s="709"/>
      <c r="IB63" s="709"/>
      <c r="IC63" s="709"/>
      <c r="ID63" s="709"/>
      <c r="IE63" s="709"/>
      <c r="IF63" s="709"/>
      <c r="IG63" s="709"/>
      <c r="IH63" s="709"/>
      <c r="II63" s="709"/>
      <c r="IJ63" s="709"/>
      <c r="IK63" s="709"/>
      <c r="IL63" s="709"/>
      <c r="IM63" s="709"/>
      <c r="IN63" s="709"/>
      <c r="IO63" s="709"/>
      <c r="IP63" s="709"/>
      <c r="IQ63" s="709"/>
      <c r="IR63" s="709"/>
      <c r="IS63" s="709"/>
      <c r="IT63" s="709"/>
      <c r="IU63" s="709"/>
      <c r="IV63" s="709"/>
    </row>
    <row r="64" spans="1:256" ht="12.75" hidden="1" customHeight="1">
      <c r="A64" s="706" t="s">
        <v>341</v>
      </c>
      <c r="B64" s="688">
        <f>10797.3+558.5</f>
        <v>11355.8</v>
      </c>
      <c r="C64" s="706">
        <v>18231</v>
      </c>
      <c r="D64" s="689"/>
      <c r="E64" s="706">
        <f t="shared" si="3"/>
        <v>-6875.2000000000007</v>
      </c>
      <c r="F64" s="706">
        <v>6422</v>
      </c>
      <c r="G64" s="706">
        <v>454.2</v>
      </c>
      <c r="H64" s="706">
        <f t="shared" si="4"/>
        <v>6876.2</v>
      </c>
      <c r="I64" s="693"/>
      <c r="J64" s="706">
        <v>-1</v>
      </c>
      <c r="K64" s="706">
        <f>J64+H64</f>
        <v>6875.2</v>
      </c>
      <c r="L64" s="691"/>
      <c r="M64" s="709"/>
      <c r="N64" s="709"/>
      <c r="O64" s="709"/>
      <c r="P64" s="709"/>
      <c r="Q64" s="709"/>
      <c r="R64" s="709"/>
      <c r="S64" s="709"/>
      <c r="T64" s="709"/>
      <c r="U64" s="709"/>
      <c r="V64" s="709"/>
      <c r="W64" s="709"/>
      <c r="X64" s="709"/>
      <c r="Y64" s="709"/>
      <c r="Z64" s="709"/>
      <c r="AA64" s="709"/>
      <c r="AB64" s="709"/>
      <c r="AC64" s="709"/>
      <c r="AD64" s="709"/>
      <c r="AE64" s="709"/>
      <c r="AF64" s="709"/>
      <c r="AG64" s="709"/>
      <c r="AH64" s="709"/>
      <c r="AI64" s="709"/>
      <c r="AJ64" s="709"/>
      <c r="AK64" s="709"/>
      <c r="AL64" s="709"/>
      <c r="AM64" s="709"/>
      <c r="AN64" s="709"/>
      <c r="AO64" s="709"/>
      <c r="AP64" s="709"/>
      <c r="AQ64" s="709"/>
      <c r="AR64" s="709"/>
      <c r="AS64" s="709"/>
      <c r="AT64" s="709"/>
      <c r="AU64" s="709"/>
      <c r="AV64" s="709"/>
      <c r="AW64" s="709"/>
      <c r="AX64" s="709"/>
      <c r="AY64" s="709"/>
      <c r="AZ64" s="709"/>
      <c r="BA64" s="709"/>
      <c r="BB64" s="709"/>
      <c r="BC64" s="709"/>
      <c r="BD64" s="709"/>
      <c r="BE64" s="709"/>
      <c r="BF64" s="709"/>
      <c r="BG64" s="709"/>
      <c r="BH64" s="709"/>
      <c r="BI64" s="709"/>
      <c r="BJ64" s="709"/>
      <c r="BK64" s="709"/>
      <c r="BL64" s="709"/>
      <c r="BM64" s="709"/>
      <c r="BN64" s="709"/>
      <c r="BO64" s="709"/>
      <c r="BP64" s="709"/>
      <c r="BQ64" s="709"/>
      <c r="BR64" s="709"/>
      <c r="BS64" s="709"/>
      <c r="BT64" s="709"/>
      <c r="BU64" s="709"/>
      <c r="BV64" s="709"/>
      <c r="BW64" s="709"/>
      <c r="BX64" s="709"/>
      <c r="BY64" s="709"/>
      <c r="BZ64" s="709"/>
      <c r="CA64" s="709"/>
      <c r="CB64" s="709"/>
      <c r="CC64" s="709"/>
      <c r="CD64" s="709"/>
      <c r="CE64" s="709"/>
      <c r="CF64" s="709"/>
      <c r="CG64" s="709"/>
      <c r="CH64" s="709"/>
      <c r="CI64" s="709"/>
      <c r="CJ64" s="709"/>
      <c r="CK64" s="709"/>
      <c r="CL64" s="709"/>
      <c r="CM64" s="709"/>
      <c r="CN64" s="709"/>
      <c r="CO64" s="709"/>
      <c r="CP64" s="709"/>
      <c r="CQ64" s="709"/>
      <c r="CR64" s="709"/>
      <c r="CS64" s="709"/>
      <c r="CT64" s="709"/>
      <c r="CU64" s="709"/>
      <c r="CV64" s="709"/>
      <c r="CW64" s="709"/>
      <c r="CX64" s="709"/>
      <c r="CY64" s="709"/>
      <c r="CZ64" s="709"/>
      <c r="DA64" s="709"/>
      <c r="DB64" s="709"/>
      <c r="DC64" s="709"/>
      <c r="DD64" s="709"/>
      <c r="DE64" s="709"/>
      <c r="DF64" s="709"/>
      <c r="DG64" s="709"/>
      <c r="DH64" s="709"/>
      <c r="DI64" s="709"/>
      <c r="DJ64" s="709"/>
      <c r="DK64" s="709"/>
      <c r="DL64" s="709"/>
      <c r="DM64" s="709"/>
      <c r="DN64" s="709"/>
      <c r="DO64" s="709"/>
      <c r="DP64" s="709"/>
      <c r="DQ64" s="709"/>
      <c r="DR64" s="709"/>
      <c r="DS64" s="709"/>
      <c r="DT64" s="709"/>
      <c r="DU64" s="709"/>
      <c r="DV64" s="709"/>
      <c r="DW64" s="709"/>
      <c r="DX64" s="709"/>
      <c r="DY64" s="709"/>
      <c r="DZ64" s="709"/>
      <c r="EA64" s="709"/>
      <c r="EB64" s="709"/>
      <c r="EC64" s="709"/>
      <c r="ED64" s="709"/>
      <c r="EE64" s="709"/>
      <c r="EF64" s="709"/>
      <c r="EG64" s="709"/>
      <c r="EH64" s="709"/>
      <c r="EI64" s="709"/>
      <c r="EJ64" s="709"/>
      <c r="EK64" s="709"/>
      <c r="EL64" s="709"/>
      <c r="EM64" s="709"/>
      <c r="EN64" s="709"/>
      <c r="EO64" s="709"/>
      <c r="EP64" s="709"/>
      <c r="EQ64" s="709"/>
      <c r="ER64" s="709"/>
      <c r="ES64" s="709"/>
      <c r="ET64" s="709"/>
      <c r="EU64" s="709"/>
      <c r="EV64" s="709"/>
      <c r="EW64" s="709"/>
      <c r="EX64" s="709"/>
      <c r="EY64" s="709"/>
      <c r="EZ64" s="709"/>
      <c r="FA64" s="709"/>
      <c r="FB64" s="709"/>
      <c r="FC64" s="709"/>
      <c r="FD64" s="709"/>
      <c r="FE64" s="709"/>
      <c r="FF64" s="709"/>
      <c r="FG64" s="709"/>
      <c r="FH64" s="709"/>
      <c r="FI64" s="709"/>
      <c r="FJ64" s="709"/>
      <c r="FK64" s="709"/>
      <c r="FL64" s="709"/>
      <c r="FM64" s="709"/>
      <c r="FN64" s="709"/>
      <c r="FO64" s="709"/>
      <c r="FP64" s="709"/>
      <c r="FQ64" s="709"/>
      <c r="FR64" s="709"/>
      <c r="FS64" s="709"/>
      <c r="FT64" s="709"/>
      <c r="FU64" s="709"/>
      <c r="FV64" s="709"/>
      <c r="FW64" s="709"/>
      <c r="FX64" s="709"/>
      <c r="FY64" s="709"/>
      <c r="FZ64" s="709"/>
      <c r="GA64" s="709"/>
      <c r="GB64" s="709"/>
      <c r="GC64" s="709"/>
      <c r="GD64" s="709"/>
      <c r="GE64" s="709"/>
      <c r="GF64" s="709"/>
      <c r="GG64" s="709"/>
      <c r="GH64" s="709"/>
      <c r="GI64" s="709"/>
      <c r="GJ64" s="709"/>
      <c r="GK64" s="709"/>
      <c r="GL64" s="709"/>
      <c r="GM64" s="709"/>
      <c r="GN64" s="709"/>
      <c r="GO64" s="709"/>
      <c r="GP64" s="709"/>
      <c r="GQ64" s="709"/>
      <c r="GR64" s="709"/>
      <c r="GS64" s="709"/>
      <c r="GT64" s="709"/>
      <c r="GU64" s="709"/>
      <c r="GV64" s="709"/>
      <c r="GW64" s="709"/>
      <c r="GX64" s="709"/>
      <c r="GY64" s="709"/>
      <c r="GZ64" s="709"/>
      <c r="HA64" s="709"/>
      <c r="HB64" s="709"/>
      <c r="HC64" s="709"/>
      <c r="HD64" s="709"/>
      <c r="HE64" s="709"/>
      <c r="HF64" s="709"/>
      <c r="HG64" s="709"/>
      <c r="HH64" s="709"/>
      <c r="HI64" s="709"/>
      <c r="HJ64" s="709"/>
      <c r="HK64" s="709"/>
      <c r="HL64" s="709"/>
      <c r="HM64" s="709"/>
      <c r="HN64" s="709"/>
      <c r="HO64" s="709"/>
      <c r="HP64" s="709"/>
      <c r="HQ64" s="709"/>
      <c r="HR64" s="709"/>
      <c r="HS64" s="709"/>
      <c r="HT64" s="709"/>
      <c r="HU64" s="709"/>
      <c r="HV64" s="709"/>
      <c r="HW64" s="709"/>
      <c r="HX64" s="709"/>
      <c r="HY64" s="709"/>
      <c r="HZ64" s="709"/>
      <c r="IA64" s="709"/>
      <c r="IB64" s="709"/>
      <c r="IC64" s="709"/>
      <c r="ID64" s="709"/>
      <c r="IE64" s="709"/>
      <c r="IF64" s="709"/>
      <c r="IG64" s="709"/>
      <c r="IH64" s="709"/>
      <c r="II64" s="709"/>
      <c r="IJ64" s="709"/>
      <c r="IK64" s="709"/>
      <c r="IL64" s="709"/>
      <c r="IM64" s="709"/>
      <c r="IN64" s="709"/>
      <c r="IO64" s="709"/>
      <c r="IP64" s="709"/>
      <c r="IQ64" s="709"/>
      <c r="IR64" s="709"/>
      <c r="IS64" s="709"/>
      <c r="IT64" s="709"/>
      <c r="IU64" s="709"/>
      <c r="IV64" s="709"/>
    </row>
    <row r="65" spans="1:256" ht="12.75" hidden="1" customHeight="1">
      <c r="A65" s="706" t="s">
        <v>342</v>
      </c>
      <c r="B65" s="688">
        <v>12077.1</v>
      </c>
      <c r="C65" s="706">
        <v>11534.1</v>
      </c>
      <c r="D65" s="689"/>
      <c r="E65" s="706">
        <f t="shared" si="3"/>
        <v>543</v>
      </c>
      <c r="F65" s="688">
        <v>358.3</v>
      </c>
      <c r="G65" s="688">
        <f>-1585.4+710.2</f>
        <v>-875.2</v>
      </c>
      <c r="H65" s="706">
        <f t="shared" si="4"/>
        <v>-516.90000000000009</v>
      </c>
      <c r="I65" s="693"/>
      <c r="J65" s="688">
        <v>-26.1</v>
      </c>
      <c r="K65" s="706">
        <f>J65+H65</f>
        <v>-543.00000000000011</v>
      </c>
      <c r="L65" s="691"/>
      <c r="M65" s="709"/>
      <c r="N65" s="709"/>
      <c r="O65" s="709"/>
      <c r="P65" s="709"/>
      <c r="Q65" s="709"/>
      <c r="R65" s="709"/>
      <c r="S65" s="709"/>
      <c r="T65" s="709"/>
      <c r="U65" s="709"/>
      <c r="V65" s="709"/>
      <c r="W65" s="709"/>
      <c r="X65" s="709"/>
      <c r="Y65" s="709"/>
      <c r="Z65" s="709"/>
      <c r="AA65" s="709"/>
      <c r="AB65" s="709"/>
      <c r="AC65" s="709"/>
      <c r="AD65" s="709"/>
      <c r="AE65" s="709"/>
      <c r="AF65" s="709"/>
      <c r="AG65" s="709"/>
      <c r="AH65" s="709"/>
      <c r="AI65" s="709"/>
      <c r="AJ65" s="709"/>
      <c r="AK65" s="709"/>
      <c r="AL65" s="709"/>
      <c r="AM65" s="709"/>
      <c r="AN65" s="709"/>
      <c r="AO65" s="709"/>
      <c r="AP65" s="709"/>
      <c r="AQ65" s="709"/>
      <c r="AR65" s="709"/>
      <c r="AS65" s="709"/>
      <c r="AT65" s="709"/>
      <c r="AU65" s="709"/>
      <c r="AV65" s="709"/>
      <c r="AW65" s="709"/>
      <c r="AX65" s="709"/>
      <c r="AY65" s="709"/>
      <c r="AZ65" s="709"/>
      <c r="BA65" s="709"/>
      <c r="BB65" s="709"/>
      <c r="BC65" s="709"/>
      <c r="BD65" s="709"/>
      <c r="BE65" s="709"/>
      <c r="BF65" s="709"/>
      <c r="BG65" s="709"/>
      <c r="BH65" s="709"/>
      <c r="BI65" s="709"/>
      <c r="BJ65" s="709"/>
      <c r="BK65" s="709"/>
      <c r="BL65" s="709"/>
      <c r="BM65" s="709"/>
      <c r="BN65" s="709"/>
      <c r="BO65" s="709"/>
      <c r="BP65" s="709"/>
      <c r="BQ65" s="709"/>
      <c r="BR65" s="709"/>
      <c r="BS65" s="709"/>
      <c r="BT65" s="709"/>
      <c r="BU65" s="709"/>
      <c r="BV65" s="709"/>
      <c r="BW65" s="709"/>
      <c r="BX65" s="709"/>
      <c r="BY65" s="709"/>
      <c r="BZ65" s="709"/>
      <c r="CA65" s="709"/>
      <c r="CB65" s="709"/>
      <c r="CC65" s="709"/>
      <c r="CD65" s="709"/>
      <c r="CE65" s="709"/>
      <c r="CF65" s="709"/>
      <c r="CG65" s="709"/>
      <c r="CH65" s="709"/>
      <c r="CI65" s="709"/>
      <c r="CJ65" s="709"/>
      <c r="CK65" s="709"/>
      <c r="CL65" s="709"/>
      <c r="CM65" s="709"/>
      <c r="CN65" s="709"/>
      <c r="CO65" s="709"/>
      <c r="CP65" s="709"/>
      <c r="CQ65" s="709"/>
      <c r="CR65" s="709"/>
      <c r="CS65" s="709"/>
      <c r="CT65" s="709"/>
      <c r="CU65" s="709"/>
      <c r="CV65" s="709"/>
      <c r="CW65" s="709"/>
      <c r="CX65" s="709"/>
      <c r="CY65" s="709"/>
      <c r="CZ65" s="709"/>
      <c r="DA65" s="709"/>
      <c r="DB65" s="709"/>
      <c r="DC65" s="709"/>
      <c r="DD65" s="709"/>
      <c r="DE65" s="709"/>
      <c r="DF65" s="709"/>
      <c r="DG65" s="709"/>
      <c r="DH65" s="709"/>
      <c r="DI65" s="709"/>
      <c r="DJ65" s="709"/>
      <c r="DK65" s="709"/>
      <c r="DL65" s="709"/>
      <c r="DM65" s="709"/>
      <c r="DN65" s="709"/>
      <c r="DO65" s="709"/>
      <c r="DP65" s="709"/>
      <c r="DQ65" s="709"/>
      <c r="DR65" s="709"/>
      <c r="DS65" s="709"/>
      <c r="DT65" s="709"/>
      <c r="DU65" s="709"/>
      <c r="DV65" s="709"/>
      <c r="DW65" s="709"/>
      <c r="DX65" s="709"/>
      <c r="DY65" s="709"/>
      <c r="DZ65" s="709"/>
      <c r="EA65" s="709"/>
      <c r="EB65" s="709"/>
      <c r="EC65" s="709"/>
      <c r="ED65" s="709"/>
      <c r="EE65" s="709"/>
      <c r="EF65" s="709"/>
      <c r="EG65" s="709"/>
      <c r="EH65" s="709"/>
      <c r="EI65" s="709"/>
      <c r="EJ65" s="709"/>
      <c r="EK65" s="709"/>
      <c r="EL65" s="709"/>
      <c r="EM65" s="709"/>
      <c r="EN65" s="709"/>
      <c r="EO65" s="709"/>
      <c r="EP65" s="709"/>
      <c r="EQ65" s="709"/>
      <c r="ER65" s="709"/>
      <c r="ES65" s="709"/>
      <c r="ET65" s="709"/>
      <c r="EU65" s="709"/>
      <c r="EV65" s="709"/>
      <c r="EW65" s="709"/>
      <c r="EX65" s="709"/>
      <c r="EY65" s="709"/>
      <c r="EZ65" s="709"/>
      <c r="FA65" s="709"/>
      <c r="FB65" s="709"/>
      <c r="FC65" s="709"/>
      <c r="FD65" s="709"/>
      <c r="FE65" s="709"/>
      <c r="FF65" s="709"/>
      <c r="FG65" s="709"/>
      <c r="FH65" s="709"/>
      <c r="FI65" s="709"/>
      <c r="FJ65" s="709"/>
      <c r="FK65" s="709"/>
      <c r="FL65" s="709"/>
      <c r="FM65" s="709"/>
      <c r="FN65" s="709"/>
      <c r="FO65" s="709"/>
      <c r="FP65" s="709"/>
      <c r="FQ65" s="709"/>
      <c r="FR65" s="709"/>
      <c r="FS65" s="709"/>
      <c r="FT65" s="709"/>
      <c r="FU65" s="709"/>
      <c r="FV65" s="709"/>
      <c r="FW65" s="709"/>
      <c r="FX65" s="709"/>
      <c r="FY65" s="709"/>
      <c r="FZ65" s="709"/>
      <c r="GA65" s="709"/>
      <c r="GB65" s="709"/>
      <c r="GC65" s="709"/>
      <c r="GD65" s="709"/>
      <c r="GE65" s="709"/>
      <c r="GF65" s="709"/>
      <c r="GG65" s="709"/>
      <c r="GH65" s="709"/>
      <c r="GI65" s="709"/>
      <c r="GJ65" s="709"/>
      <c r="GK65" s="709"/>
      <c r="GL65" s="709"/>
      <c r="GM65" s="709"/>
      <c r="GN65" s="709"/>
      <c r="GO65" s="709"/>
      <c r="GP65" s="709"/>
      <c r="GQ65" s="709"/>
      <c r="GR65" s="709"/>
      <c r="GS65" s="709"/>
      <c r="GT65" s="709"/>
      <c r="GU65" s="709"/>
      <c r="GV65" s="709"/>
      <c r="GW65" s="709"/>
      <c r="GX65" s="709"/>
      <c r="GY65" s="709"/>
      <c r="GZ65" s="709"/>
      <c r="HA65" s="709"/>
      <c r="HB65" s="709"/>
      <c r="HC65" s="709"/>
      <c r="HD65" s="709"/>
      <c r="HE65" s="709"/>
      <c r="HF65" s="709"/>
      <c r="HG65" s="709"/>
      <c r="HH65" s="709"/>
      <c r="HI65" s="709"/>
      <c r="HJ65" s="709"/>
      <c r="HK65" s="709"/>
      <c r="HL65" s="709"/>
      <c r="HM65" s="709"/>
      <c r="HN65" s="709"/>
      <c r="HO65" s="709"/>
      <c r="HP65" s="709"/>
      <c r="HQ65" s="709"/>
      <c r="HR65" s="709"/>
      <c r="HS65" s="709"/>
      <c r="HT65" s="709"/>
      <c r="HU65" s="709"/>
      <c r="HV65" s="709"/>
      <c r="HW65" s="709"/>
      <c r="HX65" s="709"/>
      <c r="HY65" s="709"/>
      <c r="HZ65" s="709"/>
      <c r="IA65" s="709"/>
      <c r="IB65" s="709"/>
      <c r="IC65" s="709"/>
      <c r="ID65" s="709"/>
      <c r="IE65" s="709"/>
      <c r="IF65" s="709"/>
      <c r="IG65" s="709"/>
      <c r="IH65" s="709"/>
      <c r="II65" s="709"/>
      <c r="IJ65" s="709"/>
      <c r="IK65" s="709"/>
      <c r="IL65" s="709"/>
      <c r="IM65" s="709"/>
      <c r="IN65" s="709"/>
      <c r="IO65" s="709"/>
      <c r="IP65" s="709"/>
      <c r="IQ65" s="709"/>
      <c r="IR65" s="709"/>
      <c r="IS65" s="709"/>
      <c r="IT65" s="709"/>
      <c r="IU65" s="709"/>
      <c r="IV65" s="709"/>
    </row>
    <row r="66" spans="1:256" ht="12.75" hidden="1" customHeight="1">
      <c r="A66" s="706" t="s">
        <v>343</v>
      </c>
      <c r="B66" s="688">
        <f>19597.5+641</f>
        <v>20238.5</v>
      </c>
      <c r="C66" s="706">
        <v>26089.7</v>
      </c>
      <c r="D66" s="689"/>
      <c r="E66" s="706">
        <v>-5851.2</v>
      </c>
      <c r="F66" s="688">
        <v>5627.7</v>
      </c>
      <c r="G66" s="688">
        <f>-2648.8+2831</f>
        <v>182.19999999999982</v>
      </c>
      <c r="H66" s="706">
        <f t="shared" si="4"/>
        <v>5809.9</v>
      </c>
      <c r="I66" s="693"/>
      <c r="J66" s="688">
        <v>41.3</v>
      </c>
      <c r="K66" s="706">
        <f>J66+H66</f>
        <v>5851.2</v>
      </c>
      <c r="L66" s="691"/>
      <c r="M66" s="709"/>
      <c r="N66" s="709"/>
      <c r="O66" s="709"/>
      <c r="P66" s="709"/>
      <c r="Q66" s="709"/>
      <c r="R66" s="709"/>
      <c r="S66" s="709"/>
      <c r="T66" s="709"/>
      <c r="U66" s="709"/>
      <c r="V66" s="709"/>
      <c r="W66" s="709"/>
      <c r="X66" s="709"/>
      <c r="Y66" s="709"/>
      <c r="Z66" s="709"/>
      <c r="AA66" s="709"/>
      <c r="AB66" s="709"/>
      <c r="AC66" s="709"/>
      <c r="AD66" s="709"/>
      <c r="AE66" s="709"/>
      <c r="AF66" s="709"/>
      <c r="AG66" s="709"/>
      <c r="AH66" s="709"/>
      <c r="AI66" s="709"/>
      <c r="AJ66" s="709"/>
      <c r="AK66" s="709"/>
      <c r="AL66" s="709"/>
      <c r="AM66" s="709"/>
      <c r="AN66" s="709"/>
      <c r="AO66" s="709"/>
      <c r="AP66" s="709"/>
      <c r="AQ66" s="709"/>
      <c r="AR66" s="709"/>
      <c r="AS66" s="709"/>
      <c r="AT66" s="709"/>
      <c r="AU66" s="709"/>
      <c r="AV66" s="709"/>
      <c r="AW66" s="709"/>
      <c r="AX66" s="709"/>
      <c r="AY66" s="709"/>
      <c r="AZ66" s="709"/>
      <c r="BA66" s="709"/>
      <c r="BB66" s="709"/>
      <c r="BC66" s="709"/>
      <c r="BD66" s="709"/>
      <c r="BE66" s="709"/>
      <c r="BF66" s="709"/>
      <c r="BG66" s="709"/>
      <c r="BH66" s="709"/>
      <c r="BI66" s="709"/>
      <c r="BJ66" s="709"/>
      <c r="BK66" s="709"/>
      <c r="BL66" s="709"/>
      <c r="BM66" s="709"/>
      <c r="BN66" s="709"/>
      <c r="BO66" s="709"/>
      <c r="BP66" s="709"/>
      <c r="BQ66" s="709"/>
      <c r="BR66" s="709"/>
      <c r="BS66" s="709"/>
      <c r="BT66" s="709"/>
      <c r="BU66" s="709"/>
      <c r="BV66" s="709"/>
      <c r="BW66" s="709"/>
      <c r="BX66" s="709"/>
      <c r="BY66" s="709"/>
      <c r="BZ66" s="709"/>
      <c r="CA66" s="709"/>
      <c r="CB66" s="709"/>
      <c r="CC66" s="709"/>
      <c r="CD66" s="709"/>
      <c r="CE66" s="709"/>
      <c r="CF66" s="709"/>
      <c r="CG66" s="709"/>
      <c r="CH66" s="709"/>
      <c r="CI66" s="709"/>
      <c r="CJ66" s="709"/>
      <c r="CK66" s="709"/>
      <c r="CL66" s="709"/>
      <c r="CM66" s="709"/>
      <c r="CN66" s="709"/>
      <c r="CO66" s="709"/>
      <c r="CP66" s="709"/>
      <c r="CQ66" s="709"/>
      <c r="CR66" s="709"/>
      <c r="CS66" s="709"/>
      <c r="CT66" s="709"/>
      <c r="CU66" s="709"/>
      <c r="CV66" s="709"/>
      <c r="CW66" s="709"/>
      <c r="CX66" s="709"/>
      <c r="CY66" s="709"/>
      <c r="CZ66" s="709"/>
      <c r="DA66" s="709"/>
      <c r="DB66" s="709"/>
      <c r="DC66" s="709"/>
      <c r="DD66" s="709"/>
      <c r="DE66" s="709"/>
      <c r="DF66" s="709"/>
      <c r="DG66" s="709"/>
      <c r="DH66" s="709"/>
      <c r="DI66" s="709"/>
      <c r="DJ66" s="709"/>
      <c r="DK66" s="709"/>
      <c r="DL66" s="709"/>
      <c r="DM66" s="709"/>
      <c r="DN66" s="709"/>
      <c r="DO66" s="709"/>
      <c r="DP66" s="709"/>
      <c r="DQ66" s="709"/>
      <c r="DR66" s="709"/>
      <c r="DS66" s="709"/>
      <c r="DT66" s="709"/>
      <c r="DU66" s="709"/>
      <c r="DV66" s="709"/>
      <c r="DW66" s="709"/>
      <c r="DX66" s="709"/>
      <c r="DY66" s="709"/>
      <c r="DZ66" s="709"/>
      <c r="EA66" s="709"/>
      <c r="EB66" s="709"/>
      <c r="EC66" s="709"/>
      <c r="ED66" s="709"/>
      <c r="EE66" s="709"/>
      <c r="EF66" s="709"/>
      <c r="EG66" s="709"/>
      <c r="EH66" s="709"/>
      <c r="EI66" s="709"/>
      <c r="EJ66" s="709"/>
      <c r="EK66" s="709"/>
      <c r="EL66" s="709"/>
      <c r="EM66" s="709"/>
      <c r="EN66" s="709"/>
      <c r="EO66" s="709"/>
      <c r="EP66" s="709"/>
      <c r="EQ66" s="709"/>
      <c r="ER66" s="709"/>
      <c r="ES66" s="709"/>
      <c r="ET66" s="709"/>
      <c r="EU66" s="709"/>
      <c r="EV66" s="709"/>
      <c r="EW66" s="709"/>
      <c r="EX66" s="709"/>
      <c r="EY66" s="709"/>
      <c r="EZ66" s="709"/>
      <c r="FA66" s="709"/>
      <c r="FB66" s="709"/>
      <c r="FC66" s="709"/>
      <c r="FD66" s="709"/>
      <c r="FE66" s="709"/>
      <c r="FF66" s="709"/>
      <c r="FG66" s="709"/>
      <c r="FH66" s="709"/>
      <c r="FI66" s="709"/>
      <c r="FJ66" s="709"/>
      <c r="FK66" s="709"/>
      <c r="FL66" s="709"/>
      <c r="FM66" s="709"/>
      <c r="FN66" s="709"/>
      <c r="FO66" s="709"/>
      <c r="FP66" s="709"/>
      <c r="FQ66" s="709"/>
      <c r="FR66" s="709"/>
      <c r="FS66" s="709"/>
      <c r="FT66" s="709"/>
      <c r="FU66" s="709"/>
      <c r="FV66" s="709"/>
      <c r="FW66" s="709"/>
      <c r="FX66" s="709"/>
      <c r="FY66" s="709"/>
      <c r="FZ66" s="709"/>
      <c r="GA66" s="709"/>
      <c r="GB66" s="709"/>
      <c r="GC66" s="709"/>
      <c r="GD66" s="709"/>
      <c r="GE66" s="709"/>
      <c r="GF66" s="709"/>
      <c r="GG66" s="709"/>
      <c r="GH66" s="709"/>
      <c r="GI66" s="709"/>
      <c r="GJ66" s="709"/>
      <c r="GK66" s="709"/>
      <c r="GL66" s="709"/>
      <c r="GM66" s="709"/>
      <c r="GN66" s="709"/>
      <c r="GO66" s="709"/>
      <c r="GP66" s="709"/>
      <c r="GQ66" s="709"/>
      <c r="GR66" s="709"/>
      <c r="GS66" s="709"/>
      <c r="GT66" s="709"/>
      <c r="GU66" s="709"/>
      <c r="GV66" s="709"/>
      <c r="GW66" s="709"/>
      <c r="GX66" s="709"/>
      <c r="GY66" s="709"/>
      <c r="GZ66" s="709"/>
      <c r="HA66" s="709"/>
      <c r="HB66" s="709"/>
      <c r="HC66" s="709"/>
      <c r="HD66" s="709"/>
      <c r="HE66" s="709"/>
      <c r="HF66" s="709"/>
      <c r="HG66" s="709"/>
      <c r="HH66" s="709"/>
      <c r="HI66" s="709"/>
      <c r="HJ66" s="709"/>
      <c r="HK66" s="709"/>
      <c r="HL66" s="709"/>
      <c r="HM66" s="709"/>
      <c r="HN66" s="709"/>
      <c r="HO66" s="709"/>
      <c r="HP66" s="709"/>
      <c r="HQ66" s="709"/>
      <c r="HR66" s="709"/>
      <c r="HS66" s="709"/>
      <c r="HT66" s="709"/>
      <c r="HU66" s="709"/>
      <c r="HV66" s="709"/>
      <c r="HW66" s="709"/>
      <c r="HX66" s="709"/>
      <c r="HY66" s="709"/>
      <c r="HZ66" s="709"/>
      <c r="IA66" s="709"/>
      <c r="IB66" s="709"/>
      <c r="IC66" s="709"/>
      <c r="ID66" s="709"/>
      <c r="IE66" s="709"/>
      <c r="IF66" s="709"/>
      <c r="IG66" s="709"/>
      <c r="IH66" s="709"/>
      <c r="II66" s="709"/>
      <c r="IJ66" s="709"/>
      <c r="IK66" s="709"/>
      <c r="IL66" s="709"/>
      <c r="IM66" s="709"/>
      <c r="IN66" s="709"/>
      <c r="IO66" s="709"/>
      <c r="IP66" s="709"/>
      <c r="IQ66" s="709"/>
      <c r="IR66" s="709"/>
      <c r="IS66" s="709"/>
      <c r="IT66" s="709"/>
      <c r="IU66" s="709"/>
      <c r="IV66" s="709"/>
    </row>
    <row r="67" spans="1:256" ht="12.75" hidden="1" customHeight="1">
      <c r="A67" s="706" t="s">
        <v>344</v>
      </c>
      <c r="B67" s="688">
        <f>14146.9+1368.3</f>
        <v>15515.199999999999</v>
      </c>
      <c r="C67" s="706">
        <v>18362.900000000001</v>
      </c>
      <c r="D67" s="689"/>
      <c r="E67" s="706">
        <f>B67-C67</f>
        <v>-2847.7000000000025</v>
      </c>
      <c r="F67" s="688">
        <v>-2650.2</v>
      </c>
      <c r="G67" s="688">
        <v>4189.3</v>
      </c>
      <c r="H67" s="706">
        <f t="shared" si="4"/>
        <v>1539.1000000000004</v>
      </c>
      <c r="I67" s="693"/>
      <c r="J67" s="688">
        <v>1308.5999999999999</v>
      </c>
      <c r="K67" s="706">
        <f>J67+H67</f>
        <v>2847.7000000000003</v>
      </c>
      <c r="L67" s="691"/>
      <c r="M67" s="709"/>
      <c r="N67" s="709"/>
      <c r="O67" s="709"/>
      <c r="P67" s="709"/>
      <c r="Q67" s="709"/>
      <c r="R67" s="709"/>
      <c r="S67" s="709"/>
      <c r="T67" s="709"/>
      <c r="U67" s="709"/>
      <c r="V67" s="709"/>
      <c r="W67" s="709"/>
      <c r="X67" s="709"/>
      <c r="Y67" s="709"/>
      <c r="Z67" s="709"/>
      <c r="AA67" s="709"/>
      <c r="AB67" s="709"/>
      <c r="AC67" s="709"/>
      <c r="AD67" s="709"/>
      <c r="AE67" s="709"/>
      <c r="AF67" s="709"/>
      <c r="AG67" s="709"/>
      <c r="AH67" s="709"/>
      <c r="AI67" s="709"/>
      <c r="AJ67" s="709"/>
      <c r="AK67" s="709"/>
      <c r="AL67" s="709"/>
      <c r="AM67" s="709"/>
      <c r="AN67" s="709"/>
      <c r="AO67" s="709"/>
      <c r="AP67" s="709"/>
      <c r="AQ67" s="709"/>
      <c r="AR67" s="709"/>
      <c r="AS67" s="709"/>
      <c r="AT67" s="709"/>
      <c r="AU67" s="709"/>
      <c r="AV67" s="709"/>
      <c r="AW67" s="709"/>
      <c r="AX67" s="709"/>
      <c r="AY67" s="709"/>
      <c r="AZ67" s="709"/>
      <c r="BA67" s="709"/>
      <c r="BB67" s="709"/>
      <c r="BC67" s="709"/>
      <c r="BD67" s="709"/>
      <c r="BE67" s="709"/>
      <c r="BF67" s="709"/>
      <c r="BG67" s="709"/>
      <c r="BH67" s="709"/>
      <c r="BI67" s="709"/>
      <c r="BJ67" s="709"/>
      <c r="BK67" s="709"/>
      <c r="BL67" s="709"/>
      <c r="BM67" s="709"/>
      <c r="BN67" s="709"/>
      <c r="BO67" s="709"/>
      <c r="BP67" s="709"/>
      <c r="BQ67" s="709"/>
      <c r="BR67" s="709"/>
      <c r="BS67" s="709"/>
      <c r="BT67" s="709"/>
      <c r="BU67" s="709"/>
      <c r="BV67" s="709"/>
      <c r="BW67" s="709"/>
      <c r="BX67" s="709"/>
      <c r="BY67" s="709"/>
      <c r="BZ67" s="709"/>
      <c r="CA67" s="709"/>
      <c r="CB67" s="709"/>
      <c r="CC67" s="709"/>
      <c r="CD67" s="709"/>
      <c r="CE67" s="709"/>
      <c r="CF67" s="709"/>
      <c r="CG67" s="709"/>
      <c r="CH67" s="709"/>
      <c r="CI67" s="709"/>
      <c r="CJ67" s="709"/>
      <c r="CK67" s="709"/>
      <c r="CL67" s="709"/>
      <c r="CM67" s="709"/>
      <c r="CN67" s="709"/>
      <c r="CO67" s="709"/>
      <c r="CP67" s="709"/>
      <c r="CQ67" s="709"/>
      <c r="CR67" s="709"/>
      <c r="CS67" s="709"/>
      <c r="CT67" s="709"/>
      <c r="CU67" s="709"/>
      <c r="CV67" s="709"/>
      <c r="CW67" s="709"/>
      <c r="CX67" s="709"/>
      <c r="CY67" s="709"/>
      <c r="CZ67" s="709"/>
      <c r="DA67" s="709"/>
      <c r="DB67" s="709"/>
      <c r="DC67" s="709"/>
      <c r="DD67" s="709"/>
      <c r="DE67" s="709"/>
      <c r="DF67" s="709"/>
      <c r="DG67" s="709"/>
      <c r="DH67" s="709"/>
      <c r="DI67" s="709"/>
      <c r="DJ67" s="709"/>
      <c r="DK67" s="709"/>
      <c r="DL67" s="709"/>
      <c r="DM67" s="709"/>
      <c r="DN67" s="709"/>
      <c r="DO67" s="709"/>
      <c r="DP67" s="709"/>
      <c r="DQ67" s="709"/>
      <c r="DR67" s="709"/>
      <c r="DS67" s="709"/>
      <c r="DT67" s="709"/>
      <c r="DU67" s="709"/>
      <c r="DV67" s="709"/>
      <c r="DW67" s="709"/>
      <c r="DX67" s="709"/>
      <c r="DY67" s="709"/>
      <c r="DZ67" s="709"/>
      <c r="EA67" s="709"/>
      <c r="EB67" s="709"/>
      <c r="EC67" s="709"/>
      <c r="ED67" s="709"/>
      <c r="EE67" s="709"/>
      <c r="EF67" s="709"/>
      <c r="EG67" s="709"/>
      <c r="EH67" s="709"/>
      <c r="EI67" s="709"/>
      <c r="EJ67" s="709"/>
      <c r="EK67" s="709"/>
      <c r="EL67" s="709"/>
      <c r="EM67" s="709"/>
      <c r="EN67" s="709"/>
      <c r="EO67" s="709"/>
      <c r="EP67" s="709"/>
      <c r="EQ67" s="709"/>
      <c r="ER67" s="709"/>
      <c r="ES67" s="709"/>
      <c r="ET67" s="709"/>
      <c r="EU67" s="709"/>
      <c r="EV67" s="709"/>
      <c r="EW67" s="709"/>
      <c r="EX67" s="709"/>
      <c r="EY67" s="709"/>
      <c r="EZ67" s="709"/>
      <c r="FA67" s="709"/>
      <c r="FB67" s="709"/>
      <c r="FC67" s="709"/>
      <c r="FD67" s="709"/>
      <c r="FE67" s="709"/>
      <c r="FF67" s="709"/>
      <c r="FG67" s="709"/>
      <c r="FH67" s="709"/>
      <c r="FI67" s="709"/>
      <c r="FJ67" s="709"/>
      <c r="FK67" s="709"/>
      <c r="FL67" s="709"/>
      <c r="FM67" s="709"/>
      <c r="FN67" s="709"/>
      <c r="FO67" s="709"/>
      <c r="FP67" s="709"/>
      <c r="FQ67" s="709"/>
      <c r="FR67" s="709"/>
      <c r="FS67" s="709"/>
      <c r="FT67" s="709"/>
      <c r="FU67" s="709"/>
      <c r="FV67" s="709"/>
      <c r="FW67" s="709"/>
      <c r="FX67" s="709"/>
      <c r="FY67" s="709"/>
      <c r="FZ67" s="709"/>
      <c r="GA67" s="709"/>
      <c r="GB67" s="709"/>
      <c r="GC67" s="709"/>
      <c r="GD67" s="709"/>
      <c r="GE67" s="709"/>
      <c r="GF67" s="709"/>
      <c r="GG67" s="709"/>
      <c r="GH67" s="709"/>
      <c r="GI67" s="709"/>
      <c r="GJ67" s="709"/>
      <c r="GK67" s="709"/>
      <c r="GL67" s="709"/>
      <c r="GM67" s="709"/>
      <c r="GN67" s="709"/>
      <c r="GO67" s="709"/>
      <c r="GP67" s="709"/>
      <c r="GQ67" s="709"/>
      <c r="GR67" s="709"/>
      <c r="GS67" s="709"/>
      <c r="GT67" s="709"/>
      <c r="GU67" s="709"/>
      <c r="GV67" s="709"/>
      <c r="GW67" s="709"/>
      <c r="GX67" s="709"/>
      <c r="GY67" s="709"/>
      <c r="GZ67" s="709"/>
      <c r="HA67" s="709"/>
      <c r="HB67" s="709"/>
      <c r="HC67" s="709"/>
      <c r="HD67" s="709"/>
      <c r="HE67" s="709"/>
      <c r="HF67" s="709"/>
      <c r="HG67" s="709"/>
      <c r="HH67" s="709"/>
      <c r="HI67" s="709"/>
      <c r="HJ67" s="709"/>
      <c r="HK67" s="709"/>
      <c r="HL67" s="709"/>
      <c r="HM67" s="709"/>
      <c r="HN67" s="709"/>
      <c r="HO67" s="709"/>
      <c r="HP67" s="709"/>
      <c r="HQ67" s="709"/>
      <c r="HR67" s="709"/>
      <c r="HS67" s="709"/>
      <c r="HT67" s="709"/>
      <c r="HU67" s="709"/>
      <c r="HV67" s="709"/>
      <c r="HW67" s="709"/>
      <c r="HX67" s="709"/>
      <c r="HY67" s="709"/>
      <c r="HZ67" s="709"/>
      <c r="IA67" s="709"/>
      <c r="IB67" s="709"/>
      <c r="IC67" s="709"/>
      <c r="ID67" s="709"/>
      <c r="IE67" s="709"/>
      <c r="IF67" s="709"/>
      <c r="IG67" s="709"/>
      <c r="IH67" s="709"/>
      <c r="II67" s="709"/>
      <c r="IJ67" s="709"/>
      <c r="IK67" s="709"/>
      <c r="IL67" s="709"/>
      <c r="IM67" s="709"/>
      <c r="IN67" s="709"/>
      <c r="IO67" s="709"/>
      <c r="IP67" s="709"/>
      <c r="IQ67" s="709"/>
      <c r="IR67" s="709"/>
      <c r="IS67" s="709"/>
      <c r="IT67" s="709"/>
      <c r="IU67" s="709"/>
      <c r="IV67" s="709"/>
    </row>
    <row r="68" spans="1:256" ht="12.75" hidden="1" customHeight="1">
      <c r="A68" s="688"/>
      <c r="B68" s="688"/>
      <c r="C68" s="688"/>
      <c r="D68" s="689"/>
      <c r="E68" s="688"/>
      <c r="F68" s="688"/>
      <c r="G68" s="688"/>
      <c r="H68" s="688"/>
      <c r="I68" s="693"/>
      <c r="J68" s="688"/>
      <c r="K68" s="688"/>
      <c r="L68" s="691"/>
      <c r="M68" s="709"/>
      <c r="N68" s="709"/>
      <c r="O68" s="709"/>
      <c r="P68" s="709"/>
      <c r="Q68" s="709"/>
      <c r="R68" s="709"/>
      <c r="S68" s="709"/>
      <c r="T68" s="709"/>
      <c r="U68" s="709"/>
      <c r="V68" s="709"/>
      <c r="W68" s="709"/>
      <c r="X68" s="709"/>
      <c r="Y68" s="709"/>
      <c r="Z68" s="709"/>
      <c r="AA68" s="709"/>
      <c r="AB68" s="709"/>
      <c r="AC68" s="709"/>
      <c r="AD68" s="709"/>
      <c r="AE68" s="709"/>
      <c r="AF68" s="709"/>
      <c r="AG68" s="709"/>
      <c r="AH68" s="709"/>
      <c r="AI68" s="709"/>
      <c r="AJ68" s="709"/>
      <c r="AK68" s="709"/>
      <c r="AL68" s="709"/>
      <c r="AM68" s="709"/>
      <c r="AN68" s="709"/>
      <c r="AO68" s="709"/>
      <c r="AP68" s="709"/>
      <c r="AQ68" s="709"/>
      <c r="AR68" s="709"/>
      <c r="AS68" s="709"/>
      <c r="AT68" s="709"/>
      <c r="AU68" s="709"/>
      <c r="AV68" s="709"/>
      <c r="AW68" s="709"/>
      <c r="AX68" s="709"/>
      <c r="AY68" s="709"/>
      <c r="AZ68" s="709"/>
      <c r="BA68" s="709"/>
      <c r="BB68" s="709"/>
      <c r="BC68" s="709"/>
      <c r="BD68" s="709"/>
      <c r="BE68" s="709"/>
      <c r="BF68" s="709"/>
      <c r="BG68" s="709"/>
      <c r="BH68" s="709"/>
      <c r="BI68" s="709"/>
      <c r="BJ68" s="709"/>
      <c r="BK68" s="709"/>
      <c r="BL68" s="709"/>
      <c r="BM68" s="709"/>
      <c r="BN68" s="709"/>
      <c r="BO68" s="709"/>
      <c r="BP68" s="709"/>
      <c r="BQ68" s="709"/>
      <c r="BR68" s="709"/>
      <c r="BS68" s="709"/>
      <c r="BT68" s="709"/>
      <c r="BU68" s="709"/>
      <c r="BV68" s="709"/>
      <c r="BW68" s="709"/>
      <c r="BX68" s="709"/>
      <c r="BY68" s="709"/>
      <c r="BZ68" s="709"/>
      <c r="CA68" s="709"/>
      <c r="CB68" s="709"/>
      <c r="CC68" s="709"/>
      <c r="CD68" s="709"/>
      <c r="CE68" s="709"/>
      <c r="CF68" s="709"/>
      <c r="CG68" s="709"/>
      <c r="CH68" s="709"/>
      <c r="CI68" s="709"/>
      <c r="CJ68" s="709"/>
      <c r="CK68" s="709"/>
      <c r="CL68" s="709"/>
      <c r="CM68" s="709"/>
      <c r="CN68" s="709"/>
      <c r="CO68" s="709"/>
      <c r="CP68" s="709"/>
      <c r="CQ68" s="709"/>
      <c r="CR68" s="709"/>
      <c r="CS68" s="709"/>
      <c r="CT68" s="709"/>
      <c r="CU68" s="709"/>
      <c r="CV68" s="709"/>
      <c r="CW68" s="709"/>
      <c r="CX68" s="709"/>
      <c r="CY68" s="709"/>
      <c r="CZ68" s="709"/>
      <c r="DA68" s="709"/>
      <c r="DB68" s="709"/>
      <c r="DC68" s="709"/>
      <c r="DD68" s="709"/>
      <c r="DE68" s="709"/>
      <c r="DF68" s="709"/>
      <c r="DG68" s="709"/>
      <c r="DH68" s="709"/>
      <c r="DI68" s="709"/>
      <c r="DJ68" s="709"/>
      <c r="DK68" s="709"/>
      <c r="DL68" s="709"/>
      <c r="DM68" s="709"/>
      <c r="DN68" s="709"/>
      <c r="DO68" s="709"/>
      <c r="DP68" s="709"/>
      <c r="DQ68" s="709"/>
      <c r="DR68" s="709"/>
      <c r="DS68" s="709"/>
      <c r="DT68" s="709"/>
      <c r="DU68" s="709"/>
      <c r="DV68" s="709"/>
      <c r="DW68" s="709"/>
      <c r="DX68" s="709"/>
      <c r="DY68" s="709"/>
      <c r="DZ68" s="709"/>
      <c r="EA68" s="709"/>
      <c r="EB68" s="709"/>
      <c r="EC68" s="709"/>
      <c r="ED68" s="709"/>
      <c r="EE68" s="709"/>
      <c r="EF68" s="709"/>
      <c r="EG68" s="709"/>
      <c r="EH68" s="709"/>
      <c r="EI68" s="709"/>
      <c r="EJ68" s="709"/>
      <c r="EK68" s="709"/>
      <c r="EL68" s="709"/>
      <c r="EM68" s="709"/>
      <c r="EN68" s="709"/>
      <c r="EO68" s="709"/>
      <c r="EP68" s="709"/>
      <c r="EQ68" s="709"/>
      <c r="ER68" s="709"/>
      <c r="ES68" s="709"/>
      <c r="ET68" s="709"/>
      <c r="EU68" s="709"/>
      <c r="EV68" s="709"/>
      <c r="EW68" s="709"/>
      <c r="EX68" s="709"/>
      <c r="EY68" s="709"/>
      <c r="EZ68" s="709"/>
      <c r="FA68" s="709"/>
      <c r="FB68" s="709"/>
      <c r="FC68" s="709"/>
      <c r="FD68" s="709"/>
      <c r="FE68" s="709"/>
      <c r="FF68" s="709"/>
      <c r="FG68" s="709"/>
      <c r="FH68" s="709"/>
      <c r="FI68" s="709"/>
      <c r="FJ68" s="709"/>
      <c r="FK68" s="709"/>
      <c r="FL68" s="709"/>
      <c r="FM68" s="709"/>
      <c r="FN68" s="709"/>
      <c r="FO68" s="709"/>
      <c r="FP68" s="709"/>
      <c r="FQ68" s="709"/>
      <c r="FR68" s="709"/>
      <c r="FS68" s="709"/>
      <c r="FT68" s="709"/>
      <c r="FU68" s="709"/>
      <c r="FV68" s="709"/>
      <c r="FW68" s="709"/>
      <c r="FX68" s="709"/>
      <c r="FY68" s="709"/>
      <c r="FZ68" s="709"/>
      <c r="GA68" s="709"/>
      <c r="GB68" s="709"/>
      <c r="GC68" s="709"/>
      <c r="GD68" s="709"/>
      <c r="GE68" s="709"/>
      <c r="GF68" s="709"/>
      <c r="GG68" s="709"/>
      <c r="GH68" s="709"/>
      <c r="GI68" s="709"/>
      <c r="GJ68" s="709"/>
      <c r="GK68" s="709"/>
      <c r="GL68" s="709"/>
      <c r="GM68" s="709"/>
      <c r="GN68" s="709"/>
      <c r="GO68" s="709"/>
      <c r="GP68" s="709"/>
      <c r="GQ68" s="709"/>
      <c r="GR68" s="709"/>
      <c r="GS68" s="709"/>
      <c r="GT68" s="709"/>
      <c r="GU68" s="709"/>
      <c r="GV68" s="709"/>
      <c r="GW68" s="709"/>
      <c r="GX68" s="709"/>
      <c r="GY68" s="709"/>
      <c r="GZ68" s="709"/>
      <c r="HA68" s="709"/>
      <c r="HB68" s="709"/>
      <c r="HC68" s="709"/>
      <c r="HD68" s="709"/>
      <c r="HE68" s="709"/>
      <c r="HF68" s="709"/>
      <c r="HG68" s="709"/>
      <c r="HH68" s="709"/>
      <c r="HI68" s="709"/>
      <c r="HJ68" s="709"/>
      <c r="HK68" s="709"/>
      <c r="HL68" s="709"/>
      <c r="HM68" s="709"/>
      <c r="HN68" s="709"/>
      <c r="HO68" s="709"/>
      <c r="HP68" s="709"/>
      <c r="HQ68" s="709"/>
      <c r="HR68" s="709"/>
      <c r="HS68" s="709"/>
      <c r="HT68" s="709"/>
      <c r="HU68" s="709"/>
      <c r="HV68" s="709"/>
      <c r="HW68" s="709"/>
      <c r="HX68" s="709"/>
      <c r="HY68" s="709"/>
      <c r="HZ68" s="709"/>
      <c r="IA68" s="709"/>
      <c r="IB68" s="709"/>
      <c r="IC68" s="709"/>
      <c r="ID68" s="709"/>
      <c r="IE68" s="709"/>
      <c r="IF68" s="709"/>
      <c r="IG68" s="709"/>
      <c r="IH68" s="709"/>
      <c r="II68" s="709"/>
      <c r="IJ68" s="709"/>
      <c r="IK68" s="709"/>
      <c r="IL68" s="709"/>
      <c r="IM68" s="709"/>
      <c r="IN68" s="709"/>
      <c r="IO68" s="709"/>
      <c r="IP68" s="709"/>
      <c r="IQ68" s="709"/>
      <c r="IR68" s="709"/>
      <c r="IS68" s="709"/>
      <c r="IT68" s="709"/>
      <c r="IU68" s="709"/>
      <c r="IV68" s="709"/>
    </row>
    <row r="69" spans="1:256" ht="12.75" hidden="1" customHeight="1">
      <c r="A69" s="708">
        <v>2002</v>
      </c>
      <c r="B69" s="688"/>
      <c r="C69" s="706"/>
      <c r="D69" s="689"/>
      <c r="E69" s="706"/>
      <c r="F69" s="688"/>
      <c r="G69" s="688"/>
      <c r="H69" s="706"/>
      <c r="I69" s="693"/>
      <c r="J69" s="688"/>
      <c r="K69" s="706"/>
      <c r="L69" s="691"/>
      <c r="M69" s="709"/>
      <c r="N69" s="709"/>
      <c r="O69" s="709"/>
      <c r="P69" s="709"/>
      <c r="Q69" s="709"/>
      <c r="R69" s="709"/>
      <c r="S69" s="709"/>
      <c r="T69" s="709"/>
      <c r="U69" s="709"/>
      <c r="V69" s="709"/>
      <c r="W69" s="709"/>
      <c r="X69" s="709"/>
      <c r="Y69" s="709"/>
      <c r="Z69" s="709"/>
      <c r="AA69" s="709"/>
      <c r="AB69" s="709"/>
      <c r="AC69" s="709"/>
      <c r="AD69" s="709"/>
      <c r="AE69" s="709"/>
      <c r="AF69" s="709"/>
      <c r="AG69" s="709"/>
      <c r="AH69" s="709"/>
      <c r="AI69" s="709"/>
      <c r="AJ69" s="709"/>
      <c r="AK69" s="709"/>
      <c r="AL69" s="709"/>
      <c r="AM69" s="709"/>
      <c r="AN69" s="709"/>
      <c r="AO69" s="709"/>
      <c r="AP69" s="709"/>
      <c r="AQ69" s="709"/>
      <c r="AR69" s="709"/>
      <c r="AS69" s="709"/>
      <c r="AT69" s="709"/>
      <c r="AU69" s="709"/>
      <c r="AV69" s="709"/>
      <c r="AW69" s="709"/>
      <c r="AX69" s="709"/>
      <c r="AY69" s="709"/>
      <c r="AZ69" s="709"/>
      <c r="BA69" s="709"/>
      <c r="BB69" s="709"/>
      <c r="BC69" s="709"/>
      <c r="BD69" s="709"/>
      <c r="BE69" s="709"/>
      <c r="BF69" s="709"/>
      <c r="BG69" s="709"/>
      <c r="BH69" s="709"/>
      <c r="BI69" s="709"/>
      <c r="BJ69" s="709"/>
      <c r="BK69" s="709"/>
      <c r="BL69" s="709"/>
      <c r="BM69" s="709"/>
      <c r="BN69" s="709"/>
      <c r="BO69" s="709"/>
      <c r="BP69" s="709"/>
      <c r="BQ69" s="709"/>
      <c r="BR69" s="709"/>
      <c r="BS69" s="709"/>
      <c r="BT69" s="709"/>
      <c r="BU69" s="709"/>
      <c r="BV69" s="709"/>
      <c r="BW69" s="709"/>
      <c r="BX69" s="709"/>
      <c r="BY69" s="709"/>
      <c r="BZ69" s="709"/>
      <c r="CA69" s="709"/>
      <c r="CB69" s="709"/>
      <c r="CC69" s="709"/>
      <c r="CD69" s="709"/>
      <c r="CE69" s="709"/>
      <c r="CF69" s="709"/>
      <c r="CG69" s="709"/>
      <c r="CH69" s="709"/>
      <c r="CI69" s="709"/>
      <c r="CJ69" s="709"/>
      <c r="CK69" s="709"/>
      <c r="CL69" s="709"/>
      <c r="CM69" s="709"/>
      <c r="CN69" s="709"/>
      <c r="CO69" s="709"/>
      <c r="CP69" s="709"/>
      <c r="CQ69" s="709"/>
      <c r="CR69" s="709"/>
      <c r="CS69" s="709"/>
      <c r="CT69" s="709"/>
      <c r="CU69" s="709"/>
      <c r="CV69" s="709"/>
      <c r="CW69" s="709"/>
      <c r="CX69" s="709"/>
      <c r="CY69" s="709"/>
      <c r="CZ69" s="709"/>
      <c r="DA69" s="709"/>
      <c r="DB69" s="709"/>
      <c r="DC69" s="709"/>
      <c r="DD69" s="709"/>
      <c r="DE69" s="709"/>
      <c r="DF69" s="709"/>
      <c r="DG69" s="709"/>
      <c r="DH69" s="709"/>
      <c r="DI69" s="709"/>
      <c r="DJ69" s="709"/>
      <c r="DK69" s="709"/>
      <c r="DL69" s="709"/>
      <c r="DM69" s="709"/>
      <c r="DN69" s="709"/>
      <c r="DO69" s="709"/>
      <c r="DP69" s="709"/>
      <c r="DQ69" s="709"/>
      <c r="DR69" s="709"/>
      <c r="DS69" s="709"/>
      <c r="DT69" s="709"/>
      <c r="DU69" s="709"/>
      <c r="DV69" s="709"/>
      <c r="DW69" s="709"/>
      <c r="DX69" s="709"/>
      <c r="DY69" s="709"/>
      <c r="DZ69" s="709"/>
      <c r="EA69" s="709"/>
      <c r="EB69" s="709"/>
      <c r="EC69" s="709"/>
      <c r="ED69" s="709"/>
      <c r="EE69" s="709"/>
      <c r="EF69" s="709"/>
      <c r="EG69" s="709"/>
      <c r="EH69" s="709"/>
      <c r="EI69" s="709"/>
      <c r="EJ69" s="709"/>
      <c r="EK69" s="709"/>
      <c r="EL69" s="709"/>
      <c r="EM69" s="709"/>
      <c r="EN69" s="709"/>
      <c r="EO69" s="709"/>
      <c r="EP69" s="709"/>
      <c r="EQ69" s="709"/>
      <c r="ER69" s="709"/>
      <c r="ES69" s="709"/>
      <c r="ET69" s="709"/>
      <c r="EU69" s="709"/>
      <c r="EV69" s="709"/>
      <c r="EW69" s="709"/>
      <c r="EX69" s="709"/>
      <c r="EY69" s="709"/>
      <c r="EZ69" s="709"/>
      <c r="FA69" s="709"/>
      <c r="FB69" s="709"/>
      <c r="FC69" s="709"/>
      <c r="FD69" s="709"/>
      <c r="FE69" s="709"/>
      <c r="FF69" s="709"/>
      <c r="FG69" s="709"/>
      <c r="FH69" s="709"/>
      <c r="FI69" s="709"/>
      <c r="FJ69" s="709"/>
      <c r="FK69" s="709"/>
      <c r="FL69" s="709"/>
      <c r="FM69" s="709"/>
      <c r="FN69" s="709"/>
      <c r="FO69" s="709"/>
      <c r="FP69" s="709"/>
      <c r="FQ69" s="709"/>
      <c r="FR69" s="709"/>
      <c r="FS69" s="709"/>
      <c r="FT69" s="709"/>
      <c r="FU69" s="709"/>
      <c r="FV69" s="709"/>
      <c r="FW69" s="709"/>
      <c r="FX69" s="709"/>
      <c r="FY69" s="709"/>
      <c r="FZ69" s="709"/>
      <c r="GA69" s="709"/>
      <c r="GB69" s="709"/>
      <c r="GC69" s="709"/>
      <c r="GD69" s="709"/>
      <c r="GE69" s="709"/>
      <c r="GF69" s="709"/>
      <c r="GG69" s="709"/>
      <c r="GH69" s="709"/>
      <c r="GI69" s="709"/>
      <c r="GJ69" s="709"/>
      <c r="GK69" s="709"/>
      <c r="GL69" s="709"/>
      <c r="GM69" s="709"/>
      <c r="GN69" s="709"/>
      <c r="GO69" s="709"/>
      <c r="GP69" s="709"/>
      <c r="GQ69" s="709"/>
      <c r="GR69" s="709"/>
      <c r="GS69" s="709"/>
      <c r="GT69" s="709"/>
      <c r="GU69" s="709"/>
      <c r="GV69" s="709"/>
      <c r="GW69" s="709"/>
      <c r="GX69" s="709"/>
      <c r="GY69" s="709"/>
      <c r="GZ69" s="709"/>
      <c r="HA69" s="709"/>
      <c r="HB69" s="709"/>
      <c r="HC69" s="709"/>
      <c r="HD69" s="709"/>
      <c r="HE69" s="709"/>
      <c r="HF69" s="709"/>
      <c r="HG69" s="709"/>
      <c r="HH69" s="709"/>
      <c r="HI69" s="709"/>
      <c r="HJ69" s="709"/>
      <c r="HK69" s="709"/>
      <c r="HL69" s="709"/>
      <c r="HM69" s="709"/>
      <c r="HN69" s="709"/>
      <c r="HO69" s="709"/>
      <c r="HP69" s="709"/>
      <c r="HQ69" s="709"/>
      <c r="HR69" s="709"/>
      <c r="HS69" s="709"/>
      <c r="HT69" s="709"/>
      <c r="HU69" s="709"/>
      <c r="HV69" s="709"/>
      <c r="HW69" s="709"/>
      <c r="HX69" s="709"/>
      <c r="HY69" s="709"/>
      <c r="HZ69" s="709"/>
      <c r="IA69" s="709"/>
      <c r="IB69" s="709"/>
      <c r="IC69" s="709"/>
      <c r="ID69" s="709"/>
      <c r="IE69" s="709"/>
      <c r="IF69" s="709"/>
      <c r="IG69" s="709"/>
      <c r="IH69" s="709"/>
      <c r="II69" s="709"/>
      <c r="IJ69" s="709"/>
      <c r="IK69" s="709"/>
      <c r="IL69" s="709"/>
      <c r="IM69" s="709"/>
      <c r="IN69" s="709"/>
      <c r="IO69" s="709"/>
      <c r="IP69" s="709"/>
      <c r="IQ69" s="709"/>
      <c r="IR69" s="709"/>
      <c r="IS69" s="709"/>
      <c r="IT69" s="709"/>
      <c r="IU69" s="709"/>
      <c r="IV69" s="709"/>
    </row>
    <row r="70" spans="1:256" ht="12.75" hidden="1" customHeight="1">
      <c r="A70" s="708"/>
      <c r="B70" s="688"/>
      <c r="C70" s="706"/>
      <c r="D70" s="689"/>
      <c r="E70" s="706"/>
      <c r="F70" s="688"/>
      <c r="G70" s="688"/>
      <c r="H70" s="706"/>
      <c r="I70" s="693"/>
      <c r="J70" s="688"/>
      <c r="K70" s="706"/>
      <c r="L70" s="691"/>
      <c r="M70" s="709"/>
      <c r="N70" s="709"/>
      <c r="O70" s="709"/>
      <c r="P70" s="709"/>
      <c r="Q70" s="709"/>
      <c r="R70" s="709"/>
      <c r="S70" s="709"/>
      <c r="T70" s="709"/>
      <c r="U70" s="709"/>
      <c r="V70" s="709"/>
      <c r="W70" s="709"/>
      <c r="X70" s="709"/>
      <c r="Y70" s="709"/>
      <c r="Z70" s="709"/>
      <c r="AA70" s="709"/>
      <c r="AB70" s="709"/>
      <c r="AC70" s="709"/>
      <c r="AD70" s="709"/>
      <c r="AE70" s="709"/>
      <c r="AF70" s="709"/>
      <c r="AG70" s="709"/>
      <c r="AH70" s="709"/>
      <c r="AI70" s="709"/>
      <c r="AJ70" s="709"/>
      <c r="AK70" s="709"/>
      <c r="AL70" s="709"/>
      <c r="AM70" s="709"/>
      <c r="AN70" s="709"/>
      <c r="AO70" s="709"/>
      <c r="AP70" s="709"/>
      <c r="AQ70" s="709"/>
      <c r="AR70" s="709"/>
      <c r="AS70" s="709"/>
      <c r="AT70" s="709"/>
      <c r="AU70" s="709"/>
      <c r="AV70" s="709"/>
      <c r="AW70" s="709"/>
      <c r="AX70" s="709"/>
      <c r="AY70" s="709"/>
      <c r="AZ70" s="709"/>
      <c r="BA70" s="709"/>
      <c r="BB70" s="709"/>
      <c r="BC70" s="709"/>
      <c r="BD70" s="709"/>
      <c r="BE70" s="709"/>
      <c r="BF70" s="709"/>
      <c r="BG70" s="709"/>
      <c r="BH70" s="709"/>
      <c r="BI70" s="709"/>
      <c r="BJ70" s="709"/>
      <c r="BK70" s="709"/>
      <c r="BL70" s="709"/>
      <c r="BM70" s="709"/>
      <c r="BN70" s="709"/>
      <c r="BO70" s="709"/>
      <c r="BP70" s="709"/>
      <c r="BQ70" s="709"/>
      <c r="BR70" s="709"/>
      <c r="BS70" s="709"/>
      <c r="BT70" s="709"/>
      <c r="BU70" s="709"/>
      <c r="BV70" s="709"/>
      <c r="BW70" s="709"/>
      <c r="BX70" s="709"/>
      <c r="BY70" s="709"/>
      <c r="BZ70" s="709"/>
      <c r="CA70" s="709"/>
      <c r="CB70" s="709"/>
      <c r="CC70" s="709"/>
      <c r="CD70" s="709"/>
      <c r="CE70" s="709"/>
      <c r="CF70" s="709"/>
      <c r="CG70" s="709"/>
      <c r="CH70" s="709"/>
      <c r="CI70" s="709"/>
      <c r="CJ70" s="709"/>
      <c r="CK70" s="709"/>
      <c r="CL70" s="709"/>
      <c r="CM70" s="709"/>
      <c r="CN70" s="709"/>
      <c r="CO70" s="709"/>
      <c r="CP70" s="709"/>
      <c r="CQ70" s="709"/>
      <c r="CR70" s="709"/>
      <c r="CS70" s="709"/>
      <c r="CT70" s="709"/>
      <c r="CU70" s="709"/>
      <c r="CV70" s="709"/>
      <c r="CW70" s="709"/>
      <c r="CX70" s="709"/>
      <c r="CY70" s="709"/>
      <c r="CZ70" s="709"/>
      <c r="DA70" s="709"/>
      <c r="DB70" s="709"/>
      <c r="DC70" s="709"/>
      <c r="DD70" s="709"/>
      <c r="DE70" s="709"/>
      <c r="DF70" s="709"/>
      <c r="DG70" s="709"/>
      <c r="DH70" s="709"/>
      <c r="DI70" s="709"/>
      <c r="DJ70" s="709"/>
      <c r="DK70" s="709"/>
      <c r="DL70" s="709"/>
      <c r="DM70" s="709"/>
      <c r="DN70" s="709"/>
      <c r="DO70" s="709"/>
      <c r="DP70" s="709"/>
      <c r="DQ70" s="709"/>
      <c r="DR70" s="709"/>
      <c r="DS70" s="709"/>
      <c r="DT70" s="709"/>
      <c r="DU70" s="709"/>
      <c r="DV70" s="709"/>
      <c r="DW70" s="709"/>
      <c r="DX70" s="709"/>
      <c r="DY70" s="709"/>
      <c r="DZ70" s="709"/>
      <c r="EA70" s="709"/>
      <c r="EB70" s="709"/>
      <c r="EC70" s="709"/>
      <c r="ED70" s="709"/>
      <c r="EE70" s="709"/>
      <c r="EF70" s="709"/>
      <c r="EG70" s="709"/>
      <c r="EH70" s="709"/>
      <c r="EI70" s="709"/>
      <c r="EJ70" s="709"/>
      <c r="EK70" s="709"/>
      <c r="EL70" s="709"/>
      <c r="EM70" s="709"/>
      <c r="EN70" s="709"/>
      <c r="EO70" s="709"/>
      <c r="EP70" s="709"/>
      <c r="EQ70" s="709"/>
      <c r="ER70" s="709"/>
      <c r="ES70" s="709"/>
      <c r="ET70" s="709"/>
      <c r="EU70" s="709"/>
      <c r="EV70" s="709"/>
      <c r="EW70" s="709"/>
      <c r="EX70" s="709"/>
      <c r="EY70" s="709"/>
      <c r="EZ70" s="709"/>
      <c r="FA70" s="709"/>
      <c r="FB70" s="709"/>
      <c r="FC70" s="709"/>
      <c r="FD70" s="709"/>
      <c r="FE70" s="709"/>
      <c r="FF70" s="709"/>
      <c r="FG70" s="709"/>
      <c r="FH70" s="709"/>
      <c r="FI70" s="709"/>
      <c r="FJ70" s="709"/>
      <c r="FK70" s="709"/>
      <c r="FL70" s="709"/>
      <c r="FM70" s="709"/>
      <c r="FN70" s="709"/>
      <c r="FO70" s="709"/>
      <c r="FP70" s="709"/>
      <c r="FQ70" s="709"/>
      <c r="FR70" s="709"/>
      <c r="FS70" s="709"/>
      <c r="FT70" s="709"/>
      <c r="FU70" s="709"/>
      <c r="FV70" s="709"/>
      <c r="FW70" s="709"/>
      <c r="FX70" s="709"/>
      <c r="FY70" s="709"/>
      <c r="FZ70" s="709"/>
      <c r="GA70" s="709"/>
      <c r="GB70" s="709"/>
      <c r="GC70" s="709"/>
      <c r="GD70" s="709"/>
      <c r="GE70" s="709"/>
      <c r="GF70" s="709"/>
      <c r="GG70" s="709"/>
      <c r="GH70" s="709"/>
      <c r="GI70" s="709"/>
      <c r="GJ70" s="709"/>
      <c r="GK70" s="709"/>
      <c r="GL70" s="709"/>
      <c r="GM70" s="709"/>
      <c r="GN70" s="709"/>
      <c r="GO70" s="709"/>
      <c r="GP70" s="709"/>
      <c r="GQ70" s="709"/>
      <c r="GR70" s="709"/>
      <c r="GS70" s="709"/>
      <c r="GT70" s="709"/>
      <c r="GU70" s="709"/>
      <c r="GV70" s="709"/>
      <c r="GW70" s="709"/>
      <c r="GX70" s="709"/>
      <c r="GY70" s="709"/>
      <c r="GZ70" s="709"/>
      <c r="HA70" s="709"/>
      <c r="HB70" s="709"/>
      <c r="HC70" s="709"/>
      <c r="HD70" s="709"/>
      <c r="HE70" s="709"/>
      <c r="HF70" s="709"/>
      <c r="HG70" s="709"/>
      <c r="HH70" s="709"/>
      <c r="HI70" s="709"/>
      <c r="HJ70" s="709"/>
      <c r="HK70" s="709"/>
      <c r="HL70" s="709"/>
      <c r="HM70" s="709"/>
      <c r="HN70" s="709"/>
      <c r="HO70" s="709"/>
      <c r="HP70" s="709"/>
      <c r="HQ70" s="709"/>
      <c r="HR70" s="709"/>
      <c r="HS70" s="709"/>
      <c r="HT70" s="709"/>
      <c r="HU70" s="709"/>
      <c r="HV70" s="709"/>
      <c r="HW70" s="709"/>
      <c r="HX70" s="709"/>
      <c r="HY70" s="709"/>
      <c r="HZ70" s="709"/>
      <c r="IA70" s="709"/>
      <c r="IB70" s="709"/>
      <c r="IC70" s="709"/>
      <c r="ID70" s="709"/>
      <c r="IE70" s="709"/>
      <c r="IF70" s="709"/>
      <c r="IG70" s="709"/>
      <c r="IH70" s="709"/>
      <c r="II70" s="709"/>
      <c r="IJ70" s="709"/>
      <c r="IK70" s="709"/>
      <c r="IL70" s="709"/>
      <c r="IM70" s="709"/>
      <c r="IN70" s="709"/>
      <c r="IO70" s="709"/>
      <c r="IP70" s="709"/>
      <c r="IQ70" s="709"/>
      <c r="IR70" s="709"/>
      <c r="IS70" s="709"/>
      <c r="IT70" s="709"/>
      <c r="IU70" s="709"/>
      <c r="IV70" s="709"/>
    </row>
    <row r="71" spans="1:256" ht="12.75" hidden="1" customHeight="1">
      <c r="A71" s="706" t="s">
        <v>345</v>
      </c>
      <c r="B71" s="688">
        <v>12369.5</v>
      </c>
      <c r="C71" s="706">
        <v>31083.7</v>
      </c>
      <c r="D71" s="689"/>
      <c r="E71" s="706">
        <f>B71-C71</f>
        <v>-18714.2</v>
      </c>
      <c r="F71" s="688">
        <v>16148.6</v>
      </c>
      <c r="G71" s="688">
        <f>2586.1+2.2</f>
        <v>2588.2999999999997</v>
      </c>
      <c r="H71" s="706">
        <f t="shared" ref="H71:H82" si="6">G71+F71</f>
        <v>18736.900000000001</v>
      </c>
      <c r="I71" s="693"/>
      <c r="J71" s="688">
        <v>-23.3</v>
      </c>
      <c r="K71" s="706">
        <f t="shared" ref="K71:K82" si="7">J71+H71</f>
        <v>18713.600000000002</v>
      </c>
      <c r="L71" s="691"/>
      <c r="M71" s="709"/>
      <c r="N71" s="709"/>
      <c r="O71" s="709"/>
      <c r="P71" s="709"/>
      <c r="Q71" s="709"/>
      <c r="R71" s="709"/>
      <c r="S71" s="709"/>
      <c r="T71" s="709"/>
      <c r="U71" s="709"/>
      <c r="V71" s="709"/>
      <c r="W71" s="709"/>
      <c r="X71" s="709"/>
      <c r="Y71" s="709"/>
      <c r="Z71" s="709"/>
      <c r="AA71" s="709"/>
      <c r="AB71" s="709"/>
      <c r="AC71" s="709"/>
      <c r="AD71" s="709"/>
      <c r="AE71" s="709"/>
      <c r="AF71" s="709"/>
      <c r="AG71" s="709"/>
      <c r="AH71" s="709"/>
      <c r="AI71" s="709"/>
      <c r="AJ71" s="709"/>
      <c r="AK71" s="709"/>
      <c r="AL71" s="709"/>
      <c r="AM71" s="709"/>
      <c r="AN71" s="709"/>
      <c r="AO71" s="709"/>
      <c r="AP71" s="709"/>
      <c r="AQ71" s="709"/>
      <c r="AR71" s="709"/>
      <c r="AS71" s="709"/>
      <c r="AT71" s="709"/>
      <c r="AU71" s="709"/>
      <c r="AV71" s="709"/>
      <c r="AW71" s="709"/>
      <c r="AX71" s="709"/>
      <c r="AY71" s="709"/>
      <c r="AZ71" s="709"/>
      <c r="BA71" s="709"/>
      <c r="BB71" s="709"/>
      <c r="BC71" s="709"/>
      <c r="BD71" s="709"/>
      <c r="BE71" s="709"/>
      <c r="BF71" s="709"/>
      <c r="BG71" s="709"/>
      <c r="BH71" s="709"/>
      <c r="BI71" s="709"/>
      <c r="BJ71" s="709"/>
      <c r="BK71" s="709"/>
      <c r="BL71" s="709"/>
      <c r="BM71" s="709"/>
      <c r="BN71" s="709"/>
      <c r="BO71" s="709"/>
      <c r="BP71" s="709"/>
      <c r="BQ71" s="709"/>
      <c r="BR71" s="709"/>
      <c r="BS71" s="709"/>
      <c r="BT71" s="709"/>
      <c r="BU71" s="709"/>
      <c r="BV71" s="709"/>
      <c r="BW71" s="709"/>
      <c r="BX71" s="709"/>
      <c r="BY71" s="709"/>
      <c r="BZ71" s="709"/>
      <c r="CA71" s="709"/>
      <c r="CB71" s="709"/>
      <c r="CC71" s="709"/>
      <c r="CD71" s="709"/>
      <c r="CE71" s="709"/>
      <c r="CF71" s="709"/>
      <c r="CG71" s="709"/>
      <c r="CH71" s="709"/>
      <c r="CI71" s="709"/>
      <c r="CJ71" s="709"/>
      <c r="CK71" s="709"/>
      <c r="CL71" s="709"/>
      <c r="CM71" s="709"/>
      <c r="CN71" s="709"/>
      <c r="CO71" s="709"/>
      <c r="CP71" s="709"/>
      <c r="CQ71" s="709"/>
      <c r="CR71" s="709"/>
      <c r="CS71" s="709"/>
      <c r="CT71" s="709"/>
      <c r="CU71" s="709"/>
      <c r="CV71" s="709"/>
      <c r="CW71" s="709"/>
      <c r="CX71" s="709"/>
      <c r="CY71" s="709"/>
      <c r="CZ71" s="709"/>
      <c r="DA71" s="709"/>
      <c r="DB71" s="709"/>
      <c r="DC71" s="709"/>
      <c r="DD71" s="709"/>
      <c r="DE71" s="709"/>
      <c r="DF71" s="709"/>
      <c r="DG71" s="709"/>
      <c r="DH71" s="709"/>
      <c r="DI71" s="709"/>
      <c r="DJ71" s="709"/>
      <c r="DK71" s="709"/>
      <c r="DL71" s="709"/>
      <c r="DM71" s="709"/>
      <c r="DN71" s="709"/>
      <c r="DO71" s="709"/>
      <c r="DP71" s="709"/>
      <c r="DQ71" s="709"/>
      <c r="DR71" s="709"/>
      <c r="DS71" s="709"/>
      <c r="DT71" s="709"/>
      <c r="DU71" s="709"/>
      <c r="DV71" s="709"/>
      <c r="DW71" s="709"/>
      <c r="DX71" s="709"/>
      <c r="DY71" s="709"/>
      <c r="DZ71" s="709"/>
      <c r="EA71" s="709"/>
      <c r="EB71" s="709"/>
      <c r="EC71" s="709"/>
      <c r="ED71" s="709"/>
      <c r="EE71" s="709"/>
      <c r="EF71" s="709"/>
      <c r="EG71" s="709"/>
      <c r="EH71" s="709"/>
      <c r="EI71" s="709"/>
      <c r="EJ71" s="709"/>
      <c r="EK71" s="709"/>
      <c r="EL71" s="709"/>
      <c r="EM71" s="709"/>
      <c r="EN71" s="709"/>
      <c r="EO71" s="709"/>
      <c r="EP71" s="709"/>
      <c r="EQ71" s="709"/>
      <c r="ER71" s="709"/>
      <c r="ES71" s="709"/>
      <c r="ET71" s="709"/>
      <c r="EU71" s="709"/>
      <c r="EV71" s="709"/>
      <c r="EW71" s="709"/>
      <c r="EX71" s="709"/>
      <c r="EY71" s="709"/>
      <c r="EZ71" s="709"/>
      <c r="FA71" s="709"/>
      <c r="FB71" s="709"/>
      <c r="FC71" s="709"/>
      <c r="FD71" s="709"/>
      <c r="FE71" s="709"/>
      <c r="FF71" s="709"/>
      <c r="FG71" s="709"/>
      <c r="FH71" s="709"/>
      <c r="FI71" s="709"/>
      <c r="FJ71" s="709"/>
      <c r="FK71" s="709"/>
      <c r="FL71" s="709"/>
      <c r="FM71" s="709"/>
      <c r="FN71" s="709"/>
      <c r="FO71" s="709"/>
      <c r="FP71" s="709"/>
      <c r="FQ71" s="709"/>
      <c r="FR71" s="709"/>
      <c r="FS71" s="709"/>
      <c r="FT71" s="709"/>
      <c r="FU71" s="709"/>
      <c r="FV71" s="709"/>
      <c r="FW71" s="709"/>
      <c r="FX71" s="709"/>
      <c r="FY71" s="709"/>
      <c r="FZ71" s="709"/>
      <c r="GA71" s="709"/>
      <c r="GB71" s="709"/>
      <c r="GC71" s="709"/>
      <c r="GD71" s="709"/>
      <c r="GE71" s="709"/>
      <c r="GF71" s="709"/>
      <c r="GG71" s="709"/>
      <c r="GH71" s="709"/>
      <c r="GI71" s="709"/>
      <c r="GJ71" s="709"/>
      <c r="GK71" s="709"/>
      <c r="GL71" s="709"/>
      <c r="GM71" s="709"/>
      <c r="GN71" s="709"/>
      <c r="GO71" s="709"/>
      <c r="GP71" s="709"/>
      <c r="GQ71" s="709"/>
      <c r="GR71" s="709"/>
      <c r="GS71" s="709"/>
      <c r="GT71" s="709"/>
      <c r="GU71" s="709"/>
      <c r="GV71" s="709"/>
      <c r="GW71" s="709"/>
      <c r="GX71" s="709"/>
      <c r="GY71" s="709"/>
      <c r="GZ71" s="709"/>
      <c r="HA71" s="709"/>
      <c r="HB71" s="709"/>
      <c r="HC71" s="709"/>
      <c r="HD71" s="709"/>
      <c r="HE71" s="709"/>
      <c r="HF71" s="709"/>
      <c r="HG71" s="709"/>
      <c r="HH71" s="709"/>
      <c r="HI71" s="709"/>
      <c r="HJ71" s="709"/>
      <c r="HK71" s="709"/>
      <c r="HL71" s="709"/>
      <c r="HM71" s="709"/>
      <c r="HN71" s="709"/>
      <c r="HO71" s="709"/>
      <c r="HP71" s="709"/>
      <c r="HQ71" s="709"/>
      <c r="HR71" s="709"/>
      <c r="HS71" s="709"/>
      <c r="HT71" s="709"/>
      <c r="HU71" s="709"/>
      <c r="HV71" s="709"/>
      <c r="HW71" s="709"/>
      <c r="HX71" s="709"/>
      <c r="HY71" s="709"/>
      <c r="HZ71" s="709"/>
      <c r="IA71" s="709"/>
      <c r="IB71" s="709"/>
      <c r="IC71" s="709"/>
      <c r="ID71" s="709"/>
      <c r="IE71" s="709"/>
      <c r="IF71" s="709"/>
      <c r="IG71" s="709"/>
      <c r="IH71" s="709"/>
      <c r="II71" s="709"/>
      <c r="IJ71" s="709"/>
      <c r="IK71" s="709"/>
      <c r="IL71" s="709"/>
      <c r="IM71" s="709"/>
      <c r="IN71" s="709"/>
      <c r="IO71" s="709"/>
      <c r="IP71" s="709"/>
      <c r="IQ71" s="709"/>
      <c r="IR71" s="709"/>
      <c r="IS71" s="709"/>
      <c r="IT71" s="709"/>
      <c r="IU71" s="709"/>
      <c r="IV71" s="709"/>
    </row>
    <row r="72" spans="1:256" ht="12.75" hidden="1" customHeight="1">
      <c r="A72" s="706" t="s">
        <v>334</v>
      </c>
      <c r="B72" s="706">
        <v>15295</v>
      </c>
      <c r="C72" s="706">
        <v>31957.3</v>
      </c>
      <c r="D72" s="689"/>
      <c r="E72" s="706">
        <f>B72-C72</f>
        <v>-16662.3</v>
      </c>
      <c r="F72" s="688">
        <v>16510.400000000001</v>
      </c>
      <c r="G72" s="706">
        <v>153</v>
      </c>
      <c r="H72" s="706">
        <f t="shared" si="6"/>
        <v>16663.400000000001</v>
      </c>
      <c r="I72" s="693"/>
      <c r="J72" s="688">
        <v>-1.1000000000000001</v>
      </c>
      <c r="K72" s="706">
        <f t="shared" si="7"/>
        <v>16662.300000000003</v>
      </c>
      <c r="L72" s="691"/>
      <c r="M72" s="709"/>
      <c r="N72" s="709"/>
      <c r="O72" s="709"/>
      <c r="P72" s="709"/>
      <c r="Q72" s="709"/>
      <c r="R72" s="709"/>
      <c r="S72" s="709"/>
      <c r="T72" s="709"/>
      <c r="U72" s="709"/>
      <c r="V72" s="709"/>
      <c r="W72" s="709"/>
      <c r="X72" s="709"/>
      <c r="Y72" s="709"/>
      <c r="Z72" s="709"/>
      <c r="AA72" s="709"/>
      <c r="AB72" s="709"/>
      <c r="AC72" s="709"/>
      <c r="AD72" s="709"/>
      <c r="AE72" s="709"/>
      <c r="AF72" s="709"/>
      <c r="AG72" s="709"/>
      <c r="AH72" s="709"/>
      <c r="AI72" s="709"/>
      <c r="AJ72" s="709"/>
      <c r="AK72" s="709"/>
      <c r="AL72" s="709"/>
      <c r="AM72" s="709"/>
      <c r="AN72" s="709"/>
      <c r="AO72" s="709"/>
      <c r="AP72" s="709"/>
      <c r="AQ72" s="709"/>
      <c r="AR72" s="709"/>
      <c r="AS72" s="709"/>
      <c r="AT72" s="709"/>
      <c r="AU72" s="709"/>
      <c r="AV72" s="709"/>
      <c r="AW72" s="709"/>
      <c r="AX72" s="709"/>
      <c r="AY72" s="709"/>
      <c r="AZ72" s="709"/>
      <c r="BA72" s="709"/>
      <c r="BB72" s="709"/>
      <c r="BC72" s="709"/>
      <c r="BD72" s="709"/>
      <c r="BE72" s="709"/>
      <c r="BF72" s="709"/>
      <c r="BG72" s="709"/>
      <c r="BH72" s="709"/>
      <c r="BI72" s="709"/>
      <c r="BJ72" s="709"/>
      <c r="BK72" s="709"/>
      <c r="BL72" s="709"/>
      <c r="BM72" s="709"/>
      <c r="BN72" s="709"/>
      <c r="BO72" s="709"/>
      <c r="BP72" s="709"/>
      <c r="BQ72" s="709"/>
      <c r="BR72" s="709"/>
      <c r="BS72" s="709"/>
      <c r="BT72" s="709"/>
      <c r="BU72" s="709"/>
      <c r="BV72" s="709"/>
      <c r="BW72" s="709"/>
      <c r="BX72" s="709"/>
      <c r="BY72" s="709"/>
      <c r="BZ72" s="709"/>
      <c r="CA72" s="709"/>
      <c r="CB72" s="709"/>
      <c r="CC72" s="709"/>
      <c r="CD72" s="709"/>
      <c r="CE72" s="709"/>
      <c r="CF72" s="709"/>
      <c r="CG72" s="709"/>
      <c r="CH72" s="709"/>
      <c r="CI72" s="709"/>
      <c r="CJ72" s="709"/>
      <c r="CK72" s="709"/>
      <c r="CL72" s="709"/>
      <c r="CM72" s="709"/>
      <c r="CN72" s="709"/>
      <c r="CO72" s="709"/>
      <c r="CP72" s="709"/>
      <c r="CQ72" s="709"/>
      <c r="CR72" s="709"/>
      <c r="CS72" s="709"/>
      <c r="CT72" s="709"/>
      <c r="CU72" s="709"/>
      <c r="CV72" s="709"/>
      <c r="CW72" s="709"/>
      <c r="CX72" s="709"/>
      <c r="CY72" s="709"/>
      <c r="CZ72" s="709"/>
      <c r="DA72" s="709"/>
      <c r="DB72" s="709"/>
      <c r="DC72" s="709"/>
      <c r="DD72" s="709"/>
      <c r="DE72" s="709"/>
      <c r="DF72" s="709"/>
      <c r="DG72" s="709"/>
      <c r="DH72" s="709"/>
      <c r="DI72" s="709"/>
      <c r="DJ72" s="709"/>
      <c r="DK72" s="709"/>
      <c r="DL72" s="709"/>
      <c r="DM72" s="709"/>
      <c r="DN72" s="709"/>
      <c r="DO72" s="709"/>
      <c r="DP72" s="709"/>
      <c r="DQ72" s="709"/>
      <c r="DR72" s="709"/>
      <c r="DS72" s="709"/>
      <c r="DT72" s="709"/>
      <c r="DU72" s="709"/>
      <c r="DV72" s="709"/>
      <c r="DW72" s="709"/>
      <c r="DX72" s="709"/>
      <c r="DY72" s="709"/>
      <c r="DZ72" s="709"/>
      <c r="EA72" s="709"/>
      <c r="EB72" s="709"/>
      <c r="EC72" s="709"/>
      <c r="ED72" s="709"/>
      <c r="EE72" s="709"/>
      <c r="EF72" s="709"/>
      <c r="EG72" s="709"/>
      <c r="EH72" s="709"/>
      <c r="EI72" s="709"/>
      <c r="EJ72" s="709"/>
      <c r="EK72" s="709"/>
      <c r="EL72" s="709"/>
      <c r="EM72" s="709"/>
      <c r="EN72" s="709"/>
      <c r="EO72" s="709"/>
      <c r="EP72" s="709"/>
      <c r="EQ72" s="709"/>
      <c r="ER72" s="709"/>
      <c r="ES72" s="709"/>
      <c r="ET72" s="709"/>
      <c r="EU72" s="709"/>
      <c r="EV72" s="709"/>
      <c r="EW72" s="709"/>
      <c r="EX72" s="709"/>
      <c r="EY72" s="709"/>
      <c r="EZ72" s="709"/>
      <c r="FA72" s="709"/>
      <c r="FB72" s="709"/>
      <c r="FC72" s="709"/>
      <c r="FD72" s="709"/>
      <c r="FE72" s="709"/>
      <c r="FF72" s="709"/>
      <c r="FG72" s="709"/>
      <c r="FH72" s="709"/>
      <c r="FI72" s="709"/>
      <c r="FJ72" s="709"/>
      <c r="FK72" s="709"/>
      <c r="FL72" s="709"/>
      <c r="FM72" s="709"/>
      <c r="FN72" s="709"/>
      <c r="FO72" s="709"/>
      <c r="FP72" s="709"/>
      <c r="FQ72" s="709"/>
      <c r="FR72" s="709"/>
      <c r="FS72" s="709"/>
      <c r="FT72" s="709"/>
      <c r="FU72" s="709"/>
      <c r="FV72" s="709"/>
      <c r="FW72" s="709"/>
      <c r="FX72" s="709"/>
      <c r="FY72" s="709"/>
      <c r="FZ72" s="709"/>
      <c r="GA72" s="709"/>
      <c r="GB72" s="709"/>
      <c r="GC72" s="709"/>
      <c r="GD72" s="709"/>
      <c r="GE72" s="709"/>
      <c r="GF72" s="709"/>
      <c r="GG72" s="709"/>
      <c r="GH72" s="709"/>
      <c r="GI72" s="709"/>
      <c r="GJ72" s="709"/>
      <c r="GK72" s="709"/>
      <c r="GL72" s="709"/>
      <c r="GM72" s="709"/>
      <c r="GN72" s="709"/>
      <c r="GO72" s="709"/>
      <c r="GP72" s="709"/>
      <c r="GQ72" s="709"/>
      <c r="GR72" s="709"/>
      <c r="GS72" s="709"/>
      <c r="GT72" s="709"/>
      <c r="GU72" s="709"/>
      <c r="GV72" s="709"/>
      <c r="GW72" s="709"/>
      <c r="GX72" s="709"/>
      <c r="GY72" s="709"/>
      <c r="GZ72" s="709"/>
      <c r="HA72" s="709"/>
      <c r="HB72" s="709"/>
      <c r="HC72" s="709"/>
      <c r="HD72" s="709"/>
      <c r="HE72" s="709"/>
      <c r="HF72" s="709"/>
      <c r="HG72" s="709"/>
      <c r="HH72" s="709"/>
      <c r="HI72" s="709"/>
      <c r="HJ72" s="709"/>
      <c r="HK72" s="709"/>
      <c r="HL72" s="709"/>
      <c r="HM72" s="709"/>
      <c r="HN72" s="709"/>
      <c r="HO72" s="709"/>
      <c r="HP72" s="709"/>
      <c r="HQ72" s="709"/>
      <c r="HR72" s="709"/>
      <c r="HS72" s="709"/>
      <c r="HT72" s="709"/>
      <c r="HU72" s="709"/>
      <c r="HV72" s="709"/>
      <c r="HW72" s="709"/>
      <c r="HX72" s="709"/>
      <c r="HY72" s="709"/>
      <c r="HZ72" s="709"/>
      <c r="IA72" s="709"/>
      <c r="IB72" s="709"/>
      <c r="IC72" s="709"/>
      <c r="ID72" s="709"/>
      <c r="IE72" s="709"/>
      <c r="IF72" s="709"/>
      <c r="IG72" s="709"/>
      <c r="IH72" s="709"/>
      <c r="II72" s="709"/>
      <c r="IJ72" s="709"/>
      <c r="IK72" s="709"/>
      <c r="IL72" s="709"/>
      <c r="IM72" s="709"/>
      <c r="IN72" s="709"/>
      <c r="IO72" s="709"/>
      <c r="IP72" s="709"/>
      <c r="IQ72" s="709"/>
      <c r="IR72" s="709"/>
      <c r="IS72" s="709"/>
      <c r="IT72" s="709"/>
      <c r="IU72" s="709"/>
      <c r="IV72" s="709"/>
    </row>
    <row r="73" spans="1:256" ht="12.75" hidden="1" customHeight="1">
      <c r="A73" s="706" t="s">
        <v>335</v>
      </c>
      <c r="B73" s="706">
        <f>27988+179.7</f>
        <v>28167.7</v>
      </c>
      <c r="C73" s="706">
        <v>20691.400000000001</v>
      </c>
      <c r="D73" s="689"/>
      <c r="E73" s="706">
        <f>B73-C73</f>
        <v>7476.2999999999993</v>
      </c>
      <c r="F73" s="688">
        <v>-7653.3</v>
      </c>
      <c r="G73" s="706">
        <f>173.5+8</f>
        <v>181.5</v>
      </c>
      <c r="H73" s="706">
        <f t="shared" si="6"/>
        <v>-7471.8</v>
      </c>
      <c r="I73" s="693"/>
      <c r="J73" s="688">
        <v>-4.5</v>
      </c>
      <c r="K73" s="706">
        <f t="shared" si="7"/>
        <v>-7476.3</v>
      </c>
      <c r="L73" s="691"/>
      <c r="M73" s="709"/>
      <c r="N73" s="709"/>
      <c r="O73" s="709"/>
      <c r="P73" s="709"/>
      <c r="Q73" s="709"/>
      <c r="R73" s="709"/>
      <c r="S73" s="709"/>
      <c r="T73" s="709"/>
      <c r="U73" s="709"/>
      <c r="V73" s="709"/>
      <c r="W73" s="709"/>
      <c r="X73" s="709"/>
      <c r="Y73" s="709"/>
      <c r="Z73" s="709"/>
      <c r="AA73" s="709"/>
      <c r="AB73" s="709"/>
      <c r="AC73" s="709"/>
      <c r="AD73" s="709"/>
      <c r="AE73" s="709"/>
      <c r="AF73" s="709"/>
      <c r="AG73" s="709"/>
      <c r="AH73" s="709"/>
      <c r="AI73" s="709"/>
      <c r="AJ73" s="709"/>
      <c r="AK73" s="709"/>
      <c r="AL73" s="709"/>
      <c r="AM73" s="709"/>
      <c r="AN73" s="709"/>
      <c r="AO73" s="709"/>
      <c r="AP73" s="709"/>
      <c r="AQ73" s="709"/>
      <c r="AR73" s="709"/>
      <c r="AS73" s="709"/>
      <c r="AT73" s="709"/>
      <c r="AU73" s="709"/>
      <c r="AV73" s="709"/>
      <c r="AW73" s="709"/>
      <c r="AX73" s="709"/>
      <c r="AY73" s="709"/>
      <c r="AZ73" s="709"/>
      <c r="BA73" s="709"/>
      <c r="BB73" s="709"/>
      <c r="BC73" s="709"/>
      <c r="BD73" s="709"/>
      <c r="BE73" s="709"/>
      <c r="BF73" s="709"/>
      <c r="BG73" s="709"/>
      <c r="BH73" s="709"/>
      <c r="BI73" s="709"/>
      <c r="BJ73" s="709"/>
      <c r="BK73" s="709"/>
      <c r="BL73" s="709"/>
      <c r="BM73" s="709"/>
      <c r="BN73" s="709"/>
      <c r="BO73" s="709"/>
      <c r="BP73" s="709"/>
      <c r="BQ73" s="709"/>
      <c r="BR73" s="709"/>
      <c r="BS73" s="709"/>
      <c r="BT73" s="709"/>
      <c r="BU73" s="709"/>
      <c r="BV73" s="709"/>
      <c r="BW73" s="709"/>
      <c r="BX73" s="709"/>
      <c r="BY73" s="709"/>
      <c r="BZ73" s="709"/>
      <c r="CA73" s="709"/>
      <c r="CB73" s="709"/>
      <c r="CC73" s="709"/>
      <c r="CD73" s="709"/>
      <c r="CE73" s="709"/>
      <c r="CF73" s="709"/>
      <c r="CG73" s="709"/>
      <c r="CH73" s="709"/>
      <c r="CI73" s="709"/>
      <c r="CJ73" s="709"/>
      <c r="CK73" s="709"/>
      <c r="CL73" s="709"/>
      <c r="CM73" s="709"/>
      <c r="CN73" s="709"/>
      <c r="CO73" s="709"/>
      <c r="CP73" s="709"/>
      <c r="CQ73" s="709"/>
      <c r="CR73" s="709"/>
      <c r="CS73" s="709"/>
      <c r="CT73" s="709"/>
      <c r="CU73" s="709"/>
      <c r="CV73" s="709"/>
      <c r="CW73" s="709"/>
      <c r="CX73" s="709"/>
      <c r="CY73" s="709"/>
      <c r="CZ73" s="709"/>
      <c r="DA73" s="709"/>
      <c r="DB73" s="709"/>
      <c r="DC73" s="709"/>
      <c r="DD73" s="709"/>
      <c r="DE73" s="709"/>
      <c r="DF73" s="709"/>
      <c r="DG73" s="709"/>
      <c r="DH73" s="709"/>
      <c r="DI73" s="709"/>
      <c r="DJ73" s="709"/>
      <c r="DK73" s="709"/>
      <c r="DL73" s="709"/>
      <c r="DM73" s="709"/>
      <c r="DN73" s="709"/>
      <c r="DO73" s="709"/>
      <c r="DP73" s="709"/>
      <c r="DQ73" s="709"/>
      <c r="DR73" s="709"/>
      <c r="DS73" s="709"/>
      <c r="DT73" s="709"/>
      <c r="DU73" s="709"/>
      <c r="DV73" s="709"/>
      <c r="DW73" s="709"/>
      <c r="DX73" s="709"/>
      <c r="DY73" s="709"/>
      <c r="DZ73" s="709"/>
      <c r="EA73" s="709"/>
      <c r="EB73" s="709"/>
      <c r="EC73" s="709"/>
      <c r="ED73" s="709"/>
      <c r="EE73" s="709"/>
      <c r="EF73" s="709"/>
      <c r="EG73" s="709"/>
      <c r="EH73" s="709"/>
      <c r="EI73" s="709"/>
      <c r="EJ73" s="709"/>
      <c r="EK73" s="709"/>
      <c r="EL73" s="709"/>
      <c r="EM73" s="709"/>
      <c r="EN73" s="709"/>
      <c r="EO73" s="709"/>
      <c r="EP73" s="709"/>
      <c r="EQ73" s="709"/>
      <c r="ER73" s="709"/>
      <c r="ES73" s="709"/>
      <c r="ET73" s="709"/>
      <c r="EU73" s="709"/>
      <c r="EV73" s="709"/>
      <c r="EW73" s="709"/>
      <c r="EX73" s="709"/>
      <c r="EY73" s="709"/>
      <c r="EZ73" s="709"/>
      <c r="FA73" s="709"/>
      <c r="FB73" s="709"/>
      <c r="FC73" s="709"/>
      <c r="FD73" s="709"/>
      <c r="FE73" s="709"/>
      <c r="FF73" s="709"/>
      <c r="FG73" s="709"/>
      <c r="FH73" s="709"/>
      <c r="FI73" s="709"/>
      <c r="FJ73" s="709"/>
      <c r="FK73" s="709"/>
      <c r="FL73" s="709"/>
      <c r="FM73" s="709"/>
      <c r="FN73" s="709"/>
      <c r="FO73" s="709"/>
      <c r="FP73" s="709"/>
      <c r="FQ73" s="709"/>
      <c r="FR73" s="709"/>
      <c r="FS73" s="709"/>
      <c r="FT73" s="709"/>
      <c r="FU73" s="709"/>
      <c r="FV73" s="709"/>
      <c r="FW73" s="709"/>
      <c r="FX73" s="709"/>
      <c r="FY73" s="709"/>
      <c r="FZ73" s="709"/>
      <c r="GA73" s="709"/>
      <c r="GB73" s="709"/>
      <c r="GC73" s="709"/>
      <c r="GD73" s="709"/>
      <c r="GE73" s="709"/>
      <c r="GF73" s="709"/>
      <c r="GG73" s="709"/>
      <c r="GH73" s="709"/>
      <c r="GI73" s="709"/>
      <c r="GJ73" s="709"/>
      <c r="GK73" s="709"/>
      <c r="GL73" s="709"/>
      <c r="GM73" s="709"/>
      <c r="GN73" s="709"/>
      <c r="GO73" s="709"/>
      <c r="GP73" s="709"/>
      <c r="GQ73" s="709"/>
      <c r="GR73" s="709"/>
      <c r="GS73" s="709"/>
      <c r="GT73" s="709"/>
      <c r="GU73" s="709"/>
      <c r="GV73" s="709"/>
      <c r="GW73" s="709"/>
      <c r="GX73" s="709"/>
      <c r="GY73" s="709"/>
      <c r="GZ73" s="709"/>
      <c r="HA73" s="709"/>
      <c r="HB73" s="709"/>
      <c r="HC73" s="709"/>
      <c r="HD73" s="709"/>
      <c r="HE73" s="709"/>
      <c r="HF73" s="709"/>
      <c r="HG73" s="709"/>
      <c r="HH73" s="709"/>
      <c r="HI73" s="709"/>
      <c r="HJ73" s="709"/>
      <c r="HK73" s="709"/>
      <c r="HL73" s="709"/>
      <c r="HM73" s="709"/>
      <c r="HN73" s="709"/>
      <c r="HO73" s="709"/>
      <c r="HP73" s="709"/>
      <c r="HQ73" s="709"/>
      <c r="HR73" s="709"/>
      <c r="HS73" s="709"/>
      <c r="HT73" s="709"/>
      <c r="HU73" s="709"/>
      <c r="HV73" s="709"/>
      <c r="HW73" s="709"/>
      <c r="HX73" s="709"/>
      <c r="HY73" s="709"/>
      <c r="HZ73" s="709"/>
      <c r="IA73" s="709"/>
      <c r="IB73" s="709"/>
      <c r="IC73" s="709"/>
      <c r="ID73" s="709"/>
      <c r="IE73" s="709"/>
      <c r="IF73" s="709"/>
      <c r="IG73" s="709"/>
      <c r="IH73" s="709"/>
      <c r="II73" s="709"/>
      <c r="IJ73" s="709"/>
      <c r="IK73" s="709"/>
      <c r="IL73" s="709"/>
      <c r="IM73" s="709"/>
      <c r="IN73" s="709"/>
      <c r="IO73" s="709"/>
      <c r="IP73" s="709"/>
      <c r="IQ73" s="709"/>
      <c r="IR73" s="709"/>
      <c r="IS73" s="709"/>
      <c r="IT73" s="709"/>
      <c r="IU73" s="709"/>
      <c r="IV73" s="709"/>
    </row>
    <row r="74" spans="1:256" ht="12.75" hidden="1" customHeight="1">
      <c r="A74" s="706" t="s">
        <v>336</v>
      </c>
      <c r="B74" s="706">
        <v>18997.5</v>
      </c>
      <c r="C74" s="706">
        <v>27633.4</v>
      </c>
      <c r="D74" s="689"/>
      <c r="E74" s="706">
        <f>B74-C74</f>
        <v>-8635.9000000000015</v>
      </c>
      <c r="F74" s="688">
        <v>9467.7999999999993</v>
      </c>
      <c r="G74" s="706">
        <v>-666.2</v>
      </c>
      <c r="H74" s="706">
        <f t="shared" si="6"/>
        <v>8801.5999999999985</v>
      </c>
      <c r="I74" s="693"/>
      <c r="J74" s="688">
        <v>-165.7</v>
      </c>
      <c r="K74" s="706">
        <f t="shared" si="7"/>
        <v>8635.8999999999978</v>
      </c>
      <c r="L74" s="691"/>
      <c r="M74" s="709"/>
      <c r="N74" s="709"/>
      <c r="O74" s="709"/>
      <c r="P74" s="709"/>
      <c r="Q74" s="709"/>
      <c r="R74" s="709"/>
      <c r="S74" s="709"/>
      <c r="T74" s="709"/>
      <c r="U74" s="709"/>
      <c r="V74" s="709"/>
      <c r="W74" s="709"/>
      <c r="X74" s="709"/>
      <c r="Y74" s="709"/>
      <c r="Z74" s="709"/>
      <c r="AA74" s="709"/>
      <c r="AB74" s="709"/>
      <c r="AC74" s="709"/>
      <c r="AD74" s="709"/>
      <c r="AE74" s="709"/>
      <c r="AF74" s="709"/>
      <c r="AG74" s="709"/>
      <c r="AH74" s="709"/>
      <c r="AI74" s="709"/>
      <c r="AJ74" s="709"/>
      <c r="AK74" s="709"/>
      <c r="AL74" s="709"/>
      <c r="AM74" s="709"/>
      <c r="AN74" s="709"/>
      <c r="AO74" s="709"/>
      <c r="AP74" s="709"/>
      <c r="AQ74" s="709"/>
      <c r="AR74" s="709"/>
      <c r="AS74" s="709"/>
      <c r="AT74" s="709"/>
      <c r="AU74" s="709"/>
      <c r="AV74" s="709"/>
      <c r="AW74" s="709"/>
      <c r="AX74" s="709"/>
      <c r="AY74" s="709"/>
      <c r="AZ74" s="709"/>
      <c r="BA74" s="709"/>
      <c r="BB74" s="709"/>
      <c r="BC74" s="709"/>
      <c r="BD74" s="709"/>
      <c r="BE74" s="709"/>
      <c r="BF74" s="709"/>
      <c r="BG74" s="709"/>
      <c r="BH74" s="709"/>
      <c r="BI74" s="709"/>
      <c r="BJ74" s="709"/>
      <c r="BK74" s="709"/>
      <c r="BL74" s="709"/>
      <c r="BM74" s="709"/>
      <c r="BN74" s="709"/>
      <c r="BO74" s="709"/>
      <c r="BP74" s="709"/>
      <c r="BQ74" s="709"/>
      <c r="BR74" s="709"/>
      <c r="BS74" s="709"/>
      <c r="BT74" s="709"/>
      <c r="BU74" s="709"/>
      <c r="BV74" s="709"/>
      <c r="BW74" s="709"/>
      <c r="BX74" s="709"/>
      <c r="BY74" s="709"/>
      <c r="BZ74" s="709"/>
      <c r="CA74" s="709"/>
      <c r="CB74" s="709"/>
      <c r="CC74" s="709"/>
      <c r="CD74" s="709"/>
      <c r="CE74" s="709"/>
      <c r="CF74" s="709"/>
      <c r="CG74" s="709"/>
      <c r="CH74" s="709"/>
      <c r="CI74" s="709"/>
      <c r="CJ74" s="709"/>
      <c r="CK74" s="709"/>
      <c r="CL74" s="709"/>
      <c r="CM74" s="709"/>
      <c r="CN74" s="709"/>
      <c r="CO74" s="709"/>
      <c r="CP74" s="709"/>
      <c r="CQ74" s="709"/>
      <c r="CR74" s="709"/>
      <c r="CS74" s="709"/>
      <c r="CT74" s="709"/>
      <c r="CU74" s="709"/>
      <c r="CV74" s="709"/>
      <c r="CW74" s="709"/>
      <c r="CX74" s="709"/>
      <c r="CY74" s="709"/>
      <c r="CZ74" s="709"/>
      <c r="DA74" s="709"/>
      <c r="DB74" s="709"/>
      <c r="DC74" s="709"/>
      <c r="DD74" s="709"/>
      <c r="DE74" s="709"/>
      <c r="DF74" s="709"/>
      <c r="DG74" s="709"/>
      <c r="DH74" s="709"/>
      <c r="DI74" s="709"/>
      <c r="DJ74" s="709"/>
      <c r="DK74" s="709"/>
      <c r="DL74" s="709"/>
      <c r="DM74" s="709"/>
      <c r="DN74" s="709"/>
      <c r="DO74" s="709"/>
      <c r="DP74" s="709"/>
      <c r="DQ74" s="709"/>
      <c r="DR74" s="709"/>
      <c r="DS74" s="709"/>
      <c r="DT74" s="709"/>
      <c r="DU74" s="709"/>
      <c r="DV74" s="709"/>
      <c r="DW74" s="709"/>
      <c r="DX74" s="709"/>
      <c r="DY74" s="709"/>
      <c r="DZ74" s="709"/>
      <c r="EA74" s="709"/>
      <c r="EB74" s="709"/>
      <c r="EC74" s="709"/>
      <c r="ED74" s="709"/>
      <c r="EE74" s="709"/>
      <c r="EF74" s="709"/>
      <c r="EG74" s="709"/>
      <c r="EH74" s="709"/>
      <c r="EI74" s="709"/>
      <c r="EJ74" s="709"/>
      <c r="EK74" s="709"/>
      <c r="EL74" s="709"/>
      <c r="EM74" s="709"/>
      <c r="EN74" s="709"/>
      <c r="EO74" s="709"/>
      <c r="EP74" s="709"/>
      <c r="EQ74" s="709"/>
      <c r="ER74" s="709"/>
      <c r="ES74" s="709"/>
      <c r="ET74" s="709"/>
      <c r="EU74" s="709"/>
      <c r="EV74" s="709"/>
      <c r="EW74" s="709"/>
      <c r="EX74" s="709"/>
      <c r="EY74" s="709"/>
      <c r="EZ74" s="709"/>
      <c r="FA74" s="709"/>
      <c r="FB74" s="709"/>
      <c r="FC74" s="709"/>
      <c r="FD74" s="709"/>
      <c r="FE74" s="709"/>
      <c r="FF74" s="709"/>
      <c r="FG74" s="709"/>
      <c r="FH74" s="709"/>
      <c r="FI74" s="709"/>
      <c r="FJ74" s="709"/>
      <c r="FK74" s="709"/>
      <c r="FL74" s="709"/>
      <c r="FM74" s="709"/>
      <c r="FN74" s="709"/>
      <c r="FO74" s="709"/>
      <c r="FP74" s="709"/>
      <c r="FQ74" s="709"/>
      <c r="FR74" s="709"/>
      <c r="FS74" s="709"/>
      <c r="FT74" s="709"/>
      <c r="FU74" s="709"/>
      <c r="FV74" s="709"/>
      <c r="FW74" s="709"/>
      <c r="FX74" s="709"/>
      <c r="FY74" s="709"/>
      <c r="FZ74" s="709"/>
      <c r="GA74" s="709"/>
      <c r="GB74" s="709"/>
      <c r="GC74" s="709"/>
      <c r="GD74" s="709"/>
      <c r="GE74" s="709"/>
      <c r="GF74" s="709"/>
      <c r="GG74" s="709"/>
      <c r="GH74" s="709"/>
      <c r="GI74" s="709"/>
      <c r="GJ74" s="709"/>
      <c r="GK74" s="709"/>
      <c r="GL74" s="709"/>
      <c r="GM74" s="709"/>
      <c r="GN74" s="709"/>
      <c r="GO74" s="709"/>
      <c r="GP74" s="709"/>
      <c r="GQ74" s="709"/>
      <c r="GR74" s="709"/>
      <c r="GS74" s="709"/>
      <c r="GT74" s="709"/>
      <c r="GU74" s="709"/>
      <c r="GV74" s="709"/>
      <c r="GW74" s="709"/>
      <c r="GX74" s="709"/>
      <c r="GY74" s="709"/>
      <c r="GZ74" s="709"/>
      <c r="HA74" s="709"/>
      <c r="HB74" s="709"/>
      <c r="HC74" s="709"/>
      <c r="HD74" s="709"/>
      <c r="HE74" s="709"/>
      <c r="HF74" s="709"/>
      <c r="HG74" s="709"/>
      <c r="HH74" s="709"/>
      <c r="HI74" s="709"/>
      <c r="HJ74" s="709"/>
      <c r="HK74" s="709"/>
      <c r="HL74" s="709"/>
      <c r="HM74" s="709"/>
      <c r="HN74" s="709"/>
      <c r="HO74" s="709"/>
      <c r="HP74" s="709"/>
      <c r="HQ74" s="709"/>
      <c r="HR74" s="709"/>
      <c r="HS74" s="709"/>
      <c r="HT74" s="709"/>
      <c r="HU74" s="709"/>
      <c r="HV74" s="709"/>
      <c r="HW74" s="709"/>
      <c r="HX74" s="709"/>
      <c r="HY74" s="709"/>
      <c r="HZ74" s="709"/>
      <c r="IA74" s="709"/>
      <c r="IB74" s="709"/>
      <c r="IC74" s="709"/>
      <c r="ID74" s="709"/>
      <c r="IE74" s="709"/>
      <c r="IF74" s="709"/>
      <c r="IG74" s="709"/>
      <c r="IH74" s="709"/>
      <c r="II74" s="709"/>
      <c r="IJ74" s="709"/>
      <c r="IK74" s="709"/>
      <c r="IL74" s="709"/>
      <c r="IM74" s="709"/>
      <c r="IN74" s="709"/>
      <c r="IO74" s="709"/>
      <c r="IP74" s="709"/>
      <c r="IQ74" s="709"/>
      <c r="IR74" s="709"/>
      <c r="IS74" s="709"/>
      <c r="IT74" s="709"/>
      <c r="IU74" s="709"/>
      <c r="IV74" s="709"/>
    </row>
    <row r="75" spans="1:256" ht="12.75" hidden="1" customHeight="1">
      <c r="A75" s="706" t="s">
        <v>337</v>
      </c>
      <c r="B75" s="706">
        <f>21854.4+113.9</f>
        <v>21968.300000000003</v>
      </c>
      <c r="C75" s="706">
        <v>25422.3</v>
      </c>
      <c r="D75" s="689"/>
      <c r="E75" s="706">
        <f>B75-C75</f>
        <v>-3453.9999999999964</v>
      </c>
      <c r="F75" s="688">
        <v>3720.6</v>
      </c>
      <c r="G75" s="706">
        <v>-225.1</v>
      </c>
      <c r="H75" s="706">
        <f t="shared" si="6"/>
        <v>3495.5</v>
      </c>
      <c r="I75" s="693"/>
      <c r="J75" s="688">
        <v>-41.5</v>
      </c>
      <c r="K75" s="706">
        <f t="shared" si="7"/>
        <v>3454</v>
      </c>
      <c r="L75" s="691"/>
      <c r="M75" s="709"/>
      <c r="N75" s="709"/>
      <c r="O75" s="709"/>
      <c r="P75" s="709"/>
      <c r="Q75" s="709"/>
      <c r="R75" s="709"/>
      <c r="S75" s="709"/>
      <c r="T75" s="709"/>
      <c r="U75" s="709"/>
      <c r="V75" s="709"/>
      <c r="W75" s="709"/>
      <c r="X75" s="709"/>
      <c r="Y75" s="709"/>
      <c r="Z75" s="709"/>
      <c r="AA75" s="709"/>
      <c r="AB75" s="709"/>
      <c r="AC75" s="709"/>
      <c r="AD75" s="709"/>
      <c r="AE75" s="709"/>
      <c r="AF75" s="709"/>
      <c r="AG75" s="709"/>
      <c r="AH75" s="709"/>
      <c r="AI75" s="709"/>
      <c r="AJ75" s="709"/>
      <c r="AK75" s="709"/>
      <c r="AL75" s="709"/>
      <c r="AM75" s="709"/>
      <c r="AN75" s="709"/>
      <c r="AO75" s="709"/>
      <c r="AP75" s="709"/>
      <c r="AQ75" s="709"/>
      <c r="AR75" s="709"/>
      <c r="AS75" s="709"/>
      <c r="AT75" s="709"/>
      <c r="AU75" s="709"/>
      <c r="AV75" s="709"/>
      <c r="AW75" s="709"/>
      <c r="AX75" s="709"/>
      <c r="AY75" s="709"/>
      <c r="AZ75" s="709"/>
      <c r="BA75" s="709"/>
      <c r="BB75" s="709"/>
      <c r="BC75" s="709"/>
      <c r="BD75" s="709"/>
      <c r="BE75" s="709"/>
      <c r="BF75" s="709"/>
      <c r="BG75" s="709"/>
      <c r="BH75" s="709"/>
      <c r="BI75" s="709"/>
      <c r="BJ75" s="709"/>
      <c r="BK75" s="709"/>
      <c r="BL75" s="709"/>
      <c r="BM75" s="709"/>
      <c r="BN75" s="709"/>
      <c r="BO75" s="709"/>
      <c r="BP75" s="709"/>
      <c r="BQ75" s="709"/>
      <c r="BR75" s="709"/>
      <c r="BS75" s="709"/>
      <c r="BT75" s="709"/>
      <c r="BU75" s="709"/>
      <c r="BV75" s="709"/>
      <c r="BW75" s="709"/>
      <c r="BX75" s="709"/>
      <c r="BY75" s="709"/>
      <c r="BZ75" s="709"/>
      <c r="CA75" s="709"/>
      <c r="CB75" s="709"/>
      <c r="CC75" s="709"/>
      <c r="CD75" s="709"/>
      <c r="CE75" s="709"/>
      <c r="CF75" s="709"/>
      <c r="CG75" s="709"/>
      <c r="CH75" s="709"/>
      <c r="CI75" s="709"/>
      <c r="CJ75" s="709"/>
      <c r="CK75" s="709"/>
      <c r="CL75" s="709"/>
      <c r="CM75" s="709"/>
      <c r="CN75" s="709"/>
      <c r="CO75" s="709"/>
      <c r="CP75" s="709"/>
      <c r="CQ75" s="709"/>
      <c r="CR75" s="709"/>
      <c r="CS75" s="709"/>
      <c r="CT75" s="709"/>
      <c r="CU75" s="709"/>
      <c r="CV75" s="709"/>
      <c r="CW75" s="709"/>
      <c r="CX75" s="709"/>
      <c r="CY75" s="709"/>
      <c r="CZ75" s="709"/>
      <c r="DA75" s="709"/>
      <c r="DB75" s="709"/>
      <c r="DC75" s="709"/>
      <c r="DD75" s="709"/>
      <c r="DE75" s="709"/>
      <c r="DF75" s="709"/>
      <c r="DG75" s="709"/>
      <c r="DH75" s="709"/>
      <c r="DI75" s="709"/>
      <c r="DJ75" s="709"/>
      <c r="DK75" s="709"/>
      <c r="DL75" s="709"/>
      <c r="DM75" s="709"/>
      <c r="DN75" s="709"/>
      <c r="DO75" s="709"/>
      <c r="DP75" s="709"/>
      <c r="DQ75" s="709"/>
      <c r="DR75" s="709"/>
      <c r="DS75" s="709"/>
      <c r="DT75" s="709"/>
      <c r="DU75" s="709"/>
      <c r="DV75" s="709"/>
      <c r="DW75" s="709"/>
      <c r="DX75" s="709"/>
      <c r="DY75" s="709"/>
      <c r="DZ75" s="709"/>
      <c r="EA75" s="709"/>
      <c r="EB75" s="709"/>
      <c r="EC75" s="709"/>
      <c r="ED75" s="709"/>
      <c r="EE75" s="709"/>
      <c r="EF75" s="709"/>
      <c r="EG75" s="709"/>
      <c r="EH75" s="709"/>
      <c r="EI75" s="709"/>
      <c r="EJ75" s="709"/>
      <c r="EK75" s="709"/>
      <c r="EL75" s="709"/>
      <c r="EM75" s="709"/>
      <c r="EN75" s="709"/>
      <c r="EO75" s="709"/>
      <c r="EP75" s="709"/>
      <c r="EQ75" s="709"/>
      <c r="ER75" s="709"/>
      <c r="ES75" s="709"/>
      <c r="ET75" s="709"/>
      <c r="EU75" s="709"/>
      <c r="EV75" s="709"/>
      <c r="EW75" s="709"/>
      <c r="EX75" s="709"/>
      <c r="EY75" s="709"/>
      <c r="EZ75" s="709"/>
      <c r="FA75" s="709"/>
      <c r="FB75" s="709"/>
      <c r="FC75" s="709"/>
      <c r="FD75" s="709"/>
      <c r="FE75" s="709"/>
      <c r="FF75" s="709"/>
      <c r="FG75" s="709"/>
      <c r="FH75" s="709"/>
      <c r="FI75" s="709"/>
      <c r="FJ75" s="709"/>
      <c r="FK75" s="709"/>
      <c r="FL75" s="709"/>
      <c r="FM75" s="709"/>
      <c r="FN75" s="709"/>
      <c r="FO75" s="709"/>
      <c r="FP75" s="709"/>
      <c r="FQ75" s="709"/>
      <c r="FR75" s="709"/>
      <c r="FS75" s="709"/>
      <c r="FT75" s="709"/>
      <c r="FU75" s="709"/>
      <c r="FV75" s="709"/>
      <c r="FW75" s="709"/>
      <c r="FX75" s="709"/>
      <c r="FY75" s="709"/>
      <c r="FZ75" s="709"/>
      <c r="GA75" s="709"/>
      <c r="GB75" s="709"/>
      <c r="GC75" s="709"/>
      <c r="GD75" s="709"/>
      <c r="GE75" s="709"/>
      <c r="GF75" s="709"/>
      <c r="GG75" s="709"/>
      <c r="GH75" s="709"/>
      <c r="GI75" s="709"/>
      <c r="GJ75" s="709"/>
      <c r="GK75" s="709"/>
      <c r="GL75" s="709"/>
      <c r="GM75" s="709"/>
      <c r="GN75" s="709"/>
      <c r="GO75" s="709"/>
      <c r="GP75" s="709"/>
      <c r="GQ75" s="709"/>
      <c r="GR75" s="709"/>
      <c r="GS75" s="709"/>
      <c r="GT75" s="709"/>
      <c r="GU75" s="709"/>
      <c r="GV75" s="709"/>
      <c r="GW75" s="709"/>
      <c r="GX75" s="709"/>
      <c r="GY75" s="709"/>
      <c r="GZ75" s="709"/>
      <c r="HA75" s="709"/>
      <c r="HB75" s="709"/>
      <c r="HC75" s="709"/>
      <c r="HD75" s="709"/>
      <c r="HE75" s="709"/>
      <c r="HF75" s="709"/>
      <c r="HG75" s="709"/>
      <c r="HH75" s="709"/>
      <c r="HI75" s="709"/>
      <c r="HJ75" s="709"/>
      <c r="HK75" s="709"/>
      <c r="HL75" s="709"/>
      <c r="HM75" s="709"/>
      <c r="HN75" s="709"/>
      <c r="HO75" s="709"/>
      <c r="HP75" s="709"/>
      <c r="HQ75" s="709"/>
      <c r="HR75" s="709"/>
      <c r="HS75" s="709"/>
      <c r="HT75" s="709"/>
      <c r="HU75" s="709"/>
      <c r="HV75" s="709"/>
      <c r="HW75" s="709"/>
      <c r="HX75" s="709"/>
      <c r="HY75" s="709"/>
      <c r="HZ75" s="709"/>
      <c r="IA75" s="709"/>
      <c r="IB75" s="709"/>
      <c r="IC75" s="709"/>
      <c r="ID75" s="709"/>
      <c r="IE75" s="709"/>
      <c r="IF75" s="709"/>
      <c r="IG75" s="709"/>
      <c r="IH75" s="709"/>
      <c r="II75" s="709"/>
      <c r="IJ75" s="709"/>
      <c r="IK75" s="709"/>
      <c r="IL75" s="709"/>
      <c r="IM75" s="709"/>
      <c r="IN75" s="709"/>
      <c r="IO75" s="709"/>
      <c r="IP75" s="709"/>
      <c r="IQ75" s="709"/>
      <c r="IR75" s="709"/>
      <c r="IS75" s="709"/>
      <c r="IT75" s="709"/>
      <c r="IU75" s="709"/>
      <c r="IV75" s="709"/>
    </row>
    <row r="76" spans="1:256" ht="12.75" hidden="1" customHeight="1">
      <c r="A76" s="706" t="s">
        <v>338</v>
      </c>
      <c r="B76" s="688">
        <f>24781.2+973.7</f>
        <v>25754.9</v>
      </c>
      <c r="C76" s="706">
        <v>20077.7</v>
      </c>
      <c r="D76" s="689"/>
      <c r="E76" s="706">
        <v>5677.2</v>
      </c>
      <c r="F76" s="688">
        <v>-5242.3</v>
      </c>
      <c r="G76" s="688">
        <v>-176.4</v>
      </c>
      <c r="H76" s="706">
        <f t="shared" si="6"/>
        <v>-5418.7</v>
      </c>
      <c r="I76" s="693"/>
      <c r="J76" s="688">
        <v>-258.5</v>
      </c>
      <c r="K76" s="706">
        <f t="shared" si="7"/>
        <v>-5677.2</v>
      </c>
      <c r="L76" s="691"/>
      <c r="M76" s="709"/>
      <c r="N76" s="709"/>
      <c r="O76" s="709"/>
      <c r="P76" s="709"/>
      <c r="Q76" s="709"/>
      <c r="R76" s="709"/>
      <c r="S76" s="709"/>
      <c r="T76" s="709"/>
      <c r="U76" s="709"/>
      <c r="V76" s="709"/>
      <c r="W76" s="709"/>
      <c r="X76" s="709"/>
      <c r="Y76" s="709"/>
      <c r="Z76" s="709"/>
      <c r="AA76" s="709"/>
      <c r="AB76" s="709"/>
      <c r="AC76" s="709"/>
      <c r="AD76" s="709"/>
      <c r="AE76" s="709"/>
      <c r="AF76" s="709"/>
      <c r="AG76" s="709"/>
      <c r="AH76" s="709"/>
      <c r="AI76" s="709"/>
      <c r="AJ76" s="709"/>
      <c r="AK76" s="709"/>
      <c r="AL76" s="709"/>
      <c r="AM76" s="709"/>
      <c r="AN76" s="709"/>
      <c r="AO76" s="709"/>
      <c r="AP76" s="709"/>
      <c r="AQ76" s="709"/>
      <c r="AR76" s="709"/>
      <c r="AS76" s="709"/>
      <c r="AT76" s="709"/>
      <c r="AU76" s="709"/>
      <c r="AV76" s="709"/>
      <c r="AW76" s="709"/>
      <c r="AX76" s="709"/>
      <c r="AY76" s="709"/>
      <c r="AZ76" s="709"/>
      <c r="BA76" s="709"/>
      <c r="BB76" s="709"/>
      <c r="BC76" s="709"/>
      <c r="BD76" s="709"/>
      <c r="BE76" s="709"/>
      <c r="BF76" s="709"/>
      <c r="BG76" s="709"/>
      <c r="BH76" s="709"/>
      <c r="BI76" s="709"/>
      <c r="BJ76" s="709"/>
      <c r="BK76" s="709"/>
      <c r="BL76" s="709"/>
      <c r="BM76" s="709"/>
      <c r="BN76" s="709"/>
      <c r="BO76" s="709"/>
      <c r="BP76" s="709"/>
      <c r="BQ76" s="709"/>
      <c r="BR76" s="709"/>
      <c r="BS76" s="709"/>
      <c r="BT76" s="709"/>
      <c r="BU76" s="709"/>
      <c r="BV76" s="709"/>
      <c r="BW76" s="709"/>
      <c r="BX76" s="709"/>
      <c r="BY76" s="709"/>
      <c r="BZ76" s="709"/>
      <c r="CA76" s="709"/>
      <c r="CB76" s="709"/>
      <c r="CC76" s="709"/>
      <c r="CD76" s="709"/>
      <c r="CE76" s="709"/>
      <c r="CF76" s="709"/>
      <c r="CG76" s="709"/>
      <c r="CH76" s="709"/>
      <c r="CI76" s="709"/>
      <c r="CJ76" s="709"/>
      <c r="CK76" s="709"/>
      <c r="CL76" s="709"/>
      <c r="CM76" s="709"/>
      <c r="CN76" s="709"/>
      <c r="CO76" s="709"/>
      <c r="CP76" s="709"/>
      <c r="CQ76" s="709"/>
      <c r="CR76" s="709"/>
      <c r="CS76" s="709"/>
      <c r="CT76" s="709"/>
      <c r="CU76" s="709"/>
      <c r="CV76" s="709"/>
      <c r="CW76" s="709"/>
      <c r="CX76" s="709"/>
      <c r="CY76" s="709"/>
      <c r="CZ76" s="709"/>
      <c r="DA76" s="709"/>
      <c r="DB76" s="709"/>
      <c r="DC76" s="709"/>
      <c r="DD76" s="709"/>
      <c r="DE76" s="709"/>
      <c r="DF76" s="709"/>
      <c r="DG76" s="709"/>
      <c r="DH76" s="709"/>
      <c r="DI76" s="709"/>
      <c r="DJ76" s="709"/>
      <c r="DK76" s="709"/>
      <c r="DL76" s="709"/>
      <c r="DM76" s="709"/>
      <c r="DN76" s="709"/>
      <c r="DO76" s="709"/>
      <c r="DP76" s="709"/>
      <c r="DQ76" s="709"/>
      <c r="DR76" s="709"/>
      <c r="DS76" s="709"/>
      <c r="DT76" s="709"/>
      <c r="DU76" s="709"/>
      <c r="DV76" s="709"/>
      <c r="DW76" s="709"/>
      <c r="DX76" s="709"/>
      <c r="DY76" s="709"/>
      <c r="DZ76" s="709"/>
      <c r="EA76" s="709"/>
      <c r="EB76" s="709"/>
      <c r="EC76" s="709"/>
      <c r="ED76" s="709"/>
      <c r="EE76" s="709"/>
      <c r="EF76" s="709"/>
      <c r="EG76" s="709"/>
      <c r="EH76" s="709"/>
      <c r="EI76" s="709"/>
      <c r="EJ76" s="709"/>
      <c r="EK76" s="709"/>
      <c r="EL76" s="709"/>
      <c r="EM76" s="709"/>
      <c r="EN76" s="709"/>
      <c r="EO76" s="709"/>
      <c r="EP76" s="709"/>
      <c r="EQ76" s="709"/>
      <c r="ER76" s="709"/>
      <c r="ES76" s="709"/>
      <c r="ET76" s="709"/>
      <c r="EU76" s="709"/>
      <c r="EV76" s="709"/>
      <c r="EW76" s="709"/>
      <c r="EX76" s="709"/>
      <c r="EY76" s="709"/>
      <c r="EZ76" s="709"/>
      <c r="FA76" s="709"/>
      <c r="FB76" s="709"/>
      <c r="FC76" s="709"/>
      <c r="FD76" s="709"/>
      <c r="FE76" s="709"/>
      <c r="FF76" s="709"/>
      <c r="FG76" s="709"/>
      <c r="FH76" s="709"/>
      <c r="FI76" s="709"/>
      <c r="FJ76" s="709"/>
      <c r="FK76" s="709"/>
      <c r="FL76" s="709"/>
      <c r="FM76" s="709"/>
      <c r="FN76" s="709"/>
      <c r="FO76" s="709"/>
      <c r="FP76" s="709"/>
      <c r="FQ76" s="709"/>
      <c r="FR76" s="709"/>
      <c r="FS76" s="709"/>
      <c r="FT76" s="709"/>
      <c r="FU76" s="709"/>
      <c r="FV76" s="709"/>
      <c r="FW76" s="709"/>
      <c r="FX76" s="709"/>
      <c r="FY76" s="709"/>
      <c r="FZ76" s="709"/>
      <c r="GA76" s="709"/>
      <c r="GB76" s="709"/>
      <c r="GC76" s="709"/>
      <c r="GD76" s="709"/>
      <c r="GE76" s="709"/>
      <c r="GF76" s="709"/>
      <c r="GG76" s="709"/>
      <c r="GH76" s="709"/>
      <c r="GI76" s="709"/>
      <c r="GJ76" s="709"/>
      <c r="GK76" s="709"/>
      <c r="GL76" s="709"/>
      <c r="GM76" s="709"/>
      <c r="GN76" s="709"/>
      <c r="GO76" s="709"/>
      <c r="GP76" s="709"/>
      <c r="GQ76" s="709"/>
      <c r="GR76" s="709"/>
      <c r="GS76" s="709"/>
      <c r="GT76" s="709"/>
      <c r="GU76" s="709"/>
      <c r="GV76" s="709"/>
      <c r="GW76" s="709"/>
      <c r="GX76" s="709"/>
      <c r="GY76" s="709"/>
      <c r="GZ76" s="709"/>
      <c r="HA76" s="709"/>
      <c r="HB76" s="709"/>
      <c r="HC76" s="709"/>
      <c r="HD76" s="709"/>
      <c r="HE76" s="709"/>
      <c r="HF76" s="709"/>
      <c r="HG76" s="709"/>
      <c r="HH76" s="709"/>
      <c r="HI76" s="709"/>
      <c r="HJ76" s="709"/>
      <c r="HK76" s="709"/>
      <c r="HL76" s="709"/>
      <c r="HM76" s="709"/>
      <c r="HN76" s="709"/>
      <c r="HO76" s="709"/>
      <c r="HP76" s="709"/>
      <c r="HQ76" s="709"/>
      <c r="HR76" s="709"/>
      <c r="HS76" s="709"/>
      <c r="HT76" s="709"/>
      <c r="HU76" s="709"/>
      <c r="HV76" s="709"/>
      <c r="HW76" s="709"/>
      <c r="HX76" s="709"/>
      <c r="HY76" s="709"/>
      <c r="HZ76" s="709"/>
      <c r="IA76" s="709"/>
      <c r="IB76" s="709"/>
      <c r="IC76" s="709"/>
      <c r="ID76" s="709"/>
      <c r="IE76" s="709"/>
      <c r="IF76" s="709"/>
      <c r="IG76" s="709"/>
      <c r="IH76" s="709"/>
      <c r="II76" s="709"/>
      <c r="IJ76" s="709"/>
      <c r="IK76" s="709"/>
      <c r="IL76" s="709"/>
      <c r="IM76" s="709"/>
      <c r="IN76" s="709"/>
      <c r="IO76" s="709"/>
      <c r="IP76" s="709"/>
      <c r="IQ76" s="709"/>
      <c r="IR76" s="709"/>
      <c r="IS76" s="709"/>
      <c r="IT76" s="709"/>
      <c r="IU76" s="709"/>
      <c r="IV76" s="709"/>
    </row>
    <row r="77" spans="1:256" ht="12.75" hidden="1" customHeight="1">
      <c r="A77" s="706" t="s">
        <v>339</v>
      </c>
      <c r="B77" s="688">
        <f>19491.3+27.8</f>
        <v>19519.099999999999</v>
      </c>
      <c r="C77" s="706">
        <v>34209.699999999997</v>
      </c>
      <c r="D77" s="689"/>
      <c r="E77" s="706">
        <f t="shared" ref="E77:E82" si="8">B77-C77</f>
        <v>-14690.599999999999</v>
      </c>
      <c r="F77" s="688">
        <v>14402.3</v>
      </c>
      <c r="G77" s="688">
        <v>579.5</v>
      </c>
      <c r="H77" s="706">
        <f t="shared" si="6"/>
        <v>14981.8</v>
      </c>
      <c r="I77" s="693"/>
      <c r="J77" s="688">
        <v>-291.2</v>
      </c>
      <c r="K77" s="706">
        <f t="shared" si="7"/>
        <v>14690.599999999999</v>
      </c>
      <c r="L77" s="691"/>
      <c r="M77" s="709"/>
      <c r="N77" s="709"/>
      <c r="O77" s="709"/>
      <c r="P77" s="709"/>
      <c r="Q77" s="709"/>
      <c r="R77" s="709"/>
      <c r="S77" s="709"/>
      <c r="T77" s="709"/>
      <c r="U77" s="709"/>
      <c r="V77" s="709"/>
      <c r="W77" s="709"/>
      <c r="X77" s="709"/>
      <c r="Y77" s="709"/>
      <c r="Z77" s="709"/>
      <c r="AA77" s="709"/>
      <c r="AB77" s="709"/>
      <c r="AC77" s="709"/>
      <c r="AD77" s="709"/>
      <c r="AE77" s="709"/>
      <c r="AF77" s="709"/>
      <c r="AG77" s="709"/>
      <c r="AH77" s="709"/>
      <c r="AI77" s="709"/>
      <c r="AJ77" s="709"/>
      <c r="AK77" s="709"/>
      <c r="AL77" s="709"/>
      <c r="AM77" s="709"/>
      <c r="AN77" s="709"/>
      <c r="AO77" s="709"/>
      <c r="AP77" s="709"/>
      <c r="AQ77" s="709"/>
      <c r="AR77" s="709"/>
      <c r="AS77" s="709"/>
      <c r="AT77" s="709"/>
      <c r="AU77" s="709"/>
      <c r="AV77" s="709"/>
      <c r="AW77" s="709"/>
      <c r="AX77" s="709"/>
      <c r="AY77" s="709"/>
      <c r="AZ77" s="709"/>
      <c r="BA77" s="709"/>
      <c r="BB77" s="709"/>
      <c r="BC77" s="709"/>
      <c r="BD77" s="709"/>
      <c r="BE77" s="709"/>
      <c r="BF77" s="709"/>
      <c r="BG77" s="709"/>
      <c r="BH77" s="709"/>
      <c r="BI77" s="709"/>
      <c r="BJ77" s="709"/>
      <c r="BK77" s="709"/>
      <c r="BL77" s="709"/>
      <c r="BM77" s="709"/>
      <c r="BN77" s="709"/>
      <c r="BO77" s="709"/>
      <c r="BP77" s="709"/>
      <c r="BQ77" s="709"/>
      <c r="BR77" s="709"/>
      <c r="BS77" s="709"/>
      <c r="BT77" s="709"/>
      <c r="BU77" s="709"/>
      <c r="BV77" s="709"/>
      <c r="BW77" s="709"/>
      <c r="BX77" s="709"/>
      <c r="BY77" s="709"/>
      <c r="BZ77" s="709"/>
      <c r="CA77" s="709"/>
      <c r="CB77" s="709"/>
      <c r="CC77" s="709"/>
      <c r="CD77" s="709"/>
      <c r="CE77" s="709"/>
      <c r="CF77" s="709"/>
      <c r="CG77" s="709"/>
      <c r="CH77" s="709"/>
      <c r="CI77" s="709"/>
      <c r="CJ77" s="709"/>
      <c r="CK77" s="709"/>
      <c r="CL77" s="709"/>
      <c r="CM77" s="709"/>
      <c r="CN77" s="709"/>
      <c r="CO77" s="709"/>
      <c r="CP77" s="709"/>
      <c r="CQ77" s="709"/>
      <c r="CR77" s="709"/>
      <c r="CS77" s="709"/>
      <c r="CT77" s="709"/>
      <c r="CU77" s="709"/>
      <c r="CV77" s="709"/>
      <c r="CW77" s="709"/>
      <c r="CX77" s="709"/>
      <c r="CY77" s="709"/>
      <c r="CZ77" s="709"/>
      <c r="DA77" s="709"/>
      <c r="DB77" s="709"/>
      <c r="DC77" s="709"/>
      <c r="DD77" s="709"/>
      <c r="DE77" s="709"/>
      <c r="DF77" s="709"/>
      <c r="DG77" s="709"/>
      <c r="DH77" s="709"/>
      <c r="DI77" s="709"/>
      <c r="DJ77" s="709"/>
      <c r="DK77" s="709"/>
      <c r="DL77" s="709"/>
      <c r="DM77" s="709"/>
      <c r="DN77" s="709"/>
      <c r="DO77" s="709"/>
      <c r="DP77" s="709"/>
      <c r="DQ77" s="709"/>
      <c r="DR77" s="709"/>
      <c r="DS77" s="709"/>
      <c r="DT77" s="709"/>
      <c r="DU77" s="709"/>
      <c r="DV77" s="709"/>
      <c r="DW77" s="709"/>
      <c r="DX77" s="709"/>
      <c r="DY77" s="709"/>
      <c r="DZ77" s="709"/>
      <c r="EA77" s="709"/>
      <c r="EB77" s="709"/>
      <c r="EC77" s="709"/>
      <c r="ED77" s="709"/>
      <c r="EE77" s="709"/>
      <c r="EF77" s="709"/>
      <c r="EG77" s="709"/>
      <c r="EH77" s="709"/>
      <c r="EI77" s="709"/>
      <c r="EJ77" s="709"/>
      <c r="EK77" s="709"/>
      <c r="EL77" s="709"/>
      <c r="EM77" s="709"/>
      <c r="EN77" s="709"/>
      <c r="EO77" s="709"/>
      <c r="EP77" s="709"/>
      <c r="EQ77" s="709"/>
      <c r="ER77" s="709"/>
      <c r="ES77" s="709"/>
      <c r="ET77" s="709"/>
      <c r="EU77" s="709"/>
      <c r="EV77" s="709"/>
      <c r="EW77" s="709"/>
      <c r="EX77" s="709"/>
      <c r="EY77" s="709"/>
      <c r="EZ77" s="709"/>
      <c r="FA77" s="709"/>
      <c r="FB77" s="709"/>
      <c r="FC77" s="709"/>
      <c r="FD77" s="709"/>
      <c r="FE77" s="709"/>
      <c r="FF77" s="709"/>
      <c r="FG77" s="709"/>
      <c r="FH77" s="709"/>
      <c r="FI77" s="709"/>
      <c r="FJ77" s="709"/>
      <c r="FK77" s="709"/>
      <c r="FL77" s="709"/>
      <c r="FM77" s="709"/>
      <c r="FN77" s="709"/>
      <c r="FO77" s="709"/>
      <c r="FP77" s="709"/>
      <c r="FQ77" s="709"/>
      <c r="FR77" s="709"/>
      <c r="FS77" s="709"/>
      <c r="FT77" s="709"/>
      <c r="FU77" s="709"/>
      <c r="FV77" s="709"/>
      <c r="FW77" s="709"/>
      <c r="FX77" s="709"/>
      <c r="FY77" s="709"/>
      <c r="FZ77" s="709"/>
      <c r="GA77" s="709"/>
      <c r="GB77" s="709"/>
      <c r="GC77" s="709"/>
      <c r="GD77" s="709"/>
      <c r="GE77" s="709"/>
      <c r="GF77" s="709"/>
      <c r="GG77" s="709"/>
      <c r="GH77" s="709"/>
      <c r="GI77" s="709"/>
      <c r="GJ77" s="709"/>
      <c r="GK77" s="709"/>
      <c r="GL77" s="709"/>
      <c r="GM77" s="709"/>
      <c r="GN77" s="709"/>
      <c r="GO77" s="709"/>
      <c r="GP77" s="709"/>
      <c r="GQ77" s="709"/>
      <c r="GR77" s="709"/>
      <c r="GS77" s="709"/>
      <c r="GT77" s="709"/>
      <c r="GU77" s="709"/>
      <c r="GV77" s="709"/>
      <c r="GW77" s="709"/>
      <c r="GX77" s="709"/>
      <c r="GY77" s="709"/>
      <c r="GZ77" s="709"/>
      <c r="HA77" s="709"/>
      <c r="HB77" s="709"/>
      <c r="HC77" s="709"/>
      <c r="HD77" s="709"/>
      <c r="HE77" s="709"/>
      <c r="HF77" s="709"/>
      <c r="HG77" s="709"/>
      <c r="HH77" s="709"/>
      <c r="HI77" s="709"/>
      <c r="HJ77" s="709"/>
      <c r="HK77" s="709"/>
      <c r="HL77" s="709"/>
      <c r="HM77" s="709"/>
      <c r="HN77" s="709"/>
      <c r="HO77" s="709"/>
      <c r="HP77" s="709"/>
      <c r="HQ77" s="709"/>
      <c r="HR77" s="709"/>
      <c r="HS77" s="709"/>
      <c r="HT77" s="709"/>
      <c r="HU77" s="709"/>
      <c r="HV77" s="709"/>
      <c r="HW77" s="709"/>
      <c r="HX77" s="709"/>
      <c r="HY77" s="709"/>
      <c r="HZ77" s="709"/>
      <c r="IA77" s="709"/>
      <c r="IB77" s="709"/>
      <c r="IC77" s="709"/>
      <c r="ID77" s="709"/>
      <c r="IE77" s="709"/>
      <c r="IF77" s="709"/>
      <c r="IG77" s="709"/>
      <c r="IH77" s="709"/>
      <c r="II77" s="709"/>
      <c r="IJ77" s="709"/>
      <c r="IK77" s="709"/>
      <c r="IL77" s="709"/>
      <c r="IM77" s="709"/>
      <c r="IN77" s="709"/>
      <c r="IO77" s="709"/>
      <c r="IP77" s="709"/>
      <c r="IQ77" s="709"/>
      <c r="IR77" s="709"/>
      <c r="IS77" s="709"/>
      <c r="IT77" s="709"/>
      <c r="IU77" s="709"/>
      <c r="IV77" s="709"/>
    </row>
    <row r="78" spans="1:256" ht="12.75" hidden="1" customHeight="1">
      <c r="A78" s="706" t="s">
        <v>340</v>
      </c>
      <c r="B78" s="688">
        <f>28706.3+189</f>
        <v>28895.3</v>
      </c>
      <c r="C78" s="706">
        <v>23831.599999999999</v>
      </c>
      <c r="D78" s="689"/>
      <c r="E78" s="706">
        <f t="shared" si="8"/>
        <v>5063.7000000000007</v>
      </c>
      <c r="F78" s="688">
        <v>-4308.8999999999996</v>
      </c>
      <c r="G78" s="688">
        <v>-342</v>
      </c>
      <c r="H78" s="706">
        <f t="shared" si="6"/>
        <v>-4650.8999999999996</v>
      </c>
      <c r="I78" s="693"/>
      <c r="J78" s="688">
        <v>-412.8</v>
      </c>
      <c r="K78" s="706">
        <f t="shared" si="7"/>
        <v>-5063.7</v>
      </c>
      <c r="L78" s="691"/>
      <c r="M78" s="709"/>
      <c r="N78" s="709"/>
      <c r="O78" s="709"/>
      <c r="P78" s="709"/>
      <c r="Q78" s="709"/>
      <c r="R78" s="709"/>
      <c r="S78" s="709"/>
      <c r="T78" s="709"/>
      <c r="U78" s="709"/>
      <c r="V78" s="709"/>
      <c r="W78" s="709"/>
      <c r="X78" s="709"/>
      <c r="Y78" s="709"/>
      <c r="Z78" s="709"/>
      <c r="AA78" s="709"/>
      <c r="AB78" s="709"/>
      <c r="AC78" s="709"/>
      <c r="AD78" s="709"/>
      <c r="AE78" s="709"/>
      <c r="AF78" s="709"/>
      <c r="AG78" s="709"/>
      <c r="AH78" s="709"/>
      <c r="AI78" s="709"/>
      <c r="AJ78" s="709"/>
      <c r="AK78" s="709"/>
      <c r="AL78" s="709"/>
      <c r="AM78" s="709"/>
      <c r="AN78" s="709"/>
      <c r="AO78" s="709"/>
      <c r="AP78" s="709"/>
      <c r="AQ78" s="709"/>
      <c r="AR78" s="709"/>
      <c r="AS78" s="709"/>
      <c r="AT78" s="709"/>
      <c r="AU78" s="709"/>
      <c r="AV78" s="709"/>
      <c r="AW78" s="709"/>
      <c r="AX78" s="709"/>
      <c r="AY78" s="709"/>
      <c r="AZ78" s="709"/>
      <c r="BA78" s="709"/>
      <c r="BB78" s="709"/>
      <c r="BC78" s="709"/>
      <c r="BD78" s="709"/>
      <c r="BE78" s="709"/>
      <c r="BF78" s="709"/>
      <c r="BG78" s="709"/>
      <c r="BH78" s="709"/>
      <c r="BI78" s="709"/>
      <c r="BJ78" s="709"/>
      <c r="BK78" s="709"/>
      <c r="BL78" s="709"/>
      <c r="BM78" s="709"/>
      <c r="BN78" s="709"/>
      <c r="BO78" s="709"/>
      <c r="BP78" s="709"/>
      <c r="BQ78" s="709"/>
      <c r="BR78" s="709"/>
      <c r="BS78" s="709"/>
      <c r="BT78" s="709"/>
      <c r="BU78" s="709"/>
      <c r="BV78" s="709"/>
      <c r="BW78" s="709"/>
      <c r="BX78" s="709"/>
      <c r="BY78" s="709"/>
      <c r="BZ78" s="709"/>
      <c r="CA78" s="709"/>
      <c r="CB78" s="709"/>
      <c r="CC78" s="709"/>
      <c r="CD78" s="709"/>
      <c r="CE78" s="709"/>
      <c r="CF78" s="709"/>
      <c r="CG78" s="709"/>
      <c r="CH78" s="709"/>
      <c r="CI78" s="709"/>
      <c r="CJ78" s="709"/>
      <c r="CK78" s="709"/>
      <c r="CL78" s="709"/>
      <c r="CM78" s="709"/>
      <c r="CN78" s="709"/>
      <c r="CO78" s="709"/>
      <c r="CP78" s="709"/>
      <c r="CQ78" s="709"/>
      <c r="CR78" s="709"/>
      <c r="CS78" s="709"/>
      <c r="CT78" s="709"/>
      <c r="CU78" s="709"/>
      <c r="CV78" s="709"/>
      <c r="CW78" s="709"/>
      <c r="CX78" s="709"/>
      <c r="CY78" s="709"/>
      <c r="CZ78" s="709"/>
      <c r="DA78" s="709"/>
      <c r="DB78" s="709"/>
      <c r="DC78" s="709"/>
      <c r="DD78" s="709"/>
      <c r="DE78" s="709"/>
      <c r="DF78" s="709"/>
      <c r="DG78" s="709"/>
      <c r="DH78" s="709"/>
      <c r="DI78" s="709"/>
      <c r="DJ78" s="709"/>
      <c r="DK78" s="709"/>
      <c r="DL78" s="709"/>
      <c r="DM78" s="709"/>
      <c r="DN78" s="709"/>
      <c r="DO78" s="709"/>
      <c r="DP78" s="709"/>
      <c r="DQ78" s="709"/>
      <c r="DR78" s="709"/>
      <c r="DS78" s="709"/>
      <c r="DT78" s="709"/>
      <c r="DU78" s="709"/>
      <c r="DV78" s="709"/>
      <c r="DW78" s="709"/>
      <c r="DX78" s="709"/>
      <c r="DY78" s="709"/>
      <c r="DZ78" s="709"/>
      <c r="EA78" s="709"/>
      <c r="EB78" s="709"/>
      <c r="EC78" s="709"/>
      <c r="ED78" s="709"/>
      <c r="EE78" s="709"/>
      <c r="EF78" s="709"/>
      <c r="EG78" s="709"/>
      <c r="EH78" s="709"/>
      <c r="EI78" s="709"/>
      <c r="EJ78" s="709"/>
      <c r="EK78" s="709"/>
      <c r="EL78" s="709"/>
      <c r="EM78" s="709"/>
      <c r="EN78" s="709"/>
      <c r="EO78" s="709"/>
      <c r="EP78" s="709"/>
      <c r="EQ78" s="709"/>
      <c r="ER78" s="709"/>
      <c r="ES78" s="709"/>
      <c r="ET78" s="709"/>
      <c r="EU78" s="709"/>
      <c r="EV78" s="709"/>
      <c r="EW78" s="709"/>
      <c r="EX78" s="709"/>
      <c r="EY78" s="709"/>
      <c r="EZ78" s="709"/>
      <c r="FA78" s="709"/>
      <c r="FB78" s="709"/>
      <c r="FC78" s="709"/>
      <c r="FD78" s="709"/>
      <c r="FE78" s="709"/>
      <c r="FF78" s="709"/>
      <c r="FG78" s="709"/>
      <c r="FH78" s="709"/>
      <c r="FI78" s="709"/>
      <c r="FJ78" s="709"/>
      <c r="FK78" s="709"/>
      <c r="FL78" s="709"/>
      <c r="FM78" s="709"/>
      <c r="FN78" s="709"/>
      <c r="FO78" s="709"/>
      <c r="FP78" s="709"/>
      <c r="FQ78" s="709"/>
      <c r="FR78" s="709"/>
      <c r="FS78" s="709"/>
      <c r="FT78" s="709"/>
      <c r="FU78" s="709"/>
      <c r="FV78" s="709"/>
      <c r="FW78" s="709"/>
      <c r="FX78" s="709"/>
      <c r="FY78" s="709"/>
      <c r="FZ78" s="709"/>
      <c r="GA78" s="709"/>
      <c r="GB78" s="709"/>
      <c r="GC78" s="709"/>
      <c r="GD78" s="709"/>
      <c r="GE78" s="709"/>
      <c r="GF78" s="709"/>
      <c r="GG78" s="709"/>
      <c r="GH78" s="709"/>
      <c r="GI78" s="709"/>
      <c r="GJ78" s="709"/>
      <c r="GK78" s="709"/>
      <c r="GL78" s="709"/>
      <c r="GM78" s="709"/>
      <c r="GN78" s="709"/>
      <c r="GO78" s="709"/>
      <c r="GP78" s="709"/>
      <c r="GQ78" s="709"/>
      <c r="GR78" s="709"/>
      <c r="GS78" s="709"/>
      <c r="GT78" s="709"/>
      <c r="GU78" s="709"/>
      <c r="GV78" s="709"/>
      <c r="GW78" s="709"/>
      <c r="GX78" s="709"/>
      <c r="GY78" s="709"/>
      <c r="GZ78" s="709"/>
      <c r="HA78" s="709"/>
      <c r="HB78" s="709"/>
      <c r="HC78" s="709"/>
      <c r="HD78" s="709"/>
      <c r="HE78" s="709"/>
      <c r="HF78" s="709"/>
      <c r="HG78" s="709"/>
      <c r="HH78" s="709"/>
      <c r="HI78" s="709"/>
      <c r="HJ78" s="709"/>
      <c r="HK78" s="709"/>
      <c r="HL78" s="709"/>
      <c r="HM78" s="709"/>
      <c r="HN78" s="709"/>
      <c r="HO78" s="709"/>
      <c r="HP78" s="709"/>
      <c r="HQ78" s="709"/>
      <c r="HR78" s="709"/>
      <c r="HS78" s="709"/>
      <c r="HT78" s="709"/>
      <c r="HU78" s="709"/>
      <c r="HV78" s="709"/>
      <c r="HW78" s="709"/>
      <c r="HX78" s="709"/>
      <c r="HY78" s="709"/>
      <c r="HZ78" s="709"/>
      <c r="IA78" s="709"/>
      <c r="IB78" s="709"/>
      <c r="IC78" s="709"/>
      <c r="ID78" s="709"/>
      <c r="IE78" s="709"/>
      <c r="IF78" s="709"/>
      <c r="IG78" s="709"/>
      <c r="IH78" s="709"/>
      <c r="II78" s="709"/>
      <c r="IJ78" s="709"/>
      <c r="IK78" s="709"/>
      <c r="IL78" s="709"/>
      <c r="IM78" s="709"/>
      <c r="IN78" s="709"/>
      <c r="IO78" s="709"/>
      <c r="IP78" s="709"/>
      <c r="IQ78" s="709"/>
      <c r="IR78" s="709"/>
      <c r="IS78" s="709"/>
      <c r="IT78" s="709"/>
      <c r="IU78" s="709"/>
      <c r="IV78" s="709"/>
    </row>
    <row r="79" spans="1:256" ht="12.75" hidden="1" customHeight="1">
      <c r="A79" s="706" t="s">
        <v>341</v>
      </c>
      <c r="B79" s="688">
        <v>22203.5</v>
      </c>
      <c r="C79" s="706">
        <v>36375.300000000003</v>
      </c>
      <c r="D79" s="689"/>
      <c r="E79" s="706">
        <f t="shared" si="8"/>
        <v>-14171.800000000003</v>
      </c>
      <c r="F79" s="688">
        <v>14287.2</v>
      </c>
      <c r="G79" s="688">
        <v>135.4</v>
      </c>
      <c r="H79" s="706">
        <f t="shared" si="6"/>
        <v>14422.6</v>
      </c>
      <c r="I79" s="693"/>
      <c r="J79" s="688">
        <v>-250.8</v>
      </c>
      <c r="K79" s="706">
        <f t="shared" si="7"/>
        <v>14171.800000000001</v>
      </c>
      <c r="L79" s="691"/>
      <c r="M79" s="709"/>
      <c r="N79" s="709"/>
      <c r="O79" s="709"/>
      <c r="P79" s="709"/>
      <c r="Q79" s="709"/>
      <c r="R79" s="709"/>
      <c r="S79" s="709"/>
      <c r="T79" s="709"/>
      <c r="U79" s="709"/>
      <c r="V79" s="709"/>
      <c r="W79" s="709"/>
      <c r="X79" s="709"/>
      <c r="Y79" s="709"/>
      <c r="Z79" s="709"/>
      <c r="AA79" s="709"/>
      <c r="AB79" s="709"/>
      <c r="AC79" s="709"/>
      <c r="AD79" s="709"/>
      <c r="AE79" s="709"/>
      <c r="AF79" s="709"/>
      <c r="AG79" s="709"/>
      <c r="AH79" s="709"/>
      <c r="AI79" s="709"/>
      <c r="AJ79" s="709"/>
      <c r="AK79" s="709"/>
      <c r="AL79" s="709"/>
      <c r="AM79" s="709"/>
      <c r="AN79" s="709"/>
      <c r="AO79" s="709"/>
      <c r="AP79" s="709"/>
      <c r="AQ79" s="709"/>
      <c r="AR79" s="709"/>
      <c r="AS79" s="709"/>
      <c r="AT79" s="709"/>
      <c r="AU79" s="709"/>
      <c r="AV79" s="709"/>
      <c r="AW79" s="709"/>
      <c r="AX79" s="709"/>
      <c r="AY79" s="709"/>
      <c r="AZ79" s="709"/>
      <c r="BA79" s="709"/>
      <c r="BB79" s="709"/>
      <c r="BC79" s="709"/>
      <c r="BD79" s="709"/>
      <c r="BE79" s="709"/>
      <c r="BF79" s="709"/>
      <c r="BG79" s="709"/>
      <c r="BH79" s="709"/>
      <c r="BI79" s="709"/>
      <c r="BJ79" s="709"/>
      <c r="BK79" s="709"/>
      <c r="BL79" s="709"/>
      <c r="BM79" s="709"/>
      <c r="BN79" s="709"/>
      <c r="BO79" s="709"/>
      <c r="BP79" s="709"/>
      <c r="BQ79" s="709"/>
      <c r="BR79" s="709"/>
      <c r="BS79" s="709"/>
      <c r="BT79" s="709"/>
      <c r="BU79" s="709"/>
      <c r="BV79" s="709"/>
      <c r="BW79" s="709"/>
      <c r="BX79" s="709"/>
      <c r="BY79" s="709"/>
      <c r="BZ79" s="709"/>
      <c r="CA79" s="709"/>
      <c r="CB79" s="709"/>
      <c r="CC79" s="709"/>
      <c r="CD79" s="709"/>
      <c r="CE79" s="709"/>
      <c r="CF79" s="709"/>
      <c r="CG79" s="709"/>
      <c r="CH79" s="709"/>
      <c r="CI79" s="709"/>
      <c r="CJ79" s="709"/>
      <c r="CK79" s="709"/>
      <c r="CL79" s="709"/>
      <c r="CM79" s="709"/>
      <c r="CN79" s="709"/>
      <c r="CO79" s="709"/>
      <c r="CP79" s="709"/>
      <c r="CQ79" s="709"/>
      <c r="CR79" s="709"/>
      <c r="CS79" s="709"/>
      <c r="CT79" s="709"/>
      <c r="CU79" s="709"/>
      <c r="CV79" s="709"/>
      <c r="CW79" s="709"/>
      <c r="CX79" s="709"/>
      <c r="CY79" s="709"/>
      <c r="CZ79" s="709"/>
      <c r="DA79" s="709"/>
      <c r="DB79" s="709"/>
      <c r="DC79" s="709"/>
      <c r="DD79" s="709"/>
      <c r="DE79" s="709"/>
      <c r="DF79" s="709"/>
      <c r="DG79" s="709"/>
      <c r="DH79" s="709"/>
      <c r="DI79" s="709"/>
      <c r="DJ79" s="709"/>
      <c r="DK79" s="709"/>
      <c r="DL79" s="709"/>
      <c r="DM79" s="709"/>
      <c r="DN79" s="709"/>
      <c r="DO79" s="709"/>
      <c r="DP79" s="709"/>
      <c r="DQ79" s="709"/>
      <c r="DR79" s="709"/>
      <c r="DS79" s="709"/>
      <c r="DT79" s="709"/>
      <c r="DU79" s="709"/>
      <c r="DV79" s="709"/>
      <c r="DW79" s="709"/>
      <c r="DX79" s="709"/>
      <c r="DY79" s="709"/>
      <c r="DZ79" s="709"/>
      <c r="EA79" s="709"/>
      <c r="EB79" s="709"/>
      <c r="EC79" s="709"/>
      <c r="ED79" s="709"/>
      <c r="EE79" s="709"/>
      <c r="EF79" s="709"/>
      <c r="EG79" s="709"/>
      <c r="EH79" s="709"/>
      <c r="EI79" s="709"/>
      <c r="EJ79" s="709"/>
      <c r="EK79" s="709"/>
      <c r="EL79" s="709"/>
      <c r="EM79" s="709"/>
      <c r="EN79" s="709"/>
      <c r="EO79" s="709"/>
      <c r="EP79" s="709"/>
      <c r="EQ79" s="709"/>
      <c r="ER79" s="709"/>
      <c r="ES79" s="709"/>
      <c r="ET79" s="709"/>
      <c r="EU79" s="709"/>
      <c r="EV79" s="709"/>
      <c r="EW79" s="709"/>
      <c r="EX79" s="709"/>
      <c r="EY79" s="709"/>
      <c r="EZ79" s="709"/>
      <c r="FA79" s="709"/>
      <c r="FB79" s="709"/>
      <c r="FC79" s="709"/>
      <c r="FD79" s="709"/>
      <c r="FE79" s="709"/>
      <c r="FF79" s="709"/>
      <c r="FG79" s="709"/>
      <c r="FH79" s="709"/>
      <c r="FI79" s="709"/>
      <c r="FJ79" s="709"/>
      <c r="FK79" s="709"/>
      <c r="FL79" s="709"/>
      <c r="FM79" s="709"/>
      <c r="FN79" s="709"/>
      <c r="FO79" s="709"/>
      <c r="FP79" s="709"/>
      <c r="FQ79" s="709"/>
      <c r="FR79" s="709"/>
      <c r="FS79" s="709"/>
      <c r="FT79" s="709"/>
      <c r="FU79" s="709"/>
      <c r="FV79" s="709"/>
      <c r="FW79" s="709"/>
      <c r="FX79" s="709"/>
      <c r="FY79" s="709"/>
      <c r="FZ79" s="709"/>
      <c r="GA79" s="709"/>
      <c r="GB79" s="709"/>
      <c r="GC79" s="709"/>
      <c r="GD79" s="709"/>
      <c r="GE79" s="709"/>
      <c r="GF79" s="709"/>
      <c r="GG79" s="709"/>
      <c r="GH79" s="709"/>
      <c r="GI79" s="709"/>
      <c r="GJ79" s="709"/>
      <c r="GK79" s="709"/>
      <c r="GL79" s="709"/>
      <c r="GM79" s="709"/>
      <c r="GN79" s="709"/>
      <c r="GO79" s="709"/>
      <c r="GP79" s="709"/>
      <c r="GQ79" s="709"/>
      <c r="GR79" s="709"/>
      <c r="GS79" s="709"/>
      <c r="GT79" s="709"/>
      <c r="GU79" s="709"/>
      <c r="GV79" s="709"/>
      <c r="GW79" s="709"/>
      <c r="GX79" s="709"/>
      <c r="GY79" s="709"/>
      <c r="GZ79" s="709"/>
      <c r="HA79" s="709"/>
      <c r="HB79" s="709"/>
      <c r="HC79" s="709"/>
      <c r="HD79" s="709"/>
      <c r="HE79" s="709"/>
      <c r="HF79" s="709"/>
      <c r="HG79" s="709"/>
      <c r="HH79" s="709"/>
      <c r="HI79" s="709"/>
      <c r="HJ79" s="709"/>
      <c r="HK79" s="709"/>
      <c r="HL79" s="709"/>
      <c r="HM79" s="709"/>
      <c r="HN79" s="709"/>
      <c r="HO79" s="709"/>
      <c r="HP79" s="709"/>
      <c r="HQ79" s="709"/>
      <c r="HR79" s="709"/>
      <c r="HS79" s="709"/>
      <c r="HT79" s="709"/>
      <c r="HU79" s="709"/>
      <c r="HV79" s="709"/>
      <c r="HW79" s="709"/>
      <c r="HX79" s="709"/>
      <c r="HY79" s="709"/>
      <c r="HZ79" s="709"/>
      <c r="IA79" s="709"/>
      <c r="IB79" s="709"/>
      <c r="IC79" s="709"/>
      <c r="ID79" s="709"/>
      <c r="IE79" s="709"/>
      <c r="IF79" s="709"/>
      <c r="IG79" s="709"/>
      <c r="IH79" s="709"/>
      <c r="II79" s="709"/>
      <c r="IJ79" s="709"/>
      <c r="IK79" s="709"/>
      <c r="IL79" s="709"/>
      <c r="IM79" s="709"/>
      <c r="IN79" s="709"/>
      <c r="IO79" s="709"/>
      <c r="IP79" s="709"/>
      <c r="IQ79" s="709"/>
      <c r="IR79" s="709"/>
      <c r="IS79" s="709"/>
      <c r="IT79" s="709"/>
      <c r="IU79" s="709"/>
      <c r="IV79" s="709"/>
    </row>
    <row r="80" spans="1:256" ht="12.75" hidden="1" customHeight="1">
      <c r="A80" s="706" t="s">
        <v>342</v>
      </c>
      <c r="B80" s="688">
        <f>30718.1+45.5</f>
        <v>30763.599999999999</v>
      </c>
      <c r="C80" s="706">
        <v>38073</v>
      </c>
      <c r="D80" s="689"/>
      <c r="E80" s="706">
        <f t="shared" si="8"/>
        <v>-7309.4000000000015</v>
      </c>
      <c r="F80" s="706">
        <v>7256</v>
      </c>
      <c r="G80" s="688">
        <v>93.9</v>
      </c>
      <c r="H80" s="706">
        <f t="shared" si="6"/>
        <v>7349.9</v>
      </c>
      <c r="I80" s="693"/>
      <c r="J80" s="688">
        <v>-40.1</v>
      </c>
      <c r="K80" s="706">
        <f t="shared" si="7"/>
        <v>7309.7999999999993</v>
      </c>
      <c r="L80" s="691"/>
      <c r="M80" s="709"/>
      <c r="N80" s="709"/>
      <c r="O80" s="709"/>
      <c r="P80" s="709"/>
      <c r="Q80" s="709"/>
      <c r="R80" s="709"/>
      <c r="S80" s="709"/>
      <c r="T80" s="709"/>
      <c r="U80" s="709"/>
      <c r="V80" s="709"/>
      <c r="W80" s="709"/>
      <c r="X80" s="709"/>
      <c r="Y80" s="709"/>
      <c r="Z80" s="709"/>
      <c r="AA80" s="709"/>
      <c r="AB80" s="709"/>
      <c r="AC80" s="709"/>
      <c r="AD80" s="709"/>
      <c r="AE80" s="709"/>
      <c r="AF80" s="709"/>
      <c r="AG80" s="709"/>
      <c r="AH80" s="709"/>
      <c r="AI80" s="709"/>
      <c r="AJ80" s="709"/>
      <c r="AK80" s="709"/>
      <c r="AL80" s="709"/>
      <c r="AM80" s="709"/>
      <c r="AN80" s="709"/>
      <c r="AO80" s="709"/>
      <c r="AP80" s="709"/>
      <c r="AQ80" s="709"/>
      <c r="AR80" s="709"/>
      <c r="AS80" s="709"/>
      <c r="AT80" s="709"/>
      <c r="AU80" s="709"/>
      <c r="AV80" s="709"/>
      <c r="AW80" s="709"/>
      <c r="AX80" s="709"/>
      <c r="AY80" s="709"/>
      <c r="AZ80" s="709"/>
      <c r="BA80" s="709"/>
      <c r="BB80" s="709"/>
      <c r="BC80" s="709"/>
      <c r="BD80" s="709"/>
      <c r="BE80" s="709"/>
      <c r="BF80" s="709"/>
      <c r="BG80" s="709"/>
      <c r="BH80" s="709"/>
      <c r="BI80" s="709"/>
      <c r="BJ80" s="709"/>
      <c r="BK80" s="709"/>
      <c r="BL80" s="709"/>
      <c r="BM80" s="709"/>
      <c r="BN80" s="709"/>
      <c r="BO80" s="709"/>
      <c r="BP80" s="709"/>
      <c r="BQ80" s="709"/>
      <c r="BR80" s="709"/>
      <c r="BS80" s="709"/>
      <c r="BT80" s="709"/>
      <c r="BU80" s="709"/>
      <c r="BV80" s="709"/>
      <c r="BW80" s="709"/>
      <c r="BX80" s="709"/>
      <c r="BY80" s="709"/>
      <c r="BZ80" s="709"/>
      <c r="CA80" s="709"/>
      <c r="CB80" s="709"/>
      <c r="CC80" s="709"/>
      <c r="CD80" s="709"/>
      <c r="CE80" s="709"/>
      <c r="CF80" s="709"/>
      <c r="CG80" s="709"/>
      <c r="CH80" s="709"/>
      <c r="CI80" s="709"/>
      <c r="CJ80" s="709"/>
      <c r="CK80" s="709"/>
      <c r="CL80" s="709"/>
      <c r="CM80" s="709"/>
      <c r="CN80" s="709"/>
      <c r="CO80" s="709"/>
      <c r="CP80" s="709"/>
      <c r="CQ80" s="709"/>
      <c r="CR80" s="709"/>
      <c r="CS80" s="709"/>
      <c r="CT80" s="709"/>
      <c r="CU80" s="709"/>
      <c r="CV80" s="709"/>
      <c r="CW80" s="709"/>
      <c r="CX80" s="709"/>
      <c r="CY80" s="709"/>
      <c r="CZ80" s="709"/>
      <c r="DA80" s="709"/>
      <c r="DB80" s="709"/>
      <c r="DC80" s="709"/>
      <c r="DD80" s="709"/>
      <c r="DE80" s="709"/>
      <c r="DF80" s="709"/>
      <c r="DG80" s="709"/>
      <c r="DH80" s="709"/>
      <c r="DI80" s="709"/>
      <c r="DJ80" s="709"/>
      <c r="DK80" s="709"/>
      <c r="DL80" s="709"/>
      <c r="DM80" s="709"/>
      <c r="DN80" s="709"/>
      <c r="DO80" s="709"/>
      <c r="DP80" s="709"/>
      <c r="DQ80" s="709"/>
      <c r="DR80" s="709"/>
      <c r="DS80" s="709"/>
      <c r="DT80" s="709"/>
      <c r="DU80" s="709"/>
      <c r="DV80" s="709"/>
      <c r="DW80" s="709"/>
      <c r="DX80" s="709"/>
      <c r="DY80" s="709"/>
      <c r="DZ80" s="709"/>
      <c r="EA80" s="709"/>
      <c r="EB80" s="709"/>
      <c r="EC80" s="709"/>
      <c r="ED80" s="709"/>
      <c r="EE80" s="709"/>
      <c r="EF80" s="709"/>
      <c r="EG80" s="709"/>
      <c r="EH80" s="709"/>
      <c r="EI80" s="709"/>
      <c r="EJ80" s="709"/>
      <c r="EK80" s="709"/>
      <c r="EL80" s="709"/>
      <c r="EM80" s="709"/>
      <c r="EN80" s="709"/>
      <c r="EO80" s="709"/>
      <c r="EP80" s="709"/>
      <c r="EQ80" s="709"/>
      <c r="ER80" s="709"/>
      <c r="ES80" s="709"/>
      <c r="ET80" s="709"/>
      <c r="EU80" s="709"/>
      <c r="EV80" s="709"/>
      <c r="EW80" s="709"/>
      <c r="EX80" s="709"/>
      <c r="EY80" s="709"/>
      <c r="EZ80" s="709"/>
      <c r="FA80" s="709"/>
      <c r="FB80" s="709"/>
      <c r="FC80" s="709"/>
      <c r="FD80" s="709"/>
      <c r="FE80" s="709"/>
      <c r="FF80" s="709"/>
      <c r="FG80" s="709"/>
      <c r="FH80" s="709"/>
      <c r="FI80" s="709"/>
      <c r="FJ80" s="709"/>
      <c r="FK80" s="709"/>
      <c r="FL80" s="709"/>
      <c r="FM80" s="709"/>
      <c r="FN80" s="709"/>
      <c r="FO80" s="709"/>
      <c r="FP80" s="709"/>
      <c r="FQ80" s="709"/>
      <c r="FR80" s="709"/>
      <c r="FS80" s="709"/>
      <c r="FT80" s="709"/>
      <c r="FU80" s="709"/>
      <c r="FV80" s="709"/>
      <c r="FW80" s="709"/>
      <c r="FX80" s="709"/>
      <c r="FY80" s="709"/>
      <c r="FZ80" s="709"/>
      <c r="GA80" s="709"/>
      <c r="GB80" s="709"/>
      <c r="GC80" s="709"/>
      <c r="GD80" s="709"/>
      <c r="GE80" s="709"/>
      <c r="GF80" s="709"/>
      <c r="GG80" s="709"/>
      <c r="GH80" s="709"/>
      <c r="GI80" s="709"/>
      <c r="GJ80" s="709"/>
      <c r="GK80" s="709"/>
      <c r="GL80" s="709"/>
      <c r="GM80" s="709"/>
      <c r="GN80" s="709"/>
      <c r="GO80" s="709"/>
      <c r="GP80" s="709"/>
      <c r="GQ80" s="709"/>
      <c r="GR80" s="709"/>
      <c r="GS80" s="709"/>
      <c r="GT80" s="709"/>
      <c r="GU80" s="709"/>
      <c r="GV80" s="709"/>
      <c r="GW80" s="709"/>
      <c r="GX80" s="709"/>
      <c r="GY80" s="709"/>
      <c r="GZ80" s="709"/>
      <c r="HA80" s="709"/>
      <c r="HB80" s="709"/>
      <c r="HC80" s="709"/>
      <c r="HD80" s="709"/>
      <c r="HE80" s="709"/>
      <c r="HF80" s="709"/>
      <c r="HG80" s="709"/>
      <c r="HH80" s="709"/>
      <c r="HI80" s="709"/>
      <c r="HJ80" s="709"/>
      <c r="HK80" s="709"/>
      <c r="HL80" s="709"/>
      <c r="HM80" s="709"/>
      <c r="HN80" s="709"/>
      <c r="HO80" s="709"/>
      <c r="HP80" s="709"/>
      <c r="HQ80" s="709"/>
      <c r="HR80" s="709"/>
      <c r="HS80" s="709"/>
      <c r="HT80" s="709"/>
      <c r="HU80" s="709"/>
      <c r="HV80" s="709"/>
      <c r="HW80" s="709"/>
      <c r="HX80" s="709"/>
      <c r="HY80" s="709"/>
      <c r="HZ80" s="709"/>
      <c r="IA80" s="709"/>
      <c r="IB80" s="709"/>
      <c r="IC80" s="709"/>
      <c r="ID80" s="709"/>
      <c r="IE80" s="709"/>
      <c r="IF80" s="709"/>
      <c r="IG80" s="709"/>
      <c r="IH80" s="709"/>
      <c r="II80" s="709"/>
      <c r="IJ80" s="709"/>
      <c r="IK80" s="709"/>
      <c r="IL80" s="709"/>
      <c r="IM80" s="709"/>
      <c r="IN80" s="709"/>
      <c r="IO80" s="709"/>
      <c r="IP80" s="709"/>
      <c r="IQ80" s="709"/>
      <c r="IR80" s="709"/>
      <c r="IS80" s="709"/>
      <c r="IT80" s="709"/>
      <c r="IU80" s="709"/>
      <c r="IV80" s="709"/>
    </row>
    <row r="81" spans="1:256" ht="12.75" hidden="1" customHeight="1">
      <c r="A81" s="706" t="s">
        <v>343</v>
      </c>
      <c r="B81" s="688">
        <v>39978.1</v>
      </c>
      <c r="C81" s="706">
        <v>31091.4</v>
      </c>
      <c r="D81" s="689"/>
      <c r="E81" s="706">
        <f t="shared" si="8"/>
        <v>8886.6999999999971</v>
      </c>
      <c r="F81" s="688">
        <v>-10079.700000000001</v>
      </c>
      <c r="G81" s="688">
        <v>1194.3</v>
      </c>
      <c r="H81" s="706">
        <f t="shared" si="6"/>
        <v>-8885.4000000000015</v>
      </c>
      <c r="I81" s="693"/>
      <c r="J81" s="688">
        <v>-1.3</v>
      </c>
      <c r="K81" s="706">
        <f t="shared" si="7"/>
        <v>-8886.7000000000007</v>
      </c>
      <c r="L81" s="691"/>
      <c r="M81" s="709"/>
      <c r="N81" s="709"/>
      <c r="O81" s="709"/>
      <c r="P81" s="709"/>
      <c r="Q81" s="709"/>
      <c r="R81" s="709"/>
      <c r="S81" s="709"/>
      <c r="T81" s="709"/>
      <c r="U81" s="709"/>
      <c r="V81" s="709"/>
      <c r="W81" s="709"/>
      <c r="X81" s="709"/>
      <c r="Y81" s="709"/>
      <c r="Z81" s="709"/>
      <c r="AA81" s="709"/>
      <c r="AB81" s="709"/>
      <c r="AC81" s="709"/>
      <c r="AD81" s="709"/>
      <c r="AE81" s="709"/>
      <c r="AF81" s="709"/>
      <c r="AG81" s="709"/>
      <c r="AH81" s="709"/>
      <c r="AI81" s="709"/>
      <c r="AJ81" s="709"/>
      <c r="AK81" s="709"/>
      <c r="AL81" s="709"/>
      <c r="AM81" s="709"/>
      <c r="AN81" s="709"/>
      <c r="AO81" s="709"/>
      <c r="AP81" s="709"/>
      <c r="AQ81" s="709"/>
      <c r="AR81" s="709"/>
      <c r="AS81" s="709"/>
      <c r="AT81" s="709"/>
      <c r="AU81" s="709"/>
      <c r="AV81" s="709"/>
      <c r="AW81" s="709"/>
      <c r="AX81" s="709"/>
      <c r="AY81" s="709"/>
      <c r="AZ81" s="709"/>
      <c r="BA81" s="709"/>
      <c r="BB81" s="709"/>
      <c r="BC81" s="709"/>
      <c r="BD81" s="709"/>
      <c r="BE81" s="709"/>
      <c r="BF81" s="709"/>
      <c r="BG81" s="709"/>
      <c r="BH81" s="709"/>
      <c r="BI81" s="709"/>
      <c r="BJ81" s="709"/>
      <c r="BK81" s="709"/>
      <c r="BL81" s="709"/>
      <c r="BM81" s="709"/>
      <c r="BN81" s="709"/>
      <c r="BO81" s="709"/>
      <c r="BP81" s="709"/>
      <c r="BQ81" s="709"/>
      <c r="BR81" s="709"/>
      <c r="BS81" s="709"/>
      <c r="BT81" s="709"/>
      <c r="BU81" s="709"/>
      <c r="BV81" s="709"/>
      <c r="BW81" s="709"/>
      <c r="BX81" s="709"/>
      <c r="BY81" s="709"/>
      <c r="BZ81" s="709"/>
      <c r="CA81" s="709"/>
      <c r="CB81" s="709"/>
      <c r="CC81" s="709"/>
      <c r="CD81" s="709"/>
      <c r="CE81" s="709"/>
      <c r="CF81" s="709"/>
      <c r="CG81" s="709"/>
      <c r="CH81" s="709"/>
      <c r="CI81" s="709"/>
      <c r="CJ81" s="709"/>
      <c r="CK81" s="709"/>
      <c r="CL81" s="709"/>
      <c r="CM81" s="709"/>
      <c r="CN81" s="709"/>
      <c r="CO81" s="709"/>
      <c r="CP81" s="709"/>
      <c r="CQ81" s="709"/>
      <c r="CR81" s="709"/>
      <c r="CS81" s="709"/>
      <c r="CT81" s="709"/>
      <c r="CU81" s="709"/>
      <c r="CV81" s="709"/>
      <c r="CW81" s="709"/>
      <c r="CX81" s="709"/>
      <c r="CY81" s="709"/>
      <c r="CZ81" s="709"/>
      <c r="DA81" s="709"/>
      <c r="DB81" s="709"/>
      <c r="DC81" s="709"/>
      <c r="DD81" s="709"/>
      <c r="DE81" s="709"/>
      <c r="DF81" s="709"/>
      <c r="DG81" s="709"/>
      <c r="DH81" s="709"/>
      <c r="DI81" s="709"/>
      <c r="DJ81" s="709"/>
      <c r="DK81" s="709"/>
      <c r="DL81" s="709"/>
      <c r="DM81" s="709"/>
      <c r="DN81" s="709"/>
      <c r="DO81" s="709"/>
      <c r="DP81" s="709"/>
      <c r="DQ81" s="709"/>
      <c r="DR81" s="709"/>
      <c r="DS81" s="709"/>
      <c r="DT81" s="709"/>
      <c r="DU81" s="709"/>
      <c r="DV81" s="709"/>
      <c r="DW81" s="709"/>
      <c r="DX81" s="709"/>
      <c r="DY81" s="709"/>
      <c r="DZ81" s="709"/>
      <c r="EA81" s="709"/>
      <c r="EB81" s="709"/>
      <c r="EC81" s="709"/>
      <c r="ED81" s="709"/>
      <c r="EE81" s="709"/>
      <c r="EF81" s="709"/>
      <c r="EG81" s="709"/>
      <c r="EH81" s="709"/>
      <c r="EI81" s="709"/>
      <c r="EJ81" s="709"/>
      <c r="EK81" s="709"/>
      <c r="EL81" s="709"/>
      <c r="EM81" s="709"/>
      <c r="EN81" s="709"/>
      <c r="EO81" s="709"/>
      <c r="EP81" s="709"/>
      <c r="EQ81" s="709"/>
      <c r="ER81" s="709"/>
      <c r="ES81" s="709"/>
      <c r="ET81" s="709"/>
      <c r="EU81" s="709"/>
      <c r="EV81" s="709"/>
      <c r="EW81" s="709"/>
      <c r="EX81" s="709"/>
      <c r="EY81" s="709"/>
      <c r="EZ81" s="709"/>
      <c r="FA81" s="709"/>
      <c r="FB81" s="709"/>
      <c r="FC81" s="709"/>
      <c r="FD81" s="709"/>
      <c r="FE81" s="709"/>
      <c r="FF81" s="709"/>
      <c r="FG81" s="709"/>
      <c r="FH81" s="709"/>
      <c r="FI81" s="709"/>
      <c r="FJ81" s="709"/>
      <c r="FK81" s="709"/>
      <c r="FL81" s="709"/>
      <c r="FM81" s="709"/>
      <c r="FN81" s="709"/>
      <c r="FO81" s="709"/>
      <c r="FP81" s="709"/>
      <c r="FQ81" s="709"/>
      <c r="FR81" s="709"/>
      <c r="FS81" s="709"/>
      <c r="FT81" s="709"/>
      <c r="FU81" s="709"/>
      <c r="FV81" s="709"/>
      <c r="FW81" s="709"/>
      <c r="FX81" s="709"/>
      <c r="FY81" s="709"/>
      <c r="FZ81" s="709"/>
      <c r="GA81" s="709"/>
      <c r="GB81" s="709"/>
      <c r="GC81" s="709"/>
      <c r="GD81" s="709"/>
      <c r="GE81" s="709"/>
      <c r="GF81" s="709"/>
      <c r="GG81" s="709"/>
      <c r="GH81" s="709"/>
      <c r="GI81" s="709"/>
      <c r="GJ81" s="709"/>
      <c r="GK81" s="709"/>
      <c r="GL81" s="709"/>
      <c r="GM81" s="709"/>
      <c r="GN81" s="709"/>
      <c r="GO81" s="709"/>
      <c r="GP81" s="709"/>
      <c r="GQ81" s="709"/>
      <c r="GR81" s="709"/>
      <c r="GS81" s="709"/>
      <c r="GT81" s="709"/>
      <c r="GU81" s="709"/>
      <c r="GV81" s="709"/>
      <c r="GW81" s="709"/>
      <c r="GX81" s="709"/>
      <c r="GY81" s="709"/>
      <c r="GZ81" s="709"/>
      <c r="HA81" s="709"/>
      <c r="HB81" s="709"/>
      <c r="HC81" s="709"/>
      <c r="HD81" s="709"/>
      <c r="HE81" s="709"/>
      <c r="HF81" s="709"/>
      <c r="HG81" s="709"/>
      <c r="HH81" s="709"/>
      <c r="HI81" s="709"/>
      <c r="HJ81" s="709"/>
      <c r="HK81" s="709"/>
      <c r="HL81" s="709"/>
      <c r="HM81" s="709"/>
      <c r="HN81" s="709"/>
      <c r="HO81" s="709"/>
      <c r="HP81" s="709"/>
      <c r="HQ81" s="709"/>
      <c r="HR81" s="709"/>
      <c r="HS81" s="709"/>
      <c r="HT81" s="709"/>
      <c r="HU81" s="709"/>
      <c r="HV81" s="709"/>
      <c r="HW81" s="709"/>
      <c r="HX81" s="709"/>
      <c r="HY81" s="709"/>
      <c r="HZ81" s="709"/>
      <c r="IA81" s="709"/>
      <c r="IB81" s="709"/>
      <c r="IC81" s="709"/>
      <c r="ID81" s="709"/>
      <c r="IE81" s="709"/>
      <c r="IF81" s="709"/>
      <c r="IG81" s="709"/>
      <c r="IH81" s="709"/>
      <c r="II81" s="709"/>
      <c r="IJ81" s="709"/>
      <c r="IK81" s="709"/>
      <c r="IL81" s="709"/>
      <c r="IM81" s="709"/>
      <c r="IN81" s="709"/>
      <c r="IO81" s="709"/>
      <c r="IP81" s="709"/>
      <c r="IQ81" s="709"/>
      <c r="IR81" s="709"/>
      <c r="IS81" s="709"/>
      <c r="IT81" s="709"/>
      <c r="IU81" s="709"/>
      <c r="IV81" s="709"/>
    </row>
    <row r="82" spans="1:256" ht="12.75" hidden="1" customHeight="1">
      <c r="A82" s="706" t="s">
        <v>344</v>
      </c>
      <c r="B82" s="688">
        <f>40959.8+111.8</f>
        <v>41071.600000000006</v>
      </c>
      <c r="C82" s="706">
        <v>43219.1</v>
      </c>
      <c r="D82" s="689"/>
      <c r="E82" s="706">
        <f t="shared" si="8"/>
        <v>-2147.4999999999927</v>
      </c>
      <c r="F82" s="688">
        <v>-4746.3</v>
      </c>
      <c r="G82" s="706">
        <v>6886</v>
      </c>
      <c r="H82" s="706">
        <f t="shared" si="6"/>
        <v>2139.6999999999998</v>
      </c>
      <c r="I82" s="693"/>
      <c r="J82" s="688">
        <v>7.8</v>
      </c>
      <c r="K82" s="706">
        <f t="shared" si="7"/>
        <v>2147.5</v>
      </c>
      <c r="L82" s="691"/>
      <c r="M82" s="709"/>
      <c r="N82" s="709"/>
      <c r="O82" s="709"/>
      <c r="P82" s="709"/>
      <c r="Q82" s="709"/>
      <c r="R82" s="709"/>
      <c r="S82" s="709"/>
      <c r="T82" s="709"/>
      <c r="U82" s="709"/>
      <c r="V82" s="709"/>
      <c r="W82" s="709"/>
      <c r="X82" s="709"/>
      <c r="Y82" s="709"/>
      <c r="Z82" s="709"/>
      <c r="AA82" s="709"/>
      <c r="AB82" s="709"/>
      <c r="AC82" s="709"/>
      <c r="AD82" s="709"/>
      <c r="AE82" s="709"/>
      <c r="AF82" s="709"/>
      <c r="AG82" s="709"/>
      <c r="AH82" s="709"/>
      <c r="AI82" s="709"/>
      <c r="AJ82" s="709"/>
      <c r="AK82" s="709"/>
      <c r="AL82" s="709"/>
      <c r="AM82" s="709"/>
      <c r="AN82" s="709"/>
      <c r="AO82" s="709"/>
      <c r="AP82" s="709"/>
      <c r="AQ82" s="709"/>
      <c r="AR82" s="709"/>
      <c r="AS82" s="709"/>
      <c r="AT82" s="709"/>
      <c r="AU82" s="709"/>
      <c r="AV82" s="709"/>
      <c r="AW82" s="709"/>
      <c r="AX82" s="709"/>
      <c r="AY82" s="709"/>
      <c r="AZ82" s="709"/>
      <c r="BA82" s="709"/>
      <c r="BB82" s="709"/>
      <c r="BC82" s="709"/>
      <c r="BD82" s="709"/>
      <c r="BE82" s="709"/>
      <c r="BF82" s="709"/>
      <c r="BG82" s="709"/>
      <c r="BH82" s="709"/>
      <c r="BI82" s="709"/>
      <c r="BJ82" s="709"/>
      <c r="BK82" s="709"/>
      <c r="BL82" s="709"/>
      <c r="BM82" s="709"/>
      <c r="BN82" s="709"/>
      <c r="BO82" s="709"/>
      <c r="BP82" s="709"/>
      <c r="BQ82" s="709"/>
      <c r="BR82" s="709"/>
      <c r="BS82" s="709"/>
      <c r="BT82" s="709"/>
      <c r="BU82" s="709"/>
      <c r="BV82" s="709"/>
      <c r="BW82" s="709"/>
      <c r="BX82" s="709"/>
      <c r="BY82" s="709"/>
      <c r="BZ82" s="709"/>
      <c r="CA82" s="709"/>
      <c r="CB82" s="709"/>
      <c r="CC82" s="709"/>
      <c r="CD82" s="709"/>
      <c r="CE82" s="709"/>
      <c r="CF82" s="709"/>
      <c r="CG82" s="709"/>
      <c r="CH82" s="709"/>
      <c r="CI82" s="709"/>
      <c r="CJ82" s="709"/>
      <c r="CK82" s="709"/>
      <c r="CL82" s="709"/>
      <c r="CM82" s="709"/>
      <c r="CN82" s="709"/>
      <c r="CO82" s="709"/>
      <c r="CP82" s="709"/>
      <c r="CQ82" s="709"/>
      <c r="CR82" s="709"/>
      <c r="CS82" s="709"/>
      <c r="CT82" s="709"/>
      <c r="CU82" s="709"/>
      <c r="CV82" s="709"/>
      <c r="CW82" s="709"/>
      <c r="CX82" s="709"/>
      <c r="CY82" s="709"/>
      <c r="CZ82" s="709"/>
      <c r="DA82" s="709"/>
      <c r="DB82" s="709"/>
      <c r="DC82" s="709"/>
      <c r="DD82" s="709"/>
      <c r="DE82" s="709"/>
      <c r="DF82" s="709"/>
      <c r="DG82" s="709"/>
      <c r="DH82" s="709"/>
      <c r="DI82" s="709"/>
      <c r="DJ82" s="709"/>
      <c r="DK82" s="709"/>
      <c r="DL82" s="709"/>
      <c r="DM82" s="709"/>
      <c r="DN82" s="709"/>
      <c r="DO82" s="709"/>
      <c r="DP82" s="709"/>
      <c r="DQ82" s="709"/>
      <c r="DR82" s="709"/>
      <c r="DS82" s="709"/>
      <c r="DT82" s="709"/>
      <c r="DU82" s="709"/>
      <c r="DV82" s="709"/>
      <c r="DW82" s="709"/>
      <c r="DX82" s="709"/>
      <c r="DY82" s="709"/>
      <c r="DZ82" s="709"/>
      <c r="EA82" s="709"/>
      <c r="EB82" s="709"/>
      <c r="EC82" s="709"/>
      <c r="ED82" s="709"/>
      <c r="EE82" s="709"/>
      <c r="EF82" s="709"/>
      <c r="EG82" s="709"/>
      <c r="EH82" s="709"/>
      <c r="EI82" s="709"/>
      <c r="EJ82" s="709"/>
      <c r="EK82" s="709"/>
      <c r="EL82" s="709"/>
      <c r="EM82" s="709"/>
      <c r="EN82" s="709"/>
      <c r="EO82" s="709"/>
      <c r="EP82" s="709"/>
      <c r="EQ82" s="709"/>
      <c r="ER82" s="709"/>
      <c r="ES82" s="709"/>
      <c r="ET82" s="709"/>
      <c r="EU82" s="709"/>
      <c r="EV82" s="709"/>
      <c r="EW82" s="709"/>
      <c r="EX82" s="709"/>
      <c r="EY82" s="709"/>
      <c r="EZ82" s="709"/>
      <c r="FA82" s="709"/>
      <c r="FB82" s="709"/>
      <c r="FC82" s="709"/>
      <c r="FD82" s="709"/>
      <c r="FE82" s="709"/>
      <c r="FF82" s="709"/>
      <c r="FG82" s="709"/>
      <c r="FH82" s="709"/>
      <c r="FI82" s="709"/>
      <c r="FJ82" s="709"/>
      <c r="FK82" s="709"/>
      <c r="FL82" s="709"/>
      <c r="FM82" s="709"/>
      <c r="FN82" s="709"/>
      <c r="FO82" s="709"/>
      <c r="FP82" s="709"/>
      <c r="FQ82" s="709"/>
      <c r="FR82" s="709"/>
      <c r="FS82" s="709"/>
      <c r="FT82" s="709"/>
      <c r="FU82" s="709"/>
      <c r="FV82" s="709"/>
      <c r="FW82" s="709"/>
      <c r="FX82" s="709"/>
      <c r="FY82" s="709"/>
      <c r="FZ82" s="709"/>
      <c r="GA82" s="709"/>
      <c r="GB82" s="709"/>
      <c r="GC82" s="709"/>
      <c r="GD82" s="709"/>
      <c r="GE82" s="709"/>
      <c r="GF82" s="709"/>
      <c r="GG82" s="709"/>
      <c r="GH82" s="709"/>
      <c r="GI82" s="709"/>
      <c r="GJ82" s="709"/>
      <c r="GK82" s="709"/>
      <c r="GL82" s="709"/>
      <c r="GM82" s="709"/>
      <c r="GN82" s="709"/>
      <c r="GO82" s="709"/>
      <c r="GP82" s="709"/>
      <c r="GQ82" s="709"/>
      <c r="GR82" s="709"/>
      <c r="GS82" s="709"/>
      <c r="GT82" s="709"/>
      <c r="GU82" s="709"/>
      <c r="GV82" s="709"/>
      <c r="GW82" s="709"/>
      <c r="GX82" s="709"/>
      <c r="GY82" s="709"/>
      <c r="GZ82" s="709"/>
      <c r="HA82" s="709"/>
      <c r="HB82" s="709"/>
      <c r="HC82" s="709"/>
      <c r="HD82" s="709"/>
      <c r="HE82" s="709"/>
      <c r="HF82" s="709"/>
      <c r="HG82" s="709"/>
      <c r="HH82" s="709"/>
      <c r="HI82" s="709"/>
      <c r="HJ82" s="709"/>
      <c r="HK82" s="709"/>
      <c r="HL82" s="709"/>
      <c r="HM82" s="709"/>
      <c r="HN82" s="709"/>
      <c r="HO82" s="709"/>
      <c r="HP82" s="709"/>
      <c r="HQ82" s="709"/>
      <c r="HR82" s="709"/>
      <c r="HS82" s="709"/>
      <c r="HT82" s="709"/>
      <c r="HU82" s="709"/>
      <c r="HV82" s="709"/>
      <c r="HW82" s="709"/>
      <c r="HX82" s="709"/>
      <c r="HY82" s="709"/>
      <c r="HZ82" s="709"/>
      <c r="IA82" s="709"/>
      <c r="IB82" s="709"/>
      <c r="IC82" s="709"/>
      <c r="ID82" s="709"/>
      <c r="IE82" s="709"/>
      <c r="IF82" s="709"/>
      <c r="IG82" s="709"/>
      <c r="IH82" s="709"/>
      <c r="II82" s="709"/>
      <c r="IJ82" s="709"/>
      <c r="IK82" s="709"/>
      <c r="IL82" s="709"/>
      <c r="IM82" s="709"/>
      <c r="IN82" s="709"/>
      <c r="IO82" s="709"/>
      <c r="IP82" s="709"/>
      <c r="IQ82" s="709"/>
      <c r="IR82" s="709"/>
      <c r="IS82" s="709"/>
      <c r="IT82" s="709"/>
      <c r="IU82" s="709"/>
      <c r="IV82" s="709"/>
    </row>
    <row r="83" spans="1:256" ht="12.75" hidden="1" customHeight="1">
      <c r="A83" s="706"/>
      <c r="B83" s="688"/>
      <c r="C83" s="706"/>
      <c r="D83" s="689"/>
      <c r="E83" s="706"/>
      <c r="F83" s="688"/>
      <c r="G83" s="706"/>
      <c r="H83" s="706"/>
      <c r="I83" s="693"/>
      <c r="J83" s="688"/>
      <c r="K83" s="706"/>
      <c r="L83" s="691"/>
      <c r="M83" s="709"/>
      <c r="N83" s="709"/>
      <c r="O83" s="709"/>
      <c r="P83" s="709"/>
      <c r="Q83" s="709"/>
      <c r="R83" s="709"/>
      <c r="S83" s="709"/>
      <c r="T83" s="709"/>
      <c r="U83" s="709"/>
      <c r="V83" s="709"/>
      <c r="W83" s="709"/>
      <c r="X83" s="709"/>
      <c r="Y83" s="709"/>
      <c r="Z83" s="709"/>
      <c r="AA83" s="709"/>
      <c r="AB83" s="709"/>
      <c r="AC83" s="709"/>
      <c r="AD83" s="709"/>
      <c r="AE83" s="709"/>
      <c r="AF83" s="709"/>
      <c r="AG83" s="709"/>
      <c r="AH83" s="709"/>
      <c r="AI83" s="709"/>
      <c r="AJ83" s="709"/>
      <c r="AK83" s="709"/>
      <c r="AL83" s="709"/>
      <c r="AM83" s="709"/>
      <c r="AN83" s="709"/>
      <c r="AO83" s="709"/>
      <c r="AP83" s="709"/>
      <c r="AQ83" s="709"/>
      <c r="AR83" s="709"/>
      <c r="AS83" s="709"/>
      <c r="AT83" s="709"/>
      <c r="AU83" s="709"/>
      <c r="AV83" s="709"/>
      <c r="AW83" s="709"/>
      <c r="AX83" s="709"/>
      <c r="AY83" s="709"/>
      <c r="AZ83" s="709"/>
      <c r="BA83" s="709"/>
      <c r="BB83" s="709"/>
      <c r="BC83" s="709"/>
      <c r="BD83" s="709"/>
      <c r="BE83" s="709"/>
      <c r="BF83" s="709"/>
      <c r="BG83" s="709"/>
      <c r="BH83" s="709"/>
      <c r="BI83" s="709"/>
      <c r="BJ83" s="709"/>
      <c r="BK83" s="709"/>
      <c r="BL83" s="709"/>
      <c r="BM83" s="709"/>
      <c r="BN83" s="709"/>
      <c r="BO83" s="709"/>
      <c r="BP83" s="709"/>
      <c r="BQ83" s="709"/>
      <c r="BR83" s="709"/>
      <c r="BS83" s="709"/>
      <c r="BT83" s="709"/>
      <c r="BU83" s="709"/>
      <c r="BV83" s="709"/>
      <c r="BW83" s="709"/>
      <c r="BX83" s="709"/>
      <c r="BY83" s="709"/>
      <c r="BZ83" s="709"/>
      <c r="CA83" s="709"/>
      <c r="CB83" s="709"/>
      <c r="CC83" s="709"/>
      <c r="CD83" s="709"/>
      <c r="CE83" s="709"/>
      <c r="CF83" s="709"/>
      <c r="CG83" s="709"/>
      <c r="CH83" s="709"/>
      <c r="CI83" s="709"/>
      <c r="CJ83" s="709"/>
      <c r="CK83" s="709"/>
      <c r="CL83" s="709"/>
      <c r="CM83" s="709"/>
      <c r="CN83" s="709"/>
      <c r="CO83" s="709"/>
      <c r="CP83" s="709"/>
      <c r="CQ83" s="709"/>
      <c r="CR83" s="709"/>
      <c r="CS83" s="709"/>
      <c r="CT83" s="709"/>
      <c r="CU83" s="709"/>
      <c r="CV83" s="709"/>
      <c r="CW83" s="709"/>
      <c r="CX83" s="709"/>
      <c r="CY83" s="709"/>
      <c r="CZ83" s="709"/>
      <c r="DA83" s="709"/>
      <c r="DB83" s="709"/>
      <c r="DC83" s="709"/>
      <c r="DD83" s="709"/>
      <c r="DE83" s="709"/>
      <c r="DF83" s="709"/>
      <c r="DG83" s="709"/>
      <c r="DH83" s="709"/>
      <c r="DI83" s="709"/>
      <c r="DJ83" s="709"/>
      <c r="DK83" s="709"/>
      <c r="DL83" s="709"/>
      <c r="DM83" s="709"/>
      <c r="DN83" s="709"/>
      <c r="DO83" s="709"/>
      <c r="DP83" s="709"/>
      <c r="DQ83" s="709"/>
      <c r="DR83" s="709"/>
      <c r="DS83" s="709"/>
      <c r="DT83" s="709"/>
      <c r="DU83" s="709"/>
      <c r="DV83" s="709"/>
      <c r="DW83" s="709"/>
      <c r="DX83" s="709"/>
      <c r="DY83" s="709"/>
      <c r="DZ83" s="709"/>
      <c r="EA83" s="709"/>
      <c r="EB83" s="709"/>
      <c r="EC83" s="709"/>
      <c r="ED83" s="709"/>
      <c r="EE83" s="709"/>
      <c r="EF83" s="709"/>
      <c r="EG83" s="709"/>
      <c r="EH83" s="709"/>
      <c r="EI83" s="709"/>
      <c r="EJ83" s="709"/>
      <c r="EK83" s="709"/>
      <c r="EL83" s="709"/>
      <c r="EM83" s="709"/>
      <c r="EN83" s="709"/>
      <c r="EO83" s="709"/>
      <c r="EP83" s="709"/>
      <c r="EQ83" s="709"/>
      <c r="ER83" s="709"/>
      <c r="ES83" s="709"/>
      <c r="ET83" s="709"/>
      <c r="EU83" s="709"/>
      <c r="EV83" s="709"/>
      <c r="EW83" s="709"/>
      <c r="EX83" s="709"/>
      <c r="EY83" s="709"/>
      <c r="EZ83" s="709"/>
      <c r="FA83" s="709"/>
      <c r="FB83" s="709"/>
      <c r="FC83" s="709"/>
      <c r="FD83" s="709"/>
      <c r="FE83" s="709"/>
      <c r="FF83" s="709"/>
      <c r="FG83" s="709"/>
      <c r="FH83" s="709"/>
      <c r="FI83" s="709"/>
      <c r="FJ83" s="709"/>
      <c r="FK83" s="709"/>
      <c r="FL83" s="709"/>
      <c r="FM83" s="709"/>
      <c r="FN83" s="709"/>
      <c r="FO83" s="709"/>
      <c r="FP83" s="709"/>
      <c r="FQ83" s="709"/>
      <c r="FR83" s="709"/>
      <c r="FS83" s="709"/>
      <c r="FT83" s="709"/>
      <c r="FU83" s="709"/>
      <c r="FV83" s="709"/>
      <c r="FW83" s="709"/>
      <c r="FX83" s="709"/>
      <c r="FY83" s="709"/>
      <c r="FZ83" s="709"/>
      <c r="GA83" s="709"/>
      <c r="GB83" s="709"/>
      <c r="GC83" s="709"/>
      <c r="GD83" s="709"/>
      <c r="GE83" s="709"/>
      <c r="GF83" s="709"/>
      <c r="GG83" s="709"/>
      <c r="GH83" s="709"/>
      <c r="GI83" s="709"/>
      <c r="GJ83" s="709"/>
      <c r="GK83" s="709"/>
      <c r="GL83" s="709"/>
      <c r="GM83" s="709"/>
      <c r="GN83" s="709"/>
      <c r="GO83" s="709"/>
      <c r="GP83" s="709"/>
      <c r="GQ83" s="709"/>
      <c r="GR83" s="709"/>
      <c r="GS83" s="709"/>
      <c r="GT83" s="709"/>
      <c r="GU83" s="709"/>
      <c r="GV83" s="709"/>
      <c r="GW83" s="709"/>
      <c r="GX83" s="709"/>
      <c r="GY83" s="709"/>
      <c r="GZ83" s="709"/>
      <c r="HA83" s="709"/>
      <c r="HB83" s="709"/>
      <c r="HC83" s="709"/>
      <c r="HD83" s="709"/>
      <c r="HE83" s="709"/>
      <c r="HF83" s="709"/>
      <c r="HG83" s="709"/>
      <c r="HH83" s="709"/>
      <c r="HI83" s="709"/>
      <c r="HJ83" s="709"/>
      <c r="HK83" s="709"/>
      <c r="HL83" s="709"/>
      <c r="HM83" s="709"/>
      <c r="HN83" s="709"/>
      <c r="HO83" s="709"/>
      <c r="HP83" s="709"/>
      <c r="HQ83" s="709"/>
      <c r="HR83" s="709"/>
      <c r="HS83" s="709"/>
      <c r="HT83" s="709"/>
      <c r="HU83" s="709"/>
      <c r="HV83" s="709"/>
      <c r="HW83" s="709"/>
      <c r="HX83" s="709"/>
      <c r="HY83" s="709"/>
      <c r="HZ83" s="709"/>
      <c r="IA83" s="709"/>
      <c r="IB83" s="709"/>
      <c r="IC83" s="709"/>
      <c r="ID83" s="709"/>
      <c r="IE83" s="709"/>
      <c r="IF83" s="709"/>
      <c r="IG83" s="709"/>
      <c r="IH83" s="709"/>
      <c r="II83" s="709"/>
      <c r="IJ83" s="709"/>
      <c r="IK83" s="709"/>
      <c r="IL83" s="709"/>
      <c r="IM83" s="709"/>
      <c r="IN83" s="709"/>
      <c r="IO83" s="709"/>
      <c r="IP83" s="709"/>
      <c r="IQ83" s="709"/>
      <c r="IR83" s="709"/>
      <c r="IS83" s="709"/>
      <c r="IT83" s="709"/>
      <c r="IU83" s="709"/>
      <c r="IV83" s="709"/>
    </row>
    <row r="84" spans="1:256" ht="12.75" hidden="1" customHeight="1">
      <c r="A84" s="708">
        <v>2003</v>
      </c>
      <c r="B84" s="688"/>
      <c r="C84" s="706"/>
      <c r="D84" s="689"/>
      <c r="E84" s="706"/>
      <c r="F84" s="688"/>
      <c r="G84" s="706"/>
      <c r="H84" s="706"/>
      <c r="I84" s="693"/>
      <c r="J84" s="688"/>
      <c r="K84" s="706"/>
      <c r="L84" s="691"/>
      <c r="M84" s="709"/>
      <c r="N84" s="709"/>
      <c r="O84" s="709"/>
      <c r="P84" s="709"/>
      <c r="Q84" s="709"/>
      <c r="R84" s="709"/>
      <c r="S84" s="709"/>
      <c r="T84" s="709"/>
      <c r="U84" s="709"/>
      <c r="V84" s="709"/>
      <c r="W84" s="709"/>
      <c r="X84" s="709"/>
      <c r="Y84" s="709"/>
      <c r="Z84" s="709"/>
      <c r="AA84" s="709"/>
      <c r="AB84" s="709"/>
      <c r="AC84" s="709"/>
      <c r="AD84" s="709"/>
      <c r="AE84" s="709"/>
      <c r="AF84" s="709"/>
      <c r="AG84" s="709"/>
      <c r="AH84" s="709"/>
      <c r="AI84" s="709"/>
      <c r="AJ84" s="709"/>
      <c r="AK84" s="709"/>
      <c r="AL84" s="709"/>
      <c r="AM84" s="709"/>
      <c r="AN84" s="709"/>
      <c r="AO84" s="709"/>
      <c r="AP84" s="709"/>
      <c r="AQ84" s="709"/>
      <c r="AR84" s="709"/>
      <c r="AS84" s="709"/>
      <c r="AT84" s="709"/>
      <c r="AU84" s="709"/>
      <c r="AV84" s="709"/>
      <c r="AW84" s="709"/>
      <c r="AX84" s="709"/>
      <c r="AY84" s="709"/>
      <c r="AZ84" s="709"/>
      <c r="BA84" s="709"/>
      <c r="BB84" s="709"/>
      <c r="BC84" s="709"/>
      <c r="BD84" s="709"/>
      <c r="BE84" s="709"/>
      <c r="BF84" s="709"/>
      <c r="BG84" s="709"/>
      <c r="BH84" s="709"/>
      <c r="BI84" s="709"/>
      <c r="BJ84" s="709"/>
      <c r="BK84" s="709"/>
      <c r="BL84" s="709"/>
      <c r="BM84" s="709"/>
      <c r="BN84" s="709"/>
      <c r="BO84" s="709"/>
      <c r="BP84" s="709"/>
      <c r="BQ84" s="709"/>
      <c r="BR84" s="709"/>
      <c r="BS84" s="709"/>
      <c r="BT84" s="709"/>
      <c r="BU84" s="709"/>
      <c r="BV84" s="709"/>
      <c r="BW84" s="709"/>
      <c r="BX84" s="709"/>
      <c r="BY84" s="709"/>
      <c r="BZ84" s="709"/>
      <c r="CA84" s="709"/>
      <c r="CB84" s="709"/>
      <c r="CC84" s="709"/>
      <c r="CD84" s="709"/>
      <c r="CE84" s="709"/>
      <c r="CF84" s="709"/>
      <c r="CG84" s="709"/>
      <c r="CH84" s="709"/>
      <c r="CI84" s="709"/>
      <c r="CJ84" s="709"/>
      <c r="CK84" s="709"/>
      <c r="CL84" s="709"/>
      <c r="CM84" s="709"/>
      <c r="CN84" s="709"/>
      <c r="CO84" s="709"/>
      <c r="CP84" s="709"/>
      <c r="CQ84" s="709"/>
      <c r="CR84" s="709"/>
      <c r="CS84" s="709"/>
      <c r="CT84" s="709"/>
      <c r="CU84" s="709"/>
      <c r="CV84" s="709"/>
      <c r="CW84" s="709"/>
      <c r="CX84" s="709"/>
      <c r="CY84" s="709"/>
      <c r="CZ84" s="709"/>
      <c r="DA84" s="709"/>
      <c r="DB84" s="709"/>
      <c r="DC84" s="709"/>
      <c r="DD84" s="709"/>
      <c r="DE84" s="709"/>
      <c r="DF84" s="709"/>
      <c r="DG84" s="709"/>
      <c r="DH84" s="709"/>
      <c r="DI84" s="709"/>
      <c r="DJ84" s="709"/>
      <c r="DK84" s="709"/>
      <c r="DL84" s="709"/>
      <c r="DM84" s="709"/>
      <c r="DN84" s="709"/>
      <c r="DO84" s="709"/>
      <c r="DP84" s="709"/>
      <c r="DQ84" s="709"/>
      <c r="DR84" s="709"/>
      <c r="DS84" s="709"/>
      <c r="DT84" s="709"/>
      <c r="DU84" s="709"/>
      <c r="DV84" s="709"/>
      <c r="DW84" s="709"/>
      <c r="DX84" s="709"/>
      <c r="DY84" s="709"/>
      <c r="DZ84" s="709"/>
      <c r="EA84" s="709"/>
      <c r="EB84" s="709"/>
      <c r="EC84" s="709"/>
      <c r="ED84" s="709"/>
      <c r="EE84" s="709"/>
      <c r="EF84" s="709"/>
      <c r="EG84" s="709"/>
      <c r="EH84" s="709"/>
      <c r="EI84" s="709"/>
      <c r="EJ84" s="709"/>
      <c r="EK84" s="709"/>
      <c r="EL84" s="709"/>
      <c r="EM84" s="709"/>
      <c r="EN84" s="709"/>
      <c r="EO84" s="709"/>
      <c r="EP84" s="709"/>
      <c r="EQ84" s="709"/>
      <c r="ER84" s="709"/>
      <c r="ES84" s="709"/>
      <c r="ET84" s="709"/>
      <c r="EU84" s="709"/>
      <c r="EV84" s="709"/>
      <c r="EW84" s="709"/>
      <c r="EX84" s="709"/>
      <c r="EY84" s="709"/>
      <c r="EZ84" s="709"/>
      <c r="FA84" s="709"/>
      <c r="FB84" s="709"/>
      <c r="FC84" s="709"/>
      <c r="FD84" s="709"/>
      <c r="FE84" s="709"/>
      <c r="FF84" s="709"/>
      <c r="FG84" s="709"/>
      <c r="FH84" s="709"/>
      <c r="FI84" s="709"/>
      <c r="FJ84" s="709"/>
      <c r="FK84" s="709"/>
      <c r="FL84" s="709"/>
      <c r="FM84" s="709"/>
      <c r="FN84" s="709"/>
      <c r="FO84" s="709"/>
      <c r="FP84" s="709"/>
      <c r="FQ84" s="709"/>
      <c r="FR84" s="709"/>
      <c r="FS84" s="709"/>
      <c r="FT84" s="709"/>
      <c r="FU84" s="709"/>
      <c r="FV84" s="709"/>
      <c r="FW84" s="709"/>
      <c r="FX84" s="709"/>
      <c r="FY84" s="709"/>
      <c r="FZ84" s="709"/>
      <c r="GA84" s="709"/>
      <c r="GB84" s="709"/>
      <c r="GC84" s="709"/>
      <c r="GD84" s="709"/>
      <c r="GE84" s="709"/>
      <c r="GF84" s="709"/>
      <c r="GG84" s="709"/>
      <c r="GH84" s="709"/>
      <c r="GI84" s="709"/>
      <c r="GJ84" s="709"/>
      <c r="GK84" s="709"/>
      <c r="GL84" s="709"/>
      <c r="GM84" s="709"/>
      <c r="GN84" s="709"/>
      <c r="GO84" s="709"/>
      <c r="GP84" s="709"/>
      <c r="GQ84" s="709"/>
      <c r="GR84" s="709"/>
      <c r="GS84" s="709"/>
      <c r="GT84" s="709"/>
      <c r="GU84" s="709"/>
      <c r="GV84" s="709"/>
      <c r="GW84" s="709"/>
      <c r="GX84" s="709"/>
      <c r="GY84" s="709"/>
      <c r="GZ84" s="709"/>
      <c r="HA84" s="709"/>
      <c r="HB84" s="709"/>
      <c r="HC84" s="709"/>
      <c r="HD84" s="709"/>
      <c r="HE84" s="709"/>
      <c r="HF84" s="709"/>
      <c r="HG84" s="709"/>
      <c r="HH84" s="709"/>
      <c r="HI84" s="709"/>
      <c r="HJ84" s="709"/>
      <c r="HK84" s="709"/>
      <c r="HL84" s="709"/>
      <c r="HM84" s="709"/>
      <c r="HN84" s="709"/>
      <c r="HO84" s="709"/>
      <c r="HP84" s="709"/>
      <c r="HQ84" s="709"/>
      <c r="HR84" s="709"/>
      <c r="HS84" s="709"/>
      <c r="HT84" s="709"/>
      <c r="HU84" s="709"/>
      <c r="HV84" s="709"/>
      <c r="HW84" s="709"/>
      <c r="HX84" s="709"/>
      <c r="HY84" s="709"/>
      <c r="HZ84" s="709"/>
      <c r="IA84" s="709"/>
      <c r="IB84" s="709"/>
      <c r="IC84" s="709"/>
      <c r="ID84" s="709"/>
      <c r="IE84" s="709"/>
      <c r="IF84" s="709"/>
      <c r="IG84" s="709"/>
      <c r="IH84" s="709"/>
      <c r="II84" s="709"/>
      <c r="IJ84" s="709"/>
      <c r="IK84" s="709"/>
      <c r="IL84" s="709"/>
      <c r="IM84" s="709"/>
      <c r="IN84" s="709"/>
      <c r="IO84" s="709"/>
      <c r="IP84" s="709"/>
      <c r="IQ84" s="709"/>
      <c r="IR84" s="709"/>
      <c r="IS84" s="709"/>
      <c r="IT84" s="709"/>
      <c r="IU84" s="709"/>
      <c r="IV84" s="709"/>
    </row>
    <row r="85" spans="1:256" ht="12.75" hidden="1" customHeight="1">
      <c r="A85" s="708"/>
      <c r="B85" s="688"/>
      <c r="C85" s="706"/>
      <c r="D85" s="689"/>
      <c r="E85" s="706"/>
      <c r="F85" s="688"/>
      <c r="G85" s="706"/>
      <c r="H85" s="706"/>
      <c r="I85" s="693"/>
      <c r="J85" s="688"/>
      <c r="K85" s="706"/>
      <c r="L85" s="691"/>
      <c r="M85" s="709"/>
      <c r="N85" s="709"/>
      <c r="O85" s="709"/>
      <c r="P85" s="709"/>
      <c r="Q85" s="709"/>
      <c r="R85" s="709"/>
      <c r="S85" s="709"/>
      <c r="T85" s="709"/>
      <c r="U85" s="709"/>
      <c r="V85" s="709"/>
      <c r="W85" s="709"/>
      <c r="X85" s="709"/>
      <c r="Y85" s="709"/>
      <c r="Z85" s="709"/>
      <c r="AA85" s="709"/>
      <c r="AB85" s="709"/>
      <c r="AC85" s="709"/>
      <c r="AD85" s="709"/>
      <c r="AE85" s="709"/>
      <c r="AF85" s="709"/>
      <c r="AG85" s="709"/>
      <c r="AH85" s="709"/>
      <c r="AI85" s="709"/>
      <c r="AJ85" s="709"/>
      <c r="AK85" s="709"/>
      <c r="AL85" s="709"/>
      <c r="AM85" s="709"/>
      <c r="AN85" s="709"/>
      <c r="AO85" s="709"/>
      <c r="AP85" s="709"/>
      <c r="AQ85" s="709"/>
      <c r="AR85" s="709"/>
      <c r="AS85" s="709"/>
      <c r="AT85" s="709"/>
      <c r="AU85" s="709"/>
      <c r="AV85" s="709"/>
      <c r="AW85" s="709"/>
      <c r="AX85" s="709"/>
      <c r="AY85" s="709"/>
      <c r="AZ85" s="709"/>
      <c r="BA85" s="709"/>
      <c r="BB85" s="709"/>
      <c r="BC85" s="709"/>
      <c r="BD85" s="709"/>
      <c r="BE85" s="709"/>
      <c r="BF85" s="709"/>
      <c r="BG85" s="709"/>
      <c r="BH85" s="709"/>
      <c r="BI85" s="709"/>
      <c r="BJ85" s="709"/>
      <c r="BK85" s="709"/>
      <c r="BL85" s="709"/>
      <c r="BM85" s="709"/>
      <c r="BN85" s="709"/>
      <c r="BO85" s="709"/>
      <c r="BP85" s="709"/>
      <c r="BQ85" s="709"/>
      <c r="BR85" s="709"/>
      <c r="BS85" s="709"/>
      <c r="BT85" s="709"/>
      <c r="BU85" s="709"/>
      <c r="BV85" s="709"/>
      <c r="BW85" s="709"/>
      <c r="BX85" s="709"/>
      <c r="BY85" s="709"/>
      <c r="BZ85" s="709"/>
      <c r="CA85" s="709"/>
      <c r="CB85" s="709"/>
      <c r="CC85" s="709"/>
      <c r="CD85" s="709"/>
      <c r="CE85" s="709"/>
      <c r="CF85" s="709"/>
      <c r="CG85" s="709"/>
      <c r="CH85" s="709"/>
      <c r="CI85" s="709"/>
      <c r="CJ85" s="709"/>
      <c r="CK85" s="709"/>
      <c r="CL85" s="709"/>
      <c r="CM85" s="709"/>
      <c r="CN85" s="709"/>
      <c r="CO85" s="709"/>
      <c r="CP85" s="709"/>
      <c r="CQ85" s="709"/>
      <c r="CR85" s="709"/>
      <c r="CS85" s="709"/>
      <c r="CT85" s="709"/>
      <c r="CU85" s="709"/>
      <c r="CV85" s="709"/>
      <c r="CW85" s="709"/>
      <c r="CX85" s="709"/>
      <c r="CY85" s="709"/>
      <c r="CZ85" s="709"/>
      <c r="DA85" s="709"/>
      <c r="DB85" s="709"/>
      <c r="DC85" s="709"/>
      <c r="DD85" s="709"/>
      <c r="DE85" s="709"/>
      <c r="DF85" s="709"/>
      <c r="DG85" s="709"/>
      <c r="DH85" s="709"/>
      <c r="DI85" s="709"/>
      <c r="DJ85" s="709"/>
      <c r="DK85" s="709"/>
      <c r="DL85" s="709"/>
      <c r="DM85" s="709"/>
      <c r="DN85" s="709"/>
      <c r="DO85" s="709"/>
      <c r="DP85" s="709"/>
      <c r="DQ85" s="709"/>
      <c r="DR85" s="709"/>
      <c r="DS85" s="709"/>
      <c r="DT85" s="709"/>
      <c r="DU85" s="709"/>
      <c r="DV85" s="709"/>
      <c r="DW85" s="709"/>
      <c r="DX85" s="709"/>
      <c r="DY85" s="709"/>
      <c r="DZ85" s="709"/>
      <c r="EA85" s="709"/>
      <c r="EB85" s="709"/>
      <c r="EC85" s="709"/>
      <c r="ED85" s="709"/>
      <c r="EE85" s="709"/>
      <c r="EF85" s="709"/>
      <c r="EG85" s="709"/>
      <c r="EH85" s="709"/>
      <c r="EI85" s="709"/>
      <c r="EJ85" s="709"/>
      <c r="EK85" s="709"/>
      <c r="EL85" s="709"/>
      <c r="EM85" s="709"/>
      <c r="EN85" s="709"/>
      <c r="EO85" s="709"/>
      <c r="EP85" s="709"/>
      <c r="EQ85" s="709"/>
      <c r="ER85" s="709"/>
      <c r="ES85" s="709"/>
      <c r="ET85" s="709"/>
      <c r="EU85" s="709"/>
      <c r="EV85" s="709"/>
      <c r="EW85" s="709"/>
      <c r="EX85" s="709"/>
      <c r="EY85" s="709"/>
      <c r="EZ85" s="709"/>
      <c r="FA85" s="709"/>
      <c r="FB85" s="709"/>
      <c r="FC85" s="709"/>
      <c r="FD85" s="709"/>
      <c r="FE85" s="709"/>
      <c r="FF85" s="709"/>
      <c r="FG85" s="709"/>
      <c r="FH85" s="709"/>
      <c r="FI85" s="709"/>
      <c r="FJ85" s="709"/>
      <c r="FK85" s="709"/>
      <c r="FL85" s="709"/>
      <c r="FM85" s="709"/>
      <c r="FN85" s="709"/>
      <c r="FO85" s="709"/>
      <c r="FP85" s="709"/>
      <c r="FQ85" s="709"/>
      <c r="FR85" s="709"/>
      <c r="FS85" s="709"/>
      <c r="FT85" s="709"/>
      <c r="FU85" s="709"/>
      <c r="FV85" s="709"/>
      <c r="FW85" s="709"/>
      <c r="FX85" s="709"/>
      <c r="FY85" s="709"/>
      <c r="FZ85" s="709"/>
      <c r="GA85" s="709"/>
      <c r="GB85" s="709"/>
      <c r="GC85" s="709"/>
      <c r="GD85" s="709"/>
      <c r="GE85" s="709"/>
      <c r="GF85" s="709"/>
      <c r="GG85" s="709"/>
      <c r="GH85" s="709"/>
      <c r="GI85" s="709"/>
      <c r="GJ85" s="709"/>
      <c r="GK85" s="709"/>
      <c r="GL85" s="709"/>
      <c r="GM85" s="709"/>
      <c r="GN85" s="709"/>
      <c r="GO85" s="709"/>
      <c r="GP85" s="709"/>
      <c r="GQ85" s="709"/>
      <c r="GR85" s="709"/>
      <c r="GS85" s="709"/>
      <c r="GT85" s="709"/>
      <c r="GU85" s="709"/>
      <c r="GV85" s="709"/>
      <c r="GW85" s="709"/>
      <c r="GX85" s="709"/>
      <c r="GY85" s="709"/>
      <c r="GZ85" s="709"/>
      <c r="HA85" s="709"/>
      <c r="HB85" s="709"/>
      <c r="HC85" s="709"/>
      <c r="HD85" s="709"/>
      <c r="HE85" s="709"/>
      <c r="HF85" s="709"/>
      <c r="HG85" s="709"/>
      <c r="HH85" s="709"/>
      <c r="HI85" s="709"/>
      <c r="HJ85" s="709"/>
      <c r="HK85" s="709"/>
      <c r="HL85" s="709"/>
      <c r="HM85" s="709"/>
      <c r="HN85" s="709"/>
      <c r="HO85" s="709"/>
      <c r="HP85" s="709"/>
      <c r="HQ85" s="709"/>
      <c r="HR85" s="709"/>
      <c r="HS85" s="709"/>
      <c r="HT85" s="709"/>
      <c r="HU85" s="709"/>
      <c r="HV85" s="709"/>
      <c r="HW85" s="709"/>
      <c r="HX85" s="709"/>
      <c r="HY85" s="709"/>
      <c r="HZ85" s="709"/>
      <c r="IA85" s="709"/>
      <c r="IB85" s="709"/>
      <c r="IC85" s="709"/>
      <c r="ID85" s="709"/>
      <c r="IE85" s="709"/>
      <c r="IF85" s="709"/>
      <c r="IG85" s="709"/>
      <c r="IH85" s="709"/>
      <c r="II85" s="709"/>
      <c r="IJ85" s="709"/>
      <c r="IK85" s="709"/>
      <c r="IL85" s="709"/>
      <c r="IM85" s="709"/>
      <c r="IN85" s="709"/>
      <c r="IO85" s="709"/>
      <c r="IP85" s="709"/>
      <c r="IQ85" s="709"/>
      <c r="IR85" s="709"/>
      <c r="IS85" s="709"/>
      <c r="IT85" s="709"/>
      <c r="IU85" s="709"/>
      <c r="IV85" s="709"/>
    </row>
    <row r="86" spans="1:256" ht="12.75" hidden="1" customHeight="1">
      <c r="A86" s="706" t="s">
        <v>345</v>
      </c>
      <c r="B86" s="706">
        <f>29358.7+1</f>
        <v>29359.7</v>
      </c>
      <c r="C86" s="706">
        <v>42013.4</v>
      </c>
      <c r="D86" s="689"/>
      <c r="E86" s="706">
        <f t="shared" ref="E86:E97" si="9">B86-C86</f>
        <v>-12653.7</v>
      </c>
      <c r="F86" s="688">
        <v>5496.1</v>
      </c>
      <c r="G86" s="706">
        <v>7177</v>
      </c>
      <c r="H86" s="706">
        <f t="shared" ref="H86:H97" si="10">G86+F86</f>
        <v>12673.1</v>
      </c>
      <c r="I86" s="693"/>
      <c r="J86" s="688">
        <v>-19.399999999999999</v>
      </c>
      <c r="K86" s="706">
        <f t="shared" ref="K86:K97" si="11">J86+H86</f>
        <v>12653.7</v>
      </c>
      <c r="L86" s="691"/>
      <c r="M86" s="709"/>
      <c r="N86" s="709"/>
      <c r="O86" s="709"/>
      <c r="P86" s="709"/>
      <c r="Q86" s="709"/>
      <c r="R86" s="709"/>
      <c r="S86" s="709"/>
      <c r="T86" s="709"/>
      <c r="U86" s="709"/>
      <c r="V86" s="709"/>
      <c r="W86" s="709"/>
      <c r="X86" s="709"/>
      <c r="Y86" s="709"/>
      <c r="Z86" s="709"/>
      <c r="AA86" s="709"/>
      <c r="AB86" s="709"/>
      <c r="AC86" s="709"/>
      <c r="AD86" s="709"/>
      <c r="AE86" s="709"/>
      <c r="AF86" s="709"/>
      <c r="AG86" s="709"/>
      <c r="AH86" s="709"/>
      <c r="AI86" s="709"/>
      <c r="AJ86" s="709"/>
      <c r="AK86" s="709"/>
      <c r="AL86" s="709"/>
      <c r="AM86" s="709"/>
      <c r="AN86" s="709"/>
      <c r="AO86" s="709"/>
      <c r="AP86" s="709"/>
      <c r="AQ86" s="709"/>
      <c r="AR86" s="709"/>
      <c r="AS86" s="709"/>
      <c r="AT86" s="709"/>
      <c r="AU86" s="709"/>
      <c r="AV86" s="709"/>
      <c r="AW86" s="709"/>
      <c r="AX86" s="709"/>
      <c r="AY86" s="709"/>
      <c r="AZ86" s="709"/>
      <c r="BA86" s="709"/>
      <c r="BB86" s="709"/>
      <c r="BC86" s="709"/>
      <c r="BD86" s="709"/>
      <c r="BE86" s="709"/>
      <c r="BF86" s="709"/>
      <c r="BG86" s="709"/>
      <c r="BH86" s="709"/>
      <c r="BI86" s="709"/>
      <c r="BJ86" s="709"/>
      <c r="BK86" s="709"/>
      <c r="BL86" s="709"/>
      <c r="BM86" s="709"/>
      <c r="BN86" s="709"/>
      <c r="BO86" s="709"/>
      <c r="BP86" s="709"/>
      <c r="BQ86" s="709"/>
      <c r="BR86" s="709"/>
      <c r="BS86" s="709"/>
      <c r="BT86" s="709"/>
      <c r="BU86" s="709"/>
      <c r="BV86" s="709"/>
      <c r="BW86" s="709"/>
      <c r="BX86" s="709"/>
      <c r="BY86" s="709"/>
      <c r="BZ86" s="709"/>
      <c r="CA86" s="709"/>
      <c r="CB86" s="709"/>
      <c r="CC86" s="709"/>
      <c r="CD86" s="709"/>
      <c r="CE86" s="709"/>
      <c r="CF86" s="709"/>
      <c r="CG86" s="709"/>
      <c r="CH86" s="709"/>
      <c r="CI86" s="709"/>
      <c r="CJ86" s="709"/>
      <c r="CK86" s="709"/>
      <c r="CL86" s="709"/>
      <c r="CM86" s="709"/>
      <c r="CN86" s="709"/>
      <c r="CO86" s="709"/>
      <c r="CP86" s="709"/>
      <c r="CQ86" s="709"/>
      <c r="CR86" s="709"/>
      <c r="CS86" s="709"/>
      <c r="CT86" s="709"/>
      <c r="CU86" s="709"/>
      <c r="CV86" s="709"/>
      <c r="CW86" s="709"/>
      <c r="CX86" s="709"/>
      <c r="CY86" s="709"/>
      <c r="CZ86" s="709"/>
      <c r="DA86" s="709"/>
      <c r="DB86" s="709"/>
      <c r="DC86" s="709"/>
      <c r="DD86" s="709"/>
      <c r="DE86" s="709"/>
      <c r="DF86" s="709"/>
      <c r="DG86" s="709"/>
      <c r="DH86" s="709"/>
      <c r="DI86" s="709"/>
      <c r="DJ86" s="709"/>
      <c r="DK86" s="709"/>
      <c r="DL86" s="709"/>
      <c r="DM86" s="709"/>
      <c r="DN86" s="709"/>
      <c r="DO86" s="709"/>
      <c r="DP86" s="709"/>
      <c r="DQ86" s="709"/>
      <c r="DR86" s="709"/>
      <c r="DS86" s="709"/>
      <c r="DT86" s="709"/>
      <c r="DU86" s="709"/>
      <c r="DV86" s="709"/>
      <c r="DW86" s="709"/>
      <c r="DX86" s="709"/>
      <c r="DY86" s="709"/>
      <c r="DZ86" s="709"/>
      <c r="EA86" s="709"/>
      <c r="EB86" s="709"/>
      <c r="EC86" s="709"/>
      <c r="ED86" s="709"/>
      <c r="EE86" s="709"/>
      <c r="EF86" s="709"/>
      <c r="EG86" s="709"/>
      <c r="EH86" s="709"/>
      <c r="EI86" s="709"/>
      <c r="EJ86" s="709"/>
      <c r="EK86" s="709"/>
      <c r="EL86" s="709"/>
      <c r="EM86" s="709"/>
      <c r="EN86" s="709"/>
      <c r="EO86" s="709"/>
      <c r="EP86" s="709"/>
      <c r="EQ86" s="709"/>
      <c r="ER86" s="709"/>
      <c r="ES86" s="709"/>
      <c r="ET86" s="709"/>
      <c r="EU86" s="709"/>
      <c r="EV86" s="709"/>
      <c r="EW86" s="709"/>
      <c r="EX86" s="709"/>
      <c r="EY86" s="709"/>
      <c r="EZ86" s="709"/>
      <c r="FA86" s="709"/>
      <c r="FB86" s="709"/>
      <c r="FC86" s="709"/>
      <c r="FD86" s="709"/>
      <c r="FE86" s="709"/>
      <c r="FF86" s="709"/>
      <c r="FG86" s="709"/>
      <c r="FH86" s="709"/>
      <c r="FI86" s="709"/>
      <c r="FJ86" s="709"/>
      <c r="FK86" s="709"/>
      <c r="FL86" s="709"/>
      <c r="FM86" s="709"/>
      <c r="FN86" s="709"/>
      <c r="FO86" s="709"/>
      <c r="FP86" s="709"/>
      <c r="FQ86" s="709"/>
      <c r="FR86" s="709"/>
      <c r="FS86" s="709"/>
      <c r="FT86" s="709"/>
      <c r="FU86" s="709"/>
      <c r="FV86" s="709"/>
      <c r="FW86" s="709"/>
      <c r="FX86" s="709"/>
      <c r="FY86" s="709"/>
      <c r="FZ86" s="709"/>
      <c r="GA86" s="709"/>
      <c r="GB86" s="709"/>
      <c r="GC86" s="709"/>
      <c r="GD86" s="709"/>
      <c r="GE86" s="709"/>
      <c r="GF86" s="709"/>
      <c r="GG86" s="709"/>
      <c r="GH86" s="709"/>
      <c r="GI86" s="709"/>
      <c r="GJ86" s="709"/>
      <c r="GK86" s="709"/>
      <c r="GL86" s="709"/>
      <c r="GM86" s="709"/>
      <c r="GN86" s="709"/>
      <c r="GO86" s="709"/>
      <c r="GP86" s="709"/>
      <c r="GQ86" s="709"/>
      <c r="GR86" s="709"/>
      <c r="GS86" s="709"/>
      <c r="GT86" s="709"/>
      <c r="GU86" s="709"/>
      <c r="GV86" s="709"/>
      <c r="GW86" s="709"/>
      <c r="GX86" s="709"/>
      <c r="GY86" s="709"/>
      <c r="GZ86" s="709"/>
      <c r="HA86" s="709"/>
      <c r="HB86" s="709"/>
      <c r="HC86" s="709"/>
      <c r="HD86" s="709"/>
      <c r="HE86" s="709"/>
      <c r="HF86" s="709"/>
      <c r="HG86" s="709"/>
      <c r="HH86" s="709"/>
      <c r="HI86" s="709"/>
      <c r="HJ86" s="709"/>
      <c r="HK86" s="709"/>
      <c r="HL86" s="709"/>
      <c r="HM86" s="709"/>
      <c r="HN86" s="709"/>
      <c r="HO86" s="709"/>
      <c r="HP86" s="709"/>
      <c r="HQ86" s="709"/>
      <c r="HR86" s="709"/>
      <c r="HS86" s="709"/>
      <c r="HT86" s="709"/>
      <c r="HU86" s="709"/>
      <c r="HV86" s="709"/>
      <c r="HW86" s="709"/>
      <c r="HX86" s="709"/>
      <c r="HY86" s="709"/>
      <c r="HZ86" s="709"/>
      <c r="IA86" s="709"/>
      <c r="IB86" s="709"/>
      <c r="IC86" s="709"/>
      <c r="ID86" s="709"/>
      <c r="IE86" s="709"/>
      <c r="IF86" s="709"/>
      <c r="IG86" s="709"/>
      <c r="IH86" s="709"/>
      <c r="II86" s="709"/>
      <c r="IJ86" s="709"/>
      <c r="IK86" s="709"/>
      <c r="IL86" s="709"/>
      <c r="IM86" s="709"/>
      <c r="IN86" s="709"/>
      <c r="IO86" s="709"/>
      <c r="IP86" s="709"/>
      <c r="IQ86" s="709"/>
      <c r="IR86" s="709"/>
      <c r="IS86" s="709"/>
      <c r="IT86" s="709"/>
      <c r="IU86" s="709"/>
      <c r="IV86" s="709"/>
    </row>
    <row r="87" spans="1:256" ht="12.75" hidden="1" customHeight="1">
      <c r="A87" s="706" t="s">
        <v>334</v>
      </c>
      <c r="B87" s="706">
        <f>48772.5+8.3</f>
        <v>48780.800000000003</v>
      </c>
      <c r="C87" s="706">
        <v>74993.399999999994</v>
      </c>
      <c r="D87" s="689"/>
      <c r="E87" s="706">
        <f t="shared" si="9"/>
        <v>-26212.599999999991</v>
      </c>
      <c r="F87" s="688">
        <v>26668.2</v>
      </c>
      <c r="G87" s="706">
        <v>-462.9</v>
      </c>
      <c r="H87" s="706">
        <f t="shared" si="10"/>
        <v>26205.3</v>
      </c>
      <c r="I87" s="693"/>
      <c r="J87" s="688">
        <v>7.3</v>
      </c>
      <c r="K87" s="706">
        <f t="shared" si="11"/>
        <v>26212.6</v>
      </c>
      <c r="L87" s="691"/>
      <c r="M87" s="709"/>
      <c r="N87" s="709"/>
      <c r="O87" s="709"/>
      <c r="P87" s="709"/>
      <c r="Q87" s="709"/>
      <c r="R87" s="709"/>
      <c r="S87" s="709"/>
      <c r="T87" s="709"/>
      <c r="U87" s="709"/>
      <c r="V87" s="709"/>
      <c r="W87" s="709"/>
      <c r="X87" s="709"/>
      <c r="Y87" s="709"/>
      <c r="Z87" s="709"/>
      <c r="AA87" s="709"/>
      <c r="AB87" s="709"/>
      <c r="AC87" s="709"/>
      <c r="AD87" s="709"/>
      <c r="AE87" s="709"/>
      <c r="AF87" s="709"/>
      <c r="AG87" s="709"/>
      <c r="AH87" s="709"/>
      <c r="AI87" s="709"/>
      <c r="AJ87" s="709"/>
      <c r="AK87" s="709"/>
      <c r="AL87" s="709"/>
      <c r="AM87" s="709"/>
      <c r="AN87" s="709"/>
      <c r="AO87" s="709"/>
      <c r="AP87" s="709"/>
      <c r="AQ87" s="709"/>
      <c r="AR87" s="709"/>
      <c r="AS87" s="709"/>
      <c r="AT87" s="709"/>
      <c r="AU87" s="709"/>
      <c r="AV87" s="709"/>
      <c r="AW87" s="709"/>
      <c r="AX87" s="709"/>
      <c r="AY87" s="709"/>
      <c r="AZ87" s="709"/>
      <c r="BA87" s="709"/>
      <c r="BB87" s="709"/>
      <c r="BC87" s="709"/>
      <c r="BD87" s="709"/>
      <c r="BE87" s="709"/>
      <c r="BF87" s="709"/>
      <c r="BG87" s="709"/>
      <c r="BH87" s="709"/>
      <c r="BI87" s="709"/>
      <c r="BJ87" s="709"/>
      <c r="BK87" s="709"/>
      <c r="BL87" s="709"/>
      <c r="BM87" s="709"/>
      <c r="BN87" s="709"/>
      <c r="BO87" s="709"/>
      <c r="BP87" s="709"/>
      <c r="BQ87" s="709"/>
      <c r="BR87" s="709"/>
      <c r="BS87" s="709"/>
      <c r="BT87" s="709"/>
      <c r="BU87" s="709"/>
      <c r="BV87" s="709"/>
      <c r="BW87" s="709"/>
      <c r="BX87" s="709"/>
      <c r="BY87" s="709"/>
      <c r="BZ87" s="709"/>
      <c r="CA87" s="709"/>
      <c r="CB87" s="709"/>
      <c r="CC87" s="709"/>
      <c r="CD87" s="709"/>
      <c r="CE87" s="709"/>
      <c r="CF87" s="709"/>
      <c r="CG87" s="709"/>
      <c r="CH87" s="709"/>
      <c r="CI87" s="709"/>
      <c r="CJ87" s="709"/>
      <c r="CK87" s="709"/>
      <c r="CL87" s="709"/>
      <c r="CM87" s="709"/>
      <c r="CN87" s="709"/>
      <c r="CO87" s="709"/>
      <c r="CP87" s="709"/>
      <c r="CQ87" s="709"/>
      <c r="CR87" s="709"/>
      <c r="CS87" s="709"/>
      <c r="CT87" s="709"/>
      <c r="CU87" s="709"/>
      <c r="CV87" s="709"/>
      <c r="CW87" s="709"/>
      <c r="CX87" s="709"/>
      <c r="CY87" s="709"/>
      <c r="CZ87" s="709"/>
      <c r="DA87" s="709"/>
      <c r="DB87" s="709"/>
      <c r="DC87" s="709"/>
      <c r="DD87" s="709"/>
      <c r="DE87" s="709"/>
      <c r="DF87" s="709"/>
      <c r="DG87" s="709"/>
      <c r="DH87" s="709"/>
      <c r="DI87" s="709"/>
      <c r="DJ87" s="709"/>
      <c r="DK87" s="709"/>
      <c r="DL87" s="709"/>
      <c r="DM87" s="709"/>
      <c r="DN87" s="709"/>
      <c r="DO87" s="709"/>
      <c r="DP87" s="709"/>
      <c r="DQ87" s="709"/>
      <c r="DR87" s="709"/>
      <c r="DS87" s="709"/>
      <c r="DT87" s="709"/>
      <c r="DU87" s="709"/>
      <c r="DV87" s="709"/>
      <c r="DW87" s="709"/>
      <c r="DX87" s="709"/>
      <c r="DY87" s="709"/>
      <c r="DZ87" s="709"/>
      <c r="EA87" s="709"/>
      <c r="EB87" s="709"/>
      <c r="EC87" s="709"/>
      <c r="ED87" s="709"/>
      <c r="EE87" s="709"/>
      <c r="EF87" s="709"/>
      <c r="EG87" s="709"/>
      <c r="EH87" s="709"/>
      <c r="EI87" s="709"/>
      <c r="EJ87" s="709"/>
      <c r="EK87" s="709"/>
      <c r="EL87" s="709"/>
      <c r="EM87" s="709"/>
      <c r="EN87" s="709"/>
      <c r="EO87" s="709"/>
      <c r="EP87" s="709"/>
      <c r="EQ87" s="709"/>
      <c r="ER87" s="709"/>
      <c r="ES87" s="709"/>
      <c r="ET87" s="709"/>
      <c r="EU87" s="709"/>
      <c r="EV87" s="709"/>
      <c r="EW87" s="709"/>
      <c r="EX87" s="709"/>
      <c r="EY87" s="709"/>
      <c r="EZ87" s="709"/>
      <c r="FA87" s="709"/>
      <c r="FB87" s="709"/>
      <c r="FC87" s="709"/>
      <c r="FD87" s="709"/>
      <c r="FE87" s="709"/>
      <c r="FF87" s="709"/>
      <c r="FG87" s="709"/>
      <c r="FH87" s="709"/>
      <c r="FI87" s="709"/>
      <c r="FJ87" s="709"/>
      <c r="FK87" s="709"/>
      <c r="FL87" s="709"/>
      <c r="FM87" s="709"/>
      <c r="FN87" s="709"/>
      <c r="FO87" s="709"/>
      <c r="FP87" s="709"/>
      <c r="FQ87" s="709"/>
      <c r="FR87" s="709"/>
      <c r="FS87" s="709"/>
      <c r="FT87" s="709"/>
      <c r="FU87" s="709"/>
      <c r="FV87" s="709"/>
      <c r="FW87" s="709"/>
      <c r="FX87" s="709"/>
      <c r="FY87" s="709"/>
      <c r="FZ87" s="709"/>
      <c r="GA87" s="709"/>
      <c r="GB87" s="709"/>
      <c r="GC87" s="709"/>
      <c r="GD87" s="709"/>
      <c r="GE87" s="709"/>
      <c r="GF87" s="709"/>
      <c r="GG87" s="709"/>
      <c r="GH87" s="709"/>
      <c r="GI87" s="709"/>
      <c r="GJ87" s="709"/>
      <c r="GK87" s="709"/>
      <c r="GL87" s="709"/>
      <c r="GM87" s="709"/>
      <c r="GN87" s="709"/>
      <c r="GO87" s="709"/>
      <c r="GP87" s="709"/>
      <c r="GQ87" s="709"/>
      <c r="GR87" s="709"/>
      <c r="GS87" s="709"/>
      <c r="GT87" s="709"/>
      <c r="GU87" s="709"/>
      <c r="GV87" s="709"/>
      <c r="GW87" s="709"/>
      <c r="GX87" s="709"/>
      <c r="GY87" s="709"/>
      <c r="GZ87" s="709"/>
      <c r="HA87" s="709"/>
      <c r="HB87" s="709"/>
      <c r="HC87" s="709"/>
      <c r="HD87" s="709"/>
      <c r="HE87" s="709"/>
      <c r="HF87" s="709"/>
      <c r="HG87" s="709"/>
      <c r="HH87" s="709"/>
      <c r="HI87" s="709"/>
      <c r="HJ87" s="709"/>
      <c r="HK87" s="709"/>
      <c r="HL87" s="709"/>
      <c r="HM87" s="709"/>
      <c r="HN87" s="709"/>
      <c r="HO87" s="709"/>
      <c r="HP87" s="709"/>
      <c r="HQ87" s="709"/>
      <c r="HR87" s="709"/>
      <c r="HS87" s="709"/>
      <c r="HT87" s="709"/>
      <c r="HU87" s="709"/>
      <c r="HV87" s="709"/>
      <c r="HW87" s="709"/>
      <c r="HX87" s="709"/>
      <c r="HY87" s="709"/>
      <c r="HZ87" s="709"/>
      <c r="IA87" s="709"/>
      <c r="IB87" s="709"/>
      <c r="IC87" s="709"/>
      <c r="ID87" s="709"/>
      <c r="IE87" s="709"/>
      <c r="IF87" s="709"/>
      <c r="IG87" s="709"/>
      <c r="IH87" s="709"/>
      <c r="II87" s="709"/>
      <c r="IJ87" s="709"/>
      <c r="IK87" s="709"/>
      <c r="IL87" s="709"/>
      <c r="IM87" s="709"/>
      <c r="IN87" s="709"/>
      <c r="IO87" s="709"/>
      <c r="IP87" s="709"/>
      <c r="IQ87" s="709"/>
      <c r="IR87" s="709"/>
      <c r="IS87" s="709"/>
      <c r="IT87" s="709"/>
      <c r="IU87" s="709"/>
      <c r="IV87" s="709"/>
    </row>
    <row r="88" spans="1:256" ht="12.75" hidden="1" customHeight="1">
      <c r="A88" s="706" t="s">
        <v>335</v>
      </c>
      <c r="B88" s="706">
        <v>77702.600000000006</v>
      </c>
      <c r="C88" s="706">
        <v>42092.3</v>
      </c>
      <c r="D88" s="689"/>
      <c r="E88" s="706">
        <f t="shared" si="9"/>
        <v>35610.300000000003</v>
      </c>
      <c r="F88" s="688">
        <v>-36669.599999999999</v>
      </c>
      <c r="G88" s="706">
        <v>621.70000000000005</v>
      </c>
      <c r="H88" s="706">
        <f t="shared" si="10"/>
        <v>-36047.9</v>
      </c>
      <c r="I88" s="693"/>
      <c r="J88" s="688">
        <v>1.4</v>
      </c>
      <c r="K88" s="706">
        <f t="shared" si="11"/>
        <v>-36046.5</v>
      </c>
      <c r="L88" s="691"/>
      <c r="M88" s="709"/>
      <c r="N88" s="709"/>
      <c r="O88" s="709"/>
      <c r="P88" s="709"/>
      <c r="Q88" s="709"/>
      <c r="R88" s="709"/>
      <c r="S88" s="709"/>
      <c r="T88" s="709"/>
      <c r="U88" s="709"/>
      <c r="V88" s="709"/>
      <c r="W88" s="709"/>
      <c r="X88" s="709"/>
      <c r="Y88" s="709"/>
      <c r="Z88" s="709"/>
      <c r="AA88" s="709"/>
      <c r="AB88" s="709"/>
      <c r="AC88" s="709"/>
      <c r="AD88" s="709"/>
      <c r="AE88" s="709"/>
      <c r="AF88" s="709"/>
      <c r="AG88" s="709"/>
      <c r="AH88" s="709"/>
      <c r="AI88" s="709"/>
      <c r="AJ88" s="709"/>
      <c r="AK88" s="709"/>
      <c r="AL88" s="709"/>
      <c r="AM88" s="709"/>
      <c r="AN88" s="709"/>
      <c r="AO88" s="709"/>
      <c r="AP88" s="709"/>
      <c r="AQ88" s="709"/>
      <c r="AR88" s="709"/>
      <c r="AS88" s="709"/>
      <c r="AT88" s="709"/>
      <c r="AU88" s="709"/>
      <c r="AV88" s="709"/>
      <c r="AW88" s="709"/>
      <c r="AX88" s="709"/>
      <c r="AY88" s="709"/>
      <c r="AZ88" s="709"/>
      <c r="BA88" s="709"/>
      <c r="BB88" s="709"/>
      <c r="BC88" s="709"/>
      <c r="BD88" s="709"/>
      <c r="BE88" s="709"/>
      <c r="BF88" s="709"/>
      <c r="BG88" s="709"/>
      <c r="BH88" s="709"/>
      <c r="BI88" s="709"/>
      <c r="BJ88" s="709"/>
      <c r="BK88" s="709"/>
      <c r="BL88" s="709"/>
      <c r="BM88" s="709"/>
      <c r="BN88" s="709"/>
      <c r="BO88" s="709"/>
      <c r="BP88" s="709"/>
      <c r="BQ88" s="709"/>
      <c r="BR88" s="709"/>
      <c r="BS88" s="709"/>
      <c r="BT88" s="709"/>
      <c r="BU88" s="709"/>
      <c r="BV88" s="709"/>
      <c r="BW88" s="709"/>
      <c r="BX88" s="709"/>
      <c r="BY88" s="709"/>
      <c r="BZ88" s="709"/>
      <c r="CA88" s="709"/>
      <c r="CB88" s="709"/>
      <c r="CC88" s="709"/>
      <c r="CD88" s="709"/>
      <c r="CE88" s="709"/>
      <c r="CF88" s="709"/>
      <c r="CG88" s="709"/>
      <c r="CH88" s="709"/>
      <c r="CI88" s="709"/>
      <c r="CJ88" s="709"/>
      <c r="CK88" s="709"/>
      <c r="CL88" s="709"/>
      <c r="CM88" s="709"/>
      <c r="CN88" s="709"/>
      <c r="CO88" s="709"/>
      <c r="CP88" s="709"/>
      <c r="CQ88" s="709"/>
      <c r="CR88" s="709"/>
      <c r="CS88" s="709"/>
      <c r="CT88" s="709"/>
      <c r="CU88" s="709"/>
      <c r="CV88" s="709"/>
      <c r="CW88" s="709"/>
      <c r="CX88" s="709"/>
      <c r="CY88" s="709"/>
      <c r="CZ88" s="709"/>
      <c r="DA88" s="709"/>
      <c r="DB88" s="709"/>
      <c r="DC88" s="709"/>
      <c r="DD88" s="709"/>
      <c r="DE88" s="709"/>
      <c r="DF88" s="709"/>
      <c r="DG88" s="709"/>
      <c r="DH88" s="709"/>
      <c r="DI88" s="709"/>
      <c r="DJ88" s="709"/>
      <c r="DK88" s="709"/>
      <c r="DL88" s="709"/>
      <c r="DM88" s="709"/>
      <c r="DN88" s="709"/>
      <c r="DO88" s="709"/>
      <c r="DP88" s="709"/>
      <c r="DQ88" s="709"/>
      <c r="DR88" s="709"/>
      <c r="DS88" s="709"/>
      <c r="DT88" s="709"/>
      <c r="DU88" s="709"/>
      <c r="DV88" s="709"/>
      <c r="DW88" s="709"/>
      <c r="DX88" s="709"/>
      <c r="DY88" s="709"/>
      <c r="DZ88" s="709"/>
      <c r="EA88" s="709"/>
      <c r="EB88" s="709"/>
      <c r="EC88" s="709"/>
      <c r="ED88" s="709"/>
      <c r="EE88" s="709"/>
      <c r="EF88" s="709"/>
      <c r="EG88" s="709"/>
      <c r="EH88" s="709"/>
      <c r="EI88" s="709"/>
      <c r="EJ88" s="709"/>
      <c r="EK88" s="709"/>
      <c r="EL88" s="709"/>
      <c r="EM88" s="709"/>
      <c r="EN88" s="709"/>
      <c r="EO88" s="709"/>
      <c r="EP88" s="709"/>
      <c r="EQ88" s="709"/>
      <c r="ER88" s="709"/>
      <c r="ES88" s="709"/>
      <c r="ET88" s="709"/>
      <c r="EU88" s="709"/>
      <c r="EV88" s="709"/>
      <c r="EW88" s="709"/>
      <c r="EX88" s="709"/>
      <c r="EY88" s="709"/>
      <c r="EZ88" s="709"/>
      <c r="FA88" s="709"/>
      <c r="FB88" s="709"/>
      <c r="FC88" s="709"/>
      <c r="FD88" s="709"/>
      <c r="FE88" s="709"/>
      <c r="FF88" s="709"/>
      <c r="FG88" s="709"/>
      <c r="FH88" s="709"/>
      <c r="FI88" s="709"/>
      <c r="FJ88" s="709"/>
      <c r="FK88" s="709"/>
      <c r="FL88" s="709"/>
      <c r="FM88" s="709"/>
      <c r="FN88" s="709"/>
      <c r="FO88" s="709"/>
      <c r="FP88" s="709"/>
      <c r="FQ88" s="709"/>
      <c r="FR88" s="709"/>
      <c r="FS88" s="709"/>
      <c r="FT88" s="709"/>
      <c r="FU88" s="709"/>
      <c r="FV88" s="709"/>
      <c r="FW88" s="709"/>
      <c r="FX88" s="709"/>
      <c r="FY88" s="709"/>
      <c r="FZ88" s="709"/>
      <c r="GA88" s="709"/>
      <c r="GB88" s="709"/>
      <c r="GC88" s="709"/>
      <c r="GD88" s="709"/>
      <c r="GE88" s="709"/>
      <c r="GF88" s="709"/>
      <c r="GG88" s="709"/>
      <c r="GH88" s="709"/>
      <c r="GI88" s="709"/>
      <c r="GJ88" s="709"/>
      <c r="GK88" s="709"/>
      <c r="GL88" s="709"/>
      <c r="GM88" s="709"/>
      <c r="GN88" s="709"/>
      <c r="GO88" s="709"/>
      <c r="GP88" s="709"/>
      <c r="GQ88" s="709"/>
      <c r="GR88" s="709"/>
      <c r="GS88" s="709"/>
      <c r="GT88" s="709"/>
      <c r="GU88" s="709"/>
      <c r="GV88" s="709"/>
      <c r="GW88" s="709"/>
      <c r="GX88" s="709"/>
      <c r="GY88" s="709"/>
      <c r="GZ88" s="709"/>
      <c r="HA88" s="709"/>
      <c r="HB88" s="709"/>
      <c r="HC88" s="709"/>
      <c r="HD88" s="709"/>
      <c r="HE88" s="709"/>
      <c r="HF88" s="709"/>
      <c r="HG88" s="709"/>
      <c r="HH88" s="709"/>
      <c r="HI88" s="709"/>
      <c r="HJ88" s="709"/>
      <c r="HK88" s="709"/>
      <c r="HL88" s="709"/>
      <c r="HM88" s="709"/>
      <c r="HN88" s="709"/>
      <c r="HO88" s="709"/>
      <c r="HP88" s="709"/>
      <c r="HQ88" s="709"/>
      <c r="HR88" s="709"/>
      <c r="HS88" s="709"/>
      <c r="HT88" s="709"/>
      <c r="HU88" s="709"/>
      <c r="HV88" s="709"/>
      <c r="HW88" s="709"/>
      <c r="HX88" s="709"/>
      <c r="HY88" s="709"/>
      <c r="HZ88" s="709"/>
      <c r="IA88" s="709"/>
      <c r="IB88" s="709"/>
      <c r="IC88" s="709"/>
      <c r="ID88" s="709"/>
      <c r="IE88" s="709"/>
      <c r="IF88" s="709"/>
      <c r="IG88" s="709"/>
      <c r="IH88" s="709"/>
      <c r="II88" s="709"/>
      <c r="IJ88" s="709"/>
      <c r="IK88" s="709"/>
      <c r="IL88" s="709"/>
      <c r="IM88" s="709"/>
      <c r="IN88" s="709"/>
      <c r="IO88" s="709"/>
      <c r="IP88" s="709"/>
      <c r="IQ88" s="709"/>
      <c r="IR88" s="709"/>
      <c r="IS88" s="709"/>
      <c r="IT88" s="709"/>
      <c r="IU88" s="709"/>
      <c r="IV88" s="709"/>
    </row>
    <row r="89" spans="1:256" ht="12.75" hidden="1" customHeight="1">
      <c r="A89" s="706" t="s">
        <v>336</v>
      </c>
      <c r="B89" s="706">
        <v>52964</v>
      </c>
      <c r="C89" s="706">
        <v>39986.9</v>
      </c>
      <c r="D89" s="689"/>
      <c r="E89" s="706">
        <f t="shared" si="9"/>
        <v>12977.099999999999</v>
      </c>
      <c r="F89" s="688">
        <v>-12577.6</v>
      </c>
      <c r="G89" s="706">
        <v>-404.3</v>
      </c>
      <c r="H89" s="706">
        <f t="shared" si="10"/>
        <v>-12981.9</v>
      </c>
      <c r="I89" s="693"/>
      <c r="J89" s="688">
        <v>4.8</v>
      </c>
      <c r="K89" s="706">
        <f t="shared" si="11"/>
        <v>-12977.1</v>
      </c>
      <c r="L89" s="691"/>
      <c r="M89" s="709"/>
      <c r="N89" s="709"/>
      <c r="O89" s="709"/>
      <c r="P89" s="709"/>
      <c r="Q89" s="709"/>
      <c r="R89" s="709"/>
      <c r="S89" s="709"/>
      <c r="T89" s="709"/>
      <c r="U89" s="709"/>
      <c r="V89" s="709"/>
      <c r="W89" s="709"/>
      <c r="X89" s="709"/>
      <c r="Y89" s="709"/>
      <c r="Z89" s="709"/>
      <c r="AA89" s="709"/>
      <c r="AB89" s="709"/>
      <c r="AC89" s="709"/>
      <c r="AD89" s="709"/>
      <c r="AE89" s="709"/>
      <c r="AF89" s="709"/>
      <c r="AG89" s="709"/>
      <c r="AH89" s="709"/>
      <c r="AI89" s="709"/>
      <c r="AJ89" s="709"/>
      <c r="AK89" s="709"/>
      <c r="AL89" s="709"/>
      <c r="AM89" s="709"/>
      <c r="AN89" s="709"/>
      <c r="AO89" s="709"/>
      <c r="AP89" s="709"/>
      <c r="AQ89" s="709"/>
      <c r="AR89" s="709"/>
      <c r="AS89" s="709"/>
      <c r="AT89" s="709"/>
      <c r="AU89" s="709"/>
      <c r="AV89" s="709"/>
      <c r="AW89" s="709"/>
      <c r="AX89" s="709"/>
      <c r="AY89" s="709"/>
      <c r="AZ89" s="709"/>
      <c r="BA89" s="709"/>
      <c r="BB89" s="709"/>
      <c r="BC89" s="709"/>
      <c r="BD89" s="709"/>
      <c r="BE89" s="709"/>
      <c r="BF89" s="709"/>
      <c r="BG89" s="709"/>
      <c r="BH89" s="709"/>
      <c r="BI89" s="709"/>
      <c r="BJ89" s="709"/>
      <c r="BK89" s="709"/>
      <c r="BL89" s="709"/>
      <c r="BM89" s="709"/>
      <c r="BN89" s="709"/>
      <c r="BO89" s="709"/>
      <c r="BP89" s="709"/>
      <c r="BQ89" s="709"/>
      <c r="BR89" s="709"/>
      <c r="BS89" s="709"/>
      <c r="BT89" s="709"/>
      <c r="BU89" s="709"/>
      <c r="BV89" s="709"/>
      <c r="BW89" s="709"/>
      <c r="BX89" s="709"/>
      <c r="BY89" s="709"/>
      <c r="BZ89" s="709"/>
      <c r="CA89" s="709"/>
      <c r="CB89" s="709"/>
      <c r="CC89" s="709"/>
      <c r="CD89" s="709"/>
      <c r="CE89" s="709"/>
      <c r="CF89" s="709"/>
      <c r="CG89" s="709"/>
      <c r="CH89" s="709"/>
      <c r="CI89" s="709"/>
      <c r="CJ89" s="709"/>
      <c r="CK89" s="709"/>
      <c r="CL89" s="709"/>
      <c r="CM89" s="709"/>
      <c r="CN89" s="709"/>
      <c r="CO89" s="709"/>
      <c r="CP89" s="709"/>
      <c r="CQ89" s="709"/>
      <c r="CR89" s="709"/>
      <c r="CS89" s="709"/>
      <c r="CT89" s="709"/>
      <c r="CU89" s="709"/>
      <c r="CV89" s="709"/>
      <c r="CW89" s="709"/>
      <c r="CX89" s="709"/>
      <c r="CY89" s="709"/>
      <c r="CZ89" s="709"/>
      <c r="DA89" s="709"/>
      <c r="DB89" s="709"/>
      <c r="DC89" s="709"/>
      <c r="DD89" s="709"/>
      <c r="DE89" s="709"/>
      <c r="DF89" s="709"/>
      <c r="DG89" s="709"/>
      <c r="DH89" s="709"/>
      <c r="DI89" s="709"/>
      <c r="DJ89" s="709"/>
      <c r="DK89" s="709"/>
      <c r="DL89" s="709"/>
      <c r="DM89" s="709"/>
      <c r="DN89" s="709"/>
      <c r="DO89" s="709"/>
      <c r="DP89" s="709"/>
      <c r="DQ89" s="709"/>
      <c r="DR89" s="709"/>
      <c r="DS89" s="709"/>
      <c r="DT89" s="709"/>
      <c r="DU89" s="709"/>
      <c r="DV89" s="709"/>
      <c r="DW89" s="709"/>
      <c r="DX89" s="709"/>
      <c r="DY89" s="709"/>
      <c r="DZ89" s="709"/>
      <c r="EA89" s="709"/>
      <c r="EB89" s="709"/>
      <c r="EC89" s="709"/>
      <c r="ED89" s="709"/>
      <c r="EE89" s="709"/>
      <c r="EF89" s="709"/>
      <c r="EG89" s="709"/>
      <c r="EH89" s="709"/>
      <c r="EI89" s="709"/>
      <c r="EJ89" s="709"/>
      <c r="EK89" s="709"/>
      <c r="EL89" s="709"/>
      <c r="EM89" s="709"/>
      <c r="EN89" s="709"/>
      <c r="EO89" s="709"/>
      <c r="EP89" s="709"/>
      <c r="EQ89" s="709"/>
      <c r="ER89" s="709"/>
      <c r="ES89" s="709"/>
      <c r="ET89" s="709"/>
      <c r="EU89" s="709"/>
      <c r="EV89" s="709"/>
      <c r="EW89" s="709"/>
      <c r="EX89" s="709"/>
      <c r="EY89" s="709"/>
      <c r="EZ89" s="709"/>
      <c r="FA89" s="709"/>
      <c r="FB89" s="709"/>
      <c r="FC89" s="709"/>
      <c r="FD89" s="709"/>
      <c r="FE89" s="709"/>
      <c r="FF89" s="709"/>
      <c r="FG89" s="709"/>
      <c r="FH89" s="709"/>
      <c r="FI89" s="709"/>
      <c r="FJ89" s="709"/>
      <c r="FK89" s="709"/>
      <c r="FL89" s="709"/>
      <c r="FM89" s="709"/>
      <c r="FN89" s="709"/>
      <c r="FO89" s="709"/>
      <c r="FP89" s="709"/>
      <c r="FQ89" s="709"/>
      <c r="FR89" s="709"/>
      <c r="FS89" s="709"/>
      <c r="FT89" s="709"/>
      <c r="FU89" s="709"/>
      <c r="FV89" s="709"/>
      <c r="FW89" s="709"/>
      <c r="FX89" s="709"/>
      <c r="FY89" s="709"/>
      <c r="FZ89" s="709"/>
      <c r="GA89" s="709"/>
      <c r="GB89" s="709"/>
      <c r="GC89" s="709"/>
      <c r="GD89" s="709"/>
      <c r="GE89" s="709"/>
      <c r="GF89" s="709"/>
      <c r="GG89" s="709"/>
      <c r="GH89" s="709"/>
      <c r="GI89" s="709"/>
      <c r="GJ89" s="709"/>
      <c r="GK89" s="709"/>
      <c r="GL89" s="709"/>
      <c r="GM89" s="709"/>
      <c r="GN89" s="709"/>
      <c r="GO89" s="709"/>
      <c r="GP89" s="709"/>
      <c r="GQ89" s="709"/>
      <c r="GR89" s="709"/>
      <c r="GS89" s="709"/>
      <c r="GT89" s="709"/>
      <c r="GU89" s="709"/>
      <c r="GV89" s="709"/>
      <c r="GW89" s="709"/>
      <c r="GX89" s="709"/>
      <c r="GY89" s="709"/>
      <c r="GZ89" s="709"/>
      <c r="HA89" s="709"/>
      <c r="HB89" s="709"/>
      <c r="HC89" s="709"/>
      <c r="HD89" s="709"/>
      <c r="HE89" s="709"/>
      <c r="HF89" s="709"/>
      <c r="HG89" s="709"/>
      <c r="HH89" s="709"/>
      <c r="HI89" s="709"/>
      <c r="HJ89" s="709"/>
      <c r="HK89" s="709"/>
      <c r="HL89" s="709"/>
      <c r="HM89" s="709"/>
      <c r="HN89" s="709"/>
      <c r="HO89" s="709"/>
      <c r="HP89" s="709"/>
      <c r="HQ89" s="709"/>
      <c r="HR89" s="709"/>
      <c r="HS89" s="709"/>
      <c r="HT89" s="709"/>
      <c r="HU89" s="709"/>
      <c r="HV89" s="709"/>
      <c r="HW89" s="709"/>
      <c r="HX89" s="709"/>
      <c r="HY89" s="709"/>
      <c r="HZ89" s="709"/>
      <c r="IA89" s="709"/>
      <c r="IB89" s="709"/>
      <c r="IC89" s="709"/>
      <c r="ID89" s="709"/>
      <c r="IE89" s="709"/>
      <c r="IF89" s="709"/>
      <c r="IG89" s="709"/>
      <c r="IH89" s="709"/>
      <c r="II89" s="709"/>
      <c r="IJ89" s="709"/>
      <c r="IK89" s="709"/>
      <c r="IL89" s="709"/>
      <c r="IM89" s="709"/>
      <c r="IN89" s="709"/>
      <c r="IO89" s="709"/>
      <c r="IP89" s="709"/>
      <c r="IQ89" s="709"/>
      <c r="IR89" s="709"/>
      <c r="IS89" s="709"/>
      <c r="IT89" s="709"/>
      <c r="IU89" s="709"/>
      <c r="IV89" s="709"/>
    </row>
    <row r="90" spans="1:256" ht="12.75" hidden="1" customHeight="1">
      <c r="A90" s="706" t="s">
        <v>337</v>
      </c>
      <c r="B90" s="706">
        <v>74629</v>
      </c>
      <c r="C90" s="706">
        <v>133203.70000000001</v>
      </c>
      <c r="D90" s="689"/>
      <c r="E90" s="706">
        <f t="shared" si="9"/>
        <v>-58574.700000000012</v>
      </c>
      <c r="F90" s="688">
        <v>66309.600000000006</v>
      </c>
      <c r="G90" s="706">
        <v>-7739.2</v>
      </c>
      <c r="H90" s="706">
        <f t="shared" si="10"/>
        <v>58570.400000000009</v>
      </c>
      <c r="I90" s="693"/>
      <c r="J90" s="688">
        <v>4.3</v>
      </c>
      <c r="K90" s="706">
        <f t="shared" si="11"/>
        <v>58574.700000000012</v>
      </c>
      <c r="L90" s="691"/>
      <c r="M90" s="709"/>
      <c r="N90" s="709"/>
      <c r="O90" s="709"/>
      <c r="P90" s="709"/>
      <c r="Q90" s="709"/>
      <c r="R90" s="709"/>
      <c r="S90" s="709"/>
      <c r="T90" s="709"/>
      <c r="U90" s="709"/>
      <c r="V90" s="709"/>
      <c r="W90" s="709"/>
      <c r="X90" s="709"/>
      <c r="Y90" s="709"/>
      <c r="Z90" s="709"/>
      <c r="AA90" s="709"/>
      <c r="AB90" s="709"/>
      <c r="AC90" s="709"/>
      <c r="AD90" s="709"/>
      <c r="AE90" s="709"/>
      <c r="AF90" s="709"/>
      <c r="AG90" s="709"/>
      <c r="AH90" s="709"/>
      <c r="AI90" s="709"/>
      <c r="AJ90" s="709"/>
      <c r="AK90" s="709"/>
      <c r="AL90" s="709"/>
      <c r="AM90" s="709"/>
      <c r="AN90" s="709"/>
      <c r="AO90" s="709"/>
      <c r="AP90" s="709"/>
      <c r="AQ90" s="709"/>
      <c r="AR90" s="709"/>
      <c r="AS90" s="709"/>
      <c r="AT90" s="709"/>
      <c r="AU90" s="709"/>
      <c r="AV90" s="709"/>
      <c r="AW90" s="709"/>
      <c r="AX90" s="709"/>
      <c r="AY90" s="709"/>
      <c r="AZ90" s="709"/>
      <c r="BA90" s="709"/>
      <c r="BB90" s="709"/>
      <c r="BC90" s="709"/>
      <c r="BD90" s="709"/>
      <c r="BE90" s="709"/>
      <c r="BF90" s="709"/>
      <c r="BG90" s="709"/>
      <c r="BH90" s="709"/>
      <c r="BI90" s="709"/>
      <c r="BJ90" s="709"/>
      <c r="BK90" s="709"/>
      <c r="BL90" s="709"/>
      <c r="BM90" s="709"/>
      <c r="BN90" s="709"/>
      <c r="BO90" s="709"/>
      <c r="BP90" s="709"/>
      <c r="BQ90" s="709"/>
      <c r="BR90" s="709"/>
      <c r="BS90" s="709"/>
      <c r="BT90" s="709"/>
      <c r="BU90" s="709"/>
      <c r="BV90" s="709"/>
      <c r="BW90" s="709"/>
      <c r="BX90" s="709"/>
      <c r="BY90" s="709"/>
      <c r="BZ90" s="709"/>
      <c r="CA90" s="709"/>
      <c r="CB90" s="709"/>
      <c r="CC90" s="709"/>
      <c r="CD90" s="709"/>
      <c r="CE90" s="709"/>
      <c r="CF90" s="709"/>
      <c r="CG90" s="709"/>
      <c r="CH90" s="709"/>
      <c r="CI90" s="709"/>
      <c r="CJ90" s="709"/>
      <c r="CK90" s="709"/>
      <c r="CL90" s="709"/>
      <c r="CM90" s="709"/>
      <c r="CN90" s="709"/>
      <c r="CO90" s="709"/>
      <c r="CP90" s="709"/>
      <c r="CQ90" s="709"/>
      <c r="CR90" s="709"/>
      <c r="CS90" s="709"/>
      <c r="CT90" s="709"/>
      <c r="CU90" s="709"/>
      <c r="CV90" s="709"/>
      <c r="CW90" s="709"/>
      <c r="CX90" s="709"/>
      <c r="CY90" s="709"/>
      <c r="CZ90" s="709"/>
      <c r="DA90" s="709"/>
      <c r="DB90" s="709"/>
      <c r="DC90" s="709"/>
      <c r="DD90" s="709"/>
      <c r="DE90" s="709"/>
      <c r="DF90" s="709"/>
      <c r="DG90" s="709"/>
      <c r="DH90" s="709"/>
      <c r="DI90" s="709"/>
      <c r="DJ90" s="709"/>
      <c r="DK90" s="709"/>
      <c r="DL90" s="709"/>
      <c r="DM90" s="709"/>
      <c r="DN90" s="709"/>
      <c r="DO90" s="709"/>
      <c r="DP90" s="709"/>
      <c r="DQ90" s="709"/>
      <c r="DR90" s="709"/>
      <c r="DS90" s="709"/>
      <c r="DT90" s="709"/>
      <c r="DU90" s="709"/>
      <c r="DV90" s="709"/>
      <c r="DW90" s="709"/>
      <c r="DX90" s="709"/>
      <c r="DY90" s="709"/>
      <c r="DZ90" s="709"/>
      <c r="EA90" s="709"/>
      <c r="EB90" s="709"/>
      <c r="EC90" s="709"/>
      <c r="ED90" s="709"/>
      <c r="EE90" s="709"/>
      <c r="EF90" s="709"/>
      <c r="EG90" s="709"/>
      <c r="EH90" s="709"/>
      <c r="EI90" s="709"/>
      <c r="EJ90" s="709"/>
      <c r="EK90" s="709"/>
      <c r="EL90" s="709"/>
      <c r="EM90" s="709"/>
      <c r="EN90" s="709"/>
      <c r="EO90" s="709"/>
      <c r="EP90" s="709"/>
      <c r="EQ90" s="709"/>
      <c r="ER90" s="709"/>
      <c r="ES90" s="709"/>
      <c r="ET90" s="709"/>
      <c r="EU90" s="709"/>
      <c r="EV90" s="709"/>
      <c r="EW90" s="709"/>
      <c r="EX90" s="709"/>
      <c r="EY90" s="709"/>
      <c r="EZ90" s="709"/>
      <c r="FA90" s="709"/>
      <c r="FB90" s="709"/>
      <c r="FC90" s="709"/>
      <c r="FD90" s="709"/>
      <c r="FE90" s="709"/>
      <c r="FF90" s="709"/>
      <c r="FG90" s="709"/>
      <c r="FH90" s="709"/>
      <c r="FI90" s="709"/>
      <c r="FJ90" s="709"/>
      <c r="FK90" s="709"/>
      <c r="FL90" s="709"/>
      <c r="FM90" s="709"/>
      <c r="FN90" s="709"/>
      <c r="FO90" s="709"/>
      <c r="FP90" s="709"/>
      <c r="FQ90" s="709"/>
      <c r="FR90" s="709"/>
      <c r="FS90" s="709"/>
      <c r="FT90" s="709"/>
      <c r="FU90" s="709"/>
      <c r="FV90" s="709"/>
      <c r="FW90" s="709"/>
      <c r="FX90" s="709"/>
      <c r="FY90" s="709"/>
      <c r="FZ90" s="709"/>
      <c r="GA90" s="709"/>
      <c r="GB90" s="709"/>
      <c r="GC90" s="709"/>
      <c r="GD90" s="709"/>
      <c r="GE90" s="709"/>
      <c r="GF90" s="709"/>
      <c r="GG90" s="709"/>
      <c r="GH90" s="709"/>
      <c r="GI90" s="709"/>
      <c r="GJ90" s="709"/>
      <c r="GK90" s="709"/>
      <c r="GL90" s="709"/>
      <c r="GM90" s="709"/>
      <c r="GN90" s="709"/>
      <c r="GO90" s="709"/>
      <c r="GP90" s="709"/>
      <c r="GQ90" s="709"/>
      <c r="GR90" s="709"/>
      <c r="GS90" s="709"/>
      <c r="GT90" s="709"/>
      <c r="GU90" s="709"/>
      <c r="GV90" s="709"/>
      <c r="GW90" s="709"/>
      <c r="GX90" s="709"/>
      <c r="GY90" s="709"/>
      <c r="GZ90" s="709"/>
      <c r="HA90" s="709"/>
      <c r="HB90" s="709"/>
      <c r="HC90" s="709"/>
      <c r="HD90" s="709"/>
      <c r="HE90" s="709"/>
      <c r="HF90" s="709"/>
      <c r="HG90" s="709"/>
      <c r="HH90" s="709"/>
      <c r="HI90" s="709"/>
      <c r="HJ90" s="709"/>
      <c r="HK90" s="709"/>
      <c r="HL90" s="709"/>
      <c r="HM90" s="709"/>
      <c r="HN90" s="709"/>
      <c r="HO90" s="709"/>
      <c r="HP90" s="709"/>
      <c r="HQ90" s="709"/>
      <c r="HR90" s="709"/>
      <c r="HS90" s="709"/>
      <c r="HT90" s="709"/>
      <c r="HU90" s="709"/>
      <c r="HV90" s="709"/>
      <c r="HW90" s="709"/>
      <c r="HX90" s="709"/>
      <c r="HY90" s="709"/>
      <c r="HZ90" s="709"/>
      <c r="IA90" s="709"/>
      <c r="IB90" s="709"/>
      <c r="IC90" s="709"/>
      <c r="ID90" s="709"/>
      <c r="IE90" s="709"/>
      <c r="IF90" s="709"/>
      <c r="IG90" s="709"/>
      <c r="IH90" s="709"/>
      <c r="II90" s="709"/>
      <c r="IJ90" s="709"/>
      <c r="IK90" s="709"/>
      <c r="IL90" s="709"/>
      <c r="IM90" s="709"/>
      <c r="IN90" s="709"/>
      <c r="IO90" s="709"/>
      <c r="IP90" s="709"/>
      <c r="IQ90" s="709"/>
      <c r="IR90" s="709"/>
      <c r="IS90" s="709"/>
      <c r="IT90" s="709"/>
      <c r="IU90" s="709"/>
      <c r="IV90" s="709"/>
    </row>
    <row r="91" spans="1:256" ht="12.75" hidden="1" customHeight="1">
      <c r="A91" s="706" t="s">
        <v>338</v>
      </c>
      <c r="B91" s="706">
        <f>60021.8+11.8</f>
        <v>60033.600000000006</v>
      </c>
      <c r="C91" s="706">
        <v>79658.2</v>
      </c>
      <c r="D91" s="689"/>
      <c r="E91" s="706">
        <f t="shared" si="9"/>
        <v>-19624.599999999991</v>
      </c>
      <c r="F91" s="688">
        <v>15170.1</v>
      </c>
      <c r="G91" s="706">
        <v>4450.3</v>
      </c>
      <c r="H91" s="706">
        <f t="shared" si="10"/>
        <v>19620.400000000001</v>
      </c>
      <c r="I91" s="693"/>
      <c r="J91" s="688">
        <v>4.2</v>
      </c>
      <c r="K91" s="706">
        <f t="shared" si="11"/>
        <v>19624.600000000002</v>
      </c>
      <c r="L91" s="691"/>
      <c r="M91" s="709"/>
      <c r="N91" s="709"/>
      <c r="O91" s="709"/>
      <c r="P91" s="709"/>
      <c r="Q91" s="709"/>
      <c r="R91" s="709"/>
      <c r="S91" s="709"/>
      <c r="T91" s="709"/>
      <c r="U91" s="709"/>
      <c r="V91" s="709"/>
      <c r="W91" s="709"/>
      <c r="X91" s="709"/>
      <c r="Y91" s="709"/>
      <c r="Z91" s="709"/>
      <c r="AA91" s="709"/>
      <c r="AB91" s="709"/>
      <c r="AC91" s="709"/>
      <c r="AD91" s="709"/>
      <c r="AE91" s="709"/>
      <c r="AF91" s="709"/>
      <c r="AG91" s="709"/>
      <c r="AH91" s="709"/>
      <c r="AI91" s="709"/>
      <c r="AJ91" s="709"/>
      <c r="AK91" s="709"/>
      <c r="AL91" s="709"/>
      <c r="AM91" s="709"/>
      <c r="AN91" s="709"/>
      <c r="AO91" s="709"/>
      <c r="AP91" s="709"/>
      <c r="AQ91" s="709"/>
      <c r="AR91" s="709"/>
      <c r="AS91" s="709"/>
      <c r="AT91" s="709"/>
      <c r="AU91" s="709"/>
      <c r="AV91" s="709"/>
      <c r="AW91" s="709"/>
      <c r="AX91" s="709"/>
      <c r="AY91" s="709"/>
      <c r="AZ91" s="709"/>
      <c r="BA91" s="709"/>
      <c r="BB91" s="709"/>
      <c r="BC91" s="709"/>
      <c r="BD91" s="709"/>
      <c r="BE91" s="709"/>
      <c r="BF91" s="709"/>
      <c r="BG91" s="709"/>
      <c r="BH91" s="709"/>
      <c r="BI91" s="709"/>
      <c r="BJ91" s="709"/>
      <c r="BK91" s="709"/>
      <c r="BL91" s="709"/>
      <c r="BM91" s="709"/>
      <c r="BN91" s="709"/>
      <c r="BO91" s="709"/>
      <c r="BP91" s="709"/>
      <c r="BQ91" s="709"/>
      <c r="BR91" s="709"/>
      <c r="BS91" s="709"/>
      <c r="BT91" s="709"/>
      <c r="BU91" s="709"/>
      <c r="BV91" s="709"/>
      <c r="BW91" s="709"/>
      <c r="BX91" s="709"/>
      <c r="BY91" s="709"/>
      <c r="BZ91" s="709"/>
      <c r="CA91" s="709"/>
      <c r="CB91" s="709"/>
      <c r="CC91" s="709"/>
      <c r="CD91" s="709"/>
      <c r="CE91" s="709"/>
      <c r="CF91" s="709"/>
      <c r="CG91" s="709"/>
      <c r="CH91" s="709"/>
      <c r="CI91" s="709"/>
      <c r="CJ91" s="709"/>
      <c r="CK91" s="709"/>
      <c r="CL91" s="709"/>
      <c r="CM91" s="709"/>
      <c r="CN91" s="709"/>
      <c r="CO91" s="709"/>
      <c r="CP91" s="709"/>
      <c r="CQ91" s="709"/>
      <c r="CR91" s="709"/>
      <c r="CS91" s="709"/>
      <c r="CT91" s="709"/>
      <c r="CU91" s="709"/>
      <c r="CV91" s="709"/>
      <c r="CW91" s="709"/>
      <c r="CX91" s="709"/>
      <c r="CY91" s="709"/>
      <c r="CZ91" s="709"/>
      <c r="DA91" s="709"/>
      <c r="DB91" s="709"/>
      <c r="DC91" s="709"/>
      <c r="DD91" s="709"/>
      <c r="DE91" s="709"/>
      <c r="DF91" s="709"/>
      <c r="DG91" s="709"/>
      <c r="DH91" s="709"/>
      <c r="DI91" s="709"/>
      <c r="DJ91" s="709"/>
      <c r="DK91" s="709"/>
      <c r="DL91" s="709"/>
      <c r="DM91" s="709"/>
      <c r="DN91" s="709"/>
      <c r="DO91" s="709"/>
      <c r="DP91" s="709"/>
      <c r="DQ91" s="709"/>
      <c r="DR91" s="709"/>
      <c r="DS91" s="709"/>
      <c r="DT91" s="709"/>
      <c r="DU91" s="709"/>
      <c r="DV91" s="709"/>
      <c r="DW91" s="709"/>
      <c r="DX91" s="709"/>
      <c r="DY91" s="709"/>
      <c r="DZ91" s="709"/>
      <c r="EA91" s="709"/>
      <c r="EB91" s="709"/>
      <c r="EC91" s="709"/>
      <c r="ED91" s="709"/>
      <c r="EE91" s="709"/>
      <c r="EF91" s="709"/>
      <c r="EG91" s="709"/>
      <c r="EH91" s="709"/>
      <c r="EI91" s="709"/>
      <c r="EJ91" s="709"/>
      <c r="EK91" s="709"/>
      <c r="EL91" s="709"/>
      <c r="EM91" s="709"/>
      <c r="EN91" s="709"/>
      <c r="EO91" s="709"/>
      <c r="EP91" s="709"/>
      <c r="EQ91" s="709"/>
      <c r="ER91" s="709"/>
      <c r="ES91" s="709"/>
      <c r="ET91" s="709"/>
      <c r="EU91" s="709"/>
      <c r="EV91" s="709"/>
      <c r="EW91" s="709"/>
      <c r="EX91" s="709"/>
      <c r="EY91" s="709"/>
      <c r="EZ91" s="709"/>
      <c r="FA91" s="709"/>
      <c r="FB91" s="709"/>
      <c r="FC91" s="709"/>
      <c r="FD91" s="709"/>
      <c r="FE91" s="709"/>
      <c r="FF91" s="709"/>
      <c r="FG91" s="709"/>
      <c r="FH91" s="709"/>
      <c r="FI91" s="709"/>
      <c r="FJ91" s="709"/>
      <c r="FK91" s="709"/>
      <c r="FL91" s="709"/>
      <c r="FM91" s="709"/>
      <c r="FN91" s="709"/>
      <c r="FO91" s="709"/>
      <c r="FP91" s="709"/>
      <c r="FQ91" s="709"/>
      <c r="FR91" s="709"/>
      <c r="FS91" s="709"/>
      <c r="FT91" s="709"/>
      <c r="FU91" s="709"/>
      <c r="FV91" s="709"/>
      <c r="FW91" s="709"/>
      <c r="FX91" s="709"/>
      <c r="FY91" s="709"/>
      <c r="FZ91" s="709"/>
      <c r="GA91" s="709"/>
      <c r="GB91" s="709"/>
      <c r="GC91" s="709"/>
      <c r="GD91" s="709"/>
      <c r="GE91" s="709"/>
      <c r="GF91" s="709"/>
      <c r="GG91" s="709"/>
      <c r="GH91" s="709"/>
      <c r="GI91" s="709"/>
      <c r="GJ91" s="709"/>
      <c r="GK91" s="709"/>
      <c r="GL91" s="709"/>
      <c r="GM91" s="709"/>
      <c r="GN91" s="709"/>
      <c r="GO91" s="709"/>
      <c r="GP91" s="709"/>
      <c r="GQ91" s="709"/>
      <c r="GR91" s="709"/>
      <c r="GS91" s="709"/>
      <c r="GT91" s="709"/>
      <c r="GU91" s="709"/>
      <c r="GV91" s="709"/>
      <c r="GW91" s="709"/>
      <c r="GX91" s="709"/>
      <c r="GY91" s="709"/>
      <c r="GZ91" s="709"/>
      <c r="HA91" s="709"/>
      <c r="HB91" s="709"/>
      <c r="HC91" s="709"/>
      <c r="HD91" s="709"/>
      <c r="HE91" s="709"/>
      <c r="HF91" s="709"/>
      <c r="HG91" s="709"/>
      <c r="HH91" s="709"/>
      <c r="HI91" s="709"/>
      <c r="HJ91" s="709"/>
      <c r="HK91" s="709"/>
      <c r="HL91" s="709"/>
      <c r="HM91" s="709"/>
      <c r="HN91" s="709"/>
      <c r="HO91" s="709"/>
      <c r="HP91" s="709"/>
      <c r="HQ91" s="709"/>
      <c r="HR91" s="709"/>
      <c r="HS91" s="709"/>
      <c r="HT91" s="709"/>
      <c r="HU91" s="709"/>
      <c r="HV91" s="709"/>
      <c r="HW91" s="709"/>
      <c r="HX91" s="709"/>
      <c r="HY91" s="709"/>
      <c r="HZ91" s="709"/>
      <c r="IA91" s="709"/>
      <c r="IB91" s="709"/>
      <c r="IC91" s="709"/>
      <c r="ID91" s="709"/>
      <c r="IE91" s="709"/>
      <c r="IF91" s="709"/>
      <c r="IG91" s="709"/>
      <c r="IH91" s="709"/>
      <c r="II91" s="709"/>
      <c r="IJ91" s="709"/>
      <c r="IK91" s="709"/>
      <c r="IL91" s="709"/>
      <c r="IM91" s="709"/>
      <c r="IN91" s="709"/>
      <c r="IO91" s="709"/>
      <c r="IP91" s="709"/>
      <c r="IQ91" s="709"/>
      <c r="IR91" s="709"/>
      <c r="IS91" s="709"/>
      <c r="IT91" s="709"/>
      <c r="IU91" s="709"/>
      <c r="IV91" s="709"/>
    </row>
    <row r="92" spans="1:256" ht="12.75" hidden="1" customHeight="1">
      <c r="A92" s="706" t="s">
        <v>339</v>
      </c>
      <c r="B92" s="706">
        <f>95171.7+2.4</f>
        <v>95174.099999999991</v>
      </c>
      <c r="C92" s="706">
        <v>120219.7</v>
      </c>
      <c r="D92" s="689"/>
      <c r="E92" s="706">
        <f t="shared" si="9"/>
        <v>-25045.600000000006</v>
      </c>
      <c r="F92" s="688">
        <v>28077.599999999999</v>
      </c>
      <c r="G92" s="706">
        <v>-3036.4</v>
      </c>
      <c r="H92" s="706">
        <f t="shared" si="10"/>
        <v>25041.199999999997</v>
      </c>
      <c r="I92" s="693"/>
      <c r="J92" s="688">
        <v>4.4000000000000004</v>
      </c>
      <c r="K92" s="706">
        <f t="shared" si="11"/>
        <v>25045.599999999999</v>
      </c>
      <c r="L92" s="691"/>
      <c r="M92" s="709"/>
      <c r="N92" s="709"/>
      <c r="O92" s="709"/>
      <c r="P92" s="709"/>
      <c r="Q92" s="709"/>
      <c r="R92" s="709"/>
      <c r="S92" s="709"/>
      <c r="T92" s="709"/>
      <c r="U92" s="709"/>
      <c r="V92" s="709"/>
      <c r="W92" s="709"/>
      <c r="X92" s="709"/>
      <c r="Y92" s="709"/>
      <c r="Z92" s="709"/>
      <c r="AA92" s="709"/>
      <c r="AB92" s="709"/>
      <c r="AC92" s="709"/>
      <c r="AD92" s="709"/>
      <c r="AE92" s="709"/>
      <c r="AF92" s="709"/>
      <c r="AG92" s="709"/>
      <c r="AH92" s="709"/>
      <c r="AI92" s="709"/>
      <c r="AJ92" s="709"/>
      <c r="AK92" s="709"/>
      <c r="AL92" s="709"/>
      <c r="AM92" s="709"/>
      <c r="AN92" s="709"/>
      <c r="AO92" s="709"/>
      <c r="AP92" s="709"/>
      <c r="AQ92" s="709"/>
      <c r="AR92" s="709"/>
      <c r="AS92" s="709"/>
      <c r="AT92" s="709"/>
      <c r="AU92" s="709"/>
      <c r="AV92" s="709"/>
      <c r="AW92" s="709"/>
      <c r="AX92" s="709"/>
      <c r="AY92" s="709"/>
      <c r="AZ92" s="709"/>
      <c r="BA92" s="709"/>
      <c r="BB92" s="709"/>
      <c r="BC92" s="709"/>
      <c r="BD92" s="709"/>
      <c r="BE92" s="709"/>
      <c r="BF92" s="709"/>
      <c r="BG92" s="709"/>
      <c r="BH92" s="709"/>
      <c r="BI92" s="709"/>
      <c r="BJ92" s="709"/>
      <c r="BK92" s="709"/>
      <c r="BL92" s="709"/>
      <c r="BM92" s="709"/>
      <c r="BN92" s="709"/>
      <c r="BO92" s="709"/>
      <c r="BP92" s="709"/>
      <c r="BQ92" s="709"/>
      <c r="BR92" s="709"/>
      <c r="BS92" s="709"/>
      <c r="BT92" s="709"/>
      <c r="BU92" s="709"/>
      <c r="BV92" s="709"/>
      <c r="BW92" s="709"/>
      <c r="BX92" s="709"/>
      <c r="BY92" s="709"/>
      <c r="BZ92" s="709"/>
      <c r="CA92" s="709"/>
      <c r="CB92" s="709"/>
      <c r="CC92" s="709"/>
      <c r="CD92" s="709"/>
      <c r="CE92" s="709"/>
      <c r="CF92" s="709"/>
      <c r="CG92" s="709"/>
      <c r="CH92" s="709"/>
      <c r="CI92" s="709"/>
      <c r="CJ92" s="709"/>
      <c r="CK92" s="709"/>
      <c r="CL92" s="709"/>
      <c r="CM92" s="709"/>
      <c r="CN92" s="709"/>
      <c r="CO92" s="709"/>
      <c r="CP92" s="709"/>
      <c r="CQ92" s="709"/>
      <c r="CR92" s="709"/>
      <c r="CS92" s="709"/>
      <c r="CT92" s="709"/>
      <c r="CU92" s="709"/>
      <c r="CV92" s="709"/>
      <c r="CW92" s="709"/>
      <c r="CX92" s="709"/>
      <c r="CY92" s="709"/>
      <c r="CZ92" s="709"/>
      <c r="DA92" s="709"/>
      <c r="DB92" s="709"/>
      <c r="DC92" s="709"/>
      <c r="DD92" s="709"/>
      <c r="DE92" s="709"/>
      <c r="DF92" s="709"/>
      <c r="DG92" s="709"/>
      <c r="DH92" s="709"/>
      <c r="DI92" s="709"/>
      <c r="DJ92" s="709"/>
      <c r="DK92" s="709"/>
      <c r="DL92" s="709"/>
      <c r="DM92" s="709"/>
      <c r="DN92" s="709"/>
      <c r="DO92" s="709"/>
      <c r="DP92" s="709"/>
      <c r="DQ92" s="709"/>
      <c r="DR92" s="709"/>
      <c r="DS92" s="709"/>
      <c r="DT92" s="709"/>
      <c r="DU92" s="709"/>
      <c r="DV92" s="709"/>
      <c r="DW92" s="709"/>
      <c r="DX92" s="709"/>
      <c r="DY92" s="709"/>
      <c r="DZ92" s="709"/>
      <c r="EA92" s="709"/>
      <c r="EB92" s="709"/>
      <c r="EC92" s="709"/>
      <c r="ED92" s="709"/>
      <c r="EE92" s="709"/>
      <c r="EF92" s="709"/>
      <c r="EG92" s="709"/>
      <c r="EH92" s="709"/>
      <c r="EI92" s="709"/>
      <c r="EJ92" s="709"/>
      <c r="EK92" s="709"/>
      <c r="EL92" s="709"/>
      <c r="EM92" s="709"/>
      <c r="EN92" s="709"/>
      <c r="EO92" s="709"/>
      <c r="EP92" s="709"/>
      <c r="EQ92" s="709"/>
      <c r="ER92" s="709"/>
      <c r="ES92" s="709"/>
      <c r="ET92" s="709"/>
      <c r="EU92" s="709"/>
      <c r="EV92" s="709"/>
      <c r="EW92" s="709"/>
      <c r="EX92" s="709"/>
      <c r="EY92" s="709"/>
      <c r="EZ92" s="709"/>
      <c r="FA92" s="709"/>
      <c r="FB92" s="709"/>
      <c r="FC92" s="709"/>
      <c r="FD92" s="709"/>
      <c r="FE92" s="709"/>
      <c r="FF92" s="709"/>
      <c r="FG92" s="709"/>
      <c r="FH92" s="709"/>
      <c r="FI92" s="709"/>
      <c r="FJ92" s="709"/>
      <c r="FK92" s="709"/>
      <c r="FL92" s="709"/>
      <c r="FM92" s="709"/>
      <c r="FN92" s="709"/>
      <c r="FO92" s="709"/>
      <c r="FP92" s="709"/>
      <c r="FQ92" s="709"/>
      <c r="FR92" s="709"/>
      <c r="FS92" s="709"/>
      <c r="FT92" s="709"/>
      <c r="FU92" s="709"/>
      <c r="FV92" s="709"/>
      <c r="FW92" s="709"/>
      <c r="FX92" s="709"/>
      <c r="FY92" s="709"/>
      <c r="FZ92" s="709"/>
      <c r="GA92" s="709"/>
      <c r="GB92" s="709"/>
      <c r="GC92" s="709"/>
      <c r="GD92" s="709"/>
      <c r="GE92" s="709"/>
      <c r="GF92" s="709"/>
      <c r="GG92" s="709"/>
      <c r="GH92" s="709"/>
      <c r="GI92" s="709"/>
      <c r="GJ92" s="709"/>
      <c r="GK92" s="709"/>
      <c r="GL92" s="709"/>
      <c r="GM92" s="709"/>
      <c r="GN92" s="709"/>
      <c r="GO92" s="709"/>
      <c r="GP92" s="709"/>
      <c r="GQ92" s="709"/>
      <c r="GR92" s="709"/>
      <c r="GS92" s="709"/>
      <c r="GT92" s="709"/>
      <c r="GU92" s="709"/>
      <c r="GV92" s="709"/>
      <c r="GW92" s="709"/>
      <c r="GX92" s="709"/>
      <c r="GY92" s="709"/>
      <c r="GZ92" s="709"/>
      <c r="HA92" s="709"/>
      <c r="HB92" s="709"/>
      <c r="HC92" s="709"/>
      <c r="HD92" s="709"/>
      <c r="HE92" s="709"/>
      <c r="HF92" s="709"/>
      <c r="HG92" s="709"/>
      <c r="HH92" s="709"/>
      <c r="HI92" s="709"/>
      <c r="HJ92" s="709"/>
      <c r="HK92" s="709"/>
      <c r="HL92" s="709"/>
      <c r="HM92" s="709"/>
      <c r="HN92" s="709"/>
      <c r="HO92" s="709"/>
      <c r="HP92" s="709"/>
      <c r="HQ92" s="709"/>
      <c r="HR92" s="709"/>
      <c r="HS92" s="709"/>
      <c r="HT92" s="709"/>
      <c r="HU92" s="709"/>
      <c r="HV92" s="709"/>
      <c r="HW92" s="709"/>
      <c r="HX92" s="709"/>
      <c r="HY92" s="709"/>
      <c r="HZ92" s="709"/>
      <c r="IA92" s="709"/>
      <c r="IB92" s="709"/>
      <c r="IC92" s="709"/>
      <c r="ID92" s="709"/>
      <c r="IE92" s="709"/>
      <c r="IF92" s="709"/>
      <c r="IG92" s="709"/>
      <c r="IH92" s="709"/>
      <c r="II92" s="709"/>
      <c r="IJ92" s="709"/>
      <c r="IK92" s="709"/>
      <c r="IL92" s="709"/>
      <c r="IM92" s="709"/>
      <c r="IN92" s="709"/>
      <c r="IO92" s="709"/>
      <c r="IP92" s="709"/>
      <c r="IQ92" s="709"/>
      <c r="IR92" s="709"/>
      <c r="IS92" s="709"/>
      <c r="IT92" s="709"/>
      <c r="IU92" s="709"/>
      <c r="IV92" s="709"/>
    </row>
    <row r="93" spans="1:256" ht="12.75" hidden="1" customHeight="1">
      <c r="A93" s="706" t="s">
        <v>340</v>
      </c>
      <c r="B93" s="706">
        <f>129925.9+2.4</f>
        <v>129928.29999999999</v>
      </c>
      <c r="C93" s="706">
        <v>121168.8</v>
      </c>
      <c r="D93" s="689"/>
      <c r="E93" s="706">
        <f t="shared" si="9"/>
        <v>8759.4999999999854</v>
      </c>
      <c r="F93" s="688">
        <v>-4033.6</v>
      </c>
      <c r="G93" s="706">
        <v>-4725.3999999999996</v>
      </c>
      <c r="H93" s="706">
        <f t="shared" si="10"/>
        <v>-8759</v>
      </c>
      <c r="I93" s="693"/>
      <c r="J93" s="688">
        <v>-0.5</v>
      </c>
      <c r="K93" s="706">
        <f t="shared" si="11"/>
        <v>-8759.5</v>
      </c>
      <c r="L93" s="691"/>
      <c r="M93" s="709"/>
      <c r="N93" s="709"/>
      <c r="O93" s="709"/>
      <c r="P93" s="709"/>
      <c r="Q93" s="709"/>
      <c r="R93" s="709"/>
      <c r="S93" s="709"/>
      <c r="T93" s="709"/>
      <c r="U93" s="709"/>
      <c r="V93" s="709"/>
      <c r="W93" s="709"/>
      <c r="X93" s="709"/>
      <c r="Y93" s="709"/>
      <c r="Z93" s="709"/>
      <c r="AA93" s="709"/>
      <c r="AB93" s="709"/>
      <c r="AC93" s="709"/>
      <c r="AD93" s="709"/>
      <c r="AE93" s="709"/>
      <c r="AF93" s="709"/>
      <c r="AG93" s="709"/>
      <c r="AH93" s="709"/>
      <c r="AI93" s="709"/>
      <c r="AJ93" s="709"/>
      <c r="AK93" s="709"/>
      <c r="AL93" s="709"/>
      <c r="AM93" s="709"/>
      <c r="AN93" s="709"/>
      <c r="AO93" s="709"/>
      <c r="AP93" s="709"/>
      <c r="AQ93" s="709"/>
      <c r="AR93" s="709"/>
      <c r="AS93" s="709"/>
      <c r="AT93" s="709"/>
      <c r="AU93" s="709"/>
      <c r="AV93" s="709"/>
      <c r="AW93" s="709"/>
      <c r="AX93" s="709"/>
      <c r="AY93" s="709"/>
      <c r="AZ93" s="709"/>
      <c r="BA93" s="709"/>
      <c r="BB93" s="709"/>
      <c r="BC93" s="709"/>
      <c r="BD93" s="709"/>
      <c r="BE93" s="709"/>
      <c r="BF93" s="709"/>
      <c r="BG93" s="709"/>
      <c r="BH93" s="709"/>
      <c r="BI93" s="709"/>
      <c r="BJ93" s="709"/>
      <c r="BK93" s="709"/>
      <c r="BL93" s="709"/>
      <c r="BM93" s="709"/>
      <c r="BN93" s="709"/>
      <c r="BO93" s="709"/>
      <c r="BP93" s="709"/>
      <c r="BQ93" s="709"/>
      <c r="BR93" s="709"/>
      <c r="BS93" s="709"/>
      <c r="BT93" s="709"/>
      <c r="BU93" s="709"/>
      <c r="BV93" s="709"/>
      <c r="BW93" s="709"/>
      <c r="BX93" s="709"/>
      <c r="BY93" s="709"/>
      <c r="BZ93" s="709"/>
      <c r="CA93" s="709"/>
      <c r="CB93" s="709"/>
      <c r="CC93" s="709"/>
      <c r="CD93" s="709"/>
      <c r="CE93" s="709"/>
      <c r="CF93" s="709"/>
      <c r="CG93" s="709"/>
      <c r="CH93" s="709"/>
      <c r="CI93" s="709"/>
      <c r="CJ93" s="709"/>
      <c r="CK93" s="709"/>
      <c r="CL93" s="709"/>
      <c r="CM93" s="709"/>
      <c r="CN93" s="709"/>
      <c r="CO93" s="709"/>
      <c r="CP93" s="709"/>
      <c r="CQ93" s="709"/>
      <c r="CR93" s="709"/>
      <c r="CS93" s="709"/>
      <c r="CT93" s="709"/>
      <c r="CU93" s="709"/>
      <c r="CV93" s="709"/>
      <c r="CW93" s="709"/>
      <c r="CX93" s="709"/>
      <c r="CY93" s="709"/>
      <c r="CZ93" s="709"/>
      <c r="DA93" s="709"/>
      <c r="DB93" s="709"/>
      <c r="DC93" s="709"/>
      <c r="DD93" s="709"/>
      <c r="DE93" s="709"/>
      <c r="DF93" s="709"/>
      <c r="DG93" s="709"/>
      <c r="DH93" s="709"/>
      <c r="DI93" s="709"/>
      <c r="DJ93" s="709"/>
      <c r="DK93" s="709"/>
      <c r="DL93" s="709"/>
      <c r="DM93" s="709"/>
      <c r="DN93" s="709"/>
      <c r="DO93" s="709"/>
      <c r="DP93" s="709"/>
      <c r="DQ93" s="709"/>
      <c r="DR93" s="709"/>
      <c r="DS93" s="709"/>
      <c r="DT93" s="709"/>
      <c r="DU93" s="709"/>
      <c r="DV93" s="709"/>
      <c r="DW93" s="709"/>
      <c r="DX93" s="709"/>
      <c r="DY93" s="709"/>
      <c r="DZ93" s="709"/>
      <c r="EA93" s="709"/>
      <c r="EB93" s="709"/>
      <c r="EC93" s="709"/>
      <c r="ED93" s="709"/>
      <c r="EE93" s="709"/>
      <c r="EF93" s="709"/>
      <c r="EG93" s="709"/>
      <c r="EH93" s="709"/>
      <c r="EI93" s="709"/>
      <c r="EJ93" s="709"/>
      <c r="EK93" s="709"/>
      <c r="EL93" s="709"/>
      <c r="EM93" s="709"/>
      <c r="EN93" s="709"/>
      <c r="EO93" s="709"/>
      <c r="EP93" s="709"/>
      <c r="EQ93" s="709"/>
      <c r="ER93" s="709"/>
      <c r="ES93" s="709"/>
      <c r="ET93" s="709"/>
      <c r="EU93" s="709"/>
      <c r="EV93" s="709"/>
      <c r="EW93" s="709"/>
      <c r="EX93" s="709"/>
      <c r="EY93" s="709"/>
      <c r="EZ93" s="709"/>
      <c r="FA93" s="709"/>
      <c r="FB93" s="709"/>
      <c r="FC93" s="709"/>
      <c r="FD93" s="709"/>
      <c r="FE93" s="709"/>
      <c r="FF93" s="709"/>
      <c r="FG93" s="709"/>
      <c r="FH93" s="709"/>
      <c r="FI93" s="709"/>
      <c r="FJ93" s="709"/>
      <c r="FK93" s="709"/>
      <c r="FL93" s="709"/>
      <c r="FM93" s="709"/>
      <c r="FN93" s="709"/>
      <c r="FO93" s="709"/>
      <c r="FP93" s="709"/>
      <c r="FQ93" s="709"/>
      <c r="FR93" s="709"/>
      <c r="FS93" s="709"/>
      <c r="FT93" s="709"/>
      <c r="FU93" s="709"/>
      <c r="FV93" s="709"/>
      <c r="FW93" s="709"/>
      <c r="FX93" s="709"/>
      <c r="FY93" s="709"/>
      <c r="FZ93" s="709"/>
      <c r="GA93" s="709"/>
      <c r="GB93" s="709"/>
      <c r="GC93" s="709"/>
      <c r="GD93" s="709"/>
      <c r="GE93" s="709"/>
      <c r="GF93" s="709"/>
      <c r="GG93" s="709"/>
      <c r="GH93" s="709"/>
      <c r="GI93" s="709"/>
      <c r="GJ93" s="709"/>
      <c r="GK93" s="709"/>
      <c r="GL93" s="709"/>
      <c r="GM93" s="709"/>
      <c r="GN93" s="709"/>
      <c r="GO93" s="709"/>
      <c r="GP93" s="709"/>
      <c r="GQ93" s="709"/>
      <c r="GR93" s="709"/>
      <c r="GS93" s="709"/>
      <c r="GT93" s="709"/>
      <c r="GU93" s="709"/>
      <c r="GV93" s="709"/>
      <c r="GW93" s="709"/>
      <c r="GX93" s="709"/>
      <c r="GY93" s="709"/>
      <c r="GZ93" s="709"/>
      <c r="HA93" s="709"/>
      <c r="HB93" s="709"/>
      <c r="HC93" s="709"/>
      <c r="HD93" s="709"/>
      <c r="HE93" s="709"/>
      <c r="HF93" s="709"/>
      <c r="HG93" s="709"/>
      <c r="HH93" s="709"/>
      <c r="HI93" s="709"/>
      <c r="HJ93" s="709"/>
      <c r="HK93" s="709"/>
      <c r="HL93" s="709"/>
      <c r="HM93" s="709"/>
      <c r="HN93" s="709"/>
      <c r="HO93" s="709"/>
      <c r="HP93" s="709"/>
      <c r="HQ93" s="709"/>
      <c r="HR93" s="709"/>
      <c r="HS93" s="709"/>
      <c r="HT93" s="709"/>
      <c r="HU93" s="709"/>
      <c r="HV93" s="709"/>
      <c r="HW93" s="709"/>
      <c r="HX93" s="709"/>
      <c r="HY93" s="709"/>
      <c r="HZ93" s="709"/>
      <c r="IA93" s="709"/>
      <c r="IB93" s="709"/>
      <c r="IC93" s="709"/>
      <c r="ID93" s="709"/>
      <c r="IE93" s="709"/>
      <c r="IF93" s="709"/>
      <c r="IG93" s="709"/>
      <c r="IH93" s="709"/>
      <c r="II93" s="709"/>
      <c r="IJ93" s="709"/>
      <c r="IK93" s="709"/>
      <c r="IL93" s="709"/>
      <c r="IM93" s="709"/>
      <c r="IN93" s="709"/>
      <c r="IO93" s="709"/>
      <c r="IP93" s="709"/>
      <c r="IQ93" s="709"/>
      <c r="IR93" s="709"/>
      <c r="IS93" s="709"/>
      <c r="IT93" s="709"/>
      <c r="IU93" s="709"/>
      <c r="IV93" s="709"/>
    </row>
    <row r="94" spans="1:256" ht="12.75" hidden="1" customHeight="1">
      <c r="A94" s="706" t="s">
        <v>341</v>
      </c>
      <c r="B94" s="706">
        <f>108694.8+188.8</f>
        <v>108883.6</v>
      </c>
      <c r="C94" s="706">
        <v>149303.20000000001</v>
      </c>
      <c r="D94" s="689"/>
      <c r="E94" s="706">
        <f t="shared" si="9"/>
        <v>-40419.600000000006</v>
      </c>
      <c r="F94" s="688">
        <v>37328.5</v>
      </c>
      <c r="G94" s="706">
        <v>3063.8</v>
      </c>
      <c r="H94" s="706">
        <f t="shared" si="10"/>
        <v>40392.300000000003</v>
      </c>
      <c r="I94" s="693"/>
      <c r="J94" s="688">
        <v>27.3</v>
      </c>
      <c r="K94" s="706">
        <f t="shared" si="11"/>
        <v>40419.600000000006</v>
      </c>
      <c r="L94" s="691"/>
      <c r="M94" s="709"/>
      <c r="N94" s="709"/>
      <c r="O94" s="709"/>
      <c r="P94" s="709"/>
      <c r="Q94" s="709"/>
      <c r="R94" s="709"/>
      <c r="S94" s="709"/>
      <c r="T94" s="709"/>
      <c r="U94" s="709"/>
      <c r="V94" s="709"/>
      <c r="W94" s="709"/>
      <c r="X94" s="709"/>
      <c r="Y94" s="709"/>
      <c r="Z94" s="709"/>
      <c r="AA94" s="709"/>
      <c r="AB94" s="709"/>
      <c r="AC94" s="709"/>
      <c r="AD94" s="709"/>
      <c r="AE94" s="709"/>
      <c r="AF94" s="709"/>
      <c r="AG94" s="709"/>
      <c r="AH94" s="709"/>
      <c r="AI94" s="709"/>
      <c r="AJ94" s="709"/>
      <c r="AK94" s="709"/>
      <c r="AL94" s="709"/>
      <c r="AM94" s="709"/>
      <c r="AN94" s="709"/>
      <c r="AO94" s="709"/>
      <c r="AP94" s="709"/>
      <c r="AQ94" s="709"/>
      <c r="AR94" s="709"/>
      <c r="AS94" s="709"/>
      <c r="AT94" s="709"/>
      <c r="AU94" s="709"/>
      <c r="AV94" s="709"/>
      <c r="AW94" s="709"/>
      <c r="AX94" s="709"/>
      <c r="AY94" s="709"/>
      <c r="AZ94" s="709"/>
      <c r="BA94" s="709"/>
      <c r="BB94" s="709"/>
      <c r="BC94" s="709"/>
      <c r="BD94" s="709"/>
      <c r="BE94" s="709"/>
      <c r="BF94" s="709"/>
      <c r="BG94" s="709"/>
      <c r="BH94" s="709"/>
      <c r="BI94" s="709"/>
      <c r="BJ94" s="709"/>
      <c r="BK94" s="709"/>
      <c r="BL94" s="709"/>
      <c r="BM94" s="709"/>
      <c r="BN94" s="709"/>
      <c r="BO94" s="709"/>
      <c r="BP94" s="709"/>
      <c r="BQ94" s="709"/>
      <c r="BR94" s="709"/>
      <c r="BS94" s="709"/>
      <c r="BT94" s="709"/>
      <c r="BU94" s="709"/>
      <c r="BV94" s="709"/>
      <c r="BW94" s="709"/>
      <c r="BX94" s="709"/>
      <c r="BY94" s="709"/>
      <c r="BZ94" s="709"/>
      <c r="CA94" s="709"/>
      <c r="CB94" s="709"/>
      <c r="CC94" s="709"/>
      <c r="CD94" s="709"/>
      <c r="CE94" s="709"/>
      <c r="CF94" s="709"/>
      <c r="CG94" s="709"/>
      <c r="CH94" s="709"/>
      <c r="CI94" s="709"/>
      <c r="CJ94" s="709"/>
      <c r="CK94" s="709"/>
      <c r="CL94" s="709"/>
      <c r="CM94" s="709"/>
      <c r="CN94" s="709"/>
      <c r="CO94" s="709"/>
      <c r="CP94" s="709"/>
      <c r="CQ94" s="709"/>
      <c r="CR94" s="709"/>
      <c r="CS94" s="709"/>
      <c r="CT94" s="709"/>
      <c r="CU94" s="709"/>
      <c r="CV94" s="709"/>
      <c r="CW94" s="709"/>
      <c r="CX94" s="709"/>
      <c r="CY94" s="709"/>
      <c r="CZ94" s="709"/>
      <c r="DA94" s="709"/>
      <c r="DB94" s="709"/>
      <c r="DC94" s="709"/>
      <c r="DD94" s="709"/>
      <c r="DE94" s="709"/>
      <c r="DF94" s="709"/>
      <c r="DG94" s="709"/>
      <c r="DH94" s="709"/>
      <c r="DI94" s="709"/>
      <c r="DJ94" s="709"/>
      <c r="DK94" s="709"/>
      <c r="DL94" s="709"/>
      <c r="DM94" s="709"/>
      <c r="DN94" s="709"/>
      <c r="DO94" s="709"/>
      <c r="DP94" s="709"/>
      <c r="DQ94" s="709"/>
      <c r="DR94" s="709"/>
      <c r="DS94" s="709"/>
      <c r="DT94" s="709"/>
      <c r="DU94" s="709"/>
      <c r="DV94" s="709"/>
      <c r="DW94" s="709"/>
      <c r="DX94" s="709"/>
      <c r="DY94" s="709"/>
      <c r="DZ94" s="709"/>
      <c r="EA94" s="709"/>
      <c r="EB94" s="709"/>
      <c r="EC94" s="709"/>
      <c r="ED94" s="709"/>
      <c r="EE94" s="709"/>
      <c r="EF94" s="709"/>
      <c r="EG94" s="709"/>
      <c r="EH94" s="709"/>
      <c r="EI94" s="709"/>
      <c r="EJ94" s="709"/>
      <c r="EK94" s="709"/>
      <c r="EL94" s="709"/>
      <c r="EM94" s="709"/>
      <c r="EN94" s="709"/>
      <c r="EO94" s="709"/>
      <c r="EP94" s="709"/>
      <c r="EQ94" s="709"/>
      <c r="ER94" s="709"/>
      <c r="ES94" s="709"/>
      <c r="ET94" s="709"/>
      <c r="EU94" s="709"/>
      <c r="EV94" s="709"/>
      <c r="EW94" s="709"/>
      <c r="EX94" s="709"/>
      <c r="EY94" s="709"/>
      <c r="EZ94" s="709"/>
      <c r="FA94" s="709"/>
      <c r="FB94" s="709"/>
      <c r="FC94" s="709"/>
      <c r="FD94" s="709"/>
      <c r="FE94" s="709"/>
      <c r="FF94" s="709"/>
      <c r="FG94" s="709"/>
      <c r="FH94" s="709"/>
      <c r="FI94" s="709"/>
      <c r="FJ94" s="709"/>
      <c r="FK94" s="709"/>
      <c r="FL94" s="709"/>
      <c r="FM94" s="709"/>
      <c r="FN94" s="709"/>
      <c r="FO94" s="709"/>
      <c r="FP94" s="709"/>
      <c r="FQ94" s="709"/>
      <c r="FR94" s="709"/>
      <c r="FS94" s="709"/>
      <c r="FT94" s="709"/>
      <c r="FU94" s="709"/>
      <c r="FV94" s="709"/>
      <c r="FW94" s="709"/>
      <c r="FX94" s="709"/>
      <c r="FY94" s="709"/>
      <c r="FZ94" s="709"/>
      <c r="GA94" s="709"/>
      <c r="GB94" s="709"/>
      <c r="GC94" s="709"/>
      <c r="GD94" s="709"/>
      <c r="GE94" s="709"/>
      <c r="GF94" s="709"/>
      <c r="GG94" s="709"/>
      <c r="GH94" s="709"/>
      <c r="GI94" s="709"/>
      <c r="GJ94" s="709"/>
      <c r="GK94" s="709"/>
      <c r="GL94" s="709"/>
      <c r="GM94" s="709"/>
      <c r="GN94" s="709"/>
      <c r="GO94" s="709"/>
      <c r="GP94" s="709"/>
      <c r="GQ94" s="709"/>
      <c r="GR94" s="709"/>
      <c r="GS94" s="709"/>
      <c r="GT94" s="709"/>
      <c r="GU94" s="709"/>
      <c r="GV94" s="709"/>
      <c r="GW94" s="709"/>
      <c r="GX94" s="709"/>
      <c r="GY94" s="709"/>
      <c r="GZ94" s="709"/>
      <c r="HA94" s="709"/>
      <c r="HB94" s="709"/>
      <c r="HC94" s="709"/>
      <c r="HD94" s="709"/>
      <c r="HE94" s="709"/>
      <c r="HF94" s="709"/>
      <c r="HG94" s="709"/>
      <c r="HH94" s="709"/>
      <c r="HI94" s="709"/>
      <c r="HJ94" s="709"/>
      <c r="HK94" s="709"/>
      <c r="HL94" s="709"/>
      <c r="HM94" s="709"/>
      <c r="HN94" s="709"/>
      <c r="HO94" s="709"/>
      <c r="HP94" s="709"/>
      <c r="HQ94" s="709"/>
      <c r="HR94" s="709"/>
      <c r="HS94" s="709"/>
      <c r="HT94" s="709"/>
      <c r="HU94" s="709"/>
      <c r="HV94" s="709"/>
      <c r="HW94" s="709"/>
      <c r="HX94" s="709"/>
      <c r="HY94" s="709"/>
      <c r="HZ94" s="709"/>
      <c r="IA94" s="709"/>
      <c r="IB94" s="709"/>
      <c r="IC94" s="709"/>
      <c r="ID94" s="709"/>
      <c r="IE94" s="709"/>
      <c r="IF94" s="709"/>
      <c r="IG94" s="709"/>
      <c r="IH94" s="709"/>
      <c r="II94" s="709"/>
      <c r="IJ94" s="709"/>
      <c r="IK94" s="709"/>
      <c r="IL94" s="709"/>
      <c r="IM94" s="709"/>
      <c r="IN94" s="709"/>
      <c r="IO94" s="709"/>
      <c r="IP94" s="709"/>
      <c r="IQ94" s="709"/>
      <c r="IR94" s="709"/>
      <c r="IS94" s="709"/>
      <c r="IT94" s="709"/>
      <c r="IU94" s="709"/>
      <c r="IV94" s="709"/>
    </row>
    <row r="95" spans="1:256" ht="12.75" hidden="1" customHeight="1">
      <c r="A95" s="706" t="s">
        <v>342</v>
      </c>
      <c r="B95" s="706">
        <v>169224.5</v>
      </c>
      <c r="C95" s="706">
        <v>234986</v>
      </c>
      <c r="D95" s="689"/>
      <c r="E95" s="706">
        <f t="shared" si="9"/>
        <v>-65761.5</v>
      </c>
      <c r="F95" s="688">
        <v>85275.1</v>
      </c>
      <c r="G95" s="706">
        <v>-19517.099999999999</v>
      </c>
      <c r="H95" s="706">
        <f t="shared" si="10"/>
        <v>65758</v>
      </c>
      <c r="I95" s="693"/>
      <c r="J95" s="688">
        <v>3.5</v>
      </c>
      <c r="K95" s="706">
        <f t="shared" si="11"/>
        <v>65761.5</v>
      </c>
      <c r="L95" s="691"/>
      <c r="M95" s="709"/>
      <c r="N95" s="709"/>
      <c r="O95" s="709"/>
      <c r="P95" s="709"/>
      <c r="Q95" s="709"/>
      <c r="R95" s="709"/>
      <c r="S95" s="709"/>
      <c r="T95" s="709"/>
      <c r="U95" s="709"/>
      <c r="V95" s="709"/>
      <c r="W95" s="709"/>
      <c r="X95" s="709"/>
      <c r="Y95" s="709"/>
      <c r="Z95" s="709"/>
      <c r="AA95" s="709"/>
      <c r="AB95" s="709"/>
      <c r="AC95" s="709"/>
      <c r="AD95" s="709"/>
      <c r="AE95" s="709"/>
      <c r="AF95" s="709"/>
      <c r="AG95" s="709"/>
      <c r="AH95" s="709"/>
      <c r="AI95" s="709"/>
      <c r="AJ95" s="709"/>
      <c r="AK95" s="709"/>
      <c r="AL95" s="709"/>
      <c r="AM95" s="709"/>
      <c r="AN95" s="709"/>
      <c r="AO95" s="709"/>
      <c r="AP95" s="709"/>
      <c r="AQ95" s="709"/>
      <c r="AR95" s="709"/>
      <c r="AS95" s="709"/>
      <c r="AT95" s="709"/>
      <c r="AU95" s="709"/>
      <c r="AV95" s="709"/>
      <c r="AW95" s="709"/>
      <c r="AX95" s="709"/>
      <c r="AY95" s="709"/>
      <c r="AZ95" s="709"/>
      <c r="BA95" s="709"/>
      <c r="BB95" s="709"/>
      <c r="BC95" s="709"/>
      <c r="BD95" s="709"/>
      <c r="BE95" s="709"/>
      <c r="BF95" s="709"/>
      <c r="BG95" s="709"/>
      <c r="BH95" s="709"/>
      <c r="BI95" s="709"/>
      <c r="BJ95" s="709"/>
      <c r="BK95" s="709"/>
      <c r="BL95" s="709"/>
      <c r="BM95" s="709"/>
      <c r="BN95" s="709"/>
      <c r="BO95" s="709"/>
      <c r="BP95" s="709"/>
      <c r="BQ95" s="709"/>
      <c r="BR95" s="709"/>
      <c r="BS95" s="709"/>
      <c r="BT95" s="709"/>
      <c r="BU95" s="709"/>
      <c r="BV95" s="709"/>
      <c r="BW95" s="709"/>
      <c r="BX95" s="709"/>
      <c r="BY95" s="709"/>
      <c r="BZ95" s="709"/>
      <c r="CA95" s="709"/>
      <c r="CB95" s="709"/>
      <c r="CC95" s="709"/>
      <c r="CD95" s="709"/>
      <c r="CE95" s="709"/>
      <c r="CF95" s="709"/>
      <c r="CG95" s="709"/>
      <c r="CH95" s="709"/>
      <c r="CI95" s="709"/>
      <c r="CJ95" s="709"/>
      <c r="CK95" s="709"/>
      <c r="CL95" s="709"/>
      <c r="CM95" s="709"/>
      <c r="CN95" s="709"/>
      <c r="CO95" s="709"/>
      <c r="CP95" s="709"/>
      <c r="CQ95" s="709"/>
      <c r="CR95" s="709"/>
      <c r="CS95" s="709"/>
      <c r="CT95" s="709"/>
      <c r="CU95" s="709"/>
      <c r="CV95" s="709"/>
      <c r="CW95" s="709"/>
      <c r="CX95" s="709"/>
      <c r="CY95" s="709"/>
      <c r="CZ95" s="709"/>
      <c r="DA95" s="709"/>
      <c r="DB95" s="709"/>
      <c r="DC95" s="709"/>
      <c r="DD95" s="709"/>
      <c r="DE95" s="709"/>
      <c r="DF95" s="709"/>
      <c r="DG95" s="709"/>
      <c r="DH95" s="709"/>
      <c r="DI95" s="709"/>
      <c r="DJ95" s="709"/>
      <c r="DK95" s="709"/>
      <c r="DL95" s="709"/>
      <c r="DM95" s="709"/>
      <c r="DN95" s="709"/>
      <c r="DO95" s="709"/>
      <c r="DP95" s="709"/>
      <c r="DQ95" s="709"/>
      <c r="DR95" s="709"/>
      <c r="DS95" s="709"/>
      <c r="DT95" s="709"/>
      <c r="DU95" s="709"/>
      <c r="DV95" s="709"/>
      <c r="DW95" s="709"/>
      <c r="DX95" s="709"/>
      <c r="DY95" s="709"/>
      <c r="DZ95" s="709"/>
      <c r="EA95" s="709"/>
      <c r="EB95" s="709"/>
      <c r="EC95" s="709"/>
      <c r="ED95" s="709"/>
      <c r="EE95" s="709"/>
      <c r="EF95" s="709"/>
      <c r="EG95" s="709"/>
      <c r="EH95" s="709"/>
      <c r="EI95" s="709"/>
      <c r="EJ95" s="709"/>
      <c r="EK95" s="709"/>
      <c r="EL95" s="709"/>
      <c r="EM95" s="709"/>
      <c r="EN95" s="709"/>
      <c r="EO95" s="709"/>
      <c r="EP95" s="709"/>
      <c r="EQ95" s="709"/>
      <c r="ER95" s="709"/>
      <c r="ES95" s="709"/>
      <c r="ET95" s="709"/>
      <c r="EU95" s="709"/>
      <c r="EV95" s="709"/>
      <c r="EW95" s="709"/>
      <c r="EX95" s="709"/>
      <c r="EY95" s="709"/>
      <c r="EZ95" s="709"/>
      <c r="FA95" s="709"/>
      <c r="FB95" s="709"/>
      <c r="FC95" s="709"/>
      <c r="FD95" s="709"/>
      <c r="FE95" s="709"/>
      <c r="FF95" s="709"/>
      <c r="FG95" s="709"/>
      <c r="FH95" s="709"/>
      <c r="FI95" s="709"/>
      <c r="FJ95" s="709"/>
      <c r="FK95" s="709"/>
      <c r="FL95" s="709"/>
      <c r="FM95" s="709"/>
      <c r="FN95" s="709"/>
      <c r="FO95" s="709"/>
      <c r="FP95" s="709"/>
      <c r="FQ95" s="709"/>
      <c r="FR95" s="709"/>
      <c r="FS95" s="709"/>
      <c r="FT95" s="709"/>
      <c r="FU95" s="709"/>
      <c r="FV95" s="709"/>
      <c r="FW95" s="709"/>
      <c r="FX95" s="709"/>
      <c r="FY95" s="709"/>
      <c r="FZ95" s="709"/>
      <c r="GA95" s="709"/>
      <c r="GB95" s="709"/>
      <c r="GC95" s="709"/>
      <c r="GD95" s="709"/>
      <c r="GE95" s="709"/>
      <c r="GF95" s="709"/>
      <c r="GG95" s="709"/>
      <c r="GH95" s="709"/>
      <c r="GI95" s="709"/>
      <c r="GJ95" s="709"/>
      <c r="GK95" s="709"/>
      <c r="GL95" s="709"/>
      <c r="GM95" s="709"/>
      <c r="GN95" s="709"/>
      <c r="GO95" s="709"/>
      <c r="GP95" s="709"/>
      <c r="GQ95" s="709"/>
      <c r="GR95" s="709"/>
      <c r="GS95" s="709"/>
      <c r="GT95" s="709"/>
      <c r="GU95" s="709"/>
      <c r="GV95" s="709"/>
      <c r="GW95" s="709"/>
      <c r="GX95" s="709"/>
      <c r="GY95" s="709"/>
      <c r="GZ95" s="709"/>
      <c r="HA95" s="709"/>
      <c r="HB95" s="709"/>
      <c r="HC95" s="709"/>
      <c r="HD95" s="709"/>
      <c r="HE95" s="709"/>
      <c r="HF95" s="709"/>
      <c r="HG95" s="709"/>
      <c r="HH95" s="709"/>
      <c r="HI95" s="709"/>
      <c r="HJ95" s="709"/>
      <c r="HK95" s="709"/>
      <c r="HL95" s="709"/>
      <c r="HM95" s="709"/>
      <c r="HN95" s="709"/>
      <c r="HO95" s="709"/>
      <c r="HP95" s="709"/>
      <c r="HQ95" s="709"/>
      <c r="HR95" s="709"/>
      <c r="HS95" s="709"/>
      <c r="HT95" s="709"/>
      <c r="HU95" s="709"/>
      <c r="HV95" s="709"/>
      <c r="HW95" s="709"/>
      <c r="HX95" s="709"/>
      <c r="HY95" s="709"/>
      <c r="HZ95" s="709"/>
      <c r="IA95" s="709"/>
      <c r="IB95" s="709"/>
      <c r="IC95" s="709"/>
      <c r="ID95" s="709"/>
      <c r="IE95" s="709"/>
      <c r="IF95" s="709"/>
      <c r="IG95" s="709"/>
      <c r="IH95" s="709"/>
      <c r="II95" s="709"/>
      <c r="IJ95" s="709"/>
      <c r="IK95" s="709"/>
      <c r="IL95" s="709"/>
      <c r="IM95" s="709"/>
      <c r="IN95" s="709"/>
      <c r="IO95" s="709"/>
      <c r="IP95" s="709"/>
      <c r="IQ95" s="709"/>
      <c r="IR95" s="709"/>
      <c r="IS95" s="709"/>
      <c r="IT95" s="709"/>
      <c r="IU95" s="709"/>
      <c r="IV95" s="709"/>
    </row>
    <row r="96" spans="1:256" ht="12.75" hidden="1" customHeight="1">
      <c r="A96" s="706" t="s">
        <v>343</v>
      </c>
      <c r="B96" s="706">
        <f>232459.8+0</f>
        <v>232459.8</v>
      </c>
      <c r="C96" s="706">
        <v>182266.7</v>
      </c>
      <c r="D96" s="689"/>
      <c r="E96" s="706">
        <f t="shared" si="9"/>
        <v>50193.099999999977</v>
      </c>
      <c r="F96" s="688">
        <v>-37912.5</v>
      </c>
      <c r="G96" s="706">
        <v>-12279.7</v>
      </c>
      <c r="H96" s="706">
        <f t="shared" si="10"/>
        <v>-50192.2</v>
      </c>
      <c r="I96" s="693"/>
      <c r="J96" s="688">
        <v>-0.9</v>
      </c>
      <c r="K96" s="706">
        <f t="shared" si="11"/>
        <v>-50193.1</v>
      </c>
      <c r="L96" s="691"/>
      <c r="M96" s="709"/>
      <c r="N96" s="709"/>
      <c r="O96" s="709"/>
      <c r="P96" s="709"/>
      <c r="Q96" s="709"/>
      <c r="R96" s="709"/>
      <c r="S96" s="709"/>
      <c r="T96" s="709"/>
      <c r="U96" s="709"/>
      <c r="V96" s="709"/>
      <c r="W96" s="709"/>
      <c r="X96" s="709"/>
      <c r="Y96" s="709"/>
      <c r="Z96" s="709"/>
      <c r="AA96" s="709"/>
      <c r="AB96" s="709"/>
      <c r="AC96" s="709"/>
      <c r="AD96" s="709"/>
      <c r="AE96" s="709"/>
      <c r="AF96" s="709"/>
      <c r="AG96" s="709"/>
      <c r="AH96" s="709"/>
      <c r="AI96" s="709"/>
      <c r="AJ96" s="709"/>
      <c r="AK96" s="709"/>
      <c r="AL96" s="709"/>
      <c r="AM96" s="709"/>
      <c r="AN96" s="709"/>
      <c r="AO96" s="709"/>
      <c r="AP96" s="709"/>
      <c r="AQ96" s="709"/>
      <c r="AR96" s="709"/>
      <c r="AS96" s="709"/>
      <c r="AT96" s="709"/>
      <c r="AU96" s="709"/>
      <c r="AV96" s="709"/>
      <c r="AW96" s="709"/>
      <c r="AX96" s="709"/>
      <c r="AY96" s="709"/>
      <c r="AZ96" s="709"/>
      <c r="BA96" s="709"/>
      <c r="BB96" s="709"/>
      <c r="BC96" s="709"/>
      <c r="BD96" s="709"/>
      <c r="BE96" s="709"/>
      <c r="BF96" s="709"/>
      <c r="BG96" s="709"/>
      <c r="BH96" s="709"/>
      <c r="BI96" s="709"/>
      <c r="BJ96" s="709"/>
      <c r="BK96" s="709"/>
      <c r="BL96" s="709"/>
      <c r="BM96" s="709"/>
      <c r="BN96" s="709"/>
      <c r="BO96" s="709"/>
      <c r="BP96" s="709"/>
      <c r="BQ96" s="709"/>
      <c r="BR96" s="709"/>
      <c r="BS96" s="709"/>
      <c r="BT96" s="709"/>
      <c r="BU96" s="709"/>
      <c r="BV96" s="709"/>
      <c r="BW96" s="709"/>
      <c r="BX96" s="709"/>
      <c r="BY96" s="709"/>
      <c r="BZ96" s="709"/>
      <c r="CA96" s="709"/>
      <c r="CB96" s="709"/>
      <c r="CC96" s="709"/>
      <c r="CD96" s="709"/>
      <c r="CE96" s="709"/>
      <c r="CF96" s="709"/>
      <c r="CG96" s="709"/>
      <c r="CH96" s="709"/>
      <c r="CI96" s="709"/>
      <c r="CJ96" s="709"/>
      <c r="CK96" s="709"/>
      <c r="CL96" s="709"/>
      <c r="CM96" s="709"/>
      <c r="CN96" s="709"/>
      <c r="CO96" s="709"/>
      <c r="CP96" s="709"/>
      <c r="CQ96" s="709"/>
      <c r="CR96" s="709"/>
      <c r="CS96" s="709"/>
      <c r="CT96" s="709"/>
      <c r="CU96" s="709"/>
      <c r="CV96" s="709"/>
      <c r="CW96" s="709"/>
      <c r="CX96" s="709"/>
      <c r="CY96" s="709"/>
      <c r="CZ96" s="709"/>
      <c r="DA96" s="709"/>
      <c r="DB96" s="709"/>
      <c r="DC96" s="709"/>
      <c r="DD96" s="709"/>
      <c r="DE96" s="709"/>
      <c r="DF96" s="709"/>
      <c r="DG96" s="709"/>
      <c r="DH96" s="709"/>
      <c r="DI96" s="709"/>
      <c r="DJ96" s="709"/>
      <c r="DK96" s="709"/>
      <c r="DL96" s="709"/>
      <c r="DM96" s="709"/>
      <c r="DN96" s="709"/>
      <c r="DO96" s="709"/>
      <c r="DP96" s="709"/>
      <c r="DQ96" s="709"/>
      <c r="DR96" s="709"/>
      <c r="DS96" s="709"/>
      <c r="DT96" s="709"/>
      <c r="DU96" s="709"/>
      <c r="DV96" s="709"/>
      <c r="DW96" s="709"/>
      <c r="DX96" s="709"/>
      <c r="DY96" s="709"/>
      <c r="DZ96" s="709"/>
      <c r="EA96" s="709"/>
      <c r="EB96" s="709"/>
      <c r="EC96" s="709"/>
      <c r="ED96" s="709"/>
      <c r="EE96" s="709"/>
      <c r="EF96" s="709"/>
      <c r="EG96" s="709"/>
      <c r="EH96" s="709"/>
      <c r="EI96" s="709"/>
      <c r="EJ96" s="709"/>
      <c r="EK96" s="709"/>
      <c r="EL96" s="709"/>
      <c r="EM96" s="709"/>
      <c r="EN96" s="709"/>
      <c r="EO96" s="709"/>
      <c r="EP96" s="709"/>
      <c r="EQ96" s="709"/>
      <c r="ER96" s="709"/>
      <c r="ES96" s="709"/>
      <c r="ET96" s="709"/>
      <c r="EU96" s="709"/>
      <c r="EV96" s="709"/>
      <c r="EW96" s="709"/>
      <c r="EX96" s="709"/>
      <c r="EY96" s="709"/>
      <c r="EZ96" s="709"/>
      <c r="FA96" s="709"/>
      <c r="FB96" s="709"/>
      <c r="FC96" s="709"/>
      <c r="FD96" s="709"/>
      <c r="FE96" s="709"/>
      <c r="FF96" s="709"/>
      <c r="FG96" s="709"/>
      <c r="FH96" s="709"/>
      <c r="FI96" s="709"/>
      <c r="FJ96" s="709"/>
      <c r="FK96" s="709"/>
      <c r="FL96" s="709"/>
      <c r="FM96" s="709"/>
      <c r="FN96" s="709"/>
      <c r="FO96" s="709"/>
      <c r="FP96" s="709"/>
      <c r="FQ96" s="709"/>
      <c r="FR96" s="709"/>
      <c r="FS96" s="709"/>
      <c r="FT96" s="709"/>
      <c r="FU96" s="709"/>
      <c r="FV96" s="709"/>
      <c r="FW96" s="709"/>
      <c r="FX96" s="709"/>
      <c r="FY96" s="709"/>
      <c r="FZ96" s="709"/>
      <c r="GA96" s="709"/>
      <c r="GB96" s="709"/>
      <c r="GC96" s="709"/>
      <c r="GD96" s="709"/>
      <c r="GE96" s="709"/>
      <c r="GF96" s="709"/>
      <c r="GG96" s="709"/>
      <c r="GH96" s="709"/>
      <c r="GI96" s="709"/>
      <c r="GJ96" s="709"/>
      <c r="GK96" s="709"/>
      <c r="GL96" s="709"/>
      <c r="GM96" s="709"/>
      <c r="GN96" s="709"/>
      <c r="GO96" s="709"/>
      <c r="GP96" s="709"/>
      <c r="GQ96" s="709"/>
      <c r="GR96" s="709"/>
      <c r="GS96" s="709"/>
      <c r="GT96" s="709"/>
      <c r="GU96" s="709"/>
      <c r="GV96" s="709"/>
      <c r="GW96" s="709"/>
      <c r="GX96" s="709"/>
      <c r="GY96" s="709"/>
      <c r="GZ96" s="709"/>
      <c r="HA96" s="709"/>
      <c r="HB96" s="709"/>
      <c r="HC96" s="709"/>
      <c r="HD96" s="709"/>
      <c r="HE96" s="709"/>
      <c r="HF96" s="709"/>
      <c r="HG96" s="709"/>
      <c r="HH96" s="709"/>
      <c r="HI96" s="709"/>
      <c r="HJ96" s="709"/>
      <c r="HK96" s="709"/>
      <c r="HL96" s="709"/>
      <c r="HM96" s="709"/>
      <c r="HN96" s="709"/>
      <c r="HO96" s="709"/>
      <c r="HP96" s="709"/>
      <c r="HQ96" s="709"/>
      <c r="HR96" s="709"/>
      <c r="HS96" s="709"/>
      <c r="HT96" s="709"/>
      <c r="HU96" s="709"/>
      <c r="HV96" s="709"/>
      <c r="HW96" s="709"/>
      <c r="HX96" s="709"/>
      <c r="HY96" s="709"/>
      <c r="HZ96" s="709"/>
      <c r="IA96" s="709"/>
      <c r="IB96" s="709"/>
      <c r="IC96" s="709"/>
      <c r="ID96" s="709"/>
      <c r="IE96" s="709"/>
      <c r="IF96" s="709"/>
      <c r="IG96" s="709"/>
      <c r="IH96" s="709"/>
      <c r="II96" s="709"/>
      <c r="IJ96" s="709"/>
      <c r="IK96" s="709"/>
      <c r="IL96" s="709"/>
      <c r="IM96" s="709"/>
      <c r="IN96" s="709"/>
      <c r="IO96" s="709"/>
      <c r="IP96" s="709"/>
      <c r="IQ96" s="709"/>
      <c r="IR96" s="709"/>
      <c r="IS96" s="709"/>
      <c r="IT96" s="709"/>
      <c r="IU96" s="709"/>
      <c r="IV96" s="709"/>
    </row>
    <row r="97" spans="1:256" ht="12.75" hidden="1" customHeight="1">
      <c r="A97" s="706" t="s">
        <v>344</v>
      </c>
      <c r="B97" s="706">
        <f>295824+5994.6</f>
        <v>301818.59999999998</v>
      </c>
      <c r="C97" s="706">
        <v>173148.4</v>
      </c>
      <c r="D97" s="689"/>
      <c r="E97" s="706">
        <f t="shared" si="9"/>
        <v>128670.19999999998</v>
      </c>
      <c r="F97" s="706">
        <v>-81793</v>
      </c>
      <c r="G97" s="706">
        <v>-46878.400000000001</v>
      </c>
      <c r="H97" s="706">
        <f t="shared" si="10"/>
        <v>-128671.4</v>
      </c>
      <c r="I97" s="693"/>
      <c r="J97" s="688">
        <v>1.2</v>
      </c>
      <c r="K97" s="706">
        <f t="shared" si="11"/>
        <v>-128670.2</v>
      </c>
      <c r="L97" s="691"/>
      <c r="M97" s="709"/>
      <c r="N97" s="709"/>
      <c r="O97" s="709"/>
      <c r="P97" s="709"/>
      <c r="Q97" s="709"/>
      <c r="R97" s="709"/>
      <c r="S97" s="709"/>
      <c r="T97" s="709"/>
      <c r="U97" s="709"/>
      <c r="V97" s="709"/>
      <c r="W97" s="709"/>
      <c r="X97" s="709"/>
      <c r="Y97" s="709"/>
      <c r="Z97" s="709"/>
      <c r="AA97" s="709"/>
      <c r="AB97" s="709"/>
      <c r="AC97" s="709"/>
      <c r="AD97" s="709"/>
      <c r="AE97" s="709"/>
      <c r="AF97" s="709"/>
      <c r="AG97" s="709"/>
      <c r="AH97" s="709"/>
      <c r="AI97" s="709"/>
      <c r="AJ97" s="709"/>
      <c r="AK97" s="709"/>
      <c r="AL97" s="709"/>
      <c r="AM97" s="709"/>
      <c r="AN97" s="709"/>
      <c r="AO97" s="709"/>
      <c r="AP97" s="709"/>
      <c r="AQ97" s="709"/>
      <c r="AR97" s="709"/>
      <c r="AS97" s="709"/>
      <c r="AT97" s="709"/>
      <c r="AU97" s="709"/>
      <c r="AV97" s="709"/>
      <c r="AW97" s="709"/>
      <c r="AX97" s="709"/>
      <c r="AY97" s="709"/>
      <c r="AZ97" s="709"/>
      <c r="BA97" s="709"/>
      <c r="BB97" s="709"/>
      <c r="BC97" s="709"/>
      <c r="BD97" s="709"/>
      <c r="BE97" s="709"/>
      <c r="BF97" s="709"/>
      <c r="BG97" s="709"/>
      <c r="BH97" s="709"/>
      <c r="BI97" s="709"/>
      <c r="BJ97" s="709"/>
      <c r="BK97" s="709"/>
      <c r="BL97" s="709"/>
      <c r="BM97" s="709"/>
      <c r="BN97" s="709"/>
      <c r="BO97" s="709"/>
      <c r="BP97" s="709"/>
      <c r="BQ97" s="709"/>
      <c r="BR97" s="709"/>
      <c r="BS97" s="709"/>
      <c r="BT97" s="709"/>
      <c r="BU97" s="709"/>
      <c r="BV97" s="709"/>
      <c r="BW97" s="709"/>
      <c r="BX97" s="709"/>
      <c r="BY97" s="709"/>
      <c r="BZ97" s="709"/>
      <c r="CA97" s="709"/>
      <c r="CB97" s="709"/>
      <c r="CC97" s="709"/>
      <c r="CD97" s="709"/>
      <c r="CE97" s="709"/>
      <c r="CF97" s="709"/>
      <c r="CG97" s="709"/>
      <c r="CH97" s="709"/>
      <c r="CI97" s="709"/>
      <c r="CJ97" s="709"/>
      <c r="CK97" s="709"/>
      <c r="CL97" s="709"/>
      <c r="CM97" s="709"/>
      <c r="CN97" s="709"/>
      <c r="CO97" s="709"/>
      <c r="CP97" s="709"/>
      <c r="CQ97" s="709"/>
      <c r="CR97" s="709"/>
      <c r="CS97" s="709"/>
      <c r="CT97" s="709"/>
      <c r="CU97" s="709"/>
      <c r="CV97" s="709"/>
      <c r="CW97" s="709"/>
      <c r="CX97" s="709"/>
      <c r="CY97" s="709"/>
      <c r="CZ97" s="709"/>
      <c r="DA97" s="709"/>
      <c r="DB97" s="709"/>
      <c r="DC97" s="709"/>
      <c r="DD97" s="709"/>
      <c r="DE97" s="709"/>
      <c r="DF97" s="709"/>
      <c r="DG97" s="709"/>
      <c r="DH97" s="709"/>
      <c r="DI97" s="709"/>
      <c r="DJ97" s="709"/>
      <c r="DK97" s="709"/>
      <c r="DL97" s="709"/>
      <c r="DM97" s="709"/>
      <c r="DN97" s="709"/>
      <c r="DO97" s="709"/>
      <c r="DP97" s="709"/>
      <c r="DQ97" s="709"/>
      <c r="DR97" s="709"/>
      <c r="DS97" s="709"/>
      <c r="DT97" s="709"/>
      <c r="DU97" s="709"/>
      <c r="DV97" s="709"/>
      <c r="DW97" s="709"/>
      <c r="DX97" s="709"/>
      <c r="DY97" s="709"/>
      <c r="DZ97" s="709"/>
      <c r="EA97" s="709"/>
      <c r="EB97" s="709"/>
      <c r="EC97" s="709"/>
      <c r="ED97" s="709"/>
      <c r="EE97" s="709"/>
      <c r="EF97" s="709"/>
      <c r="EG97" s="709"/>
      <c r="EH97" s="709"/>
      <c r="EI97" s="709"/>
      <c r="EJ97" s="709"/>
      <c r="EK97" s="709"/>
      <c r="EL97" s="709"/>
      <c r="EM97" s="709"/>
      <c r="EN97" s="709"/>
      <c r="EO97" s="709"/>
      <c r="EP97" s="709"/>
      <c r="EQ97" s="709"/>
      <c r="ER97" s="709"/>
      <c r="ES97" s="709"/>
      <c r="ET97" s="709"/>
      <c r="EU97" s="709"/>
      <c r="EV97" s="709"/>
      <c r="EW97" s="709"/>
      <c r="EX97" s="709"/>
      <c r="EY97" s="709"/>
      <c r="EZ97" s="709"/>
      <c r="FA97" s="709"/>
      <c r="FB97" s="709"/>
      <c r="FC97" s="709"/>
      <c r="FD97" s="709"/>
      <c r="FE97" s="709"/>
      <c r="FF97" s="709"/>
      <c r="FG97" s="709"/>
      <c r="FH97" s="709"/>
      <c r="FI97" s="709"/>
      <c r="FJ97" s="709"/>
      <c r="FK97" s="709"/>
      <c r="FL97" s="709"/>
      <c r="FM97" s="709"/>
      <c r="FN97" s="709"/>
      <c r="FO97" s="709"/>
      <c r="FP97" s="709"/>
      <c r="FQ97" s="709"/>
      <c r="FR97" s="709"/>
      <c r="FS97" s="709"/>
      <c r="FT97" s="709"/>
      <c r="FU97" s="709"/>
      <c r="FV97" s="709"/>
      <c r="FW97" s="709"/>
      <c r="FX97" s="709"/>
      <c r="FY97" s="709"/>
      <c r="FZ97" s="709"/>
      <c r="GA97" s="709"/>
      <c r="GB97" s="709"/>
      <c r="GC97" s="709"/>
      <c r="GD97" s="709"/>
      <c r="GE97" s="709"/>
      <c r="GF97" s="709"/>
      <c r="GG97" s="709"/>
      <c r="GH97" s="709"/>
      <c r="GI97" s="709"/>
      <c r="GJ97" s="709"/>
      <c r="GK97" s="709"/>
      <c r="GL97" s="709"/>
      <c r="GM97" s="709"/>
      <c r="GN97" s="709"/>
      <c r="GO97" s="709"/>
      <c r="GP97" s="709"/>
      <c r="GQ97" s="709"/>
      <c r="GR97" s="709"/>
      <c r="GS97" s="709"/>
      <c r="GT97" s="709"/>
      <c r="GU97" s="709"/>
      <c r="GV97" s="709"/>
      <c r="GW97" s="709"/>
      <c r="GX97" s="709"/>
      <c r="GY97" s="709"/>
      <c r="GZ97" s="709"/>
      <c r="HA97" s="709"/>
      <c r="HB97" s="709"/>
      <c r="HC97" s="709"/>
      <c r="HD97" s="709"/>
      <c r="HE97" s="709"/>
      <c r="HF97" s="709"/>
      <c r="HG97" s="709"/>
      <c r="HH97" s="709"/>
      <c r="HI97" s="709"/>
      <c r="HJ97" s="709"/>
      <c r="HK97" s="709"/>
      <c r="HL97" s="709"/>
      <c r="HM97" s="709"/>
      <c r="HN97" s="709"/>
      <c r="HO97" s="709"/>
      <c r="HP97" s="709"/>
      <c r="HQ97" s="709"/>
      <c r="HR97" s="709"/>
      <c r="HS97" s="709"/>
      <c r="HT97" s="709"/>
      <c r="HU97" s="709"/>
      <c r="HV97" s="709"/>
      <c r="HW97" s="709"/>
      <c r="HX97" s="709"/>
      <c r="HY97" s="709"/>
      <c r="HZ97" s="709"/>
      <c r="IA97" s="709"/>
      <c r="IB97" s="709"/>
      <c r="IC97" s="709"/>
      <c r="ID97" s="709"/>
      <c r="IE97" s="709"/>
      <c r="IF97" s="709"/>
      <c r="IG97" s="709"/>
      <c r="IH97" s="709"/>
      <c r="II97" s="709"/>
      <c r="IJ97" s="709"/>
      <c r="IK97" s="709"/>
      <c r="IL97" s="709"/>
      <c r="IM97" s="709"/>
      <c r="IN97" s="709"/>
      <c r="IO97" s="709"/>
      <c r="IP97" s="709"/>
      <c r="IQ97" s="709"/>
      <c r="IR97" s="709"/>
      <c r="IS97" s="709"/>
      <c r="IT97" s="709"/>
      <c r="IU97" s="709"/>
      <c r="IV97" s="709"/>
    </row>
    <row r="98" spans="1:256" ht="12.75" hidden="1" customHeight="1">
      <c r="A98" s="706"/>
      <c r="B98" s="706"/>
      <c r="C98" s="706"/>
      <c r="D98" s="689"/>
      <c r="E98" s="706"/>
      <c r="F98" s="706"/>
      <c r="G98" s="706"/>
      <c r="H98" s="706"/>
      <c r="I98" s="693"/>
      <c r="J98" s="688"/>
      <c r="K98" s="706"/>
      <c r="L98" s="691"/>
      <c r="M98" s="709"/>
      <c r="N98" s="709"/>
      <c r="O98" s="709"/>
      <c r="P98" s="709"/>
      <c r="Q98" s="709"/>
      <c r="R98" s="709"/>
      <c r="S98" s="709"/>
      <c r="T98" s="709"/>
      <c r="U98" s="709"/>
      <c r="V98" s="709"/>
      <c r="W98" s="709"/>
      <c r="X98" s="709"/>
      <c r="Y98" s="709"/>
      <c r="Z98" s="709"/>
      <c r="AA98" s="709"/>
      <c r="AB98" s="709"/>
      <c r="AC98" s="709"/>
      <c r="AD98" s="709"/>
      <c r="AE98" s="709"/>
      <c r="AF98" s="709"/>
      <c r="AG98" s="709"/>
      <c r="AH98" s="709"/>
      <c r="AI98" s="709"/>
      <c r="AJ98" s="709"/>
      <c r="AK98" s="709"/>
      <c r="AL98" s="709"/>
      <c r="AM98" s="709"/>
      <c r="AN98" s="709"/>
      <c r="AO98" s="709"/>
      <c r="AP98" s="709"/>
      <c r="AQ98" s="709"/>
      <c r="AR98" s="709"/>
      <c r="AS98" s="709"/>
      <c r="AT98" s="709"/>
      <c r="AU98" s="709"/>
      <c r="AV98" s="709"/>
      <c r="AW98" s="709"/>
      <c r="AX98" s="709"/>
      <c r="AY98" s="709"/>
      <c r="AZ98" s="709"/>
      <c r="BA98" s="709"/>
      <c r="BB98" s="709"/>
      <c r="BC98" s="709"/>
      <c r="BD98" s="709"/>
      <c r="BE98" s="709"/>
      <c r="BF98" s="709"/>
      <c r="BG98" s="709"/>
      <c r="BH98" s="709"/>
      <c r="BI98" s="709"/>
      <c r="BJ98" s="709"/>
      <c r="BK98" s="709"/>
      <c r="BL98" s="709"/>
      <c r="BM98" s="709"/>
      <c r="BN98" s="709"/>
      <c r="BO98" s="709"/>
      <c r="BP98" s="709"/>
      <c r="BQ98" s="709"/>
      <c r="BR98" s="709"/>
      <c r="BS98" s="709"/>
      <c r="BT98" s="709"/>
      <c r="BU98" s="709"/>
      <c r="BV98" s="709"/>
      <c r="BW98" s="709"/>
      <c r="BX98" s="709"/>
      <c r="BY98" s="709"/>
      <c r="BZ98" s="709"/>
      <c r="CA98" s="709"/>
      <c r="CB98" s="709"/>
      <c r="CC98" s="709"/>
      <c r="CD98" s="709"/>
      <c r="CE98" s="709"/>
      <c r="CF98" s="709"/>
      <c r="CG98" s="709"/>
      <c r="CH98" s="709"/>
      <c r="CI98" s="709"/>
      <c r="CJ98" s="709"/>
      <c r="CK98" s="709"/>
      <c r="CL98" s="709"/>
      <c r="CM98" s="709"/>
      <c r="CN98" s="709"/>
      <c r="CO98" s="709"/>
      <c r="CP98" s="709"/>
      <c r="CQ98" s="709"/>
      <c r="CR98" s="709"/>
      <c r="CS98" s="709"/>
      <c r="CT98" s="709"/>
      <c r="CU98" s="709"/>
      <c r="CV98" s="709"/>
      <c r="CW98" s="709"/>
      <c r="CX98" s="709"/>
      <c r="CY98" s="709"/>
      <c r="CZ98" s="709"/>
      <c r="DA98" s="709"/>
      <c r="DB98" s="709"/>
      <c r="DC98" s="709"/>
      <c r="DD98" s="709"/>
      <c r="DE98" s="709"/>
      <c r="DF98" s="709"/>
      <c r="DG98" s="709"/>
      <c r="DH98" s="709"/>
      <c r="DI98" s="709"/>
      <c r="DJ98" s="709"/>
      <c r="DK98" s="709"/>
      <c r="DL98" s="709"/>
      <c r="DM98" s="709"/>
      <c r="DN98" s="709"/>
      <c r="DO98" s="709"/>
      <c r="DP98" s="709"/>
      <c r="DQ98" s="709"/>
      <c r="DR98" s="709"/>
      <c r="DS98" s="709"/>
      <c r="DT98" s="709"/>
      <c r="DU98" s="709"/>
      <c r="DV98" s="709"/>
      <c r="DW98" s="709"/>
      <c r="DX98" s="709"/>
      <c r="DY98" s="709"/>
      <c r="DZ98" s="709"/>
      <c r="EA98" s="709"/>
      <c r="EB98" s="709"/>
      <c r="EC98" s="709"/>
      <c r="ED98" s="709"/>
      <c r="EE98" s="709"/>
      <c r="EF98" s="709"/>
      <c r="EG98" s="709"/>
      <c r="EH98" s="709"/>
      <c r="EI98" s="709"/>
      <c r="EJ98" s="709"/>
      <c r="EK98" s="709"/>
      <c r="EL98" s="709"/>
      <c r="EM98" s="709"/>
      <c r="EN98" s="709"/>
      <c r="EO98" s="709"/>
      <c r="EP98" s="709"/>
      <c r="EQ98" s="709"/>
      <c r="ER98" s="709"/>
      <c r="ES98" s="709"/>
      <c r="ET98" s="709"/>
      <c r="EU98" s="709"/>
      <c r="EV98" s="709"/>
      <c r="EW98" s="709"/>
      <c r="EX98" s="709"/>
      <c r="EY98" s="709"/>
      <c r="EZ98" s="709"/>
      <c r="FA98" s="709"/>
      <c r="FB98" s="709"/>
      <c r="FC98" s="709"/>
      <c r="FD98" s="709"/>
      <c r="FE98" s="709"/>
      <c r="FF98" s="709"/>
      <c r="FG98" s="709"/>
      <c r="FH98" s="709"/>
      <c r="FI98" s="709"/>
      <c r="FJ98" s="709"/>
      <c r="FK98" s="709"/>
      <c r="FL98" s="709"/>
      <c r="FM98" s="709"/>
      <c r="FN98" s="709"/>
      <c r="FO98" s="709"/>
      <c r="FP98" s="709"/>
      <c r="FQ98" s="709"/>
      <c r="FR98" s="709"/>
      <c r="FS98" s="709"/>
      <c r="FT98" s="709"/>
      <c r="FU98" s="709"/>
      <c r="FV98" s="709"/>
      <c r="FW98" s="709"/>
      <c r="FX98" s="709"/>
      <c r="FY98" s="709"/>
      <c r="FZ98" s="709"/>
      <c r="GA98" s="709"/>
      <c r="GB98" s="709"/>
      <c r="GC98" s="709"/>
      <c r="GD98" s="709"/>
      <c r="GE98" s="709"/>
      <c r="GF98" s="709"/>
      <c r="GG98" s="709"/>
      <c r="GH98" s="709"/>
      <c r="GI98" s="709"/>
      <c r="GJ98" s="709"/>
      <c r="GK98" s="709"/>
      <c r="GL98" s="709"/>
      <c r="GM98" s="709"/>
      <c r="GN98" s="709"/>
      <c r="GO98" s="709"/>
      <c r="GP98" s="709"/>
      <c r="GQ98" s="709"/>
      <c r="GR98" s="709"/>
      <c r="GS98" s="709"/>
      <c r="GT98" s="709"/>
      <c r="GU98" s="709"/>
      <c r="GV98" s="709"/>
      <c r="GW98" s="709"/>
      <c r="GX98" s="709"/>
      <c r="GY98" s="709"/>
      <c r="GZ98" s="709"/>
      <c r="HA98" s="709"/>
      <c r="HB98" s="709"/>
      <c r="HC98" s="709"/>
      <c r="HD98" s="709"/>
      <c r="HE98" s="709"/>
      <c r="HF98" s="709"/>
      <c r="HG98" s="709"/>
      <c r="HH98" s="709"/>
      <c r="HI98" s="709"/>
      <c r="HJ98" s="709"/>
      <c r="HK98" s="709"/>
      <c r="HL98" s="709"/>
      <c r="HM98" s="709"/>
      <c r="HN98" s="709"/>
      <c r="HO98" s="709"/>
      <c r="HP98" s="709"/>
      <c r="HQ98" s="709"/>
      <c r="HR98" s="709"/>
      <c r="HS98" s="709"/>
      <c r="HT98" s="709"/>
      <c r="HU98" s="709"/>
      <c r="HV98" s="709"/>
      <c r="HW98" s="709"/>
      <c r="HX98" s="709"/>
      <c r="HY98" s="709"/>
      <c r="HZ98" s="709"/>
      <c r="IA98" s="709"/>
      <c r="IB98" s="709"/>
      <c r="IC98" s="709"/>
      <c r="ID98" s="709"/>
      <c r="IE98" s="709"/>
      <c r="IF98" s="709"/>
      <c r="IG98" s="709"/>
      <c r="IH98" s="709"/>
      <c r="II98" s="709"/>
      <c r="IJ98" s="709"/>
      <c r="IK98" s="709"/>
      <c r="IL98" s="709"/>
      <c r="IM98" s="709"/>
      <c r="IN98" s="709"/>
      <c r="IO98" s="709"/>
      <c r="IP98" s="709"/>
      <c r="IQ98" s="709"/>
      <c r="IR98" s="709"/>
      <c r="IS98" s="709"/>
      <c r="IT98" s="709"/>
      <c r="IU98" s="709"/>
      <c r="IV98" s="709"/>
    </row>
    <row r="99" spans="1:256" ht="12.75" hidden="1" customHeight="1">
      <c r="A99" s="708">
        <v>2004</v>
      </c>
      <c r="B99" s="706"/>
      <c r="C99" s="706"/>
      <c r="D99" s="689"/>
      <c r="E99" s="706"/>
      <c r="F99" s="706"/>
      <c r="G99" s="706"/>
      <c r="H99" s="706"/>
      <c r="I99" s="693"/>
      <c r="J99" s="688"/>
      <c r="K99" s="706"/>
      <c r="L99" s="691"/>
      <c r="M99" s="709"/>
      <c r="N99" s="709"/>
      <c r="O99" s="709"/>
      <c r="P99" s="709"/>
      <c r="Q99" s="709"/>
      <c r="R99" s="709"/>
      <c r="S99" s="709"/>
      <c r="T99" s="709"/>
      <c r="U99" s="709"/>
      <c r="V99" s="709"/>
      <c r="W99" s="709"/>
      <c r="X99" s="709"/>
      <c r="Y99" s="709"/>
      <c r="Z99" s="709"/>
      <c r="AA99" s="709"/>
      <c r="AB99" s="709"/>
      <c r="AC99" s="709"/>
      <c r="AD99" s="709"/>
      <c r="AE99" s="709"/>
      <c r="AF99" s="709"/>
      <c r="AG99" s="709"/>
      <c r="AH99" s="709"/>
      <c r="AI99" s="709"/>
      <c r="AJ99" s="709"/>
      <c r="AK99" s="709"/>
      <c r="AL99" s="709"/>
      <c r="AM99" s="709"/>
      <c r="AN99" s="709"/>
      <c r="AO99" s="709"/>
      <c r="AP99" s="709"/>
      <c r="AQ99" s="709"/>
      <c r="AR99" s="709"/>
      <c r="AS99" s="709"/>
      <c r="AT99" s="709"/>
      <c r="AU99" s="709"/>
      <c r="AV99" s="709"/>
      <c r="AW99" s="709"/>
      <c r="AX99" s="709"/>
      <c r="AY99" s="709"/>
      <c r="AZ99" s="709"/>
      <c r="BA99" s="709"/>
      <c r="BB99" s="709"/>
      <c r="BC99" s="709"/>
      <c r="BD99" s="709"/>
      <c r="BE99" s="709"/>
      <c r="BF99" s="709"/>
      <c r="BG99" s="709"/>
      <c r="BH99" s="709"/>
      <c r="BI99" s="709"/>
      <c r="BJ99" s="709"/>
      <c r="BK99" s="709"/>
      <c r="BL99" s="709"/>
      <c r="BM99" s="709"/>
      <c r="BN99" s="709"/>
      <c r="BO99" s="709"/>
      <c r="BP99" s="709"/>
      <c r="BQ99" s="709"/>
      <c r="BR99" s="709"/>
      <c r="BS99" s="709"/>
      <c r="BT99" s="709"/>
      <c r="BU99" s="709"/>
      <c r="BV99" s="709"/>
      <c r="BW99" s="709"/>
      <c r="BX99" s="709"/>
      <c r="BY99" s="709"/>
      <c r="BZ99" s="709"/>
      <c r="CA99" s="709"/>
      <c r="CB99" s="709"/>
      <c r="CC99" s="709"/>
      <c r="CD99" s="709"/>
      <c r="CE99" s="709"/>
      <c r="CF99" s="709"/>
      <c r="CG99" s="709"/>
      <c r="CH99" s="709"/>
      <c r="CI99" s="709"/>
      <c r="CJ99" s="709"/>
      <c r="CK99" s="709"/>
      <c r="CL99" s="709"/>
      <c r="CM99" s="709"/>
      <c r="CN99" s="709"/>
      <c r="CO99" s="709"/>
      <c r="CP99" s="709"/>
      <c r="CQ99" s="709"/>
      <c r="CR99" s="709"/>
      <c r="CS99" s="709"/>
      <c r="CT99" s="709"/>
      <c r="CU99" s="709"/>
      <c r="CV99" s="709"/>
      <c r="CW99" s="709"/>
      <c r="CX99" s="709"/>
      <c r="CY99" s="709"/>
      <c r="CZ99" s="709"/>
      <c r="DA99" s="709"/>
      <c r="DB99" s="709"/>
      <c r="DC99" s="709"/>
      <c r="DD99" s="709"/>
      <c r="DE99" s="709"/>
      <c r="DF99" s="709"/>
      <c r="DG99" s="709"/>
      <c r="DH99" s="709"/>
      <c r="DI99" s="709"/>
      <c r="DJ99" s="709"/>
      <c r="DK99" s="709"/>
      <c r="DL99" s="709"/>
      <c r="DM99" s="709"/>
      <c r="DN99" s="709"/>
      <c r="DO99" s="709"/>
      <c r="DP99" s="709"/>
      <c r="DQ99" s="709"/>
      <c r="DR99" s="709"/>
      <c r="DS99" s="709"/>
      <c r="DT99" s="709"/>
      <c r="DU99" s="709"/>
      <c r="DV99" s="709"/>
      <c r="DW99" s="709"/>
      <c r="DX99" s="709"/>
      <c r="DY99" s="709"/>
      <c r="DZ99" s="709"/>
      <c r="EA99" s="709"/>
      <c r="EB99" s="709"/>
      <c r="EC99" s="709"/>
      <c r="ED99" s="709"/>
      <c r="EE99" s="709"/>
      <c r="EF99" s="709"/>
      <c r="EG99" s="709"/>
      <c r="EH99" s="709"/>
      <c r="EI99" s="709"/>
      <c r="EJ99" s="709"/>
      <c r="EK99" s="709"/>
      <c r="EL99" s="709"/>
      <c r="EM99" s="709"/>
      <c r="EN99" s="709"/>
      <c r="EO99" s="709"/>
      <c r="EP99" s="709"/>
      <c r="EQ99" s="709"/>
      <c r="ER99" s="709"/>
      <c r="ES99" s="709"/>
      <c r="ET99" s="709"/>
      <c r="EU99" s="709"/>
      <c r="EV99" s="709"/>
      <c r="EW99" s="709"/>
      <c r="EX99" s="709"/>
      <c r="EY99" s="709"/>
      <c r="EZ99" s="709"/>
      <c r="FA99" s="709"/>
      <c r="FB99" s="709"/>
      <c r="FC99" s="709"/>
      <c r="FD99" s="709"/>
      <c r="FE99" s="709"/>
      <c r="FF99" s="709"/>
      <c r="FG99" s="709"/>
      <c r="FH99" s="709"/>
      <c r="FI99" s="709"/>
      <c r="FJ99" s="709"/>
      <c r="FK99" s="709"/>
      <c r="FL99" s="709"/>
      <c r="FM99" s="709"/>
      <c r="FN99" s="709"/>
      <c r="FO99" s="709"/>
      <c r="FP99" s="709"/>
      <c r="FQ99" s="709"/>
      <c r="FR99" s="709"/>
      <c r="FS99" s="709"/>
      <c r="FT99" s="709"/>
      <c r="FU99" s="709"/>
      <c r="FV99" s="709"/>
      <c r="FW99" s="709"/>
      <c r="FX99" s="709"/>
      <c r="FY99" s="709"/>
      <c r="FZ99" s="709"/>
      <c r="GA99" s="709"/>
      <c r="GB99" s="709"/>
      <c r="GC99" s="709"/>
      <c r="GD99" s="709"/>
      <c r="GE99" s="709"/>
      <c r="GF99" s="709"/>
      <c r="GG99" s="709"/>
      <c r="GH99" s="709"/>
      <c r="GI99" s="709"/>
      <c r="GJ99" s="709"/>
      <c r="GK99" s="709"/>
      <c r="GL99" s="709"/>
      <c r="GM99" s="709"/>
      <c r="GN99" s="709"/>
      <c r="GO99" s="709"/>
      <c r="GP99" s="709"/>
      <c r="GQ99" s="709"/>
      <c r="GR99" s="709"/>
      <c r="GS99" s="709"/>
      <c r="GT99" s="709"/>
      <c r="GU99" s="709"/>
      <c r="GV99" s="709"/>
      <c r="GW99" s="709"/>
      <c r="GX99" s="709"/>
      <c r="GY99" s="709"/>
      <c r="GZ99" s="709"/>
      <c r="HA99" s="709"/>
      <c r="HB99" s="709"/>
      <c r="HC99" s="709"/>
      <c r="HD99" s="709"/>
      <c r="HE99" s="709"/>
      <c r="HF99" s="709"/>
      <c r="HG99" s="709"/>
      <c r="HH99" s="709"/>
      <c r="HI99" s="709"/>
      <c r="HJ99" s="709"/>
      <c r="HK99" s="709"/>
      <c r="HL99" s="709"/>
      <c r="HM99" s="709"/>
      <c r="HN99" s="709"/>
      <c r="HO99" s="709"/>
      <c r="HP99" s="709"/>
      <c r="HQ99" s="709"/>
      <c r="HR99" s="709"/>
      <c r="HS99" s="709"/>
      <c r="HT99" s="709"/>
      <c r="HU99" s="709"/>
      <c r="HV99" s="709"/>
      <c r="HW99" s="709"/>
      <c r="HX99" s="709"/>
      <c r="HY99" s="709"/>
      <c r="HZ99" s="709"/>
      <c r="IA99" s="709"/>
      <c r="IB99" s="709"/>
      <c r="IC99" s="709"/>
      <c r="ID99" s="709"/>
      <c r="IE99" s="709"/>
      <c r="IF99" s="709"/>
      <c r="IG99" s="709"/>
      <c r="IH99" s="709"/>
      <c r="II99" s="709"/>
      <c r="IJ99" s="709"/>
      <c r="IK99" s="709"/>
      <c r="IL99" s="709"/>
      <c r="IM99" s="709"/>
      <c r="IN99" s="709"/>
      <c r="IO99" s="709"/>
      <c r="IP99" s="709"/>
      <c r="IQ99" s="709"/>
      <c r="IR99" s="709"/>
      <c r="IS99" s="709"/>
      <c r="IT99" s="709"/>
      <c r="IU99" s="709"/>
      <c r="IV99" s="709"/>
    </row>
    <row r="100" spans="1:256" ht="12.75" hidden="1" customHeight="1">
      <c r="A100" s="708"/>
      <c r="B100" s="706"/>
      <c r="C100" s="706"/>
      <c r="D100" s="689"/>
      <c r="E100" s="706"/>
      <c r="F100" s="706"/>
      <c r="G100" s="706"/>
      <c r="H100" s="706"/>
      <c r="I100" s="693"/>
      <c r="J100" s="688"/>
      <c r="K100" s="706"/>
      <c r="L100" s="691"/>
      <c r="M100" s="709"/>
      <c r="N100" s="709"/>
      <c r="O100" s="709"/>
      <c r="P100" s="709"/>
      <c r="Q100" s="709"/>
      <c r="R100" s="709"/>
      <c r="S100" s="709"/>
      <c r="T100" s="709"/>
      <c r="U100" s="709"/>
      <c r="V100" s="709"/>
      <c r="W100" s="709"/>
      <c r="X100" s="709"/>
      <c r="Y100" s="709"/>
      <c r="Z100" s="709"/>
      <c r="AA100" s="709"/>
      <c r="AB100" s="709"/>
      <c r="AC100" s="709"/>
      <c r="AD100" s="709"/>
      <c r="AE100" s="709"/>
      <c r="AF100" s="709"/>
      <c r="AG100" s="709"/>
      <c r="AH100" s="709"/>
      <c r="AI100" s="709"/>
      <c r="AJ100" s="709"/>
      <c r="AK100" s="709"/>
      <c r="AL100" s="709"/>
      <c r="AM100" s="709"/>
      <c r="AN100" s="709"/>
      <c r="AO100" s="709"/>
      <c r="AP100" s="709"/>
      <c r="AQ100" s="709"/>
      <c r="AR100" s="709"/>
      <c r="AS100" s="709"/>
      <c r="AT100" s="709"/>
      <c r="AU100" s="709"/>
      <c r="AV100" s="709"/>
      <c r="AW100" s="709"/>
      <c r="AX100" s="709"/>
      <c r="AY100" s="709"/>
      <c r="AZ100" s="709"/>
      <c r="BA100" s="709"/>
      <c r="BB100" s="709"/>
      <c r="BC100" s="709"/>
      <c r="BD100" s="709"/>
      <c r="BE100" s="709"/>
      <c r="BF100" s="709"/>
      <c r="BG100" s="709"/>
      <c r="BH100" s="709"/>
      <c r="BI100" s="709"/>
      <c r="BJ100" s="709"/>
      <c r="BK100" s="709"/>
      <c r="BL100" s="709"/>
      <c r="BM100" s="709"/>
      <c r="BN100" s="709"/>
      <c r="BO100" s="709"/>
      <c r="BP100" s="709"/>
      <c r="BQ100" s="709"/>
      <c r="BR100" s="709"/>
      <c r="BS100" s="709"/>
      <c r="BT100" s="709"/>
      <c r="BU100" s="709"/>
      <c r="BV100" s="709"/>
      <c r="BW100" s="709"/>
      <c r="BX100" s="709"/>
      <c r="BY100" s="709"/>
      <c r="BZ100" s="709"/>
      <c r="CA100" s="709"/>
      <c r="CB100" s="709"/>
      <c r="CC100" s="709"/>
      <c r="CD100" s="709"/>
      <c r="CE100" s="709"/>
      <c r="CF100" s="709"/>
      <c r="CG100" s="709"/>
      <c r="CH100" s="709"/>
      <c r="CI100" s="709"/>
      <c r="CJ100" s="709"/>
      <c r="CK100" s="709"/>
      <c r="CL100" s="709"/>
      <c r="CM100" s="709"/>
      <c r="CN100" s="709"/>
      <c r="CO100" s="709"/>
      <c r="CP100" s="709"/>
      <c r="CQ100" s="709"/>
      <c r="CR100" s="709"/>
      <c r="CS100" s="709"/>
      <c r="CT100" s="709"/>
      <c r="CU100" s="709"/>
      <c r="CV100" s="709"/>
      <c r="CW100" s="709"/>
      <c r="CX100" s="709"/>
      <c r="CY100" s="709"/>
      <c r="CZ100" s="709"/>
      <c r="DA100" s="709"/>
      <c r="DB100" s="709"/>
      <c r="DC100" s="709"/>
      <c r="DD100" s="709"/>
      <c r="DE100" s="709"/>
      <c r="DF100" s="709"/>
      <c r="DG100" s="709"/>
      <c r="DH100" s="709"/>
      <c r="DI100" s="709"/>
      <c r="DJ100" s="709"/>
      <c r="DK100" s="709"/>
      <c r="DL100" s="709"/>
      <c r="DM100" s="709"/>
      <c r="DN100" s="709"/>
      <c r="DO100" s="709"/>
      <c r="DP100" s="709"/>
      <c r="DQ100" s="709"/>
      <c r="DR100" s="709"/>
      <c r="DS100" s="709"/>
      <c r="DT100" s="709"/>
      <c r="DU100" s="709"/>
      <c r="DV100" s="709"/>
      <c r="DW100" s="709"/>
      <c r="DX100" s="709"/>
      <c r="DY100" s="709"/>
      <c r="DZ100" s="709"/>
      <c r="EA100" s="709"/>
      <c r="EB100" s="709"/>
      <c r="EC100" s="709"/>
      <c r="ED100" s="709"/>
      <c r="EE100" s="709"/>
      <c r="EF100" s="709"/>
      <c r="EG100" s="709"/>
      <c r="EH100" s="709"/>
      <c r="EI100" s="709"/>
      <c r="EJ100" s="709"/>
      <c r="EK100" s="709"/>
      <c r="EL100" s="709"/>
      <c r="EM100" s="709"/>
      <c r="EN100" s="709"/>
      <c r="EO100" s="709"/>
      <c r="EP100" s="709"/>
      <c r="EQ100" s="709"/>
      <c r="ER100" s="709"/>
      <c r="ES100" s="709"/>
      <c r="ET100" s="709"/>
      <c r="EU100" s="709"/>
      <c r="EV100" s="709"/>
      <c r="EW100" s="709"/>
      <c r="EX100" s="709"/>
      <c r="EY100" s="709"/>
      <c r="EZ100" s="709"/>
      <c r="FA100" s="709"/>
      <c r="FB100" s="709"/>
      <c r="FC100" s="709"/>
      <c r="FD100" s="709"/>
      <c r="FE100" s="709"/>
      <c r="FF100" s="709"/>
      <c r="FG100" s="709"/>
      <c r="FH100" s="709"/>
      <c r="FI100" s="709"/>
      <c r="FJ100" s="709"/>
      <c r="FK100" s="709"/>
      <c r="FL100" s="709"/>
      <c r="FM100" s="709"/>
      <c r="FN100" s="709"/>
      <c r="FO100" s="709"/>
      <c r="FP100" s="709"/>
      <c r="FQ100" s="709"/>
      <c r="FR100" s="709"/>
      <c r="FS100" s="709"/>
      <c r="FT100" s="709"/>
      <c r="FU100" s="709"/>
      <c r="FV100" s="709"/>
      <c r="FW100" s="709"/>
      <c r="FX100" s="709"/>
      <c r="FY100" s="709"/>
      <c r="FZ100" s="709"/>
      <c r="GA100" s="709"/>
      <c r="GB100" s="709"/>
      <c r="GC100" s="709"/>
      <c r="GD100" s="709"/>
      <c r="GE100" s="709"/>
      <c r="GF100" s="709"/>
      <c r="GG100" s="709"/>
      <c r="GH100" s="709"/>
      <c r="GI100" s="709"/>
      <c r="GJ100" s="709"/>
      <c r="GK100" s="709"/>
      <c r="GL100" s="709"/>
      <c r="GM100" s="709"/>
      <c r="GN100" s="709"/>
      <c r="GO100" s="709"/>
      <c r="GP100" s="709"/>
      <c r="GQ100" s="709"/>
      <c r="GR100" s="709"/>
      <c r="GS100" s="709"/>
      <c r="GT100" s="709"/>
      <c r="GU100" s="709"/>
      <c r="GV100" s="709"/>
      <c r="GW100" s="709"/>
      <c r="GX100" s="709"/>
      <c r="GY100" s="709"/>
      <c r="GZ100" s="709"/>
      <c r="HA100" s="709"/>
      <c r="HB100" s="709"/>
      <c r="HC100" s="709"/>
      <c r="HD100" s="709"/>
      <c r="HE100" s="709"/>
      <c r="HF100" s="709"/>
      <c r="HG100" s="709"/>
      <c r="HH100" s="709"/>
      <c r="HI100" s="709"/>
      <c r="HJ100" s="709"/>
      <c r="HK100" s="709"/>
      <c r="HL100" s="709"/>
      <c r="HM100" s="709"/>
      <c r="HN100" s="709"/>
      <c r="HO100" s="709"/>
      <c r="HP100" s="709"/>
      <c r="HQ100" s="709"/>
      <c r="HR100" s="709"/>
      <c r="HS100" s="709"/>
      <c r="HT100" s="709"/>
      <c r="HU100" s="709"/>
      <c r="HV100" s="709"/>
      <c r="HW100" s="709"/>
      <c r="HX100" s="709"/>
      <c r="HY100" s="709"/>
      <c r="HZ100" s="709"/>
      <c r="IA100" s="709"/>
      <c r="IB100" s="709"/>
      <c r="IC100" s="709"/>
      <c r="ID100" s="709"/>
      <c r="IE100" s="709"/>
      <c r="IF100" s="709"/>
      <c r="IG100" s="709"/>
      <c r="IH100" s="709"/>
      <c r="II100" s="709"/>
      <c r="IJ100" s="709"/>
      <c r="IK100" s="709"/>
      <c r="IL100" s="709"/>
      <c r="IM100" s="709"/>
      <c r="IN100" s="709"/>
      <c r="IO100" s="709"/>
      <c r="IP100" s="709"/>
      <c r="IQ100" s="709"/>
      <c r="IR100" s="709"/>
      <c r="IS100" s="709"/>
      <c r="IT100" s="709"/>
      <c r="IU100" s="709"/>
      <c r="IV100" s="709"/>
    </row>
    <row r="101" spans="1:256" ht="12.75" hidden="1" customHeight="1">
      <c r="A101" s="706" t="s">
        <v>345</v>
      </c>
      <c r="B101" s="705">
        <v>281676.09999999998</v>
      </c>
      <c r="C101" s="706">
        <v>626666.30000000005</v>
      </c>
      <c r="D101" s="689"/>
      <c r="E101" s="706">
        <f t="shared" ref="E101:E109" si="12">B101-C101</f>
        <v>-344990.20000000007</v>
      </c>
      <c r="F101" s="706">
        <v>330670.40000000002</v>
      </c>
      <c r="G101" s="706">
        <v>14320.5</v>
      </c>
      <c r="H101" s="706">
        <f t="shared" ref="H101:H112" si="13">G101+F101</f>
        <v>344990.9</v>
      </c>
      <c r="I101" s="693"/>
      <c r="J101" s="688">
        <v>-0.7</v>
      </c>
      <c r="K101" s="706">
        <f t="shared" ref="K101:K109" si="14">J101+H101</f>
        <v>344990.2</v>
      </c>
      <c r="L101" s="691"/>
      <c r="M101" s="709"/>
      <c r="N101" s="709"/>
      <c r="O101" s="709"/>
      <c r="P101" s="709"/>
      <c r="Q101" s="709"/>
      <c r="R101" s="709"/>
      <c r="S101" s="709"/>
      <c r="T101" s="709"/>
      <c r="U101" s="709"/>
      <c r="V101" s="709"/>
      <c r="W101" s="709"/>
      <c r="X101" s="709"/>
      <c r="Y101" s="709"/>
      <c r="Z101" s="709"/>
      <c r="AA101" s="709"/>
      <c r="AB101" s="709"/>
      <c r="AC101" s="709"/>
      <c r="AD101" s="709"/>
      <c r="AE101" s="709"/>
      <c r="AF101" s="709"/>
      <c r="AG101" s="709"/>
      <c r="AH101" s="709"/>
      <c r="AI101" s="709"/>
      <c r="AJ101" s="709"/>
      <c r="AK101" s="709"/>
      <c r="AL101" s="709"/>
      <c r="AM101" s="709"/>
      <c r="AN101" s="709"/>
      <c r="AO101" s="709"/>
      <c r="AP101" s="709"/>
      <c r="AQ101" s="709"/>
      <c r="AR101" s="709"/>
      <c r="AS101" s="709"/>
      <c r="AT101" s="709"/>
      <c r="AU101" s="709"/>
      <c r="AV101" s="709"/>
      <c r="AW101" s="709"/>
      <c r="AX101" s="709"/>
      <c r="AY101" s="709"/>
      <c r="AZ101" s="709"/>
      <c r="BA101" s="709"/>
      <c r="BB101" s="709"/>
      <c r="BC101" s="709"/>
      <c r="BD101" s="709"/>
      <c r="BE101" s="709"/>
      <c r="BF101" s="709"/>
      <c r="BG101" s="709"/>
      <c r="BH101" s="709"/>
      <c r="BI101" s="709"/>
      <c r="BJ101" s="709"/>
      <c r="BK101" s="709"/>
      <c r="BL101" s="709"/>
      <c r="BM101" s="709"/>
      <c r="BN101" s="709"/>
      <c r="BO101" s="709"/>
      <c r="BP101" s="709"/>
      <c r="BQ101" s="709"/>
      <c r="BR101" s="709"/>
      <c r="BS101" s="709"/>
      <c r="BT101" s="709"/>
      <c r="BU101" s="709"/>
      <c r="BV101" s="709"/>
      <c r="BW101" s="709"/>
      <c r="BX101" s="709"/>
      <c r="BY101" s="709"/>
      <c r="BZ101" s="709"/>
      <c r="CA101" s="709"/>
      <c r="CB101" s="709"/>
      <c r="CC101" s="709"/>
      <c r="CD101" s="709"/>
      <c r="CE101" s="709"/>
      <c r="CF101" s="709"/>
      <c r="CG101" s="709"/>
      <c r="CH101" s="709"/>
      <c r="CI101" s="709"/>
      <c r="CJ101" s="709"/>
      <c r="CK101" s="709"/>
      <c r="CL101" s="709"/>
      <c r="CM101" s="709"/>
      <c r="CN101" s="709"/>
      <c r="CO101" s="709"/>
      <c r="CP101" s="709"/>
      <c r="CQ101" s="709"/>
      <c r="CR101" s="709"/>
      <c r="CS101" s="709"/>
      <c r="CT101" s="709"/>
      <c r="CU101" s="709"/>
      <c r="CV101" s="709"/>
      <c r="CW101" s="709"/>
      <c r="CX101" s="709"/>
      <c r="CY101" s="709"/>
      <c r="CZ101" s="709"/>
      <c r="DA101" s="709"/>
      <c r="DB101" s="709"/>
      <c r="DC101" s="709"/>
      <c r="DD101" s="709"/>
      <c r="DE101" s="709"/>
      <c r="DF101" s="709"/>
      <c r="DG101" s="709"/>
      <c r="DH101" s="709"/>
      <c r="DI101" s="709"/>
      <c r="DJ101" s="709"/>
      <c r="DK101" s="709"/>
      <c r="DL101" s="709"/>
      <c r="DM101" s="709"/>
      <c r="DN101" s="709"/>
      <c r="DO101" s="709"/>
      <c r="DP101" s="709"/>
      <c r="DQ101" s="709"/>
      <c r="DR101" s="709"/>
      <c r="DS101" s="709"/>
      <c r="DT101" s="709"/>
      <c r="DU101" s="709"/>
      <c r="DV101" s="709"/>
      <c r="DW101" s="709"/>
      <c r="DX101" s="709"/>
      <c r="DY101" s="709"/>
      <c r="DZ101" s="709"/>
      <c r="EA101" s="709"/>
      <c r="EB101" s="709"/>
      <c r="EC101" s="709"/>
      <c r="ED101" s="709"/>
      <c r="EE101" s="709"/>
      <c r="EF101" s="709"/>
      <c r="EG101" s="709"/>
      <c r="EH101" s="709"/>
      <c r="EI101" s="709"/>
      <c r="EJ101" s="709"/>
      <c r="EK101" s="709"/>
      <c r="EL101" s="709"/>
      <c r="EM101" s="709"/>
      <c r="EN101" s="709"/>
      <c r="EO101" s="709"/>
      <c r="EP101" s="709"/>
      <c r="EQ101" s="709"/>
      <c r="ER101" s="709"/>
      <c r="ES101" s="709"/>
      <c r="ET101" s="709"/>
      <c r="EU101" s="709"/>
      <c r="EV101" s="709"/>
      <c r="EW101" s="709"/>
      <c r="EX101" s="709"/>
      <c r="EY101" s="709"/>
      <c r="EZ101" s="709"/>
      <c r="FA101" s="709"/>
      <c r="FB101" s="709"/>
      <c r="FC101" s="709"/>
      <c r="FD101" s="709"/>
      <c r="FE101" s="709"/>
      <c r="FF101" s="709"/>
      <c r="FG101" s="709"/>
      <c r="FH101" s="709"/>
      <c r="FI101" s="709"/>
      <c r="FJ101" s="709"/>
      <c r="FK101" s="709"/>
      <c r="FL101" s="709"/>
      <c r="FM101" s="709"/>
      <c r="FN101" s="709"/>
      <c r="FO101" s="709"/>
      <c r="FP101" s="709"/>
      <c r="FQ101" s="709"/>
      <c r="FR101" s="709"/>
      <c r="FS101" s="709"/>
      <c r="FT101" s="709"/>
      <c r="FU101" s="709"/>
      <c r="FV101" s="709"/>
      <c r="FW101" s="709"/>
      <c r="FX101" s="709"/>
      <c r="FY101" s="709"/>
      <c r="FZ101" s="709"/>
      <c r="GA101" s="709"/>
      <c r="GB101" s="709"/>
      <c r="GC101" s="709"/>
      <c r="GD101" s="709"/>
      <c r="GE101" s="709"/>
      <c r="GF101" s="709"/>
      <c r="GG101" s="709"/>
      <c r="GH101" s="709"/>
      <c r="GI101" s="709"/>
      <c r="GJ101" s="709"/>
      <c r="GK101" s="709"/>
      <c r="GL101" s="709"/>
      <c r="GM101" s="709"/>
      <c r="GN101" s="709"/>
      <c r="GO101" s="709"/>
      <c r="GP101" s="709"/>
      <c r="GQ101" s="709"/>
      <c r="GR101" s="709"/>
      <c r="GS101" s="709"/>
      <c r="GT101" s="709"/>
      <c r="GU101" s="709"/>
      <c r="GV101" s="709"/>
      <c r="GW101" s="709"/>
      <c r="GX101" s="709"/>
      <c r="GY101" s="709"/>
      <c r="GZ101" s="709"/>
      <c r="HA101" s="709"/>
      <c r="HB101" s="709"/>
      <c r="HC101" s="709"/>
      <c r="HD101" s="709"/>
      <c r="HE101" s="709"/>
      <c r="HF101" s="709"/>
      <c r="HG101" s="709"/>
      <c r="HH101" s="709"/>
      <c r="HI101" s="709"/>
      <c r="HJ101" s="709"/>
      <c r="HK101" s="709"/>
      <c r="HL101" s="709"/>
      <c r="HM101" s="709"/>
      <c r="HN101" s="709"/>
      <c r="HO101" s="709"/>
      <c r="HP101" s="709"/>
      <c r="HQ101" s="709"/>
      <c r="HR101" s="709"/>
      <c r="HS101" s="709"/>
      <c r="HT101" s="709"/>
      <c r="HU101" s="709"/>
      <c r="HV101" s="709"/>
      <c r="HW101" s="709"/>
      <c r="HX101" s="709"/>
      <c r="HY101" s="709"/>
      <c r="HZ101" s="709"/>
      <c r="IA101" s="709"/>
      <c r="IB101" s="709"/>
      <c r="IC101" s="709"/>
      <c r="ID101" s="709"/>
      <c r="IE101" s="709"/>
      <c r="IF101" s="709"/>
      <c r="IG101" s="709"/>
      <c r="IH101" s="709"/>
      <c r="II101" s="709"/>
      <c r="IJ101" s="709"/>
      <c r="IK101" s="709"/>
      <c r="IL101" s="709"/>
      <c r="IM101" s="709"/>
      <c r="IN101" s="709"/>
      <c r="IO101" s="709"/>
      <c r="IP101" s="709"/>
      <c r="IQ101" s="709"/>
      <c r="IR101" s="709"/>
      <c r="IS101" s="709"/>
      <c r="IT101" s="709"/>
      <c r="IU101" s="709"/>
      <c r="IV101" s="709"/>
    </row>
    <row r="102" spans="1:256" ht="12.75" hidden="1" customHeight="1">
      <c r="A102" s="706" t="s">
        <v>334</v>
      </c>
      <c r="B102" s="705">
        <f>459995.8+4.3</f>
        <v>460000.1</v>
      </c>
      <c r="C102" s="706">
        <v>442327</v>
      </c>
      <c r="D102" s="689"/>
      <c r="E102" s="706">
        <f t="shared" si="12"/>
        <v>17673.099999999977</v>
      </c>
      <c r="F102" s="706">
        <v>-82450.899999999994</v>
      </c>
      <c r="G102" s="706">
        <v>64773.599999999999</v>
      </c>
      <c r="H102" s="706">
        <f t="shared" si="13"/>
        <v>-17677.299999999996</v>
      </c>
      <c r="I102" s="693"/>
      <c r="J102" s="688">
        <v>4.2</v>
      </c>
      <c r="K102" s="706">
        <f t="shared" si="14"/>
        <v>-17673.099999999995</v>
      </c>
      <c r="L102" s="691"/>
      <c r="M102" s="709"/>
      <c r="N102" s="709"/>
      <c r="O102" s="709"/>
      <c r="P102" s="709"/>
      <c r="Q102" s="709"/>
      <c r="R102" s="709"/>
      <c r="S102" s="709"/>
      <c r="T102" s="709"/>
      <c r="U102" s="709"/>
      <c r="V102" s="709"/>
      <c r="W102" s="709"/>
      <c r="X102" s="709"/>
      <c r="Y102" s="709"/>
      <c r="Z102" s="709"/>
      <c r="AA102" s="709"/>
      <c r="AB102" s="709"/>
      <c r="AC102" s="709"/>
      <c r="AD102" s="709"/>
      <c r="AE102" s="709"/>
      <c r="AF102" s="709"/>
      <c r="AG102" s="709"/>
      <c r="AH102" s="709"/>
      <c r="AI102" s="709"/>
      <c r="AJ102" s="709"/>
      <c r="AK102" s="709"/>
      <c r="AL102" s="709"/>
      <c r="AM102" s="709"/>
      <c r="AN102" s="709"/>
      <c r="AO102" s="709"/>
      <c r="AP102" s="709"/>
      <c r="AQ102" s="709"/>
      <c r="AR102" s="709"/>
      <c r="AS102" s="709"/>
      <c r="AT102" s="709"/>
      <c r="AU102" s="709"/>
      <c r="AV102" s="709"/>
      <c r="AW102" s="709"/>
      <c r="AX102" s="709"/>
      <c r="AY102" s="709"/>
      <c r="AZ102" s="709"/>
      <c r="BA102" s="709"/>
      <c r="BB102" s="709"/>
      <c r="BC102" s="709"/>
      <c r="BD102" s="709"/>
      <c r="BE102" s="709"/>
      <c r="BF102" s="709"/>
      <c r="BG102" s="709"/>
      <c r="BH102" s="709"/>
      <c r="BI102" s="709"/>
      <c r="BJ102" s="709"/>
      <c r="BK102" s="709"/>
      <c r="BL102" s="709"/>
      <c r="BM102" s="709"/>
      <c r="BN102" s="709"/>
      <c r="BO102" s="709"/>
      <c r="BP102" s="709"/>
      <c r="BQ102" s="709"/>
      <c r="BR102" s="709"/>
      <c r="BS102" s="709"/>
      <c r="BT102" s="709"/>
      <c r="BU102" s="709"/>
      <c r="BV102" s="709"/>
      <c r="BW102" s="709"/>
      <c r="BX102" s="709"/>
      <c r="BY102" s="709"/>
      <c r="BZ102" s="709"/>
      <c r="CA102" s="709"/>
      <c r="CB102" s="709"/>
      <c r="CC102" s="709"/>
      <c r="CD102" s="709"/>
      <c r="CE102" s="709"/>
      <c r="CF102" s="709"/>
      <c r="CG102" s="709"/>
      <c r="CH102" s="709"/>
      <c r="CI102" s="709"/>
      <c r="CJ102" s="709"/>
      <c r="CK102" s="709"/>
      <c r="CL102" s="709"/>
      <c r="CM102" s="709"/>
      <c r="CN102" s="709"/>
      <c r="CO102" s="709"/>
      <c r="CP102" s="709"/>
      <c r="CQ102" s="709"/>
      <c r="CR102" s="709"/>
      <c r="CS102" s="709"/>
      <c r="CT102" s="709"/>
      <c r="CU102" s="709"/>
      <c r="CV102" s="709"/>
      <c r="CW102" s="709"/>
      <c r="CX102" s="709"/>
      <c r="CY102" s="709"/>
      <c r="CZ102" s="709"/>
      <c r="DA102" s="709"/>
      <c r="DB102" s="709"/>
      <c r="DC102" s="709"/>
      <c r="DD102" s="709"/>
      <c r="DE102" s="709"/>
      <c r="DF102" s="709"/>
      <c r="DG102" s="709"/>
      <c r="DH102" s="709"/>
      <c r="DI102" s="709"/>
      <c r="DJ102" s="709"/>
      <c r="DK102" s="709"/>
      <c r="DL102" s="709"/>
      <c r="DM102" s="709"/>
      <c r="DN102" s="709"/>
      <c r="DO102" s="709"/>
      <c r="DP102" s="709"/>
      <c r="DQ102" s="709"/>
      <c r="DR102" s="709"/>
      <c r="DS102" s="709"/>
      <c r="DT102" s="709"/>
      <c r="DU102" s="709"/>
      <c r="DV102" s="709"/>
      <c r="DW102" s="709"/>
      <c r="DX102" s="709"/>
      <c r="DY102" s="709"/>
      <c r="DZ102" s="709"/>
      <c r="EA102" s="709"/>
      <c r="EB102" s="709"/>
      <c r="EC102" s="709"/>
      <c r="ED102" s="709"/>
      <c r="EE102" s="709"/>
      <c r="EF102" s="709"/>
      <c r="EG102" s="709"/>
      <c r="EH102" s="709"/>
      <c r="EI102" s="709"/>
      <c r="EJ102" s="709"/>
      <c r="EK102" s="709"/>
      <c r="EL102" s="709"/>
      <c r="EM102" s="709"/>
      <c r="EN102" s="709"/>
      <c r="EO102" s="709"/>
      <c r="EP102" s="709"/>
      <c r="EQ102" s="709"/>
      <c r="ER102" s="709"/>
      <c r="ES102" s="709"/>
      <c r="ET102" s="709"/>
      <c r="EU102" s="709"/>
      <c r="EV102" s="709"/>
      <c r="EW102" s="709"/>
      <c r="EX102" s="709"/>
      <c r="EY102" s="709"/>
      <c r="EZ102" s="709"/>
      <c r="FA102" s="709"/>
      <c r="FB102" s="709"/>
      <c r="FC102" s="709"/>
      <c r="FD102" s="709"/>
      <c r="FE102" s="709"/>
      <c r="FF102" s="709"/>
      <c r="FG102" s="709"/>
      <c r="FH102" s="709"/>
      <c r="FI102" s="709"/>
      <c r="FJ102" s="709"/>
      <c r="FK102" s="709"/>
      <c r="FL102" s="709"/>
      <c r="FM102" s="709"/>
      <c r="FN102" s="709"/>
      <c r="FO102" s="709"/>
      <c r="FP102" s="709"/>
      <c r="FQ102" s="709"/>
      <c r="FR102" s="709"/>
      <c r="FS102" s="709"/>
      <c r="FT102" s="709"/>
      <c r="FU102" s="709"/>
      <c r="FV102" s="709"/>
      <c r="FW102" s="709"/>
      <c r="FX102" s="709"/>
      <c r="FY102" s="709"/>
      <c r="FZ102" s="709"/>
      <c r="GA102" s="709"/>
      <c r="GB102" s="709"/>
      <c r="GC102" s="709"/>
      <c r="GD102" s="709"/>
      <c r="GE102" s="709"/>
      <c r="GF102" s="709"/>
      <c r="GG102" s="709"/>
      <c r="GH102" s="709"/>
      <c r="GI102" s="709"/>
      <c r="GJ102" s="709"/>
      <c r="GK102" s="709"/>
      <c r="GL102" s="709"/>
      <c r="GM102" s="709"/>
      <c r="GN102" s="709"/>
      <c r="GO102" s="709"/>
      <c r="GP102" s="709"/>
      <c r="GQ102" s="709"/>
      <c r="GR102" s="709"/>
      <c r="GS102" s="709"/>
      <c r="GT102" s="709"/>
      <c r="GU102" s="709"/>
      <c r="GV102" s="709"/>
      <c r="GW102" s="709"/>
      <c r="GX102" s="709"/>
      <c r="GY102" s="709"/>
      <c r="GZ102" s="709"/>
      <c r="HA102" s="709"/>
      <c r="HB102" s="709"/>
      <c r="HC102" s="709"/>
      <c r="HD102" s="709"/>
      <c r="HE102" s="709"/>
      <c r="HF102" s="709"/>
      <c r="HG102" s="709"/>
      <c r="HH102" s="709"/>
      <c r="HI102" s="709"/>
      <c r="HJ102" s="709"/>
      <c r="HK102" s="709"/>
      <c r="HL102" s="709"/>
      <c r="HM102" s="709"/>
      <c r="HN102" s="709"/>
      <c r="HO102" s="709"/>
      <c r="HP102" s="709"/>
      <c r="HQ102" s="709"/>
      <c r="HR102" s="709"/>
      <c r="HS102" s="709"/>
      <c r="HT102" s="709"/>
      <c r="HU102" s="709"/>
      <c r="HV102" s="709"/>
      <c r="HW102" s="709"/>
      <c r="HX102" s="709"/>
      <c r="HY102" s="709"/>
      <c r="HZ102" s="709"/>
      <c r="IA102" s="709"/>
      <c r="IB102" s="709"/>
      <c r="IC102" s="709"/>
      <c r="ID102" s="709"/>
      <c r="IE102" s="709"/>
      <c r="IF102" s="709"/>
      <c r="IG102" s="709"/>
      <c r="IH102" s="709"/>
      <c r="II102" s="709"/>
      <c r="IJ102" s="709"/>
      <c r="IK102" s="709"/>
      <c r="IL102" s="709"/>
      <c r="IM102" s="709"/>
      <c r="IN102" s="709"/>
      <c r="IO102" s="709"/>
      <c r="IP102" s="709"/>
      <c r="IQ102" s="709"/>
      <c r="IR102" s="709"/>
      <c r="IS102" s="709"/>
      <c r="IT102" s="709"/>
      <c r="IU102" s="709"/>
      <c r="IV102" s="709"/>
    </row>
    <row r="103" spans="1:256" ht="12.75" hidden="1" customHeight="1">
      <c r="A103" s="706" t="s">
        <v>335</v>
      </c>
      <c r="B103" s="705">
        <f>476966.5+242.1</f>
        <v>477208.6</v>
      </c>
      <c r="C103" s="706">
        <v>663555.6</v>
      </c>
      <c r="D103" s="689"/>
      <c r="E103" s="706">
        <f t="shared" si="12"/>
        <v>-186347</v>
      </c>
      <c r="F103" s="706">
        <v>179407.8</v>
      </c>
      <c r="G103" s="706">
        <v>6939.2</v>
      </c>
      <c r="H103" s="706">
        <f t="shared" si="13"/>
        <v>186347</v>
      </c>
      <c r="I103" s="693"/>
      <c r="J103" s="706">
        <v>0</v>
      </c>
      <c r="K103" s="706">
        <f t="shared" si="14"/>
        <v>186347</v>
      </c>
      <c r="L103" s="691"/>
      <c r="M103" s="709"/>
      <c r="N103" s="709"/>
      <c r="O103" s="709"/>
      <c r="P103" s="709"/>
      <c r="Q103" s="709"/>
      <c r="R103" s="709"/>
      <c r="S103" s="709"/>
      <c r="T103" s="709"/>
      <c r="U103" s="709"/>
      <c r="V103" s="709"/>
      <c r="W103" s="709"/>
      <c r="X103" s="709"/>
      <c r="Y103" s="709"/>
      <c r="Z103" s="709"/>
      <c r="AA103" s="709"/>
      <c r="AB103" s="709"/>
      <c r="AC103" s="709"/>
      <c r="AD103" s="709"/>
      <c r="AE103" s="709"/>
      <c r="AF103" s="709"/>
      <c r="AG103" s="709"/>
      <c r="AH103" s="709"/>
      <c r="AI103" s="709"/>
      <c r="AJ103" s="709"/>
      <c r="AK103" s="709"/>
      <c r="AL103" s="709"/>
      <c r="AM103" s="709"/>
      <c r="AN103" s="709"/>
      <c r="AO103" s="709"/>
      <c r="AP103" s="709"/>
      <c r="AQ103" s="709"/>
      <c r="AR103" s="709"/>
      <c r="AS103" s="709"/>
      <c r="AT103" s="709"/>
      <c r="AU103" s="709"/>
      <c r="AV103" s="709"/>
      <c r="AW103" s="709"/>
      <c r="AX103" s="709"/>
      <c r="AY103" s="709"/>
      <c r="AZ103" s="709"/>
      <c r="BA103" s="709"/>
      <c r="BB103" s="709"/>
      <c r="BC103" s="709"/>
      <c r="BD103" s="709"/>
      <c r="BE103" s="709"/>
      <c r="BF103" s="709"/>
      <c r="BG103" s="709"/>
      <c r="BH103" s="709"/>
      <c r="BI103" s="709"/>
      <c r="BJ103" s="709"/>
      <c r="BK103" s="709"/>
      <c r="BL103" s="709"/>
      <c r="BM103" s="709"/>
      <c r="BN103" s="709"/>
      <c r="BO103" s="709"/>
      <c r="BP103" s="709"/>
      <c r="BQ103" s="709"/>
      <c r="BR103" s="709"/>
      <c r="BS103" s="709"/>
      <c r="BT103" s="709"/>
      <c r="BU103" s="709"/>
      <c r="BV103" s="709"/>
      <c r="BW103" s="709"/>
      <c r="BX103" s="709"/>
      <c r="BY103" s="709"/>
      <c r="BZ103" s="709"/>
      <c r="CA103" s="709"/>
      <c r="CB103" s="709"/>
      <c r="CC103" s="709"/>
      <c r="CD103" s="709"/>
      <c r="CE103" s="709"/>
      <c r="CF103" s="709"/>
      <c r="CG103" s="709"/>
      <c r="CH103" s="709"/>
      <c r="CI103" s="709"/>
      <c r="CJ103" s="709"/>
      <c r="CK103" s="709"/>
      <c r="CL103" s="709"/>
      <c r="CM103" s="709"/>
      <c r="CN103" s="709"/>
      <c r="CO103" s="709"/>
      <c r="CP103" s="709"/>
      <c r="CQ103" s="709"/>
      <c r="CR103" s="709"/>
      <c r="CS103" s="709"/>
      <c r="CT103" s="709"/>
      <c r="CU103" s="709"/>
      <c r="CV103" s="709"/>
      <c r="CW103" s="709"/>
      <c r="CX103" s="709"/>
      <c r="CY103" s="709"/>
      <c r="CZ103" s="709"/>
      <c r="DA103" s="709"/>
      <c r="DB103" s="709"/>
      <c r="DC103" s="709"/>
      <c r="DD103" s="709"/>
      <c r="DE103" s="709"/>
      <c r="DF103" s="709"/>
      <c r="DG103" s="709"/>
      <c r="DH103" s="709"/>
      <c r="DI103" s="709"/>
      <c r="DJ103" s="709"/>
      <c r="DK103" s="709"/>
      <c r="DL103" s="709"/>
      <c r="DM103" s="709"/>
      <c r="DN103" s="709"/>
      <c r="DO103" s="709"/>
      <c r="DP103" s="709"/>
      <c r="DQ103" s="709"/>
      <c r="DR103" s="709"/>
      <c r="DS103" s="709"/>
      <c r="DT103" s="709"/>
      <c r="DU103" s="709"/>
      <c r="DV103" s="709"/>
      <c r="DW103" s="709"/>
      <c r="DX103" s="709"/>
      <c r="DY103" s="709"/>
      <c r="DZ103" s="709"/>
      <c r="EA103" s="709"/>
      <c r="EB103" s="709"/>
      <c r="EC103" s="709"/>
      <c r="ED103" s="709"/>
      <c r="EE103" s="709"/>
      <c r="EF103" s="709"/>
      <c r="EG103" s="709"/>
      <c r="EH103" s="709"/>
      <c r="EI103" s="709"/>
      <c r="EJ103" s="709"/>
      <c r="EK103" s="709"/>
      <c r="EL103" s="709"/>
      <c r="EM103" s="709"/>
      <c r="EN103" s="709"/>
      <c r="EO103" s="709"/>
      <c r="EP103" s="709"/>
      <c r="EQ103" s="709"/>
      <c r="ER103" s="709"/>
      <c r="ES103" s="709"/>
      <c r="ET103" s="709"/>
      <c r="EU103" s="709"/>
      <c r="EV103" s="709"/>
      <c r="EW103" s="709"/>
      <c r="EX103" s="709"/>
      <c r="EY103" s="709"/>
      <c r="EZ103" s="709"/>
      <c r="FA103" s="709"/>
      <c r="FB103" s="709"/>
      <c r="FC103" s="709"/>
      <c r="FD103" s="709"/>
      <c r="FE103" s="709"/>
      <c r="FF103" s="709"/>
      <c r="FG103" s="709"/>
      <c r="FH103" s="709"/>
      <c r="FI103" s="709"/>
      <c r="FJ103" s="709"/>
      <c r="FK103" s="709"/>
      <c r="FL103" s="709"/>
      <c r="FM103" s="709"/>
      <c r="FN103" s="709"/>
      <c r="FO103" s="709"/>
      <c r="FP103" s="709"/>
      <c r="FQ103" s="709"/>
      <c r="FR103" s="709"/>
      <c r="FS103" s="709"/>
      <c r="FT103" s="709"/>
      <c r="FU103" s="709"/>
      <c r="FV103" s="709"/>
      <c r="FW103" s="709"/>
      <c r="FX103" s="709"/>
      <c r="FY103" s="709"/>
      <c r="FZ103" s="709"/>
      <c r="GA103" s="709"/>
      <c r="GB103" s="709"/>
      <c r="GC103" s="709"/>
      <c r="GD103" s="709"/>
      <c r="GE103" s="709"/>
      <c r="GF103" s="709"/>
      <c r="GG103" s="709"/>
      <c r="GH103" s="709"/>
      <c r="GI103" s="709"/>
      <c r="GJ103" s="709"/>
      <c r="GK103" s="709"/>
      <c r="GL103" s="709"/>
      <c r="GM103" s="709"/>
      <c r="GN103" s="709"/>
      <c r="GO103" s="709"/>
      <c r="GP103" s="709"/>
      <c r="GQ103" s="709"/>
      <c r="GR103" s="709"/>
      <c r="GS103" s="709"/>
      <c r="GT103" s="709"/>
      <c r="GU103" s="709"/>
      <c r="GV103" s="709"/>
      <c r="GW103" s="709"/>
      <c r="GX103" s="709"/>
      <c r="GY103" s="709"/>
      <c r="GZ103" s="709"/>
      <c r="HA103" s="709"/>
      <c r="HB103" s="709"/>
      <c r="HC103" s="709"/>
      <c r="HD103" s="709"/>
      <c r="HE103" s="709"/>
      <c r="HF103" s="709"/>
      <c r="HG103" s="709"/>
      <c r="HH103" s="709"/>
      <c r="HI103" s="709"/>
      <c r="HJ103" s="709"/>
      <c r="HK103" s="709"/>
      <c r="HL103" s="709"/>
      <c r="HM103" s="709"/>
      <c r="HN103" s="709"/>
      <c r="HO103" s="709"/>
      <c r="HP103" s="709"/>
      <c r="HQ103" s="709"/>
      <c r="HR103" s="709"/>
      <c r="HS103" s="709"/>
      <c r="HT103" s="709"/>
      <c r="HU103" s="709"/>
      <c r="HV103" s="709"/>
      <c r="HW103" s="709"/>
      <c r="HX103" s="709"/>
      <c r="HY103" s="709"/>
      <c r="HZ103" s="709"/>
      <c r="IA103" s="709"/>
      <c r="IB103" s="709"/>
      <c r="IC103" s="709"/>
      <c r="ID103" s="709"/>
      <c r="IE103" s="709"/>
      <c r="IF103" s="709"/>
      <c r="IG103" s="709"/>
      <c r="IH103" s="709"/>
      <c r="II103" s="709"/>
      <c r="IJ103" s="709"/>
      <c r="IK103" s="709"/>
      <c r="IL103" s="709"/>
      <c r="IM103" s="709"/>
      <c r="IN103" s="709"/>
      <c r="IO103" s="709"/>
      <c r="IP103" s="709"/>
      <c r="IQ103" s="709"/>
      <c r="IR103" s="709"/>
      <c r="IS103" s="709"/>
      <c r="IT103" s="709"/>
      <c r="IU103" s="709"/>
      <c r="IV103" s="709"/>
    </row>
    <row r="104" spans="1:256" ht="12.75" hidden="1" customHeight="1">
      <c r="A104" s="706" t="s">
        <v>336</v>
      </c>
      <c r="B104" s="705">
        <v>478391.5</v>
      </c>
      <c r="C104" s="706">
        <v>759972.9</v>
      </c>
      <c r="D104" s="689"/>
      <c r="E104" s="706">
        <f t="shared" si="12"/>
        <v>-281581.40000000002</v>
      </c>
      <c r="F104" s="706">
        <v>302037.59999999998</v>
      </c>
      <c r="G104" s="706">
        <v>-20456.2</v>
      </c>
      <c r="H104" s="706">
        <f t="shared" si="13"/>
        <v>281581.39999999997</v>
      </c>
      <c r="I104" s="693"/>
      <c r="J104" s="706">
        <v>0</v>
      </c>
      <c r="K104" s="706">
        <f t="shared" si="14"/>
        <v>281581.39999999997</v>
      </c>
      <c r="L104" s="691"/>
      <c r="M104" s="709"/>
      <c r="N104" s="709"/>
      <c r="O104" s="709"/>
      <c r="P104" s="709"/>
      <c r="Q104" s="709"/>
      <c r="R104" s="709"/>
      <c r="S104" s="709"/>
      <c r="T104" s="709"/>
      <c r="U104" s="709"/>
      <c r="V104" s="709"/>
      <c r="W104" s="709"/>
      <c r="X104" s="709"/>
      <c r="Y104" s="709"/>
      <c r="Z104" s="709"/>
      <c r="AA104" s="709"/>
      <c r="AB104" s="709"/>
      <c r="AC104" s="709"/>
      <c r="AD104" s="709"/>
      <c r="AE104" s="709"/>
      <c r="AF104" s="709"/>
      <c r="AG104" s="709"/>
      <c r="AH104" s="709"/>
      <c r="AI104" s="709"/>
      <c r="AJ104" s="709"/>
      <c r="AK104" s="709"/>
      <c r="AL104" s="709"/>
      <c r="AM104" s="709"/>
      <c r="AN104" s="709"/>
      <c r="AO104" s="709"/>
      <c r="AP104" s="709"/>
      <c r="AQ104" s="709"/>
      <c r="AR104" s="709"/>
      <c r="AS104" s="709"/>
      <c r="AT104" s="709"/>
      <c r="AU104" s="709"/>
      <c r="AV104" s="709"/>
      <c r="AW104" s="709"/>
      <c r="AX104" s="709"/>
      <c r="AY104" s="709"/>
      <c r="AZ104" s="709"/>
      <c r="BA104" s="709"/>
      <c r="BB104" s="709"/>
      <c r="BC104" s="709"/>
      <c r="BD104" s="709"/>
      <c r="BE104" s="709"/>
      <c r="BF104" s="709"/>
      <c r="BG104" s="709"/>
      <c r="BH104" s="709"/>
      <c r="BI104" s="709"/>
      <c r="BJ104" s="709"/>
      <c r="BK104" s="709"/>
      <c r="BL104" s="709"/>
      <c r="BM104" s="709"/>
      <c r="BN104" s="709"/>
      <c r="BO104" s="709"/>
      <c r="BP104" s="709"/>
      <c r="BQ104" s="709"/>
      <c r="BR104" s="709"/>
      <c r="BS104" s="709"/>
      <c r="BT104" s="709"/>
      <c r="BU104" s="709"/>
      <c r="BV104" s="709"/>
      <c r="BW104" s="709"/>
      <c r="BX104" s="709"/>
      <c r="BY104" s="709"/>
      <c r="BZ104" s="709"/>
      <c r="CA104" s="709"/>
      <c r="CB104" s="709"/>
      <c r="CC104" s="709"/>
      <c r="CD104" s="709"/>
      <c r="CE104" s="709"/>
      <c r="CF104" s="709"/>
      <c r="CG104" s="709"/>
      <c r="CH104" s="709"/>
      <c r="CI104" s="709"/>
      <c r="CJ104" s="709"/>
      <c r="CK104" s="709"/>
      <c r="CL104" s="709"/>
      <c r="CM104" s="709"/>
      <c r="CN104" s="709"/>
      <c r="CO104" s="709"/>
      <c r="CP104" s="709"/>
      <c r="CQ104" s="709"/>
      <c r="CR104" s="709"/>
      <c r="CS104" s="709"/>
      <c r="CT104" s="709"/>
      <c r="CU104" s="709"/>
      <c r="CV104" s="709"/>
      <c r="CW104" s="709"/>
      <c r="CX104" s="709"/>
      <c r="CY104" s="709"/>
      <c r="CZ104" s="709"/>
      <c r="DA104" s="709"/>
      <c r="DB104" s="709"/>
      <c r="DC104" s="709"/>
      <c r="DD104" s="709"/>
      <c r="DE104" s="709"/>
      <c r="DF104" s="709"/>
      <c r="DG104" s="709"/>
      <c r="DH104" s="709"/>
      <c r="DI104" s="709"/>
      <c r="DJ104" s="709"/>
      <c r="DK104" s="709"/>
      <c r="DL104" s="709"/>
      <c r="DM104" s="709"/>
      <c r="DN104" s="709"/>
      <c r="DO104" s="709"/>
      <c r="DP104" s="709"/>
      <c r="DQ104" s="709"/>
      <c r="DR104" s="709"/>
      <c r="DS104" s="709"/>
      <c r="DT104" s="709"/>
      <c r="DU104" s="709"/>
      <c r="DV104" s="709"/>
      <c r="DW104" s="709"/>
      <c r="DX104" s="709"/>
      <c r="DY104" s="709"/>
      <c r="DZ104" s="709"/>
      <c r="EA104" s="709"/>
      <c r="EB104" s="709"/>
      <c r="EC104" s="709"/>
      <c r="ED104" s="709"/>
      <c r="EE104" s="709"/>
      <c r="EF104" s="709"/>
      <c r="EG104" s="709"/>
      <c r="EH104" s="709"/>
      <c r="EI104" s="709"/>
      <c r="EJ104" s="709"/>
      <c r="EK104" s="709"/>
      <c r="EL104" s="709"/>
      <c r="EM104" s="709"/>
      <c r="EN104" s="709"/>
      <c r="EO104" s="709"/>
      <c r="EP104" s="709"/>
      <c r="EQ104" s="709"/>
      <c r="ER104" s="709"/>
      <c r="ES104" s="709"/>
      <c r="ET104" s="709"/>
      <c r="EU104" s="709"/>
      <c r="EV104" s="709"/>
      <c r="EW104" s="709"/>
      <c r="EX104" s="709"/>
      <c r="EY104" s="709"/>
      <c r="EZ104" s="709"/>
      <c r="FA104" s="709"/>
      <c r="FB104" s="709"/>
      <c r="FC104" s="709"/>
      <c r="FD104" s="709"/>
      <c r="FE104" s="709"/>
      <c r="FF104" s="709"/>
      <c r="FG104" s="709"/>
      <c r="FH104" s="709"/>
      <c r="FI104" s="709"/>
      <c r="FJ104" s="709"/>
      <c r="FK104" s="709"/>
      <c r="FL104" s="709"/>
      <c r="FM104" s="709"/>
      <c r="FN104" s="709"/>
      <c r="FO104" s="709"/>
      <c r="FP104" s="709"/>
      <c r="FQ104" s="709"/>
      <c r="FR104" s="709"/>
      <c r="FS104" s="709"/>
      <c r="FT104" s="709"/>
      <c r="FU104" s="709"/>
      <c r="FV104" s="709"/>
      <c r="FW104" s="709"/>
      <c r="FX104" s="709"/>
      <c r="FY104" s="709"/>
      <c r="FZ104" s="709"/>
      <c r="GA104" s="709"/>
      <c r="GB104" s="709"/>
      <c r="GC104" s="709"/>
      <c r="GD104" s="709"/>
      <c r="GE104" s="709"/>
      <c r="GF104" s="709"/>
      <c r="GG104" s="709"/>
      <c r="GH104" s="709"/>
      <c r="GI104" s="709"/>
      <c r="GJ104" s="709"/>
      <c r="GK104" s="709"/>
      <c r="GL104" s="709"/>
      <c r="GM104" s="709"/>
      <c r="GN104" s="709"/>
      <c r="GO104" s="709"/>
      <c r="GP104" s="709"/>
      <c r="GQ104" s="709"/>
      <c r="GR104" s="709"/>
      <c r="GS104" s="709"/>
      <c r="GT104" s="709"/>
      <c r="GU104" s="709"/>
      <c r="GV104" s="709"/>
      <c r="GW104" s="709"/>
      <c r="GX104" s="709"/>
      <c r="GY104" s="709"/>
      <c r="GZ104" s="709"/>
      <c r="HA104" s="709"/>
      <c r="HB104" s="709"/>
      <c r="HC104" s="709"/>
      <c r="HD104" s="709"/>
      <c r="HE104" s="709"/>
      <c r="HF104" s="709"/>
      <c r="HG104" s="709"/>
      <c r="HH104" s="709"/>
      <c r="HI104" s="709"/>
      <c r="HJ104" s="709"/>
      <c r="HK104" s="709"/>
      <c r="HL104" s="709"/>
      <c r="HM104" s="709"/>
      <c r="HN104" s="709"/>
      <c r="HO104" s="709"/>
      <c r="HP104" s="709"/>
      <c r="HQ104" s="709"/>
      <c r="HR104" s="709"/>
      <c r="HS104" s="709"/>
      <c r="HT104" s="709"/>
      <c r="HU104" s="709"/>
      <c r="HV104" s="709"/>
      <c r="HW104" s="709"/>
      <c r="HX104" s="709"/>
      <c r="HY104" s="709"/>
      <c r="HZ104" s="709"/>
      <c r="IA104" s="709"/>
      <c r="IB104" s="709"/>
      <c r="IC104" s="709"/>
      <c r="ID104" s="709"/>
      <c r="IE104" s="709"/>
      <c r="IF104" s="709"/>
      <c r="IG104" s="709"/>
      <c r="IH104" s="709"/>
      <c r="II104" s="709"/>
      <c r="IJ104" s="709"/>
      <c r="IK104" s="709"/>
      <c r="IL104" s="709"/>
      <c r="IM104" s="709"/>
      <c r="IN104" s="709"/>
      <c r="IO104" s="709"/>
      <c r="IP104" s="709"/>
      <c r="IQ104" s="709"/>
      <c r="IR104" s="709"/>
      <c r="IS104" s="709"/>
      <c r="IT104" s="709"/>
      <c r="IU104" s="709"/>
      <c r="IV104" s="709"/>
    </row>
    <row r="105" spans="1:256" ht="12.75" hidden="1" customHeight="1">
      <c r="A105" s="706" t="s">
        <v>337</v>
      </c>
      <c r="B105" s="705">
        <f>528075.9+5388.4</f>
        <v>533464.30000000005</v>
      </c>
      <c r="C105" s="706">
        <v>864407.9</v>
      </c>
      <c r="D105" s="689"/>
      <c r="E105" s="706">
        <f t="shared" si="12"/>
        <v>-330943.59999999998</v>
      </c>
      <c r="F105" s="706">
        <v>418273</v>
      </c>
      <c r="G105" s="706">
        <v>-87337.7</v>
      </c>
      <c r="H105" s="706">
        <f t="shared" si="13"/>
        <v>330935.3</v>
      </c>
      <c r="I105" s="693"/>
      <c r="J105" s="706">
        <v>8.3000000000000007</v>
      </c>
      <c r="K105" s="706">
        <f t="shared" si="14"/>
        <v>330943.59999999998</v>
      </c>
      <c r="L105" s="691"/>
      <c r="M105" s="709"/>
      <c r="N105" s="709"/>
      <c r="O105" s="709"/>
      <c r="P105" s="709"/>
      <c r="Q105" s="709"/>
      <c r="R105" s="709"/>
      <c r="S105" s="709"/>
      <c r="T105" s="709"/>
      <c r="U105" s="709"/>
      <c r="V105" s="709"/>
      <c r="W105" s="709"/>
      <c r="X105" s="709"/>
      <c r="Y105" s="709"/>
      <c r="Z105" s="709"/>
      <c r="AA105" s="709"/>
      <c r="AB105" s="709"/>
      <c r="AC105" s="709"/>
      <c r="AD105" s="709"/>
      <c r="AE105" s="709"/>
      <c r="AF105" s="709"/>
      <c r="AG105" s="709"/>
      <c r="AH105" s="709"/>
      <c r="AI105" s="709"/>
      <c r="AJ105" s="709"/>
      <c r="AK105" s="709"/>
      <c r="AL105" s="709"/>
      <c r="AM105" s="709"/>
      <c r="AN105" s="709"/>
      <c r="AO105" s="709"/>
      <c r="AP105" s="709"/>
      <c r="AQ105" s="709"/>
      <c r="AR105" s="709"/>
      <c r="AS105" s="709"/>
      <c r="AT105" s="709"/>
      <c r="AU105" s="709"/>
      <c r="AV105" s="709"/>
      <c r="AW105" s="709"/>
      <c r="AX105" s="709"/>
      <c r="AY105" s="709"/>
      <c r="AZ105" s="709"/>
      <c r="BA105" s="709"/>
      <c r="BB105" s="709"/>
      <c r="BC105" s="709"/>
      <c r="BD105" s="709"/>
      <c r="BE105" s="709"/>
      <c r="BF105" s="709"/>
      <c r="BG105" s="709"/>
      <c r="BH105" s="709"/>
      <c r="BI105" s="709"/>
      <c r="BJ105" s="709"/>
      <c r="BK105" s="709"/>
      <c r="BL105" s="709"/>
      <c r="BM105" s="709"/>
      <c r="BN105" s="709"/>
      <c r="BO105" s="709"/>
      <c r="BP105" s="709"/>
      <c r="BQ105" s="709"/>
      <c r="BR105" s="709"/>
      <c r="BS105" s="709"/>
      <c r="BT105" s="709"/>
      <c r="BU105" s="709"/>
      <c r="BV105" s="709"/>
      <c r="BW105" s="709"/>
      <c r="BX105" s="709"/>
      <c r="BY105" s="709"/>
      <c r="BZ105" s="709"/>
      <c r="CA105" s="709"/>
      <c r="CB105" s="709"/>
      <c r="CC105" s="709"/>
      <c r="CD105" s="709"/>
      <c r="CE105" s="709"/>
      <c r="CF105" s="709"/>
      <c r="CG105" s="709"/>
      <c r="CH105" s="709"/>
      <c r="CI105" s="709"/>
      <c r="CJ105" s="709"/>
      <c r="CK105" s="709"/>
      <c r="CL105" s="709"/>
      <c r="CM105" s="709"/>
      <c r="CN105" s="709"/>
      <c r="CO105" s="709"/>
      <c r="CP105" s="709"/>
      <c r="CQ105" s="709"/>
      <c r="CR105" s="709"/>
      <c r="CS105" s="709"/>
      <c r="CT105" s="709"/>
      <c r="CU105" s="709"/>
      <c r="CV105" s="709"/>
      <c r="CW105" s="709"/>
      <c r="CX105" s="709"/>
      <c r="CY105" s="709"/>
      <c r="CZ105" s="709"/>
      <c r="DA105" s="709"/>
      <c r="DB105" s="709"/>
      <c r="DC105" s="709"/>
      <c r="DD105" s="709"/>
      <c r="DE105" s="709"/>
      <c r="DF105" s="709"/>
      <c r="DG105" s="709"/>
      <c r="DH105" s="709"/>
      <c r="DI105" s="709"/>
      <c r="DJ105" s="709"/>
      <c r="DK105" s="709"/>
      <c r="DL105" s="709"/>
      <c r="DM105" s="709"/>
      <c r="DN105" s="709"/>
      <c r="DO105" s="709"/>
      <c r="DP105" s="709"/>
      <c r="DQ105" s="709"/>
      <c r="DR105" s="709"/>
      <c r="DS105" s="709"/>
      <c r="DT105" s="709"/>
      <c r="DU105" s="709"/>
      <c r="DV105" s="709"/>
      <c r="DW105" s="709"/>
      <c r="DX105" s="709"/>
      <c r="DY105" s="709"/>
      <c r="DZ105" s="709"/>
      <c r="EA105" s="709"/>
      <c r="EB105" s="709"/>
      <c r="EC105" s="709"/>
      <c r="ED105" s="709"/>
      <c r="EE105" s="709"/>
      <c r="EF105" s="709"/>
      <c r="EG105" s="709"/>
      <c r="EH105" s="709"/>
      <c r="EI105" s="709"/>
      <c r="EJ105" s="709"/>
      <c r="EK105" s="709"/>
      <c r="EL105" s="709"/>
      <c r="EM105" s="709"/>
      <c r="EN105" s="709"/>
      <c r="EO105" s="709"/>
      <c r="EP105" s="709"/>
      <c r="EQ105" s="709"/>
      <c r="ER105" s="709"/>
      <c r="ES105" s="709"/>
      <c r="ET105" s="709"/>
      <c r="EU105" s="709"/>
      <c r="EV105" s="709"/>
      <c r="EW105" s="709"/>
      <c r="EX105" s="709"/>
      <c r="EY105" s="709"/>
      <c r="EZ105" s="709"/>
      <c r="FA105" s="709"/>
      <c r="FB105" s="709"/>
      <c r="FC105" s="709"/>
      <c r="FD105" s="709"/>
      <c r="FE105" s="709"/>
      <c r="FF105" s="709"/>
      <c r="FG105" s="709"/>
      <c r="FH105" s="709"/>
      <c r="FI105" s="709"/>
      <c r="FJ105" s="709"/>
      <c r="FK105" s="709"/>
      <c r="FL105" s="709"/>
      <c r="FM105" s="709"/>
      <c r="FN105" s="709"/>
      <c r="FO105" s="709"/>
      <c r="FP105" s="709"/>
      <c r="FQ105" s="709"/>
      <c r="FR105" s="709"/>
      <c r="FS105" s="709"/>
      <c r="FT105" s="709"/>
      <c r="FU105" s="709"/>
      <c r="FV105" s="709"/>
      <c r="FW105" s="709"/>
      <c r="FX105" s="709"/>
      <c r="FY105" s="709"/>
      <c r="FZ105" s="709"/>
      <c r="GA105" s="709"/>
      <c r="GB105" s="709"/>
      <c r="GC105" s="709"/>
      <c r="GD105" s="709"/>
      <c r="GE105" s="709"/>
      <c r="GF105" s="709"/>
      <c r="GG105" s="709"/>
      <c r="GH105" s="709"/>
      <c r="GI105" s="709"/>
      <c r="GJ105" s="709"/>
      <c r="GK105" s="709"/>
      <c r="GL105" s="709"/>
      <c r="GM105" s="709"/>
      <c r="GN105" s="709"/>
      <c r="GO105" s="709"/>
      <c r="GP105" s="709"/>
      <c r="GQ105" s="709"/>
      <c r="GR105" s="709"/>
      <c r="GS105" s="709"/>
      <c r="GT105" s="709"/>
      <c r="GU105" s="709"/>
      <c r="GV105" s="709"/>
      <c r="GW105" s="709"/>
      <c r="GX105" s="709"/>
      <c r="GY105" s="709"/>
      <c r="GZ105" s="709"/>
      <c r="HA105" s="709"/>
      <c r="HB105" s="709"/>
      <c r="HC105" s="709"/>
      <c r="HD105" s="709"/>
      <c r="HE105" s="709"/>
      <c r="HF105" s="709"/>
      <c r="HG105" s="709"/>
      <c r="HH105" s="709"/>
      <c r="HI105" s="709"/>
      <c r="HJ105" s="709"/>
      <c r="HK105" s="709"/>
      <c r="HL105" s="709"/>
      <c r="HM105" s="709"/>
      <c r="HN105" s="709"/>
      <c r="HO105" s="709"/>
      <c r="HP105" s="709"/>
      <c r="HQ105" s="709"/>
      <c r="HR105" s="709"/>
      <c r="HS105" s="709"/>
      <c r="HT105" s="709"/>
      <c r="HU105" s="709"/>
      <c r="HV105" s="709"/>
      <c r="HW105" s="709"/>
      <c r="HX105" s="709"/>
      <c r="HY105" s="709"/>
      <c r="HZ105" s="709"/>
      <c r="IA105" s="709"/>
      <c r="IB105" s="709"/>
      <c r="IC105" s="709"/>
      <c r="ID105" s="709"/>
      <c r="IE105" s="709"/>
      <c r="IF105" s="709"/>
      <c r="IG105" s="709"/>
      <c r="IH105" s="709"/>
      <c r="II105" s="709"/>
      <c r="IJ105" s="709"/>
      <c r="IK105" s="709"/>
      <c r="IL105" s="709"/>
      <c r="IM105" s="709"/>
      <c r="IN105" s="709"/>
      <c r="IO105" s="709"/>
      <c r="IP105" s="709"/>
      <c r="IQ105" s="709"/>
      <c r="IR105" s="709"/>
      <c r="IS105" s="709"/>
      <c r="IT105" s="709"/>
      <c r="IU105" s="709"/>
      <c r="IV105" s="709"/>
    </row>
    <row r="106" spans="1:256" ht="12.75" hidden="1" customHeight="1">
      <c r="A106" s="706" t="s">
        <v>338</v>
      </c>
      <c r="B106" s="705">
        <v>640021.4</v>
      </c>
      <c r="C106" s="706">
        <v>469574</v>
      </c>
      <c r="D106" s="689"/>
      <c r="E106" s="706">
        <f t="shared" si="12"/>
        <v>170447.40000000002</v>
      </c>
      <c r="F106" s="706">
        <v>-266739.3</v>
      </c>
      <c r="G106" s="706">
        <v>96291.9</v>
      </c>
      <c r="H106" s="706">
        <f t="shared" si="13"/>
        <v>-170447.4</v>
      </c>
      <c r="I106" s="693"/>
      <c r="J106" s="706">
        <v>0</v>
      </c>
      <c r="K106" s="706">
        <f t="shared" si="14"/>
        <v>-170447.4</v>
      </c>
      <c r="L106" s="691"/>
      <c r="M106" s="709"/>
      <c r="N106" s="709"/>
      <c r="O106" s="709"/>
      <c r="P106" s="709"/>
      <c r="Q106" s="709"/>
      <c r="R106" s="709"/>
      <c r="S106" s="709"/>
      <c r="T106" s="709"/>
      <c r="U106" s="709"/>
      <c r="V106" s="709"/>
      <c r="W106" s="709"/>
      <c r="X106" s="709"/>
      <c r="Y106" s="709"/>
      <c r="Z106" s="709"/>
      <c r="AA106" s="709"/>
      <c r="AB106" s="709"/>
      <c r="AC106" s="709"/>
      <c r="AD106" s="709"/>
      <c r="AE106" s="709"/>
      <c r="AF106" s="709"/>
      <c r="AG106" s="709"/>
      <c r="AH106" s="709"/>
      <c r="AI106" s="709"/>
      <c r="AJ106" s="709"/>
      <c r="AK106" s="709"/>
      <c r="AL106" s="709"/>
      <c r="AM106" s="709"/>
      <c r="AN106" s="709"/>
      <c r="AO106" s="709"/>
      <c r="AP106" s="709"/>
      <c r="AQ106" s="709"/>
      <c r="AR106" s="709"/>
      <c r="AS106" s="709"/>
      <c r="AT106" s="709"/>
      <c r="AU106" s="709"/>
      <c r="AV106" s="709"/>
      <c r="AW106" s="709"/>
      <c r="AX106" s="709"/>
      <c r="AY106" s="709"/>
      <c r="AZ106" s="709"/>
      <c r="BA106" s="709"/>
      <c r="BB106" s="709"/>
      <c r="BC106" s="709"/>
      <c r="BD106" s="709"/>
      <c r="BE106" s="709"/>
      <c r="BF106" s="709"/>
      <c r="BG106" s="709"/>
      <c r="BH106" s="709"/>
      <c r="BI106" s="709"/>
      <c r="BJ106" s="709"/>
      <c r="BK106" s="709"/>
      <c r="BL106" s="709"/>
      <c r="BM106" s="709"/>
      <c r="BN106" s="709"/>
      <c r="BO106" s="709"/>
      <c r="BP106" s="709"/>
      <c r="BQ106" s="709"/>
      <c r="BR106" s="709"/>
      <c r="BS106" s="709"/>
      <c r="BT106" s="709"/>
      <c r="BU106" s="709"/>
      <c r="BV106" s="709"/>
      <c r="BW106" s="709"/>
      <c r="BX106" s="709"/>
      <c r="BY106" s="709"/>
      <c r="BZ106" s="709"/>
      <c r="CA106" s="709"/>
      <c r="CB106" s="709"/>
      <c r="CC106" s="709"/>
      <c r="CD106" s="709"/>
      <c r="CE106" s="709"/>
      <c r="CF106" s="709"/>
      <c r="CG106" s="709"/>
      <c r="CH106" s="709"/>
      <c r="CI106" s="709"/>
      <c r="CJ106" s="709"/>
      <c r="CK106" s="709"/>
      <c r="CL106" s="709"/>
      <c r="CM106" s="709"/>
      <c r="CN106" s="709"/>
      <c r="CO106" s="709"/>
      <c r="CP106" s="709"/>
      <c r="CQ106" s="709"/>
      <c r="CR106" s="709"/>
      <c r="CS106" s="709"/>
      <c r="CT106" s="709"/>
      <c r="CU106" s="709"/>
      <c r="CV106" s="709"/>
      <c r="CW106" s="709"/>
      <c r="CX106" s="709"/>
      <c r="CY106" s="709"/>
      <c r="CZ106" s="709"/>
      <c r="DA106" s="709"/>
      <c r="DB106" s="709"/>
      <c r="DC106" s="709"/>
      <c r="DD106" s="709"/>
      <c r="DE106" s="709"/>
      <c r="DF106" s="709"/>
      <c r="DG106" s="709"/>
      <c r="DH106" s="709"/>
      <c r="DI106" s="709"/>
      <c r="DJ106" s="709"/>
      <c r="DK106" s="709"/>
      <c r="DL106" s="709"/>
      <c r="DM106" s="709"/>
      <c r="DN106" s="709"/>
      <c r="DO106" s="709"/>
      <c r="DP106" s="709"/>
      <c r="DQ106" s="709"/>
      <c r="DR106" s="709"/>
      <c r="DS106" s="709"/>
      <c r="DT106" s="709"/>
      <c r="DU106" s="709"/>
      <c r="DV106" s="709"/>
      <c r="DW106" s="709"/>
      <c r="DX106" s="709"/>
      <c r="DY106" s="709"/>
      <c r="DZ106" s="709"/>
      <c r="EA106" s="709"/>
      <c r="EB106" s="709"/>
      <c r="EC106" s="709"/>
      <c r="ED106" s="709"/>
      <c r="EE106" s="709"/>
      <c r="EF106" s="709"/>
      <c r="EG106" s="709"/>
      <c r="EH106" s="709"/>
      <c r="EI106" s="709"/>
      <c r="EJ106" s="709"/>
      <c r="EK106" s="709"/>
      <c r="EL106" s="709"/>
      <c r="EM106" s="709"/>
      <c r="EN106" s="709"/>
      <c r="EO106" s="709"/>
      <c r="EP106" s="709"/>
      <c r="EQ106" s="709"/>
      <c r="ER106" s="709"/>
      <c r="ES106" s="709"/>
      <c r="ET106" s="709"/>
      <c r="EU106" s="709"/>
      <c r="EV106" s="709"/>
      <c r="EW106" s="709"/>
      <c r="EX106" s="709"/>
      <c r="EY106" s="709"/>
      <c r="EZ106" s="709"/>
      <c r="FA106" s="709"/>
      <c r="FB106" s="709"/>
      <c r="FC106" s="709"/>
      <c r="FD106" s="709"/>
      <c r="FE106" s="709"/>
      <c r="FF106" s="709"/>
      <c r="FG106" s="709"/>
      <c r="FH106" s="709"/>
      <c r="FI106" s="709"/>
      <c r="FJ106" s="709"/>
      <c r="FK106" s="709"/>
      <c r="FL106" s="709"/>
      <c r="FM106" s="709"/>
      <c r="FN106" s="709"/>
      <c r="FO106" s="709"/>
      <c r="FP106" s="709"/>
      <c r="FQ106" s="709"/>
      <c r="FR106" s="709"/>
      <c r="FS106" s="709"/>
      <c r="FT106" s="709"/>
      <c r="FU106" s="709"/>
      <c r="FV106" s="709"/>
      <c r="FW106" s="709"/>
      <c r="FX106" s="709"/>
      <c r="FY106" s="709"/>
      <c r="FZ106" s="709"/>
      <c r="GA106" s="709"/>
      <c r="GB106" s="709"/>
      <c r="GC106" s="709"/>
      <c r="GD106" s="709"/>
      <c r="GE106" s="709"/>
      <c r="GF106" s="709"/>
      <c r="GG106" s="709"/>
      <c r="GH106" s="709"/>
      <c r="GI106" s="709"/>
      <c r="GJ106" s="709"/>
      <c r="GK106" s="709"/>
      <c r="GL106" s="709"/>
      <c r="GM106" s="709"/>
      <c r="GN106" s="709"/>
      <c r="GO106" s="709"/>
      <c r="GP106" s="709"/>
      <c r="GQ106" s="709"/>
      <c r="GR106" s="709"/>
      <c r="GS106" s="709"/>
      <c r="GT106" s="709"/>
      <c r="GU106" s="709"/>
      <c r="GV106" s="709"/>
      <c r="GW106" s="709"/>
      <c r="GX106" s="709"/>
      <c r="GY106" s="709"/>
      <c r="GZ106" s="709"/>
      <c r="HA106" s="709"/>
      <c r="HB106" s="709"/>
      <c r="HC106" s="709"/>
      <c r="HD106" s="709"/>
      <c r="HE106" s="709"/>
      <c r="HF106" s="709"/>
      <c r="HG106" s="709"/>
      <c r="HH106" s="709"/>
      <c r="HI106" s="709"/>
      <c r="HJ106" s="709"/>
      <c r="HK106" s="709"/>
      <c r="HL106" s="709"/>
      <c r="HM106" s="709"/>
      <c r="HN106" s="709"/>
      <c r="HO106" s="709"/>
      <c r="HP106" s="709"/>
      <c r="HQ106" s="709"/>
      <c r="HR106" s="709"/>
      <c r="HS106" s="709"/>
      <c r="HT106" s="709"/>
      <c r="HU106" s="709"/>
      <c r="HV106" s="709"/>
      <c r="HW106" s="709"/>
      <c r="HX106" s="709"/>
      <c r="HY106" s="709"/>
      <c r="HZ106" s="709"/>
      <c r="IA106" s="709"/>
      <c r="IB106" s="709"/>
      <c r="IC106" s="709"/>
      <c r="ID106" s="709"/>
      <c r="IE106" s="709"/>
      <c r="IF106" s="709"/>
      <c r="IG106" s="709"/>
      <c r="IH106" s="709"/>
      <c r="II106" s="709"/>
      <c r="IJ106" s="709"/>
      <c r="IK106" s="709"/>
      <c r="IL106" s="709"/>
      <c r="IM106" s="709"/>
      <c r="IN106" s="709"/>
      <c r="IO106" s="709"/>
      <c r="IP106" s="709"/>
      <c r="IQ106" s="709"/>
      <c r="IR106" s="709"/>
      <c r="IS106" s="709"/>
      <c r="IT106" s="709"/>
      <c r="IU106" s="709"/>
      <c r="IV106" s="709"/>
    </row>
    <row r="107" spans="1:256" ht="12.75" hidden="1" customHeight="1">
      <c r="A107" s="706" t="s">
        <v>339</v>
      </c>
      <c r="B107" s="705">
        <v>859230</v>
      </c>
      <c r="C107" s="706">
        <v>907108.5</v>
      </c>
      <c r="D107" s="689"/>
      <c r="E107" s="706">
        <f t="shared" si="12"/>
        <v>-47878.5</v>
      </c>
      <c r="F107" s="706">
        <v>17974.8</v>
      </c>
      <c r="G107" s="706">
        <v>29904.2</v>
      </c>
      <c r="H107" s="706">
        <f t="shared" si="13"/>
        <v>47879</v>
      </c>
      <c r="I107" s="693"/>
      <c r="J107" s="706">
        <v>-0.5</v>
      </c>
      <c r="K107" s="706">
        <f t="shared" si="14"/>
        <v>47878.5</v>
      </c>
      <c r="L107" s="691"/>
      <c r="M107" s="709"/>
      <c r="N107" s="709"/>
      <c r="O107" s="709"/>
      <c r="P107" s="709"/>
      <c r="Q107" s="709"/>
      <c r="R107" s="709"/>
      <c r="S107" s="709"/>
      <c r="T107" s="709"/>
      <c r="U107" s="709"/>
      <c r="V107" s="709"/>
      <c r="W107" s="709"/>
      <c r="X107" s="709"/>
      <c r="Y107" s="709"/>
      <c r="Z107" s="709"/>
      <c r="AA107" s="709"/>
      <c r="AB107" s="709"/>
      <c r="AC107" s="709"/>
      <c r="AD107" s="709"/>
      <c r="AE107" s="709"/>
      <c r="AF107" s="709"/>
      <c r="AG107" s="709"/>
      <c r="AH107" s="709"/>
      <c r="AI107" s="709"/>
      <c r="AJ107" s="709"/>
      <c r="AK107" s="709"/>
      <c r="AL107" s="709"/>
      <c r="AM107" s="709"/>
      <c r="AN107" s="709"/>
      <c r="AO107" s="709"/>
      <c r="AP107" s="709"/>
      <c r="AQ107" s="709"/>
      <c r="AR107" s="709"/>
      <c r="AS107" s="709"/>
      <c r="AT107" s="709"/>
      <c r="AU107" s="709"/>
      <c r="AV107" s="709"/>
      <c r="AW107" s="709"/>
      <c r="AX107" s="709"/>
      <c r="AY107" s="709"/>
      <c r="AZ107" s="709"/>
      <c r="BA107" s="709"/>
      <c r="BB107" s="709"/>
      <c r="BC107" s="709"/>
      <c r="BD107" s="709"/>
      <c r="BE107" s="709"/>
      <c r="BF107" s="709"/>
      <c r="BG107" s="709"/>
      <c r="BH107" s="709"/>
      <c r="BI107" s="709"/>
      <c r="BJ107" s="709"/>
      <c r="BK107" s="709"/>
      <c r="BL107" s="709"/>
      <c r="BM107" s="709"/>
      <c r="BN107" s="709"/>
      <c r="BO107" s="709"/>
      <c r="BP107" s="709"/>
      <c r="BQ107" s="709"/>
      <c r="BR107" s="709"/>
      <c r="BS107" s="709"/>
      <c r="BT107" s="709"/>
      <c r="BU107" s="709"/>
      <c r="BV107" s="709"/>
      <c r="BW107" s="709"/>
      <c r="BX107" s="709"/>
      <c r="BY107" s="709"/>
      <c r="BZ107" s="709"/>
      <c r="CA107" s="709"/>
      <c r="CB107" s="709"/>
      <c r="CC107" s="709"/>
      <c r="CD107" s="709"/>
      <c r="CE107" s="709"/>
      <c r="CF107" s="709"/>
      <c r="CG107" s="709"/>
      <c r="CH107" s="709"/>
      <c r="CI107" s="709"/>
      <c r="CJ107" s="709"/>
      <c r="CK107" s="709"/>
      <c r="CL107" s="709"/>
      <c r="CM107" s="709"/>
      <c r="CN107" s="709"/>
      <c r="CO107" s="709"/>
      <c r="CP107" s="709"/>
      <c r="CQ107" s="709"/>
      <c r="CR107" s="709"/>
      <c r="CS107" s="709"/>
      <c r="CT107" s="709"/>
      <c r="CU107" s="709"/>
      <c r="CV107" s="709"/>
      <c r="CW107" s="709"/>
      <c r="CX107" s="709"/>
      <c r="CY107" s="709"/>
      <c r="CZ107" s="709"/>
      <c r="DA107" s="709"/>
      <c r="DB107" s="709"/>
      <c r="DC107" s="709"/>
      <c r="DD107" s="709"/>
      <c r="DE107" s="709"/>
      <c r="DF107" s="709"/>
      <c r="DG107" s="709"/>
      <c r="DH107" s="709"/>
      <c r="DI107" s="709"/>
      <c r="DJ107" s="709"/>
      <c r="DK107" s="709"/>
      <c r="DL107" s="709"/>
      <c r="DM107" s="709"/>
      <c r="DN107" s="709"/>
      <c r="DO107" s="709"/>
      <c r="DP107" s="709"/>
      <c r="DQ107" s="709"/>
      <c r="DR107" s="709"/>
      <c r="DS107" s="709"/>
      <c r="DT107" s="709"/>
      <c r="DU107" s="709"/>
      <c r="DV107" s="709"/>
      <c r="DW107" s="709"/>
      <c r="DX107" s="709"/>
      <c r="DY107" s="709"/>
      <c r="DZ107" s="709"/>
      <c r="EA107" s="709"/>
      <c r="EB107" s="709"/>
      <c r="EC107" s="709"/>
      <c r="ED107" s="709"/>
      <c r="EE107" s="709"/>
      <c r="EF107" s="709"/>
      <c r="EG107" s="709"/>
      <c r="EH107" s="709"/>
      <c r="EI107" s="709"/>
      <c r="EJ107" s="709"/>
      <c r="EK107" s="709"/>
      <c r="EL107" s="709"/>
      <c r="EM107" s="709"/>
      <c r="EN107" s="709"/>
      <c r="EO107" s="709"/>
      <c r="EP107" s="709"/>
      <c r="EQ107" s="709"/>
      <c r="ER107" s="709"/>
      <c r="ES107" s="709"/>
      <c r="ET107" s="709"/>
      <c r="EU107" s="709"/>
      <c r="EV107" s="709"/>
      <c r="EW107" s="709"/>
      <c r="EX107" s="709"/>
      <c r="EY107" s="709"/>
      <c r="EZ107" s="709"/>
      <c r="FA107" s="709"/>
      <c r="FB107" s="709"/>
      <c r="FC107" s="709"/>
      <c r="FD107" s="709"/>
      <c r="FE107" s="709"/>
      <c r="FF107" s="709"/>
      <c r="FG107" s="709"/>
      <c r="FH107" s="709"/>
      <c r="FI107" s="709"/>
      <c r="FJ107" s="709"/>
      <c r="FK107" s="709"/>
      <c r="FL107" s="709"/>
      <c r="FM107" s="709"/>
      <c r="FN107" s="709"/>
      <c r="FO107" s="709"/>
      <c r="FP107" s="709"/>
      <c r="FQ107" s="709"/>
      <c r="FR107" s="709"/>
      <c r="FS107" s="709"/>
      <c r="FT107" s="709"/>
      <c r="FU107" s="709"/>
      <c r="FV107" s="709"/>
      <c r="FW107" s="709"/>
      <c r="FX107" s="709"/>
      <c r="FY107" s="709"/>
      <c r="FZ107" s="709"/>
      <c r="GA107" s="709"/>
      <c r="GB107" s="709"/>
      <c r="GC107" s="709"/>
      <c r="GD107" s="709"/>
      <c r="GE107" s="709"/>
      <c r="GF107" s="709"/>
      <c r="GG107" s="709"/>
      <c r="GH107" s="709"/>
      <c r="GI107" s="709"/>
      <c r="GJ107" s="709"/>
      <c r="GK107" s="709"/>
      <c r="GL107" s="709"/>
      <c r="GM107" s="709"/>
      <c r="GN107" s="709"/>
      <c r="GO107" s="709"/>
      <c r="GP107" s="709"/>
      <c r="GQ107" s="709"/>
      <c r="GR107" s="709"/>
      <c r="GS107" s="709"/>
      <c r="GT107" s="709"/>
      <c r="GU107" s="709"/>
      <c r="GV107" s="709"/>
      <c r="GW107" s="709"/>
      <c r="GX107" s="709"/>
      <c r="GY107" s="709"/>
      <c r="GZ107" s="709"/>
      <c r="HA107" s="709"/>
      <c r="HB107" s="709"/>
      <c r="HC107" s="709"/>
      <c r="HD107" s="709"/>
      <c r="HE107" s="709"/>
      <c r="HF107" s="709"/>
      <c r="HG107" s="709"/>
      <c r="HH107" s="709"/>
      <c r="HI107" s="709"/>
      <c r="HJ107" s="709"/>
      <c r="HK107" s="709"/>
      <c r="HL107" s="709"/>
      <c r="HM107" s="709"/>
      <c r="HN107" s="709"/>
      <c r="HO107" s="709"/>
      <c r="HP107" s="709"/>
      <c r="HQ107" s="709"/>
      <c r="HR107" s="709"/>
      <c r="HS107" s="709"/>
      <c r="HT107" s="709"/>
      <c r="HU107" s="709"/>
      <c r="HV107" s="709"/>
      <c r="HW107" s="709"/>
      <c r="HX107" s="709"/>
      <c r="HY107" s="709"/>
      <c r="HZ107" s="709"/>
      <c r="IA107" s="709"/>
      <c r="IB107" s="709"/>
      <c r="IC107" s="709"/>
      <c r="ID107" s="709"/>
      <c r="IE107" s="709"/>
      <c r="IF107" s="709"/>
      <c r="IG107" s="709"/>
      <c r="IH107" s="709"/>
      <c r="II107" s="709"/>
      <c r="IJ107" s="709"/>
      <c r="IK107" s="709"/>
      <c r="IL107" s="709"/>
      <c r="IM107" s="709"/>
      <c r="IN107" s="709"/>
      <c r="IO107" s="709"/>
      <c r="IP107" s="709"/>
      <c r="IQ107" s="709"/>
      <c r="IR107" s="709"/>
      <c r="IS107" s="709"/>
      <c r="IT107" s="709"/>
      <c r="IU107" s="709"/>
      <c r="IV107" s="709"/>
    </row>
    <row r="108" spans="1:256" ht="12.75" hidden="1" customHeight="1">
      <c r="A108" s="706" t="s">
        <v>340</v>
      </c>
      <c r="B108" s="705">
        <v>572564.5</v>
      </c>
      <c r="C108" s="706">
        <v>880533.6</v>
      </c>
      <c r="D108" s="689"/>
      <c r="E108" s="706">
        <f t="shared" si="12"/>
        <v>-307969.09999999998</v>
      </c>
      <c r="F108" s="706">
        <v>269353.40000000002</v>
      </c>
      <c r="G108" s="706">
        <v>38615.699999999997</v>
      </c>
      <c r="H108" s="706">
        <f t="shared" si="13"/>
        <v>307969.10000000003</v>
      </c>
      <c r="I108" s="693"/>
      <c r="J108" s="706">
        <v>0</v>
      </c>
      <c r="K108" s="706">
        <f t="shared" si="14"/>
        <v>307969.10000000003</v>
      </c>
      <c r="L108" s="691"/>
      <c r="M108" s="709"/>
      <c r="N108" s="709"/>
      <c r="O108" s="709"/>
      <c r="P108" s="709"/>
      <c r="Q108" s="709"/>
      <c r="R108" s="709"/>
      <c r="S108" s="709"/>
      <c r="T108" s="709"/>
      <c r="U108" s="709"/>
      <c r="V108" s="709"/>
      <c r="W108" s="709"/>
      <c r="X108" s="709"/>
      <c r="Y108" s="709"/>
      <c r="Z108" s="709"/>
      <c r="AA108" s="709"/>
      <c r="AB108" s="709"/>
      <c r="AC108" s="709"/>
      <c r="AD108" s="709"/>
      <c r="AE108" s="709"/>
      <c r="AF108" s="709"/>
      <c r="AG108" s="709"/>
      <c r="AH108" s="709"/>
      <c r="AI108" s="709"/>
      <c r="AJ108" s="709"/>
      <c r="AK108" s="709"/>
      <c r="AL108" s="709"/>
      <c r="AM108" s="709"/>
      <c r="AN108" s="709"/>
      <c r="AO108" s="709"/>
      <c r="AP108" s="709"/>
      <c r="AQ108" s="709"/>
      <c r="AR108" s="709"/>
      <c r="AS108" s="709"/>
      <c r="AT108" s="709"/>
      <c r="AU108" s="709"/>
      <c r="AV108" s="709"/>
      <c r="AW108" s="709"/>
      <c r="AX108" s="709"/>
      <c r="AY108" s="709"/>
      <c r="AZ108" s="709"/>
      <c r="BA108" s="709"/>
      <c r="BB108" s="709"/>
      <c r="BC108" s="709"/>
      <c r="BD108" s="709"/>
      <c r="BE108" s="709"/>
      <c r="BF108" s="709"/>
      <c r="BG108" s="709"/>
      <c r="BH108" s="709"/>
      <c r="BI108" s="709"/>
      <c r="BJ108" s="709"/>
      <c r="BK108" s="709"/>
      <c r="BL108" s="709"/>
      <c r="BM108" s="709"/>
      <c r="BN108" s="709"/>
      <c r="BO108" s="709"/>
      <c r="BP108" s="709"/>
      <c r="BQ108" s="709"/>
      <c r="BR108" s="709"/>
      <c r="BS108" s="709"/>
      <c r="BT108" s="709"/>
      <c r="BU108" s="709"/>
      <c r="BV108" s="709"/>
      <c r="BW108" s="709"/>
      <c r="BX108" s="709"/>
      <c r="BY108" s="709"/>
      <c r="BZ108" s="709"/>
      <c r="CA108" s="709"/>
      <c r="CB108" s="709"/>
      <c r="CC108" s="709"/>
      <c r="CD108" s="709"/>
      <c r="CE108" s="709"/>
      <c r="CF108" s="709"/>
      <c r="CG108" s="709"/>
      <c r="CH108" s="709"/>
      <c r="CI108" s="709"/>
      <c r="CJ108" s="709"/>
      <c r="CK108" s="709"/>
      <c r="CL108" s="709"/>
      <c r="CM108" s="709"/>
      <c r="CN108" s="709"/>
      <c r="CO108" s="709"/>
      <c r="CP108" s="709"/>
      <c r="CQ108" s="709"/>
      <c r="CR108" s="709"/>
      <c r="CS108" s="709"/>
      <c r="CT108" s="709"/>
      <c r="CU108" s="709"/>
      <c r="CV108" s="709"/>
      <c r="CW108" s="709"/>
      <c r="CX108" s="709"/>
      <c r="CY108" s="709"/>
      <c r="CZ108" s="709"/>
      <c r="DA108" s="709"/>
      <c r="DB108" s="709"/>
      <c r="DC108" s="709"/>
      <c r="DD108" s="709"/>
      <c r="DE108" s="709"/>
      <c r="DF108" s="709"/>
      <c r="DG108" s="709"/>
      <c r="DH108" s="709"/>
      <c r="DI108" s="709"/>
      <c r="DJ108" s="709"/>
      <c r="DK108" s="709"/>
      <c r="DL108" s="709"/>
      <c r="DM108" s="709"/>
      <c r="DN108" s="709"/>
      <c r="DO108" s="709"/>
      <c r="DP108" s="709"/>
      <c r="DQ108" s="709"/>
      <c r="DR108" s="709"/>
      <c r="DS108" s="709"/>
      <c r="DT108" s="709"/>
      <c r="DU108" s="709"/>
      <c r="DV108" s="709"/>
      <c r="DW108" s="709"/>
      <c r="DX108" s="709"/>
      <c r="DY108" s="709"/>
      <c r="DZ108" s="709"/>
      <c r="EA108" s="709"/>
      <c r="EB108" s="709"/>
      <c r="EC108" s="709"/>
      <c r="ED108" s="709"/>
      <c r="EE108" s="709"/>
      <c r="EF108" s="709"/>
      <c r="EG108" s="709"/>
      <c r="EH108" s="709"/>
      <c r="EI108" s="709"/>
      <c r="EJ108" s="709"/>
      <c r="EK108" s="709"/>
      <c r="EL108" s="709"/>
      <c r="EM108" s="709"/>
      <c r="EN108" s="709"/>
      <c r="EO108" s="709"/>
      <c r="EP108" s="709"/>
      <c r="EQ108" s="709"/>
      <c r="ER108" s="709"/>
      <c r="ES108" s="709"/>
      <c r="ET108" s="709"/>
      <c r="EU108" s="709"/>
      <c r="EV108" s="709"/>
      <c r="EW108" s="709"/>
      <c r="EX108" s="709"/>
      <c r="EY108" s="709"/>
      <c r="EZ108" s="709"/>
      <c r="FA108" s="709"/>
      <c r="FB108" s="709"/>
      <c r="FC108" s="709"/>
      <c r="FD108" s="709"/>
      <c r="FE108" s="709"/>
      <c r="FF108" s="709"/>
      <c r="FG108" s="709"/>
      <c r="FH108" s="709"/>
      <c r="FI108" s="709"/>
      <c r="FJ108" s="709"/>
      <c r="FK108" s="709"/>
      <c r="FL108" s="709"/>
      <c r="FM108" s="709"/>
      <c r="FN108" s="709"/>
      <c r="FO108" s="709"/>
      <c r="FP108" s="709"/>
      <c r="FQ108" s="709"/>
      <c r="FR108" s="709"/>
      <c r="FS108" s="709"/>
      <c r="FT108" s="709"/>
      <c r="FU108" s="709"/>
      <c r="FV108" s="709"/>
      <c r="FW108" s="709"/>
      <c r="FX108" s="709"/>
      <c r="FY108" s="709"/>
      <c r="FZ108" s="709"/>
      <c r="GA108" s="709"/>
      <c r="GB108" s="709"/>
      <c r="GC108" s="709"/>
      <c r="GD108" s="709"/>
      <c r="GE108" s="709"/>
      <c r="GF108" s="709"/>
      <c r="GG108" s="709"/>
      <c r="GH108" s="709"/>
      <c r="GI108" s="709"/>
      <c r="GJ108" s="709"/>
      <c r="GK108" s="709"/>
      <c r="GL108" s="709"/>
      <c r="GM108" s="709"/>
      <c r="GN108" s="709"/>
      <c r="GO108" s="709"/>
      <c r="GP108" s="709"/>
      <c r="GQ108" s="709"/>
      <c r="GR108" s="709"/>
      <c r="GS108" s="709"/>
      <c r="GT108" s="709"/>
      <c r="GU108" s="709"/>
      <c r="GV108" s="709"/>
      <c r="GW108" s="709"/>
      <c r="GX108" s="709"/>
      <c r="GY108" s="709"/>
      <c r="GZ108" s="709"/>
      <c r="HA108" s="709"/>
      <c r="HB108" s="709"/>
      <c r="HC108" s="709"/>
      <c r="HD108" s="709"/>
      <c r="HE108" s="709"/>
      <c r="HF108" s="709"/>
      <c r="HG108" s="709"/>
      <c r="HH108" s="709"/>
      <c r="HI108" s="709"/>
      <c r="HJ108" s="709"/>
      <c r="HK108" s="709"/>
      <c r="HL108" s="709"/>
      <c r="HM108" s="709"/>
      <c r="HN108" s="709"/>
      <c r="HO108" s="709"/>
      <c r="HP108" s="709"/>
      <c r="HQ108" s="709"/>
      <c r="HR108" s="709"/>
      <c r="HS108" s="709"/>
      <c r="HT108" s="709"/>
      <c r="HU108" s="709"/>
      <c r="HV108" s="709"/>
      <c r="HW108" s="709"/>
      <c r="HX108" s="709"/>
      <c r="HY108" s="709"/>
      <c r="HZ108" s="709"/>
      <c r="IA108" s="709"/>
      <c r="IB108" s="709"/>
      <c r="IC108" s="709"/>
      <c r="ID108" s="709"/>
      <c r="IE108" s="709"/>
      <c r="IF108" s="709"/>
      <c r="IG108" s="709"/>
      <c r="IH108" s="709"/>
      <c r="II108" s="709"/>
      <c r="IJ108" s="709"/>
      <c r="IK108" s="709"/>
      <c r="IL108" s="709"/>
      <c r="IM108" s="709"/>
      <c r="IN108" s="709"/>
      <c r="IO108" s="709"/>
      <c r="IP108" s="709"/>
      <c r="IQ108" s="709"/>
      <c r="IR108" s="709"/>
      <c r="IS108" s="709"/>
      <c r="IT108" s="709"/>
      <c r="IU108" s="709"/>
      <c r="IV108" s="709"/>
    </row>
    <row r="109" spans="1:256" ht="12.75" hidden="1" customHeight="1">
      <c r="A109" s="706" t="s">
        <v>341</v>
      </c>
      <c r="B109" s="705">
        <v>714716.6</v>
      </c>
      <c r="C109" s="706">
        <v>665845.5</v>
      </c>
      <c r="D109" s="689"/>
      <c r="E109" s="706">
        <f t="shared" si="12"/>
        <v>48871.099999999977</v>
      </c>
      <c r="F109" s="706">
        <v>-13794.2</v>
      </c>
      <c r="G109" s="706">
        <v>-35076</v>
      </c>
      <c r="H109" s="706">
        <f t="shared" si="13"/>
        <v>-48870.2</v>
      </c>
      <c r="I109" s="693"/>
      <c r="J109" s="706">
        <v>-1.1000000000000001</v>
      </c>
      <c r="K109" s="706">
        <f t="shared" si="14"/>
        <v>-48871.299999999996</v>
      </c>
      <c r="L109" s="691"/>
      <c r="M109" s="709"/>
      <c r="N109" s="709"/>
      <c r="O109" s="709"/>
      <c r="P109" s="709"/>
      <c r="Q109" s="709"/>
      <c r="R109" s="709"/>
      <c r="S109" s="709"/>
      <c r="T109" s="709"/>
      <c r="U109" s="709"/>
      <c r="V109" s="709"/>
      <c r="W109" s="709"/>
      <c r="X109" s="709"/>
      <c r="Y109" s="709"/>
      <c r="Z109" s="709"/>
      <c r="AA109" s="709"/>
      <c r="AB109" s="709"/>
      <c r="AC109" s="709"/>
      <c r="AD109" s="709"/>
      <c r="AE109" s="709"/>
      <c r="AF109" s="709"/>
      <c r="AG109" s="709"/>
      <c r="AH109" s="709"/>
      <c r="AI109" s="709"/>
      <c r="AJ109" s="709"/>
      <c r="AK109" s="709"/>
      <c r="AL109" s="709"/>
      <c r="AM109" s="709"/>
      <c r="AN109" s="709"/>
      <c r="AO109" s="709"/>
      <c r="AP109" s="709"/>
      <c r="AQ109" s="709"/>
      <c r="AR109" s="709"/>
      <c r="AS109" s="709"/>
      <c r="AT109" s="709"/>
      <c r="AU109" s="709"/>
      <c r="AV109" s="709"/>
      <c r="AW109" s="709"/>
      <c r="AX109" s="709"/>
      <c r="AY109" s="709"/>
      <c r="AZ109" s="709"/>
      <c r="BA109" s="709"/>
      <c r="BB109" s="709"/>
      <c r="BC109" s="709"/>
      <c r="BD109" s="709"/>
      <c r="BE109" s="709"/>
      <c r="BF109" s="709"/>
      <c r="BG109" s="709"/>
      <c r="BH109" s="709"/>
      <c r="BI109" s="709"/>
      <c r="BJ109" s="709"/>
      <c r="BK109" s="709"/>
      <c r="BL109" s="709"/>
      <c r="BM109" s="709"/>
      <c r="BN109" s="709"/>
      <c r="BO109" s="709"/>
      <c r="BP109" s="709"/>
      <c r="BQ109" s="709"/>
      <c r="BR109" s="709"/>
      <c r="BS109" s="709"/>
      <c r="BT109" s="709"/>
      <c r="BU109" s="709"/>
      <c r="BV109" s="709"/>
      <c r="BW109" s="709"/>
      <c r="BX109" s="709"/>
      <c r="BY109" s="709"/>
      <c r="BZ109" s="709"/>
      <c r="CA109" s="709"/>
      <c r="CB109" s="709"/>
      <c r="CC109" s="709"/>
      <c r="CD109" s="709"/>
      <c r="CE109" s="709"/>
      <c r="CF109" s="709"/>
      <c r="CG109" s="709"/>
      <c r="CH109" s="709"/>
      <c r="CI109" s="709"/>
      <c r="CJ109" s="709"/>
      <c r="CK109" s="709"/>
      <c r="CL109" s="709"/>
      <c r="CM109" s="709"/>
      <c r="CN109" s="709"/>
      <c r="CO109" s="709"/>
      <c r="CP109" s="709"/>
      <c r="CQ109" s="709"/>
      <c r="CR109" s="709"/>
      <c r="CS109" s="709"/>
      <c r="CT109" s="709"/>
      <c r="CU109" s="709"/>
      <c r="CV109" s="709"/>
      <c r="CW109" s="709"/>
      <c r="CX109" s="709"/>
      <c r="CY109" s="709"/>
      <c r="CZ109" s="709"/>
      <c r="DA109" s="709"/>
      <c r="DB109" s="709"/>
      <c r="DC109" s="709"/>
      <c r="DD109" s="709"/>
      <c r="DE109" s="709"/>
      <c r="DF109" s="709"/>
      <c r="DG109" s="709"/>
      <c r="DH109" s="709"/>
      <c r="DI109" s="709"/>
      <c r="DJ109" s="709"/>
      <c r="DK109" s="709"/>
      <c r="DL109" s="709"/>
      <c r="DM109" s="709"/>
      <c r="DN109" s="709"/>
      <c r="DO109" s="709"/>
      <c r="DP109" s="709"/>
      <c r="DQ109" s="709"/>
      <c r="DR109" s="709"/>
      <c r="DS109" s="709"/>
      <c r="DT109" s="709"/>
      <c r="DU109" s="709"/>
      <c r="DV109" s="709"/>
      <c r="DW109" s="709"/>
      <c r="DX109" s="709"/>
      <c r="DY109" s="709"/>
      <c r="DZ109" s="709"/>
      <c r="EA109" s="709"/>
      <c r="EB109" s="709"/>
      <c r="EC109" s="709"/>
      <c r="ED109" s="709"/>
      <c r="EE109" s="709"/>
      <c r="EF109" s="709"/>
      <c r="EG109" s="709"/>
      <c r="EH109" s="709"/>
      <c r="EI109" s="709"/>
      <c r="EJ109" s="709"/>
      <c r="EK109" s="709"/>
      <c r="EL109" s="709"/>
      <c r="EM109" s="709"/>
      <c r="EN109" s="709"/>
      <c r="EO109" s="709"/>
      <c r="EP109" s="709"/>
      <c r="EQ109" s="709"/>
      <c r="ER109" s="709"/>
      <c r="ES109" s="709"/>
      <c r="ET109" s="709"/>
      <c r="EU109" s="709"/>
      <c r="EV109" s="709"/>
      <c r="EW109" s="709"/>
      <c r="EX109" s="709"/>
      <c r="EY109" s="709"/>
      <c r="EZ109" s="709"/>
      <c r="FA109" s="709"/>
      <c r="FB109" s="709"/>
      <c r="FC109" s="709"/>
      <c r="FD109" s="709"/>
      <c r="FE109" s="709"/>
      <c r="FF109" s="709"/>
      <c r="FG109" s="709"/>
      <c r="FH109" s="709"/>
      <c r="FI109" s="709"/>
      <c r="FJ109" s="709"/>
      <c r="FK109" s="709"/>
      <c r="FL109" s="709"/>
      <c r="FM109" s="709"/>
      <c r="FN109" s="709"/>
      <c r="FO109" s="709"/>
      <c r="FP109" s="709"/>
      <c r="FQ109" s="709"/>
      <c r="FR109" s="709"/>
      <c r="FS109" s="709"/>
      <c r="FT109" s="709"/>
      <c r="FU109" s="709"/>
      <c r="FV109" s="709"/>
      <c r="FW109" s="709"/>
      <c r="FX109" s="709"/>
      <c r="FY109" s="709"/>
      <c r="FZ109" s="709"/>
      <c r="GA109" s="709"/>
      <c r="GB109" s="709"/>
      <c r="GC109" s="709"/>
      <c r="GD109" s="709"/>
      <c r="GE109" s="709"/>
      <c r="GF109" s="709"/>
      <c r="GG109" s="709"/>
      <c r="GH109" s="709"/>
      <c r="GI109" s="709"/>
      <c r="GJ109" s="709"/>
      <c r="GK109" s="709"/>
      <c r="GL109" s="709"/>
      <c r="GM109" s="709"/>
      <c r="GN109" s="709"/>
      <c r="GO109" s="709"/>
      <c r="GP109" s="709"/>
      <c r="GQ109" s="709"/>
      <c r="GR109" s="709"/>
      <c r="GS109" s="709"/>
      <c r="GT109" s="709"/>
      <c r="GU109" s="709"/>
      <c r="GV109" s="709"/>
      <c r="GW109" s="709"/>
      <c r="GX109" s="709"/>
      <c r="GY109" s="709"/>
      <c r="GZ109" s="709"/>
      <c r="HA109" s="709"/>
      <c r="HB109" s="709"/>
      <c r="HC109" s="709"/>
      <c r="HD109" s="709"/>
      <c r="HE109" s="709"/>
      <c r="HF109" s="709"/>
      <c r="HG109" s="709"/>
      <c r="HH109" s="709"/>
      <c r="HI109" s="709"/>
      <c r="HJ109" s="709"/>
      <c r="HK109" s="709"/>
      <c r="HL109" s="709"/>
      <c r="HM109" s="709"/>
      <c r="HN109" s="709"/>
      <c r="HO109" s="709"/>
      <c r="HP109" s="709"/>
      <c r="HQ109" s="709"/>
      <c r="HR109" s="709"/>
      <c r="HS109" s="709"/>
      <c r="HT109" s="709"/>
      <c r="HU109" s="709"/>
      <c r="HV109" s="709"/>
      <c r="HW109" s="709"/>
      <c r="HX109" s="709"/>
      <c r="HY109" s="709"/>
      <c r="HZ109" s="709"/>
      <c r="IA109" s="709"/>
      <c r="IB109" s="709"/>
      <c r="IC109" s="709"/>
      <c r="ID109" s="709"/>
      <c r="IE109" s="709"/>
      <c r="IF109" s="709"/>
      <c r="IG109" s="709"/>
      <c r="IH109" s="709"/>
      <c r="II109" s="709"/>
      <c r="IJ109" s="709"/>
      <c r="IK109" s="709"/>
      <c r="IL109" s="709"/>
      <c r="IM109" s="709"/>
      <c r="IN109" s="709"/>
      <c r="IO109" s="709"/>
      <c r="IP109" s="709"/>
      <c r="IQ109" s="709"/>
      <c r="IR109" s="709"/>
      <c r="IS109" s="709"/>
      <c r="IT109" s="709"/>
      <c r="IU109" s="709"/>
      <c r="IV109" s="709"/>
    </row>
    <row r="110" spans="1:256" ht="12.75" hidden="1" customHeight="1">
      <c r="A110" s="706" t="s">
        <v>342</v>
      </c>
      <c r="B110" s="705">
        <v>792272.8</v>
      </c>
      <c r="C110" s="706">
        <v>930656.4</v>
      </c>
      <c r="D110" s="689"/>
      <c r="E110" s="706">
        <v>-138383.6</v>
      </c>
      <c r="F110" s="706">
        <v>330437.90000000002</v>
      </c>
      <c r="G110" s="706">
        <v>-192054.3</v>
      </c>
      <c r="H110" s="706">
        <v>138383.6</v>
      </c>
      <c r="I110" s="693"/>
      <c r="J110" s="706">
        <v>0</v>
      </c>
      <c r="K110" s="706">
        <v>138383.6</v>
      </c>
      <c r="L110" s="691"/>
      <c r="M110" s="709"/>
      <c r="N110" s="709"/>
      <c r="O110" s="709"/>
      <c r="P110" s="709"/>
      <c r="Q110" s="709"/>
      <c r="R110" s="709"/>
      <c r="S110" s="709"/>
      <c r="T110" s="709"/>
      <c r="U110" s="709"/>
      <c r="V110" s="709"/>
      <c r="W110" s="709"/>
      <c r="X110" s="709"/>
      <c r="Y110" s="709"/>
      <c r="Z110" s="709"/>
      <c r="AA110" s="709"/>
      <c r="AB110" s="709"/>
      <c r="AC110" s="709"/>
      <c r="AD110" s="709"/>
      <c r="AE110" s="709"/>
      <c r="AF110" s="709"/>
      <c r="AG110" s="709"/>
      <c r="AH110" s="709"/>
      <c r="AI110" s="709"/>
      <c r="AJ110" s="709"/>
      <c r="AK110" s="709"/>
      <c r="AL110" s="709"/>
      <c r="AM110" s="709"/>
      <c r="AN110" s="709"/>
      <c r="AO110" s="709"/>
      <c r="AP110" s="709"/>
      <c r="AQ110" s="709"/>
      <c r="AR110" s="709"/>
      <c r="AS110" s="709"/>
      <c r="AT110" s="709"/>
      <c r="AU110" s="709"/>
      <c r="AV110" s="709"/>
      <c r="AW110" s="709"/>
      <c r="AX110" s="709"/>
      <c r="AY110" s="709"/>
      <c r="AZ110" s="709"/>
      <c r="BA110" s="709"/>
      <c r="BB110" s="709"/>
      <c r="BC110" s="709"/>
      <c r="BD110" s="709"/>
      <c r="BE110" s="709"/>
      <c r="BF110" s="709"/>
      <c r="BG110" s="709"/>
      <c r="BH110" s="709"/>
      <c r="BI110" s="709"/>
      <c r="BJ110" s="709"/>
      <c r="BK110" s="709"/>
      <c r="BL110" s="709"/>
      <c r="BM110" s="709"/>
      <c r="BN110" s="709"/>
      <c r="BO110" s="709"/>
      <c r="BP110" s="709"/>
      <c r="BQ110" s="709"/>
      <c r="BR110" s="709"/>
      <c r="BS110" s="709"/>
      <c r="BT110" s="709"/>
      <c r="BU110" s="709"/>
      <c r="BV110" s="709"/>
      <c r="BW110" s="709"/>
      <c r="BX110" s="709"/>
      <c r="BY110" s="709"/>
      <c r="BZ110" s="709"/>
      <c r="CA110" s="709"/>
      <c r="CB110" s="709"/>
      <c r="CC110" s="709"/>
      <c r="CD110" s="709"/>
      <c r="CE110" s="709"/>
      <c r="CF110" s="709"/>
      <c r="CG110" s="709"/>
      <c r="CH110" s="709"/>
      <c r="CI110" s="709"/>
      <c r="CJ110" s="709"/>
      <c r="CK110" s="709"/>
      <c r="CL110" s="709"/>
      <c r="CM110" s="709"/>
      <c r="CN110" s="709"/>
      <c r="CO110" s="709"/>
      <c r="CP110" s="709"/>
      <c r="CQ110" s="709"/>
      <c r="CR110" s="709"/>
      <c r="CS110" s="709"/>
      <c r="CT110" s="709"/>
      <c r="CU110" s="709"/>
      <c r="CV110" s="709"/>
      <c r="CW110" s="709"/>
      <c r="CX110" s="709"/>
      <c r="CY110" s="709"/>
      <c r="CZ110" s="709"/>
      <c r="DA110" s="709"/>
      <c r="DB110" s="709"/>
      <c r="DC110" s="709"/>
      <c r="DD110" s="709"/>
      <c r="DE110" s="709"/>
      <c r="DF110" s="709"/>
      <c r="DG110" s="709"/>
      <c r="DH110" s="709"/>
      <c r="DI110" s="709"/>
      <c r="DJ110" s="709"/>
      <c r="DK110" s="709"/>
      <c r="DL110" s="709"/>
      <c r="DM110" s="709"/>
      <c r="DN110" s="709"/>
      <c r="DO110" s="709"/>
      <c r="DP110" s="709"/>
      <c r="DQ110" s="709"/>
      <c r="DR110" s="709"/>
      <c r="DS110" s="709"/>
      <c r="DT110" s="709"/>
      <c r="DU110" s="709"/>
      <c r="DV110" s="709"/>
      <c r="DW110" s="709"/>
      <c r="DX110" s="709"/>
      <c r="DY110" s="709"/>
      <c r="DZ110" s="709"/>
      <c r="EA110" s="709"/>
      <c r="EB110" s="709"/>
      <c r="EC110" s="709"/>
      <c r="ED110" s="709"/>
      <c r="EE110" s="709"/>
      <c r="EF110" s="709"/>
      <c r="EG110" s="709"/>
      <c r="EH110" s="709"/>
      <c r="EI110" s="709"/>
      <c r="EJ110" s="709"/>
      <c r="EK110" s="709"/>
      <c r="EL110" s="709"/>
      <c r="EM110" s="709"/>
      <c r="EN110" s="709"/>
      <c r="EO110" s="709"/>
      <c r="EP110" s="709"/>
      <c r="EQ110" s="709"/>
      <c r="ER110" s="709"/>
      <c r="ES110" s="709"/>
      <c r="ET110" s="709"/>
      <c r="EU110" s="709"/>
      <c r="EV110" s="709"/>
      <c r="EW110" s="709"/>
      <c r="EX110" s="709"/>
      <c r="EY110" s="709"/>
      <c r="EZ110" s="709"/>
      <c r="FA110" s="709"/>
      <c r="FB110" s="709"/>
      <c r="FC110" s="709"/>
      <c r="FD110" s="709"/>
      <c r="FE110" s="709"/>
      <c r="FF110" s="709"/>
      <c r="FG110" s="709"/>
      <c r="FH110" s="709"/>
      <c r="FI110" s="709"/>
      <c r="FJ110" s="709"/>
      <c r="FK110" s="709"/>
      <c r="FL110" s="709"/>
      <c r="FM110" s="709"/>
      <c r="FN110" s="709"/>
      <c r="FO110" s="709"/>
      <c r="FP110" s="709"/>
      <c r="FQ110" s="709"/>
      <c r="FR110" s="709"/>
      <c r="FS110" s="709"/>
      <c r="FT110" s="709"/>
      <c r="FU110" s="709"/>
      <c r="FV110" s="709"/>
      <c r="FW110" s="709"/>
      <c r="FX110" s="709"/>
      <c r="FY110" s="709"/>
      <c r="FZ110" s="709"/>
      <c r="GA110" s="709"/>
      <c r="GB110" s="709"/>
      <c r="GC110" s="709"/>
      <c r="GD110" s="709"/>
      <c r="GE110" s="709"/>
      <c r="GF110" s="709"/>
      <c r="GG110" s="709"/>
      <c r="GH110" s="709"/>
      <c r="GI110" s="709"/>
      <c r="GJ110" s="709"/>
      <c r="GK110" s="709"/>
      <c r="GL110" s="709"/>
      <c r="GM110" s="709"/>
      <c r="GN110" s="709"/>
      <c r="GO110" s="709"/>
      <c r="GP110" s="709"/>
      <c r="GQ110" s="709"/>
      <c r="GR110" s="709"/>
      <c r="GS110" s="709"/>
      <c r="GT110" s="709"/>
      <c r="GU110" s="709"/>
      <c r="GV110" s="709"/>
      <c r="GW110" s="709"/>
      <c r="GX110" s="709"/>
      <c r="GY110" s="709"/>
      <c r="GZ110" s="709"/>
      <c r="HA110" s="709"/>
      <c r="HB110" s="709"/>
      <c r="HC110" s="709"/>
      <c r="HD110" s="709"/>
      <c r="HE110" s="709"/>
      <c r="HF110" s="709"/>
      <c r="HG110" s="709"/>
      <c r="HH110" s="709"/>
      <c r="HI110" s="709"/>
      <c r="HJ110" s="709"/>
      <c r="HK110" s="709"/>
      <c r="HL110" s="709"/>
      <c r="HM110" s="709"/>
      <c r="HN110" s="709"/>
      <c r="HO110" s="709"/>
      <c r="HP110" s="709"/>
      <c r="HQ110" s="709"/>
      <c r="HR110" s="709"/>
      <c r="HS110" s="709"/>
      <c r="HT110" s="709"/>
      <c r="HU110" s="709"/>
      <c r="HV110" s="709"/>
      <c r="HW110" s="709"/>
      <c r="HX110" s="709"/>
      <c r="HY110" s="709"/>
      <c r="HZ110" s="709"/>
      <c r="IA110" s="709"/>
      <c r="IB110" s="709"/>
      <c r="IC110" s="709"/>
      <c r="ID110" s="709"/>
      <c r="IE110" s="709"/>
      <c r="IF110" s="709"/>
      <c r="IG110" s="709"/>
      <c r="IH110" s="709"/>
      <c r="II110" s="709"/>
      <c r="IJ110" s="709"/>
      <c r="IK110" s="709"/>
      <c r="IL110" s="709"/>
      <c r="IM110" s="709"/>
      <c r="IN110" s="709"/>
      <c r="IO110" s="709"/>
      <c r="IP110" s="709"/>
      <c r="IQ110" s="709"/>
      <c r="IR110" s="709"/>
      <c r="IS110" s="709"/>
      <c r="IT110" s="709"/>
      <c r="IU110" s="709"/>
      <c r="IV110" s="709"/>
    </row>
    <row r="111" spans="1:256" ht="12.75" hidden="1" customHeight="1">
      <c r="A111" s="706" t="s">
        <v>343</v>
      </c>
      <c r="B111" s="705">
        <v>774694.5</v>
      </c>
      <c r="C111" s="706">
        <v>762586</v>
      </c>
      <c r="D111" s="689"/>
      <c r="E111" s="706">
        <f>B111-C111</f>
        <v>12108.5</v>
      </c>
      <c r="F111" s="706">
        <v>-119669.7</v>
      </c>
      <c r="G111" s="706">
        <v>107561.2</v>
      </c>
      <c r="H111" s="706">
        <f t="shared" si="13"/>
        <v>-12108.5</v>
      </c>
      <c r="I111" s="693"/>
      <c r="J111" s="706">
        <v>0</v>
      </c>
      <c r="K111" s="706">
        <f>J111+H111</f>
        <v>-12108.5</v>
      </c>
      <c r="L111" s="691"/>
      <c r="M111" s="709"/>
      <c r="N111" s="709"/>
      <c r="O111" s="709"/>
      <c r="P111" s="709"/>
      <c r="Q111" s="709"/>
      <c r="R111" s="709"/>
      <c r="S111" s="709"/>
      <c r="T111" s="709"/>
      <c r="U111" s="709"/>
      <c r="V111" s="709"/>
      <c r="W111" s="709"/>
      <c r="X111" s="709"/>
      <c r="Y111" s="709"/>
      <c r="Z111" s="709"/>
      <c r="AA111" s="709"/>
      <c r="AB111" s="709"/>
      <c r="AC111" s="709"/>
      <c r="AD111" s="709"/>
      <c r="AE111" s="709"/>
      <c r="AF111" s="709"/>
      <c r="AG111" s="709"/>
      <c r="AH111" s="709"/>
      <c r="AI111" s="709"/>
      <c r="AJ111" s="709"/>
      <c r="AK111" s="709"/>
      <c r="AL111" s="709"/>
      <c r="AM111" s="709"/>
      <c r="AN111" s="709"/>
      <c r="AO111" s="709"/>
      <c r="AP111" s="709"/>
      <c r="AQ111" s="709"/>
      <c r="AR111" s="709"/>
      <c r="AS111" s="709"/>
      <c r="AT111" s="709"/>
      <c r="AU111" s="709"/>
      <c r="AV111" s="709"/>
      <c r="AW111" s="709"/>
      <c r="AX111" s="709"/>
      <c r="AY111" s="709"/>
      <c r="AZ111" s="709"/>
      <c r="BA111" s="709"/>
      <c r="BB111" s="709"/>
      <c r="BC111" s="709"/>
      <c r="BD111" s="709"/>
      <c r="BE111" s="709"/>
      <c r="BF111" s="709"/>
      <c r="BG111" s="709"/>
      <c r="BH111" s="709"/>
      <c r="BI111" s="709"/>
      <c r="BJ111" s="709"/>
      <c r="BK111" s="709"/>
      <c r="BL111" s="709"/>
      <c r="BM111" s="709"/>
      <c r="BN111" s="709"/>
      <c r="BO111" s="709"/>
      <c r="BP111" s="709"/>
      <c r="BQ111" s="709"/>
      <c r="BR111" s="709"/>
      <c r="BS111" s="709"/>
      <c r="BT111" s="709"/>
      <c r="BU111" s="709"/>
      <c r="BV111" s="709"/>
      <c r="BW111" s="709"/>
      <c r="BX111" s="709"/>
      <c r="BY111" s="709"/>
      <c r="BZ111" s="709"/>
      <c r="CA111" s="709"/>
      <c r="CB111" s="709"/>
      <c r="CC111" s="709"/>
      <c r="CD111" s="709"/>
      <c r="CE111" s="709"/>
      <c r="CF111" s="709"/>
      <c r="CG111" s="709"/>
      <c r="CH111" s="709"/>
      <c r="CI111" s="709"/>
      <c r="CJ111" s="709"/>
      <c r="CK111" s="709"/>
      <c r="CL111" s="709"/>
      <c r="CM111" s="709"/>
      <c r="CN111" s="709"/>
      <c r="CO111" s="709"/>
      <c r="CP111" s="709"/>
      <c r="CQ111" s="709"/>
      <c r="CR111" s="709"/>
      <c r="CS111" s="709"/>
      <c r="CT111" s="709"/>
      <c r="CU111" s="709"/>
      <c r="CV111" s="709"/>
      <c r="CW111" s="709"/>
      <c r="CX111" s="709"/>
      <c r="CY111" s="709"/>
      <c r="CZ111" s="709"/>
      <c r="DA111" s="709"/>
      <c r="DB111" s="709"/>
      <c r="DC111" s="709"/>
      <c r="DD111" s="709"/>
      <c r="DE111" s="709"/>
      <c r="DF111" s="709"/>
      <c r="DG111" s="709"/>
      <c r="DH111" s="709"/>
      <c r="DI111" s="709"/>
      <c r="DJ111" s="709"/>
      <c r="DK111" s="709"/>
      <c r="DL111" s="709"/>
      <c r="DM111" s="709"/>
      <c r="DN111" s="709"/>
      <c r="DO111" s="709"/>
      <c r="DP111" s="709"/>
      <c r="DQ111" s="709"/>
      <c r="DR111" s="709"/>
      <c r="DS111" s="709"/>
      <c r="DT111" s="709"/>
      <c r="DU111" s="709"/>
      <c r="DV111" s="709"/>
      <c r="DW111" s="709"/>
      <c r="DX111" s="709"/>
      <c r="DY111" s="709"/>
      <c r="DZ111" s="709"/>
      <c r="EA111" s="709"/>
      <c r="EB111" s="709"/>
      <c r="EC111" s="709"/>
      <c r="ED111" s="709"/>
      <c r="EE111" s="709"/>
      <c r="EF111" s="709"/>
      <c r="EG111" s="709"/>
      <c r="EH111" s="709"/>
      <c r="EI111" s="709"/>
      <c r="EJ111" s="709"/>
      <c r="EK111" s="709"/>
      <c r="EL111" s="709"/>
      <c r="EM111" s="709"/>
      <c r="EN111" s="709"/>
      <c r="EO111" s="709"/>
      <c r="EP111" s="709"/>
      <c r="EQ111" s="709"/>
      <c r="ER111" s="709"/>
      <c r="ES111" s="709"/>
      <c r="ET111" s="709"/>
      <c r="EU111" s="709"/>
      <c r="EV111" s="709"/>
      <c r="EW111" s="709"/>
      <c r="EX111" s="709"/>
      <c r="EY111" s="709"/>
      <c r="EZ111" s="709"/>
      <c r="FA111" s="709"/>
      <c r="FB111" s="709"/>
      <c r="FC111" s="709"/>
      <c r="FD111" s="709"/>
      <c r="FE111" s="709"/>
      <c r="FF111" s="709"/>
      <c r="FG111" s="709"/>
      <c r="FH111" s="709"/>
      <c r="FI111" s="709"/>
      <c r="FJ111" s="709"/>
      <c r="FK111" s="709"/>
      <c r="FL111" s="709"/>
      <c r="FM111" s="709"/>
      <c r="FN111" s="709"/>
      <c r="FO111" s="709"/>
      <c r="FP111" s="709"/>
      <c r="FQ111" s="709"/>
      <c r="FR111" s="709"/>
      <c r="FS111" s="709"/>
      <c r="FT111" s="709"/>
      <c r="FU111" s="709"/>
      <c r="FV111" s="709"/>
      <c r="FW111" s="709"/>
      <c r="FX111" s="709"/>
      <c r="FY111" s="709"/>
      <c r="FZ111" s="709"/>
      <c r="GA111" s="709"/>
      <c r="GB111" s="709"/>
      <c r="GC111" s="709"/>
      <c r="GD111" s="709"/>
      <c r="GE111" s="709"/>
      <c r="GF111" s="709"/>
      <c r="GG111" s="709"/>
      <c r="GH111" s="709"/>
      <c r="GI111" s="709"/>
      <c r="GJ111" s="709"/>
      <c r="GK111" s="709"/>
      <c r="GL111" s="709"/>
      <c r="GM111" s="709"/>
      <c r="GN111" s="709"/>
      <c r="GO111" s="709"/>
      <c r="GP111" s="709"/>
      <c r="GQ111" s="709"/>
      <c r="GR111" s="709"/>
      <c r="GS111" s="709"/>
      <c r="GT111" s="709"/>
      <c r="GU111" s="709"/>
      <c r="GV111" s="709"/>
      <c r="GW111" s="709"/>
      <c r="GX111" s="709"/>
      <c r="GY111" s="709"/>
      <c r="GZ111" s="709"/>
      <c r="HA111" s="709"/>
      <c r="HB111" s="709"/>
      <c r="HC111" s="709"/>
      <c r="HD111" s="709"/>
      <c r="HE111" s="709"/>
      <c r="HF111" s="709"/>
      <c r="HG111" s="709"/>
      <c r="HH111" s="709"/>
      <c r="HI111" s="709"/>
      <c r="HJ111" s="709"/>
      <c r="HK111" s="709"/>
      <c r="HL111" s="709"/>
      <c r="HM111" s="709"/>
      <c r="HN111" s="709"/>
      <c r="HO111" s="709"/>
      <c r="HP111" s="709"/>
      <c r="HQ111" s="709"/>
      <c r="HR111" s="709"/>
      <c r="HS111" s="709"/>
      <c r="HT111" s="709"/>
      <c r="HU111" s="709"/>
      <c r="HV111" s="709"/>
      <c r="HW111" s="709"/>
      <c r="HX111" s="709"/>
      <c r="HY111" s="709"/>
      <c r="HZ111" s="709"/>
      <c r="IA111" s="709"/>
      <c r="IB111" s="709"/>
      <c r="IC111" s="709"/>
      <c r="ID111" s="709"/>
      <c r="IE111" s="709"/>
      <c r="IF111" s="709"/>
      <c r="IG111" s="709"/>
      <c r="IH111" s="709"/>
      <c r="II111" s="709"/>
      <c r="IJ111" s="709"/>
      <c r="IK111" s="709"/>
      <c r="IL111" s="709"/>
      <c r="IM111" s="709"/>
      <c r="IN111" s="709"/>
      <c r="IO111" s="709"/>
      <c r="IP111" s="709"/>
      <c r="IQ111" s="709"/>
      <c r="IR111" s="709"/>
      <c r="IS111" s="709"/>
      <c r="IT111" s="709"/>
      <c r="IU111" s="709"/>
      <c r="IV111" s="709"/>
    </row>
    <row r="112" spans="1:256" ht="12.75" hidden="1" customHeight="1">
      <c r="A112" s="706" t="s">
        <v>344</v>
      </c>
      <c r="B112" s="705">
        <v>1186025.2</v>
      </c>
      <c r="C112" s="706">
        <v>1252677.2</v>
      </c>
      <c r="D112" s="689"/>
      <c r="E112" s="706">
        <f>B112-C112</f>
        <v>-66652</v>
      </c>
      <c r="F112" s="706">
        <v>190753.2</v>
      </c>
      <c r="G112" s="706">
        <v>-128436.4</v>
      </c>
      <c r="H112" s="706">
        <f t="shared" si="13"/>
        <v>62316.800000000017</v>
      </c>
      <c r="I112" s="693"/>
      <c r="J112" s="706">
        <v>0</v>
      </c>
      <c r="K112" s="706">
        <f>J112+H112</f>
        <v>62316.800000000017</v>
      </c>
      <c r="L112" s="691"/>
      <c r="M112" s="709"/>
      <c r="N112" s="709"/>
      <c r="O112" s="709"/>
      <c r="P112" s="709"/>
      <c r="Q112" s="709"/>
      <c r="R112" s="709"/>
      <c r="S112" s="709"/>
      <c r="T112" s="709"/>
      <c r="U112" s="709"/>
      <c r="V112" s="709"/>
      <c r="W112" s="709"/>
      <c r="X112" s="709"/>
      <c r="Y112" s="709"/>
      <c r="Z112" s="709"/>
      <c r="AA112" s="709"/>
      <c r="AB112" s="709"/>
      <c r="AC112" s="709"/>
      <c r="AD112" s="709"/>
      <c r="AE112" s="709"/>
      <c r="AF112" s="709"/>
      <c r="AG112" s="709"/>
      <c r="AH112" s="709"/>
      <c r="AI112" s="709"/>
      <c r="AJ112" s="709"/>
      <c r="AK112" s="709"/>
      <c r="AL112" s="709"/>
      <c r="AM112" s="709"/>
      <c r="AN112" s="709"/>
      <c r="AO112" s="709"/>
      <c r="AP112" s="709"/>
      <c r="AQ112" s="709"/>
      <c r="AR112" s="709"/>
      <c r="AS112" s="709"/>
      <c r="AT112" s="709"/>
      <c r="AU112" s="709"/>
      <c r="AV112" s="709"/>
      <c r="AW112" s="709"/>
      <c r="AX112" s="709"/>
      <c r="AY112" s="709"/>
      <c r="AZ112" s="709"/>
      <c r="BA112" s="709"/>
      <c r="BB112" s="709"/>
      <c r="BC112" s="709"/>
      <c r="BD112" s="709"/>
      <c r="BE112" s="709"/>
      <c r="BF112" s="709"/>
      <c r="BG112" s="709"/>
      <c r="BH112" s="709"/>
      <c r="BI112" s="709"/>
      <c r="BJ112" s="709"/>
      <c r="BK112" s="709"/>
      <c r="BL112" s="709"/>
      <c r="BM112" s="709"/>
      <c r="BN112" s="709"/>
      <c r="BO112" s="709"/>
      <c r="BP112" s="709"/>
      <c r="BQ112" s="709"/>
      <c r="BR112" s="709"/>
      <c r="BS112" s="709"/>
      <c r="BT112" s="709"/>
      <c r="BU112" s="709"/>
      <c r="BV112" s="709"/>
      <c r="BW112" s="709"/>
      <c r="BX112" s="709"/>
      <c r="BY112" s="709"/>
      <c r="BZ112" s="709"/>
      <c r="CA112" s="709"/>
      <c r="CB112" s="709"/>
      <c r="CC112" s="709"/>
      <c r="CD112" s="709"/>
      <c r="CE112" s="709"/>
      <c r="CF112" s="709"/>
      <c r="CG112" s="709"/>
      <c r="CH112" s="709"/>
      <c r="CI112" s="709"/>
      <c r="CJ112" s="709"/>
      <c r="CK112" s="709"/>
      <c r="CL112" s="709"/>
      <c r="CM112" s="709"/>
      <c r="CN112" s="709"/>
      <c r="CO112" s="709"/>
      <c r="CP112" s="709"/>
      <c r="CQ112" s="709"/>
      <c r="CR112" s="709"/>
      <c r="CS112" s="709"/>
      <c r="CT112" s="709"/>
      <c r="CU112" s="709"/>
      <c r="CV112" s="709"/>
      <c r="CW112" s="709"/>
      <c r="CX112" s="709"/>
      <c r="CY112" s="709"/>
      <c r="CZ112" s="709"/>
      <c r="DA112" s="709"/>
      <c r="DB112" s="709"/>
      <c r="DC112" s="709"/>
      <c r="DD112" s="709"/>
      <c r="DE112" s="709"/>
      <c r="DF112" s="709"/>
      <c r="DG112" s="709"/>
      <c r="DH112" s="709"/>
      <c r="DI112" s="709"/>
      <c r="DJ112" s="709"/>
      <c r="DK112" s="709"/>
      <c r="DL112" s="709"/>
      <c r="DM112" s="709"/>
      <c r="DN112" s="709"/>
      <c r="DO112" s="709"/>
      <c r="DP112" s="709"/>
      <c r="DQ112" s="709"/>
      <c r="DR112" s="709"/>
      <c r="DS112" s="709"/>
      <c r="DT112" s="709"/>
      <c r="DU112" s="709"/>
      <c r="DV112" s="709"/>
      <c r="DW112" s="709"/>
      <c r="DX112" s="709"/>
      <c r="DY112" s="709"/>
      <c r="DZ112" s="709"/>
      <c r="EA112" s="709"/>
      <c r="EB112" s="709"/>
      <c r="EC112" s="709"/>
      <c r="ED112" s="709"/>
      <c r="EE112" s="709"/>
      <c r="EF112" s="709"/>
      <c r="EG112" s="709"/>
      <c r="EH112" s="709"/>
      <c r="EI112" s="709"/>
      <c r="EJ112" s="709"/>
      <c r="EK112" s="709"/>
      <c r="EL112" s="709"/>
      <c r="EM112" s="709"/>
      <c r="EN112" s="709"/>
      <c r="EO112" s="709"/>
      <c r="EP112" s="709"/>
      <c r="EQ112" s="709"/>
      <c r="ER112" s="709"/>
      <c r="ES112" s="709"/>
      <c r="ET112" s="709"/>
      <c r="EU112" s="709"/>
      <c r="EV112" s="709"/>
      <c r="EW112" s="709"/>
      <c r="EX112" s="709"/>
      <c r="EY112" s="709"/>
      <c r="EZ112" s="709"/>
      <c r="FA112" s="709"/>
      <c r="FB112" s="709"/>
      <c r="FC112" s="709"/>
      <c r="FD112" s="709"/>
      <c r="FE112" s="709"/>
      <c r="FF112" s="709"/>
      <c r="FG112" s="709"/>
      <c r="FH112" s="709"/>
      <c r="FI112" s="709"/>
      <c r="FJ112" s="709"/>
      <c r="FK112" s="709"/>
      <c r="FL112" s="709"/>
      <c r="FM112" s="709"/>
      <c r="FN112" s="709"/>
      <c r="FO112" s="709"/>
      <c r="FP112" s="709"/>
      <c r="FQ112" s="709"/>
      <c r="FR112" s="709"/>
      <c r="FS112" s="709"/>
      <c r="FT112" s="709"/>
      <c r="FU112" s="709"/>
      <c r="FV112" s="709"/>
      <c r="FW112" s="709"/>
      <c r="FX112" s="709"/>
      <c r="FY112" s="709"/>
      <c r="FZ112" s="709"/>
      <c r="GA112" s="709"/>
      <c r="GB112" s="709"/>
      <c r="GC112" s="709"/>
      <c r="GD112" s="709"/>
      <c r="GE112" s="709"/>
      <c r="GF112" s="709"/>
      <c r="GG112" s="709"/>
      <c r="GH112" s="709"/>
      <c r="GI112" s="709"/>
      <c r="GJ112" s="709"/>
      <c r="GK112" s="709"/>
      <c r="GL112" s="709"/>
      <c r="GM112" s="709"/>
      <c r="GN112" s="709"/>
      <c r="GO112" s="709"/>
      <c r="GP112" s="709"/>
      <c r="GQ112" s="709"/>
      <c r="GR112" s="709"/>
      <c r="GS112" s="709"/>
      <c r="GT112" s="709"/>
      <c r="GU112" s="709"/>
      <c r="GV112" s="709"/>
      <c r="GW112" s="709"/>
      <c r="GX112" s="709"/>
      <c r="GY112" s="709"/>
      <c r="GZ112" s="709"/>
      <c r="HA112" s="709"/>
      <c r="HB112" s="709"/>
      <c r="HC112" s="709"/>
      <c r="HD112" s="709"/>
      <c r="HE112" s="709"/>
      <c r="HF112" s="709"/>
      <c r="HG112" s="709"/>
      <c r="HH112" s="709"/>
      <c r="HI112" s="709"/>
      <c r="HJ112" s="709"/>
      <c r="HK112" s="709"/>
      <c r="HL112" s="709"/>
      <c r="HM112" s="709"/>
      <c r="HN112" s="709"/>
      <c r="HO112" s="709"/>
      <c r="HP112" s="709"/>
      <c r="HQ112" s="709"/>
      <c r="HR112" s="709"/>
      <c r="HS112" s="709"/>
      <c r="HT112" s="709"/>
      <c r="HU112" s="709"/>
      <c r="HV112" s="709"/>
      <c r="HW112" s="709"/>
      <c r="HX112" s="709"/>
      <c r="HY112" s="709"/>
      <c r="HZ112" s="709"/>
      <c r="IA112" s="709"/>
      <c r="IB112" s="709"/>
      <c r="IC112" s="709"/>
      <c r="ID112" s="709"/>
      <c r="IE112" s="709"/>
      <c r="IF112" s="709"/>
      <c r="IG112" s="709"/>
      <c r="IH112" s="709"/>
      <c r="II112" s="709"/>
      <c r="IJ112" s="709"/>
      <c r="IK112" s="709"/>
      <c r="IL112" s="709"/>
      <c r="IM112" s="709"/>
      <c r="IN112" s="709"/>
      <c r="IO112" s="709"/>
      <c r="IP112" s="709"/>
      <c r="IQ112" s="709"/>
      <c r="IR112" s="709"/>
      <c r="IS112" s="709"/>
      <c r="IT112" s="709"/>
      <c r="IU112" s="709"/>
      <c r="IV112" s="709"/>
    </row>
    <row r="113" spans="1:256" ht="12.75" hidden="1" customHeight="1">
      <c r="A113" s="706"/>
      <c r="B113" s="705"/>
      <c r="C113" s="706"/>
      <c r="D113" s="689"/>
      <c r="E113" s="706"/>
      <c r="F113" s="706"/>
      <c r="G113" s="706"/>
      <c r="H113" s="706"/>
      <c r="I113" s="693"/>
      <c r="J113" s="706"/>
      <c r="K113" s="706"/>
      <c r="L113" s="691"/>
      <c r="M113" s="709"/>
      <c r="N113" s="709"/>
      <c r="O113" s="709"/>
      <c r="P113" s="709"/>
      <c r="Q113" s="709"/>
      <c r="R113" s="709"/>
      <c r="S113" s="709"/>
      <c r="T113" s="709"/>
      <c r="U113" s="709"/>
      <c r="V113" s="709"/>
      <c r="W113" s="709"/>
      <c r="X113" s="709"/>
      <c r="Y113" s="709"/>
      <c r="Z113" s="709"/>
      <c r="AA113" s="709"/>
      <c r="AB113" s="709"/>
      <c r="AC113" s="709"/>
      <c r="AD113" s="709"/>
      <c r="AE113" s="709"/>
      <c r="AF113" s="709"/>
      <c r="AG113" s="709"/>
      <c r="AH113" s="709"/>
      <c r="AI113" s="709"/>
      <c r="AJ113" s="709"/>
      <c r="AK113" s="709"/>
      <c r="AL113" s="709"/>
      <c r="AM113" s="709"/>
      <c r="AN113" s="709"/>
      <c r="AO113" s="709"/>
      <c r="AP113" s="709"/>
      <c r="AQ113" s="709"/>
      <c r="AR113" s="709"/>
      <c r="AS113" s="709"/>
      <c r="AT113" s="709"/>
      <c r="AU113" s="709"/>
      <c r="AV113" s="709"/>
      <c r="AW113" s="709"/>
      <c r="AX113" s="709"/>
      <c r="AY113" s="709"/>
      <c r="AZ113" s="709"/>
      <c r="BA113" s="709"/>
      <c r="BB113" s="709"/>
      <c r="BC113" s="709"/>
      <c r="BD113" s="709"/>
      <c r="BE113" s="709"/>
      <c r="BF113" s="709"/>
      <c r="BG113" s="709"/>
      <c r="BH113" s="709"/>
      <c r="BI113" s="709"/>
      <c r="BJ113" s="709"/>
      <c r="BK113" s="709"/>
      <c r="BL113" s="709"/>
      <c r="BM113" s="709"/>
      <c r="BN113" s="709"/>
      <c r="BO113" s="709"/>
      <c r="BP113" s="709"/>
      <c r="BQ113" s="709"/>
      <c r="BR113" s="709"/>
      <c r="BS113" s="709"/>
      <c r="BT113" s="709"/>
      <c r="BU113" s="709"/>
      <c r="BV113" s="709"/>
      <c r="BW113" s="709"/>
      <c r="BX113" s="709"/>
      <c r="BY113" s="709"/>
      <c r="BZ113" s="709"/>
      <c r="CA113" s="709"/>
      <c r="CB113" s="709"/>
      <c r="CC113" s="709"/>
      <c r="CD113" s="709"/>
      <c r="CE113" s="709"/>
      <c r="CF113" s="709"/>
      <c r="CG113" s="709"/>
      <c r="CH113" s="709"/>
      <c r="CI113" s="709"/>
      <c r="CJ113" s="709"/>
      <c r="CK113" s="709"/>
      <c r="CL113" s="709"/>
      <c r="CM113" s="709"/>
      <c r="CN113" s="709"/>
      <c r="CO113" s="709"/>
      <c r="CP113" s="709"/>
      <c r="CQ113" s="709"/>
      <c r="CR113" s="709"/>
      <c r="CS113" s="709"/>
      <c r="CT113" s="709"/>
      <c r="CU113" s="709"/>
      <c r="CV113" s="709"/>
      <c r="CW113" s="709"/>
      <c r="CX113" s="709"/>
      <c r="CY113" s="709"/>
      <c r="CZ113" s="709"/>
      <c r="DA113" s="709"/>
      <c r="DB113" s="709"/>
      <c r="DC113" s="709"/>
      <c r="DD113" s="709"/>
      <c r="DE113" s="709"/>
      <c r="DF113" s="709"/>
      <c r="DG113" s="709"/>
      <c r="DH113" s="709"/>
      <c r="DI113" s="709"/>
      <c r="DJ113" s="709"/>
      <c r="DK113" s="709"/>
      <c r="DL113" s="709"/>
      <c r="DM113" s="709"/>
      <c r="DN113" s="709"/>
      <c r="DO113" s="709"/>
      <c r="DP113" s="709"/>
      <c r="DQ113" s="709"/>
      <c r="DR113" s="709"/>
      <c r="DS113" s="709"/>
      <c r="DT113" s="709"/>
      <c r="DU113" s="709"/>
      <c r="DV113" s="709"/>
      <c r="DW113" s="709"/>
      <c r="DX113" s="709"/>
      <c r="DY113" s="709"/>
      <c r="DZ113" s="709"/>
      <c r="EA113" s="709"/>
      <c r="EB113" s="709"/>
      <c r="EC113" s="709"/>
      <c r="ED113" s="709"/>
      <c r="EE113" s="709"/>
      <c r="EF113" s="709"/>
      <c r="EG113" s="709"/>
      <c r="EH113" s="709"/>
      <c r="EI113" s="709"/>
      <c r="EJ113" s="709"/>
      <c r="EK113" s="709"/>
      <c r="EL113" s="709"/>
      <c r="EM113" s="709"/>
      <c r="EN113" s="709"/>
      <c r="EO113" s="709"/>
      <c r="EP113" s="709"/>
      <c r="EQ113" s="709"/>
      <c r="ER113" s="709"/>
      <c r="ES113" s="709"/>
      <c r="ET113" s="709"/>
      <c r="EU113" s="709"/>
      <c r="EV113" s="709"/>
      <c r="EW113" s="709"/>
      <c r="EX113" s="709"/>
      <c r="EY113" s="709"/>
      <c r="EZ113" s="709"/>
      <c r="FA113" s="709"/>
      <c r="FB113" s="709"/>
      <c r="FC113" s="709"/>
      <c r="FD113" s="709"/>
      <c r="FE113" s="709"/>
      <c r="FF113" s="709"/>
      <c r="FG113" s="709"/>
      <c r="FH113" s="709"/>
      <c r="FI113" s="709"/>
      <c r="FJ113" s="709"/>
      <c r="FK113" s="709"/>
      <c r="FL113" s="709"/>
      <c r="FM113" s="709"/>
      <c r="FN113" s="709"/>
      <c r="FO113" s="709"/>
      <c r="FP113" s="709"/>
      <c r="FQ113" s="709"/>
      <c r="FR113" s="709"/>
      <c r="FS113" s="709"/>
      <c r="FT113" s="709"/>
      <c r="FU113" s="709"/>
      <c r="FV113" s="709"/>
      <c r="FW113" s="709"/>
      <c r="FX113" s="709"/>
      <c r="FY113" s="709"/>
      <c r="FZ113" s="709"/>
      <c r="GA113" s="709"/>
      <c r="GB113" s="709"/>
      <c r="GC113" s="709"/>
      <c r="GD113" s="709"/>
      <c r="GE113" s="709"/>
      <c r="GF113" s="709"/>
      <c r="GG113" s="709"/>
      <c r="GH113" s="709"/>
      <c r="GI113" s="709"/>
      <c r="GJ113" s="709"/>
      <c r="GK113" s="709"/>
      <c r="GL113" s="709"/>
      <c r="GM113" s="709"/>
      <c r="GN113" s="709"/>
      <c r="GO113" s="709"/>
      <c r="GP113" s="709"/>
      <c r="GQ113" s="709"/>
      <c r="GR113" s="709"/>
      <c r="GS113" s="709"/>
      <c r="GT113" s="709"/>
      <c r="GU113" s="709"/>
      <c r="GV113" s="709"/>
      <c r="GW113" s="709"/>
      <c r="GX113" s="709"/>
      <c r="GY113" s="709"/>
      <c r="GZ113" s="709"/>
      <c r="HA113" s="709"/>
      <c r="HB113" s="709"/>
      <c r="HC113" s="709"/>
      <c r="HD113" s="709"/>
      <c r="HE113" s="709"/>
      <c r="HF113" s="709"/>
      <c r="HG113" s="709"/>
      <c r="HH113" s="709"/>
      <c r="HI113" s="709"/>
      <c r="HJ113" s="709"/>
      <c r="HK113" s="709"/>
      <c r="HL113" s="709"/>
      <c r="HM113" s="709"/>
      <c r="HN113" s="709"/>
      <c r="HO113" s="709"/>
      <c r="HP113" s="709"/>
      <c r="HQ113" s="709"/>
      <c r="HR113" s="709"/>
      <c r="HS113" s="709"/>
      <c r="HT113" s="709"/>
      <c r="HU113" s="709"/>
      <c r="HV113" s="709"/>
      <c r="HW113" s="709"/>
      <c r="HX113" s="709"/>
      <c r="HY113" s="709"/>
      <c r="HZ113" s="709"/>
      <c r="IA113" s="709"/>
      <c r="IB113" s="709"/>
      <c r="IC113" s="709"/>
      <c r="ID113" s="709"/>
      <c r="IE113" s="709"/>
      <c r="IF113" s="709"/>
      <c r="IG113" s="709"/>
      <c r="IH113" s="709"/>
      <c r="II113" s="709"/>
      <c r="IJ113" s="709"/>
      <c r="IK113" s="709"/>
      <c r="IL113" s="709"/>
      <c r="IM113" s="709"/>
      <c r="IN113" s="709"/>
      <c r="IO113" s="709"/>
      <c r="IP113" s="709"/>
      <c r="IQ113" s="709"/>
      <c r="IR113" s="709"/>
      <c r="IS113" s="709"/>
      <c r="IT113" s="709"/>
      <c r="IU113" s="709"/>
      <c r="IV113" s="709"/>
    </row>
    <row r="114" spans="1:256" ht="12.75" hidden="1" customHeight="1">
      <c r="A114" s="708">
        <v>2005</v>
      </c>
      <c r="B114" s="705"/>
      <c r="C114" s="706"/>
      <c r="D114" s="689"/>
      <c r="E114" s="706"/>
      <c r="F114" s="706"/>
      <c r="G114" s="706"/>
      <c r="H114" s="706"/>
      <c r="I114" s="693"/>
      <c r="J114" s="706"/>
      <c r="K114" s="706"/>
      <c r="L114" s="691"/>
      <c r="M114" s="709"/>
      <c r="N114" s="709"/>
      <c r="O114" s="709"/>
      <c r="P114" s="709"/>
      <c r="Q114" s="709"/>
      <c r="R114" s="709"/>
      <c r="S114" s="709"/>
      <c r="T114" s="709"/>
      <c r="U114" s="709"/>
      <c r="V114" s="709"/>
      <c r="W114" s="709"/>
      <c r="X114" s="709"/>
      <c r="Y114" s="709"/>
      <c r="Z114" s="709"/>
      <c r="AA114" s="709"/>
      <c r="AB114" s="709"/>
      <c r="AC114" s="709"/>
      <c r="AD114" s="709"/>
      <c r="AE114" s="709"/>
      <c r="AF114" s="709"/>
      <c r="AG114" s="709"/>
      <c r="AH114" s="709"/>
      <c r="AI114" s="709"/>
      <c r="AJ114" s="709"/>
      <c r="AK114" s="709"/>
      <c r="AL114" s="709"/>
      <c r="AM114" s="709"/>
      <c r="AN114" s="709"/>
      <c r="AO114" s="709"/>
      <c r="AP114" s="709"/>
      <c r="AQ114" s="709"/>
      <c r="AR114" s="709"/>
      <c r="AS114" s="709"/>
      <c r="AT114" s="709"/>
      <c r="AU114" s="709"/>
      <c r="AV114" s="709"/>
      <c r="AW114" s="709"/>
      <c r="AX114" s="709"/>
      <c r="AY114" s="709"/>
      <c r="AZ114" s="709"/>
      <c r="BA114" s="709"/>
      <c r="BB114" s="709"/>
      <c r="BC114" s="709"/>
      <c r="BD114" s="709"/>
      <c r="BE114" s="709"/>
      <c r="BF114" s="709"/>
      <c r="BG114" s="709"/>
      <c r="BH114" s="709"/>
      <c r="BI114" s="709"/>
      <c r="BJ114" s="709"/>
      <c r="BK114" s="709"/>
      <c r="BL114" s="709"/>
      <c r="BM114" s="709"/>
      <c r="BN114" s="709"/>
      <c r="BO114" s="709"/>
      <c r="BP114" s="709"/>
      <c r="BQ114" s="709"/>
      <c r="BR114" s="709"/>
      <c r="BS114" s="709"/>
      <c r="BT114" s="709"/>
      <c r="BU114" s="709"/>
      <c r="BV114" s="709"/>
      <c r="BW114" s="709"/>
      <c r="BX114" s="709"/>
      <c r="BY114" s="709"/>
      <c r="BZ114" s="709"/>
      <c r="CA114" s="709"/>
      <c r="CB114" s="709"/>
      <c r="CC114" s="709"/>
      <c r="CD114" s="709"/>
      <c r="CE114" s="709"/>
      <c r="CF114" s="709"/>
      <c r="CG114" s="709"/>
      <c r="CH114" s="709"/>
      <c r="CI114" s="709"/>
      <c r="CJ114" s="709"/>
      <c r="CK114" s="709"/>
      <c r="CL114" s="709"/>
      <c r="CM114" s="709"/>
      <c r="CN114" s="709"/>
      <c r="CO114" s="709"/>
      <c r="CP114" s="709"/>
      <c r="CQ114" s="709"/>
      <c r="CR114" s="709"/>
      <c r="CS114" s="709"/>
      <c r="CT114" s="709"/>
      <c r="CU114" s="709"/>
      <c r="CV114" s="709"/>
      <c r="CW114" s="709"/>
      <c r="CX114" s="709"/>
      <c r="CY114" s="709"/>
      <c r="CZ114" s="709"/>
      <c r="DA114" s="709"/>
      <c r="DB114" s="709"/>
      <c r="DC114" s="709"/>
      <c r="DD114" s="709"/>
      <c r="DE114" s="709"/>
      <c r="DF114" s="709"/>
      <c r="DG114" s="709"/>
      <c r="DH114" s="709"/>
      <c r="DI114" s="709"/>
      <c r="DJ114" s="709"/>
      <c r="DK114" s="709"/>
      <c r="DL114" s="709"/>
      <c r="DM114" s="709"/>
      <c r="DN114" s="709"/>
      <c r="DO114" s="709"/>
      <c r="DP114" s="709"/>
      <c r="DQ114" s="709"/>
      <c r="DR114" s="709"/>
      <c r="DS114" s="709"/>
      <c r="DT114" s="709"/>
      <c r="DU114" s="709"/>
      <c r="DV114" s="709"/>
      <c r="DW114" s="709"/>
      <c r="DX114" s="709"/>
      <c r="DY114" s="709"/>
      <c r="DZ114" s="709"/>
      <c r="EA114" s="709"/>
      <c r="EB114" s="709"/>
      <c r="EC114" s="709"/>
      <c r="ED114" s="709"/>
      <c r="EE114" s="709"/>
      <c r="EF114" s="709"/>
      <c r="EG114" s="709"/>
      <c r="EH114" s="709"/>
      <c r="EI114" s="709"/>
      <c r="EJ114" s="709"/>
      <c r="EK114" s="709"/>
      <c r="EL114" s="709"/>
      <c r="EM114" s="709"/>
      <c r="EN114" s="709"/>
      <c r="EO114" s="709"/>
      <c r="EP114" s="709"/>
      <c r="EQ114" s="709"/>
      <c r="ER114" s="709"/>
      <c r="ES114" s="709"/>
      <c r="ET114" s="709"/>
      <c r="EU114" s="709"/>
      <c r="EV114" s="709"/>
      <c r="EW114" s="709"/>
      <c r="EX114" s="709"/>
      <c r="EY114" s="709"/>
      <c r="EZ114" s="709"/>
      <c r="FA114" s="709"/>
      <c r="FB114" s="709"/>
      <c r="FC114" s="709"/>
      <c r="FD114" s="709"/>
      <c r="FE114" s="709"/>
      <c r="FF114" s="709"/>
      <c r="FG114" s="709"/>
      <c r="FH114" s="709"/>
      <c r="FI114" s="709"/>
      <c r="FJ114" s="709"/>
      <c r="FK114" s="709"/>
      <c r="FL114" s="709"/>
      <c r="FM114" s="709"/>
      <c r="FN114" s="709"/>
      <c r="FO114" s="709"/>
      <c r="FP114" s="709"/>
      <c r="FQ114" s="709"/>
      <c r="FR114" s="709"/>
      <c r="FS114" s="709"/>
      <c r="FT114" s="709"/>
      <c r="FU114" s="709"/>
      <c r="FV114" s="709"/>
      <c r="FW114" s="709"/>
      <c r="FX114" s="709"/>
      <c r="FY114" s="709"/>
      <c r="FZ114" s="709"/>
      <c r="GA114" s="709"/>
      <c r="GB114" s="709"/>
      <c r="GC114" s="709"/>
      <c r="GD114" s="709"/>
      <c r="GE114" s="709"/>
      <c r="GF114" s="709"/>
      <c r="GG114" s="709"/>
      <c r="GH114" s="709"/>
      <c r="GI114" s="709"/>
      <c r="GJ114" s="709"/>
      <c r="GK114" s="709"/>
      <c r="GL114" s="709"/>
      <c r="GM114" s="709"/>
      <c r="GN114" s="709"/>
      <c r="GO114" s="709"/>
      <c r="GP114" s="709"/>
      <c r="GQ114" s="709"/>
      <c r="GR114" s="709"/>
      <c r="GS114" s="709"/>
      <c r="GT114" s="709"/>
      <c r="GU114" s="709"/>
      <c r="GV114" s="709"/>
      <c r="GW114" s="709"/>
      <c r="GX114" s="709"/>
      <c r="GY114" s="709"/>
      <c r="GZ114" s="709"/>
      <c r="HA114" s="709"/>
      <c r="HB114" s="709"/>
      <c r="HC114" s="709"/>
      <c r="HD114" s="709"/>
      <c r="HE114" s="709"/>
      <c r="HF114" s="709"/>
      <c r="HG114" s="709"/>
      <c r="HH114" s="709"/>
      <c r="HI114" s="709"/>
      <c r="HJ114" s="709"/>
      <c r="HK114" s="709"/>
      <c r="HL114" s="709"/>
      <c r="HM114" s="709"/>
      <c r="HN114" s="709"/>
      <c r="HO114" s="709"/>
      <c r="HP114" s="709"/>
      <c r="HQ114" s="709"/>
      <c r="HR114" s="709"/>
      <c r="HS114" s="709"/>
      <c r="HT114" s="709"/>
      <c r="HU114" s="709"/>
      <c r="HV114" s="709"/>
      <c r="HW114" s="709"/>
      <c r="HX114" s="709"/>
      <c r="HY114" s="709"/>
      <c r="HZ114" s="709"/>
      <c r="IA114" s="709"/>
      <c r="IB114" s="709"/>
      <c r="IC114" s="709"/>
      <c r="ID114" s="709"/>
      <c r="IE114" s="709"/>
      <c r="IF114" s="709"/>
      <c r="IG114" s="709"/>
      <c r="IH114" s="709"/>
      <c r="II114" s="709"/>
      <c r="IJ114" s="709"/>
      <c r="IK114" s="709"/>
      <c r="IL114" s="709"/>
      <c r="IM114" s="709"/>
      <c r="IN114" s="709"/>
      <c r="IO114" s="709"/>
      <c r="IP114" s="709"/>
      <c r="IQ114" s="709"/>
      <c r="IR114" s="709"/>
      <c r="IS114" s="709"/>
      <c r="IT114" s="709"/>
      <c r="IU114" s="709"/>
      <c r="IV114" s="709"/>
    </row>
    <row r="115" spans="1:256" ht="12.75" hidden="1" customHeight="1">
      <c r="A115" s="706"/>
      <c r="B115" s="705"/>
      <c r="C115" s="706"/>
      <c r="D115" s="689"/>
      <c r="E115" s="706"/>
      <c r="F115" s="706"/>
      <c r="G115" s="706"/>
      <c r="H115" s="706"/>
      <c r="I115" s="693"/>
      <c r="J115" s="706"/>
      <c r="K115" s="706"/>
      <c r="L115" s="691"/>
      <c r="M115" s="709"/>
      <c r="N115" s="709"/>
      <c r="O115" s="709"/>
      <c r="P115" s="709"/>
      <c r="Q115" s="709"/>
      <c r="R115" s="709"/>
      <c r="S115" s="709"/>
      <c r="T115" s="709"/>
      <c r="U115" s="709"/>
      <c r="V115" s="709"/>
      <c r="W115" s="709"/>
      <c r="X115" s="709"/>
      <c r="Y115" s="709"/>
      <c r="Z115" s="709"/>
      <c r="AA115" s="709"/>
      <c r="AB115" s="709"/>
      <c r="AC115" s="709"/>
      <c r="AD115" s="709"/>
      <c r="AE115" s="709"/>
      <c r="AF115" s="709"/>
      <c r="AG115" s="709"/>
      <c r="AH115" s="709"/>
      <c r="AI115" s="709"/>
      <c r="AJ115" s="709"/>
      <c r="AK115" s="709"/>
      <c r="AL115" s="709"/>
      <c r="AM115" s="709"/>
      <c r="AN115" s="709"/>
      <c r="AO115" s="709"/>
      <c r="AP115" s="709"/>
      <c r="AQ115" s="709"/>
      <c r="AR115" s="709"/>
      <c r="AS115" s="709"/>
      <c r="AT115" s="709"/>
      <c r="AU115" s="709"/>
      <c r="AV115" s="709"/>
      <c r="AW115" s="709"/>
      <c r="AX115" s="709"/>
      <c r="AY115" s="709"/>
      <c r="AZ115" s="709"/>
      <c r="BA115" s="709"/>
      <c r="BB115" s="709"/>
      <c r="BC115" s="709"/>
      <c r="BD115" s="709"/>
      <c r="BE115" s="709"/>
      <c r="BF115" s="709"/>
      <c r="BG115" s="709"/>
      <c r="BH115" s="709"/>
      <c r="BI115" s="709"/>
      <c r="BJ115" s="709"/>
      <c r="BK115" s="709"/>
      <c r="BL115" s="709"/>
      <c r="BM115" s="709"/>
      <c r="BN115" s="709"/>
      <c r="BO115" s="709"/>
      <c r="BP115" s="709"/>
      <c r="BQ115" s="709"/>
      <c r="BR115" s="709"/>
      <c r="BS115" s="709"/>
      <c r="BT115" s="709"/>
      <c r="BU115" s="709"/>
      <c r="BV115" s="709"/>
      <c r="BW115" s="709"/>
      <c r="BX115" s="709"/>
      <c r="BY115" s="709"/>
      <c r="BZ115" s="709"/>
      <c r="CA115" s="709"/>
      <c r="CB115" s="709"/>
      <c r="CC115" s="709"/>
      <c r="CD115" s="709"/>
      <c r="CE115" s="709"/>
      <c r="CF115" s="709"/>
      <c r="CG115" s="709"/>
      <c r="CH115" s="709"/>
      <c r="CI115" s="709"/>
      <c r="CJ115" s="709"/>
      <c r="CK115" s="709"/>
      <c r="CL115" s="709"/>
      <c r="CM115" s="709"/>
      <c r="CN115" s="709"/>
      <c r="CO115" s="709"/>
      <c r="CP115" s="709"/>
      <c r="CQ115" s="709"/>
      <c r="CR115" s="709"/>
      <c r="CS115" s="709"/>
      <c r="CT115" s="709"/>
      <c r="CU115" s="709"/>
      <c r="CV115" s="709"/>
      <c r="CW115" s="709"/>
      <c r="CX115" s="709"/>
      <c r="CY115" s="709"/>
      <c r="CZ115" s="709"/>
      <c r="DA115" s="709"/>
      <c r="DB115" s="709"/>
      <c r="DC115" s="709"/>
      <c r="DD115" s="709"/>
      <c r="DE115" s="709"/>
      <c r="DF115" s="709"/>
      <c r="DG115" s="709"/>
      <c r="DH115" s="709"/>
      <c r="DI115" s="709"/>
      <c r="DJ115" s="709"/>
      <c r="DK115" s="709"/>
      <c r="DL115" s="709"/>
      <c r="DM115" s="709"/>
      <c r="DN115" s="709"/>
      <c r="DO115" s="709"/>
      <c r="DP115" s="709"/>
      <c r="DQ115" s="709"/>
      <c r="DR115" s="709"/>
      <c r="DS115" s="709"/>
      <c r="DT115" s="709"/>
      <c r="DU115" s="709"/>
      <c r="DV115" s="709"/>
      <c r="DW115" s="709"/>
      <c r="DX115" s="709"/>
      <c r="DY115" s="709"/>
      <c r="DZ115" s="709"/>
      <c r="EA115" s="709"/>
      <c r="EB115" s="709"/>
      <c r="EC115" s="709"/>
      <c r="ED115" s="709"/>
      <c r="EE115" s="709"/>
      <c r="EF115" s="709"/>
      <c r="EG115" s="709"/>
      <c r="EH115" s="709"/>
      <c r="EI115" s="709"/>
      <c r="EJ115" s="709"/>
      <c r="EK115" s="709"/>
      <c r="EL115" s="709"/>
      <c r="EM115" s="709"/>
      <c r="EN115" s="709"/>
      <c r="EO115" s="709"/>
      <c r="EP115" s="709"/>
      <c r="EQ115" s="709"/>
      <c r="ER115" s="709"/>
      <c r="ES115" s="709"/>
      <c r="ET115" s="709"/>
      <c r="EU115" s="709"/>
      <c r="EV115" s="709"/>
      <c r="EW115" s="709"/>
      <c r="EX115" s="709"/>
      <c r="EY115" s="709"/>
      <c r="EZ115" s="709"/>
      <c r="FA115" s="709"/>
      <c r="FB115" s="709"/>
      <c r="FC115" s="709"/>
      <c r="FD115" s="709"/>
      <c r="FE115" s="709"/>
      <c r="FF115" s="709"/>
      <c r="FG115" s="709"/>
      <c r="FH115" s="709"/>
      <c r="FI115" s="709"/>
      <c r="FJ115" s="709"/>
      <c r="FK115" s="709"/>
      <c r="FL115" s="709"/>
      <c r="FM115" s="709"/>
      <c r="FN115" s="709"/>
      <c r="FO115" s="709"/>
      <c r="FP115" s="709"/>
      <c r="FQ115" s="709"/>
      <c r="FR115" s="709"/>
      <c r="FS115" s="709"/>
      <c r="FT115" s="709"/>
      <c r="FU115" s="709"/>
      <c r="FV115" s="709"/>
      <c r="FW115" s="709"/>
      <c r="FX115" s="709"/>
      <c r="FY115" s="709"/>
      <c r="FZ115" s="709"/>
      <c r="GA115" s="709"/>
      <c r="GB115" s="709"/>
      <c r="GC115" s="709"/>
      <c r="GD115" s="709"/>
      <c r="GE115" s="709"/>
      <c r="GF115" s="709"/>
      <c r="GG115" s="709"/>
      <c r="GH115" s="709"/>
      <c r="GI115" s="709"/>
      <c r="GJ115" s="709"/>
      <c r="GK115" s="709"/>
      <c r="GL115" s="709"/>
      <c r="GM115" s="709"/>
      <c r="GN115" s="709"/>
      <c r="GO115" s="709"/>
      <c r="GP115" s="709"/>
      <c r="GQ115" s="709"/>
      <c r="GR115" s="709"/>
      <c r="GS115" s="709"/>
      <c r="GT115" s="709"/>
      <c r="GU115" s="709"/>
      <c r="GV115" s="709"/>
      <c r="GW115" s="709"/>
      <c r="GX115" s="709"/>
      <c r="GY115" s="709"/>
      <c r="GZ115" s="709"/>
      <c r="HA115" s="709"/>
      <c r="HB115" s="709"/>
      <c r="HC115" s="709"/>
      <c r="HD115" s="709"/>
      <c r="HE115" s="709"/>
      <c r="HF115" s="709"/>
      <c r="HG115" s="709"/>
      <c r="HH115" s="709"/>
      <c r="HI115" s="709"/>
      <c r="HJ115" s="709"/>
      <c r="HK115" s="709"/>
      <c r="HL115" s="709"/>
      <c r="HM115" s="709"/>
      <c r="HN115" s="709"/>
      <c r="HO115" s="709"/>
      <c r="HP115" s="709"/>
      <c r="HQ115" s="709"/>
      <c r="HR115" s="709"/>
      <c r="HS115" s="709"/>
      <c r="HT115" s="709"/>
      <c r="HU115" s="709"/>
      <c r="HV115" s="709"/>
      <c r="HW115" s="709"/>
      <c r="HX115" s="709"/>
      <c r="HY115" s="709"/>
      <c r="HZ115" s="709"/>
      <c r="IA115" s="709"/>
      <c r="IB115" s="709"/>
      <c r="IC115" s="709"/>
      <c r="ID115" s="709"/>
      <c r="IE115" s="709"/>
      <c r="IF115" s="709"/>
      <c r="IG115" s="709"/>
      <c r="IH115" s="709"/>
      <c r="II115" s="709"/>
      <c r="IJ115" s="709"/>
      <c r="IK115" s="709"/>
      <c r="IL115" s="709"/>
      <c r="IM115" s="709"/>
      <c r="IN115" s="709"/>
      <c r="IO115" s="709"/>
      <c r="IP115" s="709"/>
      <c r="IQ115" s="709"/>
      <c r="IR115" s="709"/>
      <c r="IS115" s="709"/>
      <c r="IT115" s="709"/>
      <c r="IU115" s="709"/>
      <c r="IV115" s="709"/>
    </row>
    <row r="116" spans="1:256" ht="12.75" hidden="1" customHeight="1">
      <c r="A116" s="706" t="s">
        <v>345</v>
      </c>
      <c r="B116" s="705">
        <v>728660.7</v>
      </c>
      <c r="C116" s="706">
        <v>1536520.2</v>
      </c>
      <c r="D116" s="689"/>
      <c r="E116" s="706">
        <f t="shared" ref="E116:E127" si="15">B116-C116</f>
        <v>-807859.5</v>
      </c>
      <c r="F116" s="706">
        <v>673559.8</v>
      </c>
      <c r="G116" s="706">
        <v>134259.5</v>
      </c>
      <c r="H116" s="706">
        <f t="shared" ref="H116:H127" si="16">G116+F116</f>
        <v>807819.3</v>
      </c>
      <c r="I116" s="693"/>
      <c r="J116" s="706">
        <v>0</v>
      </c>
      <c r="K116" s="706">
        <f t="shared" ref="K116:K127" si="17">J116+H116</f>
        <v>807819.3</v>
      </c>
      <c r="L116" s="691"/>
      <c r="M116" s="709"/>
      <c r="N116" s="709"/>
      <c r="O116" s="709"/>
      <c r="P116" s="709"/>
      <c r="Q116" s="709"/>
      <c r="R116" s="709"/>
      <c r="S116" s="709"/>
      <c r="T116" s="709"/>
      <c r="U116" s="709"/>
      <c r="V116" s="709"/>
      <c r="W116" s="709"/>
      <c r="X116" s="709"/>
      <c r="Y116" s="709"/>
      <c r="Z116" s="709"/>
      <c r="AA116" s="709"/>
      <c r="AB116" s="709"/>
      <c r="AC116" s="709"/>
      <c r="AD116" s="709"/>
      <c r="AE116" s="709"/>
      <c r="AF116" s="709"/>
      <c r="AG116" s="709"/>
      <c r="AH116" s="709"/>
      <c r="AI116" s="709"/>
      <c r="AJ116" s="709"/>
      <c r="AK116" s="709"/>
      <c r="AL116" s="709"/>
      <c r="AM116" s="709"/>
      <c r="AN116" s="709"/>
      <c r="AO116" s="709"/>
      <c r="AP116" s="709"/>
      <c r="AQ116" s="709"/>
      <c r="AR116" s="709"/>
      <c r="AS116" s="709"/>
      <c r="AT116" s="709"/>
      <c r="AU116" s="709"/>
      <c r="AV116" s="709"/>
      <c r="AW116" s="709"/>
      <c r="AX116" s="709"/>
      <c r="AY116" s="709"/>
      <c r="AZ116" s="709"/>
      <c r="BA116" s="709"/>
      <c r="BB116" s="709"/>
      <c r="BC116" s="709"/>
      <c r="BD116" s="709"/>
      <c r="BE116" s="709"/>
      <c r="BF116" s="709"/>
      <c r="BG116" s="709"/>
      <c r="BH116" s="709"/>
      <c r="BI116" s="709"/>
      <c r="BJ116" s="709"/>
      <c r="BK116" s="709"/>
      <c r="BL116" s="709"/>
      <c r="BM116" s="709"/>
      <c r="BN116" s="709"/>
      <c r="BO116" s="709"/>
      <c r="BP116" s="709"/>
      <c r="BQ116" s="709"/>
      <c r="BR116" s="709"/>
      <c r="BS116" s="709"/>
      <c r="BT116" s="709"/>
      <c r="BU116" s="709"/>
      <c r="BV116" s="709"/>
      <c r="BW116" s="709"/>
      <c r="BX116" s="709"/>
      <c r="BY116" s="709"/>
      <c r="BZ116" s="709"/>
      <c r="CA116" s="709"/>
      <c r="CB116" s="709"/>
      <c r="CC116" s="709"/>
      <c r="CD116" s="709"/>
      <c r="CE116" s="709"/>
      <c r="CF116" s="709"/>
      <c r="CG116" s="709"/>
      <c r="CH116" s="709"/>
      <c r="CI116" s="709"/>
      <c r="CJ116" s="709"/>
      <c r="CK116" s="709"/>
      <c r="CL116" s="709"/>
      <c r="CM116" s="709"/>
      <c r="CN116" s="709"/>
      <c r="CO116" s="709"/>
      <c r="CP116" s="709"/>
      <c r="CQ116" s="709"/>
      <c r="CR116" s="709"/>
      <c r="CS116" s="709"/>
      <c r="CT116" s="709"/>
      <c r="CU116" s="709"/>
      <c r="CV116" s="709"/>
      <c r="CW116" s="709"/>
      <c r="CX116" s="709"/>
      <c r="CY116" s="709"/>
      <c r="CZ116" s="709"/>
      <c r="DA116" s="709"/>
      <c r="DB116" s="709"/>
      <c r="DC116" s="709"/>
      <c r="DD116" s="709"/>
      <c r="DE116" s="709"/>
      <c r="DF116" s="709"/>
      <c r="DG116" s="709"/>
      <c r="DH116" s="709"/>
      <c r="DI116" s="709"/>
      <c r="DJ116" s="709"/>
      <c r="DK116" s="709"/>
      <c r="DL116" s="709"/>
      <c r="DM116" s="709"/>
      <c r="DN116" s="709"/>
      <c r="DO116" s="709"/>
      <c r="DP116" s="709"/>
      <c r="DQ116" s="709"/>
      <c r="DR116" s="709"/>
      <c r="DS116" s="709"/>
      <c r="DT116" s="709"/>
      <c r="DU116" s="709"/>
      <c r="DV116" s="709"/>
      <c r="DW116" s="709"/>
      <c r="DX116" s="709"/>
      <c r="DY116" s="709"/>
      <c r="DZ116" s="709"/>
      <c r="EA116" s="709"/>
      <c r="EB116" s="709"/>
      <c r="EC116" s="709"/>
      <c r="ED116" s="709"/>
      <c r="EE116" s="709"/>
      <c r="EF116" s="709"/>
      <c r="EG116" s="709"/>
      <c r="EH116" s="709"/>
      <c r="EI116" s="709"/>
      <c r="EJ116" s="709"/>
      <c r="EK116" s="709"/>
      <c r="EL116" s="709"/>
      <c r="EM116" s="709"/>
      <c r="EN116" s="709"/>
      <c r="EO116" s="709"/>
      <c r="EP116" s="709"/>
      <c r="EQ116" s="709"/>
      <c r="ER116" s="709"/>
      <c r="ES116" s="709"/>
      <c r="ET116" s="709"/>
      <c r="EU116" s="709"/>
      <c r="EV116" s="709"/>
      <c r="EW116" s="709"/>
      <c r="EX116" s="709"/>
      <c r="EY116" s="709"/>
      <c r="EZ116" s="709"/>
      <c r="FA116" s="709"/>
      <c r="FB116" s="709"/>
      <c r="FC116" s="709"/>
      <c r="FD116" s="709"/>
      <c r="FE116" s="709"/>
      <c r="FF116" s="709"/>
      <c r="FG116" s="709"/>
      <c r="FH116" s="709"/>
      <c r="FI116" s="709"/>
      <c r="FJ116" s="709"/>
      <c r="FK116" s="709"/>
      <c r="FL116" s="709"/>
      <c r="FM116" s="709"/>
      <c r="FN116" s="709"/>
      <c r="FO116" s="709"/>
      <c r="FP116" s="709"/>
      <c r="FQ116" s="709"/>
      <c r="FR116" s="709"/>
      <c r="FS116" s="709"/>
      <c r="FT116" s="709"/>
      <c r="FU116" s="709"/>
      <c r="FV116" s="709"/>
      <c r="FW116" s="709"/>
      <c r="FX116" s="709"/>
      <c r="FY116" s="709"/>
      <c r="FZ116" s="709"/>
      <c r="GA116" s="709"/>
      <c r="GB116" s="709"/>
      <c r="GC116" s="709"/>
      <c r="GD116" s="709"/>
      <c r="GE116" s="709"/>
      <c r="GF116" s="709"/>
      <c r="GG116" s="709"/>
      <c r="GH116" s="709"/>
      <c r="GI116" s="709"/>
      <c r="GJ116" s="709"/>
      <c r="GK116" s="709"/>
      <c r="GL116" s="709"/>
      <c r="GM116" s="709"/>
      <c r="GN116" s="709"/>
      <c r="GO116" s="709"/>
      <c r="GP116" s="709"/>
      <c r="GQ116" s="709"/>
      <c r="GR116" s="709"/>
      <c r="GS116" s="709"/>
      <c r="GT116" s="709"/>
      <c r="GU116" s="709"/>
      <c r="GV116" s="709"/>
      <c r="GW116" s="709"/>
      <c r="GX116" s="709"/>
      <c r="GY116" s="709"/>
      <c r="GZ116" s="709"/>
      <c r="HA116" s="709"/>
      <c r="HB116" s="709"/>
      <c r="HC116" s="709"/>
      <c r="HD116" s="709"/>
      <c r="HE116" s="709"/>
      <c r="HF116" s="709"/>
      <c r="HG116" s="709"/>
      <c r="HH116" s="709"/>
      <c r="HI116" s="709"/>
      <c r="HJ116" s="709"/>
      <c r="HK116" s="709"/>
      <c r="HL116" s="709"/>
      <c r="HM116" s="709"/>
      <c r="HN116" s="709"/>
      <c r="HO116" s="709"/>
      <c r="HP116" s="709"/>
      <c r="HQ116" s="709"/>
      <c r="HR116" s="709"/>
      <c r="HS116" s="709"/>
      <c r="HT116" s="709"/>
      <c r="HU116" s="709"/>
      <c r="HV116" s="709"/>
      <c r="HW116" s="709"/>
      <c r="HX116" s="709"/>
      <c r="HY116" s="709"/>
      <c r="HZ116" s="709"/>
      <c r="IA116" s="709"/>
      <c r="IB116" s="709"/>
      <c r="IC116" s="709"/>
      <c r="ID116" s="709"/>
      <c r="IE116" s="709"/>
      <c r="IF116" s="709"/>
      <c r="IG116" s="709"/>
      <c r="IH116" s="709"/>
      <c r="II116" s="709"/>
      <c r="IJ116" s="709"/>
      <c r="IK116" s="709"/>
      <c r="IL116" s="709"/>
      <c r="IM116" s="709"/>
      <c r="IN116" s="709"/>
      <c r="IO116" s="709"/>
      <c r="IP116" s="709"/>
      <c r="IQ116" s="709"/>
      <c r="IR116" s="709"/>
      <c r="IS116" s="709"/>
      <c r="IT116" s="709"/>
      <c r="IU116" s="709"/>
      <c r="IV116" s="709"/>
    </row>
    <row r="117" spans="1:256" ht="12.75" hidden="1" customHeight="1">
      <c r="A117" s="706" t="s">
        <v>334</v>
      </c>
      <c r="B117" s="705">
        <v>1248407.1000000001</v>
      </c>
      <c r="C117" s="706">
        <v>2063500.4</v>
      </c>
      <c r="D117" s="689"/>
      <c r="E117" s="706">
        <f t="shared" si="15"/>
        <v>-815093.29999999981</v>
      </c>
      <c r="F117" s="706">
        <v>870575.3</v>
      </c>
      <c r="G117" s="706">
        <v>-55482</v>
      </c>
      <c r="H117" s="706">
        <f t="shared" si="16"/>
        <v>815093.3</v>
      </c>
      <c r="I117" s="693"/>
      <c r="J117" s="706">
        <v>0</v>
      </c>
      <c r="K117" s="706">
        <f t="shared" si="17"/>
        <v>815093.3</v>
      </c>
      <c r="L117" s="691"/>
      <c r="M117" s="709"/>
      <c r="N117" s="709"/>
      <c r="O117" s="709"/>
      <c r="P117" s="709"/>
      <c r="Q117" s="709"/>
      <c r="R117" s="709"/>
      <c r="S117" s="709"/>
      <c r="T117" s="709"/>
      <c r="U117" s="709"/>
      <c r="V117" s="709"/>
      <c r="W117" s="709"/>
      <c r="X117" s="709"/>
      <c r="Y117" s="709"/>
      <c r="Z117" s="709"/>
      <c r="AA117" s="709"/>
      <c r="AB117" s="709"/>
      <c r="AC117" s="709"/>
      <c r="AD117" s="709"/>
      <c r="AE117" s="709"/>
      <c r="AF117" s="709"/>
      <c r="AG117" s="709"/>
      <c r="AH117" s="709"/>
      <c r="AI117" s="709"/>
      <c r="AJ117" s="709"/>
      <c r="AK117" s="709"/>
      <c r="AL117" s="709"/>
      <c r="AM117" s="709"/>
      <c r="AN117" s="709"/>
      <c r="AO117" s="709"/>
      <c r="AP117" s="709"/>
      <c r="AQ117" s="709"/>
      <c r="AR117" s="709"/>
      <c r="AS117" s="709"/>
      <c r="AT117" s="709"/>
      <c r="AU117" s="709"/>
      <c r="AV117" s="709"/>
      <c r="AW117" s="709"/>
      <c r="AX117" s="709"/>
      <c r="AY117" s="709"/>
      <c r="AZ117" s="709"/>
      <c r="BA117" s="709"/>
      <c r="BB117" s="709"/>
      <c r="BC117" s="709"/>
      <c r="BD117" s="709"/>
      <c r="BE117" s="709"/>
      <c r="BF117" s="709"/>
      <c r="BG117" s="709"/>
      <c r="BH117" s="709"/>
      <c r="BI117" s="709"/>
      <c r="BJ117" s="709"/>
      <c r="BK117" s="709"/>
      <c r="BL117" s="709"/>
      <c r="BM117" s="709"/>
      <c r="BN117" s="709"/>
      <c r="BO117" s="709"/>
      <c r="BP117" s="709"/>
      <c r="BQ117" s="709"/>
      <c r="BR117" s="709"/>
      <c r="BS117" s="709"/>
      <c r="BT117" s="709"/>
      <c r="BU117" s="709"/>
      <c r="BV117" s="709"/>
      <c r="BW117" s="709"/>
      <c r="BX117" s="709"/>
      <c r="BY117" s="709"/>
      <c r="BZ117" s="709"/>
      <c r="CA117" s="709"/>
      <c r="CB117" s="709"/>
      <c r="CC117" s="709"/>
      <c r="CD117" s="709"/>
      <c r="CE117" s="709"/>
      <c r="CF117" s="709"/>
      <c r="CG117" s="709"/>
      <c r="CH117" s="709"/>
      <c r="CI117" s="709"/>
      <c r="CJ117" s="709"/>
      <c r="CK117" s="709"/>
      <c r="CL117" s="709"/>
      <c r="CM117" s="709"/>
      <c r="CN117" s="709"/>
      <c r="CO117" s="709"/>
      <c r="CP117" s="709"/>
      <c r="CQ117" s="709"/>
      <c r="CR117" s="709"/>
      <c r="CS117" s="709"/>
      <c r="CT117" s="709"/>
      <c r="CU117" s="709"/>
      <c r="CV117" s="709"/>
      <c r="CW117" s="709"/>
      <c r="CX117" s="709"/>
      <c r="CY117" s="709"/>
      <c r="CZ117" s="709"/>
      <c r="DA117" s="709"/>
      <c r="DB117" s="709"/>
      <c r="DC117" s="709"/>
      <c r="DD117" s="709"/>
      <c r="DE117" s="709"/>
      <c r="DF117" s="709"/>
      <c r="DG117" s="709"/>
      <c r="DH117" s="709"/>
      <c r="DI117" s="709"/>
      <c r="DJ117" s="709"/>
      <c r="DK117" s="709"/>
      <c r="DL117" s="709"/>
      <c r="DM117" s="709"/>
      <c r="DN117" s="709"/>
      <c r="DO117" s="709"/>
      <c r="DP117" s="709"/>
      <c r="DQ117" s="709"/>
      <c r="DR117" s="709"/>
      <c r="DS117" s="709"/>
      <c r="DT117" s="709"/>
      <c r="DU117" s="709"/>
      <c r="DV117" s="709"/>
      <c r="DW117" s="709"/>
      <c r="DX117" s="709"/>
      <c r="DY117" s="709"/>
      <c r="DZ117" s="709"/>
      <c r="EA117" s="709"/>
      <c r="EB117" s="709"/>
      <c r="EC117" s="709"/>
      <c r="ED117" s="709"/>
      <c r="EE117" s="709"/>
      <c r="EF117" s="709"/>
      <c r="EG117" s="709"/>
      <c r="EH117" s="709"/>
      <c r="EI117" s="709"/>
      <c r="EJ117" s="709"/>
      <c r="EK117" s="709"/>
      <c r="EL117" s="709"/>
      <c r="EM117" s="709"/>
      <c r="EN117" s="709"/>
      <c r="EO117" s="709"/>
      <c r="EP117" s="709"/>
      <c r="EQ117" s="709"/>
      <c r="ER117" s="709"/>
      <c r="ES117" s="709"/>
      <c r="ET117" s="709"/>
      <c r="EU117" s="709"/>
      <c r="EV117" s="709"/>
      <c r="EW117" s="709"/>
      <c r="EX117" s="709"/>
      <c r="EY117" s="709"/>
      <c r="EZ117" s="709"/>
      <c r="FA117" s="709"/>
      <c r="FB117" s="709"/>
      <c r="FC117" s="709"/>
      <c r="FD117" s="709"/>
      <c r="FE117" s="709"/>
      <c r="FF117" s="709"/>
      <c r="FG117" s="709"/>
      <c r="FH117" s="709"/>
      <c r="FI117" s="709"/>
      <c r="FJ117" s="709"/>
      <c r="FK117" s="709"/>
      <c r="FL117" s="709"/>
      <c r="FM117" s="709"/>
      <c r="FN117" s="709"/>
      <c r="FO117" s="709"/>
      <c r="FP117" s="709"/>
      <c r="FQ117" s="709"/>
      <c r="FR117" s="709"/>
      <c r="FS117" s="709"/>
      <c r="FT117" s="709"/>
      <c r="FU117" s="709"/>
      <c r="FV117" s="709"/>
      <c r="FW117" s="709"/>
      <c r="FX117" s="709"/>
      <c r="FY117" s="709"/>
      <c r="FZ117" s="709"/>
      <c r="GA117" s="709"/>
      <c r="GB117" s="709"/>
      <c r="GC117" s="709"/>
      <c r="GD117" s="709"/>
      <c r="GE117" s="709"/>
      <c r="GF117" s="709"/>
      <c r="GG117" s="709"/>
      <c r="GH117" s="709"/>
      <c r="GI117" s="709"/>
      <c r="GJ117" s="709"/>
      <c r="GK117" s="709"/>
      <c r="GL117" s="709"/>
      <c r="GM117" s="709"/>
      <c r="GN117" s="709"/>
      <c r="GO117" s="709"/>
      <c r="GP117" s="709"/>
      <c r="GQ117" s="709"/>
      <c r="GR117" s="709"/>
      <c r="GS117" s="709"/>
      <c r="GT117" s="709"/>
      <c r="GU117" s="709"/>
      <c r="GV117" s="709"/>
      <c r="GW117" s="709"/>
      <c r="GX117" s="709"/>
      <c r="GY117" s="709"/>
      <c r="GZ117" s="709"/>
      <c r="HA117" s="709"/>
      <c r="HB117" s="709"/>
      <c r="HC117" s="709"/>
      <c r="HD117" s="709"/>
      <c r="HE117" s="709"/>
      <c r="HF117" s="709"/>
      <c r="HG117" s="709"/>
      <c r="HH117" s="709"/>
      <c r="HI117" s="709"/>
      <c r="HJ117" s="709"/>
      <c r="HK117" s="709"/>
      <c r="HL117" s="709"/>
      <c r="HM117" s="709"/>
      <c r="HN117" s="709"/>
      <c r="HO117" s="709"/>
      <c r="HP117" s="709"/>
      <c r="HQ117" s="709"/>
      <c r="HR117" s="709"/>
      <c r="HS117" s="709"/>
      <c r="HT117" s="709"/>
      <c r="HU117" s="709"/>
      <c r="HV117" s="709"/>
      <c r="HW117" s="709"/>
      <c r="HX117" s="709"/>
      <c r="HY117" s="709"/>
      <c r="HZ117" s="709"/>
      <c r="IA117" s="709"/>
      <c r="IB117" s="709"/>
      <c r="IC117" s="709"/>
      <c r="ID117" s="709"/>
      <c r="IE117" s="709"/>
      <c r="IF117" s="709"/>
      <c r="IG117" s="709"/>
      <c r="IH117" s="709"/>
      <c r="II117" s="709"/>
      <c r="IJ117" s="709"/>
      <c r="IK117" s="709"/>
      <c r="IL117" s="709"/>
      <c r="IM117" s="709"/>
      <c r="IN117" s="709"/>
      <c r="IO117" s="709"/>
      <c r="IP117" s="709"/>
      <c r="IQ117" s="709"/>
      <c r="IR117" s="709"/>
      <c r="IS117" s="709"/>
      <c r="IT117" s="709"/>
      <c r="IU117" s="709"/>
      <c r="IV117" s="709"/>
    </row>
    <row r="118" spans="1:256" ht="12.75" hidden="1" customHeight="1">
      <c r="A118" s="706" t="s">
        <v>335</v>
      </c>
      <c r="B118" s="705">
        <v>2039201.2</v>
      </c>
      <c r="C118" s="706">
        <v>2423412.6</v>
      </c>
      <c r="D118" s="689"/>
      <c r="E118" s="706">
        <f t="shared" si="15"/>
        <v>-384211.40000000014</v>
      </c>
      <c r="F118" s="706">
        <v>622275.1</v>
      </c>
      <c r="G118" s="706">
        <v>-238063.7</v>
      </c>
      <c r="H118" s="706">
        <f t="shared" si="16"/>
        <v>384211.39999999997</v>
      </c>
      <c r="I118" s="693"/>
      <c r="J118" s="706">
        <v>0</v>
      </c>
      <c r="K118" s="706">
        <f t="shared" si="17"/>
        <v>384211.39999999997</v>
      </c>
      <c r="L118" s="691"/>
      <c r="M118" s="709"/>
      <c r="N118" s="709"/>
      <c r="O118" s="709"/>
      <c r="P118" s="709"/>
      <c r="Q118" s="709"/>
      <c r="R118" s="709"/>
      <c r="S118" s="709"/>
      <c r="T118" s="709"/>
      <c r="U118" s="709"/>
      <c r="V118" s="709"/>
      <c r="W118" s="709"/>
      <c r="X118" s="709"/>
      <c r="Y118" s="709"/>
      <c r="Z118" s="709"/>
      <c r="AA118" s="709"/>
      <c r="AB118" s="709"/>
      <c r="AC118" s="709"/>
      <c r="AD118" s="709"/>
      <c r="AE118" s="709"/>
      <c r="AF118" s="709"/>
      <c r="AG118" s="709"/>
      <c r="AH118" s="709"/>
      <c r="AI118" s="709"/>
      <c r="AJ118" s="709"/>
      <c r="AK118" s="709"/>
      <c r="AL118" s="709"/>
      <c r="AM118" s="709"/>
      <c r="AN118" s="709"/>
      <c r="AO118" s="709"/>
      <c r="AP118" s="709"/>
      <c r="AQ118" s="709"/>
      <c r="AR118" s="709"/>
      <c r="AS118" s="709"/>
      <c r="AT118" s="709"/>
      <c r="AU118" s="709"/>
      <c r="AV118" s="709"/>
      <c r="AW118" s="709"/>
      <c r="AX118" s="709"/>
      <c r="AY118" s="709"/>
      <c r="AZ118" s="709"/>
      <c r="BA118" s="709"/>
      <c r="BB118" s="709"/>
      <c r="BC118" s="709"/>
      <c r="BD118" s="709"/>
      <c r="BE118" s="709"/>
      <c r="BF118" s="709"/>
      <c r="BG118" s="709"/>
      <c r="BH118" s="709"/>
      <c r="BI118" s="709"/>
      <c r="BJ118" s="709"/>
      <c r="BK118" s="709"/>
      <c r="BL118" s="709"/>
      <c r="BM118" s="709"/>
      <c r="BN118" s="709"/>
      <c r="BO118" s="709"/>
      <c r="BP118" s="709"/>
      <c r="BQ118" s="709"/>
      <c r="BR118" s="709"/>
      <c r="BS118" s="709"/>
      <c r="BT118" s="709"/>
      <c r="BU118" s="709"/>
      <c r="BV118" s="709"/>
      <c r="BW118" s="709"/>
      <c r="BX118" s="709"/>
      <c r="BY118" s="709"/>
      <c r="BZ118" s="709"/>
      <c r="CA118" s="709"/>
      <c r="CB118" s="709"/>
      <c r="CC118" s="709"/>
      <c r="CD118" s="709"/>
      <c r="CE118" s="709"/>
      <c r="CF118" s="709"/>
      <c r="CG118" s="709"/>
      <c r="CH118" s="709"/>
      <c r="CI118" s="709"/>
      <c r="CJ118" s="709"/>
      <c r="CK118" s="709"/>
      <c r="CL118" s="709"/>
      <c r="CM118" s="709"/>
      <c r="CN118" s="709"/>
      <c r="CO118" s="709"/>
      <c r="CP118" s="709"/>
      <c r="CQ118" s="709"/>
      <c r="CR118" s="709"/>
      <c r="CS118" s="709"/>
      <c r="CT118" s="709"/>
      <c r="CU118" s="709"/>
      <c r="CV118" s="709"/>
      <c r="CW118" s="709"/>
      <c r="CX118" s="709"/>
      <c r="CY118" s="709"/>
      <c r="CZ118" s="709"/>
      <c r="DA118" s="709"/>
      <c r="DB118" s="709"/>
      <c r="DC118" s="709"/>
      <c r="DD118" s="709"/>
      <c r="DE118" s="709"/>
      <c r="DF118" s="709"/>
      <c r="DG118" s="709"/>
      <c r="DH118" s="709"/>
      <c r="DI118" s="709"/>
      <c r="DJ118" s="709"/>
      <c r="DK118" s="709"/>
      <c r="DL118" s="709"/>
      <c r="DM118" s="709"/>
      <c r="DN118" s="709"/>
      <c r="DO118" s="709"/>
      <c r="DP118" s="709"/>
      <c r="DQ118" s="709"/>
      <c r="DR118" s="709"/>
      <c r="DS118" s="709"/>
      <c r="DT118" s="709"/>
      <c r="DU118" s="709"/>
      <c r="DV118" s="709"/>
      <c r="DW118" s="709"/>
      <c r="DX118" s="709"/>
      <c r="DY118" s="709"/>
      <c r="DZ118" s="709"/>
      <c r="EA118" s="709"/>
      <c r="EB118" s="709"/>
      <c r="EC118" s="709"/>
      <c r="ED118" s="709"/>
      <c r="EE118" s="709"/>
      <c r="EF118" s="709"/>
      <c r="EG118" s="709"/>
      <c r="EH118" s="709"/>
      <c r="EI118" s="709"/>
      <c r="EJ118" s="709"/>
      <c r="EK118" s="709"/>
      <c r="EL118" s="709"/>
      <c r="EM118" s="709"/>
      <c r="EN118" s="709"/>
      <c r="EO118" s="709"/>
      <c r="EP118" s="709"/>
      <c r="EQ118" s="709"/>
      <c r="ER118" s="709"/>
      <c r="ES118" s="709"/>
      <c r="ET118" s="709"/>
      <c r="EU118" s="709"/>
      <c r="EV118" s="709"/>
      <c r="EW118" s="709"/>
      <c r="EX118" s="709"/>
      <c r="EY118" s="709"/>
      <c r="EZ118" s="709"/>
      <c r="FA118" s="709"/>
      <c r="FB118" s="709"/>
      <c r="FC118" s="709"/>
      <c r="FD118" s="709"/>
      <c r="FE118" s="709"/>
      <c r="FF118" s="709"/>
      <c r="FG118" s="709"/>
      <c r="FH118" s="709"/>
      <c r="FI118" s="709"/>
      <c r="FJ118" s="709"/>
      <c r="FK118" s="709"/>
      <c r="FL118" s="709"/>
      <c r="FM118" s="709"/>
      <c r="FN118" s="709"/>
      <c r="FO118" s="709"/>
      <c r="FP118" s="709"/>
      <c r="FQ118" s="709"/>
      <c r="FR118" s="709"/>
      <c r="FS118" s="709"/>
      <c r="FT118" s="709"/>
      <c r="FU118" s="709"/>
      <c r="FV118" s="709"/>
      <c r="FW118" s="709"/>
      <c r="FX118" s="709"/>
      <c r="FY118" s="709"/>
      <c r="FZ118" s="709"/>
      <c r="GA118" s="709"/>
      <c r="GB118" s="709"/>
      <c r="GC118" s="709"/>
      <c r="GD118" s="709"/>
      <c r="GE118" s="709"/>
      <c r="GF118" s="709"/>
      <c r="GG118" s="709"/>
      <c r="GH118" s="709"/>
      <c r="GI118" s="709"/>
      <c r="GJ118" s="709"/>
      <c r="GK118" s="709"/>
      <c r="GL118" s="709"/>
      <c r="GM118" s="709"/>
      <c r="GN118" s="709"/>
      <c r="GO118" s="709"/>
      <c r="GP118" s="709"/>
      <c r="GQ118" s="709"/>
      <c r="GR118" s="709"/>
      <c r="GS118" s="709"/>
      <c r="GT118" s="709"/>
      <c r="GU118" s="709"/>
      <c r="GV118" s="709"/>
      <c r="GW118" s="709"/>
      <c r="GX118" s="709"/>
      <c r="GY118" s="709"/>
      <c r="GZ118" s="709"/>
      <c r="HA118" s="709"/>
      <c r="HB118" s="709"/>
      <c r="HC118" s="709"/>
      <c r="HD118" s="709"/>
      <c r="HE118" s="709"/>
      <c r="HF118" s="709"/>
      <c r="HG118" s="709"/>
      <c r="HH118" s="709"/>
      <c r="HI118" s="709"/>
      <c r="HJ118" s="709"/>
      <c r="HK118" s="709"/>
      <c r="HL118" s="709"/>
      <c r="HM118" s="709"/>
      <c r="HN118" s="709"/>
      <c r="HO118" s="709"/>
      <c r="HP118" s="709"/>
      <c r="HQ118" s="709"/>
      <c r="HR118" s="709"/>
      <c r="HS118" s="709"/>
      <c r="HT118" s="709"/>
      <c r="HU118" s="709"/>
      <c r="HV118" s="709"/>
      <c r="HW118" s="709"/>
      <c r="HX118" s="709"/>
      <c r="HY118" s="709"/>
      <c r="HZ118" s="709"/>
      <c r="IA118" s="709"/>
      <c r="IB118" s="709"/>
      <c r="IC118" s="709"/>
      <c r="ID118" s="709"/>
      <c r="IE118" s="709"/>
      <c r="IF118" s="709"/>
      <c r="IG118" s="709"/>
      <c r="IH118" s="709"/>
      <c r="II118" s="709"/>
      <c r="IJ118" s="709"/>
      <c r="IK118" s="709"/>
      <c r="IL118" s="709"/>
      <c r="IM118" s="709"/>
      <c r="IN118" s="709"/>
      <c r="IO118" s="709"/>
      <c r="IP118" s="709"/>
      <c r="IQ118" s="709"/>
      <c r="IR118" s="709"/>
      <c r="IS118" s="709"/>
      <c r="IT118" s="709"/>
      <c r="IU118" s="709"/>
      <c r="IV118" s="709"/>
    </row>
    <row r="119" spans="1:256" ht="12.75" hidden="1" customHeight="1">
      <c r="A119" s="706" t="s">
        <v>336</v>
      </c>
      <c r="B119" s="705">
        <v>1462273.5</v>
      </c>
      <c r="C119" s="706">
        <v>2524051.7000000002</v>
      </c>
      <c r="D119" s="689"/>
      <c r="E119" s="706">
        <f t="shared" si="15"/>
        <v>-1061778.2000000002</v>
      </c>
      <c r="F119" s="706">
        <v>1256881.1000000001</v>
      </c>
      <c r="G119" s="706">
        <v>-195103.2</v>
      </c>
      <c r="H119" s="706">
        <f t="shared" si="16"/>
        <v>1061777.9000000001</v>
      </c>
      <c r="I119" s="693"/>
      <c r="J119" s="706">
        <v>0</v>
      </c>
      <c r="K119" s="706">
        <f t="shared" si="17"/>
        <v>1061777.9000000001</v>
      </c>
      <c r="L119" s="691"/>
      <c r="M119" s="709"/>
      <c r="N119" s="709"/>
      <c r="O119" s="709"/>
      <c r="P119" s="709"/>
      <c r="Q119" s="709"/>
      <c r="R119" s="709"/>
      <c r="S119" s="709"/>
      <c r="T119" s="709"/>
      <c r="U119" s="709"/>
      <c r="V119" s="709"/>
      <c r="W119" s="709"/>
      <c r="X119" s="709"/>
      <c r="Y119" s="709"/>
      <c r="Z119" s="709"/>
      <c r="AA119" s="709"/>
      <c r="AB119" s="709"/>
      <c r="AC119" s="709"/>
      <c r="AD119" s="709"/>
      <c r="AE119" s="709"/>
      <c r="AF119" s="709"/>
      <c r="AG119" s="709"/>
      <c r="AH119" s="709"/>
      <c r="AI119" s="709"/>
      <c r="AJ119" s="709"/>
      <c r="AK119" s="709"/>
      <c r="AL119" s="709"/>
      <c r="AM119" s="709"/>
      <c r="AN119" s="709"/>
      <c r="AO119" s="709"/>
      <c r="AP119" s="709"/>
      <c r="AQ119" s="709"/>
      <c r="AR119" s="709"/>
      <c r="AS119" s="709"/>
      <c r="AT119" s="709"/>
      <c r="AU119" s="709"/>
      <c r="AV119" s="709"/>
      <c r="AW119" s="709"/>
      <c r="AX119" s="709"/>
      <c r="AY119" s="709"/>
      <c r="AZ119" s="709"/>
      <c r="BA119" s="709"/>
      <c r="BB119" s="709"/>
      <c r="BC119" s="709"/>
      <c r="BD119" s="709"/>
      <c r="BE119" s="709"/>
      <c r="BF119" s="709"/>
      <c r="BG119" s="709"/>
      <c r="BH119" s="709"/>
      <c r="BI119" s="709"/>
      <c r="BJ119" s="709"/>
      <c r="BK119" s="709"/>
      <c r="BL119" s="709"/>
      <c r="BM119" s="709"/>
      <c r="BN119" s="709"/>
      <c r="BO119" s="709"/>
      <c r="BP119" s="709"/>
      <c r="BQ119" s="709"/>
      <c r="BR119" s="709"/>
      <c r="BS119" s="709"/>
      <c r="BT119" s="709"/>
      <c r="BU119" s="709"/>
      <c r="BV119" s="709"/>
      <c r="BW119" s="709"/>
      <c r="BX119" s="709"/>
      <c r="BY119" s="709"/>
      <c r="BZ119" s="709"/>
      <c r="CA119" s="709"/>
      <c r="CB119" s="709"/>
      <c r="CC119" s="709"/>
      <c r="CD119" s="709"/>
      <c r="CE119" s="709"/>
      <c r="CF119" s="709"/>
      <c r="CG119" s="709"/>
      <c r="CH119" s="709"/>
      <c r="CI119" s="709"/>
      <c r="CJ119" s="709"/>
      <c r="CK119" s="709"/>
      <c r="CL119" s="709"/>
      <c r="CM119" s="709"/>
      <c r="CN119" s="709"/>
      <c r="CO119" s="709"/>
      <c r="CP119" s="709"/>
      <c r="CQ119" s="709"/>
      <c r="CR119" s="709"/>
      <c r="CS119" s="709"/>
      <c r="CT119" s="709"/>
      <c r="CU119" s="709"/>
      <c r="CV119" s="709"/>
      <c r="CW119" s="709"/>
      <c r="CX119" s="709"/>
      <c r="CY119" s="709"/>
      <c r="CZ119" s="709"/>
      <c r="DA119" s="709"/>
      <c r="DB119" s="709"/>
      <c r="DC119" s="709"/>
      <c r="DD119" s="709"/>
      <c r="DE119" s="709"/>
      <c r="DF119" s="709"/>
      <c r="DG119" s="709"/>
      <c r="DH119" s="709"/>
      <c r="DI119" s="709"/>
      <c r="DJ119" s="709"/>
      <c r="DK119" s="709"/>
      <c r="DL119" s="709"/>
      <c r="DM119" s="709"/>
      <c r="DN119" s="709"/>
      <c r="DO119" s="709"/>
      <c r="DP119" s="709"/>
      <c r="DQ119" s="709"/>
      <c r="DR119" s="709"/>
      <c r="DS119" s="709"/>
      <c r="DT119" s="709"/>
      <c r="DU119" s="709"/>
      <c r="DV119" s="709"/>
      <c r="DW119" s="709"/>
      <c r="DX119" s="709"/>
      <c r="DY119" s="709"/>
      <c r="DZ119" s="709"/>
      <c r="EA119" s="709"/>
      <c r="EB119" s="709"/>
      <c r="EC119" s="709"/>
      <c r="ED119" s="709"/>
      <c r="EE119" s="709"/>
      <c r="EF119" s="709"/>
      <c r="EG119" s="709"/>
      <c r="EH119" s="709"/>
      <c r="EI119" s="709"/>
      <c r="EJ119" s="709"/>
      <c r="EK119" s="709"/>
      <c r="EL119" s="709"/>
      <c r="EM119" s="709"/>
      <c r="EN119" s="709"/>
      <c r="EO119" s="709"/>
      <c r="EP119" s="709"/>
      <c r="EQ119" s="709"/>
      <c r="ER119" s="709"/>
      <c r="ES119" s="709"/>
      <c r="ET119" s="709"/>
      <c r="EU119" s="709"/>
      <c r="EV119" s="709"/>
      <c r="EW119" s="709"/>
      <c r="EX119" s="709"/>
      <c r="EY119" s="709"/>
      <c r="EZ119" s="709"/>
      <c r="FA119" s="709"/>
      <c r="FB119" s="709"/>
      <c r="FC119" s="709"/>
      <c r="FD119" s="709"/>
      <c r="FE119" s="709"/>
      <c r="FF119" s="709"/>
      <c r="FG119" s="709"/>
      <c r="FH119" s="709"/>
      <c r="FI119" s="709"/>
      <c r="FJ119" s="709"/>
      <c r="FK119" s="709"/>
      <c r="FL119" s="709"/>
      <c r="FM119" s="709"/>
      <c r="FN119" s="709"/>
      <c r="FO119" s="709"/>
      <c r="FP119" s="709"/>
      <c r="FQ119" s="709"/>
      <c r="FR119" s="709"/>
      <c r="FS119" s="709"/>
      <c r="FT119" s="709"/>
      <c r="FU119" s="709"/>
      <c r="FV119" s="709"/>
      <c r="FW119" s="709"/>
      <c r="FX119" s="709"/>
      <c r="FY119" s="709"/>
      <c r="FZ119" s="709"/>
      <c r="GA119" s="709"/>
      <c r="GB119" s="709"/>
      <c r="GC119" s="709"/>
      <c r="GD119" s="709"/>
      <c r="GE119" s="709"/>
      <c r="GF119" s="709"/>
      <c r="GG119" s="709"/>
      <c r="GH119" s="709"/>
      <c r="GI119" s="709"/>
      <c r="GJ119" s="709"/>
      <c r="GK119" s="709"/>
      <c r="GL119" s="709"/>
      <c r="GM119" s="709"/>
      <c r="GN119" s="709"/>
      <c r="GO119" s="709"/>
      <c r="GP119" s="709"/>
      <c r="GQ119" s="709"/>
      <c r="GR119" s="709"/>
      <c r="GS119" s="709"/>
      <c r="GT119" s="709"/>
      <c r="GU119" s="709"/>
      <c r="GV119" s="709"/>
      <c r="GW119" s="709"/>
      <c r="GX119" s="709"/>
      <c r="GY119" s="709"/>
      <c r="GZ119" s="709"/>
      <c r="HA119" s="709"/>
      <c r="HB119" s="709"/>
      <c r="HC119" s="709"/>
      <c r="HD119" s="709"/>
      <c r="HE119" s="709"/>
      <c r="HF119" s="709"/>
      <c r="HG119" s="709"/>
      <c r="HH119" s="709"/>
      <c r="HI119" s="709"/>
      <c r="HJ119" s="709"/>
      <c r="HK119" s="709"/>
      <c r="HL119" s="709"/>
      <c r="HM119" s="709"/>
      <c r="HN119" s="709"/>
      <c r="HO119" s="709"/>
      <c r="HP119" s="709"/>
      <c r="HQ119" s="709"/>
      <c r="HR119" s="709"/>
      <c r="HS119" s="709"/>
      <c r="HT119" s="709"/>
      <c r="HU119" s="709"/>
      <c r="HV119" s="709"/>
      <c r="HW119" s="709"/>
      <c r="HX119" s="709"/>
      <c r="HY119" s="709"/>
      <c r="HZ119" s="709"/>
      <c r="IA119" s="709"/>
      <c r="IB119" s="709"/>
      <c r="IC119" s="709"/>
      <c r="ID119" s="709"/>
      <c r="IE119" s="709"/>
      <c r="IF119" s="709"/>
      <c r="IG119" s="709"/>
      <c r="IH119" s="709"/>
      <c r="II119" s="709"/>
      <c r="IJ119" s="709"/>
      <c r="IK119" s="709"/>
      <c r="IL119" s="709"/>
      <c r="IM119" s="709"/>
      <c r="IN119" s="709"/>
      <c r="IO119" s="709"/>
      <c r="IP119" s="709"/>
      <c r="IQ119" s="709"/>
      <c r="IR119" s="709"/>
      <c r="IS119" s="709"/>
      <c r="IT119" s="709"/>
      <c r="IU119" s="709"/>
      <c r="IV119" s="709"/>
    </row>
    <row r="120" spans="1:256" ht="12.75" hidden="1" customHeight="1">
      <c r="A120" s="706" t="s">
        <v>337</v>
      </c>
      <c r="B120" s="705">
        <v>1133473.2</v>
      </c>
      <c r="C120" s="706">
        <v>2220402.2000000002</v>
      </c>
      <c r="D120" s="689"/>
      <c r="E120" s="706">
        <f t="shared" si="15"/>
        <v>-1086929.0000000002</v>
      </c>
      <c r="F120" s="706">
        <v>1066095.8999999999</v>
      </c>
      <c r="G120" s="706">
        <v>21435.5</v>
      </c>
      <c r="H120" s="706">
        <f t="shared" si="16"/>
        <v>1087531.3999999999</v>
      </c>
      <c r="I120" s="693"/>
      <c r="J120" s="706">
        <v>-602.20000000000005</v>
      </c>
      <c r="K120" s="706">
        <f t="shared" si="17"/>
        <v>1086929.2</v>
      </c>
      <c r="L120" s="691"/>
      <c r="M120" s="709"/>
      <c r="N120" s="709"/>
      <c r="O120" s="709"/>
      <c r="P120" s="709"/>
      <c r="Q120" s="709"/>
      <c r="R120" s="709"/>
      <c r="S120" s="709"/>
      <c r="T120" s="709"/>
      <c r="U120" s="709"/>
      <c r="V120" s="709"/>
      <c r="W120" s="709"/>
      <c r="X120" s="709"/>
      <c r="Y120" s="709"/>
      <c r="Z120" s="709"/>
      <c r="AA120" s="709"/>
      <c r="AB120" s="709"/>
      <c r="AC120" s="709"/>
      <c r="AD120" s="709"/>
      <c r="AE120" s="709"/>
      <c r="AF120" s="709"/>
      <c r="AG120" s="709"/>
      <c r="AH120" s="709"/>
      <c r="AI120" s="709"/>
      <c r="AJ120" s="709"/>
      <c r="AK120" s="709"/>
      <c r="AL120" s="709"/>
      <c r="AM120" s="709"/>
      <c r="AN120" s="709"/>
      <c r="AO120" s="709"/>
      <c r="AP120" s="709"/>
      <c r="AQ120" s="709"/>
      <c r="AR120" s="709"/>
      <c r="AS120" s="709"/>
      <c r="AT120" s="709"/>
      <c r="AU120" s="709"/>
      <c r="AV120" s="709"/>
      <c r="AW120" s="709"/>
      <c r="AX120" s="709"/>
      <c r="AY120" s="709"/>
      <c r="AZ120" s="709"/>
      <c r="BA120" s="709"/>
      <c r="BB120" s="709"/>
      <c r="BC120" s="709"/>
      <c r="BD120" s="709"/>
      <c r="BE120" s="709"/>
      <c r="BF120" s="709"/>
      <c r="BG120" s="709"/>
      <c r="BH120" s="709"/>
      <c r="BI120" s="709"/>
      <c r="BJ120" s="709"/>
      <c r="BK120" s="709"/>
      <c r="BL120" s="709"/>
      <c r="BM120" s="709"/>
      <c r="BN120" s="709"/>
      <c r="BO120" s="709"/>
      <c r="BP120" s="709"/>
      <c r="BQ120" s="709"/>
      <c r="BR120" s="709"/>
      <c r="BS120" s="709"/>
      <c r="BT120" s="709"/>
      <c r="BU120" s="709"/>
      <c r="BV120" s="709"/>
      <c r="BW120" s="709"/>
      <c r="BX120" s="709"/>
      <c r="BY120" s="709"/>
      <c r="BZ120" s="709"/>
      <c r="CA120" s="709"/>
      <c r="CB120" s="709"/>
      <c r="CC120" s="709"/>
      <c r="CD120" s="709"/>
      <c r="CE120" s="709"/>
      <c r="CF120" s="709"/>
      <c r="CG120" s="709"/>
      <c r="CH120" s="709"/>
      <c r="CI120" s="709"/>
      <c r="CJ120" s="709"/>
      <c r="CK120" s="709"/>
      <c r="CL120" s="709"/>
      <c r="CM120" s="709"/>
      <c r="CN120" s="709"/>
      <c r="CO120" s="709"/>
      <c r="CP120" s="709"/>
      <c r="CQ120" s="709"/>
      <c r="CR120" s="709"/>
      <c r="CS120" s="709"/>
      <c r="CT120" s="709"/>
      <c r="CU120" s="709"/>
      <c r="CV120" s="709"/>
      <c r="CW120" s="709"/>
      <c r="CX120" s="709"/>
      <c r="CY120" s="709"/>
      <c r="CZ120" s="709"/>
      <c r="DA120" s="709"/>
      <c r="DB120" s="709"/>
      <c r="DC120" s="709"/>
      <c r="DD120" s="709"/>
      <c r="DE120" s="709"/>
      <c r="DF120" s="709"/>
      <c r="DG120" s="709"/>
      <c r="DH120" s="709"/>
      <c r="DI120" s="709"/>
      <c r="DJ120" s="709"/>
      <c r="DK120" s="709"/>
      <c r="DL120" s="709"/>
      <c r="DM120" s="709"/>
      <c r="DN120" s="709"/>
      <c r="DO120" s="709"/>
      <c r="DP120" s="709"/>
      <c r="DQ120" s="709"/>
      <c r="DR120" s="709"/>
      <c r="DS120" s="709"/>
      <c r="DT120" s="709"/>
      <c r="DU120" s="709"/>
      <c r="DV120" s="709"/>
      <c r="DW120" s="709"/>
      <c r="DX120" s="709"/>
      <c r="DY120" s="709"/>
      <c r="DZ120" s="709"/>
      <c r="EA120" s="709"/>
      <c r="EB120" s="709"/>
      <c r="EC120" s="709"/>
      <c r="ED120" s="709"/>
      <c r="EE120" s="709"/>
      <c r="EF120" s="709"/>
      <c r="EG120" s="709"/>
      <c r="EH120" s="709"/>
      <c r="EI120" s="709"/>
      <c r="EJ120" s="709"/>
      <c r="EK120" s="709"/>
      <c r="EL120" s="709"/>
      <c r="EM120" s="709"/>
      <c r="EN120" s="709"/>
      <c r="EO120" s="709"/>
      <c r="EP120" s="709"/>
      <c r="EQ120" s="709"/>
      <c r="ER120" s="709"/>
      <c r="ES120" s="709"/>
      <c r="ET120" s="709"/>
      <c r="EU120" s="709"/>
      <c r="EV120" s="709"/>
      <c r="EW120" s="709"/>
      <c r="EX120" s="709"/>
      <c r="EY120" s="709"/>
      <c r="EZ120" s="709"/>
      <c r="FA120" s="709"/>
      <c r="FB120" s="709"/>
      <c r="FC120" s="709"/>
      <c r="FD120" s="709"/>
      <c r="FE120" s="709"/>
      <c r="FF120" s="709"/>
      <c r="FG120" s="709"/>
      <c r="FH120" s="709"/>
      <c r="FI120" s="709"/>
      <c r="FJ120" s="709"/>
      <c r="FK120" s="709"/>
      <c r="FL120" s="709"/>
      <c r="FM120" s="709"/>
      <c r="FN120" s="709"/>
      <c r="FO120" s="709"/>
      <c r="FP120" s="709"/>
      <c r="FQ120" s="709"/>
      <c r="FR120" s="709"/>
      <c r="FS120" s="709"/>
      <c r="FT120" s="709"/>
      <c r="FU120" s="709"/>
      <c r="FV120" s="709"/>
      <c r="FW120" s="709"/>
      <c r="FX120" s="709"/>
      <c r="FY120" s="709"/>
      <c r="FZ120" s="709"/>
      <c r="GA120" s="709"/>
      <c r="GB120" s="709"/>
      <c r="GC120" s="709"/>
      <c r="GD120" s="709"/>
      <c r="GE120" s="709"/>
      <c r="GF120" s="709"/>
      <c r="GG120" s="709"/>
      <c r="GH120" s="709"/>
      <c r="GI120" s="709"/>
      <c r="GJ120" s="709"/>
      <c r="GK120" s="709"/>
      <c r="GL120" s="709"/>
      <c r="GM120" s="709"/>
      <c r="GN120" s="709"/>
      <c r="GO120" s="709"/>
      <c r="GP120" s="709"/>
      <c r="GQ120" s="709"/>
      <c r="GR120" s="709"/>
      <c r="GS120" s="709"/>
      <c r="GT120" s="709"/>
      <c r="GU120" s="709"/>
      <c r="GV120" s="709"/>
      <c r="GW120" s="709"/>
      <c r="GX120" s="709"/>
      <c r="GY120" s="709"/>
      <c r="GZ120" s="709"/>
      <c r="HA120" s="709"/>
      <c r="HB120" s="709"/>
      <c r="HC120" s="709"/>
      <c r="HD120" s="709"/>
      <c r="HE120" s="709"/>
      <c r="HF120" s="709"/>
      <c r="HG120" s="709"/>
      <c r="HH120" s="709"/>
      <c r="HI120" s="709"/>
      <c r="HJ120" s="709"/>
      <c r="HK120" s="709"/>
      <c r="HL120" s="709"/>
      <c r="HM120" s="709"/>
      <c r="HN120" s="709"/>
      <c r="HO120" s="709"/>
      <c r="HP120" s="709"/>
      <c r="HQ120" s="709"/>
      <c r="HR120" s="709"/>
      <c r="HS120" s="709"/>
      <c r="HT120" s="709"/>
      <c r="HU120" s="709"/>
      <c r="HV120" s="709"/>
      <c r="HW120" s="709"/>
      <c r="HX120" s="709"/>
      <c r="HY120" s="709"/>
      <c r="HZ120" s="709"/>
      <c r="IA120" s="709"/>
      <c r="IB120" s="709"/>
      <c r="IC120" s="709"/>
      <c r="ID120" s="709"/>
      <c r="IE120" s="709"/>
      <c r="IF120" s="709"/>
      <c r="IG120" s="709"/>
      <c r="IH120" s="709"/>
      <c r="II120" s="709"/>
      <c r="IJ120" s="709"/>
      <c r="IK120" s="709"/>
      <c r="IL120" s="709"/>
      <c r="IM120" s="709"/>
      <c r="IN120" s="709"/>
      <c r="IO120" s="709"/>
      <c r="IP120" s="709"/>
      <c r="IQ120" s="709"/>
      <c r="IR120" s="709"/>
      <c r="IS120" s="709"/>
      <c r="IT120" s="709"/>
      <c r="IU120" s="709"/>
      <c r="IV120" s="709"/>
    </row>
    <row r="121" spans="1:256" ht="12.75" hidden="1" customHeight="1">
      <c r="A121" s="706" t="s">
        <v>338</v>
      </c>
      <c r="B121" s="705">
        <v>2114380</v>
      </c>
      <c r="C121" s="706">
        <v>2422673.7000000002</v>
      </c>
      <c r="D121" s="689"/>
      <c r="E121" s="706">
        <f t="shared" si="15"/>
        <v>-308293.70000000019</v>
      </c>
      <c r="F121" s="706">
        <v>406189.3</v>
      </c>
      <c r="G121" s="706">
        <v>-97639</v>
      </c>
      <c r="H121" s="706">
        <f t="shared" si="16"/>
        <v>308550.3</v>
      </c>
      <c r="I121" s="693"/>
      <c r="J121" s="706">
        <v>-256.3</v>
      </c>
      <c r="K121" s="706">
        <f t="shared" si="17"/>
        <v>308294</v>
      </c>
      <c r="L121" s="691"/>
      <c r="M121" s="709"/>
      <c r="N121" s="709"/>
      <c r="O121" s="709"/>
      <c r="P121" s="709"/>
      <c r="Q121" s="709"/>
      <c r="R121" s="709"/>
      <c r="S121" s="709"/>
      <c r="T121" s="709"/>
      <c r="U121" s="709"/>
      <c r="V121" s="709"/>
      <c r="W121" s="709"/>
      <c r="X121" s="709"/>
      <c r="Y121" s="709"/>
      <c r="Z121" s="709"/>
      <c r="AA121" s="709"/>
      <c r="AB121" s="709"/>
      <c r="AC121" s="709"/>
      <c r="AD121" s="709"/>
      <c r="AE121" s="709"/>
      <c r="AF121" s="709"/>
      <c r="AG121" s="709"/>
      <c r="AH121" s="709"/>
      <c r="AI121" s="709"/>
      <c r="AJ121" s="709"/>
      <c r="AK121" s="709"/>
      <c r="AL121" s="709"/>
      <c r="AM121" s="709"/>
      <c r="AN121" s="709"/>
      <c r="AO121" s="709"/>
      <c r="AP121" s="709"/>
      <c r="AQ121" s="709"/>
      <c r="AR121" s="709"/>
      <c r="AS121" s="709"/>
      <c r="AT121" s="709"/>
      <c r="AU121" s="709"/>
      <c r="AV121" s="709"/>
      <c r="AW121" s="709"/>
      <c r="AX121" s="709"/>
      <c r="AY121" s="709"/>
      <c r="AZ121" s="709"/>
      <c r="BA121" s="709"/>
      <c r="BB121" s="709"/>
      <c r="BC121" s="709"/>
      <c r="BD121" s="709"/>
      <c r="BE121" s="709"/>
      <c r="BF121" s="709"/>
      <c r="BG121" s="709"/>
      <c r="BH121" s="709"/>
      <c r="BI121" s="709"/>
      <c r="BJ121" s="709"/>
      <c r="BK121" s="709"/>
      <c r="BL121" s="709"/>
      <c r="BM121" s="709"/>
      <c r="BN121" s="709"/>
      <c r="BO121" s="709"/>
      <c r="BP121" s="709"/>
      <c r="BQ121" s="709"/>
      <c r="BR121" s="709"/>
      <c r="BS121" s="709"/>
      <c r="BT121" s="709"/>
      <c r="BU121" s="709"/>
      <c r="BV121" s="709"/>
      <c r="BW121" s="709"/>
      <c r="BX121" s="709"/>
      <c r="BY121" s="709"/>
      <c r="BZ121" s="709"/>
      <c r="CA121" s="709"/>
      <c r="CB121" s="709"/>
      <c r="CC121" s="709"/>
      <c r="CD121" s="709"/>
      <c r="CE121" s="709"/>
      <c r="CF121" s="709"/>
      <c r="CG121" s="709"/>
      <c r="CH121" s="709"/>
      <c r="CI121" s="709"/>
      <c r="CJ121" s="709"/>
      <c r="CK121" s="709"/>
      <c r="CL121" s="709"/>
      <c r="CM121" s="709"/>
      <c r="CN121" s="709"/>
      <c r="CO121" s="709"/>
      <c r="CP121" s="709"/>
      <c r="CQ121" s="709"/>
      <c r="CR121" s="709"/>
      <c r="CS121" s="709"/>
      <c r="CT121" s="709"/>
      <c r="CU121" s="709"/>
      <c r="CV121" s="709"/>
      <c r="CW121" s="709"/>
      <c r="CX121" s="709"/>
      <c r="CY121" s="709"/>
      <c r="CZ121" s="709"/>
      <c r="DA121" s="709"/>
      <c r="DB121" s="709"/>
      <c r="DC121" s="709"/>
      <c r="DD121" s="709"/>
      <c r="DE121" s="709"/>
      <c r="DF121" s="709"/>
      <c r="DG121" s="709"/>
      <c r="DH121" s="709"/>
      <c r="DI121" s="709"/>
      <c r="DJ121" s="709"/>
      <c r="DK121" s="709"/>
      <c r="DL121" s="709"/>
      <c r="DM121" s="709"/>
      <c r="DN121" s="709"/>
      <c r="DO121" s="709"/>
      <c r="DP121" s="709"/>
      <c r="DQ121" s="709"/>
      <c r="DR121" s="709"/>
      <c r="DS121" s="709"/>
      <c r="DT121" s="709"/>
      <c r="DU121" s="709"/>
      <c r="DV121" s="709"/>
      <c r="DW121" s="709"/>
      <c r="DX121" s="709"/>
      <c r="DY121" s="709"/>
      <c r="DZ121" s="709"/>
      <c r="EA121" s="709"/>
      <c r="EB121" s="709"/>
      <c r="EC121" s="709"/>
      <c r="ED121" s="709"/>
      <c r="EE121" s="709"/>
      <c r="EF121" s="709"/>
      <c r="EG121" s="709"/>
      <c r="EH121" s="709"/>
      <c r="EI121" s="709"/>
      <c r="EJ121" s="709"/>
      <c r="EK121" s="709"/>
      <c r="EL121" s="709"/>
      <c r="EM121" s="709"/>
      <c r="EN121" s="709"/>
      <c r="EO121" s="709"/>
      <c r="EP121" s="709"/>
      <c r="EQ121" s="709"/>
      <c r="ER121" s="709"/>
      <c r="ES121" s="709"/>
      <c r="ET121" s="709"/>
      <c r="EU121" s="709"/>
      <c r="EV121" s="709"/>
      <c r="EW121" s="709"/>
      <c r="EX121" s="709"/>
      <c r="EY121" s="709"/>
      <c r="EZ121" s="709"/>
      <c r="FA121" s="709"/>
      <c r="FB121" s="709"/>
      <c r="FC121" s="709"/>
      <c r="FD121" s="709"/>
      <c r="FE121" s="709"/>
      <c r="FF121" s="709"/>
      <c r="FG121" s="709"/>
      <c r="FH121" s="709"/>
      <c r="FI121" s="709"/>
      <c r="FJ121" s="709"/>
      <c r="FK121" s="709"/>
      <c r="FL121" s="709"/>
      <c r="FM121" s="709"/>
      <c r="FN121" s="709"/>
      <c r="FO121" s="709"/>
      <c r="FP121" s="709"/>
      <c r="FQ121" s="709"/>
      <c r="FR121" s="709"/>
      <c r="FS121" s="709"/>
      <c r="FT121" s="709"/>
      <c r="FU121" s="709"/>
      <c r="FV121" s="709"/>
      <c r="FW121" s="709"/>
      <c r="FX121" s="709"/>
      <c r="FY121" s="709"/>
      <c r="FZ121" s="709"/>
      <c r="GA121" s="709"/>
      <c r="GB121" s="709"/>
      <c r="GC121" s="709"/>
      <c r="GD121" s="709"/>
      <c r="GE121" s="709"/>
      <c r="GF121" s="709"/>
      <c r="GG121" s="709"/>
      <c r="GH121" s="709"/>
      <c r="GI121" s="709"/>
      <c r="GJ121" s="709"/>
      <c r="GK121" s="709"/>
      <c r="GL121" s="709"/>
      <c r="GM121" s="709"/>
      <c r="GN121" s="709"/>
      <c r="GO121" s="709"/>
      <c r="GP121" s="709"/>
      <c r="GQ121" s="709"/>
      <c r="GR121" s="709"/>
      <c r="GS121" s="709"/>
      <c r="GT121" s="709"/>
      <c r="GU121" s="709"/>
      <c r="GV121" s="709"/>
      <c r="GW121" s="709"/>
      <c r="GX121" s="709"/>
      <c r="GY121" s="709"/>
      <c r="GZ121" s="709"/>
      <c r="HA121" s="709"/>
      <c r="HB121" s="709"/>
      <c r="HC121" s="709"/>
      <c r="HD121" s="709"/>
      <c r="HE121" s="709"/>
      <c r="HF121" s="709"/>
      <c r="HG121" s="709"/>
      <c r="HH121" s="709"/>
      <c r="HI121" s="709"/>
      <c r="HJ121" s="709"/>
      <c r="HK121" s="709"/>
      <c r="HL121" s="709"/>
      <c r="HM121" s="709"/>
      <c r="HN121" s="709"/>
      <c r="HO121" s="709"/>
      <c r="HP121" s="709"/>
      <c r="HQ121" s="709"/>
      <c r="HR121" s="709"/>
      <c r="HS121" s="709"/>
      <c r="HT121" s="709"/>
      <c r="HU121" s="709"/>
      <c r="HV121" s="709"/>
      <c r="HW121" s="709"/>
      <c r="HX121" s="709"/>
      <c r="HY121" s="709"/>
      <c r="HZ121" s="709"/>
      <c r="IA121" s="709"/>
      <c r="IB121" s="709"/>
      <c r="IC121" s="709"/>
      <c r="ID121" s="709"/>
      <c r="IE121" s="709"/>
      <c r="IF121" s="709"/>
      <c r="IG121" s="709"/>
      <c r="IH121" s="709"/>
      <c r="II121" s="709"/>
      <c r="IJ121" s="709"/>
      <c r="IK121" s="709"/>
      <c r="IL121" s="709"/>
      <c r="IM121" s="709"/>
      <c r="IN121" s="709"/>
      <c r="IO121" s="709"/>
      <c r="IP121" s="709"/>
      <c r="IQ121" s="709"/>
      <c r="IR121" s="709"/>
      <c r="IS121" s="709"/>
      <c r="IT121" s="709"/>
      <c r="IU121" s="709"/>
      <c r="IV121" s="709"/>
    </row>
    <row r="122" spans="1:256" ht="12.75" hidden="1" customHeight="1">
      <c r="A122" s="706" t="s">
        <v>339</v>
      </c>
      <c r="B122" s="705">
        <f>2204383.2-12891.8</f>
        <v>2191491.4000000004</v>
      </c>
      <c r="C122" s="706">
        <v>2837363.9</v>
      </c>
      <c r="D122" s="689"/>
      <c r="E122" s="706">
        <f t="shared" si="15"/>
        <v>-645872.49999999953</v>
      </c>
      <c r="F122" s="706">
        <v>604900.4</v>
      </c>
      <c r="G122" s="706">
        <v>40972.1</v>
      </c>
      <c r="H122" s="706">
        <f t="shared" si="16"/>
        <v>645872.5</v>
      </c>
      <c r="I122" s="693"/>
      <c r="J122" s="706">
        <v>0</v>
      </c>
      <c r="K122" s="706">
        <f t="shared" si="17"/>
        <v>645872.5</v>
      </c>
      <c r="L122" s="691"/>
      <c r="M122" s="709"/>
      <c r="N122" s="709"/>
      <c r="O122" s="709"/>
      <c r="P122" s="709"/>
      <c r="Q122" s="709"/>
      <c r="R122" s="709"/>
      <c r="S122" s="709"/>
      <c r="T122" s="709"/>
      <c r="U122" s="709"/>
      <c r="V122" s="709"/>
      <c r="W122" s="709"/>
      <c r="X122" s="709"/>
      <c r="Y122" s="709"/>
      <c r="Z122" s="709"/>
      <c r="AA122" s="709"/>
      <c r="AB122" s="709"/>
      <c r="AC122" s="709"/>
      <c r="AD122" s="709"/>
      <c r="AE122" s="709"/>
      <c r="AF122" s="709"/>
      <c r="AG122" s="709"/>
      <c r="AH122" s="709"/>
      <c r="AI122" s="709"/>
      <c r="AJ122" s="709"/>
      <c r="AK122" s="709"/>
      <c r="AL122" s="709"/>
      <c r="AM122" s="709"/>
      <c r="AN122" s="709"/>
      <c r="AO122" s="709"/>
      <c r="AP122" s="709"/>
      <c r="AQ122" s="709"/>
      <c r="AR122" s="709"/>
      <c r="AS122" s="709"/>
      <c r="AT122" s="709"/>
      <c r="AU122" s="709"/>
      <c r="AV122" s="709"/>
      <c r="AW122" s="709"/>
      <c r="AX122" s="709"/>
      <c r="AY122" s="709"/>
      <c r="AZ122" s="709"/>
      <c r="BA122" s="709"/>
      <c r="BB122" s="709"/>
      <c r="BC122" s="709"/>
      <c r="BD122" s="709"/>
      <c r="BE122" s="709"/>
      <c r="BF122" s="709"/>
      <c r="BG122" s="709"/>
      <c r="BH122" s="709"/>
      <c r="BI122" s="709"/>
      <c r="BJ122" s="709"/>
      <c r="BK122" s="709"/>
      <c r="BL122" s="709"/>
      <c r="BM122" s="709"/>
      <c r="BN122" s="709"/>
      <c r="BO122" s="709"/>
      <c r="BP122" s="709"/>
      <c r="BQ122" s="709"/>
      <c r="BR122" s="709"/>
      <c r="BS122" s="709"/>
      <c r="BT122" s="709"/>
      <c r="BU122" s="709"/>
      <c r="BV122" s="709"/>
      <c r="BW122" s="709"/>
      <c r="BX122" s="709"/>
      <c r="BY122" s="709"/>
      <c r="BZ122" s="709"/>
      <c r="CA122" s="709"/>
      <c r="CB122" s="709"/>
      <c r="CC122" s="709"/>
      <c r="CD122" s="709"/>
      <c r="CE122" s="709"/>
      <c r="CF122" s="709"/>
      <c r="CG122" s="709"/>
      <c r="CH122" s="709"/>
      <c r="CI122" s="709"/>
      <c r="CJ122" s="709"/>
      <c r="CK122" s="709"/>
      <c r="CL122" s="709"/>
      <c r="CM122" s="709"/>
      <c r="CN122" s="709"/>
      <c r="CO122" s="709"/>
      <c r="CP122" s="709"/>
      <c r="CQ122" s="709"/>
      <c r="CR122" s="709"/>
      <c r="CS122" s="709"/>
      <c r="CT122" s="709"/>
      <c r="CU122" s="709"/>
      <c r="CV122" s="709"/>
      <c r="CW122" s="709"/>
      <c r="CX122" s="709"/>
      <c r="CY122" s="709"/>
      <c r="CZ122" s="709"/>
      <c r="DA122" s="709"/>
      <c r="DB122" s="709"/>
      <c r="DC122" s="709"/>
      <c r="DD122" s="709"/>
      <c r="DE122" s="709"/>
      <c r="DF122" s="709"/>
      <c r="DG122" s="709"/>
      <c r="DH122" s="709"/>
      <c r="DI122" s="709"/>
      <c r="DJ122" s="709"/>
      <c r="DK122" s="709"/>
      <c r="DL122" s="709"/>
      <c r="DM122" s="709"/>
      <c r="DN122" s="709"/>
      <c r="DO122" s="709"/>
      <c r="DP122" s="709"/>
      <c r="DQ122" s="709"/>
      <c r="DR122" s="709"/>
      <c r="DS122" s="709"/>
      <c r="DT122" s="709"/>
      <c r="DU122" s="709"/>
      <c r="DV122" s="709"/>
      <c r="DW122" s="709"/>
      <c r="DX122" s="709"/>
      <c r="DY122" s="709"/>
      <c r="DZ122" s="709"/>
      <c r="EA122" s="709"/>
      <c r="EB122" s="709"/>
      <c r="EC122" s="709"/>
      <c r="ED122" s="709"/>
      <c r="EE122" s="709"/>
      <c r="EF122" s="709"/>
      <c r="EG122" s="709"/>
      <c r="EH122" s="709"/>
      <c r="EI122" s="709"/>
      <c r="EJ122" s="709"/>
      <c r="EK122" s="709"/>
      <c r="EL122" s="709"/>
      <c r="EM122" s="709"/>
      <c r="EN122" s="709"/>
      <c r="EO122" s="709"/>
      <c r="EP122" s="709"/>
      <c r="EQ122" s="709"/>
      <c r="ER122" s="709"/>
      <c r="ES122" s="709"/>
      <c r="ET122" s="709"/>
      <c r="EU122" s="709"/>
      <c r="EV122" s="709"/>
      <c r="EW122" s="709"/>
      <c r="EX122" s="709"/>
      <c r="EY122" s="709"/>
      <c r="EZ122" s="709"/>
      <c r="FA122" s="709"/>
      <c r="FB122" s="709"/>
      <c r="FC122" s="709"/>
      <c r="FD122" s="709"/>
      <c r="FE122" s="709"/>
      <c r="FF122" s="709"/>
      <c r="FG122" s="709"/>
      <c r="FH122" s="709"/>
      <c r="FI122" s="709"/>
      <c r="FJ122" s="709"/>
      <c r="FK122" s="709"/>
      <c r="FL122" s="709"/>
      <c r="FM122" s="709"/>
      <c r="FN122" s="709"/>
      <c r="FO122" s="709"/>
      <c r="FP122" s="709"/>
      <c r="FQ122" s="709"/>
      <c r="FR122" s="709"/>
      <c r="FS122" s="709"/>
      <c r="FT122" s="709"/>
      <c r="FU122" s="709"/>
      <c r="FV122" s="709"/>
      <c r="FW122" s="709"/>
      <c r="FX122" s="709"/>
      <c r="FY122" s="709"/>
      <c r="FZ122" s="709"/>
      <c r="GA122" s="709"/>
      <c r="GB122" s="709"/>
      <c r="GC122" s="709"/>
      <c r="GD122" s="709"/>
      <c r="GE122" s="709"/>
      <c r="GF122" s="709"/>
      <c r="GG122" s="709"/>
      <c r="GH122" s="709"/>
      <c r="GI122" s="709"/>
      <c r="GJ122" s="709"/>
      <c r="GK122" s="709"/>
      <c r="GL122" s="709"/>
      <c r="GM122" s="709"/>
      <c r="GN122" s="709"/>
      <c r="GO122" s="709"/>
      <c r="GP122" s="709"/>
      <c r="GQ122" s="709"/>
      <c r="GR122" s="709"/>
      <c r="GS122" s="709"/>
      <c r="GT122" s="709"/>
      <c r="GU122" s="709"/>
      <c r="GV122" s="709"/>
      <c r="GW122" s="709"/>
      <c r="GX122" s="709"/>
      <c r="GY122" s="709"/>
      <c r="GZ122" s="709"/>
      <c r="HA122" s="709"/>
      <c r="HB122" s="709"/>
      <c r="HC122" s="709"/>
      <c r="HD122" s="709"/>
      <c r="HE122" s="709"/>
      <c r="HF122" s="709"/>
      <c r="HG122" s="709"/>
      <c r="HH122" s="709"/>
      <c r="HI122" s="709"/>
      <c r="HJ122" s="709"/>
      <c r="HK122" s="709"/>
      <c r="HL122" s="709"/>
      <c r="HM122" s="709"/>
      <c r="HN122" s="709"/>
      <c r="HO122" s="709"/>
      <c r="HP122" s="709"/>
      <c r="HQ122" s="709"/>
      <c r="HR122" s="709"/>
      <c r="HS122" s="709"/>
      <c r="HT122" s="709"/>
      <c r="HU122" s="709"/>
      <c r="HV122" s="709"/>
      <c r="HW122" s="709"/>
      <c r="HX122" s="709"/>
      <c r="HY122" s="709"/>
      <c r="HZ122" s="709"/>
      <c r="IA122" s="709"/>
      <c r="IB122" s="709"/>
      <c r="IC122" s="709"/>
      <c r="ID122" s="709"/>
      <c r="IE122" s="709"/>
      <c r="IF122" s="709"/>
      <c r="IG122" s="709"/>
      <c r="IH122" s="709"/>
      <c r="II122" s="709"/>
      <c r="IJ122" s="709"/>
      <c r="IK122" s="709"/>
      <c r="IL122" s="709"/>
      <c r="IM122" s="709"/>
      <c r="IN122" s="709"/>
      <c r="IO122" s="709"/>
      <c r="IP122" s="709"/>
      <c r="IQ122" s="709"/>
      <c r="IR122" s="709"/>
      <c r="IS122" s="709"/>
      <c r="IT122" s="709"/>
      <c r="IU122" s="709"/>
      <c r="IV122" s="709"/>
    </row>
    <row r="123" spans="1:256" ht="12.75" hidden="1" customHeight="1">
      <c r="A123" s="706" t="s">
        <v>340</v>
      </c>
      <c r="B123" s="705">
        <v>2094383.7</v>
      </c>
      <c r="C123" s="706">
        <v>2693332.4</v>
      </c>
      <c r="D123" s="689"/>
      <c r="E123" s="706">
        <f t="shared" si="15"/>
        <v>-598948.69999999995</v>
      </c>
      <c r="F123" s="706">
        <v>638139.30000000005</v>
      </c>
      <c r="G123" s="706">
        <v>-39180.9</v>
      </c>
      <c r="H123" s="706">
        <f t="shared" si="16"/>
        <v>598958.4</v>
      </c>
      <c r="I123" s="693"/>
      <c r="J123" s="706">
        <v>-9.9</v>
      </c>
      <c r="K123" s="706">
        <f t="shared" si="17"/>
        <v>598948.5</v>
      </c>
      <c r="L123" s="691"/>
      <c r="M123" s="709"/>
      <c r="N123" s="709"/>
      <c r="O123" s="709"/>
      <c r="P123" s="709"/>
      <c r="Q123" s="709"/>
      <c r="R123" s="709"/>
      <c r="S123" s="709"/>
      <c r="T123" s="709"/>
      <c r="U123" s="709"/>
      <c r="V123" s="709"/>
      <c r="W123" s="709"/>
      <c r="X123" s="709"/>
      <c r="Y123" s="709"/>
      <c r="Z123" s="709"/>
      <c r="AA123" s="709"/>
      <c r="AB123" s="709"/>
      <c r="AC123" s="709"/>
      <c r="AD123" s="709"/>
      <c r="AE123" s="709"/>
      <c r="AF123" s="709"/>
      <c r="AG123" s="709"/>
      <c r="AH123" s="709"/>
      <c r="AI123" s="709"/>
      <c r="AJ123" s="709"/>
      <c r="AK123" s="709"/>
      <c r="AL123" s="709"/>
      <c r="AM123" s="709"/>
      <c r="AN123" s="709"/>
      <c r="AO123" s="709"/>
      <c r="AP123" s="709"/>
      <c r="AQ123" s="709"/>
      <c r="AR123" s="709"/>
      <c r="AS123" s="709"/>
      <c r="AT123" s="709"/>
      <c r="AU123" s="709"/>
      <c r="AV123" s="709"/>
      <c r="AW123" s="709"/>
      <c r="AX123" s="709"/>
      <c r="AY123" s="709"/>
      <c r="AZ123" s="709"/>
      <c r="BA123" s="709"/>
      <c r="BB123" s="709"/>
      <c r="BC123" s="709"/>
      <c r="BD123" s="709"/>
      <c r="BE123" s="709"/>
      <c r="BF123" s="709"/>
      <c r="BG123" s="709"/>
      <c r="BH123" s="709"/>
      <c r="BI123" s="709"/>
      <c r="BJ123" s="709"/>
      <c r="BK123" s="709"/>
      <c r="BL123" s="709"/>
      <c r="BM123" s="709"/>
      <c r="BN123" s="709"/>
      <c r="BO123" s="709"/>
      <c r="BP123" s="709"/>
      <c r="BQ123" s="709"/>
      <c r="BR123" s="709"/>
      <c r="BS123" s="709"/>
      <c r="BT123" s="709"/>
      <c r="BU123" s="709"/>
      <c r="BV123" s="709"/>
      <c r="BW123" s="709"/>
      <c r="BX123" s="709"/>
      <c r="BY123" s="709"/>
      <c r="BZ123" s="709"/>
      <c r="CA123" s="709"/>
      <c r="CB123" s="709"/>
      <c r="CC123" s="709"/>
      <c r="CD123" s="709"/>
      <c r="CE123" s="709"/>
      <c r="CF123" s="709"/>
      <c r="CG123" s="709"/>
      <c r="CH123" s="709"/>
      <c r="CI123" s="709"/>
      <c r="CJ123" s="709"/>
      <c r="CK123" s="709"/>
      <c r="CL123" s="709"/>
      <c r="CM123" s="709"/>
      <c r="CN123" s="709"/>
      <c r="CO123" s="709"/>
      <c r="CP123" s="709"/>
      <c r="CQ123" s="709"/>
      <c r="CR123" s="709"/>
      <c r="CS123" s="709"/>
      <c r="CT123" s="709"/>
      <c r="CU123" s="709"/>
      <c r="CV123" s="709"/>
      <c r="CW123" s="709"/>
      <c r="CX123" s="709"/>
      <c r="CY123" s="709"/>
      <c r="CZ123" s="709"/>
      <c r="DA123" s="709"/>
      <c r="DB123" s="709"/>
      <c r="DC123" s="709"/>
      <c r="DD123" s="709"/>
      <c r="DE123" s="709"/>
      <c r="DF123" s="709"/>
      <c r="DG123" s="709"/>
      <c r="DH123" s="709"/>
      <c r="DI123" s="709"/>
      <c r="DJ123" s="709"/>
      <c r="DK123" s="709"/>
      <c r="DL123" s="709"/>
      <c r="DM123" s="709"/>
      <c r="DN123" s="709"/>
      <c r="DO123" s="709"/>
      <c r="DP123" s="709"/>
      <c r="DQ123" s="709"/>
      <c r="DR123" s="709"/>
      <c r="DS123" s="709"/>
      <c r="DT123" s="709"/>
      <c r="DU123" s="709"/>
      <c r="DV123" s="709"/>
      <c r="DW123" s="709"/>
      <c r="DX123" s="709"/>
      <c r="DY123" s="709"/>
      <c r="DZ123" s="709"/>
      <c r="EA123" s="709"/>
      <c r="EB123" s="709"/>
      <c r="EC123" s="709"/>
      <c r="ED123" s="709"/>
      <c r="EE123" s="709"/>
      <c r="EF123" s="709"/>
      <c r="EG123" s="709"/>
      <c r="EH123" s="709"/>
      <c r="EI123" s="709"/>
      <c r="EJ123" s="709"/>
      <c r="EK123" s="709"/>
      <c r="EL123" s="709"/>
      <c r="EM123" s="709"/>
      <c r="EN123" s="709"/>
      <c r="EO123" s="709"/>
      <c r="EP123" s="709"/>
      <c r="EQ123" s="709"/>
      <c r="ER123" s="709"/>
      <c r="ES123" s="709"/>
      <c r="ET123" s="709"/>
      <c r="EU123" s="709"/>
      <c r="EV123" s="709"/>
      <c r="EW123" s="709"/>
      <c r="EX123" s="709"/>
      <c r="EY123" s="709"/>
      <c r="EZ123" s="709"/>
      <c r="FA123" s="709"/>
      <c r="FB123" s="709"/>
      <c r="FC123" s="709"/>
      <c r="FD123" s="709"/>
      <c r="FE123" s="709"/>
      <c r="FF123" s="709"/>
      <c r="FG123" s="709"/>
      <c r="FH123" s="709"/>
      <c r="FI123" s="709"/>
      <c r="FJ123" s="709"/>
      <c r="FK123" s="709"/>
      <c r="FL123" s="709"/>
      <c r="FM123" s="709"/>
      <c r="FN123" s="709"/>
      <c r="FO123" s="709"/>
      <c r="FP123" s="709"/>
      <c r="FQ123" s="709"/>
      <c r="FR123" s="709"/>
      <c r="FS123" s="709"/>
      <c r="FT123" s="709"/>
      <c r="FU123" s="709"/>
      <c r="FV123" s="709"/>
      <c r="FW123" s="709"/>
      <c r="FX123" s="709"/>
      <c r="FY123" s="709"/>
      <c r="FZ123" s="709"/>
      <c r="GA123" s="709"/>
      <c r="GB123" s="709"/>
      <c r="GC123" s="709"/>
      <c r="GD123" s="709"/>
      <c r="GE123" s="709"/>
      <c r="GF123" s="709"/>
      <c r="GG123" s="709"/>
      <c r="GH123" s="709"/>
      <c r="GI123" s="709"/>
      <c r="GJ123" s="709"/>
      <c r="GK123" s="709"/>
      <c r="GL123" s="709"/>
      <c r="GM123" s="709"/>
      <c r="GN123" s="709"/>
      <c r="GO123" s="709"/>
      <c r="GP123" s="709"/>
      <c r="GQ123" s="709"/>
      <c r="GR123" s="709"/>
      <c r="GS123" s="709"/>
      <c r="GT123" s="709"/>
      <c r="GU123" s="709"/>
      <c r="GV123" s="709"/>
      <c r="GW123" s="709"/>
      <c r="GX123" s="709"/>
      <c r="GY123" s="709"/>
      <c r="GZ123" s="709"/>
      <c r="HA123" s="709"/>
      <c r="HB123" s="709"/>
      <c r="HC123" s="709"/>
      <c r="HD123" s="709"/>
      <c r="HE123" s="709"/>
      <c r="HF123" s="709"/>
      <c r="HG123" s="709"/>
      <c r="HH123" s="709"/>
      <c r="HI123" s="709"/>
      <c r="HJ123" s="709"/>
      <c r="HK123" s="709"/>
      <c r="HL123" s="709"/>
      <c r="HM123" s="709"/>
      <c r="HN123" s="709"/>
      <c r="HO123" s="709"/>
      <c r="HP123" s="709"/>
      <c r="HQ123" s="709"/>
      <c r="HR123" s="709"/>
      <c r="HS123" s="709"/>
      <c r="HT123" s="709"/>
      <c r="HU123" s="709"/>
      <c r="HV123" s="709"/>
      <c r="HW123" s="709"/>
      <c r="HX123" s="709"/>
      <c r="HY123" s="709"/>
      <c r="HZ123" s="709"/>
      <c r="IA123" s="709"/>
      <c r="IB123" s="709"/>
      <c r="IC123" s="709"/>
      <c r="ID123" s="709"/>
      <c r="IE123" s="709"/>
      <c r="IF123" s="709"/>
      <c r="IG123" s="709"/>
      <c r="IH123" s="709"/>
      <c r="II123" s="709"/>
      <c r="IJ123" s="709"/>
      <c r="IK123" s="709"/>
      <c r="IL123" s="709"/>
      <c r="IM123" s="709"/>
      <c r="IN123" s="709"/>
      <c r="IO123" s="709"/>
      <c r="IP123" s="709"/>
      <c r="IQ123" s="709"/>
      <c r="IR123" s="709"/>
      <c r="IS123" s="709"/>
      <c r="IT123" s="709"/>
      <c r="IU123" s="709"/>
      <c r="IV123" s="709"/>
    </row>
    <row r="124" spans="1:256" ht="12.75" hidden="1" customHeight="1">
      <c r="A124" s="706" t="s">
        <v>341</v>
      </c>
      <c r="B124" s="705">
        <f>3192031.8+1243.2</f>
        <v>3193275</v>
      </c>
      <c r="C124" s="706">
        <v>3377112.5</v>
      </c>
      <c r="D124" s="689"/>
      <c r="E124" s="706">
        <f t="shared" si="15"/>
        <v>-183837.5</v>
      </c>
      <c r="F124" s="706">
        <v>-159287.79999999999</v>
      </c>
      <c r="G124" s="706">
        <v>344753.9</v>
      </c>
      <c r="H124" s="706">
        <f t="shared" si="16"/>
        <v>185466.10000000003</v>
      </c>
      <c r="I124" s="693"/>
      <c r="J124" s="706">
        <v>-1633.3</v>
      </c>
      <c r="K124" s="706">
        <f t="shared" si="17"/>
        <v>183832.80000000005</v>
      </c>
      <c r="L124" s="691"/>
      <c r="M124" s="709"/>
      <c r="N124" s="709"/>
      <c r="O124" s="709"/>
      <c r="P124" s="709"/>
      <c r="Q124" s="709"/>
      <c r="R124" s="709"/>
      <c r="S124" s="709"/>
      <c r="T124" s="709"/>
      <c r="U124" s="709"/>
      <c r="V124" s="709"/>
      <c r="W124" s="709"/>
      <c r="X124" s="709"/>
      <c r="Y124" s="709"/>
      <c r="Z124" s="709"/>
      <c r="AA124" s="709"/>
      <c r="AB124" s="709"/>
      <c r="AC124" s="709"/>
      <c r="AD124" s="709"/>
      <c r="AE124" s="709"/>
      <c r="AF124" s="709"/>
      <c r="AG124" s="709"/>
      <c r="AH124" s="709"/>
      <c r="AI124" s="709"/>
      <c r="AJ124" s="709"/>
      <c r="AK124" s="709"/>
      <c r="AL124" s="709"/>
      <c r="AM124" s="709"/>
      <c r="AN124" s="709"/>
      <c r="AO124" s="709"/>
      <c r="AP124" s="709"/>
      <c r="AQ124" s="709"/>
      <c r="AR124" s="709"/>
      <c r="AS124" s="709"/>
      <c r="AT124" s="709"/>
      <c r="AU124" s="709"/>
      <c r="AV124" s="709"/>
      <c r="AW124" s="709"/>
      <c r="AX124" s="709"/>
      <c r="AY124" s="709"/>
      <c r="AZ124" s="709"/>
      <c r="BA124" s="709"/>
      <c r="BB124" s="709"/>
      <c r="BC124" s="709"/>
      <c r="BD124" s="709"/>
      <c r="BE124" s="709"/>
      <c r="BF124" s="709"/>
      <c r="BG124" s="709"/>
      <c r="BH124" s="709"/>
      <c r="BI124" s="709"/>
      <c r="BJ124" s="709"/>
      <c r="BK124" s="709"/>
      <c r="BL124" s="709"/>
      <c r="BM124" s="709"/>
      <c r="BN124" s="709"/>
      <c r="BO124" s="709"/>
      <c r="BP124" s="709"/>
      <c r="BQ124" s="709"/>
      <c r="BR124" s="709"/>
      <c r="BS124" s="709"/>
      <c r="BT124" s="709"/>
      <c r="BU124" s="709"/>
      <c r="BV124" s="709"/>
      <c r="BW124" s="709"/>
      <c r="BX124" s="709"/>
      <c r="BY124" s="709"/>
      <c r="BZ124" s="709"/>
      <c r="CA124" s="709"/>
      <c r="CB124" s="709"/>
      <c r="CC124" s="709"/>
      <c r="CD124" s="709"/>
      <c r="CE124" s="709"/>
      <c r="CF124" s="709"/>
      <c r="CG124" s="709"/>
      <c r="CH124" s="709"/>
      <c r="CI124" s="709"/>
      <c r="CJ124" s="709"/>
      <c r="CK124" s="709"/>
      <c r="CL124" s="709"/>
      <c r="CM124" s="709"/>
      <c r="CN124" s="709"/>
      <c r="CO124" s="709"/>
      <c r="CP124" s="709"/>
      <c r="CQ124" s="709"/>
      <c r="CR124" s="709"/>
      <c r="CS124" s="709"/>
      <c r="CT124" s="709"/>
      <c r="CU124" s="709"/>
      <c r="CV124" s="709"/>
      <c r="CW124" s="709"/>
      <c r="CX124" s="709"/>
      <c r="CY124" s="709"/>
      <c r="CZ124" s="709"/>
      <c r="DA124" s="709"/>
      <c r="DB124" s="709"/>
      <c r="DC124" s="709"/>
      <c r="DD124" s="709"/>
      <c r="DE124" s="709"/>
      <c r="DF124" s="709"/>
      <c r="DG124" s="709"/>
      <c r="DH124" s="709"/>
      <c r="DI124" s="709"/>
      <c r="DJ124" s="709"/>
      <c r="DK124" s="709"/>
      <c r="DL124" s="709"/>
      <c r="DM124" s="709"/>
      <c r="DN124" s="709"/>
      <c r="DO124" s="709"/>
      <c r="DP124" s="709"/>
      <c r="DQ124" s="709"/>
      <c r="DR124" s="709"/>
      <c r="DS124" s="709"/>
      <c r="DT124" s="709"/>
      <c r="DU124" s="709"/>
      <c r="DV124" s="709"/>
      <c r="DW124" s="709"/>
      <c r="DX124" s="709"/>
      <c r="DY124" s="709"/>
      <c r="DZ124" s="709"/>
      <c r="EA124" s="709"/>
      <c r="EB124" s="709"/>
      <c r="EC124" s="709"/>
      <c r="ED124" s="709"/>
      <c r="EE124" s="709"/>
      <c r="EF124" s="709"/>
      <c r="EG124" s="709"/>
      <c r="EH124" s="709"/>
      <c r="EI124" s="709"/>
      <c r="EJ124" s="709"/>
      <c r="EK124" s="709"/>
      <c r="EL124" s="709"/>
      <c r="EM124" s="709"/>
      <c r="EN124" s="709"/>
      <c r="EO124" s="709"/>
      <c r="EP124" s="709"/>
      <c r="EQ124" s="709"/>
      <c r="ER124" s="709"/>
      <c r="ES124" s="709"/>
      <c r="ET124" s="709"/>
      <c r="EU124" s="709"/>
      <c r="EV124" s="709"/>
      <c r="EW124" s="709"/>
      <c r="EX124" s="709"/>
      <c r="EY124" s="709"/>
      <c r="EZ124" s="709"/>
      <c r="FA124" s="709"/>
      <c r="FB124" s="709"/>
      <c r="FC124" s="709"/>
      <c r="FD124" s="709"/>
      <c r="FE124" s="709"/>
      <c r="FF124" s="709"/>
      <c r="FG124" s="709"/>
      <c r="FH124" s="709"/>
      <c r="FI124" s="709"/>
      <c r="FJ124" s="709"/>
      <c r="FK124" s="709"/>
      <c r="FL124" s="709"/>
      <c r="FM124" s="709"/>
      <c r="FN124" s="709"/>
      <c r="FO124" s="709"/>
      <c r="FP124" s="709"/>
      <c r="FQ124" s="709"/>
      <c r="FR124" s="709"/>
      <c r="FS124" s="709"/>
      <c r="FT124" s="709"/>
      <c r="FU124" s="709"/>
      <c r="FV124" s="709"/>
      <c r="FW124" s="709"/>
      <c r="FX124" s="709"/>
      <c r="FY124" s="709"/>
      <c r="FZ124" s="709"/>
      <c r="GA124" s="709"/>
      <c r="GB124" s="709"/>
      <c r="GC124" s="709"/>
      <c r="GD124" s="709"/>
      <c r="GE124" s="709"/>
      <c r="GF124" s="709"/>
      <c r="GG124" s="709"/>
      <c r="GH124" s="709"/>
      <c r="GI124" s="709"/>
      <c r="GJ124" s="709"/>
      <c r="GK124" s="709"/>
      <c r="GL124" s="709"/>
      <c r="GM124" s="709"/>
      <c r="GN124" s="709"/>
      <c r="GO124" s="709"/>
      <c r="GP124" s="709"/>
      <c r="GQ124" s="709"/>
      <c r="GR124" s="709"/>
      <c r="GS124" s="709"/>
      <c r="GT124" s="709"/>
      <c r="GU124" s="709"/>
      <c r="GV124" s="709"/>
      <c r="GW124" s="709"/>
      <c r="GX124" s="709"/>
      <c r="GY124" s="709"/>
      <c r="GZ124" s="709"/>
      <c r="HA124" s="709"/>
      <c r="HB124" s="709"/>
      <c r="HC124" s="709"/>
      <c r="HD124" s="709"/>
      <c r="HE124" s="709"/>
      <c r="HF124" s="709"/>
      <c r="HG124" s="709"/>
      <c r="HH124" s="709"/>
      <c r="HI124" s="709"/>
      <c r="HJ124" s="709"/>
      <c r="HK124" s="709"/>
      <c r="HL124" s="709"/>
      <c r="HM124" s="709"/>
      <c r="HN124" s="709"/>
      <c r="HO124" s="709"/>
      <c r="HP124" s="709"/>
      <c r="HQ124" s="709"/>
      <c r="HR124" s="709"/>
      <c r="HS124" s="709"/>
      <c r="HT124" s="709"/>
      <c r="HU124" s="709"/>
      <c r="HV124" s="709"/>
      <c r="HW124" s="709"/>
      <c r="HX124" s="709"/>
      <c r="HY124" s="709"/>
      <c r="HZ124" s="709"/>
      <c r="IA124" s="709"/>
      <c r="IB124" s="709"/>
      <c r="IC124" s="709"/>
      <c r="ID124" s="709"/>
      <c r="IE124" s="709"/>
      <c r="IF124" s="709"/>
      <c r="IG124" s="709"/>
      <c r="IH124" s="709"/>
      <c r="II124" s="709"/>
      <c r="IJ124" s="709"/>
      <c r="IK124" s="709"/>
      <c r="IL124" s="709"/>
      <c r="IM124" s="709"/>
      <c r="IN124" s="709"/>
      <c r="IO124" s="709"/>
      <c r="IP124" s="709"/>
      <c r="IQ124" s="709"/>
      <c r="IR124" s="709"/>
      <c r="IS124" s="709"/>
      <c r="IT124" s="709"/>
      <c r="IU124" s="709"/>
      <c r="IV124" s="709"/>
    </row>
    <row r="125" spans="1:256" ht="12.75" hidden="1" customHeight="1">
      <c r="A125" s="706" t="s">
        <v>342</v>
      </c>
      <c r="B125" s="705">
        <v>3568298.5</v>
      </c>
      <c r="C125" s="706">
        <v>3328017.4</v>
      </c>
      <c r="D125" s="689"/>
      <c r="E125" s="706">
        <f t="shared" si="15"/>
        <v>240281.10000000009</v>
      </c>
      <c r="F125" s="706">
        <v>-267347.09999999998</v>
      </c>
      <c r="G125" s="706">
        <v>27066.5</v>
      </c>
      <c r="H125" s="706">
        <f t="shared" si="16"/>
        <v>-240280.59999999998</v>
      </c>
      <c r="I125" s="693"/>
      <c r="J125" s="706">
        <v>-1.3</v>
      </c>
      <c r="K125" s="706">
        <f t="shared" si="17"/>
        <v>-240281.89999999997</v>
      </c>
      <c r="L125" s="691"/>
      <c r="M125" s="709"/>
      <c r="N125" s="709"/>
      <c r="O125" s="709"/>
      <c r="P125" s="709"/>
      <c r="Q125" s="709"/>
      <c r="R125" s="709"/>
      <c r="S125" s="709"/>
      <c r="T125" s="709"/>
      <c r="U125" s="709"/>
      <c r="V125" s="709"/>
      <c r="W125" s="709"/>
      <c r="X125" s="709"/>
      <c r="Y125" s="709"/>
      <c r="Z125" s="709"/>
      <c r="AA125" s="709"/>
      <c r="AB125" s="709"/>
      <c r="AC125" s="709"/>
      <c r="AD125" s="709"/>
      <c r="AE125" s="709"/>
      <c r="AF125" s="709"/>
      <c r="AG125" s="709"/>
      <c r="AH125" s="709"/>
      <c r="AI125" s="709"/>
      <c r="AJ125" s="709"/>
      <c r="AK125" s="709"/>
      <c r="AL125" s="709"/>
      <c r="AM125" s="709"/>
      <c r="AN125" s="709"/>
      <c r="AO125" s="709"/>
      <c r="AP125" s="709"/>
      <c r="AQ125" s="709"/>
      <c r="AR125" s="709"/>
      <c r="AS125" s="709"/>
      <c r="AT125" s="709"/>
      <c r="AU125" s="709"/>
      <c r="AV125" s="709"/>
      <c r="AW125" s="709"/>
      <c r="AX125" s="709"/>
      <c r="AY125" s="709"/>
      <c r="AZ125" s="709"/>
      <c r="BA125" s="709"/>
      <c r="BB125" s="709"/>
      <c r="BC125" s="709"/>
      <c r="BD125" s="709"/>
      <c r="BE125" s="709"/>
      <c r="BF125" s="709"/>
      <c r="BG125" s="709"/>
      <c r="BH125" s="709"/>
      <c r="BI125" s="709"/>
      <c r="BJ125" s="709"/>
      <c r="BK125" s="709"/>
      <c r="BL125" s="709"/>
      <c r="BM125" s="709"/>
      <c r="BN125" s="709"/>
      <c r="BO125" s="709"/>
      <c r="BP125" s="709"/>
      <c r="BQ125" s="709"/>
      <c r="BR125" s="709"/>
      <c r="BS125" s="709"/>
      <c r="BT125" s="709"/>
      <c r="BU125" s="709"/>
      <c r="BV125" s="709"/>
      <c r="BW125" s="709"/>
      <c r="BX125" s="709"/>
      <c r="BY125" s="709"/>
      <c r="BZ125" s="709"/>
      <c r="CA125" s="709"/>
      <c r="CB125" s="709"/>
      <c r="CC125" s="709"/>
      <c r="CD125" s="709"/>
      <c r="CE125" s="709"/>
      <c r="CF125" s="709"/>
      <c r="CG125" s="709"/>
      <c r="CH125" s="709"/>
      <c r="CI125" s="709"/>
      <c r="CJ125" s="709"/>
      <c r="CK125" s="709"/>
      <c r="CL125" s="709"/>
      <c r="CM125" s="709"/>
      <c r="CN125" s="709"/>
      <c r="CO125" s="709"/>
      <c r="CP125" s="709"/>
      <c r="CQ125" s="709"/>
      <c r="CR125" s="709"/>
      <c r="CS125" s="709"/>
      <c r="CT125" s="709"/>
      <c r="CU125" s="709"/>
      <c r="CV125" s="709"/>
      <c r="CW125" s="709"/>
      <c r="CX125" s="709"/>
      <c r="CY125" s="709"/>
      <c r="CZ125" s="709"/>
      <c r="DA125" s="709"/>
      <c r="DB125" s="709"/>
      <c r="DC125" s="709"/>
      <c r="DD125" s="709"/>
      <c r="DE125" s="709"/>
      <c r="DF125" s="709"/>
      <c r="DG125" s="709"/>
      <c r="DH125" s="709"/>
      <c r="DI125" s="709"/>
      <c r="DJ125" s="709"/>
      <c r="DK125" s="709"/>
      <c r="DL125" s="709"/>
      <c r="DM125" s="709"/>
      <c r="DN125" s="709"/>
      <c r="DO125" s="709"/>
      <c r="DP125" s="709"/>
      <c r="DQ125" s="709"/>
      <c r="DR125" s="709"/>
      <c r="DS125" s="709"/>
      <c r="DT125" s="709"/>
      <c r="DU125" s="709"/>
      <c r="DV125" s="709"/>
      <c r="DW125" s="709"/>
      <c r="DX125" s="709"/>
      <c r="DY125" s="709"/>
      <c r="DZ125" s="709"/>
      <c r="EA125" s="709"/>
      <c r="EB125" s="709"/>
      <c r="EC125" s="709"/>
      <c r="ED125" s="709"/>
      <c r="EE125" s="709"/>
      <c r="EF125" s="709"/>
      <c r="EG125" s="709"/>
      <c r="EH125" s="709"/>
      <c r="EI125" s="709"/>
      <c r="EJ125" s="709"/>
      <c r="EK125" s="709"/>
      <c r="EL125" s="709"/>
      <c r="EM125" s="709"/>
      <c r="EN125" s="709"/>
      <c r="EO125" s="709"/>
      <c r="EP125" s="709"/>
      <c r="EQ125" s="709"/>
      <c r="ER125" s="709"/>
      <c r="ES125" s="709"/>
      <c r="ET125" s="709"/>
      <c r="EU125" s="709"/>
      <c r="EV125" s="709"/>
      <c r="EW125" s="709"/>
      <c r="EX125" s="709"/>
      <c r="EY125" s="709"/>
      <c r="EZ125" s="709"/>
      <c r="FA125" s="709"/>
      <c r="FB125" s="709"/>
      <c r="FC125" s="709"/>
      <c r="FD125" s="709"/>
      <c r="FE125" s="709"/>
      <c r="FF125" s="709"/>
      <c r="FG125" s="709"/>
      <c r="FH125" s="709"/>
      <c r="FI125" s="709"/>
      <c r="FJ125" s="709"/>
      <c r="FK125" s="709"/>
      <c r="FL125" s="709"/>
      <c r="FM125" s="709"/>
      <c r="FN125" s="709"/>
      <c r="FO125" s="709"/>
      <c r="FP125" s="709"/>
      <c r="FQ125" s="709"/>
      <c r="FR125" s="709"/>
      <c r="FS125" s="709"/>
      <c r="FT125" s="709"/>
      <c r="FU125" s="709"/>
      <c r="FV125" s="709"/>
      <c r="FW125" s="709"/>
      <c r="FX125" s="709"/>
      <c r="FY125" s="709"/>
      <c r="FZ125" s="709"/>
      <c r="GA125" s="709"/>
      <c r="GB125" s="709"/>
      <c r="GC125" s="709"/>
      <c r="GD125" s="709"/>
      <c r="GE125" s="709"/>
      <c r="GF125" s="709"/>
      <c r="GG125" s="709"/>
      <c r="GH125" s="709"/>
      <c r="GI125" s="709"/>
      <c r="GJ125" s="709"/>
      <c r="GK125" s="709"/>
      <c r="GL125" s="709"/>
      <c r="GM125" s="709"/>
      <c r="GN125" s="709"/>
      <c r="GO125" s="709"/>
      <c r="GP125" s="709"/>
      <c r="GQ125" s="709"/>
      <c r="GR125" s="709"/>
      <c r="GS125" s="709"/>
      <c r="GT125" s="709"/>
      <c r="GU125" s="709"/>
      <c r="GV125" s="709"/>
      <c r="GW125" s="709"/>
      <c r="GX125" s="709"/>
      <c r="GY125" s="709"/>
      <c r="GZ125" s="709"/>
      <c r="HA125" s="709"/>
      <c r="HB125" s="709"/>
      <c r="HC125" s="709"/>
      <c r="HD125" s="709"/>
      <c r="HE125" s="709"/>
      <c r="HF125" s="709"/>
      <c r="HG125" s="709"/>
      <c r="HH125" s="709"/>
      <c r="HI125" s="709"/>
      <c r="HJ125" s="709"/>
      <c r="HK125" s="709"/>
      <c r="HL125" s="709"/>
      <c r="HM125" s="709"/>
      <c r="HN125" s="709"/>
      <c r="HO125" s="709"/>
      <c r="HP125" s="709"/>
      <c r="HQ125" s="709"/>
      <c r="HR125" s="709"/>
      <c r="HS125" s="709"/>
      <c r="HT125" s="709"/>
      <c r="HU125" s="709"/>
      <c r="HV125" s="709"/>
      <c r="HW125" s="709"/>
      <c r="HX125" s="709"/>
      <c r="HY125" s="709"/>
      <c r="HZ125" s="709"/>
      <c r="IA125" s="709"/>
      <c r="IB125" s="709"/>
      <c r="IC125" s="709"/>
      <c r="ID125" s="709"/>
      <c r="IE125" s="709"/>
      <c r="IF125" s="709"/>
      <c r="IG125" s="709"/>
      <c r="IH125" s="709"/>
      <c r="II125" s="709"/>
      <c r="IJ125" s="709"/>
      <c r="IK125" s="709"/>
      <c r="IL125" s="709"/>
      <c r="IM125" s="709"/>
      <c r="IN125" s="709"/>
      <c r="IO125" s="709"/>
      <c r="IP125" s="709"/>
      <c r="IQ125" s="709"/>
      <c r="IR125" s="709"/>
      <c r="IS125" s="709"/>
      <c r="IT125" s="709"/>
      <c r="IU125" s="709"/>
      <c r="IV125" s="709"/>
    </row>
    <row r="126" spans="1:256" ht="12.75" hidden="1" customHeight="1">
      <c r="A126" s="706" t="s">
        <v>343</v>
      </c>
      <c r="B126" s="705">
        <v>4459579.0999999996</v>
      </c>
      <c r="C126" s="706">
        <v>4215013.2</v>
      </c>
      <c r="D126" s="689"/>
      <c r="E126" s="706">
        <f t="shared" si="15"/>
        <v>244565.89999999944</v>
      </c>
      <c r="F126" s="706">
        <v>-158437.29999999999</v>
      </c>
      <c r="G126" s="706">
        <v>-86141.3</v>
      </c>
      <c r="H126" s="706">
        <f t="shared" si="16"/>
        <v>-244578.59999999998</v>
      </c>
      <c r="I126" s="693"/>
      <c r="J126" s="706">
        <v>12.1</v>
      </c>
      <c r="K126" s="706">
        <f t="shared" si="17"/>
        <v>-244566.49999999997</v>
      </c>
      <c r="L126" s="691"/>
      <c r="M126" s="709"/>
      <c r="N126" s="709"/>
      <c r="O126" s="709"/>
      <c r="P126" s="709"/>
      <c r="Q126" s="709"/>
      <c r="R126" s="709"/>
      <c r="S126" s="709"/>
      <c r="T126" s="709"/>
      <c r="U126" s="709"/>
      <c r="V126" s="709"/>
      <c r="W126" s="709"/>
      <c r="X126" s="709"/>
      <c r="Y126" s="709"/>
      <c r="Z126" s="709"/>
      <c r="AA126" s="709"/>
      <c r="AB126" s="709"/>
      <c r="AC126" s="709"/>
      <c r="AD126" s="709"/>
      <c r="AE126" s="709"/>
      <c r="AF126" s="709"/>
      <c r="AG126" s="709"/>
      <c r="AH126" s="709"/>
      <c r="AI126" s="709"/>
      <c r="AJ126" s="709"/>
      <c r="AK126" s="709"/>
      <c r="AL126" s="709"/>
      <c r="AM126" s="709"/>
      <c r="AN126" s="709"/>
      <c r="AO126" s="709"/>
      <c r="AP126" s="709"/>
      <c r="AQ126" s="709"/>
      <c r="AR126" s="709"/>
      <c r="AS126" s="709"/>
      <c r="AT126" s="709"/>
      <c r="AU126" s="709"/>
      <c r="AV126" s="709"/>
      <c r="AW126" s="709"/>
      <c r="AX126" s="709"/>
      <c r="AY126" s="709"/>
      <c r="AZ126" s="709"/>
      <c r="BA126" s="709"/>
      <c r="BB126" s="709"/>
      <c r="BC126" s="709"/>
      <c r="BD126" s="709"/>
      <c r="BE126" s="709"/>
      <c r="BF126" s="709"/>
      <c r="BG126" s="709"/>
      <c r="BH126" s="709"/>
      <c r="BI126" s="709"/>
      <c r="BJ126" s="709"/>
      <c r="BK126" s="709"/>
      <c r="BL126" s="709"/>
      <c r="BM126" s="709"/>
      <c r="BN126" s="709"/>
      <c r="BO126" s="709"/>
      <c r="BP126" s="709"/>
      <c r="BQ126" s="709"/>
      <c r="BR126" s="709"/>
      <c r="BS126" s="709"/>
      <c r="BT126" s="709"/>
      <c r="BU126" s="709"/>
      <c r="BV126" s="709"/>
      <c r="BW126" s="709"/>
      <c r="BX126" s="709"/>
      <c r="BY126" s="709"/>
      <c r="BZ126" s="709"/>
      <c r="CA126" s="709"/>
      <c r="CB126" s="709"/>
      <c r="CC126" s="709"/>
      <c r="CD126" s="709"/>
      <c r="CE126" s="709"/>
      <c r="CF126" s="709"/>
      <c r="CG126" s="709"/>
      <c r="CH126" s="709"/>
      <c r="CI126" s="709"/>
      <c r="CJ126" s="709"/>
      <c r="CK126" s="709"/>
      <c r="CL126" s="709"/>
      <c r="CM126" s="709"/>
      <c r="CN126" s="709"/>
      <c r="CO126" s="709"/>
      <c r="CP126" s="709"/>
      <c r="CQ126" s="709"/>
      <c r="CR126" s="709"/>
      <c r="CS126" s="709"/>
      <c r="CT126" s="709"/>
      <c r="CU126" s="709"/>
      <c r="CV126" s="709"/>
      <c r="CW126" s="709"/>
      <c r="CX126" s="709"/>
      <c r="CY126" s="709"/>
      <c r="CZ126" s="709"/>
      <c r="DA126" s="709"/>
      <c r="DB126" s="709"/>
      <c r="DC126" s="709"/>
      <c r="DD126" s="709"/>
      <c r="DE126" s="709"/>
      <c r="DF126" s="709"/>
      <c r="DG126" s="709"/>
      <c r="DH126" s="709"/>
      <c r="DI126" s="709"/>
      <c r="DJ126" s="709"/>
      <c r="DK126" s="709"/>
      <c r="DL126" s="709"/>
      <c r="DM126" s="709"/>
      <c r="DN126" s="709"/>
      <c r="DO126" s="709"/>
      <c r="DP126" s="709"/>
      <c r="DQ126" s="709"/>
      <c r="DR126" s="709"/>
      <c r="DS126" s="709"/>
      <c r="DT126" s="709"/>
      <c r="DU126" s="709"/>
      <c r="DV126" s="709"/>
      <c r="DW126" s="709"/>
      <c r="DX126" s="709"/>
      <c r="DY126" s="709"/>
      <c r="DZ126" s="709"/>
      <c r="EA126" s="709"/>
      <c r="EB126" s="709"/>
      <c r="EC126" s="709"/>
      <c r="ED126" s="709"/>
      <c r="EE126" s="709"/>
      <c r="EF126" s="709"/>
      <c r="EG126" s="709"/>
      <c r="EH126" s="709"/>
      <c r="EI126" s="709"/>
      <c r="EJ126" s="709"/>
      <c r="EK126" s="709"/>
      <c r="EL126" s="709"/>
      <c r="EM126" s="709"/>
      <c r="EN126" s="709"/>
      <c r="EO126" s="709"/>
      <c r="EP126" s="709"/>
      <c r="EQ126" s="709"/>
      <c r="ER126" s="709"/>
      <c r="ES126" s="709"/>
      <c r="ET126" s="709"/>
      <c r="EU126" s="709"/>
      <c r="EV126" s="709"/>
      <c r="EW126" s="709"/>
      <c r="EX126" s="709"/>
      <c r="EY126" s="709"/>
      <c r="EZ126" s="709"/>
      <c r="FA126" s="709"/>
      <c r="FB126" s="709"/>
      <c r="FC126" s="709"/>
      <c r="FD126" s="709"/>
      <c r="FE126" s="709"/>
      <c r="FF126" s="709"/>
      <c r="FG126" s="709"/>
      <c r="FH126" s="709"/>
      <c r="FI126" s="709"/>
      <c r="FJ126" s="709"/>
      <c r="FK126" s="709"/>
      <c r="FL126" s="709"/>
      <c r="FM126" s="709"/>
      <c r="FN126" s="709"/>
      <c r="FO126" s="709"/>
      <c r="FP126" s="709"/>
      <c r="FQ126" s="709"/>
      <c r="FR126" s="709"/>
      <c r="FS126" s="709"/>
      <c r="FT126" s="709"/>
      <c r="FU126" s="709"/>
      <c r="FV126" s="709"/>
      <c r="FW126" s="709"/>
      <c r="FX126" s="709"/>
      <c r="FY126" s="709"/>
      <c r="FZ126" s="709"/>
      <c r="GA126" s="709"/>
      <c r="GB126" s="709"/>
      <c r="GC126" s="709"/>
      <c r="GD126" s="709"/>
      <c r="GE126" s="709"/>
      <c r="GF126" s="709"/>
      <c r="GG126" s="709"/>
      <c r="GH126" s="709"/>
      <c r="GI126" s="709"/>
      <c r="GJ126" s="709"/>
      <c r="GK126" s="709"/>
      <c r="GL126" s="709"/>
      <c r="GM126" s="709"/>
      <c r="GN126" s="709"/>
      <c r="GO126" s="709"/>
      <c r="GP126" s="709"/>
      <c r="GQ126" s="709"/>
      <c r="GR126" s="709"/>
      <c r="GS126" s="709"/>
      <c r="GT126" s="709"/>
      <c r="GU126" s="709"/>
      <c r="GV126" s="709"/>
      <c r="GW126" s="709"/>
      <c r="GX126" s="709"/>
      <c r="GY126" s="709"/>
      <c r="GZ126" s="709"/>
      <c r="HA126" s="709"/>
      <c r="HB126" s="709"/>
      <c r="HC126" s="709"/>
      <c r="HD126" s="709"/>
      <c r="HE126" s="709"/>
      <c r="HF126" s="709"/>
      <c r="HG126" s="709"/>
      <c r="HH126" s="709"/>
      <c r="HI126" s="709"/>
      <c r="HJ126" s="709"/>
      <c r="HK126" s="709"/>
      <c r="HL126" s="709"/>
      <c r="HM126" s="709"/>
      <c r="HN126" s="709"/>
      <c r="HO126" s="709"/>
      <c r="HP126" s="709"/>
      <c r="HQ126" s="709"/>
      <c r="HR126" s="709"/>
      <c r="HS126" s="709"/>
      <c r="HT126" s="709"/>
      <c r="HU126" s="709"/>
      <c r="HV126" s="709"/>
      <c r="HW126" s="709"/>
      <c r="HX126" s="709"/>
      <c r="HY126" s="709"/>
      <c r="HZ126" s="709"/>
      <c r="IA126" s="709"/>
      <c r="IB126" s="709"/>
      <c r="IC126" s="709"/>
      <c r="ID126" s="709"/>
      <c r="IE126" s="709"/>
      <c r="IF126" s="709"/>
      <c r="IG126" s="709"/>
      <c r="IH126" s="709"/>
      <c r="II126" s="709"/>
      <c r="IJ126" s="709"/>
      <c r="IK126" s="709"/>
      <c r="IL126" s="709"/>
      <c r="IM126" s="709"/>
      <c r="IN126" s="709"/>
      <c r="IO126" s="709"/>
      <c r="IP126" s="709"/>
      <c r="IQ126" s="709"/>
      <c r="IR126" s="709"/>
      <c r="IS126" s="709"/>
      <c r="IT126" s="709"/>
      <c r="IU126" s="709"/>
      <c r="IV126" s="709"/>
    </row>
    <row r="127" spans="1:256" ht="12.75" hidden="1" customHeight="1">
      <c r="A127" s="706" t="s">
        <v>344</v>
      </c>
      <c r="B127" s="705">
        <v>8830243</v>
      </c>
      <c r="C127" s="706">
        <v>5425615.4000000004</v>
      </c>
      <c r="D127" s="689"/>
      <c r="E127" s="706">
        <f t="shared" si="15"/>
        <v>3404627.5999999996</v>
      </c>
      <c r="F127" s="706">
        <v>-3005423.4</v>
      </c>
      <c r="G127" s="706">
        <v>-351455.1</v>
      </c>
      <c r="H127" s="706">
        <f t="shared" si="16"/>
        <v>-3356878.5</v>
      </c>
      <c r="I127" s="693"/>
      <c r="J127" s="706">
        <v>0</v>
      </c>
      <c r="K127" s="706">
        <f t="shared" si="17"/>
        <v>-3356878.5</v>
      </c>
      <c r="L127" s="691"/>
      <c r="M127" s="709"/>
      <c r="N127" s="709"/>
      <c r="O127" s="709"/>
      <c r="P127" s="709"/>
      <c r="Q127" s="709"/>
      <c r="R127" s="709"/>
      <c r="S127" s="709"/>
      <c r="T127" s="709"/>
      <c r="U127" s="709"/>
      <c r="V127" s="709"/>
      <c r="W127" s="709"/>
      <c r="X127" s="709"/>
      <c r="Y127" s="709"/>
      <c r="Z127" s="709"/>
      <c r="AA127" s="709"/>
      <c r="AB127" s="709"/>
      <c r="AC127" s="709"/>
      <c r="AD127" s="709"/>
      <c r="AE127" s="709"/>
      <c r="AF127" s="709"/>
      <c r="AG127" s="709"/>
      <c r="AH127" s="709"/>
      <c r="AI127" s="709"/>
      <c r="AJ127" s="709"/>
      <c r="AK127" s="709"/>
      <c r="AL127" s="709"/>
      <c r="AM127" s="709"/>
      <c r="AN127" s="709"/>
      <c r="AO127" s="709"/>
      <c r="AP127" s="709"/>
      <c r="AQ127" s="709"/>
      <c r="AR127" s="709"/>
      <c r="AS127" s="709"/>
      <c r="AT127" s="709"/>
      <c r="AU127" s="709"/>
      <c r="AV127" s="709"/>
      <c r="AW127" s="709"/>
      <c r="AX127" s="709"/>
      <c r="AY127" s="709"/>
      <c r="AZ127" s="709"/>
      <c r="BA127" s="709"/>
      <c r="BB127" s="709"/>
      <c r="BC127" s="709"/>
      <c r="BD127" s="709"/>
      <c r="BE127" s="709"/>
      <c r="BF127" s="709"/>
      <c r="BG127" s="709"/>
      <c r="BH127" s="709"/>
      <c r="BI127" s="709"/>
      <c r="BJ127" s="709"/>
      <c r="BK127" s="709"/>
      <c r="BL127" s="709"/>
      <c r="BM127" s="709"/>
      <c r="BN127" s="709"/>
      <c r="BO127" s="709"/>
      <c r="BP127" s="709"/>
      <c r="BQ127" s="709"/>
      <c r="BR127" s="709"/>
      <c r="BS127" s="709"/>
      <c r="BT127" s="709"/>
      <c r="BU127" s="709"/>
      <c r="BV127" s="709"/>
      <c r="BW127" s="709"/>
      <c r="BX127" s="709"/>
      <c r="BY127" s="709"/>
      <c r="BZ127" s="709"/>
      <c r="CA127" s="709"/>
      <c r="CB127" s="709"/>
      <c r="CC127" s="709"/>
      <c r="CD127" s="709"/>
      <c r="CE127" s="709"/>
      <c r="CF127" s="709"/>
      <c r="CG127" s="709"/>
      <c r="CH127" s="709"/>
      <c r="CI127" s="709"/>
      <c r="CJ127" s="709"/>
      <c r="CK127" s="709"/>
      <c r="CL127" s="709"/>
      <c r="CM127" s="709"/>
      <c r="CN127" s="709"/>
      <c r="CO127" s="709"/>
      <c r="CP127" s="709"/>
      <c r="CQ127" s="709"/>
      <c r="CR127" s="709"/>
      <c r="CS127" s="709"/>
      <c r="CT127" s="709"/>
      <c r="CU127" s="709"/>
      <c r="CV127" s="709"/>
      <c r="CW127" s="709"/>
      <c r="CX127" s="709"/>
      <c r="CY127" s="709"/>
      <c r="CZ127" s="709"/>
      <c r="DA127" s="709"/>
      <c r="DB127" s="709"/>
      <c r="DC127" s="709"/>
      <c r="DD127" s="709"/>
      <c r="DE127" s="709"/>
      <c r="DF127" s="709"/>
      <c r="DG127" s="709"/>
      <c r="DH127" s="709"/>
      <c r="DI127" s="709"/>
      <c r="DJ127" s="709"/>
      <c r="DK127" s="709"/>
      <c r="DL127" s="709"/>
      <c r="DM127" s="709"/>
      <c r="DN127" s="709"/>
      <c r="DO127" s="709"/>
      <c r="DP127" s="709"/>
      <c r="DQ127" s="709"/>
      <c r="DR127" s="709"/>
      <c r="DS127" s="709"/>
      <c r="DT127" s="709"/>
      <c r="DU127" s="709"/>
      <c r="DV127" s="709"/>
      <c r="DW127" s="709"/>
      <c r="DX127" s="709"/>
      <c r="DY127" s="709"/>
      <c r="DZ127" s="709"/>
      <c r="EA127" s="709"/>
      <c r="EB127" s="709"/>
      <c r="EC127" s="709"/>
      <c r="ED127" s="709"/>
      <c r="EE127" s="709"/>
      <c r="EF127" s="709"/>
      <c r="EG127" s="709"/>
      <c r="EH127" s="709"/>
      <c r="EI127" s="709"/>
      <c r="EJ127" s="709"/>
      <c r="EK127" s="709"/>
      <c r="EL127" s="709"/>
      <c r="EM127" s="709"/>
      <c r="EN127" s="709"/>
      <c r="EO127" s="709"/>
      <c r="EP127" s="709"/>
      <c r="EQ127" s="709"/>
      <c r="ER127" s="709"/>
      <c r="ES127" s="709"/>
      <c r="ET127" s="709"/>
      <c r="EU127" s="709"/>
      <c r="EV127" s="709"/>
      <c r="EW127" s="709"/>
      <c r="EX127" s="709"/>
      <c r="EY127" s="709"/>
      <c r="EZ127" s="709"/>
      <c r="FA127" s="709"/>
      <c r="FB127" s="709"/>
      <c r="FC127" s="709"/>
      <c r="FD127" s="709"/>
      <c r="FE127" s="709"/>
      <c r="FF127" s="709"/>
      <c r="FG127" s="709"/>
      <c r="FH127" s="709"/>
      <c r="FI127" s="709"/>
      <c r="FJ127" s="709"/>
      <c r="FK127" s="709"/>
      <c r="FL127" s="709"/>
      <c r="FM127" s="709"/>
      <c r="FN127" s="709"/>
      <c r="FO127" s="709"/>
      <c r="FP127" s="709"/>
      <c r="FQ127" s="709"/>
      <c r="FR127" s="709"/>
      <c r="FS127" s="709"/>
      <c r="FT127" s="709"/>
      <c r="FU127" s="709"/>
      <c r="FV127" s="709"/>
      <c r="FW127" s="709"/>
      <c r="FX127" s="709"/>
      <c r="FY127" s="709"/>
      <c r="FZ127" s="709"/>
      <c r="GA127" s="709"/>
      <c r="GB127" s="709"/>
      <c r="GC127" s="709"/>
      <c r="GD127" s="709"/>
      <c r="GE127" s="709"/>
      <c r="GF127" s="709"/>
      <c r="GG127" s="709"/>
      <c r="GH127" s="709"/>
      <c r="GI127" s="709"/>
      <c r="GJ127" s="709"/>
      <c r="GK127" s="709"/>
      <c r="GL127" s="709"/>
      <c r="GM127" s="709"/>
      <c r="GN127" s="709"/>
      <c r="GO127" s="709"/>
      <c r="GP127" s="709"/>
      <c r="GQ127" s="709"/>
      <c r="GR127" s="709"/>
      <c r="GS127" s="709"/>
      <c r="GT127" s="709"/>
      <c r="GU127" s="709"/>
      <c r="GV127" s="709"/>
      <c r="GW127" s="709"/>
      <c r="GX127" s="709"/>
      <c r="GY127" s="709"/>
      <c r="GZ127" s="709"/>
      <c r="HA127" s="709"/>
      <c r="HB127" s="709"/>
      <c r="HC127" s="709"/>
      <c r="HD127" s="709"/>
      <c r="HE127" s="709"/>
      <c r="HF127" s="709"/>
      <c r="HG127" s="709"/>
      <c r="HH127" s="709"/>
      <c r="HI127" s="709"/>
      <c r="HJ127" s="709"/>
      <c r="HK127" s="709"/>
      <c r="HL127" s="709"/>
      <c r="HM127" s="709"/>
      <c r="HN127" s="709"/>
      <c r="HO127" s="709"/>
      <c r="HP127" s="709"/>
      <c r="HQ127" s="709"/>
      <c r="HR127" s="709"/>
      <c r="HS127" s="709"/>
      <c r="HT127" s="709"/>
      <c r="HU127" s="709"/>
      <c r="HV127" s="709"/>
      <c r="HW127" s="709"/>
      <c r="HX127" s="709"/>
      <c r="HY127" s="709"/>
      <c r="HZ127" s="709"/>
      <c r="IA127" s="709"/>
      <c r="IB127" s="709"/>
      <c r="IC127" s="709"/>
      <c r="ID127" s="709"/>
      <c r="IE127" s="709"/>
      <c r="IF127" s="709"/>
      <c r="IG127" s="709"/>
      <c r="IH127" s="709"/>
      <c r="II127" s="709"/>
      <c r="IJ127" s="709"/>
      <c r="IK127" s="709"/>
      <c r="IL127" s="709"/>
      <c r="IM127" s="709"/>
      <c r="IN127" s="709"/>
      <c r="IO127" s="709"/>
      <c r="IP127" s="709"/>
      <c r="IQ127" s="709"/>
      <c r="IR127" s="709"/>
      <c r="IS127" s="709"/>
      <c r="IT127" s="709"/>
      <c r="IU127" s="709"/>
      <c r="IV127" s="709"/>
    </row>
    <row r="128" spans="1:256" ht="12.75" hidden="1" customHeight="1">
      <c r="A128" s="706"/>
      <c r="B128" s="705"/>
      <c r="C128" s="706"/>
      <c r="D128" s="689"/>
      <c r="E128" s="706"/>
      <c r="F128" s="706"/>
      <c r="G128" s="706"/>
      <c r="H128" s="706"/>
      <c r="I128" s="693"/>
      <c r="J128" s="706"/>
      <c r="K128" s="706"/>
      <c r="L128" s="691"/>
      <c r="M128" s="709"/>
      <c r="N128" s="709"/>
      <c r="O128" s="709"/>
      <c r="P128" s="709"/>
      <c r="Q128" s="709"/>
      <c r="R128" s="709"/>
      <c r="S128" s="709"/>
      <c r="T128" s="709"/>
      <c r="U128" s="709"/>
      <c r="V128" s="709"/>
      <c r="W128" s="709"/>
      <c r="X128" s="709"/>
      <c r="Y128" s="709"/>
      <c r="Z128" s="709"/>
      <c r="AA128" s="709"/>
      <c r="AB128" s="709"/>
      <c r="AC128" s="709"/>
      <c r="AD128" s="709"/>
      <c r="AE128" s="709"/>
      <c r="AF128" s="709"/>
      <c r="AG128" s="709"/>
      <c r="AH128" s="709"/>
      <c r="AI128" s="709"/>
      <c r="AJ128" s="709"/>
      <c r="AK128" s="709"/>
      <c r="AL128" s="709"/>
      <c r="AM128" s="709"/>
      <c r="AN128" s="709"/>
      <c r="AO128" s="709"/>
      <c r="AP128" s="709"/>
      <c r="AQ128" s="709"/>
      <c r="AR128" s="709"/>
      <c r="AS128" s="709"/>
      <c r="AT128" s="709"/>
      <c r="AU128" s="709"/>
      <c r="AV128" s="709"/>
      <c r="AW128" s="709"/>
      <c r="AX128" s="709"/>
      <c r="AY128" s="709"/>
      <c r="AZ128" s="709"/>
      <c r="BA128" s="709"/>
      <c r="BB128" s="709"/>
      <c r="BC128" s="709"/>
      <c r="BD128" s="709"/>
      <c r="BE128" s="709"/>
      <c r="BF128" s="709"/>
      <c r="BG128" s="709"/>
      <c r="BH128" s="709"/>
      <c r="BI128" s="709"/>
      <c r="BJ128" s="709"/>
      <c r="BK128" s="709"/>
      <c r="BL128" s="709"/>
      <c r="BM128" s="709"/>
      <c r="BN128" s="709"/>
      <c r="BO128" s="709"/>
      <c r="BP128" s="709"/>
      <c r="BQ128" s="709"/>
      <c r="BR128" s="709"/>
      <c r="BS128" s="709"/>
      <c r="BT128" s="709"/>
      <c r="BU128" s="709"/>
      <c r="BV128" s="709"/>
      <c r="BW128" s="709"/>
      <c r="BX128" s="709"/>
      <c r="BY128" s="709"/>
      <c r="BZ128" s="709"/>
      <c r="CA128" s="709"/>
      <c r="CB128" s="709"/>
      <c r="CC128" s="709"/>
      <c r="CD128" s="709"/>
      <c r="CE128" s="709"/>
      <c r="CF128" s="709"/>
      <c r="CG128" s="709"/>
      <c r="CH128" s="709"/>
      <c r="CI128" s="709"/>
      <c r="CJ128" s="709"/>
      <c r="CK128" s="709"/>
      <c r="CL128" s="709"/>
      <c r="CM128" s="709"/>
      <c r="CN128" s="709"/>
      <c r="CO128" s="709"/>
      <c r="CP128" s="709"/>
      <c r="CQ128" s="709"/>
      <c r="CR128" s="709"/>
      <c r="CS128" s="709"/>
      <c r="CT128" s="709"/>
      <c r="CU128" s="709"/>
      <c r="CV128" s="709"/>
      <c r="CW128" s="709"/>
      <c r="CX128" s="709"/>
      <c r="CY128" s="709"/>
      <c r="CZ128" s="709"/>
      <c r="DA128" s="709"/>
      <c r="DB128" s="709"/>
      <c r="DC128" s="709"/>
      <c r="DD128" s="709"/>
      <c r="DE128" s="709"/>
      <c r="DF128" s="709"/>
      <c r="DG128" s="709"/>
      <c r="DH128" s="709"/>
      <c r="DI128" s="709"/>
      <c r="DJ128" s="709"/>
      <c r="DK128" s="709"/>
      <c r="DL128" s="709"/>
      <c r="DM128" s="709"/>
      <c r="DN128" s="709"/>
      <c r="DO128" s="709"/>
      <c r="DP128" s="709"/>
      <c r="DQ128" s="709"/>
      <c r="DR128" s="709"/>
      <c r="DS128" s="709"/>
      <c r="DT128" s="709"/>
      <c r="DU128" s="709"/>
      <c r="DV128" s="709"/>
      <c r="DW128" s="709"/>
      <c r="DX128" s="709"/>
      <c r="DY128" s="709"/>
      <c r="DZ128" s="709"/>
      <c r="EA128" s="709"/>
      <c r="EB128" s="709"/>
      <c r="EC128" s="709"/>
      <c r="ED128" s="709"/>
      <c r="EE128" s="709"/>
      <c r="EF128" s="709"/>
      <c r="EG128" s="709"/>
      <c r="EH128" s="709"/>
      <c r="EI128" s="709"/>
      <c r="EJ128" s="709"/>
      <c r="EK128" s="709"/>
      <c r="EL128" s="709"/>
      <c r="EM128" s="709"/>
      <c r="EN128" s="709"/>
      <c r="EO128" s="709"/>
      <c r="EP128" s="709"/>
      <c r="EQ128" s="709"/>
      <c r="ER128" s="709"/>
      <c r="ES128" s="709"/>
      <c r="ET128" s="709"/>
      <c r="EU128" s="709"/>
      <c r="EV128" s="709"/>
      <c r="EW128" s="709"/>
      <c r="EX128" s="709"/>
      <c r="EY128" s="709"/>
      <c r="EZ128" s="709"/>
      <c r="FA128" s="709"/>
      <c r="FB128" s="709"/>
      <c r="FC128" s="709"/>
      <c r="FD128" s="709"/>
      <c r="FE128" s="709"/>
      <c r="FF128" s="709"/>
      <c r="FG128" s="709"/>
      <c r="FH128" s="709"/>
      <c r="FI128" s="709"/>
      <c r="FJ128" s="709"/>
      <c r="FK128" s="709"/>
      <c r="FL128" s="709"/>
      <c r="FM128" s="709"/>
      <c r="FN128" s="709"/>
      <c r="FO128" s="709"/>
      <c r="FP128" s="709"/>
      <c r="FQ128" s="709"/>
      <c r="FR128" s="709"/>
      <c r="FS128" s="709"/>
      <c r="FT128" s="709"/>
      <c r="FU128" s="709"/>
      <c r="FV128" s="709"/>
      <c r="FW128" s="709"/>
      <c r="FX128" s="709"/>
      <c r="FY128" s="709"/>
      <c r="FZ128" s="709"/>
      <c r="GA128" s="709"/>
      <c r="GB128" s="709"/>
      <c r="GC128" s="709"/>
      <c r="GD128" s="709"/>
      <c r="GE128" s="709"/>
      <c r="GF128" s="709"/>
      <c r="GG128" s="709"/>
      <c r="GH128" s="709"/>
      <c r="GI128" s="709"/>
      <c r="GJ128" s="709"/>
      <c r="GK128" s="709"/>
      <c r="GL128" s="709"/>
      <c r="GM128" s="709"/>
      <c r="GN128" s="709"/>
      <c r="GO128" s="709"/>
      <c r="GP128" s="709"/>
      <c r="GQ128" s="709"/>
      <c r="GR128" s="709"/>
      <c r="GS128" s="709"/>
      <c r="GT128" s="709"/>
      <c r="GU128" s="709"/>
      <c r="GV128" s="709"/>
      <c r="GW128" s="709"/>
      <c r="GX128" s="709"/>
      <c r="GY128" s="709"/>
      <c r="GZ128" s="709"/>
      <c r="HA128" s="709"/>
      <c r="HB128" s="709"/>
      <c r="HC128" s="709"/>
      <c r="HD128" s="709"/>
      <c r="HE128" s="709"/>
      <c r="HF128" s="709"/>
      <c r="HG128" s="709"/>
      <c r="HH128" s="709"/>
      <c r="HI128" s="709"/>
      <c r="HJ128" s="709"/>
      <c r="HK128" s="709"/>
      <c r="HL128" s="709"/>
      <c r="HM128" s="709"/>
      <c r="HN128" s="709"/>
      <c r="HO128" s="709"/>
      <c r="HP128" s="709"/>
      <c r="HQ128" s="709"/>
      <c r="HR128" s="709"/>
      <c r="HS128" s="709"/>
      <c r="HT128" s="709"/>
      <c r="HU128" s="709"/>
      <c r="HV128" s="709"/>
      <c r="HW128" s="709"/>
      <c r="HX128" s="709"/>
      <c r="HY128" s="709"/>
      <c r="HZ128" s="709"/>
      <c r="IA128" s="709"/>
      <c r="IB128" s="709"/>
      <c r="IC128" s="709"/>
      <c r="ID128" s="709"/>
      <c r="IE128" s="709"/>
      <c r="IF128" s="709"/>
      <c r="IG128" s="709"/>
      <c r="IH128" s="709"/>
      <c r="II128" s="709"/>
      <c r="IJ128" s="709"/>
      <c r="IK128" s="709"/>
      <c r="IL128" s="709"/>
      <c r="IM128" s="709"/>
      <c r="IN128" s="709"/>
      <c r="IO128" s="709"/>
      <c r="IP128" s="709"/>
      <c r="IQ128" s="709"/>
      <c r="IR128" s="709"/>
      <c r="IS128" s="709"/>
      <c r="IT128" s="709"/>
      <c r="IU128" s="709"/>
      <c r="IV128" s="709"/>
    </row>
    <row r="129" spans="1:256" ht="12.75" hidden="1" customHeight="1">
      <c r="A129" s="708">
        <v>2006</v>
      </c>
      <c r="B129" s="705"/>
      <c r="C129" s="706"/>
      <c r="D129" s="689"/>
      <c r="E129" s="706"/>
      <c r="F129" s="706"/>
      <c r="G129" s="706"/>
      <c r="H129" s="706"/>
      <c r="I129" s="693"/>
      <c r="J129" s="706"/>
      <c r="K129" s="706"/>
      <c r="L129" s="691"/>
      <c r="M129" s="709"/>
      <c r="N129" s="709"/>
      <c r="O129" s="709"/>
      <c r="P129" s="709"/>
      <c r="Q129" s="709"/>
      <c r="R129" s="709"/>
      <c r="S129" s="709"/>
      <c r="T129" s="709"/>
      <c r="U129" s="709"/>
      <c r="V129" s="709"/>
      <c r="W129" s="709"/>
      <c r="X129" s="709"/>
      <c r="Y129" s="709"/>
      <c r="Z129" s="709"/>
      <c r="AA129" s="709"/>
      <c r="AB129" s="709"/>
      <c r="AC129" s="709"/>
      <c r="AD129" s="709"/>
      <c r="AE129" s="709"/>
      <c r="AF129" s="709"/>
      <c r="AG129" s="709"/>
      <c r="AH129" s="709"/>
      <c r="AI129" s="709"/>
      <c r="AJ129" s="709"/>
      <c r="AK129" s="709"/>
      <c r="AL129" s="709"/>
      <c r="AM129" s="709"/>
      <c r="AN129" s="709"/>
      <c r="AO129" s="709"/>
      <c r="AP129" s="709"/>
      <c r="AQ129" s="709"/>
      <c r="AR129" s="709"/>
      <c r="AS129" s="709"/>
      <c r="AT129" s="709"/>
      <c r="AU129" s="709"/>
      <c r="AV129" s="709"/>
      <c r="AW129" s="709"/>
      <c r="AX129" s="709"/>
      <c r="AY129" s="709"/>
      <c r="AZ129" s="709"/>
      <c r="BA129" s="709"/>
      <c r="BB129" s="709"/>
      <c r="BC129" s="709"/>
      <c r="BD129" s="709"/>
      <c r="BE129" s="709"/>
      <c r="BF129" s="709"/>
      <c r="BG129" s="709"/>
      <c r="BH129" s="709"/>
      <c r="BI129" s="709"/>
      <c r="BJ129" s="709"/>
      <c r="BK129" s="709"/>
      <c r="BL129" s="709"/>
      <c r="BM129" s="709"/>
      <c r="BN129" s="709"/>
      <c r="BO129" s="709"/>
      <c r="BP129" s="709"/>
      <c r="BQ129" s="709"/>
      <c r="BR129" s="709"/>
      <c r="BS129" s="709"/>
      <c r="BT129" s="709"/>
      <c r="BU129" s="709"/>
      <c r="BV129" s="709"/>
      <c r="BW129" s="709"/>
      <c r="BX129" s="709"/>
      <c r="BY129" s="709"/>
      <c r="BZ129" s="709"/>
      <c r="CA129" s="709"/>
      <c r="CB129" s="709"/>
      <c r="CC129" s="709"/>
      <c r="CD129" s="709"/>
      <c r="CE129" s="709"/>
      <c r="CF129" s="709"/>
      <c r="CG129" s="709"/>
      <c r="CH129" s="709"/>
      <c r="CI129" s="709"/>
      <c r="CJ129" s="709"/>
      <c r="CK129" s="709"/>
      <c r="CL129" s="709"/>
      <c r="CM129" s="709"/>
      <c r="CN129" s="709"/>
      <c r="CO129" s="709"/>
      <c r="CP129" s="709"/>
      <c r="CQ129" s="709"/>
      <c r="CR129" s="709"/>
      <c r="CS129" s="709"/>
      <c r="CT129" s="709"/>
      <c r="CU129" s="709"/>
      <c r="CV129" s="709"/>
      <c r="CW129" s="709"/>
      <c r="CX129" s="709"/>
      <c r="CY129" s="709"/>
      <c r="CZ129" s="709"/>
      <c r="DA129" s="709"/>
      <c r="DB129" s="709"/>
      <c r="DC129" s="709"/>
      <c r="DD129" s="709"/>
      <c r="DE129" s="709"/>
      <c r="DF129" s="709"/>
      <c r="DG129" s="709"/>
      <c r="DH129" s="709"/>
      <c r="DI129" s="709"/>
      <c r="DJ129" s="709"/>
      <c r="DK129" s="709"/>
      <c r="DL129" s="709"/>
      <c r="DM129" s="709"/>
      <c r="DN129" s="709"/>
      <c r="DO129" s="709"/>
      <c r="DP129" s="709"/>
      <c r="DQ129" s="709"/>
      <c r="DR129" s="709"/>
      <c r="DS129" s="709"/>
      <c r="DT129" s="709"/>
      <c r="DU129" s="709"/>
      <c r="DV129" s="709"/>
      <c r="DW129" s="709"/>
      <c r="DX129" s="709"/>
      <c r="DY129" s="709"/>
      <c r="DZ129" s="709"/>
      <c r="EA129" s="709"/>
      <c r="EB129" s="709"/>
      <c r="EC129" s="709"/>
      <c r="ED129" s="709"/>
      <c r="EE129" s="709"/>
      <c r="EF129" s="709"/>
      <c r="EG129" s="709"/>
      <c r="EH129" s="709"/>
      <c r="EI129" s="709"/>
      <c r="EJ129" s="709"/>
      <c r="EK129" s="709"/>
      <c r="EL129" s="709"/>
      <c r="EM129" s="709"/>
      <c r="EN129" s="709"/>
      <c r="EO129" s="709"/>
      <c r="EP129" s="709"/>
      <c r="EQ129" s="709"/>
      <c r="ER129" s="709"/>
      <c r="ES129" s="709"/>
      <c r="ET129" s="709"/>
      <c r="EU129" s="709"/>
      <c r="EV129" s="709"/>
      <c r="EW129" s="709"/>
      <c r="EX129" s="709"/>
      <c r="EY129" s="709"/>
      <c r="EZ129" s="709"/>
      <c r="FA129" s="709"/>
      <c r="FB129" s="709"/>
      <c r="FC129" s="709"/>
      <c r="FD129" s="709"/>
      <c r="FE129" s="709"/>
      <c r="FF129" s="709"/>
      <c r="FG129" s="709"/>
      <c r="FH129" s="709"/>
      <c r="FI129" s="709"/>
      <c r="FJ129" s="709"/>
      <c r="FK129" s="709"/>
      <c r="FL129" s="709"/>
      <c r="FM129" s="709"/>
      <c r="FN129" s="709"/>
      <c r="FO129" s="709"/>
      <c r="FP129" s="709"/>
      <c r="FQ129" s="709"/>
      <c r="FR129" s="709"/>
      <c r="FS129" s="709"/>
      <c r="FT129" s="709"/>
      <c r="FU129" s="709"/>
      <c r="FV129" s="709"/>
      <c r="FW129" s="709"/>
      <c r="FX129" s="709"/>
      <c r="FY129" s="709"/>
      <c r="FZ129" s="709"/>
      <c r="GA129" s="709"/>
      <c r="GB129" s="709"/>
      <c r="GC129" s="709"/>
      <c r="GD129" s="709"/>
      <c r="GE129" s="709"/>
      <c r="GF129" s="709"/>
      <c r="GG129" s="709"/>
      <c r="GH129" s="709"/>
      <c r="GI129" s="709"/>
      <c r="GJ129" s="709"/>
      <c r="GK129" s="709"/>
      <c r="GL129" s="709"/>
      <c r="GM129" s="709"/>
      <c r="GN129" s="709"/>
      <c r="GO129" s="709"/>
      <c r="GP129" s="709"/>
      <c r="GQ129" s="709"/>
      <c r="GR129" s="709"/>
      <c r="GS129" s="709"/>
      <c r="GT129" s="709"/>
      <c r="GU129" s="709"/>
      <c r="GV129" s="709"/>
      <c r="GW129" s="709"/>
      <c r="GX129" s="709"/>
      <c r="GY129" s="709"/>
      <c r="GZ129" s="709"/>
      <c r="HA129" s="709"/>
      <c r="HB129" s="709"/>
      <c r="HC129" s="709"/>
      <c r="HD129" s="709"/>
      <c r="HE129" s="709"/>
      <c r="HF129" s="709"/>
      <c r="HG129" s="709"/>
      <c r="HH129" s="709"/>
      <c r="HI129" s="709"/>
      <c r="HJ129" s="709"/>
      <c r="HK129" s="709"/>
      <c r="HL129" s="709"/>
      <c r="HM129" s="709"/>
      <c r="HN129" s="709"/>
      <c r="HO129" s="709"/>
      <c r="HP129" s="709"/>
      <c r="HQ129" s="709"/>
      <c r="HR129" s="709"/>
      <c r="HS129" s="709"/>
      <c r="HT129" s="709"/>
      <c r="HU129" s="709"/>
      <c r="HV129" s="709"/>
      <c r="HW129" s="709"/>
      <c r="HX129" s="709"/>
      <c r="HY129" s="709"/>
      <c r="HZ129" s="709"/>
      <c r="IA129" s="709"/>
      <c r="IB129" s="709"/>
      <c r="IC129" s="709"/>
      <c r="ID129" s="709"/>
      <c r="IE129" s="709"/>
      <c r="IF129" s="709"/>
      <c r="IG129" s="709"/>
      <c r="IH129" s="709"/>
      <c r="II129" s="709"/>
      <c r="IJ129" s="709"/>
      <c r="IK129" s="709"/>
      <c r="IL129" s="709"/>
      <c r="IM129" s="709"/>
      <c r="IN129" s="709"/>
      <c r="IO129" s="709"/>
      <c r="IP129" s="709"/>
      <c r="IQ129" s="709"/>
      <c r="IR129" s="709"/>
      <c r="IS129" s="709"/>
      <c r="IT129" s="709"/>
      <c r="IU129" s="709"/>
      <c r="IV129" s="709"/>
    </row>
    <row r="130" spans="1:256" ht="12.75" hidden="1" customHeight="1">
      <c r="A130" s="708"/>
      <c r="B130" s="705"/>
      <c r="C130" s="706"/>
      <c r="D130" s="689"/>
      <c r="E130" s="706"/>
      <c r="F130" s="706"/>
      <c r="G130" s="706"/>
      <c r="H130" s="706"/>
      <c r="I130" s="693"/>
      <c r="J130" s="706"/>
      <c r="K130" s="706"/>
      <c r="L130" s="691"/>
      <c r="M130" s="709"/>
      <c r="N130" s="709"/>
      <c r="O130" s="709"/>
      <c r="P130" s="709"/>
      <c r="Q130" s="709"/>
      <c r="R130" s="709"/>
      <c r="S130" s="709"/>
      <c r="T130" s="709"/>
      <c r="U130" s="709"/>
      <c r="V130" s="709"/>
      <c r="W130" s="709"/>
      <c r="X130" s="709"/>
      <c r="Y130" s="709"/>
      <c r="Z130" s="709"/>
      <c r="AA130" s="709"/>
      <c r="AB130" s="709"/>
      <c r="AC130" s="709"/>
      <c r="AD130" s="709"/>
      <c r="AE130" s="709"/>
      <c r="AF130" s="709"/>
      <c r="AG130" s="709"/>
      <c r="AH130" s="709"/>
      <c r="AI130" s="709"/>
      <c r="AJ130" s="709"/>
      <c r="AK130" s="709"/>
      <c r="AL130" s="709"/>
      <c r="AM130" s="709"/>
      <c r="AN130" s="709"/>
      <c r="AO130" s="709"/>
      <c r="AP130" s="709"/>
      <c r="AQ130" s="709"/>
      <c r="AR130" s="709"/>
      <c r="AS130" s="709"/>
      <c r="AT130" s="709"/>
      <c r="AU130" s="709"/>
      <c r="AV130" s="709"/>
      <c r="AW130" s="709"/>
      <c r="AX130" s="709"/>
      <c r="AY130" s="709"/>
      <c r="AZ130" s="709"/>
      <c r="BA130" s="709"/>
      <c r="BB130" s="709"/>
      <c r="BC130" s="709"/>
      <c r="BD130" s="709"/>
      <c r="BE130" s="709"/>
      <c r="BF130" s="709"/>
      <c r="BG130" s="709"/>
      <c r="BH130" s="709"/>
      <c r="BI130" s="709"/>
      <c r="BJ130" s="709"/>
      <c r="BK130" s="709"/>
      <c r="BL130" s="709"/>
      <c r="BM130" s="709"/>
      <c r="BN130" s="709"/>
      <c r="BO130" s="709"/>
      <c r="BP130" s="709"/>
      <c r="BQ130" s="709"/>
      <c r="BR130" s="709"/>
      <c r="BS130" s="709"/>
      <c r="BT130" s="709"/>
      <c r="BU130" s="709"/>
      <c r="BV130" s="709"/>
      <c r="BW130" s="709"/>
      <c r="BX130" s="709"/>
      <c r="BY130" s="709"/>
      <c r="BZ130" s="709"/>
      <c r="CA130" s="709"/>
      <c r="CB130" s="709"/>
      <c r="CC130" s="709"/>
      <c r="CD130" s="709"/>
      <c r="CE130" s="709"/>
      <c r="CF130" s="709"/>
      <c r="CG130" s="709"/>
      <c r="CH130" s="709"/>
      <c r="CI130" s="709"/>
      <c r="CJ130" s="709"/>
      <c r="CK130" s="709"/>
      <c r="CL130" s="709"/>
      <c r="CM130" s="709"/>
      <c r="CN130" s="709"/>
      <c r="CO130" s="709"/>
      <c r="CP130" s="709"/>
      <c r="CQ130" s="709"/>
      <c r="CR130" s="709"/>
      <c r="CS130" s="709"/>
      <c r="CT130" s="709"/>
      <c r="CU130" s="709"/>
      <c r="CV130" s="709"/>
      <c r="CW130" s="709"/>
      <c r="CX130" s="709"/>
      <c r="CY130" s="709"/>
      <c r="CZ130" s="709"/>
      <c r="DA130" s="709"/>
      <c r="DB130" s="709"/>
      <c r="DC130" s="709"/>
      <c r="DD130" s="709"/>
      <c r="DE130" s="709"/>
      <c r="DF130" s="709"/>
      <c r="DG130" s="709"/>
      <c r="DH130" s="709"/>
      <c r="DI130" s="709"/>
      <c r="DJ130" s="709"/>
      <c r="DK130" s="709"/>
      <c r="DL130" s="709"/>
      <c r="DM130" s="709"/>
      <c r="DN130" s="709"/>
      <c r="DO130" s="709"/>
      <c r="DP130" s="709"/>
      <c r="DQ130" s="709"/>
      <c r="DR130" s="709"/>
      <c r="DS130" s="709"/>
      <c r="DT130" s="709"/>
      <c r="DU130" s="709"/>
      <c r="DV130" s="709"/>
      <c r="DW130" s="709"/>
      <c r="DX130" s="709"/>
      <c r="DY130" s="709"/>
      <c r="DZ130" s="709"/>
      <c r="EA130" s="709"/>
      <c r="EB130" s="709"/>
      <c r="EC130" s="709"/>
      <c r="ED130" s="709"/>
      <c r="EE130" s="709"/>
      <c r="EF130" s="709"/>
      <c r="EG130" s="709"/>
      <c r="EH130" s="709"/>
      <c r="EI130" s="709"/>
      <c r="EJ130" s="709"/>
      <c r="EK130" s="709"/>
      <c r="EL130" s="709"/>
      <c r="EM130" s="709"/>
      <c r="EN130" s="709"/>
      <c r="EO130" s="709"/>
      <c r="EP130" s="709"/>
      <c r="EQ130" s="709"/>
      <c r="ER130" s="709"/>
      <c r="ES130" s="709"/>
      <c r="ET130" s="709"/>
      <c r="EU130" s="709"/>
      <c r="EV130" s="709"/>
      <c r="EW130" s="709"/>
      <c r="EX130" s="709"/>
      <c r="EY130" s="709"/>
      <c r="EZ130" s="709"/>
      <c r="FA130" s="709"/>
      <c r="FB130" s="709"/>
      <c r="FC130" s="709"/>
      <c r="FD130" s="709"/>
      <c r="FE130" s="709"/>
      <c r="FF130" s="709"/>
      <c r="FG130" s="709"/>
      <c r="FH130" s="709"/>
      <c r="FI130" s="709"/>
      <c r="FJ130" s="709"/>
      <c r="FK130" s="709"/>
      <c r="FL130" s="709"/>
      <c r="FM130" s="709"/>
      <c r="FN130" s="709"/>
      <c r="FO130" s="709"/>
      <c r="FP130" s="709"/>
      <c r="FQ130" s="709"/>
      <c r="FR130" s="709"/>
      <c r="FS130" s="709"/>
      <c r="FT130" s="709"/>
      <c r="FU130" s="709"/>
      <c r="FV130" s="709"/>
      <c r="FW130" s="709"/>
      <c r="FX130" s="709"/>
      <c r="FY130" s="709"/>
      <c r="FZ130" s="709"/>
      <c r="GA130" s="709"/>
      <c r="GB130" s="709"/>
      <c r="GC130" s="709"/>
      <c r="GD130" s="709"/>
      <c r="GE130" s="709"/>
      <c r="GF130" s="709"/>
      <c r="GG130" s="709"/>
      <c r="GH130" s="709"/>
      <c r="GI130" s="709"/>
      <c r="GJ130" s="709"/>
      <c r="GK130" s="709"/>
      <c r="GL130" s="709"/>
      <c r="GM130" s="709"/>
      <c r="GN130" s="709"/>
      <c r="GO130" s="709"/>
      <c r="GP130" s="709"/>
      <c r="GQ130" s="709"/>
      <c r="GR130" s="709"/>
      <c r="GS130" s="709"/>
      <c r="GT130" s="709"/>
      <c r="GU130" s="709"/>
      <c r="GV130" s="709"/>
      <c r="GW130" s="709"/>
      <c r="GX130" s="709"/>
      <c r="GY130" s="709"/>
      <c r="GZ130" s="709"/>
      <c r="HA130" s="709"/>
      <c r="HB130" s="709"/>
      <c r="HC130" s="709"/>
      <c r="HD130" s="709"/>
      <c r="HE130" s="709"/>
      <c r="HF130" s="709"/>
      <c r="HG130" s="709"/>
      <c r="HH130" s="709"/>
      <c r="HI130" s="709"/>
      <c r="HJ130" s="709"/>
      <c r="HK130" s="709"/>
      <c r="HL130" s="709"/>
      <c r="HM130" s="709"/>
      <c r="HN130" s="709"/>
      <c r="HO130" s="709"/>
      <c r="HP130" s="709"/>
      <c r="HQ130" s="709"/>
      <c r="HR130" s="709"/>
      <c r="HS130" s="709"/>
      <c r="HT130" s="709"/>
      <c r="HU130" s="709"/>
      <c r="HV130" s="709"/>
      <c r="HW130" s="709"/>
      <c r="HX130" s="709"/>
      <c r="HY130" s="709"/>
      <c r="HZ130" s="709"/>
      <c r="IA130" s="709"/>
      <c r="IB130" s="709"/>
      <c r="IC130" s="709"/>
      <c r="ID130" s="709"/>
      <c r="IE130" s="709"/>
      <c r="IF130" s="709"/>
      <c r="IG130" s="709"/>
      <c r="IH130" s="709"/>
      <c r="II130" s="709"/>
      <c r="IJ130" s="709"/>
      <c r="IK130" s="709"/>
      <c r="IL130" s="709"/>
      <c r="IM130" s="709"/>
      <c r="IN130" s="709"/>
      <c r="IO130" s="709"/>
      <c r="IP130" s="709"/>
      <c r="IQ130" s="709"/>
      <c r="IR130" s="709"/>
      <c r="IS130" s="709"/>
      <c r="IT130" s="709"/>
      <c r="IU130" s="709"/>
      <c r="IV130" s="709"/>
    </row>
    <row r="131" spans="1:256" ht="15.75" hidden="1" customHeight="1">
      <c r="A131" s="706" t="s">
        <v>345</v>
      </c>
      <c r="B131" s="705">
        <v>5770706.2000000002</v>
      </c>
      <c r="C131" s="706">
        <v>7356989.7000000002</v>
      </c>
      <c r="D131" s="689"/>
      <c r="E131" s="706">
        <f t="shared" ref="E131:E142" si="18">B131-C131</f>
        <v>-1586283.5</v>
      </c>
      <c r="F131" s="706">
        <v>1217519</v>
      </c>
      <c r="G131" s="706">
        <v>374756.4</v>
      </c>
      <c r="H131" s="706">
        <f t="shared" ref="H131:H141" si="19">F131+G131</f>
        <v>1592275.4</v>
      </c>
      <c r="I131" s="693"/>
      <c r="J131" s="706">
        <v>-5992.4</v>
      </c>
      <c r="K131" s="706">
        <f t="shared" ref="K131:K142" si="20">J131+H131</f>
        <v>1586283</v>
      </c>
      <c r="L131" s="691"/>
      <c r="M131" s="709"/>
      <c r="N131" s="709"/>
      <c r="O131" s="709"/>
      <c r="P131" s="709"/>
      <c r="Q131" s="709"/>
      <c r="R131" s="709"/>
      <c r="S131" s="709"/>
      <c r="T131" s="709"/>
      <c r="U131" s="709"/>
      <c r="V131" s="709"/>
      <c r="W131" s="709"/>
      <c r="X131" s="709"/>
      <c r="Y131" s="709"/>
      <c r="Z131" s="709"/>
      <c r="AA131" s="709"/>
      <c r="AB131" s="709"/>
      <c r="AC131" s="709"/>
      <c r="AD131" s="709"/>
      <c r="AE131" s="709"/>
      <c r="AF131" s="709"/>
      <c r="AG131" s="709"/>
      <c r="AH131" s="709"/>
      <c r="AI131" s="709"/>
      <c r="AJ131" s="709"/>
      <c r="AK131" s="709"/>
      <c r="AL131" s="709"/>
      <c r="AM131" s="709"/>
      <c r="AN131" s="709"/>
      <c r="AO131" s="709"/>
      <c r="AP131" s="709"/>
      <c r="AQ131" s="709"/>
      <c r="AR131" s="709"/>
      <c r="AS131" s="709"/>
      <c r="AT131" s="709"/>
      <c r="AU131" s="709"/>
      <c r="AV131" s="709"/>
      <c r="AW131" s="709"/>
      <c r="AX131" s="709"/>
      <c r="AY131" s="709"/>
      <c r="AZ131" s="709"/>
      <c r="BA131" s="709"/>
      <c r="BB131" s="709"/>
      <c r="BC131" s="709"/>
      <c r="BD131" s="709"/>
      <c r="BE131" s="709"/>
      <c r="BF131" s="709"/>
      <c r="BG131" s="709"/>
      <c r="BH131" s="709"/>
      <c r="BI131" s="709"/>
      <c r="BJ131" s="709"/>
      <c r="BK131" s="709"/>
      <c r="BL131" s="709"/>
      <c r="BM131" s="709"/>
      <c r="BN131" s="709"/>
      <c r="BO131" s="709"/>
      <c r="BP131" s="709"/>
      <c r="BQ131" s="709"/>
      <c r="BR131" s="709"/>
      <c r="BS131" s="709"/>
      <c r="BT131" s="709"/>
      <c r="BU131" s="709"/>
      <c r="BV131" s="709"/>
      <c r="BW131" s="709"/>
      <c r="BX131" s="709"/>
      <c r="BY131" s="709"/>
      <c r="BZ131" s="709"/>
      <c r="CA131" s="709"/>
      <c r="CB131" s="709"/>
      <c r="CC131" s="709"/>
      <c r="CD131" s="709"/>
      <c r="CE131" s="709"/>
      <c r="CF131" s="709"/>
      <c r="CG131" s="709"/>
      <c r="CH131" s="709"/>
      <c r="CI131" s="709"/>
      <c r="CJ131" s="709"/>
      <c r="CK131" s="709"/>
      <c r="CL131" s="709"/>
      <c r="CM131" s="709"/>
      <c r="CN131" s="709"/>
      <c r="CO131" s="709"/>
      <c r="CP131" s="709"/>
      <c r="CQ131" s="709"/>
      <c r="CR131" s="709"/>
      <c r="CS131" s="709"/>
      <c r="CT131" s="709"/>
      <c r="CU131" s="709"/>
      <c r="CV131" s="709"/>
      <c r="CW131" s="709"/>
      <c r="CX131" s="709"/>
      <c r="CY131" s="709"/>
      <c r="CZ131" s="709"/>
      <c r="DA131" s="709"/>
      <c r="DB131" s="709"/>
      <c r="DC131" s="709"/>
      <c r="DD131" s="709"/>
      <c r="DE131" s="709"/>
      <c r="DF131" s="709"/>
      <c r="DG131" s="709"/>
      <c r="DH131" s="709"/>
      <c r="DI131" s="709"/>
      <c r="DJ131" s="709"/>
      <c r="DK131" s="709"/>
      <c r="DL131" s="709"/>
      <c r="DM131" s="709"/>
      <c r="DN131" s="709"/>
      <c r="DO131" s="709"/>
      <c r="DP131" s="709"/>
      <c r="DQ131" s="709"/>
      <c r="DR131" s="709"/>
      <c r="DS131" s="709"/>
      <c r="DT131" s="709"/>
      <c r="DU131" s="709"/>
      <c r="DV131" s="709"/>
      <c r="DW131" s="709"/>
      <c r="DX131" s="709"/>
      <c r="DY131" s="709"/>
      <c r="DZ131" s="709"/>
      <c r="EA131" s="709"/>
      <c r="EB131" s="709"/>
      <c r="EC131" s="709"/>
      <c r="ED131" s="709"/>
      <c r="EE131" s="709"/>
      <c r="EF131" s="709"/>
      <c r="EG131" s="709"/>
      <c r="EH131" s="709"/>
      <c r="EI131" s="709"/>
      <c r="EJ131" s="709"/>
      <c r="EK131" s="709"/>
      <c r="EL131" s="709"/>
      <c r="EM131" s="709"/>
      <c r="EN131" s="709"/>
      <c r="EO131" s="709"/>
      <c r="EP131" s="709"/>
      <c r="EQ131" s="709"/>
      <c r="ER131" s="709"/>
      <c r="ES131" s="709"/>
      <c r="ET131" s="709"/>
      <c r="EU131" s="709"/>
      <c r="EV131" s="709"/>
      <c r="EW131" s="709"/>
      <c r="EX131" s="709"/>
      <c r="EY131" s="709"/>
      <c r="EZ131" s="709"/>
      <c r="FA131" s="709"/>
      <c r="FB131" s="709"/>
      <c r="FC131" s="709"/>
      <c r="FD131" s="709"/>
      <c r="FE131" s="709"/>
      <c r="FF131" s="709"/>
      <c r="FG131" s="709"/>
      <c r="FH131" s="709"/>
      <c r="FI131" s="709"/>
      <c r="FJ131" s="709"/>
      <c r="FK131" s="709"/>
      <c r="FL131" s="709"/>
      <c r="FM131" s="709"/>
      <c r="FN131" s="709"/>
      <c r="FO131" s="709"/>
      <c r="FP131" s="709"/>
      <c r="FQ131" s="709"/>
      <c r="FR131" s="709"/>
      <c r="FS131" s="709"/>
      <c r="FT131" s="709"/>
      <c r="FU131" s="709"/>
      <c r="FV131" s="709"/>
      <c r="FW131" s="709"/>
      <c r="FX131" s="709"/>
      <c r="FY131" s="709"/>
      <c r="FZ131" s="709"/>
      <c r="GA131" s="709"/>
      <c r="GB131" s="709"/>
      <c r="GC131" s="709"/>
      <c r="GD131" s="709"/>
      <c r="GE131" s="709"/>
      <c r="GF131" s="709"/>
      <c r="GG131" s="709"/>
      <c r="GH131" s="709"/>
      <c r="GI131" s="709"/>
      <c r="GJ131" s="709"/>
      <c r="GK131" s="709"/>
      <c r="GL131" s="709"/>
      <c r="GM131" s="709"/>
      <c r="GN131" s="709"/>
      <c r="GO131" s="709"/>
      <c r="GP131" s="709"/>
      <c r="GQ131" s="709"/>
      <c r="GR131" s="709"/>
      <c r="GS131" s="709"/>
      <c r="GT131" s="709"/>
      <c r="GU131" s="709"/>
      <c r="GV131" s="709"/>
      <c r="GW131" s="709"/>
      <c r="GX131" s="709"/>
      <c r="GY131" s="709"/>
      <c r="GZ131" s="709"/>
      <c r="HA131" s="709"/>
      <c r="HB131" s="709"/>
      <c r="HC131" s="709"/>
      <c r="HD131" s="709"/>
      <c r="HE131" s="709"/>
      <c r="HF131" s="709"/>
      <c r="HG131" s="709"/>
      <c r="HH131" s="709"/>
      <c r="HI131" s="709"/>
      <c r="HJ131" s="709"/>
      <c r="HK131" s="709"/>
      <c r="HL131" s="709"/>
      <c r="HM131" s="709"/>
      <c r="HN131" s="709"/>
      <c r="HO131" s="709"/>
      <c r="HP131" s="709"/>
      <c r="HQ131" s="709"/>
      <c r="HR131" s="709"/>
      <c r="HS131" s="709"/>
      <c r="HT131" s="709"/>
      <c r="HU131" s="709"/>
      <c r="HV131" s="709"/>
      <c r="HW131" s="709"/>
      <c r="HX131" s="709"/>
      <c r="HY131" s="709"/>
      <c r="HZ131" s="709"/>
      <c r="IA131" s="709"/>
      <c r="IB131" s="709"/>
      <c r="IC131" s="709"/>
      <c r="ID131" s="709"/>
      <c r="IE131" s="709"/>
      <c r="IF131" s="709"/>
      <c r="IG131" s="709"/>
      <c r="IH131" s="709"/>
      <c r="II131" s="709"/>
      <c r="IJ131" s="709"/>
      <c r="IK131" s="709"/>
      <c r="IL131" s="709"/>
      <c r="IM131" s="709"/>
      <c r="IN131" s="709"/>
      <c r="IO131" s="709"/>
      <c r="IP131" s="709"/>
      <c r="IQ131" s="709"/>
      <c r="IR131" s="709"/>
      <c r="IS131" s="709"/>
      <c r="IT131" s="709"/>
      <c r="IU131" s="709"/>
      <c r="IV131" s="709"/>
    </row>
    <row r="132" spans="1:256" ht="15.75" hidden="1" customHeight="1">
      <c r="A132" s="706" t="s">
        <v>334</v>
      </c>
      <c r="B132" s="705">
        <f>13093098.3+465.4</f>
        <v>13093563.700000001</v>
      </c>
      <c r="C132" s="706">
        <v>15564712.6</v>
      </c>
      <c r="D132" s="689"/>
      <c r="E132" s="706">
        <f t="shared" si="18"/>
        <v>-2471148.8999999985</v>
      </c>
      <c r="F132" s="706">
        <v>2666120.7000000002</v>
      </c>
      <c r="G132" s="706">
        <v>-235691.1</v>
      </c>
      <c r="H132" s="706">
        <f t="shared" si="19"/>
        <v>2430429.6</v>
      </c>
      <c r="I132" s="693"/>
      <c r="J132" s="706">
        <v>-7256.3</v>
      </c>
      <c r="K132" s="706">
        <f t="shared" si="20"/>
        <v>2423173.3000000003</v>
      </c>
      <c r="L132" s="691"/>
      <c r="M132" s="709"/>
      <c r="N132" s="709"/>
      <c r="O132" s="709"/>
      <c r="P132" s="709"/>
      <c r="Q132" s="709"/>
      <c r="R132" s="709"/>
      <c r="S132" s="709"/>
      <c r="T132" s="709"/>
      <c r="U132" s="709"/>
      <c r="V132" s="709"/>
      <c r="W132" s="709"/>
      <c r="X132" s="709"/>
      <c r="Y132" s="709"/>
      <c r="Z132" s="709"/>
      <c r="AA132" s="709"/>
      <c r="AB132" s="709"/>
      <c r="AC132" s="709"/>
      <c r="AD132" s="709"/>
      <c r="AE132" s="709"/>
      <c r="AF132" s="709"/>
      <c r="AG132" s="709"/>
      <c r="AH132" s="709"/>
      <c r="AI132" s="709"/>
      <c r="AJ132" s="709"/>
      <c r="AK132" s="709"/>
      <c r="AL132" s="709"/>
      <c r="AM132" s="709"/>
      <c r="AN132" s="709"/>
      <c r="AO132" s="709"/>
      <c r="AP132" s="709"/>
      <c r="AQ132" s="709"/>
      <c r="AR132" s="709"/>
      <c r="AS132" s="709"/>
      <c r="AT132" s="709"/>
      <c r="AU132" s="709"/>
      <c r="AV132" s="709"/>
      <c r="AW132" s="709"/>
      <c r="AX132" s="709"/>
      <c r="AY132" s="709"/>
      <c r="AZ132" s="709"/>
      <c r="BA132" s="709"/>
      <c r="BB132" s="709"/>
      <c r="BC132" s="709"/>
      <c r="BD132" s="709"/>
      <c r="BE132" s="709"/>
      <c r="BF132" s="709"/>
      <c r="BG132" s="709"/>
      <c r="BH132" s="709"/>
      <c r="BI132" s="709"/>
      <c r="BJ132" s="709"/>
      <c r="BK132" s="709"/>
      <c r="BL132" s="709"/>
      <c r="BM132" s="709"/>
      <c r="BN132" s="709"/>
      <c r="BO132" s="709"/>
      <c r="BP132" s="709"/>
      <c r="BQ132" s="709"/>
      <c r="BR132" s="709"/>
      <c r="BS132" s="709"/>
      <c r="BT132" s="709"/>
      <c r="BU132" s="709"/>
      <c r="BV132" s="709"/>
      <c r="BW132" s="709"/>
      <c r="BX132" s="709"/>
      <c r="BY132" s="709"/>
      <c r="BZ132" s="709"/>
      <c r="CA132" s="709"/>
      <c r="CB132" s="709"/>
      <c r="CC132" s="709"/>
      <c r="CD132" s="709"/>
      <c r="CE132" s="709"/>
      <c r="CF132" s="709"/>
      <c r="CG132" s="709"/>
      <c r="CH132" s="709"/>
      <c r="CI132" s="709"/>
      <c r="CJ132" s="709"/>
      <c r="CK132" s="709"/>
      <c r="CL132" s="709"/>
      <c r="CM132" s="709"/>
      <c r="CN132" s="709"/>
      <c r="CO132" s="709"/>
      <c r="CP132" s="709"/>
      <c r="CQ132" s="709"/>
      <c r="CR132" s="709"/>
      <c r="CS132" s="709"/>
      <c r="CT132" s="709"/>
      <c r="CU132" s="709"/>
      <c r="CV132" s="709"/>
      <c r="CW132" s="709"/>
      <c r="CX132" s="709"/>
      <c r="CY132" s="709"/>
      <c r="CZ132" s="709"/>
      <c r="DA132" s="709"/>
      <c r="DB132" s="709"/>
      <c r="DC132" s="709"/>
      <c r="DD132" s="709"/>
      <c r="DE132" s="709"/>
      <c r="DF132" s="709"/>
      <c r="DG132" s="709"/>
      <c r="DH132" s="709"/>
      <c r="DI132" s="709"/>
      <c r="DJ132" s="709"/>
      <c r="DK132" s="709"/>
      <c r="DL132" s="709"/>
      <c r="DM132" s="709"/>
      <c r="DN132" s="709"/>
      <c r="DO132" s="709"/>
      <c r="DP132" s="709"/>
      <c r="DQ132" s="709"/>
      <c r="DR132" s="709"/>
      <c r="DS132" s="709"/>
      <c r="DT132" s="709"/>
      <c r="DU132" s="709"/>
      <c r="DV132" s="709"/>
      <c r="DW132" s="709"/>
      <c r="DX132" s="709"/>
      <c r="DY132" s="709"/>
      <c r="DZ132" s="709"/>
      <c r="EA132" s="709"/>
      <c r="EB132" s="709"/>
      <c r="EC132" s="709"/>
      <c r="ED132" s="709"/>
      <c r="EE132" s="709"/>
      <c r="EF132" s="709"/>
      <c r="EG132" s="709"/>
      <c r="EH132" s="709"/>
      <c r="EI132" s="709"/>
      <c r="EJ132" s="709"/>
      <c r="EK132" s="709"/>
      <c r="EL132" s="709"/>
      <c r="EM132" s="709"/>
      <c r="EN132" s="709"/>
      <c r="EO132" s="709"/>
      <c r="EP132" s="709"/>
      <c r="EQ132" s="709"/>
      <c r="ER132" s="709"/>
      <c r="ES132" s="709"/>
      <c r="ET132" s="709"/>
      <c r="EU132" s="709"/>
      <c r="EV132" s="709"/>
      <c r="EW132" s="709"/>
      <c r="EX132" s="709"/>
      <c r="EY132" s="709"/>
      <c r="EZ132" s="709"/>
      <c r="FA132" s="709"/>
      <c r="FB132" s="709"/>
      <c r="FC132" s="709"/>
      <c r="FD132" s="709"/>
      <c r="FE132" s="709"/>
      <c r="FF132" s="709"/>
      <c r="FG132" s="709"/>
      <c r="FH132" s="709"/>
      <c r="FI132" s="709"/>
      <c r="FJ132" s="709"/>
      <c r="FK132" s="709"/>
      <c r="FL132" s="709"/>
      <c r="FM132" s="709"/>
      <c r="FN132" s="709"/>
      <c r="FO132" s="709"/>
      <c r="FP132" s="709"/>
      <c r="FQ132" s="709"/>
      <c r="FR132" s="709"/>
      <c r="FS132" s="709"/>
      <c r="FT132" s="709"/>
      <c r="FU132" s="709"/>
      <c r="FV132" s="709"/>
      <c r="FW132" s="709"/>
      <c r="FX132" s="709"/>
      <c r="FY132" s="709"/>
      <c r="FZ132" s="709"/>
      <c r="GA132" s="709"/>
      <c r="GB132" s="709"/>
      <c r="GC132" s="709"/>
      <c r="GD132" s="709"/>
      <c r="GE132" s="709"/>
      <c r="GF132" s="709"/>
      <c r="GG132" s="709"/>
      <c r="GH132" s="709"/>
      <c r="GI132" s="709"/>
      <c r="GJ132" s="709"/>
      <c r="GK132" s="709"/>
      <c r="GL132" s="709"/>
      <c r="GM132" s="709"/>
      <c r="GN132" s="709"/>
      <c r="GO132" s="709"/>
      <c r="GP132" s="709"/>
      <c r="GQ132" s="709"/>
      <c r="GR132" s="709"/>
      <c r="GS132" s="709"/>
      <c r="GT132" s="709"/>
      <c r="GU132" s="709"/>
      <c r="GV132" s="709"/>
      <c r="GW132" s="709"/>
      <c r="GX132" s="709"/>
      <c r="GY132" s="709"/>
      <c r="GZ132" s="709"/>
      <c r="HA132" s="709"/>
      <c r="HB132" s="709"/>
      <c r="HC132" s="709"/>
      <c r="HD132" s="709"/>
      <c r="HE132" s="709"/>
      <c r="HF132" s="709"/>
      <c r="HG132" s="709"/>
      <c r="HH132" s="709"/>
      <c r="HI132" s="709"/>
      <c r="HJ132" s="709"/>
      <c r="HK132" s="709"/>
      <c r="HL132" s="709"/>
      <c r="HM132" s="709"/>
      <c r="HN132" s="709"/>
      <c r="HO132" s="709"/>
      <c r="HP132" s="709"/>
      <c r="HQ132" s="709"/>
      <c r="HR132" s="709"/>
      <c r="HS132" s="709"/>
      <c r="HT132" s="709"/>
      <c r="HU132" s="709"/>
      <c r="HV132" s="709"/>
      <c r="HW132" s="709"/>
      <c r="HX132" s="709"/>
      <c r="HY132" s="709"/>
      <c r="HZ132" s="709"/>
      <c r="IA132" s="709"/>
      <c r="IB132" s="709"/>
      <c r="IC132" s="709"/>
      <c r="ID132" s="709"/>
      <c r="IE132" s="709"/>
      <c r="IF132" s="709"/>
      <c r="IG132" s="709"/>
      <c r="IH132" s="709"/>
      <c r="II132" s="709"/>
      <c r="IJ132" s="709"/>
      <c r="IK132" s="709"/>
      <c r="IL132" s="709"/>
      <c r="IM132" s="709"/>
      <c r="IN132" s="709"/>
      <c r="IO132" s="709"/>
      <c r="IP132" s="709"/>
      <c r="IQ132" s="709"/>
      <c r="IR132" s="709"/>
      <c r="IS132" s="709"/>
      <c r="IT132" s="709"/>
      <c r="IU132" s="709"/>
      <c r="IV132" s="709"/>
    </row>
    <row r="133" spans="1:256" ht="15.75" hidden="1" customHeight="1">
      <c r="A133" s="706" t="s">
        <v>335</v>
      </c>
      <c r="B133" s="705">
        <f>26729392.2+554.1</f>
        <v>26729946.300000001</v>
      </c>
      <c r="C133" s="706">
        <v>26928065.5</v>
      </c>
      <c r="D133" s="689"/>
      <c r="E133" s="706">
        <f t="shared" si="18"/>
        <v>-198119.19999999925</v>
      </c>
      <c r="F133" s="706">
        <v>141325</v>
      </c>
      <c r="G133" s="706">
        <v>64039.1</v>
      </c>
      <c r="H133" s="706">
        <f t="shared" si="19"/>
        <v>205364.1</v>
      </c>
      <c r="I133" s="693"/>
      <c r="J133" s="706">
        <v>-7256.3</v>
      </c>
      <c r="K133" s="706">
        <f t="shared" si="20"/>
        <v>198107.80000000002</v>
      </c>
      <c r="L133" s="691"/>
      <c r="M133" s="709"/>
      <c r="N133" s="709"/>
      <c r="O133" s="709"/>
      <c r="P133" s="709"/>
      <c r="Q133" s="709"/>
      <c r="R133" s="709"/>
      <c r="S133" s="709"/>
      <c r="T133" s="709"/>
      <c r="U133" s="709"/>
      <c r="V133" s="709"/>
      <c r="W133" s="709"/>
      <c r="X133" s="709"/>
      <c r="Y133" s="709"/>
      <c r="Z133" s="709"/>
      <c r="AA133" s="709"/>
      <c r="AB133" s="709"/>
      <c r="AC133" s="709"/>
      <c r="AD133" s="709"/>
      <c r="AE133" s="709"/>
      <c r="AF133" s="709"/>
      <c r="AG133" s="709"/>
      <c r="AH133" s="709"/>
      <c r="AI133" s="709"/>
      <c r="AJ133" s="709"/>
      <c r="AK133" s="709"/>
      <c r="AL133" s="709"/>
      <c r="AM133" s="709"/>
      <c r="AN133" s="709"/>
      <c r="AO133" s="709"/>
      <c r="AP133" s="709"/>
      <c r="AQ133" s="709"/>
      <c r="AR133" s="709"/>
      <c r="AS133" s="709"/>
      <c r="AT133" s="709"/>
      <c r="AU133" s="709"/>
      <c r="AV133" s="709"/>
      <c r="AW133" s="709"/>
      <c r="AX133" s="709"/>
      <c r="AY133" s="709"/>
      <c r="AZ133" s="709"/>
      <c r="BA133" s="709"/>
      <c r="BB133" s="709"/>
      <c r="BC133" s="709"/>
      <c r="BD133" s="709"/>
      <c r="BE133" s="709"/>
      <c r="BF133" s="709"/>
      <c r="BG133" s="709"/>
      <c r="BH133" s="709"/>
      <c r="BI133" s="709"/>
      <c r="BJ133" s="709"/>
      <c r="BK133" s="709"/>
      <c r="BL133" s="709"/>
      <c r="BM133" s="709"/>
      <c r="BN133" s="709"/>
      <c r="BO133" s="709"/>
      <c r="BP133" s="709"/>
      <c r="BQ133" s="709"/>
      <c r="BR133" s="709"/>
      <c r="BS133" s="709"/>
      <c r="BT133" s="709"/>
      <c r="BU133" s="709"/>
      <c r="BV133" s="709"/>
      <c r="BW133" s="709"/>
      <c r="BX133" s="709"/>
      <c r="BY133" s="709"/>
      <c r="BZ133" s="709"/>
      <c r="CA133" s="709"/>
      <c r="CB133" s="709"/>
      <c r="CC133" s="709"/>
      <c r="CD133" s="709"/>
      <c r="CE133" s="709"/>
      <c r="CF133" s="709"/>
      <c r="CG133" s="709"/>
      <c r="CH133" s="709"/>
      <c r="CI133" s="709"/>
      <c r="CJ133" s="709"/>
      <c r="CK133" s="709"/>
      <c r="CL133" s="709"/>
      <c r="CM133" s="709"/>
      <c r="CN133" s="709"/>
      <c r="CO133" s="709"/>
      <c r="CP133" s="709"/>
      <c r="CQ133" s="709"/>
      <c r="CR133" s="709"/>
      <c r="CS133" s="709"/>
      <c r="CT133" s="709"/>
      <c r="CU133" s="709"/>
      <c r="CV133" s="709"/>
      <c r="CW133" s="709"/>
      <c r="CX133" s="709"/>
      <c r="CY133" s="709"/>
      <c r="CZ133" s="709"/>
      <c r="DA133" s="709"/>
      <c r="DB133" s="709"/>
      <c r="DC133" s="709"/>
      <c r="DD133" s="709"/>
      <c r="DE133" s="709"/>
      <c r="DF133" s="709"/>
      <c r="DG133" s="709"/>
      <c r="DH133" s="709"/>
      <c r="DI133" s="709"/>
      <c r="DJ133" s="709"/>
      <c r="DK133" s="709"/>
      <c r="DL133" s="709"/>
      <c r="DM133" s="709"/>
      <c r="DN133" s="709"/>
      <c r="DO133" s="709"/>
      <c r="DP133" s="709"/>
      <c r="DQ133" s="709"/>
      <c r="DR133" s="709"/>
      <c r="DS133" s="709"/>
      <c r="DT133" s="709"/>
      <c r="DU133" s="709"/>
      <c r="DV133" s="709"/>
      <c r="DW133" s="709"/>
      <c r="DX133" s="709"/>
      <c r="DY133" s="709"/>
      <c r="DZ133" s="709"/>
      <c r="EA133" s="709"/>
      <c r="EB133" s="709"/>
      <c r="EC133" s="709"/>
      <c r="ED133" s="709"/>
      <c r="EE133" s="709"/>
      <c r="EF133" s="709"/>
      <c r="EG133" s="709"/>
      <c r="EH133" s="709"/>
      <c r="EI133" s="709"/>
      <c r="EJ133" s="709"/>
      <c r="EK133" s="709"/>
      <c r="EL133" s="709"/>
      <c r="EM133" s="709"/>
      <c r="EN133" s="709"/>
      <c r="EO133" s="709"/>
      <c r="EP133" s="709"/>
      <c r="EQ133" s="709"/>
      <c r="ER133" s="709"/>
      <c r="ES133" s="709"/>
      <c r="ET133" s="709"/>
      <c r="EU133" s="709"/>
      <c r="EV133" s="709"/>
      <c r="EW133" s="709"/>
      <c r="EX133" s="709"/>
      <c r="EY133" s="709"/>
      <c r="EZ133" s="709"/>
      <c r="FA133" s="709"/>
      <c r="FB133" s="709"/>
      <c r="FC133" s="709"/>
      <c r="FD133" s="709"/>
      <c r="FE133" s="709"/>
      <c r="FF133" s="709"/>
      <c r="FG133" s="709"/>
      <c r="FH133" s="709"/>
      <c r="FI133" s="709"/>
      <c r="FJ133" s="709"/>
      <c r="FK133" s="709"/>
      <c r="FL133" s="709"/>
      <c r="FM133" s="709"/>
      <c r="FN133" s="709"/>
      <c r="FO133" s="709"/>
      <c r="FP133" s="709"/>
      <c r="FQ133" s="709"/>
      <c r="FR133" s="709"/>
      <c r="FS133" s="709"/>
      <c r="FT133" s="709"/>
      <c r="FU133" s="709"/>
      <c r="FV133" s="709"/>
      <c r="FW133" s="709"/>
      <c r="FX133" s="709"/>
      <c r="FY133" s="709"/>
      <c r="FZ133" s="709"/>
      <c r="GA133" s="709"/>
      <c r="GB133" s="709"/>
      <c r="GC133" s="709"/>
      <c r="GD133" s="709"/>
      <c r="GE133" s="709"/>
      <c r="GF133" s="709"/>
      <c r="GG133" s="709"/>
      <c r="GH133" s="709"/>
      <c r="GI133" s="709"/>
      <c r="GJ133" s="709"/>
      <c r="GK133" s="709"/>
      <c r="GL133" s="709"/>
      <c r="GM133" s="709"/>
      <c r="GN133" s="709"/>
      <c r="GO133" s="709"/>
      <c r="GP133" s="709"/>
      <c r="GQ133" s="709"/>
      <c r="GR133" s="709"/>
      <c r="GS133" s="709"/>
      <c r="GT133" s="709"/>
      <c r="GU133" s="709"/>
      <c r="GV133" s="709"/>
      <c r="GW133" s="709"/>
      <c r="GX133" s="709"/>
      <c r="GY133" s="709"/>
      <c r="GZ133" s="709"/>
      <c r="HA133" s="709"/>
      <c r="HB133" s="709"/>
      <c r="HC133" s="709"/>
      <c r="HD133" s="709"/>
      <c r="HE133" s="709"/>
      <c r="HF133" s="709"/>
      <c r="HG133" s="709"/>
      <c r="HH133" s="709"/>
      <c r="HI133" s="709"/>
      <c r="HJ133" s="709"/>
      <c r="HK133" s="709"/>
      <c r="HL133" s="709"/>
      <c r="HM133" s="709"/>
      <c r="HN133" s="709"/>
      <c r="HO133" s="709"/>
      <c r="HP133" s="709"/>
      <c r="HQ133" s="709"/>
      <c r="HR133" s="709"/>
      <c r="HS133" s="709"/>
      <c r="HT133" s="709"/>
      <c r="HU133" s="709"/>
      <c r="HV133" s="709"/>
      <c r="HW133" s="709"/>
      <c r="HX133" s="709"/>
      <c r="HY133" s="709"/>
      <c r="HZ133" s="709"/>
      <c r="IA133" s="709"/>
      <c r="IB133" s="709"/>
      <c r="IC133" s="709"/>
      <c r="ID133" s="709"/>
      <c r="IE133" s="709"/>
      <c r="IF133" s="709"/>
      <c r="IG133" s="709"/>
      <c r="IH133" s="709"/>
      <c r="II133" s="709"/>
      <c r="IJ133" s="709"/>
      <c r="IK133" s="709"/>
      <c r="IL133" s="709"/>
      <c r="IM133" s="709"/>
      <c r="IN133" s="709"/>
      <c r="IO133" s="709"/>
      <c r="IP133" s="709"/>
      <c r="IQ133" s="709"/>
      <c r="IR133" s="709"/>
      <c r="IS133" s="709"/>
      <c r="IT133" s="709"/>
      <c r="IU133" s="709"/>
      <c r="IV133" s="709"/>
    </row>
    <row r="134" spans="1:256" ht="15.75" hidden="1" customHeight="1">
      <c r="A134" s="706" t="s">
        <v>336</v>
      </c>
      <c r="B134" s="705">
        <f>39400781.7+554.1</f>
        <v>39401335.800000004</v>
      </c>
      <c r="C134" s="706">
        <v>38316886.5</v>
      </c>
      <c r="D134" s="689"/>
      <c r="E134" s="706">
        <f t="shared" si="18"/>
        <v>1084449.3000000045</v>
      </c>
      <c r="F134" s="706">
        <v>570222.5</v>
      </c>
      <c r="G134" s="706">
        <v>-1559392.4</v>
      </c>
      <c r="H134" s="706">
        <f t="shared" si="19"/>
        <v>-989169.89999999991</v>
      </c>
      <c r="I134" s="693"/>
      <c r="J134" s="706">
        <v>-95280.6</v>
      </c>
      <c r="K134" s="706">
        <f t="shared" si="20"/>
        <v>-1084450.5</v>
      </c>
      <c r="L134" s="691"/>
      <c r="M134" s="709"/>
      <c r="N134" s="709"/>
      <c r="O134" s="709"/>
      <c r="P134" s="709"/>
      <c r="Q134" s="709"/>
      <c r="R134" s="709"/>
      <c r="S134" s="709"/>
      <c r="T134" s="709"/>
      <c r="U134" s="709"/>
      <c r="V134" s="709"/>
      <c r="W134" s="709"/>
      <c r="X134" s="709"/>
      <c r="Y134" s="709"/>
      <c r="Z134" s="709"/>
      <c r="AA134" s="709"/>
      <c r="AB134" s="709"/>
      <c r="AC134" s="709"/>
      <c r="AD134" s="709"/>
      <c r="AE134" s="709"/>
      <c r="AF134" s="709"/>
      <c r="AG134" s="709"/>
      <c r="AH134" s="709"/>
      <c r="AI134" s="709"/>
      <c r="AJ134" s="709"/>
      <c r="AK134" s="709"/>
      <c r="AL134" s="709"/>
      <c r="AM134" s="709"/>
      <c r="AN134" s="709"/>
      <c r="AO134" s="709"/>
      <c r="AP134" s="709"/>
      <c r="AQ134" s="709"/>
      <c r="AR134" s="709"/>
      <c r="AS134" s="709"/>
      <c r="AT134" s="709"/>
      <c r="AU134" s="709"/>
      <c r="AV134" s="709"/>
      <c r="AW134" s="709"/>
      <c r="AX134" s="709"/>
      <c r="AY134" s="709"/>
      <c r="AZ134" s="709"/>
      <c r="BA134" s="709"/>
      <c r="BB134" s="709"/>
      <c r="BC134" s="709"/>
      <c r="BD134" s="709"/>
      <c r="BE134" s="709"/>
      <c r="BF134" s="709"/>
      <c r="BG134" s="709"/>
      <c r="BH134" s="709"/>
      <c r="BI134" s="709"/>
      <c r="BJ134" s="709"/>
      <c r="BK134" s="709"/>
      <c r="BL134" s="709"/>
      <c r="BM134" s="709"/>
      <c r="BN134" s="709"/>
      <c r="BO134" s="709"/>
      <c r="BP134" s="709"/>
      <c r="BQ134" s="709"/>
      <c r="BR134" s="709"/>
      <c r="BS134" s="709"/>
      <c r="BT134" s="709"/>
      <c r="BU134" s="709"/>
      <c r="BV134" s="709"/>
      <c r="BW134" s="709"/>
      <c r="BX134" s="709"/>
      <c r="BY134" s="709"/>
      <c r="BZ134" s="709"/>
      <c r="CA134" s="709"/>
      <c r="CB134" s="709"/>
      <c r="CC134" s="709"/>
      <c r="CD134" s="709"/>
      <c r="CE134" s="709"/>
      <c r="CF134" s="709"/>
      <c r="CG134" s="709"/>
      <c r="CH134" s="709"/>
      <c r="CI134" s="709"/>
      <c r="CJ134" s="709"/>
      <c r="CK134" s="709"/>
      <c r="CL134" s="709"/>
      <c r="CM134" s="709"/>
      <c r="CN134" s="709"/>
      <c r="CO134" s="709"/>
      <c r="CP134" s="709"/>
      <c r="CQ134" s="709"/>
      <c r="CR134" s="709"/>
      <c r="CS134" s="709"/>
      <c r="CT134" s="709"/>
      <c r="CU134" s="709"/>
      <c r="CV134" s="709"/>
      <c r="CW134" s="709"/>
      <c r="CX134" s="709"/>
      <c r="CY134" s="709"/>
      <c r="CZ134" s="709"/>
      <c r="DA134" s="709"/>
      <c r="DB134" s="709"/>
      <c r="DC134" s="709"/>
      <c r="DD134" s="709"/>
      <c r="DE134" s="709"/>
      <c r="DF134" s="709"/>
      <c r="DG134" s="709"/>
      <c r="DH134" s="709"/>
      <c r="DI134" s="709"/>
      <c r="DJ134" s="709"/>
      <c r="DK134" s="709"/>
      <c r="DL134" s="709"/>
      <c r="DM134" s="709"/>
      <c r="DN134" s="709"/>
      <c r="DO134" s="709"/>
      <c r="DP134" s="709"/>
      <c r="DQ134" s="709"/>
      <c r="DR134" s="709"/>
      <c r="DS134" s="709"/>
      <c r="DT134" s="709"/>
      <c r="DU134" s="709"/>
      <c r="DV134" s="709"/>
      <c r="DW134" s="709"/>
      <c r="DX134" s="709"/>
      <c r="DY134" s="709"/>
      <c r="DZ134" s="709"/>
      <c r="EA134" s="709"/>
      <c r="EB134" s="709"/>
      <c r="EC134" s="709"/>
      <c r="ED134" s="709"/>
      <c r="EE134" s="709"/>
      <c r="EF134" s="709"/>
      <c r="EG134" s="709"/>
      <c r="EH134" s="709"/>
      <c r="EI134" s="709"/>
      <c r="EJ134" s="709"/>
      <c r="EK134" s="709"/>
      <c r="EL134" s="709"/>
      <c r="EM134" s="709"/>
      <c r="EN134" s="709"/>
      <c r="EO134" s="709"/>
      <c r="EP134" s="709"/>
      <c r="EQ134" s="709"/>
      <c r="ER134" s="709"/>
      <c r="ES134" s="709"/>
      <c r="ET134" s="709"/>
      <c r="EU134" s="709"/>
      <c r="EV134" s="709"/>
      <c r="EW134" s="709"/>
      <c r="EX134" s="709"/>
      <c r="EY134" s="709"/>
      <c r="EZ134" s="709"/>
      <c r="FA134" s="709"/>
      <c r="FB134" s="709"/>
      <c r="FC134" s="709"/>
      <c r="FD134" s="709"/>
      <c r="FE134" s="709"/>
      <c r="FF134" s="709"/>
      <c r="FG134" s="709"/>
      <c r="FH134" s="709"/>
      <c r="FI134" s="709"/>
      <c r="FJ134" s="709"/>
      <c r="FK134" s="709"/>
      <c r="FL134" s="709"/>
      <c r="FM134" s="709"/>
      <c r="FN134" s="709"/>
      <c r="FO134" s="709"/>
      <c r="FP134" s="709"/>
      <c r="FQ134" s="709"/>
      <c r="FR134" s="709"/>
      <c r="FS134" s="709"/>
      <c r="FT134" s="709"/>
      <c r="FU134" s="709"/>
      <c r="FV134" s="709"/>
      <c r="FW134" s="709"/>
      <c r="FX134" s="709"/>
      <c r="FY134" s="709"/>
      <c r="FZ134" s="709"/>
      <c r="GA134" s="709"/>
      <c r="GB134" s="709"/>
      <c r="GC134" s="709"/>
      <c r="GD134" s="709"/>
      <c r="GE134" s="709"/>
      <c r="GF134" s="709"/>
      <c r="GG134" s="709"/>
      <c r="GH134" s="709"/>
      <c r="GI134" s="709"/>
      <c r="GJ134" s="709"/>
      <c r="GK134" s="709"/>
      <c r="GL134" s="709"/>
      <c r="GM134" s="709"/>
      <c r="GN134" s="709"/>
      <c r="GO134" s="709"/>
      <c r="GP134" s="709"/>
      <c r="GQ134" s="709"/>
      <c r="GR134" s="709"/>
      <c r="GS134" s="709"/>
      <c r="GT134" s="709"/>
      <c r="GU134" s="709"/>
      <c r="GV134" s="709"/>
      <c r="GW134" s="709"/>
      <c r="GX134" s="709"/>
      <c r="GY134" s="709"/>
      <c r="GZ134" s="709"/>
      <c r="HA134" s="709"/>
      <c r="HB134" s="709"/>
      <c r="HC134" s="709"/>
      <c r="HD134" s="709"/>
      <c r="HE134" s="709"/>
      <c r="HF134" s="709"/>
      <c r="HG134" s="709"/>
      <c r="HH134" s="709"/>
      <c r="HI134" s="709"/>
      <c r="HJ134" s="709"/>
      <c r="HK134" s="709"/>
      <c r="HL134" s="709"/>
      <c r="HM134" s="709"/>
      <c r="HN134" s="709"/>
      <c r="HO134" s="709"/>
      <c r="HP134" s="709"/>
      <c r="HQ134" s="709"/>
      <c r="HR134" s="709"/>
      <c r="HS134" s="709"/>
      <c r="HT134" s="709"/>
      <c r="HU134" s="709"/>
      <c r="HV134" s="709"/>
      <c r="HW134" s="709"/>
      <c r="HX134" s="709"/>
      <c r="HY134" s="709"/>
      <c r="HZ134" s="709"/>
      <c r="IA134" s="709"/>
      <c r="IB134" s="709"/>
      <c r="IC134" s="709"/>
      <c r="ID134" s="709"/>
      <c r="IE134" s="709"/>
      <c r="IF134" s="709"/>
      <c r="IG134" s="709"/>
      <c r="IH134" s="709"/>
      <c r="II134" s="709"/>
      <c r="IJ134" s="709"/>
      <c r="IK134" s="709"/>
      <c r="IL134" s="709"/>
      <c r="IM134" s="709"/>
      <c r="IN134" s="709"/>
      <c r="IO134" s="709"/>
      <c r="IP134" s="709"/>
      <c r="IQ134" s="709"/>
      <c r="IR134" s="709"/>
      <c r="IS134" s="709"/>
      <c r="IT134" s="709"/>
      <c r="IU134" s="709"/>
      <c r="IV134" s="709"/>
    </row>
    <row r="135" spans="1:256" ht="15.75" hidden="1" customHeight="1">
      <c r="A135" s="706" t="s">
        <v>337</v>
      </c>
      <c r="B135" s="705">
        <f>50155914.8+554.1</f>
        <v>50156468.899999999</v>
      </c>
      <c r="C135" s="706">
        <v>58993286.899999999</v>
      </c>
      <c r="D135" s="689"/>
      <c r="E135" s="706">
        <f t="shared" si="18"/>
        <v>-8836818</v>
      </c>
      <c r="F135" s="706">
        <v>9204719.5</v>
      </c>
      <c r="G135" s="706">
        <v>-178277.2</v>
      </c>
      <c r="H135" s="706">
        <f t="shared" si="19"/>
        <v>9026442.3000000007</v>
      </c>
      <c r="I135" s="693"/>
      <c r="J135" s="706">
        <v>-189624.8</v>
      </c>
      <c r="K135" s="706">
        <f t="shared" si="20"/>
        <v>8836817.5</v>
      </c>
      <c r="L135" s="691"/>
      <c r="M135" s="709"/>
      <c r="N135" s="709"/>
      <c r="O135" s="709"/>
      <c r="P135" s="709"/>
      <c r="Q135" s="709"/>
      <c r="R135" s="709"/>
      <c r="S135" s="709"/>
      <c r="T135" s="709"/>
      <c r="U135" s="709"/>
      <c r="V135" s="709"/>
      <c r="W135" s="709"/>
      <c r="X135" s="709"/>
      <c r="Y135" s="709"/>
      <c r="Z135" s="709"/>
      <c r="AA135" s="709"/>
      <c r="AB135" s="709"/>
      <c r="AC135" s="709"/>
      <c r="AD135" s="709"/>
      <c r="AE135" s="709"/>
      <c r="AF135" s="709"/>
      <c r="AG135" s="709"/>
      <c r="AH135" s="709"/>
      <c r="AI135" s="709"/>
      <c r="AJ135" s="709"/>
      <c r="AK135" s="709"/>
      <c r="AL135" s="709"/>
      <c r="AM135" s="709"/>
      <c r="AN135" s="709"/>
      <c r="AO135" s="709"/>
      <c r="AP135" s="709"/>
      <c r="AQ135" s="709"/>
      <c r="AR135" s="709"/>
      <c r="AS135" s="709"/>
      <c r="AT135" s="709"/>
      <c r="AU135" s="709"/>
      <c r="AV135" s="709"/>
      <c r="AW135" s="709"/>
      <c r="AX135" s="709"/>
      <c r="AY135" s="709"/>
      <c r="AZ135" s="709"/>
      <c r="BA135" s="709"/>
      <c r="BB135" s="709"/>
      <c r="BC135" s="709"/>
      <c r="BD135" s="709"/>
      <c r="BE135" s="709"/>
      <c r="BF135" s="709"/>
      <c r="BG135" s="709"/>
      <c r="BH135" s="709"/>
      <c r="BI135" s="709"/>
      <c r="BJ135" s="709"/>
      <c r="BK135" s="709"/>
      <c r="BL135" s="709"/>
      <c r="BM135" s="709"/>
      <c r="BN135" s="709"/>
      <c r="BO135" s="709"/>
      <c r="BP135" s="709"/>
      <c r="BQ135" s="709"/>
      <c r="BR135" s="709"/>
      <c r="BS135" s="709"/>
      <c r="BT135" s="709"/>
      <c r="BU135" s="709"/>
      <c r="BV135" s="709"/>
      <c r="BW135" s="709"/>
      <c r="BX135" s="709"/>
      <c r="BY135" s="709"/>
      <c r="BZ135" s="709"/>
      <c r="CA135" s="709"/>
      <c r="CB135" s="709"/>
      <c r="CC135" s="709"/>
      <c r="CD135" s="709"/>
      <c r="CE135" s="709"/>
      <c r="CF135" s="709"/>
      <c r="CG135" s="709"/>
      <c r="CH135" s="709"/>
      <c r="CI135" s="709"/>
      <c r="CJ135" s="709"/>
      <c r="CK135" s="709"/>
      <c r="CL135" s="709"/>
      <c r="CM135" s="709"/>
      <c r="CN135" s="709"/>
      <c r="CO135" s="709"/>
      <c r="CP135" s="709"/>
      <c r="CQ135" s="709"/>
      <c r="CR135" s="709"/>
      <c r="CS135" s="709"/>
      <c r="CT135" s="709"/>
      <c r="CU135" s="709"/>
      <c r="CV135" s="709"/>
      <c r="CW135" s="709"/>
      <c r="CX135" s="709"/>
      <c r="CY135" s="709"/>
      <c r="CZ135" s="709"/>
      <c r="DA135" s="709"/>
      <c r="DB135" s="709"/>
      <c r="DC135" s="709"/>
      <c r="DD135" s="709"/>
      <c r="DE135" s="709"/>
      <c r="DF135" s="709"/>
      <c r="DG135" s="709"/>
      <c r="DH135" s="709"/>
      <c r="DI135" s="709"/>
      <c r="DJ135" s="709"/>
      <c r="DK135" s="709"/>
      <c r="DL135" s="709"/>
      <c r="DM135" s="709"/>
      <c r="DN135" s="709"/>
      <c r="DO135" s="709"/>
      <c r="DP135" s="709"/>
      <c r="DQ135" s="709"/>
      <c r="DR135" s="709"/>
      <c r="DS135" s="709"/>
      <c r="DT135" s="709"/>
      <c r="DU135" s="709"/>
      <c r="DV135" s="709"/>
      <c r="DW135" s="709"/>
      <c r="DX135" s="709"/>
      <c r="DY135" s="709"/>
      <c r="DZ135" s="709"/>
      <c r="EA135" s="709"/>
      <c r="EB135" s="709"/>
      <c r="EC135" s="709"/>
      <c r="ED135" s="709"/>
      <c r="EE135" s="709"/>
      <c r="EF135" s="709"/>
      <c r="EG135" s="709"/>
      <c r="EH135" s="709"/>
      <c r="EI135" s="709"/>
      <c r="EJ135" s="709"/>
      <c r="EK135" s="709"/>
      <c r="EL135" s="709"/>
      <c r="EM135" s="709"/>
      <c r="EN135" s="709"/>
      <c r="EO135" s="709"/>
      <c r="EP135" s="709"/>
      <c r="EQ135" s="709"/>
      <c r="ER135" s="709"/>
      <c r="ES135" s="709"/>
      <c r="ET135" s="709"/>
      <c r="EU135" s="709"/>
      <c r="EV135" s="709"/>
      <c r="EW135" s="709"/>
      <c r="EX135" s="709"/>
      <c r="EY135" s="709"/>
      <c r="EZ135" s="709"/>
      <c r="FA135" s="709"/>
      <c r="FB135" s="709"/>
      <c r="FC135" s="709"/>
      <c r="FD135" s="709"/>
      <c r="FE135" s="709"/>
      <c r="FF135" s="709"/>
      <c r="FG135" s="709"/>
      <c r="FH135" s="709"/>
      <c r="FI135" s="709"/>
      <c r="FJ135" s="709"/>
      <c r="FK135" s="709"/>
      <c r="FL135" s="709"/>
      <c r="FM135" s="709"/>
      <c r="FN135" s="709"/>
      <c r="FO135" s="709"/>
      <c r="FP135" s="709"/>
      <c r="FQ135" s="709"/>
      <c r="FR135" s="709"/>
      <c r="FS135" s="709"/>
      <c r="FT135" s="709"/>
      <c r="FU135" s="709"/>
      <c r="FV135" s="709"/>
      <c r="FW135" s="709"/>
      <c r="FX135" s="709"/>
      <c r="FY135" s="709"/>
      <c r="FZ135" s="709"/>
      <c r="GA135" s="709"/>
      <c r="GB135" s="709"/>
      <c r="GC135" s="709"/>
      <c r="GD135" s="709"/>
      <c r="GE135" s="709"/>
      <c r="GF135" s="709"/>
      <c r="GG135" s="709"/>
      <c r="GH135" s="709"/>
      <c r="GI135" s="709"/>
      <c r="GJ135" s="709"/>
      <c r="GK135" s="709"/>
      <c r="GL135" s="709"/>
      <c r="GM135" s="709"/>
      <c r="GN135" s="709"/>
      <c r="GO135" s="709"/>
      <c r="GP135" s="709"/>
      <c r="GQ135" s="709"/>
      <c r="GR135" s="709"/>
      <c r="GS135" s="709"/>
      <c r="GT135" s="709"/>
      <c r="GU135" s="709"/>
      <c r="GV135" s="709"/>
      <c r="GW135" s="709"/>
      <c r="GX135" s="709"/>
      <c r="GY135" s="709"/>
      <c r="GZ135" s="709"/>
      <c r="HA135" s="709"/>
      <c r="HB135" s="709"/>
      <c r="HC135" s="709"/>
      <c r="HD135" s="709"/>
      <c r="HE135" s="709"/>
      <c r="HF135" s="709"/>
      <c r="HG135" s="709"/>
      <c r="HH135" s="709"/>
      <c r="HI135" s="709"/>
      <c r="HJ135" s="709"/>
      <c r="HK135" s="709"/>
      <c r="HL135" s="709"/>
      <c r="HM135" s="709"/>
      <c r="HN135" s="709"/>
      <c r="HO135" s="709"/>
      <c r="HP135" s="709"/>
      <c r="HQ135" s="709"/>
      <c r="HR135" s="709"/>
      <c r="HS135" s="709"/>
      <c r="HT135" s="709"/>
      <c r="HU135" s="709"/>
      <c r="HV135" s="709"/>
      <c r="HW135" s="709"/>
      <c r="HX135" s="709"/>
      <c r="HY135" s="709"/>
      <c r="HZ135" s="709"/>
      <c r="IA135" s="709"/>
      <c r="IB135" s="709"/>
      <c r="IC135" s="709"/>
      <c r="ID135" s="709"/>
      <c r="IE135" s="709"/>
      <c r="IF135" s="709"/>
      <c r="IG135" s="709"/>
      <c r="IH135" s="709"/>
      <c r="II135" s="709"/>
      <c r="IJ135" s="709"/>
      <c r="IK135" s="709"/>
      <c r="IL135" s="709"/>
      <c r="IM135" s="709"/>
      <c r="IN135" s="709"/>
      <c r="IO135" s="709"/>
      <c r="IP135" s="709"/>
      <c r="IQ135" s="709"/>
      <c r="IR135" s="709"/>
      <c r="IS135" s="709"/>
      <c r="IT135" s="709"/>
      <c r="IU135" s="709"/>
      <c r="IV135" s="709"/>
    </row>
    <row r="136" spans="1:256" ht="15.75" hidden="1" customHeight="1">
      <c r="A136" s="706" t="s">
        <v>338</v>
      </c>
      <c r="B136" s="705">
        <f>73020503.9+554.1</f>
        <v>73021058</v>
      </c>
      <c r="C136" s="706">
        <v>90837771.099999994</v>
      </c>
      <c r="D136" s="689"/>
      <c r="E136" s="706">
        <f t="shared" si="18"/>
        <v>-17816713.099999994</v>
      </c>
      <c r="F136" s="706">
        <v>17702798.399999999</v>
      </c>
      <c r="G136" s="706">
        <v>119906.3</v>
      </c>
      <c r="H136" s="706">
        <f t="shared" si="19"/>
        <v>17822704.699999999</v>
      </c>
      <c r="I136" s="693"/>
      <c r="J136" s="706">
        <v>-5992.4</v>
      </c>
      <c r="K136" s="706">
        <f t="shared" si="20"/>
        <v>17816712.300000001</v>
      </c>
      <c r="L136" s="691"/>
      <c r="M136" s="709"/>
      <c r="N136" s="709"/>
      <c r="O136" s="709"/>
      <c r="P136" s="709"/>
      <c r="Q136" s="709"/>
      <c r="R136" s="709"/>
      <c r="S136" s="709"/>
      <c r="T136" s="709"/>
      <c r="U136" s="709"/>
      <c r="V136" s="709"/>
      <c r="W136" s="709"/>
      <c r="X136" s="709"/>
      <c r="Y136" s="709"/>
      <c r="Z136" s="709"/>
      <c r="AA136" s="709"/>
      <c r="AB136" s="709"/>
      <c r="AC136" s="709"/>
      <c r="AD136" s="709"/>
      <c r="AE136" s="709"/>
      <c r="AF136" s="709"/>
      <c r="AG136" s="709"/>
      <c r="AH136" s="709"/>
      <c r="AI136" s="709"/>
      <c r="AJ136" s="709"/>
      <c r="AK136" s="709"/>
      <c r="AL136" s="709"/>
      <c r="AM136" s="709"/>
      <c r="AN136" s="709"/>
      <c r="AO136" s="709"/>
      <c r="AP136" s="709"/>
      <c r="AQ136" s="709"/>
      <c r="AR136" s="709"/>
      <c r="AS136" s="709"/>
      <c r="AT136" s="709"/>
      <c r="AU136" s="709"/>
      <c r="AV136" s="709"/>
      <c r="AW136" s="709"/>
      <c r="AX136" s="709"/>
      <c r="AY136" s="709"/>
      <c r="AZ136" s="709"/>
      <c r="BA136" s="709"/>
      <c r="BB136" s="709"/>
      <c r="BC136" s="709"/>
      <c r="BD136" s="709"/>
      <c r="BE136" s="709"/>
      <c r="BF136" s="709"/>
      <c r="BG136" s="709"/>
      <c r="BH136" s="709"/>
      <c r="BI136" s="709"/>
      <c r="BJ136" s="709"/>
      <c r="BK136" s="709"/>
      <c r="BL136" s="709"/>
      <c r="BM136" s="709"/>
      <c r="BN136" s="709"/>
      <c r="BO136" s="709"/>
      <c r="BP136" s="709"/>
      <c r="BQ136" s="709"/>
      <c r="BR136" s="709"/>
      <c r="BS136" s="709"/>
      <c r="BT136" s="709"/>
      <c r="BU136" s="709"/>
      <c r="BV136" s="709"/>
      <c r="BW136" s="709"/>
      <c r="BX136" s="709"/>
      <c r="BY136" s="709"/>
      <c r="BZ136" s="709"/>
      <c r="CA136" s="709"/>
      <c r="CB136" s="709"/>
      <c r="CC136" s="709"/>
      <c r="CD136" s="709"/>
      <c r="CE136" s="709"/>
      <c r="CF136" s="709"/>
      <c r="CG136" s="709"/>
      <c r="CH136" s="709"/>
      <c r="CI136" s="709"/>
      <c r="CJ136" s="709"/>
      <c r="CK136" s="709"/>
      <c r="CL136" s="709"/>
      <c r="CM136" s="709"/>
      <c r="CN136" s="709"/>
      <c r="CO136" s="709"/>
      <c r="CP136" s="709"/>
      <c r="CQ136" s="709"/>
      <c r="CR136" s="709"/>
      <c r="CS136" s="709"/>
      <c r="CT136" s="709"/>
      <c r="CU136" s="709"/>
      <c r="CV136" s="709"/>
      <c r="CW136" s="709"/>
      <c r="CX136" s="709"/>
      <c r="CY136" s="709"/>
      <c r="CZ136" s="709"/>
      <c r="DA136" s="709"/>
      <c r="DB136" s="709"/>
      <c r="DC136" s="709"/>
      <c r="DD136" s="709"/>
      <c r="DE136" s="709"/>
      <c r="DF136" s="709"/>
      <c r="DG136" s="709"/>
      <c r="DH136" s="709"/>
      <c r="DI136" s="709"/>
      <c r="DJ136" s="709"/>
      <c r="DK136" s="709"/>
      <c r="DL136" s="709"/>
      <c r="DM136" s="709"/>
      <c r="DN136" s="709"/>
      <c r="DO136" s="709"/>
      <c r="DP136" s="709"/>
      <c r="DQ136" s="709"/>
      <c r="DR136" s="709"/>
      <c r="DS136" s="709"/>
      <c r="DT136" s="709"/>
      <c r="DU136" s="709"/>
      <c r="DV136" s="709"/>
      <c r="DW136" s="709"/>
      <c r="DX136" s="709"/>
      <c r="DY136" s="709"/>
      <c r="DZ136" s="709"/>
      <c r="EA136" s="709"/>
      <c r="EB136" s="709"/>
      <c r="EC136" s="709"/>
      <c r="ED136" s="709"/>
      <c r="EE136" s="709"/>
      <c r="EF136" s="709"/>
      <c r="EG136" s="709"/>
      <c r="EH136" s="709"/>
      <c r="EI136" s="709"/>
      <c r="EJ136" s="709"/>
      <c r="EK136" s="709"/>
      <c r="EL136" s="709"/>
      <c r="EM136" s="709"/>
      <c r="EN136" s="709"/>
      <c r="EO136" s="709"/>
      <c r="EP136" s="709"/>
      <c r="EQ136" s="709"/>
      <c r="ER136" s="709"/>
      <c r="ES136" s="709"/>
      <c r="ET136" s="709"/>
      <c r="EU136" s="709"/>
      <c r="EV136" s="709"/>
      <c r="EW136" s="709"/>
      <c r="EX136" s="709"/>
      <c r="EY136" s="709"/>
      <c r="EZ136" s="709"/>
      <c r="FA136" s="709"/>
      <c r="FB136" s="709"/>
      <c r="FC136" s="709"/>
      <c r="FD136" s="709"/>
      <c r="FE136" s="709"/>
      <c r="FF136" s="709"/>
      <c r="FG136" s="709"/>
      <c r="FH136" s="709"/>
      <c r="FI136" s="709"/>
      <c r="FJ136" s="709"/>
      <c r="FK136" s="709"/>
      <c r="FL136" s="709"/>
      <c r="FM136" s="709"/>
      <c r="FN136" s="709"/>
      <c r="FO136" s="709"/>
      <c r="FP136" s="709"/>
      <c r="FQ136" s="709"/>
      <c r="FR136" s="709"/>
      <c r="FS136" s="709"/>
      <c r="FT136" s="709"/>
      <c r="FU136" s="709"/>
      <c r="FV136" s="709"/>
      <c r="FW136" s="709"/>
      <c r="FX136" s="709"/>
      <c r="FY136" s="709"/>
      <c r="FZ136" s="709"/>
      <c r="GA136" s="709"/>
      <c r="GB136" s="709"/>
      <c r="GC136" s="709"/>
      <c r="GD136" s="709"/>
      <c r="GE136" s="709"/>
      <c r="GF136" s="709"/>
      <c r="GG136" s="709"/>
      <c r="GH136" s="709"/>
      <c r="GI136" s="709"/>
      <c r="GJ136" s="709"/>
      <c r="GK136" s="709"/>
      <c r="GL136" s="709"/>
      <c r="GM136" s="709"/>
      <c r="GN136" s="709"/>
      <c r="GO136" s="709"/>
      <c r="GP136" s="709"/>
      <c r="GQ136" s="709"/>
      <c r="GR136" s="709"/>
      <c r="GS136" s="709"/>
      <c r="GT136" s="709"/>
      <c r="GU136" s="709"/>
      <c r="GV136" s="709"/>
      <c r="GW136" s="709"/>
      <c r="GX136" s="709"/>
      <c r="GY136" s="709"/>
      <c r="GZ136" s="709"/>
      <c r="HA136" s="709"/>
      <c r="HB136" s="709"/>
      <c r="HC136" s="709"/>
      <c r="HD136" s="709"/>
      <c r="HE136" s="709"/>
      <c r="HF136" s="709"/>
      <c r="HG136" s="709"/>
      <c r="HH136" s="709"/>
      <c r="HI136" s="709"/>
      <c r="HJ136" s="709"/>
      <c r="HK136" s="709"/>
      <c r="HL136" s="709"/>
      <c r="HM136" s="709"/>
      <c r="HN136" s="709"/>
      <c r="HO136" s="709"/>
      <c r="HP136" s="709"/>
      <c r="HQ136" s="709"/>
      <c r="HR136" s="709"/>
      <c r="HS136" s="709"/>
      <c r="HT136" s="709"/>
      <c r="HU136" s="709"/>
      <c r="HV136" s="709"/>
      <c r="HW136" s="709"/>
      <c r="HX136" s="709"/>
      <c r="HY136" s="709"/>
      <c r="HZ136" s="709"/>
      <c r="IA136" s="709"/>
      <c r="IB136" s="709"/>
      <c r="IC136" s="709"/>
      <c r="ID136" s="709"/>
      <c r="IE136" s="709"/>
      <c r="IF136" s="709"/>
      <c r="IG136" s="709"/>
      <c r="IH136" s="709"/>
      <c r="II136" s="709"/>
      <c r="IJ136" s="709"/>
      <c r="IK136" s="709"/>
      <c r="IL136" s="709"/>
      <c r="IM136" s="709"/>
      <c r="IN136" s="709"/>
      <c r="IO136" s="709"/>
      <c r="IP136" s="709"/>
      <c r="IQ136" s="709"/>
      <c r="IR136" s="709"/>
      <c r="IS136" s="709"/>
      <c r="IT136" s="709"/>
      <c r="IU136" s="709"/>
      <c r="IV136" s="709"/>
    </row>
    <row r="137" spans="1:256" ht="15.75" hidden="1" customHeight="1">
      <c r="A137" s="706" t="s">
        <v>339</v>
      </c>
      <c r="B137" s="705">
        <v>20391810.199999999</v>
      </c>
      <c r="C137" s="706">
        <v>25494198.199999999</v>
      </c>
      <c r="D137" s="689"/>
      <c r="E137" s="706">
        <f t="shared" si="18"/>
        <v>-5102388</v>
      </c>
      <c r="F137" s="706">
        <v>5343927.3</v>
      </c>
      <c r="G137" s="706">
        <v>-179167.9</v>
      </c>
      <c r="H137" s="706">
        <f t="shared" si="19"/>
        <v>5164759.3999999994</v>
      </c>
      <c r="I137" s="693"/>
      <c r="J137" s="706">
        <v>0</v>
      </c>
      <c r="K137" s="706">
        <f t="shared" si="20"/>
        <v>5164759.3999999994</v>
      </c>
      <c r="L137" s="691"/>
      <c r="M137" s="709"/>
      <c r="N137" s="709"/>
      <c r="O137" s="709"/>
      <c r="P137" s="709"/>
      <c r="Q137" s="709"/>
      <c r="R137" s="709"/>
      <c r="S137" s="709"/>
      <c r="T137" s="709"/>
      <c r="U137" s="709"/>
      <c r="V137" s="709"/>
      <c r="W137" s="709"/>
      <c r="X137" s="709"/>
      <c r="Y137" s="709"/>
      <c r="Z137" s="709"/>
      <c r="AA137" s="709"/>
      <c r="AB137" s="709"/>
      <c r="AC137" s="709"/>
      <c r="AD137" s="709"/>
      <c r="AE137" s="709"/>
      <c r="AF137" s="709"/>
      <c r="AG137" s="709"/>
      <c r="AH137" s="709"/>
      <c r="AI137" s="709"/>
      <c r="AJ137" s="709"/>
      <c r="AK137" s="709"/>
      <c r="AL137" s="709"/>
      <c r="AM137" s="709"/>
      <c r="AN137" s="709"/>
      <c r="AO137" s="709"/>
      <c r="AP137" s="709"/>
      <c r="AQ137" s="709"/>
      <c r="AR137" s="709"/>
      <c r="AS137" s="709"/>
      <c r="AT137" s="709"/>
      <c r="AU137" s="709"/>
      <c r="AV137" s="709"/>
      <c r="AW137" s="709"/>
      <c r="AX137" s="709"/>
      <c r="AY137" s="709"/>
      <c r="AZ137" s="709"/>
      <c r="BA137" s="709"/>
      <c r="BB137" s="709"/>
      <c r="BC137" s="709"/>
      <c r="BD137" s="709"/>
      <c r="BE137" s="709"/>
      <c r="BF137" s="709"/>
      <c r="BG137" s="709"/>
      <c r="BH137" s="709"/>
      <c r="BI137" s="709"/>
      <c r="BJ137" s="709"/>
      <c r="BK137" s="709"/>
      <c r="BL137" s="709"/>
      <c r="BM137" s="709"/>
      <c r="BN137" s="709"/>
      <c r="BO137" s="709"/>
      <c r="BP137" s="709"/>
      <c r="BQ137" s="709"/>
      <c r="BR137" s="709"/>
      <c r="BS137" s="709"/>
      <c r="BT137" s="709"/>
      <c r="BU137" s="709"/>
      <c r="BV137" s="709"/>
      <c r="BW137" s="709"/>
      <c r="BX137" s="709"/>
      <c r="BY137" s="709"/>
      <c r="BZ137" s="709"/>
      <c r="CA137" s="709"/>
      <c r="CB137" s="709"/>
      <c r="CC137" s="709"/>
      <c r="CD137" s="709"/>
      <c r="CE137" s="709"/>
      <c r="CF137" s="709"/>
      <c r="CG137" s="709"/>
      <c r="CH137" s="709"/>
      <c r="CI137" s="709"/>
      <c r="CJ137" s="709"/>
      <c r="CK137" s="709"/>
      <c r="CL137" s="709"/>
      <c r="CM137" s="709"/>
      <c r="CN137" s="709"/>
      <c r="CO137" s="709"/>
      <c r="CP137" s="709"/>
      <c r="CQ137" s="709"/>
      <c r="CR137" s="709"/>
      <c r="CS137" s="709"/>
      <c r="CT137" s="709"/>
      <c r="CU137" s="709"/>
      <c r="CV137" s="709"/>
      <c r="CW137" s="709"/>
      <c r="CX137" s="709"/>
      <c r="CY137" s="709"/>
      <c r="CZ137" s="709"/>
      <c r="DA137" s="709"/>
      <c r="DB137" s="709"/>
      <c r="DC137" s="709"/>
      <c r="DD137" s="709"/>
      <c r="DE137" s="709"/>
      <c r="DF137" s="709"/>
      <c r="DG137" s="709"/>
      <c r="DH137" s="709"/>
      <c r="DI137" s="709"/>
      <c r="DJ137" s="709"/>
      <c r="DK137" s="709"/>
      <c r="DL137" s="709"/>
      <c r="DM137" s="709"/>
      <c r="DN137" s="709"/>
      <c r="DO137" s="709"/>
      <c r="DP137" s="709"/>
      <c r="DQ137" s="709"/>
      <c r="DR137" s="709"/>
      <c r="DS137" s="709"/>
      <c r="DT137" s="709"/>
      <c r="DU137" s="709"/>
      <c r="DV137" s="709"/>
      <c r="DW137" s="709"/>
      <c r="DX137" s="709"/>
      <c r="DY137" s="709"/>
      <c r="DZ137" s="709"/>
      <c r="EA137" s="709"/>
      <c r="EB137" s="709"/>
      <c r="EC137" s="709"/>
      <c r="ED137" s="709"/>
      <c r="EE137" s="709"/>
      <c r="EF137" s="709"/>
      <c r="EG137" s="709"/>
      <c r="EH137" s="709"/>
      <c r="EI137" s="709"/>
      <c r="EJ137" s="709"/>
      <c r="EK137" s="709"/>
      <c r="EL137" s="709"/>
      <c r="EM137" s="709"/>
      <c r="EN137" s="709"/>
      <c r="EO137" s="709"/>
      <c r="EP137" s="709"/>
      <c r="EQ137" s="709"/>
      <c r="ER137" s="709"/>
      <c r="ES137" s="709"/>
      <c r="ET137" s="709"/>
      <c r="EU137" s="709"/>
      <c r="EV137" s="709"/>
      <c r="EW137" s="709"/>
      <c r="EX137" s="709"/>
      <c r="EY137" s="709"/>
      <c r="EZ137" s="709"/>
      <c r="FA137" s="709"/>
      <c r="FB137" s="709"/>
      <c r="FC137" s="709"/>
      <c r="FD137" s="709"/>
      <c r="FE137" s="709"/>
      <c r="FF137" s="709"/>
      <c r="FG137" s="709"/>
      <c r="FH137" s="709"/>
      <c r="FI137" s="709"/>
      <c r="FJ137" s="709"/>
      <c r="FK137" s="709"/>
      <c r="FL137" s="709"/>
      <c r="FM137" s="709"/>
      <c r="FN137" s="709"/>
      <c r="FO137" s="709"/>
      <c r="FP137" s="709"/>
      <c r="FQ137" s="709"/>
      <c r="FR137" s="709"/>
      <c r="FS137" s="709"/>
      <c r="FT137" s="709"/>
      <c r="FU137" s="709"/>
      <c r="FV137" s="709"/>
      <c r="FW137" s="709"/>
      <c r="FX137" s="709"/>
      <c r="FY137" s="709"/>
      <c r="FZ137" s="709"/>
      <c r="GA137" s="709"/>
      <c r="GB137" s="709"/>
      <c r="GC137" s="709"/>
      <c r="GD137" s="709"/>
      <c r="GE137" s="709"/>
      <c r="GF137" s="709"/>
      <c r="GG137" s="709"/>
      <c r="GH137" s="709"/>
      <c r="GI137" s="709"/>
      <c r="GJ137" s="709"/>
      <c r="GK137" s="709"/>
      <c r="GL137" s="709"/>
      <c r="GM137" s="709"/>
      <c r="GN137" s="709"/>
      <c r="GO137" s="709"/>
      <c r="GP137" s="709"/>
      <c r="GQ137" s="709"/>
      <c r="GR137" s="709"/>
      <c r="GS137" s="709"/>
      <c r="GT137" s="709"/>
      <c r="GU137" s="709"/>
      <c r="GV137" s="709"/>
      <c r="GW137" s="709"/>
      <c r="GX137" s="709"/>
      <c r="GY137" s="709"/>
      <c r="GZ137" s="709"/>
      <c r="HA137" s="709"/>
      <c r="HB137" s="709"/>
      <c r="HC137" s="709"/>
      <c r="HD137" s="709"/>
      <c r="HE137" s="709"/>
      <c r="HF137" s="709"/>
      <c r="HG137" s="709"/>
      <c r="HH137" s="709"/>
      <c r="HI137" s="709"/>
      <c r="HJ137" s="709"/>
      <c r="HK137" s="709"/>
      <c r="HL137" s="709"/>
      <c r="HM137" s="709"/>
      <c r="HN137" s="709"/>
      <c r="HO137" s="709"/>
      <c r="HP137" s="709"/>
      <c r="HQ137" s="709"/>
      <c r="HR137" s="709"/>
      <c r="HS137" s="709"/>
      <c r="HT137" s="709"/>
      <c r="HU137" s="709"/>
      <c r="HV137" s="709"/>
      <c r="HW137" s="709"/>
      <c r="HX137" s="709"/>
      <c r="HY137" s="709"/>
      <c r="HZ137" s="709"/>
      <c r="IA137" s="709"/>
      <c r="IB137" s="709"/>
      <c r="IC137" s="709"/>
      <c r="ID137" s="709"/>
      <c r="IE137" s="709"/>
      <c r="IF137" s="709"/>
      <c r="IG137" s="709"/>
      <c r="IH137" s="709"/>
      <c r="II137" s="709"/>
      <c r="IJ137" s="709"/>
      <c r="IK137" s="709"/>
      <c r="IL137" s="709"/>
      <c r="IM137" s="709"/>
      <c r="IN137" s="709"/>
      <c r="IO137" s="709"/>
      <c r="IP137" s="709"/>
      <c r="IQ137" s="709"/>
      <c r="IR137" s="709"/>
      <c r="IS137" s="709"/>
      <c r="IT137" s="709"/>
      <c r="IU137" s="709"/>
      <c r="IV137" s="709"/>
    </row>
    <row r="138" spans="1:256" ht="15.75" hidden="1" customHeight="1">
      <c r="A138" s="706" t="s">
        <v>340</v>
      </c>
      <c r="B138" s="705">
        <v>30016271.899999999</v>
      </c>
      <c r="C138" s="706">
        <v>27975882.5</v>
      </c>
      <c r="D138" s="689"/>
      <c r="E138" s="706">
        <f t="shared" si="18"/>
        <v>2040389.3999999985</v>
      </c>
      <c r="F138" s="706">
        <v>7943799.0999999996</v>
      </c>
      <c r="G138" s="706">
        <f>-9984198.5+9.9</f>
        <v>-9984188.5999999996</v>
      </c>
      <c r="H138" s="706">
        <f t="shared" si="19"/>
        <v>-2040389.5</v>
      </c>
      <c r="I138" s="693"/>
      <c r="J138" s="706">
        <v>0</v>
      </c>
      <c r="K138" s="706">
        <f t="shared" si="20"/>
        <v>-2040389.5</v>
      </c>
      <c r="L138" s="691"/>
      <c r="M138" s="709"/>
      <c r="N138" s="709"/>
      <c r="O138" s="709"/>
      <c r="P138" s="709"/>
      <c r="Q138" s="709"/>
      <c r="R138" s="709"/>
      <c r="S138" s="709"/>
      <c r="T138" s="709"/>
      <c r="U138" s="709"/>
      <c r="V138" s="709"/>
      <c r="W138" s="709"/>
      <c r="X138" s="709"/>
      <c r="Y138" s="709"/>
      <c r="Z138" s="709"/>
      <c r="AA138" s="709"/>
      <c r="AB138" s="709"/>
      <c r="AC138" s="709"/>
      <c r="AD138" s="709"/>
      <c r="AE138" s="709"/>
      <c r="AF138" s="709"/>
      <c r="AG138" s="709"/>
      <c r="AH138" s="709"/>
      <c r="AI138" s="709"/>
      <c r="AJ138" s="709"/>
      <c r="AK138" s="709"/>
      <c r="AL138" s="709"/>
      <c r="AM138" s="709"/>
      <c r="AN138" s="709"/>
      <c r="AO138" s="709"/>
      <c r="AP138" s="709"/>
      <c r="AQ138" s="709"/>
      <c r="AR138" s="709"/>
      <c r="AS138" s="709"/>
      <c r="AT138" s="709"/>
      <c r="AU138" s="709"/>
      <c r="AV138" s="709"/>
      <c r="AW138" s="709"/>
      <c r="AX138" s="709"/>
      <c r="AY138" s="709"/>
      <c r="AZ138" s="709"/>
      <c r="BA138" s="709"/>
      <c r="BB138" s="709"/>
      <c r="BC138" s="709"/>
      <c r="BD138" s="709"/>
      <c r="BE138" s="709"/>
      <c r="BF138" s="709"/>
      <c r="BG138" s="709"/>
      <c r="BH138" s="709"/>
      <c r="BI138" s="709"/>
      <c r="BJ138" s="709"/>
      <c r="BK138" s="709"/>
      <c r="BL138" s="709"/>
      <c r="BM138" s="709"/>
      <c r="BN138" s="709"/>
      <c r="BO138" s="709"/>
      <c r="BP138" s="709"/>
      <c r="BQ138" s="709"/>
      <c r="BR138" s="709"/>
      <c r="BS138" s="709"/>
      <c r="BT138" s="709"/>
      <c r="BU138" s="709"/>
      <c r="BV138" s="709"/>
      <c r="BW138" s="709"/>
      <c r="BX138" s="709"/>
      <c r="BY138" s="709"/>
      <c r="BZ138" s="709"/>
      <c r="CA138" s="709"/>
      <c r="CB138" s="709"/>
      <c r="CC138" s="709"/>
      <c r="CD138" s="709"/>
      <c r="CE138" s="709"/>
      <c r="CF138" s="709"/>
      <c r="CG138" s="709"/>
      <c r="CH138" s="709"/>
      <c r="CI138" s="709"/>
      <c r="CJ138" s="709"/>
      <c r="CK138" s="709"/>
      <c r="CL138" s="709"/>
      <c r="CM138" s="709"/>
      <c r="CN138" s="709"/>
      <c r="CO138" s="709"/>
      <c r="CP138" s="709"/>
      <c r="CQ138" s="709"/>
      <c r="CR138" s="709"/>
      <c r="CS138" s="709"/>
      <c r="CT138" s="709"/>
      <c r="CU138" s="709"/>
      <c r="CV138" s="709"/>
      <c r="CW138" s="709"/>
      <c r="CX138" s="709"/>
      <c r="CY138" s="709"/>
      <c r="CZ138" s="709"/>
      <c r="DA138" s="709"/>
      <c r="DB138" s="709"/>
      <c r="DC138" s="709"/>
      <c r="DD138" s="709"/>
      <c r="DE138" s="709"/>
      <c r="DF138" s="709"/>
      <c r="DG138" s="709"/>
      <c r="DH138" s="709"/>
      <c r="DI138" s="709"/>
      <c r="DJ138" s="709"/>
      <c r="DK138" s="709"/>
      <c r="DL138" s="709"/>
      <c r="DM138" s="709"/>
      <c r="DN138" s="709"/>
      <c r="DO138" s="709"/>
      <c r="DP138" s="709"/>
      <c r="DQ138" s="709"/>
      <c r="DR138" s="709"/>
      <c r="DS138" s="709"/>
      <c r="DT138" s="709"/>
      <c r="DU138" s="709"/>
      <c r="DV138" s="709"/>
      <c r="DW138" s="709"/>
      <c r="DX138" s="709"/>
      <c r="DY138" s="709"/>
      <c r="DZ138" s="709"/>
      <c r="EA138" s="709"/>
      <c r="EB138" s="709"/>
      <c r="EC138" s="709"/>
      <c r="ED138" s="709"/>
      <c r="EE138" s="709"/>
      <c r="EF138" s="709"/>
      <c r="EG138" s="709"/>
      <c r="EH138" s="709"/>
      <c r="EI138" s="709"/>
      <c r="EJ138" s="709"/>
      <c r="EK138" s="709"/>
      <c r="EL138" s="709"/>
      <c r="EM138" s="709"/>
      <c r="EN138" s="709"/>
      <c r="EO138" s="709"/>
      <c r="EP138" s="709"/>
      <c r="EQ138" s="709"/>
      <c r="ER138" s="709"/>
      <c r="ES138" s="709"/>
      <c r="ET138" s="709"/>
      <c r="EU138" s="709"/>
      <c r="EV138" s="709"/>
      <c r="EW138" s="709"/>
      <c r="EX138" s="709"/>
      <c r="EY138" s="709"/>
      <c r="EZ138" s="709"/>
      <c r="FA138" s="709"/>
      <c r="FB138" s="709"/>
      <c r="FC138" s="709"/>
      <c r="FD138" s="709"/>
      <c r="FE138" s="709"/>
      <c r="FF138" s="709"/>
      <c r="FG138" s="709"/>
      <c r="FH138" s="709"/>
      <c r="FI138" s="709"/>
      <c r="FJ138" s="709"/>
      <c r="FK138" s="709"/>
      <c r="FL138" s="709"/>
      <c r="FM138" s="709"/>
      <c r="FN138" s="709"/>
      <c r="FO138" s="709"/>
      <c r="FP138" s="709"/>
      <c r="FQ138" s="709"/>
      <c r="FR138" s="709"/>
      <c r="FS138" s="709"/>
      <c r="FT138" s="709"/>
      <c r="FU138" s="709"/>
      <c r="FV138" s="709"/>
      <c r="FW138" s="709"/>
      <c r="FX138" s="709"/>
      <c r="FY138" s="709"/>
      <c r="FZ138" s="709"/>
      <c r="GA138" s="709"/>
      <c r="GB138" s="709"/>
      <c r="GC138" s="709"/>
      <c r="GD138" s="709"/>
      <c r="GE138" s="709"/>
      <c r="GF138" s="709"/>
      <c r="GG138" s="709"/>
      <c r="GH138" s="709"/>
      <c r="GI138" s="709"/>
      <c r="GJ138" s="709"/>
      <c r="GK138" s="709"/>
      <c r="GL138" s="709"/>
      <c r="GM138" s="709"/>
      <c r="GN138" s="709"/>
      <c r="GO138" s="709"/>
      <c r="GP138" s="709"/>
      <c r="GQ138" s="709"/>
      <c r="GR138" s="709"/>
      <c r="GS138" s="709"/>
      <c r="GT138" s="709"/>
      <c r="GU138" s="709"/>
      <c r="GV138" s="709"/>
      <c r="GW138" s="709"/>
      <c r="GX138" s="709"/>
      <c r="GY138" s="709"/>
      <c r="GZ138" s="709"/>
      <c r="HA138" s="709"/>
      <c r="HB138" s="709"/>
      <c r="HC138" s="709"/>
      <c r="HD138" s="709"/>
      <c r="HE138" s="709"/>
      <c r="HF138" s="709"/>
      <c r="HG138" s="709"/>
      <c r="HH138" s="709"/>
      <c r="HI138" s="709"/>
      <c r="HJ138" s="709"/>
      <c r="HK138" s="709"/>
      <c r="HL138" s="709"/>
      <c r="HM138" s="709"/>
      <c r="HN138" s="709"/>
      <c r="HO138" s="709"/>
      <c r="HP138" s="709"/>
      <c r="HQ138" s="709"/>
      <c r="HR138" s="709"/>
      <c r="HS138" s="709"/>
      <c r="HT138" s="709"/>
      <c r="HU138" s="709"/>
      <c r="HV138" s="709"/>
      <c r="HW138" s="709"/>
      <c r="HX138" s="709"/>
      <c r="HY138" s="709"/>
      <c r="HZ138" s="709"/>
      <c r="IA138" s="709"/>
      <c r="IB138" s="709"/>
      <c r="IC138" s="709"/>
      <c r="ID138" s="709"/>
      <c r="IE138" s="709"/>
      <c r="IF138" s="709"/>
      <c r="IG138" s="709"/>
      <c r="IH138" s="709"/>
      <c r="II138" s="709"/>
      <c r="IJ138" s="709"/>
      <c r="IK138" s="709"/>
      <c r="IL138" s="709"/>
      <c r="IM138" s="709"/>
      <c r="IN138" s="709"/>
      <c r="IO138" s="709"/>
      <c r="IP138" s="709"/>
      <c r="IQ138" s="709"/>
      <c r="IR138" s="709"/>
      <c r="IS138" s="709"/>
      <c r="IT138" s="709"/>
      <c r="IU138" s="709"/>
      <c r="IV138" s="709"/>
    </row>
    <row r="139" spans="1:256" ht="15.75" hidden="1" customHeight="1">
      <c r="A139" s="706" t="s">
        <v>341</v>
      </c>
      <c r="B139" s="705">
        <v>47375016.5</v>
      </c>
      <c r="C139" s="706">
        <v>24647493.399999999</v>
      </c>
      <c r="D139" s="689"/>
      <c r="E139" s="706">
        <f t="shared" si="18"/>
        <v>22727523.100000001</v>
      </c>
      <c r="F139" s="706">
        <v>-45055908.5</v>
      </c>
      <c r="G139" s="706">
        <v>-3882438.7</v>
      </c>
      <c r="H139" s="706">
        <f t="shared" si="19"/>
        <v>-48938347.200000003</v>
      </c>
      <c r="I139" s="693"/>
      <c r="J139" s="706">
        <v>0</v>
      </c>
      <c r="K139" s="706">
        <f t="shared" si="20"/>
        <v>-48938347.200000003</v>
      </c>
      <c r="L139" s="691"/>
      <c r="M139" s="709"/>
      <c r="N139" s="709"/>
      <c r="O139" s="709"/>
      <c r="P139" s="709"/>
      <c r="Q139" s="709"/>
      <c r="R139" s="709"/>
      <c r="S139" s="709"/>
      <c r="T139" s="709"/>
      <c r="U139" s="709"/>
      <c r="V139" s="709"/>
      <c r="W139" s="709"/>
      <c r="X139" s="709"/>
      <c r="Y139" s="709"/>
      <c r="Z139" s="709"/>
      <c r="AA139" s="709"/>
      <c r="AB139" s="709"/>
      <c r="AC139" s="709"/>
      <c r="AD139" s="709"/>
      <c r="AE139" s="709"/>
      <c r="AF139" s="709"/>
      <c r="AG139" s="709"/>
      <c r="AH139" s="709"/>
      <c r="AI139" s="709"/>
      <c r="AJ139" s="709"/>
      <c r="AK139" s="709"/>
      <c r="AL139" s="709"/>
      <c r="AM139" s="709"/>
      <c r="AN139" s="709"/>
      <c r="AO139" s="709"/>
      <c r="AP139" s="709"/>
      <c r="AQ139" s="709"/>
      <c r="AR139" s="709"/>
      <c r="AS139" s="709"/>
      <c r="AT139" s="709"/>
      <c r="AU139" s="709"/>
      <c r="AV139" s="709"/>
      <c r="AW139" s="709"/>
      <c r="AX139" s="709"/>
      <c r="AY139" s="709"/>
      <c r="AZ139" s="709"/>
      <c r="BA139" s="709"/>
      <c r="BB139" s="709"/>
      <c r="BC139" s="709"/>
      <c r="BD139" s="709"/>
      <c r="BE139" s="709"/>
      <c r="BF139" s="709"/>
      <c r="BG139" s="709"/>
      <c r="BH139" s="709"/>
      <c r="BI139" s="709"/>
      <c r="BJ139" s="709"/>
      <c r="BK139" s="709"/>
      <c r="BL139" s="709"/>
      <c r="BM139" s="709"/>
      <c r="BN139" s="709"/>
      <c r="BO139" s="709"/>
      <c r="BP139" s="709"/>
      <c r="BQ139" s="709"/>
      <c r="BR139" s="709"/>
      <c r="BS139" s="709"/>
      <c r="BT139" s="709"/>
      <c r="BU139" s="709"/>
      <c r="BV139" s="709"/>
      <c r="BW139" s="709"/>
      <c r="BX139" s="709"/>
      <c r="BY139" s="709"/>
      <c r="BZ139" s="709"/>
      <c r="CA139" s="709"/>
      <c r="CB139" s="709"/>
      <c r="CC139" s="709"/>
      <c r="CD139" s="709"/>
      <c r="CE139" s="709"/>
      <c r="CF139" s="709"/>
      <c r="CG139" s="709"/>
      <c r="CH139" s="709"/>
      <c r="CI139" s="709"/>
      <c r="CJ139" s="709"/>
      <c r="CK139" s="709"/>
      <c r="CL139" s="709"/>
      <c r="CM139" s="709"/>
      <c r="CN139" s="709"/>
      <c r="CO139" s="709"/>
      <c r="CP139" s="709"/>
      <c r="CQ139" s="709"/>
      <c r="CR139" s="709"/>
      <c r="CS139" s="709"/>
      <c r="CT139" s="709"/>
      <c r="CU139" s="709"/>
      <c r="CV139" s="709"/>
      <c r="CW139" s="709"/>
      <c r="CX139" s="709"/>
      <c r="CY139" s="709"/>
      <c r="CZ139" s="709"/>
      <c r="DA139" s="709"/>
      <c r="DB139" s="709"/>
      <c r="DC139" s="709"/>
      <c r="DD139" s="709"/>
      <c r="DE139" s="709"/>
      <c r="DF139" s="709"/>
      <c r="DG139" s="709"/>
      <c r="DH139" s="709"/>
      <c r="DI139" s="709"/>
      <c r="DJ139" s="709"/>
      <c r="DK139" s="709"/>
      <c r="DL139" s="709"/>
      <c r="DM139" s="709"/>
      <c r="DN139" s="709"/>
      <c r="DO139" s="709"/>
      <c r="DP139" s="709"/>
      <c r="DQ139" s="709"/>
      <c r="DR139" s="709"/>
      <c r="DS139" s="709"/>
      <c r="DT139" s="709"/>
      <c r="DU139" s="709"/>
      <c r="DV139" s="709"/>
      <c r="DW139" s="709"/>
      <c r="DX139" s="709"/>
      <c r="DY139" s="709"/>
      <c r="DZ139" s="709"/>
      <c r="EA139" s="709"/>
      <c r="EB139" s="709"/>
      <c r="EC139" s="709"/>
      <c r="ED139" s="709"/>
      <c r="EE139" s="709"/>
      <c r="EF139" s="709"/>
      <c r="EG139" s="709"/>
      <c r="EH139" s="709"/>
      <c r="EI139" s="709"/>
      <c r="EJ139" s="709"/>
      <c r="EK139" s="709"/>
      <c r="EL139" s="709"/>
      <c r="EM139" s="709"/>
      <c r="EN139" s="709"/>
      <c r="EO139" s="709"/>
      <c r="EP139" s="709"/>
      <c r="EQ139" s="709"/>
      <c r="ER139" s="709"/>
      <c r="ES139" s="709"/>
      <c r="ET139" s="709"/>
      <c r="EU139" s="709"/>
      <c r="EV139" s="709"/>
      <c r="EW139" s="709"/>
      <c r="EX139" s="709"/>
      <c r="EY139" s="709"/>
      <c r="EZ139" s="709"/>
      <c r="FA139" s="709"/>
      <c r="FB139" s="709"/>
      <c r="FC139" s="709"/>
      <c r="FD139" s="709"/>
      <c r="FE139" s="709"/>
      <c r="FF139" s="709"/>
      <c r="FG139" s="709"/>
      <c r="FH139" s="709"/>
      <c r="FI139" s="709"/>
      <c r="FJ139" s="709"/>
      <c r="FK139" s="709"/>
      <c r="FL139" s="709"/>
      <c r="FM139" s="709"/>
      <c r="FN139" s="709"/>
      <c r="FO139" s="709"/>
      <c r="FP139" s="709"/>
      <c r="FQ139" s="709"/>
      <c r="FR139" s="709"/>
      <c r="FS139" s="709"/>
      <c r="FT139" s="709"/>
      <c r="FU139" s="709"/>
      <c r="FV139" s="709"/>
      <c r="FW139" s="709"/>
      <c r="FX139" s="709"/>
      <c r="FY139" s="709"/>
      <c r="FZ139" s="709"/>
      <c r="GA139" s="709"/>
      <c r="GB139" s="709"/>
      <c r="GC139" s="709"/>
      <c r="GD139" s="709"/>
      <c r="GE139" s="709"/>
      <c r="GF139" s="709"/>
      <c r="GG139" s="709"/>
      <c r="GH139" s="709"/>
      <c r="GI139" s="709"/>
      <c r="GJ139" s="709"/>
      <c r="GK139" s="709"/>
      <c r="GL139" s="709"/>
      <c r="GM139" s="709"/>
      <c r="GN139" s="709"/>
      <c r="GO139" s="709"/>
      <c r="GP139" s="709"/>
      <c r="GQ139" s="709"/>
      <c r="GR139" s="709"/>
      <c r="GS139" s="709"/>
      <c r="GT139" s="709"/>
      <c r="GU139" s="709"/>
      <c r="GV139" s="709"/>
      <c r="GW139" s="709"/>
      <c r="GX139" s="709"/>
      <c r="GY139" s="709"/>
      <c r="GZ139" s="709"/>
      <c r="HA139" s="709"/>
      <c r="HB139" s="709"/>
      <c r="HC139" s="709"/>
      <c r="HD139" s="709"/>
      <c r="HE139" s="709"/>
      <c r="HF139" s="709"/>
      <c r="HG139" s="709"/>
      <c r="HH139" s="709"/>
      <c r="HI139" s="709"/>
      <c r="HJ139" s="709"/>
      <c r="HK139" s="709"/>
      <c r="HL139" s="709"/>
      <c r="HM139" s="709"/>
      <c r="HN139" s="709"/>
      <c r="HO139" s="709"/>
      <c r="HP139" s="709"/>
      <c r="HQ139" s="709"/>
      <c r="HR139" s="709"/>
      <c r="HS139" s="709"/>
      <c r="HT139" s="709"/>
      <c r="HU139" s="709"/>
      <c r="HV139" s="709"/>
      <c r="HW139" s="709"/>
      <c r="HX139" s="709"/>
      <c r="HY139" s="709"/>
      <c r="HZ139" s="709"/>
      <c r="IA139" s="709"/>
      <c r="IB139" s="709"/>
      <c r="IC139" s="709"/>
      <c r="ID139" s="709"/>
      <c r="IE139" s="709"/>
      <c r="IF139" s="709"/>
      <c r="IG139" s="709"/>
      <c r="IH139" s="709"/>
      <c r="II139" s="709"/>
      <c r="IJ139" s="709"/>
      <c r="IK139" s="709"/>
      <c r="IL139" s="709"/>
      <c r="IM139" s="709"/>
      <c r="IN139" s="709"/>
      <c r="IO139" s="709"/>
      <c r="IP139" s="709"/>
      <c r="IQ139" s="709"/>
      <c r="IR139" s="709"/>
      <c r="IS139" s="709"/>
      <c r="IT139" s="709"/>
      <c r="IU139" s="709"/>
      <c r="IV139" s="709"/>
    </row>
    <row r="140" spans="1:256" ht="15.75" hidden="1" customHeight="1">
      <c r="A140" s="706" t="s">
        <v>342</v>
      </c>
      <c r="B140" s="705">
        <v>56942023.399999999</v>
      </c>
      <c r="C140" s="706">
        <v>58820433.100000001</v>
      </c>
      <c r="D140" s="689"/>
      <c r="E140" s="706">
        <f t="shared" si="18"/>
        <v>-1878409.700000003</v>
      </c>
      <c r="F140" s="706">
        <v>10097489.800000001</v>
      </c>
      <c r="G140" s="706">
        <v>-8219080</v>
      </c>
      <c r="H140" s="706">
        <f t="shared" si="19"/>
        <v>1878409.8000000007</v>
      </c>
      <c r="I140" s="693"/>
      <c r="J140" s="706">
        <v>0</v>
      </c>
      <c r="K140" s="706">
        <f t="shared" si="20"/>
        <v>1878409.8000000007</v>
      </c>
      <c r="L140" s="691"/>
      <c r="M140" s="709"/>
      <c r="N140" s="709"/>
      <c r="O140" s="709"/>
      <c r="P140" s="709"/>
      <c r="Q140" s="709"/>
      <c r="R140" s="709"/>
      <c r="S140" s="709"/>
      <c r="T140" s="709"/>
      <c r="U140" s="709"/>
      <c r="V140" s="709"/>
      <c r="W140" s="709"/>
      <c r="X140" s="709"/>
      <c r="Y140" s="709"/>
      <c r="Z140" s="709"/>
      <c r="AA140" s="709"/>
      <c r="AB140" s="709"/>
      <c r="AC140" s="709"/>
      <c r="AD140" s="709"/>
      <c r="AE140" s="709"/>
      <c r="AF140" s="709"/>
      <c r="AG140" s="709"/>
      <c r="AH140" s="709"/>
      <c r="AI140" s="709"/>
      <c r="AJ140" s="709"/>
      <c r="AK140" s="709"/>
      <c r="AL140" s="709"/>
      <c r="AM140" s="709"/>
      <c r="AN140" s="709"/>
      <c r="AO140" s="709"/>
      <c r="AP140" s="709"/>
      <c r="AQ140" s="709"/>
      <c r="AR140" s="709"/>
      <c r="AS140" s="709"/>
      <c r="AT140" s="709"/>
      <c r="AU140" s="709"/>
      <c r="AV140" s="709"/>
      <c r="AW140" s="709"/>
      <c r="AX140" s="709"/>
      <c r="AY140" s="709"/>
      <c r="AZ140" s="709"/>
      <c r="BA140" s="709"/>
      <c r="BB140" s="709"/>
      <c r="BC140" s="709"/>
      <c r="BD140" s="709"/>
      <c r="BE140" s="709"/>
      <c r="BF140" s="709"/>
      <c r="BG140" s="709"/>
      <c r="BH140" s="709"/>
      <c r="BI140" s="709"/>
      <c r="BJ140" s="709"/>
      <c r="BK140" s="709"/>
      <c r="BL140" s="709"/>
      <c r="BM140" s="709"/>
      <c r="BN140" s="709"/>
      <c r="BO140" s="709"/>
      <c r="BP140" s="709"/>
      <c r="BQ140" s="709"/>
      <c r="BR140" s="709"/>
      <c r="BS140" s="709"/>
      <c r="BT140" s="709"/>
      <c r="BU140" s="709"/>
      <c r="BV140" s="709"/>
      <c r="BW140" s="709"/>
      <c r="BX140" s="709"/>
      <c r="BY140" s="709"/>
      <c r="BZ140" s="709"/>
      <c r="CA140" s="709"/>
      <c r="CB140" s="709"/>
      <c r="CC140" s="709"/>
      <c r="CD140" s="709"/>
      <c r="CE140" s="709"/>
      <c r="CF140" s="709"/>
      <c r="CG140" s="709"/>
      <c r="CH140" s="709"/>
      <c r="CI140" s="709"/>
      <c r="CJ140" s="709"/>
      <c r="CK140" s="709"/>
      <c r="CL140" s="709"/>
      <c r="CM140" s="709"/>
      <c r="CN140" s="709"/>
      <c r="CO140" s="709"/>
      <c r="CP140" s="709"/>
      <c r="CQ140" s="709"/>
      <c r="CR140" s="709"/>
      <c r="CS140" s="709"/>
      <c r="CT140" s="709"/>
      <c r="CU140" s="709"/>
      <c r="CV140" s="709"/>
      <c r="CW140" s="709"/>
      <c r="CX140" s="709"/>
      <c r="CY140" s="709"/>
      <c r="CZ140" s="709"/>
      <c r="DA140" s="709"/>
      <c r="DB140" s="709"/>
      <c r="DC140" s="709"/>
      <c r="DD140" s="709"/>
      <c r="DE140" s="709"/>
      <c r="DF140" s="709"/>
      <c r="DG140" s="709"/>
      <c r="DH140" s="709"/>
      <c r="DI140" s="709"/>
      <c r="DJ140" s="709"/>
      <c r="DK140" s="709"/>
      <c r="DL140" s="709"/>
      <c r="DM140" s="709"/>
      <c r="DN140" s="709"/>
      <c r="DO140" s="709"/>
      <c r="DP140" s="709"/>
      <c r="DQ140" s="709"/>
      <c r="DR140" s="709"/>
      <c r="DS140" s="709"/>
      <c r="DT140" s="709"/>
      <c r="DU140" s="709"/>
      <c r="DV140" s="709"/>
      <c r="DW140" s="709"/>
      <c r="DX140" s="709"/>
      <c r="DY140" s="709"/>
      <c r="DZ140" s="709"/>
      <c r="EA140" s="709"/>
      <c r="EB140" s="709"/>
      <c r="EC140" s="709"/>
      <c r="ED140" s="709"/>
      <c r="EE140" s="709"/>
      <c r="EF140" s="709"/>
      <c r="EG140" s="709"/>
      <c r="EH140" s="709"/>
      <c r="EI140" s="709"/>
      <c r="EJ140" s="709"/>
      <c r="EK140" s="709"/>
      <c r="EL140" s="709"/>
      <c r="EM140" s="709"/>
      <c r="EN140" s="709"/>
      <c r="EO140" s="709"/>
      <c r="EP140" s="709"/>
      <c r="EQ140" s="709"/>
      <c r="ER140" s="709"/>
      <c r="ES140" s="709"/>
      <c r="ET140" s="709"/>
      <c r="EU140" s="709"/>
      <c r="EV140" s="709"/>
      <c r="EW140" s="709"/>
      <c r="EX140" s="709"/>
      <c r="EY140" s="709"/>
      <c r="EZ140" s="709"/>
      <c r="FA140" s="709"/>
      <c r="FB140" s="709"/>
      <c r="FC140" s="709"/>
      <c r="FD140" s="709"/>
      <c r="FE140" s="709"/>
      <c r="FF140" s="709"/>
      <c r="FG140" s="709"/>
      <c r="FH140" s="709"/>
      <c r="FI140" s="709"/>
      <c r="FJ140" s="709"/>
      <c r="FK140" s="709"/>
      <c r="FL140" s="709"/>
      <c r="FM140" s="709"/>
      <c r="FN140" s="709"/>
      <c r="FO140" s="709"/>
      <c r="FP140" s="709"/>
      <c r="FQ140" s="709"/>
      <c r="FR140" s="709"/>
      <c r="FS140" s="709"/>
      <c r="FT140" s="709"/>
      <c r="FU140" s="709"/>
      <c r="FV140" s="709"/>
      <c r="FW140" s="709"/>
      <c r="FX140" s="709"/>
      <c r="FY140" s="709"/>
      <c r="FZ140" s="709"/>
      <c r="GA140" s="709"/>
      <c r="GB140" s="709"/>
      <c r="GC140" s="709"/>
      <c r="GD140" s="709"/>
      <c r="GE140" s="709"/>
      <c r="GF140" s="709"/>
      <c r="GG140" s="709"/>
      <c r="GH140" s="709"/>
      <c r="GI140" s="709"/>
      <c r="GJ140" s="709"/>
      <c r="GK140" s="709"/>
      <c r="GL140" s="709"/>
      <c r="GM140" s="709"/>
      <c r="GN140" s="709"/>
      <c r="GO140" s="709"/>
      <c r="GP140" s="709"/>
      <c r="GQ140" s="709"/>
      <c r="GR140" s="709"/>
      <c r="GS140" s="709"/>
      <c r="GT140" s="709"/>
      <c r="GU140" s="709"/>
      <c r="GV140" s="709"/>
      <c r="GW140" s="709"/>
      <c r="GX140" s="709"/>
      <c r="GY140" s="709"/>
      <c r="GZ140" s="709"/>
      <c r="HA140" s="709"/>
      <c r="HB140" s="709"/>
      <c r="HC140" s="709"/>
      <c r="HD140" s="709"/>
      <c r="HE140" s="709"/>
      <c r="HF140" s="709"/>
      <c r="HG140" s="709"/>
      <c r="HH140" s="709"/>
      <c r="HI140" s="709"/>
      <c r="HJ140" s="709"/>
      <c r="HK140" s="709"/>
      <c r="HL140" s="709"/>
      <c r="HM140" s="709"/>
      <c r="HN140" s="709"/>
      <c r="HO140" s="709"/>
      <c r="HP140" s="709"/>
      <c r="HQ140" s="709"/>
      <c r="HR140" s="709"/>
      <c r="HS140" s="709"/>
      <c r="HT140" s="709"/>
      <c r="HU140" s="709"/>
      <c r="HV140" s="709"/>
      <c r="HW140" s="709"/>
      <c r="HX140" s="709"/>
      <c r="HY140" s="709"/>
      <c r="HZ140" s="709"/>
      <c r="IA140" s="709"/>
      <c r="IB140" s="709"/>
      <c r="IC140" s="709"/>
      <c r="ID140" s="709"/>
      <c r="IE140" s="709"/>
      <c r="IF140" s="709"/>
      <c r="IG140" s="709"/>
      <c r="IH140" s="709"/>
      <c r="II140" s="709"/>
      <c r="IJ140" s="709"/>
      <c r="IK140" s="709"/>
      <c r="IL140" s="709"/>
      <c r="IM140" s="709"/>
      <c r="IN140" s="709"/>
      <c r="IO140" s="709"/>
      <c r="IP140" s="709"/>
      <c r="IQ140" s="709"/>
      <c r="IR140" s="709"/>
      <c r="IS140" s="709"/>
      <c r="IT140" s="709"/>
      <c r="IU140" s="709"/>
      <c r="IV140" s="709"/>
    </row>
    <row r="141" spans="1:256" ht="15.75" hidden="1" customHeight="1">
      <c r="A141" s="706" t="s">
        <v>343</v>
      </c>
      <c r="B141" s="705">
        <v>72745298</v>
      </c>
      <c r="C141" s="706">
        <v>107306966.40000001</v>
      </c>
      <c r="D141" s="689"/>
      <c r="E141" s="706">
        <f t="shared" si="18"/>
        <v>-34561668.400000006</v>
      </c>
      <c r="F141" s="706">
        <v>56165495.399999999</v>
      </c>
      <c r="G141" s="706">
        <v>-21602341.100000001</v>
      </c>
      <c r="H141" s="706">
        <f t="shared" si="19"/>
        <v>34563154.299999997</v>
      </c>
      <c r="I141" s="693"/>
      <c r="J141" s="706">
        <v>0</v>
      </c>
      <c r="K141" s="706">
        <f t="shared" si="20"/>
        <v>34563154.299999997</v>
      </c>
      <c r="L141" s="691"/>
      <c r="M141" s="709"/>
      <c r="N141" s="709"/>
      <c r="O141" s="709"/>
      <c r="P141" s="709"/>
      <c r="Q141" s="709"/>
      <c r="R141" s="709"/>
      <c r="S141" s="709"/>
      <c r="T141" s="709"/>
      <c r="U141" s="709"/>
      <c r="V141" s="709"/>
      <c r="W141" s="709"/>
      <c r="X141" s="709"/>
      <c r="Y141" s="709"/>
      <c r="Z141" s="709"/>
      <c r="AA141" s="709"/>
      <c r="AB141" s="709"/>
      <c r="AC141" s="709"/>
      <c r="AD141" s="709"/>
      <c r="AE141" s="709"/>
      <c r="AF141" s="709"/>
      <c r="AG141" s="709"/>
      <c r="AH141" s="709"/>
      <c r="AI141" s="709"/>
      <c r="AJ141" s="709"/>
      <c r="AK141" s="709"/>
      <c r="AL141" s="709"/>
      <c r="AM141" s="709"/>
      <c r="AN141" s="709"/>
      <c r="AO141" s="709"/>
      <c r="AP141" s="709"/>
      <c r="AQ141" s="709"/>
      <c r="AR141" s="709"/>
      <c r="AS141" s="709"/>
      <c r="AT141" s="709"/>
      <c r="AU141" s="709"/>
      <c r="AV141" s="709"/>
      <c r="AW141" s="709"/>
      <c r="AX141" s="709"/>
      <c r="AY141" s="709"/>
      <c r="AZ141" s="709"/>
      <c r="BA141" s="709"/>
      <c r="BB141" s="709"/>
      <c r="BC141" s="709"/>
      <c r="BD141" s="709"/>
      <c r="BE141" s="709"/>
      <c r="BF141" s="709"/>
      <c r="BG141" s="709"/>
      <c r="BH141" s="709"/>
      <c r="BI141" s="709"/>
      <c r="BJ141" s="709"/>
      <c r="BK141" s="709"/>
      <c r="BL141" s="709"/>
      <c r="BM141" s="709"/>
      <c r="BN141" s="709"/>
      <c r="BO141" s="709"/>
      <c r="BP141" s="709"/>
      <c r="BQ141" s="709"/>
      <c r="BR141" s="709"/>
      <c r="BS141" s="709"/>
      <c r="BT141" s="709"/>
      <c r="BU141" s="709"/>
      <c r="BV141" s="709"/>
      <c r="BW141" s="709"/>
      <c r="BX141" s="709"/>
      <c r="BY141" s="709"/>
      <c r="BZ141" s="709"/>
      <c r="CA141" s="709"/>
      <c r="CB141" s="709"/>
      <c r="CC141" s="709"/>
      <c r="CD141" s="709"/>
      <c r="CE141" s="709"/>
      <c r="CF141" s="709"/>
      <c r="CG141" s="709"/>
      <c r="CH141" s="709"/>
      <c r="CI141" s="709"/>
      <c r="CJ141" s="709"/>
      <c r="CK141" s="709"/>
      <c r="CL141" s="709"/>
      <c r="CM141" s="709"/>
      <c r="CN141" s="709"/>
      <c r="CO141" s="709"/>
      <c r="CP141" s="709"/>
      <c r="CQ141" s="709"/>
      <c r="CR141" s="709"/>
      <c r="CS141" s="709"/>
      <c r="CT141" s="709"/>
      <c r="CU141" s="709"/>
      <c r="CV141" s="709"/>
      <c r="CW141" s="709"/>
      <c r="CX141" s="709"/>
      <c r="CY141" s="709"/>
      <c r="CZ141" s="709"/>
      <c r="DA141" s="709"/>
      <c r="DB141" s="709"/>
      <c r="DC141" s="709"/>
      <c r="DD141" s="709"/>
      <c r="DE141" s="709"/>
      <c r="DF141" s="709"/>
      <c r="DG141" s="709"/>
      <c r="DH141" s="709"/>
      <c r="DI141" s="709"/>
      <c r="DJ141" s="709"/>
      <c r="DK141" s="709"/>
      <c r="DL141" s="709"/>
      <c r="DM141" s="709"/>
      <c r="DN141" s="709"/>
      <c r="DO141" s="709"/>
      <c r="DP141" s="709"/>
      <c r="DQ141" s="709"/>
      <c r="DR141" s="709"/>
      <c r="DS141" s="709"/>
      <c r="DT141" s="709"/>
      <c r="DU141" s="709"/>
      <c r="DV141" s="709"/>
      <c r="DW141" s="709"/>
      <c r="DX141" s="709"/>
      <c r="DY141" s="709"/>
      <c r="DZ141" s="709"/>
      <c r="EA141" s="709"/>
      <c r="EB141" s="709"/>
      <c r="EC141" s="709"/>
      <c r="ED141" s="709"/>
      <c r="EE141" s="709"/>
      <c r="EF141" s="709"/>
      <c r="EG141" s="709"/>
      <c r="EH141" s="709"/>
      <c r="EI141" s="709"/>
      <c r="EJ141" s="709"/>
      <c r="EK141" s="709"/>
      <c r="EL141" s="709"/>
      <c r="EM141" s="709"/>
      <c r="EN141" s="709"/>
      <c r="EO141" s="709"/>
      <c r="EP141" s="709"/>
      <c r="EQ141" s="709"/>
      <c r="ER141" s="709"/>
      <c r="ES141" s="709"/>
      <c r="ET141" s="709"/>
      <c r="EU141" s="709"/>
      <c r="EV141" s="709"/>
      <c r="EW141" s="709"/>
      <c r="EX141" s="709"/>
      <c r="EY141" s="709"/>
      <c r="EZ141" s="709"/>
      <c r="FA141" s="709"/>
      <c r="FB141" s="709"/>
      <c r="FC141" s="709"/>
      <c r="FD141" s="709"/>
      <c r="FE141" s="709"/>
      <c r="FF141" s="709"/>
      <c r="FG141" s="709"/>
      <c r="FH141" s="709"/>
      <c r="FI141" s="709"/>
      <c r="FJ141" s="709"/>
      <c r="FK141" s="709"/>
      <c r="FL141" s="709"/>
      <c r="FM141" s="709"/>
      <c r="FN141" s="709"/>
      <c r="FO141" s="709"/>
      <c r="FP141" s="709"/>
      <c r="FQ141" s="709"/>
      <c r="FR141" s="709"/>
      <c r="FS141" s="709"/>
      <c r="FT141" s="709"/>
      <c r="FU141" s="709"/>
      <c r="FV141" s="709"/>
      <c r="FW141" s="709"/>
      <c r="FX141" s="709"/>
      <c r="FY141" s="709"/>
      <c r="FZ141" s="709"/>
      <c r="GA141" s="709"/>
      <c r="GB141" s="709"/>
      <c r="GC141" s="709"/>
      <c r="GD141" s="709"/>
      <c r="GE141" s="709"/>
      <c r="GF141" s="709"/>
      <c r="GG141" s="709"/>
      <c r="GH141" s="709"/>
      <c r="GI141" s="709"/>
      <c r="GJ141" s="709"/>
      <c r="GK141" s="709"/>
      <c r="GL141" s="709"/>
      <c r="GM141" s="709"/>
      <c r="GN141" s="709"/>
      <c r="GO141" s="709"/>
      <c r="GP141" s="709"/>
      <c r="GQ141" s="709"/>
      <c r="GR141" s="709"/>
      <c r="GS141" s="709"/>
      <c r="GT141" s="709"/>
      <c r="GU141" s="709"/>
      <c r="GV141" s="709"/>
      <c r="GW141" s="709"/>
      <c r="GX141" s="709"/>
      <c r="GY141" s="709"/>
      <c r="GZ141" s="709"/>
      <c r="HA141" s="709"/>
      <c r="HB141" s="709"/>
      <c r="HC141" s="709"/>
      <c r="HD141" s="709"/>
      <c r="HE141" s="709"/>
      <c r="HF141" s="709"/>
      <c r="HG141" s="709"/>
      <c r="HH141" s="709"/>
      <c r="HI141" s="709"/>
      <c r="HJ141" s="709"/>
      <c r="HK141" s="709"/>
      <c r="HL141" s="709"/>
      <c r="HM141" s="709"/>
      <c r="HN141" s="709"/>
      <c r="HO141" s="709"/>
      <c r="HP141" s="709"/>
      <c r="HQ141" s="709"/>
      <c r="HR141" s="709"/>
      <c r="HS141" s="709"/>
      <c r="HT141" s="709"/>
      <c r="HU141" s="709"/>
      <c r="HV141" s="709"/>
      <c r="HW141" s="709"/>
      <c r="HX141" s="709"/>
      <c r="HY141" s="709"/>
      <c r="HZ141" s="709"/>
      <c r="IA141" s="709"/>
      <c r="IB141" s="709"/>
      <c r="IC141" s="709"/>
      <c r="ID141" s="709"/>
      <c r="IE141" s="709"/>
      <c r="IF141" s="709"/>
      <c r="IG141" s="709"/>
      <c r="IH141" s="709"/>
      <c r="II141" s="709"/>
      <c r="IJ141" s="709"/>
      <c r="IK141" s="709"/>
      <c r="IL141" s="709"/>
      <c r="IM141" s="709"/>
      <c r="IN141" s="709"/>
      <c r="IO141" s="709"/>
      <c r="IP141" s="709"/>
      <c r="IQ141" s="709"/>
      <c r="IR141" s="709"/>
      <c r="IS141" s="709"/>
      <c r="IT141" s="709"/>
      <c r="IU141" s="709"/>
      <c r="IV141" s="709"/>
    </row>
    <row r="142" spans="1:256" ht="15.75" hidden="1" customHeight="1">
      <c r="A142" s="706" t="s">
        <v>344</v>
      </c>
      <c r="B142" s="688">
        <v>116713861.59999999</v>
      </c>
      <c r="C142" s="706">
        <v>91327838.599999994</v>
      </c>
      <c r="D142" s="689"/>
      <c r="E142" s="706">
        <f t="shared" si="18"/>
        <v>25386023</v>
      </c>
      <c r="F142" s="688">
        <v>-64856938.299999997</v>
      </c>
      <c r="G142" s="706">
        <v>39470915.200000003</v>
      </c>
      <c r="H142" s="706">
        <f>F142+G142</f>
        <v>-25386023.099999994</v>
      </c>
      <c r="I142" s="693"/>
      <c r="J142" s="706">
        <v>0</v>
      </c>
      <c r="K142" s="706">
        <f t="shared" si="20"/>
        <v>-25386023.099999994</v>
      </c>
      <c r="L142" s="691"/>
      <c r="M142" s="709"/>
      <c r="N142" s="709"/>
      <c r="O142" s="709"/>
      <c r="P142" s="709"/>
      <c r="Q142" s="709"/>
      <c r="R142" s="709"/>
      <c r="S142" s="709"/>
      <c r="T142" s="709"/>
      <c r="U142" s="709"/>
      <c r="V142" s="709"/>
      <c r="W142" s="709"/>
      <c r="X142" s="709"/>
      <c r="Y142" s="709"/>
      <c r="Z142" s="709"/>
      <c r="AA142" s="709"/>
      <c r="AB142" s="709"/>
      <c r="AC142" s="709"/>
      <c r="AD142" s="709"/>
      <c r="AE142" s="709"/>
      <c r="AF142" s="709"/>
      <c r="AG142" s="709"/>
      <c r="AH142" s="709"/>
      <c r="AI142" s="709"/>
      <c r="AJ142" s="709"/>
      <c r="AK142" s="709"/>
      <c r="AL142" s="709"/>
      <c r="AM142" s="709"/>
      <c r="AN142" s="709"/>
      <c r="AO142" s="709"/>
      <c r="AP142" s="709"/>
      <c r="AQ142" s="709"/>
      <c r="AR142" s="709"/>
      <c r="AS142" s="709"/>
      <c r="AT142" s="709"/>
      <c r="AU142" s="709"/>
      <c r="AV142" s="709"/>
      <c r="AW142" s="709"/>
      <c r="AX142" s="709"/>
      <c r="AY142" s="709"/>
      <c r="AZ142" s="709"/>
      <c r="BA142" s="709"/>
      <c r="BB142" s="709"/>
      <c r="BC142" s="709"/>
      <c r="BD142" s="709"/>
      <c r="BE142" s="709"/>
      <c r="BF142" s="709"/>
      <c r="BG142" s="709"/>
      <c r="BH142" s="709"/>
      <c r="BI142" s="709"/>
      <c r="BJ142" s="709"/>
      <c r="BK142" s="709"/>
      <c r="BL142" s="709"/>
      <c r="BM142" s="709"/>
      <c r="BN142" s="709"/>
      <c r="BO142" s="709"/>
      <c r="BP142" s="709"/>
      <c r="BQ142" s="709"/>
      <c r="BR142" s="709"/>
      <c r="BS142" s="709"/>
      <c r="BT142" s="709"/>
      <c r="BU142" s="709"/>
      <c r="BV142" s="709"/>
      <c r="BW142" s="709"/>
      <c r="BX142" s="709"/>
      <c r="BY142" s="709"/>
      <c r="BZ142" s="709"/>
      <c r="CA142" s="709"/>
      <c r="CB142" s="709"/>
      <c r="CC142" s="709"/>
      <c r="CD142" s="709"/>
      <c r="CE142" s="709"/>
      <c r="CF142" s="709"/>
      <c r="CG142" s="709"/>
      <c r="CH142" s="709"/>
      <c r="CI142" s="709"/>
      <c r="CJ142" s="709"/>
      <c r="CK142" s="709"/>
      <c r="CL142" s="709"/>
      <c r="CM142" s="709"/>
      <c r="CN142" s="709"/>
      <c r="CO142" s="709"/>
      <c r="CP142" s="709"/>
      <c r="CQ142" s="709"/>
      <c r="CR142" s="709"/>
      <c r="CS142" s="709"/>
      <c r="CT142" s="709"/>
      <c r="CU142" s="709"/>
      <c r="CV142" s="709"/>
      <c r="CW142" s="709"/>
      <c r="CX142" s="709"/>
      <c r="CY142" s="709"/>
      <c r="CZ142" s="709"/>
      <c r="DA142" s="709"/>
      <c r="DB142" s="709"/>
      <c r="DC142" s="709"/>
      <c r="DD142" s="709"/>
      <c r="DE142" s="709"/>
      <c r="DF142" s="709"/>
      <c r="DG142" s="709"/>
      <c r="DH142" s="709"/>
      <c r="DI142" s="709"/>
      <c r="DJ142" s="709"/>
      <c r="DK142" s="709"/>
      <c r="DL142" s="709"/>
      <c r="DM142" s="709"/>
      <c r="DN142" s="709"/>
      <c r="DO142" s="709"/>
      <c r="DP142" s="709"/>
      <c r="DQ142" s="709"/>
      <c r="DR142" s="709"/>
      <c r="DS142" s="709"/>
      <c r="DT142" s="709"/>
      <c r="DU142" s="709"/>
      <c r="DV142" s="709"/>
      <c r="DW142" s="709"/>
      <c r="DX142" s="709"/>
      <c r="DY142" s="709"/>
      <c r="DZ142" s="709"/>
      <c r="EA142" s="709"/>
      <c r="EB142" s="709"/>
      <c r="EC142" s="709"/>
      <c r="ED142" s="709"/>
      <c r="EE142" s="709"/>
      <c r="EF142" s="709"/>
      <c r="EG142" s="709"/>
      <c r="EH142" s="709"/>
      <c r="EI142" s="709"/>
      <c r="EJ142" s="709"/>
      <c r="EK142" s="709"/>
      <c r="EL142" s="709"/>
      <c r="EM142" s="709"/>
      <c r="EN142" s="709"/>
      <c r="EO142" s="709"/>
      <c r="EP142" s="709"/>
      <c r="EQ142" s="709"/>
      <c r="ER142" s="709"/>
      <c r="ES142" s="709"/>
      <c r="ET142" s="709"/>
      <c r="EU142" s="709"/>
      <c r="EV142" s="709"/>
      <c r="EW142" s="709"/>
      <c r="EX142" s="709"/>
      <c r="EY142" s="709"/>
      <c r="EZ142" s="709"/>
      <c r="FA142" s="709"/>
      <c r="FB142" s="709"/>
      <c r="FC142" s="709"/>
      <c r="FD142" s="709"/>
      <c r="FE142" s="709"/>
      <c r="FF142" s="709"/>
      <c r="FG142" s="709"/>
      <c r="FH142" s="709"/>
      <c r="FI142" s="709"/>
      <c r="FJ142" s="709"/>
      <c r="FK142" s="709"/>
      <c r="FL142" s="709"/>
      <c r="FM142" s="709"/>
      <c r="FN142" s="709"/>
      <c r="FO142" s="709"/>
      <c r="FP142" s="709"/>
      <c r="FQ142" s="709"/>
      <c r="FR142" s="709"/>
      <c r="FS142" s="709"/>
      <c r="FT142" s="709"/>
      <c r="FU142" s="709"/>
      <c r="FV142" s="709"/>
      <c r="FW142" s="709"/>
      <c r="FX142" s="709"/>
      <c r="FY142" s="709"/>
      <c r="FZ142" s="709"/>
      <c r="GA142" s="709"/>
      <c r="GB142" s="709"/>
      <c r="GC142" s="709"/>
      <c r="GD142" s="709"/>
      <c r="GE142" s="709"/>
      <c r="GF142" s="709"/>
      <c r="GG142" s="709"/>
      <c r="GH142" s="709"/>
      <c r="GI142" s="709"/>
      <c r="GJ142" s="709"/>
      <c r="GK142" s="709"/>
      <c r="GL142" s="709"/>
      <c r="GM142" s="709"/>
      <c r="GN142" s="709"/>
      <c r="GO142" s="709"/>
      <c r="GP142" s="709"/>
      <c r="GQ142" s="709"/>
      <c r="GR142" s="709"/>
      <c r="GS142" s="709"/>
      <c r="GT142" s="709"/>
      <c r="GU142" s="709"/>
      <c r="GV142" s="709"/>
      <c r="GW142" s="709"/>
      <c r="GX142" s="709"/>
      <c r="GY142" s="709"/>
      <c r="GZ142" s="709"/>
      <c r="HA142" s="709"/>
      <c r="HB142" s="709"/>
      <c r="HC142" s="709"/>
      <c r="HD142" s="709"/>
      <c r="HE142" s="709"/>
      <c r="HF142" s="709"/>
      <c r="HG142" s="709"/>
      <c r="HH142" s="709"/>
      <c r="HI142" s="709"/>
      <c r="HJ142" s="709"/>
      <c r="HK142" s="709"/>
      <c r="HL142" s="709"/>
      <c r="HM142" s="709"/>
      <c r="HN142" s="709"/>
      <c r="HO142" s="709"/>
      <c r="HP142" s="709"/>
      <c r="HQ142" s="709"/>
      <c r="HR142" s="709"/>
      <c r="HS142" s="709"/>
      <c r="HT142" s="709"/>
      <c r="HU142" s="709"/>
      <c r="HV142" s="709"/>
      <c r="HW142" s="709"/>
      <c r="HX142" s="709"/>
      <c r="HY142" s="709"/>
      <c r="HZ142" s="709"/>
      <c r="IA142" s="709"/>
      <c r="IB142" s="709"/>
      <c r="IC142" s="709"/>
      <c r="ID142" s="709"/>
      <c r="IE142" s="709"/>
      <c r="IF142" s="709"/>
      <c r="IG142" s="709"/>
      <c r="IH142" s="709"/>
      <c r="II142" s="709"/>
      <c r="IJ142" s="709"/>
      <c r="IK142" s="709"/>
      <c r="IL142" s="709"/>
      <c r="IM142" s="709"/>
      <c r="IN142" s="709"/>
      <c r="IO142" s="709"/>
      <c r="IP142" s="709"/>
      <c r="IQ142" s="709"/>
      <c r="IR142" s="709"/>
      <c r="IS142" s="709"/>
      <c r="IT142" s="709"/>
      <c r="IU142" s="709"/>
      <c r="IV142" s="709"/>
    </row>
    <row r="143" spans="1:256" ht="12.75" hidden="1" customHeight="1">
      <c r="A143" s="706"/>
      <c r="B143" s="688"/>
      <c r="C143" s="706"/>
      <c r="D143" s="689"/>
      <c r="E143" s="706"/>
      <c r="F143" s="688"/>
      <c r="G143" s="706"/>
      <c r="H143" s="706"/>
      <c r="I143" s="693"/>
      <c r="J143" s="706"/>
      <c r="K143" s="706"/>
      <c r="L143" s="691"/>
      <c r="M143" s="709"/>
      <c r="N143" s="709"/>
      <c r="O143" s="709"/>
      <c r="P143" s="709"/>
      <c r="Q143" s="709"/>
      <c r="R143" s="709"/>
      <c r="S143" s="709"/>
      <c r="T143" s="709"/>
      <c r="U143" s="709"/>
      <c r="V143" s="709"/>
      <c r="W143" s="709"/>
      <c r="X143" s="709"/>
      <c r="Y143" s="709"/>
      <c r="Z143" s="709"/>
      <c r="AA143" s="709"/>
      <c r="AB143" s="709"/>
      <c r="AC143" s="709"/>
      <c r="AD143" s="709"/>
      <c r="AE143" s="709"/>
      <c r="AF143" s="709"/>
      <c r="AG143" s="709"/>
      <c r="AH143" s="709"/>
      <c r="AI143" s="709"/>
      <c r="AJ143" s="709"/>
      <c r="AK143" s="709"/>
      <c r="AL143" s="709"/>
      <c r="AM143" s="709"/>
      <c r="AN143" s="709"/>
      <c r="AO143" s="709"/>
      <c r="AP143" s="709"/>
      <c r="AQ143" s="709"/>
      <c r="AR143" s="709"/>
      <c r="AS143" s="709"/>
      <c r="AT143" s="709"/>
      <c r="AU143" s="709"/>
      <c r="AV143" s="709"/>
      <c r="AW143" s="709"/>
      <c r="AX143" s="709"/>
      <c r="AY143" s="709"/>
      <c r="AZ143" s="709"/>
      <c r="BA143" s="709"/>
      <c r="BB143" s="709"/>
      <c r="BC143" s="709"/>
      <c r="BD143" s="709"/>
      <c r="BE143" s="709"/>
      <c r="BF143" s="709"/>
      <c r="BG143" s="709"/>
      <c r="BH143" s="709"/>
      <c r="BI143" s="709"/>
      <c r="BJ143" s="709"/>
      <c r="BK143" s="709"/>
      <c r="BL143" s="709"/>
      <c r="BM143" s="709"/>
      <c r="BN143" s="709"/>
      <c r="BO143" s="709"/>
      <c r="BP143" s="709"/>
      <c r="BQ143" s="709"/>
      <c r="BR143" s="709"/>
      <c r="BS143" s="709"/>
      <c r="BT143" s="709"/>
      <c r="BU143" s="709"/>
      <c r="BV143" s="709"/>
      <c r="BW143" s="709"/>
      <c r="BX143" s="709"/>
      <c r="BY143" s="709"/>
      <c r="BZ143" s="709"/>
      <c r="CA143" s="709"/>
      <c r="CB143" s="709"/>
      <c r="CC143" s="709"/>
      <c r="CD143" s="709"/>
      <c r="CE143" s="709"/>
      <c r="CF143" s="709"/>
      <c r="CG143" s="709"/>
      <c r="CH143" s="709"/>
      <c r="CI143" s="709"/>
      <c r="CJ143" s="709"/>
      <c r="CK143" s="709"/>
      <c r="CL143" s="709"/>
      <c r="CM143" s="709"/>
      <c r="CN143" s="709"/>
      <c r="CO143" s="709"/>
      <c r="CP143" s="709"/>
      <c r="CQ143" s="709"/>
      <c r="CR143" s="709"/>
      <c r="CS143" s="709"/>
      <c r="CT143" s="709"/>
      <c r="CU143" s="709"/>
      <c r="CV143" s="709"/>
      <c r="CW143" s="709"/>
      <c r="CX143" s="709"/>
      <c r="CY143" s="709"/>
      <c r="CZ143" s="709"/>
      <c r="DA143" s="709"/>
      <c r="DB143" s="709"/>
      <c r="DC143" s="709"/>
      <c r="DD143" s="709"/>
      <c r="DE143" s="709"/>
      <c r="DF143" s="709"/>
      <c r="DG143" s="709"/>
      <c r="DH143" s="709"/>
      <c r="DI143" s="709"/>
      <c r="DJ143" s="709"/>
      <c r="DK143" s="709"/>
      <c r="DL143" s="709"/>
      <c r="DM143" s="709"/>
      <c r="DN143" s="709"/>
      <c r="DO143" s="709"/>
      <c r="DP143" s="709"/>
      <c r="DQ143" s="709"/>
      <c r="DR143" s="709"/>
      <c r="DS143" s="709"/>
      <c r="DT143" s="709"/>
      <c r="DU143" s="709"/>
      <c r="DV143" s="709"/>
      <c r="DW143" s="709"/>
      <c r="DX143" s="709"/>
      <c r="DY143" s="709"/>
      <c r="DZ143" s="709"/>
      <c r="EA143" s="709"/>
      <c r="EB143" s="709"/>
      <c r="EC143" s="709"/>
      <c r="ED143" s="709"/>
      <c r="EE143" s="709"/>
      <c r="EF143" s="709"/>
      <c r="EG143" s="709"/>
      <c r="EH143" s="709"/>
      <c r="EI143" s="709"/>
      <c r="EJ143" s="709"/>
      <c r="EK143" s="709"/>
      <c r="EL143" s="709"/>
      <c r="EM143" s="709"/>
      <c r="EN143" s="709"/>
      <c r="EO143" s="709"/>
      <c r="EP143" s="709"/>
      <c r="EQ143" s="709"/>
      <c r="ER143" s="709"/>
      <c r="ES143" s="709"/>
      <c r="ET143" s="709"/>
      <c r="EU143" s="709"/>
      <c r="EV143" s="709"/>
      <c r="EW143" s="709"/>
      <c r="EX143" s="709"/>
      <c r="EY143" s="709"/>
      <c r="EZ143" s="709"/>
      <c r="FA143" s="709"/>
      <c r="FB143" s="709"/>
      <c r="FC143" s="709"/>
      <c r="FD143" s="709"/>
      <c r="FE143" s="709"/>
      <c r="FF143" s="709"/>
      <c r="FG143" s="709"/>
      <c r="FH143" s="709"/>
      <c r="FI143" s="709"/>
      <c r="FJ143" s="709"/>
      <c r="FK143" s="709"/>
      <c r="FL143" s="709"/>
      <c r="FM143" s="709"/>
      <c r="FN143" s="709"/>
      <c r="FO143" s="709"/>
      <c r="FP143" s="709"/>
      <c r="FQ143" s="709"/>
      <c r="FR143" s="709"/>
      <c r="FS143" s="709"/>
      <c r="FT143" s="709"/>
      <c r="FU143" s="709"/>
      <c r="FV143" s="709"/>
      <c r="FW143" s="709"/>
      <c r="FX143" s="709"/>
      <c r="FY143" s="709"/>
      <c r="FZ143" s="709"/>
      <c r="GA143" s="709"/>
      <c r="GB143" s="709"/>
      <c r="GC143" s="709"/>
      <c r="GD143" s="709"/>
      <c r="GE143" s="709"/>
      <c r="GF143" s="709"/>
      <c r="GG143" s="709"/>
      <c r="GH143" s="709"/>
      <c r="GI143" s="709"/>
      <c r="GJ143" s="709"/>
      <c r="GK143" s="709"/>
      <c r="GL143" s="709"/>
      <c r="GM143" s="709"/>
      <c r="GN143" s="709"/>
      <c r="GO143" s="709"/>
      <c r="GP143" s="709"/>
      <c r="GQ143" s="709"/>
      <c r="GR143" s="709"/>
      <c r="GS143" s="709"/>
      <c r="GT143" s="709"/>
      <c r="GU143" s="709"/>
      <c r="GV143" s="709"/>
      <c r="GW143" s="709"/>
      <c r="GX143" s="709"/>
      <c r="GY143" s="709"/>
      <c r="GZ143" s="709"/>
      <c r="HA143" s="709"/>
      <c r="HB143" s="709"/>
      <c r="HC143" s="709"/>
      <c r="HD143" s="709"/>
      <c r="HE143" s="709"/>
      <c r="HF143" s="709"/>
      <c r="HG143" s="709"/>
      <c r="HH143" s="709"/>
      <c r="HI143" s="709"/>
      <c r="HJ143" s="709"/>
      <c r="HK143" s="709"/>
      <c r="HL143" s="709"/>
      <c r="HM143" s="709"/>
      <c r="HN143" s="709"/>
      <c r="HO143" s="709"/>
      <c r="HP143" s="709"/>
      <c r="HQ143" s="709"/>
      <c r="HR143" s="709"/>
      <c r="HS143" s="709"/>
      <c r="HT143" s="709"/>
      <c r="HU143" s="709"/>
      <c r="HV143" s="709"/>
      <c r="HW143" s="709"/>
      <c r="HX143" s="709"/>
      <c r="HY143" s="709"/>
      <c r="HZ143" s="709"/>
      <c r="IA143" s="709"/>
      <c r="IB143" s="709"/>
      <c r="IC143" s="709"/>
      <c r="ID143" s="709"/>
      <c r="IE143" s="709"/>
      <c r="IF143" s="709"/>
      <c r="IG143" s="709"/>
      <c r="IH143" s="709"/>
      <c r="II143" s="709"/>
      <c r="IJ143" s="709"/>
      <c r="IK143" s="709"/>
      <c r="IL143" s="709"/>
      <c r="IM143" s="709"/>
      <c r="IN143" s="709"/>
      <c r="IO143" s="709"/>
      <c r="IP143" s="709"/>
      <c r="IQ143" s="709"/>
      <c r="IR143" s="709"/>
      <c r="IS143" s="709"/>
      <c r="IT143" s="709"/>
      <c r="IU143" s="709"/>
      <c r="IV143" s="709"/>
    </row>
    <row r="144" spans="1:256" ht="12.75" hidden="1" customHeight="1">
      <c r="A144" s="710">
        <v>2007</v>
      </c>
      <c r="B144" s="688"/>
      <c r="C144" s="706"/>
      <c r="D144" s="689"/>
      <c r="E144" s="706"/>
      <c r="F144" s="688"/>
      <c r="G144" s="711"/>
      <c r="H144" s="706"/>
      <c r="I144" s="693"/>
      <c r="J144" s="706"/>
      <c r="K144" s="706"/>
      <c r="L144" s="691"/>
      <c r="M144" s="709"/>
      <c r="N144" s="709"/>
      <c r="O144" s="709"/>
      <c r="P144" s="709"/>
      <c r="Q144" s="709"/>
      <c r="R144" s="709"/>
      <c r="S144" s="709"/>
      <c r="T144" s="709"/>
      <c r="U144" s="709"/>
      <c r="V144" s="709"/>
      <c r="W144" s="709"/>
      <c r="X144" s="709"/>
      <c r="Y144" s="709"/>
      <c r="Z144" s="709"/>
      <c r="AA144" s="709"/>
      <c r="AB144" s="709"/>
      <c r="AC144" s="709"/>
      <c r="AD144" s="709"/>
      <c r="AE144" s="709"/>
      <c r="AF144" s="709"/>
      <c r="AG144" s="709"/>
      <c r="AH144" s="709"/>
      <c r="AI144" s="709"/>
      <c r="AJ144" s="709"/>
      <c r="AK144" s="709"/>
      <c r="AL144" s="709"/>
      <c r="AM144" s="709"/>
      <c r="AN144" s="709"/>
      <c r="AO144" s="709"/>
      <c r="AP144" s="709"/>
      <c r="AQ144" s="709"/>
      <c r="AR144" s="709"/>
      <c r="AS144" s="709"/>
      <c r="AT144" s="709"/>
      <c r="AU144" s="709"/>
      <c r="AV144" s="709"/>
      <c r="AW144" s="709"/>
      <c r="AX144" s="709"/>
      <c r="AY144" s="709"/>
      <c r="AZ144" s="709"/>
      <c r="BA144" s="709"/>
      <c r="BB144" s="709"/>
      <c r="BC144" s="709"/>
      <c r="BD144" s="709"/>
      <c r="BE144" s="709"/>
      <c r="BF144" s="709"/>
      <c r="BG144" s="709"/>
      <c r="BH144" s="709"/>
      <c r="BI144" s="709"/>
      <c r="BJ144" s="709"/>
      <c r="BK144" s="709"/>
      <c r="BL144" s="709"/>
      <c r="BM144" s="709"/>
      <c r="BN144" s="709"/>
      <c r="BO144" s="709"/>
      <c r="BP144" s="709"/>
      <c r="BQ144" s="709"/>
      <c r="BR144" s="709"/>
      <c r="BS144" s="709"/>
      <c r="BT144" s="709"/>
      <c r="BU144" s="709"/>
      <c r="BV144" s="709"/>
      <c r="BW144" s="709"/>
      <c r="BX144" s="709"/>
      <c r="BY144" s="709"/>
      <c r="BZ144" s="709"/>
      <c r="CA144" s="709"/>
      <c r="CB144" s="709"/>
      <c r="CC144" s="709"/>
      <c r="CD144" s="709"/>
      <c r="CE144" s="709"/>
      <c r="CF144" s="709"/>
      <c r="CG144" s="709"/>
      <c r="CH144" s="709"/>
      <c r="CI144" s="709"/>
      <c r="CJ144" s="709"/>
      <c r="CK144" s="709"/>
      <c r="CL144" s="709"/>
      <c r="CM144" s="709"/>
      <c r="CN144" s="709"/>
      <c r="CO144" s="709"/>
      <c r="CP144" s="709"/>
      <c r="CQ144" s="709"/>
      <c r="CR144" s="709"/>
      <c r="CS144" s="709"/>
      <c r="CT144" s="709"/>
      <c r="CU144" s="709"/>
      <c r="CV144" s="709"/>
      <c r="CW144" s="709"/>
      <c r="CX144" s="709"/>
      <c r="CY144" s="709"/>
      <c r="CZ144" s="709"/>
      <c r="DA144" s="709"/>
      <c r="DB144" s="709"/>
      <c r="DC144" s="709"/>
      <c r="DD144" s="709"/>
      <c r="DE144" s="709"/>
      <c r="DF144" s="709"/>
      <c r="DG144" s="709"/>
      <c r="DH144" s="709"/>
      <c r="DI144" s="709"/>
      <c r="DJ144" s="709"/>
      <c r="DK144" s="709"/>
      <c r="DL144" s="709"/>
      <c r="DM144" s="709"/>
      <c r="DN144" s="709"/>
      <c r="DO144" s="709"/>
      <c r="DP144" s="709"/>
      <c r="DQ144" s="709"/>
      <c r="DR144" s="709"/>
      <c r="DS144" s="709"/>
      <c r="DT144" s="709"/>
      <c r="DU144" s="709"/>
      <c r="DV144" s="709"/>
      <c r="DW144" s="709"/>
      <c r="DX144" s="709"/>
      <c r="DY144" s="709"/>
      <c r="DZ144" s="709"/>
      <c r="EA144" s="709"/>
      <c r="EB144" s="709"/>
      <c r="EC144" s="709"/>
      <c r="ED144" s="709"/>
      <c r="EE144" s="709"/>
      <c r="EF144" s="709"/>
      <c r="EG144" s="709"/>
      <c r="EH144" s="709"/>
      <c r="EI144" s="709"/>
      <c r="EJ144" s="709"/>
      <c r="EK144" s="709"/>
      <c r="EL144" s="709"/>
      <c r="EM144" s="709"/>
      <c r="EN144" s="709"/>
      <c r="EO144" s="709"/>
      <c r="EP144" s="709"/>
      <c r="EQ144" s="709"/>
      <c r="ER144" s="709"/>
      <c r="ES144" s="709"/>
      <c r="ET144" s="709"/>
      <c r="EU144" s="709"/>
      <c r="EV144" s="709"/>
      <c r="EW144" s="709"/>
      <c r="EX144" s="709"/>
      <c r="EY144" s="709"/>
      <c r="EZ144" s="709"/>
      <c r="FA144" s="709"/>
      <c r="FB144" s="709"/>
      <c r="FC144" s="709"/>
      <c r="FD144" s="709"/>
      <c r="FE144" s="709"/>
      <c r="FF144" s="709"/>
      <c r="FG144" s="709"/>
      <c r="FH144" s="709"/>
      <c r="FI144" s="709"/>
      <c r="FJ144" s="709"/>
      <c r="FK144" s="709"/>
      <c r="FL144" s="709"/>
      <c r="FM144" s="709"/>
      <c r="FN144" s="709"/>
      <c r="FO144" s="709"/>
      <c r="FP144" s="709"/>
      <c r="FQ144" s="709"/>
      <c r="FR144" s="709"/>
      <c r="FS144" s="709"/>
      <c r="FT144" s="709"/>
      <c r="FU144" s="709"/>
      <c r="FV144" s="709"/>
      <c r="FW144" s="709"/>
      <c r="FX144" s="709"/>
      <c r="FY144" s="709"/>
      <c r="FZ144" s="709"/>
      <c r="GA144" s="709"/>
      <c r="GB144" s="709"/>
      <c r="GC144" s="709"/>
      <c r="GD144" s="709"/>
      <c r="GE144" s="709"/>
      <c r="GF144" s="709"/>
      <c r="GG144" s="709"/>
      <c r="GH144" s="709"/>
      <c r="GI144" s="709"/>
      <c r="GJ144" s="709"/>
      <c r="GK144" s="709"/>
      <c r="GL144" s="709"/>
      <c r="GM144" s="709"/>
      <c r="GN144" s="709"/>
      <c r="GO144" s="709"/>
      <c r="GP144" s="709"/>
      <c r="GQ144" s="709"/>
      <c r="GR144" s="709"/>
      <c r="GS144" s="709"/>
      <c r="GT144" s="709"/>
      <c r="GU144" s="709"/>
      <c r="GV144" s="709"/>
      <c r="GW144" s="709"/>
      <c r="GX144" s="709"/>
      <c r="GY144" s="709"/>
      <c r="GZ144" s="709"/>
      <c r="HA144" s="709"/>
      <c r="HB144" s="709"/>
      <c r="HC144" s="709"/>
      <c r="HD144" s="709"/>
      <c r="HE144" s="709"/>
      <c r="HF144" s="709"/>
      <c r="HG144" s="709"/>
      <c r="HH144" s="709"/>
      <c r="HI144" s="709"/>
      <c r="HJ144" s="709"/>
      <c r="HK144" s="709"/>
      <c r="HL144" s="709"/>
      <c r="HM144" s="709"/>
      <c r="HN144" s="709"/>
      <c r="HO144" s="709"/>
      <c r="HP144" s="709"/>
      <c r="HQ144" s="709"/>
      <c r="HR144" s="709"/>
      <c r="HS144" s="709"/>
      <c r="HT144" s="709"/>
      <c r="HU144" s="709"/>
      <c r="HV144" s="709"/>
      <c r="HW144" s="709"/>
      <c r="HX144" s="709"/>
      <c r="HY144" s="709"/>
      <c r="HZ144" s="709"/>
      <c r="IA144" s="709"/>
      <c r="IB144" s="709"/>
      <c r="IC144" s="709"/>
      <c r="ID144" s="709"/>
      <c r="IE144" s="709"/>
      <c r="IF144" s="709"/>
      <c r="IG144" s="709"/>
      <c r="IH144" s="709"/>
      <c r="II144" s="709"/>
      <c r="IJ144" s="709"/>
      <c r="IK144" s="709"/>
      <c r="IL144" s="709"/>
      <c r="IM144" s="709"/>
      <c r="IN144" s="709"/>
      <c r="IO144" s="709"/>
      <c r="IP144" s="709"/>
      <c r="IQ144" s="709"/>
      <c r="IR144" s="709"/>
      <c r="IS144" s="709"/>
      <c r="IT144" s="709"/>
      <c r="IU144" s="709"/>
      <c r="IV144" s="709"/>
    </row>
    <row r="145" spans="1:256" ht="12.75" hidden="1" customHeight="1">
      <c r="A145" s="710"/>
      <c r="B145" s="691"/>
      <c r="C145" s="706"/>
      <c r="D145" s="689"/>
      <c r="E145" s="706"/>
      <c r="F145" s="692"/>
      <c r="G145" s="712"/>
      <c r="H145" s="706"/>
      <c r="I145" s="693"/>
      <c r="J145" s="706"/>
      <c r="K145" s="706"/>
      <c r="L145" s="691"/>
      <c r="M145" s="709"/>
      <c r="N145" s="709"/>
      <c r="O145" s="709"/>
      <c r="P145" s="709"/>
      <c r="Q145" s="709"/>
      <c r="R145" s="709"/>
      <c r="S145" s="709"/>
      <c r="T145" s="709"/>
      <c r="U145" s="709"/>
      <c r="V145" s="709"/>
      <c r="W145" s="709"/>
      <c r="X145" s="709"/>
      <c r="Y145" s="709"/>
      <c r="Z145" s="709"/>
      <c r="AA145" s="709"/>
      <c r="AB145" s="709"/>
      <c r="AC145" s="709"/>
      <c r="AD145" s="709"/>
      <c r="AE145" s="709"/>
      <c r="AF145" s="709"/>
      <c r="AG145" s="709"/>
      <c r="AH145" s="709"/>
      <c r="AI145" s="709"/>
      <c r="AJ145" s="709"/>
      <c r="AK145" s="709"/>
      <c r="AL145" s="709"/>
      <c r="AM145" s="709"/>
      <c r="AN145" s="709"/>
      <c r="AO145" s="709"/>
      <c r="AP145" s="709"/>
      <c r="AQ145" s="709"/>
      <c r="AR145" s="709"/>
      <c r="AS145" s="709"/>
      <c r="AT145" s="709"/>
      <c r="AU145" s="709"/>
      <c r="AV145" s="709"/>
      <c r="AW145" s="709"/>
      <c r="AX145" s="709"/>
      <c r="AY145" s="709"/>
      <c r="AZ145" s="709"/>
      <c r="BA145" s="709"/>
      <c r="BB145" s="709"/>
      <c r="BC145" s="709"/>
      <c r="BD145" s="709"/>
      <c r="BE145" s="709"/>
      <c r="BF145" s="709"/>
      <c r="BG145" s="709"/>
      <c r="BH145" s="709"/>
      <c r="BI145" s="709"/>
      <c r="BJ145" s="709"/>
      <c r="BK145" s="709"/>
      <c r="BL145" s="709"/>
      <c r="BM145" s="709"/>
      <c r="BN145" s="709"/>
      <c r="BO145" s="709"/>
      <c r="BP145" s="709"/>
      <c r="BQ145" s="709"/>
      <c r="BR145" s="709"/>
      <c r="BS145" s="709"/>
      <c r="BT145" s="709"/>
      <c r="BU145" s="709"/>
      <c r="BV145" s="709"/>
      <c r="BW145" s="709"/>
      <c r="BX145" s="709"/>
      <c r="BY145" s="709"/>
      <c r="BZ145" s="709"/>
      <c r="CA145" s="709"/>
      <c r="CB145" s="709"/>
      <c r="CC145" s="709"/>
      <c r="CD145" s="709"/>
      <c r="CE145" s="709"/>
      <c r="CF145" s="709"/>
      <c r="CG145" s="709"/>
      <c r="CH145" s="709"/>
      <c r="CI145" s="709"/>
      <c r="CJ145" s="709"/>
      <c r="CK145" s="709"/>
      <c r="CL145" s="709"/>
      <c r="CM145" s="709"/>
      <c r="CN145" s="709"/>
      <c r="CO145" s="709"/>
      <c r="CP145" s="709"/>
      <c r="CQ145" s="709"/>
      <c r="CR145" s="709"/>
      <c r="CS145" s="709"/>
      <c r="CT145" s="709"/>
      <c r="CU145" s="709"/>
      <c r="CV145" s="709"/>
      <c r="CW145" s="709"/>
      <c r="CX145" s="709"/>
      <c r="CY145" s="709"/>
      <c r="CZ145" s="709"/>
      <c r="DA145" s="709"/>
      <c r="DB145" s="709"/>
      <c r="DC145" s="709"/>
      <c r="DD145" s="709"/>
      <c r="DE145" s="709"/>
      <c r="DF145" s="709"/>
      <c r="DG145" s="709"/>
      <c r="DH145" s="709"/>
      <c r="DI145" s="709"/>
      <c r="DJ145" s="709"/>
      <c r="DK145" s="709"/>
      <c r="DL145" s="709"/>
      <c r="DM145" s="709"/>
      <c r="DN145" s="709"/>
      <c r="DO145" s="709"/>
      <c r="DP145" s="709"/>
      <c r="DQ145" s="709"/>
      <c r="DR145" s="709"/>
      <c r="DS145" s="709"/>
      <c r="DT145" s="709"/>
      <c r="DU145" s="709"/>
      <c r="DV145" s="709"/>
      <c r="DW145" s="709"/>
      <c r="DX145" s="709"/>
      <c r="DY145" s="709"/>
      <c r="DZ145" s="709"/>
      <c r="EA145" s="709"/>
      <c r="EB145" s="709"/>
      <c r="EC145" s="709"/>
      <c r="ED145" s="709"/>
      <c r="EE145" s="709"/>
      <c r="EF145" s="709"/>
      <c r="EG145" s="709"/>
      <c r="EH145" s="709"/>
      <c r="EI145" s="709"/>
      <c r="EJ145" s="709"/>
      <c r="EK145" s="709"/>
      <c r="EL145" s="709"/>
      <c r="EM145" s="709"/>
      <c r="EN145" s="709"/>
      <c r="EO145" s="709"/>
      <c r="EP145" s="709"/>
      <c r="EQ145" s="709"/>
      <c r="ER145" s="709"/>
      <c r="ES145" s="709"/>
      <c r="ET145" s="709"/>
      <c r="EU145" s="709"/>
      <c r="EV145" s="709"/>
      <c r="EW145" s="709"/>
      <c r="EX145" s="709"/>
      <c r="EY145" s="709"/>
      <c r="EZ145" s="709"/>
      <c r="FA145" s="709"/>
      <c r="FB145" s="709"/>
      <c r="FC145" s="709"/>
      <c r="FD145" s="709"/>
      <c r="FE145" s="709"/>
      <c r="FF145" s="709"/>
      <c r="FG145" s="709"/>
      <c r="FH145" s="709"/>
      <c r="FI145" s="709"/>
      <c r="FJ145" s="709"/>
      <c r="FK145" s="709"/>
      <c r="FL145" s="709"/>
      <c r="FM145" s="709"/>
      <c r="FN145" s="709"/>
      <c r="FO145" s="709"/>
      <c r="FP145" s="709"/>
      <c r="FQ145" s="709"/>
      <c r="FR145" s="709"/>
      <c r="FS145" s="709"/>
      <c r="FT145" s="709"/>
      <c r="FU145" s="709"/>
      <c r="FV145" s="709"/>
      <c r="FW145" s="709"/>
      <c r="FX145" s="709"/>
      <c r="FY145" s="709"/>
      <c r="FZ145" s="709"/>
      <c r="GA145" s="709"/>
      <c r="GB145" s="709"/>
      <c r="GC145" s="709"/>
      <c r="GD145" s="709"/>
      <c r="GE145" s="709"/>
      <c r="GF145" s="709"/>
      <c r="GG145" s="709"/>
      <c r="GH145" s="709"/>
      <c r="GI145" s="709"/>
      <c r="GJ145" s="709"/>
      <c r="GK145" s="709"/>
      <c r="GL145" s="709"/>
      <c r="GM145" s="709"/>
      <c r="GN145" s="709"/>
      <c r="GO145" s="709"/>
      <c r="GP145" s="709"/>
      <c r="GQ145" s="709"/>
      <c r="GR145" s="709"/>
      <c r="GS145" s="709"/>
      <c r="GT145" s="709"/>
      <c r="GU145" s="709"/>
      <c r="GV145" s="709"/>
      <c r="GW145" s="709"/>
      <c r="GX145" s="709"/>
      <c r="GY145" s="709"/>
      <c r="GZ145" s="709"/>
      <c r="HA145" s="709"/>
      <c r="HB145" s="709"/>
      <c r="HC145" s="709"/>
      <c r="HD145" s="709"/>
      <c r="HE145" s="709"/>
      <c r="HF145" s="709"/>
      <c r="HG145" s="709"/>
      <c r="HH145" s="709"/>
      <c r="HI145" s="709"/>
      <c r="HJ145" s="709"/>
      <c r="HK145" s="709"/>
      <c r="HL145" s="709"/>
      <c r="HM145" s="709"/>
      <c r="HN145" s="709"/>
      <c r="HO145" s="709"/>
      <c r="HP145" s="709"/>
      <c r="HQ145" s="709"/>
      <c r="HR145" s="709"/>
      <c r="HS145" s="709"/>
      <c r="HT145" s="709"/>
      <c r="HU145" s="709"/>
      <c r="HV145" s="709"/>
      <c r="HW145" s="709"/>
      <c r="HX145" s="709"/>
      <c r="HY145" s="709"/>
      <c r="HZ145" s="709"/>
      <c r="IA145" s="709"/>
      <c r="IB145" s="709"/>
      <c r="IC145" s="709"/>
      <c r="ID145" s="709"/>
      <c r="IE145" s="709"/>
      <c r="IF145" s="709"/>
      <c r="IG145" s="709"/>
      <c r="IH145" s="709"/>
      <c r="II145" s="709"/>
      <c r="IJ145" s="709"/>
      <c r="IK145" s="709"/>
      <c r="IL145" s="709"/>
      <c r="IM145" s="709"/>
      <c r="IN145" s="709"/>
      <c r="IO145" s="709"/>
      <c r="IP145" s="709"/>
      <c r="IQ145" s="709"/>
      <c r="IR145" s="709"/>
      <c r="IS145" s="709"/>
      <c r="IT145" s="709"/>
      <c r="IU145" s="709"/>
      <c r="IV145" s="709"/>
    </row>
    <row r="146" spans="1:256" ht="15.75" hidden="1" customHeight="1">
      <c r="A146" s="706" t="s">
        <v>345</v>
      </c>
      <c r="B146" s="713">
        <v>13.701458460000003</v>
      </c>
      <c r="C146" s="714">
        <v>17.3943309</v>
      </c>
      <c r="D146" s="689"/>
      <c r="E146" s="714">
        <v>-6.1341946099999975E-3</v>
      </c>
      <c r="F146" s="715">
        <v>12.812926800000001</v>
      </c>
      <c r="G146" s="713">
        <v>-6.6787321799999999</v>
      </c>
      <c r="H146" s="714">
        <f t="shared" ref="H146:H157" si="21">F146+G146</f>
        <v>6.1341946200000015</v>
      </c>
      <c r="I146" s="693"/>
      <c r="J146" s="714">
        <v>0</v>
      </c>
      <c r="K146" s="714">
        <f t="shared" ref="K146:K157" si="22">J146+H146</f>
        <v>6.1341946200000015</v>
      </c>
      <c r="L146" s="691"/>
      <c r="M146" s="709"/>
      <c r="N146" s="709"/>
      <c r="O146" s="709"/>
      <c r="P146" s="709"/>
      <c r="Q146" s="709"/>
      <c r="R146" s="709"/>
      <c r="S146" s="709"/>
      <c r="T146" s="709"/>
      <c r="U146" s="709"/>
      <c r="V146" s="709"/>
      <c r="W146" s="709"/>
      <c r="X146" s="709"/>
      <c r="Y146" s="709"/>
      <c r="Z146" s="709"/>
      <c r="AA146" s="709"/>
      <c r="AB146" s="709"/>
      <c r="AC146" s="709"/>
      <c r="AD146" s="709"/>
      <c r="AE146" s="709"/>
      <c r="AF146" s="709"/>
      <c r="AG146" s="709"/>
      <c r="AH146" s="709"/>
      <c r="AI146" s="709"/>
      <c r="AJ146" s="709"/>
      <c r="AK146" s="709"/>
      <c r="AL146" s="709"/>
      <c r="AM146" s="709"/>
      <c r="AN146" s="709"/>
      <c r="AO146" s="709"/>
      <c r="AP146" s="709"/>
      <c r="AQ146" s="709"/>
      <c r="AR146" s="709"/>
      <c r="AS146" s="709"/>
      <c r="AT146" s="709"/>
      <c r="AU146" s="709"/>
      <c r="AV146" s="709"/>
      <c r="AW146" s="709"/>
      <c r="AX146" s="709"/>
      <c r="AY146" s="709"/>
      <c r="AZ146" s="709"/>
      <c r="BA146" s="709"/>
      <c r="BB146" s="709"/>
      <c r="BC146" s="709"/>
      <c r="BD146" s="709"/>
      <c r="BE146" s="709"/>
      <c r="BF146" s="709"/>
      <c r="BG146" s="709"/>
      <c r="BH146" s="709"/>
      <c r="BI146" s="709"/>
      <c r="BJ146" s="709"/>
      <c r="BK146" s="709"/>
      <c r="BL146" s="709"/>
      <c r="BM146" s="709"/>
      <c r="BN146" s="709"/>
      <c r="BO146" s="709"/>
      <c r="BP146" s="709"/>
      <c r="BQ146" s="709"/>
      <c r="BR146" s="709"/>
      <c r="BS146" s="709"/>
      <c r="BT146" s="709"/>
      <c r="BU146" s="709"/>
      <c r="BV146" s="709"/>
      <c r="BW146" s="709"/>
      <c r="BX146" s="709"/>
      <c r="BY146" s="709"/>
      <c r="BZ146" s="709"/>
      <c r="CA146" s="709"/>
      <c r="CB146" s="709"/>
      <c r="CC146" s="709"/>
      <c r="CD146" s="709"/>
      <c r="CE146" s="709"/>
      <c r="CF146" s="709"/>
      <c r="CG146" s="709"/>
      <c r="CH146" s="709"/>
      <c r="CI146" s="709"/>
      <c r="CJ146" s="709"/>
      <c r="CK146" s="709"/>
      <c r="CL146" s="709"/>
      <c r="CM146" s="709"/>
      <c r="CN146" s="709"/>
      <c r="CO146" s="709"/>
      <c r="CP146" s="709"/>
      <c r="CQ146" s="709"/>
      <c r="CR146" s="709"/>
      <c r="CS146" s="709"/>
      <c r="CT146" s="709"/>
      <c r="CU146" s="709"/>
      <c r="CV146" s="709"/>
      <c r="CW146" s="709"/>
      <c r="CX146" s="709"/>
      <c r="CY146" s="709"/>
      <c r="CZ146" s="709"/>
      <c r="DA146" s="709"/>
      <c r="DB146" s="709"/>
      <c r="DC146" s="709"/>
      <c r="DD146" s="709"/>
      <c r="DE146" s="709"/>
      <c r="DF146" s="709"/>
      <c r="DG146" s="709"/>
      <c r="DH146" s="709"/>
      <c r="DI146" s="709"/>
      <c r="DJ146" s="709"/>
      <c r="DK146" s="709"/>
      <c r="DL146" s="709"/>
      <c r="DM146" s="709"/>
      <c r="DN146" s="709"/>
      <c r="DO146" s="709"/>
      <c r="DP146" s="709"/>
      <c r="DQ146" s="709"/>
      <c r="DR146" s="709"/>
      <c r="DS146" s="709"/>
      <c r="DT146" s="709"/>
      <c r="DU146" s="709"/>
      <c r="DV146" s="709"/>
      <c r="DW146" s="709"/>
      <c r="DX146" s="709"/>
      <c r="DY146" s="709"/>
      <c r="DZ146" s="709"/>
      <c r="EA146" s="709"/>
      <c r="EB146" s="709"/>
      <c r="EC146" s="709"/>
      <c r="ED146" s="709"/>
      <c r="EE146" s="709"/>
      <c r="EF146" s="709"/>
      <c r="EG146" s="709"/>
      <c r="EH146" s="709"/>
      <c r="EI146" s="709"/>
      <c r="EJ146" s="709"/>
      <c r="EK146" s="709"/>
      <c r="EL146" s="709"/>
      <c r="EM146" s="709"/>
      <c r="EN146" s="709"/>
      <c r="EO146" s="709"/>
      <c r="EP146" s="709"/>
      <c r="EQ146" s="709"/>
      <c r="ER146" s="709"/>
      <c r="ES146" s="709"/>
      <c r="ET146" s="709"/>
      <c r="EU146" s="709"/>
      <c r="EV146" s="709"/>
      <c r="EW146" s="709"/>
      <c r="EX146" s="709"/>
      <c r="EY146" s="709"/>
      <c r="EZ146" s="709"/>
      <c r="FA146" s="709"/>
      <c r="FB146" s="709"/>
      <c r="FC146" s="709"/>
      <c r="FD146" s="709"/>
      <c r="FE146" s="709"/>
      <c r="FF146" s="709"/>
      <c r="FG146" s="709"/>
      <c r="FH146" s="709"/>
      <c r="FI146" s="709"/>
      <c r="FJ146" s="709"/>
      <c r="FK146" s="709"/>
      <c r="FL146" s="709"/>
      <c r="FM146" s="709"/>
      <c r="FN146" s="709"/>
      <c r="FO146" s="709"/>
      <c r="FP146" s="709"/>
      <c r="FQ146" s="709"/>
      <c r="FR146" s="709"/>
      <c r="FS146" s="709"/>
      <c r="FT146" s="709"/>
      <c r="FU146" s="709"/>
      <c r="FV146" s="709"/>
      <c r="FW146" s="709"/>
      <c r="FX146" s="709"/>
      <c r="FY146" s="709"/>
      <c r="FZ146" s="709"/>
      <c r="GA146" s="709"/>
      <c r="GB146" s="709"/>
      <c r="GC146" s="709"/>
      <c r="GD146" s="709"/>
      <c r="GE146" s="709"/>
      <c r="GF146" s="709"/>
      <c r="GG146" s="709"/>
      <c r="GH146" s="709"/>
      <c r="GI146" s="709"/>
      <c r="GJ146" s="709"/>
      <c r="GK146" s="709"/>
      <c r="GL146" s="709"/>
      <c r="GM146" s="709"/>
      <c r="GN146" s="709"/>
      <c r="GO146" s="709"/>
      <c r="GP146" s="709"/>
      <c r="GQ146" s="709"/>
      <c r="GR146" s="709"/>
      <c r="GS146" s="709"/>
      <c r="GT146" s="709"/>
      <c r="GU146" s="709"/>
      <c r="GV146" s="709"/>
      <c r="GW146" s="709"/>
      <c r="GX146" s="709"/>
      <c r="GY146" s="709"/>
      <c r="GZ146" s="709"/>
      <c r="HA146" s="709"/>
      <c r="HB146" s="709"/>
      <c r="HC146" s="709"/>
      <c r="HD146" s="709"/>
      <c r="HE146" s="709"/>
      <c r="HF146" s="709"/>
      <c r="HG146" s="709"/>
      <c r="HH146" s="709"/>
      <c r="HI146" s="709"/>
      <c r="HJ146" s="709"/>
      <c r="HK146" s="709"/>
      <c r="HL146" s="709"/>
      <c r="HM146" s="709"/>
      <c r="HN146" s="709"/>
      <c r="HO146" s="709"/>
      <c r="HP146" s="709"/>
      <c r="HQ146" s="709"/>
      <c r="HR146" s="709"/>
      <c r="HS146" s="709"/>
      <c r="HT146" s="709"/>
      <c r="HU146" s="709"/>
      <c r="HV146" s="709"/>
      <c r="HW146" s="709"/>
      <c r="HX146" s="709"/>
      <c r="HY146" s="709"/>
      <c r="HZ146" s="709"/>
      <c r="IA146" s="709"/>
      <c r="IB146" s="709"/>
      <c r="IC146" s="709"/>
      <c r="ID146" s="709"/>
      <c r="IE146" s="709"/>
      <c r="IF146" s="709"/>
      <c r="IG146" s="709"/>
      <c r="IH146" s="709"/>
      <c r="II146" s="709"/>
      <c r="IJ146" s="709"/>
      <c r="IK146" s="709"/>
      <c r="IL146" s="709"/>
      <c r="IM146" s="709"/>
      <c r="IN146" s="709"/>
      <c r="IO146" s="709"/>
      <c r="IP146" s="709"/>
      <c r="IQ146" s="709"/>
      <c r="IR146" s="709"/>
      <c r="IS146" s="709"/>
      <c r="IT146" s="709"/>
      <c r="IU146" s="709"/>
      <c r="IV146" s="709"/>
    </row>
    <row r="147" spans="1:256" ht="15.75" hidden="1" customHeight="1">
      <c r="A147" s="706" t="s">
        <v>334</v>
      </c>
      <c r="B147" s="714">
        <v>29.947961000999996</v>
      </c>
      <c r="C147" s="714">
        <v>39.252942699999998</v>
      </c>
      <c r="D147" s="689"/>
      <c r="E147" s="714">
        <v>-1.2744229178999998E-2</v>
      </c>
      <c r="F147" s="714">
        <v>18.20885024</v>
      </c>
      <c r="G147" s="715">
        <v>-5.4646210599999989</v>
      </c>
      <c r="H147" s="714">
        <f t="shared" si="21"/>
        <v>12.744229180000001</v>
      </c>
      <c r="I147" s="693"/>
      <c r="J147" s="714">
        <v>0</v>
      </c>
      <c r="K147" s="714">
        <f t="shared" si="22"/>
        <v>12.744229180000001</v>
      </c>
      <c r="L147" s="691"/>
      <c r="M147" s="709"/>
      <c r="N147" s="709"/>
      <c r="O147" s="709"/>
      <c r="P147" s="709"/>
      <c r="Q147" s="709"/>
      <c r="R147" s="709"/>
      <c r="S147" s="709"/>
      <c r="T147" s="709"/>
      <c r="U147" s="709"/>
      <c r="V147" s="709"/>
      <c r="W147" s="709"/>
      <c r="X147" s="709"/>
      <c r="Y147" s="709"/>
      <c r="Z147" s="709"/>
      <c r="AA147" s="709"/>
      <c r="AB147" s="709"/>
      <c r="AC147" s="709"/>
      <c r="AD147" s="709"/>
      <c r="AE147" s="709"/>
      <c r="AF147" s="709"/>
      <c r="AG147" s="709"/>
      <c r="AH147" s="709"/>
      <c r="AI147" s="709"/>
      <c r="AJ147" s="709"/>
      <c r="AK147" s="709"/>
      <c r="AL147" s="709"/>
      <c r="AM147" s="709"/>
      <c r="AN147" s="709"/>
      <c r="AO147" s="709"/>
      <c r="AP147" s="709"/>
      <c r="AQ147" s="709"/>
      <c r="AR147" s="709"/>
      <c r="AS147" s="709"/>
      <c r="AT147" s="709"/>
      <c r="AU147" s="709"/>
      <c r="AV147" s="709"/>
      <c r="AW147" s="709"/>
      <c r="AX147" s="709"/>
      <c r="AY147" s="709"/>
      <c r="AZ147" s="709"/>
      <c r="BA147" s="709"/>
      <c r="BB147" s="709"/>
      <c r="BC147" s="709"/>
      <c r="BD147" s="709"/>
      <c r="BE147" s="709"/>
      <c r="BF147" s="709"/>
      <c r="BG147" s="709"/>
      <c r="BH147" s="709"/>
      <c r="BI147" s="709"/>
      <c r="BJ147" s="709"/>
      <c r="BK147" s="709"/>
      <c r="BL147" s="709"/>
      <c r="BM147" s="709"/>
      <c r="BN147" s="709"/>
      <c r="BO147" s="709"/>
      <c r="BP147" s="709"/>
      <c r="BQ147" s="709"/>
      <c r="BR147" s="709"/>
      <c r="BS147" s="709"/>
      <c r="BT147" s="709"/>
      <c r="BU147" s="709"/>
      <c r="BV147" s="709"/>
      <c r="BW147" s="709"/>
      <c r="BX147" s="709"/>
      <c r="BY147" s="709"/>
      <c r="BZ147" s="709"/>
      <c r="CA147" s="709"/>
      <c r="CB147" s="709"/>
      <c r="CC147" s="709"/>
      <c r="CD147" s="709"/>
      <c r="CE147" s="709"/>
      <c r="CF147" s="709"/>
      <c r="CG147" s="709"/>
      <c r="CH147" s="709"/>
      <c r="CI147" s="709"/>
      <c r="CJ147" s="709"/>
      <c r="CK147" s="709"/>
      <c r="CL147" s="709"/>
      <c r="CM147" s="709"/>
      <c r="CN147" s="709"/>
      <c r="CO147" s="709"/>
      <c r="CP147" s="709"/>
      <c r="CQ147" s="709"/>
      <c r="CR147" s="709"/>
      <c r="CS147" s="709"/>
      <c r="CT147" s="709"/>
      <c r="CU147" s="709"/>
      <c r="CV147" s="709"/>
      <c r="CW147" s="709"/>
      <c r="CX147" s="709"/>
      <c r="CY147" s="709"/>
      <c r="CZ147" s="709"/>
      <c r="DA147" s="709"/>
      <c r="DB147" s="709"/>
      <c r="DC147" s="709"/>
      <c r="DD147" s="709"/>
      <c r="DE147" s="709"/>
      <c r="DF147" s="709"/>
      <c r="DG147" s="709"/>
      <c r="DH147" s="709"/>
      <c r="DI147" s="709"/>
      <c r="DJ147" s="709"/>
      <c r="DK147" s="709"/>
      <c r="DL147" s="709"/>
      <c r="DM147" s="709"/>
      <c r="DN147" s="709"/>
      <c r="DO147" s="709"/>
      <c r="DP147" s="709"/>
      <c r="DQ147" s="709"/>
      <c r="DR147" s="709"/>
      <c r="DS147" s="709"/>
      <c r="DT147" s="709"/>
      <c r="DU147" s="709"/>
      <c r="DV147" s="709"/>
      <c r="DW147" s="709"/>
      <c r="DX147" s="709"/>
      <c r="DY147" s="709"/>
      <c r="DZ147" s="709"/>
      <c r="EA147" s="709"/>
      <c r="EB147" s="709"/>
      <c r="EC147" s="709"/>
      <c r="ED147" s="709"/>
      <c r="EE147" s="709"/>
      <c r="EF147" s="709"/>
      <c r="EG147" s="709"/>
      <c r="EH147" s="709"/>
      <c r="EI147" s="709"/>
      <c r="EJ147" s="709"/>
      <c r="EK147" s="709"/>
      <c r="EL147" s="709"/>
      <c r="EM147" s="709"/>
      <c r="EN147" s="709"/>
      <c r="EO147" s="709"/>
      <c r="EP147" s="709"/>
      <c r="EQ147" s="709"/>
      <c r="ER147" s="709"/>
      <c r="ES147" s="709"/>
      <c r="ET147" s="709"/>
      <c r="EU147" s="709"/>
      <c r="EV147" s="709"/>
      <c r="EW147" s="709"/>
      <c r="EX147" s="709"/>
      <c r="EY147" s="709"/>
      <c r="EZ147" s="709"/>
      <c r="FA147" s="709"/>
      <c r="FB147" s="709"/>
      <c r="FC147" s="709"/>
      <c r="FD147" s="709"/>
      <c r="FE147" s="709"/>
      <c r="FF147" s="709"/>
      <c r="FG147" s="709"/>
      <c r="FH147" s="709"/>
      <c r="FI147" s="709"/>
      <c r="FJ147" s="709"/>
      <c r="FK147" s="709"/>
      <c r="FL147" s="709"/>
      <c r="FM147" s="709"/>
      <c r="FN147" s="709"/>
      <c r="FO147" s="709"/>
      <c r="FP147" s="709"/>
      <c r="FQ147" s="709"/>
      <c r="FR147" s="709"/>
      <c r="FS147" s="709"/>
      <c r="FT147" s="709"/>
      <c r="FU147" s="709"/>
      <c r="FV147" s="709"/>
      <c r="FW147" s="709"/>
      <c r="FX147" s="709"/>
      <c r="FY147" s="709"/>
      <c r="FZ147" s="709"/>
      <c r="GA147" s="709"/>
      <c r="GB147" s="709"/>
      <c r="GC147" s="709"/>
      <c r="GD147" s="709"/>
      <c r="GE147" s="709"/>
      <c r="GF147" s="709"/>
      <c r="GG147" s="709"/>
      <c r="GH147" s="709"/>
      <c r="GI147" s="709"/>
      <c r="GJ147" s="709"/>
      <c r="GK147" s="709"/>
      <c r="GL147" s="709"/>
      <c r="GM147" s="709"/>
      <c r="GN147" s="709"/>
      <c r="GO147" s="709"/>
      <c r="GP147" s="709"/>
      <c r="GQ147" s="709"/>
      <c r="GR147" s="709"/>
      <c r="GS147" s="709"/>
      <c r="GT147" s="709"/>
      <c r="GU147" s="709"/>
      <c r="GV147" s="709"/>
      <c r="GW147" s="709"/>
      <c r="GX147" s="709"/>
      <c r="GY147" s="709"/>
      <c r="GZ147" s="709"/>
      <c r="HA147" s="709"/>
      <c r="HB147" s="709"/>
      <c r="HC147" s="709"/>
      <c r="HD147" s="709"/>
      <c r="HE147" s="709"/>
      <c r="HF147" s="709"/>
      <c r="HG147" s="709"/>
      <c r="HH147" s="709"/>
      <c r="HI147" s="709"/>
      <c r="HJ147" s="709"/>
      <c r="HK147" s="709"/>
      <c r="HL147" s="709"/>
      <c r="HM147" s="709"/>
      <c r="HN147" s="709"/>
      <c r="HO147" s="709"/>
      <c r="HP147" s="709"/>
      <c r="HQ147" s="709"/>
      <c r="HR147" s="709"/>
      <c r="HS147" s="709"/>
      <c r="HT147" s="709"/>
      <c r="HU147" s="709"/>
      <c r="HV147" s="709"/>
      <c r="HW147" s="709"/>
      <c r="HX147" s="709"/>
      <c r="HY147" s="709"/>
      <c r="HZ147" s="709"/>
      <c r="IA147" s="709"/>
      <c r="IB147" s="709"/>
      <c r="IC147" s="709"/>
      <c r="ID147" s="709"/>
      <c r="IE147" s="709"/>
      <c r="IF147" s="709"/>
      <c r="IG147" s="709"/>
      <c r="IH147" s="709"/>
      <c r="II147" s="709"/>
      <c r="IJ147" s="709"/>
      <c r="IK147" s="709"/>
      <c r="IL147" s="709"/>
      <c r="IM147" s="709"/>
      <c r="IN147" s="709"/>
      <c r="IO147" s="709"/>
      <c r="IP147" s="709"/>
      <c r="IQ147" s="709"/>
      <c r="IR147" s="709"/>
      <c r="IS147" s="709"/>
      <c r="IT147" s="709"/>
      <c r="IU147" s="709"/>
      <c r="IV147" s="709"/>
    </row>
    <row r="148" spans="1:256" ht="15.75" hidden="1" customHeight="1">
      <c r="A148" s="706" t="s">
        <v>335</v>
      </c>
      <c r="B148" s="714">
        <v>35.1195722</v>
      </c>
      <c r="C148" s="714">
        <v>102.77195192000001</v>
      </c>
      <c r="D148" s="689"/>
      <c r="E148" s="714">
        <v>-5.5669424159999988E-2</v>
      </c>
      <c r="F148" s="714">
        <v>46.675569320000008</v>
      </c>
      <c r="G148" s="714">
        <v>-4.8791222799999998</v>
      </c>
      <c r="H148" s="714">
        <f t="shared" si="21"/>
        <v>41.796447040000011</v>
      </c>
      <c r="I148" s="693"/>
      <c r="J148" s="714">
        <v>0</v>
      </c>
      <c r="K148" s="714">
        <f t="shared" si="22"/>
        <v>41.796447040000011</v>
      </c>
      <c r="L148" s="691"/>
      <c r="M148" s="709"/>
      <c r="N148" s="709"/>
      <c r="O148" s="709"/>
      <c r="P148" s="709"/>
      <c r="Q148" s="709"/>
      <c r="R148" s="709"/>
      <c r="S148" s="709"/>
      <c r="T148" s="709"/>
      <c r="U148" s="709"/>
      <c r="V148" s="709"/>
      <c r="W148" s="709"/>
      <c r="X148" s="709"/>
      <c r="Y148" s="709"/>
      <c r="Z148" s="709"/>
      <c r="AA148" s="709"/>
      <c r="AB148" s="709"/>
      <c r="AC148" s="709"/>
      <c r="AD148" s="709"/>
      <c r="AE148" s="709"/>
      <c r="AF148" s="709"/>
      <c r="AG148" s="709"/>
      <c r="AH148" s="709"/>
      <c r="AI148" s="709"/>
      <c r="AJ148" s="709"/>
      <c r="AK148" s="709"/>
      <c r="AL148" s="709"/>
      <c r="AM148" s="709"/>
      <c r="AN148" s="709"/>
      <c r="AO148" s="709"/>
      <c r="AP148" s="709"/>
      <c r="AQ148" s="709"/>
      <c r="AR148" s="709"/>
      <c r="AS148" s="709"/>
      <c r="AT148" s="709"/>
      <c r="AU148" s="709"/>
      <c r="AV148" s="709"/>
      <c r="AW148" s="709"/>
      <c r="AX148" s="709"/>
      <c r="AY148" s="709"/>
      <c r="AZ148" s="709"/>
      <c r="BA148" s="709"/>
      <c r="BB148" s="709"/>
      <c r="BC148" s="709"/>
      <c r="BD148" s="709"/>
      <c r="BE148" s="709"/>
      <c r="BF148" s="709"/>
      <c r="BG148" s="709"/>
      <c r="BH148" s="709"/>
      <c r="BI148" s="709"/>
      <c r="BJ148" s="709"/>
      <c r="BK148" s="709"/>
      <c r="BL148" s="709"/>
      <c r="BM148" s="709"/>
      <c r="BN148" s="709"/>
      <c r="BO148" s="709"/>
      <c r="BP148" s="709"/>
      <c r="BQ148" s="709"/>
      <c r="BR148" s="709"/>
      <c r="BS148" s="709"/>
      <c r="BT148" s="709"/>
      <c r="BU148" s="709"/>
      <c r="BV148" s="709"/>
      <c r="BW148" s="709"/>
      <c r="BX148" s="709"/>
      <c r="BY148" s="709"/>
      <c r="BZ148" s="709"/>
      <c r="CA148" s="709"/>
      <c r="CB148" s="709"/>
      <c r="CC148" s="709"/>
      <c r="CD148" s="709"/>
      <c r="CE148" s="709"/>
      <c r="CF148" s="709"/>
      <c r="CG148" s="709"/>
      <c r="CH148" s="709"/>
      <c r="CI148" s="709"/>
      <c r="CJ148" s="709"/>
      <c r="CK148" s="709"/>
      <c r="CL148" s="709"/>
      <c r="CM148" s="709"/>
      <c r="CN148" s="709"/>
      <c r="CO148" s="709"/>
      <c r="CP148" s="709"/>
      <c r="CQ148" s="709"/>
      <c r="CR148" s="709"/>
      <c r="CS148" s="709"/>
      <c r="CT148" s="709"/>
      <c r="CU148" s="709"/>
      <c r="CV148" s="709"/>
      <c r="CW148" s="709"/>
      <c r="CX148" s="709"/>
      <c r="CY148" s="709"/>
      <c r="CZ148" s="709"/>
      <c r="DA148" s="709"/>
      <c r="DB148" s="709"/>
      <c r="DC148" s="709"/>
      <c r="DD148" s="709"/>
      <c r="DE148" s="709"/>
      <c r="DF148" s="709"/>
      <c r="DG148" s="709"/>
      <c r="DH148" s="709"/>
      <c r="DI148" s="709"/>
      <c r="DJ148" s="709"/>
      <c r="DK148" s="709"/>
      <c r="DL148" s="709"/>
      <c r="DM148" s="709"/>
      <c r="DN148" s="709"/>
      <c r="DO148" s="709"/>
      <c r="DP148" s="709"/>
      <c r="DQ148" s="709"/>
      <c r="DR148" s="709"/>
      <c r="DS148" s="709"/>
      <c r="DT148" s="709"/>
      <c r="DU148" s="709"/>
      <c r="DV148" s="709"/>
      <c r="DW148" s="709"/>
      <c r="DX148" s="709"/>
      <c r="DY148" s="709"/>
      <c r="DZ148" s="709"/>
      <c r="EA148" s="709"/>
      <c r="EB148" s="709"/>
      <c r="EC148" s="709"/>
      <c r="ED148" s="709"/>
      <c r="EE148" s="709"/>
      <c r="EF148" s="709"/>
      <c r="EG148" s="709"/>
      <c r="EH148" s="709"/>
      <c r="EI148" s="709"/>
      <c r="EJ148" s="709"/>
      <c r="EK148" s="709"/>
      <c r="EL148" s="709"/>
      <c r="EM148" s="709"/>
      <c r="EN148" s="709"/>
      <c r="EO148" s="709"/>
      <c r="EP148" s="709"/>
      <c r="EQ148" s="709"/>
      <c r="ER148" s="709"/>
      <c r="ES148" s="709"/>
      <c r="ET148" s="709"/>
      <c r="EU148" s="709"/>
      <c r="EV148" s="709"/>
      <c r="EW148" s="709"/>
      <c r="EX148" s="709"/>
      <c r="EY148" s="709"/>
      <c r="EZ148" s="709"/>
      <c r="FA148" s="709"/>
      <c r="FB148" s="709"/>
      <c r="FC148" s="709"/>
      <c r="FD148" s="709"/>
      <c r="FE148" s="709"/>
      <c r="FF148" s="709"/>
      <c r="FG148" s="709"/>
      <c r="FH148" s="709"/>
      <c r="FI148" s="709"/>
      <c r="FJ148" s="709"/>
      <c r="FK148" s="709"/>
      <c r="FL148" s="709"/>
      <c r="FM148" s="709"/>
      <c r="FN148" s="709"/>
      <c r="FO148" s="709"/>
      <c r="FP148" s="709"/>
      <c r="FQ148" s="709"/>
      <c r="FR148" s="709"/>
      <c r="FS148" s="709"/>
      <c r="FT148" s="709"/>
      <c r="FU148" s="709"/>
      <c r="FV148" s="709"/>
      <c r="FW148" s="709"/>
      <c r="FX148" s="709"/>
      <c r="FY148" s="709"/>
      <c r="FZ148" s="709"/>
      <c r="GA148" s="709"/>
      <c r="GB148" s="709"/>
      <c r="GC148" s="709"/>
      <c r="GD148" s="709"/>
      <c r="GE148" s="709"/>
      <c r="GF148" s="709"/>
      <c r="GG148" s="709"/>
      <c r="GH148" s="709"/>
      <c r="GI148" s="709"/>
      <c r="GJ148" s="709"/>
      <c r="GK148" s="709"/>
      <c r="GL148" s="709"/>
      <c r="GM148" s="709"/>
      <c r="GN148" s="709"/>
      <c r="GO148" s="709"/>
      <c r="GP148" s="709"/>
      <c r="GQ148" s="709"/>
      <c r="GR148" s="709"/>
      <c r="GS148" s="709"/>
      <c r="GT148" s="709"/>
      <c r="GU148" s="709"/>
      <c r="GV148" s="709"/>
      <c r="GW148" s="709"/>
      <c r="GX148" s="709"/>
      <c r="GY148" s="709"/>
      <c r="GZ148" s="709"/>
      <c r="HA148" s="709"/>
      <c r="HB148" s="709"/>
      <c r="HC148" s="709"/>
      <c r="HD148" s="709"/>
      <c r="HE148" s="709"/>
      <c r="HF148" s="709"/>
      <c r="HG148" s="709"/>
      <c r="HH148" s="709"/>
      <c r="HI148" s="709"/>
      <c r="HJ148" s="709"/>
      <c r="HK148" s="709"/>
      <c r="HL148" s="709"/>
      <c r="HM148" s="709"/>
      <c r="HN148" s="709"/>
      <c r="HO148" s="709"/>
      <c r="HP148" s="709"/>
      <c r="HQ148" s="709"/>
      <c r="HR148" s="709"/>
      <c r="HS148" s="709"/>
      <c r="HT148" s="709"/>
      <c r="HU148" s="709"/>
      <c r="HV148" s="709"/>
      <c r="HW148" s="709"/>
      <c r="HX148" s="709"/>
      <c r="HY148" s="709"/>
      <c r="HZ148" s="709"/>
      <c r="IA148" s="709"/>
      <c r="IB148" s="709"/>
      <c r="IC148" s="709"/>
      <c r="ID148" s="709"/>
      <c r="IE148" s="709"/>
      <c r="IF148" s="709"/>
      <c r="IG148" s="709"/>
      <c r="IH148" s="709"/>
      <c r="II148" s="709"/>
      <c r="IJ148" s="709"/>
      <c r="IK148" s="709"/>
      <c r="IL148" s="709"/>
      <c r="IM148" s="709"/>
      <c r="IN148" s="709"/>
      <c r="IO148" s="709"/>
      <c r="IP148" s="709"/>
      <c r="IQ148" s="709"/>
      <c r="IR148" s="709"/>
      <c r="IS148" s="709"/>
      <c r="IT148" s="709"/>
      <c r="IU148" s="709"/>
      <c r="IV148" s="709"/>
    </row>
    <row r="149" spans="1:256" ht="12.75" hidden="1" customHeight="1">
      <c r="A149" s="706" t="s">
        <v>336</v>
      </c>
      <c r="B149" s="714">
        <v>35.164552100000002</v>
      </c>
      <c r="C149" s="714">
        <v>55.922348379999995</v>
      </c>
      <c r="D149" s="689"/>
      <c r="E149" s="714">
        <f t="shared" ref="E149:E157" si="23">B149-C149</f>
        <v>-20.757796279999994</v>
      </c>
      <c r="F149" s="714">
        <v>23.035992099999998</v>
      </c>
      <c r="G149" s="714">
        <v>-2.2781958200000001</v>
      </c>
      <c r="H149" s="714">
        <f t="shared" si="21"/>
        <v>20.757796279999997</v>
      </c>
      <c r="I149" s="693"/>
      <c r="J149" s="714">
        <v>0</v>
      </c>
      <c r="K149" s="714">
        <f t="shared" si="22"/>
        <v>20.757796279999997</v>
      </c>
      <c r="L149" s="691"/>
      <c r="M149" s="709"/>
      <c r="N149" s="709"/>
      <c r="O149" s="709"/>
      <c r="P149" s="709"/>
      <c r="Q149" s="709"/>
      <c r="R149" s="709"/>
      <c r="S149" s="709"/>
      <c r="T149" s="709"/>
      <c r="U149" s="709"/>
      <c r="V149" s="709"/>
      <c r="W149" s="709"/>
      <c r="X149" s="709"/>
      <c r="Y149" s="709"/>
      <c r="Z149" s="709"/>
      <c r="AA149" s="709"/>
      <c r="AB149" s="709"/>
      <c r="AC149" s="709"/>
      <c r="AD149" s="709"/>
      <c r="AE149" s="709"/>
      <c r="AF149" s="709"/>
      <c r="AG149" s="709"/>
      <c r="AH149" s="709"/>
      <c r="AI149" s="709"/>
      <c r="AJ149" s="709"/>
      <c r="AK149" s="709"/>
      <c r="AL149" s="709"/>
      <c r="AM149" s="709"/>
      <c r="AN149" s="709"/>
      <c r="AO149" s="709"/>
      <c r="AP149" s="709"/>
      <c r="AQ149" s="709"/>
      <c r="AR149" s="709"/>
      <c r="AS149" s="709"/>
      <c r="AT149" s="709"/>
      <c r="AU149" s="709"/>
      <c r="AV149" s="709"/>
      <c r="AW149" s="709"/>
      <c r="AX149" s="709"/>
      <c r="AY149" s="709"/>
      <c r="AZ149" s="709"/>
      <c r="BA149" s="709"/>
      <c r="BB149" s="709"/>
      <c r="BC149" s="709"/>
      <c r="BD149" s="709"/>
      <c r="BE149" s="709"/>
      <c r="BF149" s="709"/>
      <c r="BG149" s="709"/>
      <c r="BH149" s="709"/>
      <c r="BI149" s="709"/>
      <c r="BJ149" s="709"/>
      <c r="BK149" s="709"/>
      <c r="BL149" s="709"/>
      <c r="BM149" s="709"/>
      <c r="BN149" s="709"/>
      <c r="BO149" s="709"/>
      <c r="BP149" s="709"/>
      <c r="BQ149" s="709"/>
      <c r="BR149" s="709"/>
      <c r="BS149" s="709"/>
      <c r="BT149" s="709"/>
      <c r="BU149" s="709"/>
      <c r="BV149" s="709"/>
      <c r="BW149" s="709"/>
      <c r="BX149" s="709"/>
      <c r="BY149" s="709"/>
      <c r="BZ149" s="709"/>
      <c r="CA149" s="709"/>
      <c r="CB149" s="709"/>
      <c r="CC149" s="709"/>
      <c r="CD149" s="709"/>
      <c r="CE149" s="709"/>
      <c r="CF149" s="709"/>
      <c r="CG149" s="709"/>
      <c r="CH149" s="709"/>
      <c r="CI149" s="709"/>
      <c r="CJ149" s="709"/>
      <c r="CK149" s="709"/>
      <c r="CL149" s="709"/>
      <c r="CM149" s="709"/>
      <c r="CN149" s="709"/>
      <c r="CO149" s="709"/>
      <c r="CP149" s="709"/>
      <c r="CQ149" s="709"/>
      <c r="CR149" s="709"/>
      <c r="CS149" s="709"/>
      <c r="CT149" s="709"/>
      <c r="CU149" s="709"/>
      <c r="CV149" s="709"/>
      <c r="CW149" s="709"/>
      <c r="CX149" s="709"/>
      <c r="CY149" s="709"/>
      <c r="CZ149" s="709"/>
      <c r="DA149" s="709"/>
      <c r="DB149" s="709"/>
      <c r="DC149" s="709"/>
      <c r="DD149" s="709"/>
      <c r="DE149" s="709"/>
      <c r="DF149" s="709"/>
      <c r="DG149" s="709"/>
      <c r="DH149" s="709"/>
      <c r="DI149" s="709"/>
      <c r="DJ149" s="709"/>
      <c r="DK149" s="709"/>
      <c r="DL149" s="709"/>
      <c r="DM149" s="709"/>
      <c r="DN149" s="709"/>
      <c r="DO149" s="709"/>
      <c r="DP149" s="709"/>
      <c r="DQ149" s="709"/>
      <c r="DR149" s="709"/>
      <c r="DS149" s="709"/>
      <c r="DT149" s="709"/>
      <c r="DU149" s="709"/>
      <c r="DV149" s="709"/>
      <c r="DW149" s="709"/>
      <c r="DX149" s="709"/>
      <c r="DY149" s="709"/>
      <c r="DZ149" s="709"/>
      <c r="EA149" s="709"/>
      <c r="EB149" s="709"/>
      <c r="EC149" s="709"/>
      <c r="ED149" s="709"/>
      <c r="EE149" s="709"/>
      <c r="EF149" s="709"/>
      <c r="EG149" s="709"/>
      <c r="EH149" s="709"/>
      <c r="EI149" s="709"/>
      <c r="EJ149" s="709"/>
      <c r="EK149" s="709"/>
      <c r="EL149" s="709"/>
      <c r="EM149" s="709"/>
      <c r="EN149" s="709"/>
      <c r="EO149" s="709"/>
      <c r="EP149" s="709"/>
      <c r="EQ149" s="709"/>
      <c r="ER149" s="709"/>
      <c r="ES149" s="709"/>
      <c r="ET149" s="709"/>
      <c r="EU149" s="709"/>
      <c r="EV149" s="709"/>
      <c r="EW149" s="709"/>
      <c r="EX149" s="709"/>
      <c r="EY149" s="709"/>
      <c r="EZ149" s="709"/>
      <c r="FA149" s="709"/>
      <c r="FB149" s="709"/>
      <c r="FC149" s="709"/>
      <c r="FD149" s="709"/>
      <c r="FE149" s="709"/>
      <c r="FF149" s="709"/>
      <c r="FG149" s="709"/>
      <c r="FH149" s="709"/>
      <c r="FI149" s="709"/>
      <c r="FJ149" s="709"/>
      <c r="FK149" s="709"/>
      <c r="FL149" s="709"/>
      <c r="FM149" s="709"/>
      <c r="FN149" s="709"/>
      <c r="FO149" s="709"/>
      <c r="FP149" s="709"/>
      <c r="FQ149" s="709"/>
      <c r="FR149" s="709"/>
      <c r="FS149" s="709"/>
      <c r="FT149" s="709"/>
      <c r="FU149" s="709"/>
      <c r="FV149" s="709"/>
      <c r="FW149" s="709"/>
      <c r="FX149" s="709"/>
      <c r="FY149" s="709"/>
      <c r="FZ149" s="709"/>
      <c r="GA149" s="709"/>
      <c r="GB149" s="709"/>
      <c r="GC149" s="709"/>
      <c r="GD149" s="709"/>
      <c r="GE149" s="709"/>
      <c r="GF149" s="709"/>
      <c r="GG149" s="709"/>
      <c r="GH149" s="709"/>
      <c r="GI149" s="709"/>
      <c r="GJ149" s="709"/>
      <c r="GK149" s="709"/>
      <c r="GL149" s="709"/>
      <c r="GM149" s="709"/>
      <c r="GN149" s="709"/>
      <c r="GO149" s="709"/>
      <c r="GP149" s="709"/>
      <c r="GQ149" s="709"/>
      <c r="GR149" s="709"/>
      <c r="GS149" s="709"/>
      <c r="GT149" s="709"/>
      <c r="GU149" s="709"/>
      <c r="GV149" s="709"/>
      <c r="GW149" s="709"/>
      <c r="GX149" s="709"/>
      <c r="GY149" s="709"/>
      <c r="GZ149" s="709"/>
      <c r="HA149" s="709"/>
      <c r="HB149" s="709"/>
      <c r="HC149" s="709"/>
      <c r="HD149" s="709"/>
      <c r="HE149" s="709"/>
      <c r="HF149" s="709"/>
      <c r="HG149" s="709"/>
      <c r="HH149" s="709"/>
      <c r="HI149" s="709"/>
      <c r="HJ149" s="709"/>
      <c r="HK149" s="709"/>
      <c r="HL149" s="709"/>
      <c r="HM149" s="709"/>
      <c r="HN149" s="709"/>
      <c r="HO149" s="709"/>
      <c r="HP149" s="709"/>
      <c r="HQ149" s="709"/>
      <c r="HR149" s="709"/>
      <c r="HS149" s="709"/>
      <c r="HT149" s="709"/>
      <c r="HU149" s="709"/>
      <c r="HV149" s="709"/>
      <c r="HW149" s="709"/>
      <c r="HX149" s="709"/>
      <c r="HY149" s="709"/>
      <c r="HZ149" s="709"/>
      <c r="IA149" s="709"/>
      <c r="IB149" s="709"/>
      <c r="IC149" s="709"/>
      <c r="ID149" s="709"/>
      <c r="IE149" s="709"/>
      <c r="IF149" s="709"/>
      <c r="IG149" s="709"/>
      <c r="IH149" s="709"/>
      <c r="II149" s="709"/>
      <c r="IJ149" s="709"/>
      <c r="IK149" s="709"/>
      <c r="IL149" s="709"/>
      <c r="IM149" s="709"/>
      <c r="IN149" s="709"/>
      <c r="IO149" s="709"/>
      <c r="IP149" s="709"/>
      <c r="IQ149" s="709"/>
      <c r="IR149" s="709"/>
      <c r="IS149" s="709"/>
      <c r="IT149" s="709"/>
      <c r="IU149" s="709"/>
      <c r="IV149" s="709"/>
    </row>
    <row r="150" spans="1:256" ht="12.75" hidden="1" customHeight="1">
      <c r="A150" s="706" t="s">
        <v>337</v>
      </c>
      <c r="B150" s="714">
        <v>61.295305210000002</v>
      </c>
      <c r="C150" s="714">
        <v>105.45309229</v>
      </c>
      <c r="D150" s="689"/>
      <c r="E150" s="714">
        <f t="shared" si="23"/>
        <v>-44.157787079999999</v>
      </c>
      <c r="F150" s="714">
        <v>45.124118870000004</v>
      </c>
      <c r="G150" s="714">
        <v>-0.96633183000000011</v>
      </c>
      <c r="H150" s="714">
        <f t="shared" si="21"/>
        <v>44.157787040000002</v>
      </c>
      <c r="I150" s="693"/>
      <c r="J150" s="714">
        <v>0</v>
      </c>
      <c r="K150" s="714">
        <f t="shared" si="22"/>
        <v>44.157787040000002</v>
      </c>
      <c r="L150" s="691"/>
      <c r="M150" s="709"/>
      <c r="N150" s="709"/>
      <c r="O150" s="709"/>
      <c r="P150" s="709"/>
      <c r="Q150" s="709"/>
      <c r="R150" s="709"/>
      <c r="S150" s="709"/>
      <c r="T150" s="709"/>
      <c r="U150" s="709"/>
      <c r="V150" s="709"/>
      <c r="W150" s="709"/>
      <c r="X150" s="709"/>
      <c r="Y150" s="709"/>
      <c r="Z150" s="709"/>
      <c r="AA150" s="709"/>
      <c r="AB150" s="709"/>
      <c r="AC150" s="709"/>
      <c r="AD150" s="709"/>
      <c r="AE150" s="709"/>
      <c r="AF150" s="709"/>
      <c r="AG150" s="709"/>
      <c r="AH150" s="709"/>
      <c r="AI150" s="709"/>
      <c r="AJ150" s="709"/>
      <c r="AK150" s="709"/>
      <c r="AL150" s="709"/>
      <c r="AM150" s="709"/>
      <c r="AN150" s="709"/>
      <c r="AO150" s="709"/>
      <c r="AP150" s="709"/>
      <c r="AQ150" s="709"/>
      <c r="AR150" s="709"/>
      <c r="AS150" s="709"/>
      <c r="AT150" s="709"/>
      <c r="AU150" s="709"/>
      <c r="AV150" s="709"/>
      <c r="AW150" s="709"/>
      <c r="AX150" s="709"/>
      <c r="AY150" s="709"/>
      <c r="AZ150" s="709"/>
      <c r="BA150" s="709"/>
      <c r="BB150" s="709"/>
      <c r="BC150" s="709"/>
      <c r="BD150" s="709"/>
      <c r="BE150" s="709"/>
      <c r="BF150" s="709"/>
      <c r="BG150" s="709"/>
      <c r="BH150" s="709"/>
      <c r="BI150" s="709"/>
      <c r="BJ150" s="709"/>
      <c r="BK150" s="709"/>
      <c r="BL150" s="709"/>
      <c r="BM150" s="709"/>
      <c r="BN150" s="709"/>
      <c r="BO150" s="709"/>
      <c r="BP150" s="709"/>
      <c r="BQ150" s="709"/>
      <c r="BR150" s="709"/>
      <c r="BS150" s="709"/>
      <c r="BT150" s="709"/>
      <c r="BU150" s="709"/>
      <c r="BV150" s="709"/>
      <c r="BW150" s="709"/>
      <c r="BX150" s="709"/>
      <c r="BY150" s="709"/>
      <c r="BZ150" s="709"/>
      <c r="CA150" s="709"/>
      <c r="CB150" s="709"/>
      <c r="CC150" s="709"/>
      <c r="CD150" s="709"/>
      <c r="CE150" s="709"/>
      <c r="CF150" s="709"/>
      <c r="CG150" s="709"/>
      <c r="CH150" s="709"/>
      <c r="CI150" s="709"/>
      <c r="CJ150" s="709"/>
      <c r="CK150" s="709"/>
      <c r="CL150" s="709"/>
      <c r="CM150" s="709"/>
      <c r="CN150" s="709"/>
      <c r="CO150" s="709"/>
      <c r="CP150" s="709"/>
      <c r="CQ150" s="709"/>
      <c r="CR150" s="709"/>
      <c r="CS150" s="709"/>
      <c r="CT150" s="709"/>
      <c r="CU150" s="709"/>
      <c r="CV150" s="709"/>
      <c r="CW150" s="709"/>
      <c r="CX150" s="709"/>
      <c r="CY150" s="709"/>
      <c r="CZ150" s="709"/>
      <c r="DA150" s="709"/>
      <c r="DB150" s="709"/>
      <c r="DC150" s="709"/>
      <c r="DD150" s="709"/>
      <c r="DE150" s="709"/>
      <c r="DF150" s="709"/>
      <c r="DG150" s="709"/>
      <c r="DH150" s="709"/>
      <c r="DI150" s="709"/>
      <c r="DJ150" s="709"/>
      <c r="DK150" s="709"/>
      <c r="DL150" s="709"/>
      <c r="DM150" s="709"/>
      <c r="DN150" s="709"/>
      <c r="DO150" s="709"/>
      <c r="DP150" s="709"/>
      <c r="DQ150" s="709"/>
      <c r="DR150" s="709"/>
      <c r="DS150" s="709"/>
      <c r="DT150" s="709"/>
      <c r="DU150" s="709"/>
      <c r="DV150" s="709"/>
      <c r="DW150" s="709"/>
      <c r="DX150" s="709"/>
      <c r="DY150" s="709"/>
      <c r="DZ150" s="709"/>
      <c r="EA150" s="709"/>
      <c r="EB150" s="709"/>
      <c r="EC150" s="709"/>
      <c r="ED150" s="709"/>
      <c r="EE150" s="709"/>
      <c r="EF150" s="709"/>
      <c r="EG150" s="709"/>
      <c r="EH150" s="709"/>
      <c r="EI150" s="709"/>
      <c r="EJ150" s="709"/>
      <c r="EK150" s="709"/>
      <c r="EL150" s="709"/>
      <c r="EM150" s="709"/>
      <c r="EN150" s="709"/>
      <c r="EO150" s="709"/>
      <c r="EP150" s="709"/>
      <c r="EQ150" s="709"/>
      <c r="ER150" s="709"/>
      <c r="ES150" s="709"/>
      <c r="ET150" s="709"/>
      <c r="EU150" s="709"/>
      <c r="EV150" s="709"/>
      <c r="EW150" s="709"/>
      <c r="EX150" s="709"/>
      <c r="EY150" s="709"/>
      <c r="EZ150" s="709"/>
      <c r="FA150" s="709"/>
      <c r="FB150" s="709"/>
      <c r="FC150" s="709"/>
      <c r="FD150" s="709"/>
      <c r="FE150" s="709"/>
      <c r="FF150" s="709"/>
      <c r="FG150" s="709"/>
      <c r="FH150" s="709"/>
      <c r="FI150" s="709"/>
      <c r="FJ150" s="709"/>
      <c r="FK150" s="709"/>
      <c r="FL150" s="709"/>
      <c r="FM150" s="709"/>
      <c r="FN150" s="709"/>
      <c r="FO150" s="709"/>
      <c r="FP150" s="709"/>
      <c r="FQ150" s="709"/>
      <c r="FR150" s="709"/>
      <c r="FS150" s="709"/>
      <c r="FT150" s="709"/>
      <c r="FU150" s="709"/>
      <c r="FV150" s="709"/>
      <c r="FW150" s="709"/>
      <c r="FX150" s="709"/>
      <c r="FY150" s="709"/>
      <c r="FZ150" s="709"/>
      <c r="GA150" s="709"/>
      <c r="GB150" s="709"/>
      <c r="GC150" s="709"/>
      <c r="GD150" s="709"/>
      <c r="GE150" s="709"/>
      <c r="GF150" s="709"/>
      <c r="GG150" s="709"/>
      <c r="GH150" s="709"/>
      <c r="GI150" s="709"/>
      <c r="GJ150" s="709"/>
      <c r="GK150" s="709"/>
      <c r="GL150" s="709"/>
      <c r="GM150" s="709"/>
      <c r="GN150" s="709"/>
      <c r="GO150" s="709"/>
      <c r="GP150" s="709"/>
      <c r="GQ150" s="709"/>
      <c r="GR150" s="709"/>
      <c r="GS150" s="709"/>
      <c r="GT150" s="709"/>
      <c r="GU150" s="709"/>
      <c r="GV150" s="709"/>
      <c r="GW150" s="709"/>
      <c r="GX150" s="709"/>
      <c r="GY150" s="709"/>
      <c r="GZ150" s="709"/>
      <c r="HA150" s="709"/>
      <c r="HB150" s="709"/>
      <c r="HC150" s="709"/>
      <c r="HD150" s="709"/>
      <c r="HE150" s="709"/>
      <c r="HF150" s="709"/>
      <c r="HG150" s="709"/>
      <c r="HH150" s="709"/>
      <c r="HI150" s="709"/>
      <c r="HJ150" s="709"/>
      <c r="HK150" s="709"/>
      <c r="HL150" s="709"/>
      <c r="HM150" s="709"/>
      <c r="HN150" s="709"/>
      <c r="HO150" s="709"/>
      <c r="HP150" s="709"/>
      <c r="HQ150" s="709"/>
      <c r="HR150" s="709"/>
      <c r="HS150" s="709"/>
      <c r="HT150" s="709"/>
      <c r="HU150" s="709"/>
      <c r="HV150" s="709"/>
      <c r="HW150" s="709"/>
      <c r="HX150" s="709"/>
      <c r="HY150" s="709"/>
      <c r="HZ150" s="709"/>
      <c r="IA150" s="709"/>
      <c r="IB150" s="709"/>
      <c r="IC150" s="709"/>
      <c r="ID150" s="709"/>
      <c r="IE150" s="709"/>
      <c r="IF150" s="709"/>
      <c r="IG150" s="709"/>
      <c r="IH150" s="709"/>
      <c r="II150" s="709"/>
      <c r="IJ150" s="709"/>
      <c r="IK150" s="709"/>
      <c r="IL150" s="709"/>
      <c r="IM150" s="709"/>
      <c r="IN150" s="709"/>
      <c r="IO150" s="709"/>
      <c r="IP150" s="709"/>
      <c r="IQ150" s="709"/>
      <c r="IR150" s="709"/>
      <c r="IS150" s="709"/>
      <c r="IT150" s="709"/>
      <c r="IU150" s="709"/>
      <c r="IV150" s="709"/>
    </row>
    <row r="151" spans="1:256" ht="12.75" hidden="1" customHeight="1">
      <c r="A151" s="706" t="s">
        <v>346</v>
      </c>
      <c r="B151" s="714">
        <v>0.34048733679999998</v>
      </c>
      <c r="C151" s="714">
        <v>0.58489271770000006</v>
      </c>
      <c r="D151" s="689"/>
      <c r="E151" s="714">
        <f t="shared" si="23"/>
        <v>-0.24440538090000008</v>
      </c>
      <c r="F151" s="714">
        <v>0.25195800270000002</v>
      </c>
      <c r="G151" s="714">
        <v>-7.5526217999999992E-3</v>
      </c>
      <c r="H151" s="714">
        <f t="shared" si="21"/>
        <v>0.24440538090000002</v>
      </c>
      <c r="I151" s="693"/>
      <c r="J151" s="714">
        <v>0</v>
      </c>
      <c r="K151" s="714">
        <f t="shared" si="22"/>
        <v>0.24440538090000002</v>
      </c>
      <c r="L151" s="691"/>
      <c r="M151" s="709"/>
      <c r="N151" s="709"/>
      <c r="O151" s="709"/>
      <c r="P151" s="709"/>
      <c r="Q151" s="709"/>
      <c r="R151" s="709"/>
      <c r="S151" s="709"/>
      <c r="T151" s="709"/>
      <c r="U151" s="709"/>
      <c r="V151" s="709"/>
      <c r="W151" s="709"/>
      <c r="X151" s="709"/>
      <c r="Y151" s="709"/>
      <c r="Z151" s="709"/>
      <c r="AA151" s="709"/>
      <c r="AB151" s="709"/>
      <c r="AC151" s="709"/>
      <c r="AD151" s="709"/>
      <c r="AE151" s="709"/>
      <c r="AF151" s="709"/>
      <c r="AG151" s="709"/>
      <c r="AH151" s="709"/>
      <c r="AI151" s="709"/>
      <c r="AJ151" s="709"/>
      <c r="AK151" s="709"/>
      <c r="AL151" s="709"/>
      <c r="AM151" s="709"/>
      <c r="AN151" s="709"/>
      <c r="AO151" s="709"/>
      <c r="AP151" s="709"/>
      <c r="AQ151" s="709"/>
      <c r="AR151" s="709"/>
      <c r="AS151" s="709"/>
      <c r="AT151" s="709"/>
      <c r="AU151" s="709"/>
      <c r="AV151" s="709"/>
      <c r="AW151" s="709"/>
      <c r="AX151" s="709"/>
      <c r="AY151" s="709"/>
      <c r="AZ151" s="709"/>
      <c r="BA151" s="709"/>
      <c r="BB151" s="709"/>
      <c r="BC151" s="709"/>
      <c r="BD151" s="709"/>
      <c r="BE151" s="709"/>
      <c r="BF151" s="709"/>
      <c r="BG151" s="709"/>
      <c r="BH151" s="709"/>
      <c r="BI151" s="709"/>
      <c r="BJ151" s="709"/>
      <c r="BK151" s="709"/>
      <c r="BL151" s="709"/>
      <c r="BM151" s="709"/>
      <c r="BN151" s="709"/>
      <c r="BO151" s="709"/>
      <c r="BP151" s="709"/>
      <c r="BQ151" s="709"/>
      <c r="BR151" s="709"/>
      <c r="BS151" s="709"/>
      <c r="BT151" s="709"/>
      <c r="BU151" s="709"/>
      <c r="BV151" s="709"/>
      <c r="BW151" s="709"/>
      <c r="BX151" s="709"/>
      <c r="BY151" s="709"/>
      <c r="BZ151" s="709"/>
      <c r="CA151" s="709"/>
      <c r="CB151" s="709"/>
      <c r="CC151" s="709"/>
      <c r="CD151" s="709"/>
      <c r="CE151" s="709"/>
      <c r="CF151" s="709"/>
      <c r="CG151" s="709"/>
      <c r="CH151" s="709"/>
      <c r="CI151" s="709"/>
      <c r="CJ151" s="709"/>
      <c r="CK151" s="709"/>
      <c r="CL151" s="709"/>
      <c r="CM151" s="709"/>
      <c r="CN151" s="709"/>
      <c r="CO151" s="709"/>
      <c r="CP151" s="709"/>
      <c r="CQ151" s="709"/>
      <c r="CR151" s="709"/>
      <c r="CS151" s="709"/>
      <c r="CT151" s="709"/>
      <c r="CU151" s="709"/>
      <c r="CV151" s="709"/>
      <c r="CW151" s="709"/>
      <c r="CX151" s="709"/>
      <c r="CY151" s="709"/>
      <c r="CZ151" s="709"/>
      <c r="DA151" s="709"/>
      <c r="DB151" s="709"/>
      <c r="DC151" s="709"/>
      <c r="DD151" s="709"/>
      <c r="DE151" s="709"/>
      <c r="DF151" s="709"/>
      <c r="DG151" s="709"/>
      <c r="DH151" s="709"/>
      <c r="DI151" s="709"/>
      <c r="DJ151" s="709"/>
      <c r="DK151" s="709"/>
      <c r="DL151" s="709"/>
      <c r="DM151" s="709"/>
      <c r="DN151" s="709"/>
      <c r="DO151" s="709"/>
      <c r="DP151" s="709"/>
      <c r="DQ151" s="709"/>
      <c r="DR151" s="709"/>
      <c r="DS151" s="709"/>
      <c r="DT151" s="709"/>
      <c r="DU151" s="709"/>
      <c r="DV151" s="709"/>
      <c r="DW151" s="709"/>
      <c r="DX151" s="709"/>
      <c r="DY151" s="709"/>
      <c r="DZ151" s="709"/>
      <c r="EA151" s="709"/>
      <c r="EB151" s="709"/>
      <c r="EC151" s="709"/>
      <c r="ED151" s="709"/>
      <c r="EE151" s="709"/>
      <c r="EF151" s="709"/>
      <c r="EG151" s="709"/>
      <c r="EH151" s="709"/>
      <c r="EI151" s="709"/>
      <c r="EJ151" s="709"/>
      <c r="EK151" s="709"/>
      <c r="EL151" s="709"/>
      <c r="EM151" s="709"/>
      <c r="EN151" s="709"/>
      <c r="EO151" s="709"/>
      <c r="EP151" s="709"/>
      <c r="EQ151" s="709"/>
      <c r="ER151" s="709"/>
      <c r="ES151" s="709"/>
      <c r="ET151" s="709"/>
      <c r="EU151" s="709"/>
      <c r="EV151" s="709"/>
      <c r="EW151" s="709"/>
      <c r="EX151" s="709"/>
      <c r="EY151" s="709"/>
      <c r="EZ151" s="709"/>
      <c r="FA151" s="709"/>
      <c r="FB151" s="709"/>
      <c r="FC151" s="709"/>
      <c r="FD151" s="709"/>
      <c r="FE151" s="709"/>
      <c r="FF151" s="709"/>
      <c r="FG151" s="709"/>
      <c r="FH151" s="709"/>
      <c r="FI151" s="709"/>
      <c r="FJ151" s="709"/>
      <c r="FK151" s="709"/>
      <c r="FL151" s="709"/>
      <c r="FM151" s="709"/>
      <c r="FN151" s="709"/>
      <c r="FO151" s="709"/>
      <c r="FP151" s="709"/>
      <c r="FQ151" s="709"/>
      <c r="FR151" s="709"/>
      <c r="FS151" s="709"/>
      <c r="FT151" s="709"/>
      <c r="FU151" s="709"/>
      <c r="FV151" s="709"/>
      <c r="FW151" s="709"/>
      <c r="FX151" s="709"/>
      <c r="FY151" s="709"/>
      <c r="FZ151" s="709"/>
      <c r="GA151" s="709"/>
      <c r="GB151" s="709"/>
      <c r="GC151" s="709"/>
      <c r="GD151" s="709"/>
      <c r="GE151" s="709"/>
      <c r="GF151" s="709"/>
      <c r="GG151" s="709"/>
      <c r="GH151" s="709"/>
      <c r="GI151" s="709"/>
      <c r="GJ151" s="709"/>
      <c r="GK151" s="709"/>
      <c r="GL151" s="709"/>
      <c r="GM151" s="709"/>
      <c r="GN151" s="709"/>
      <c r="GO151" s="709"/>
      <c r="GP151" s="709"/>
      <c r="GQ151" s="709"/>
      <c r="GR151" s="709"/>
      <c r="GS151" s="709"/>
      <c r="GT151" s="709"/>
      <c r="GU151" s="709"/>
      <c r="GV151" s="709"/>
      <c r="GW151" s="709"/>
      <c r="GX151" s="709"/>
      <c r="GY151" s="709"/>
      <c r="GZ151" s="709"/>
      <c r="HA151" s="709"/>
      <c r="HB151" s="709"/>
      <c r="HC151" s="709"/>
      <c r="HD151" s="709"/>
      <c r="HE151" s="709"/>
      <c r="HF151" s="709"/>
      <c r="HG151" s="709"/>
      <c r="HH151" s="709"/>
      <c r="HI151" s="709"/>
      <c r="HJ151" s="709"/>
      <c r="HK151" s="709"/>
      <c r="HL151" s="709"/>
      <c r="HM151" s="709"/>
      <c r="HN151" s="709"/>
      <c r="HO151" s="709"/>
      <c r="HP151" s="709"/>
      <c r="HQ151" s="709"/>
      <c r="HR151" s="709"/>
      <c r="HS151" s="709"/>
      <c r="HT151" s="709"/>
      <c r="HU151" s="709"/>
      <c r="HV151" s="709"/>
      <c r="HW151" s="709"/>
      <c r="HX151" s="709"/>
      <c r="HY151" s="709"/>
      <c r="HZ151" s="709"/>
      <c r="IA151" s="709"/>
      <c r="IB151" s="709"/>
      <c r="IC151" s="709"/>
      <c r="ID151" s="709"/>
      <c r="IE151" s="709"/>
      <c r="IF151" s="709"/>
      <c r="IG151" s="709"/>
      <c r="IH151" s="709"/>
      <c r="II151" s="709"/>
      <c r="IJ151" s="709"/>
      <c r="IK151" s="709"/>
      <c r="IL151" s="709"/>
      <c r="IM151" s="709"/>
      <c r="IN151" s="709"/>
      <c r="IO151" s="709"/>
      <c r="IP151" s="709"/>
      <c r="IQ151" s="709"/>
      <c r="IR151" s="709"/>
      <c r="IS151" s="709"/>
      <c r="IT151" s="709"/>
      <c r="IU151" s="709"/>
      <c r="IV151" s="709"/>
    </row>
    <row r="152" spans="1:256" ht="12.75" hidden="1" customHeight="1">
      <c r="A152" s="706" t="s">
        <v>347</v>
      </c>
      <c r="B152" s="714">
        <v>278.94213191</v>
      </c>
      <c r="C152" s="714">
        <v>354.88400255999994</v>
      </c>
      <c r="D152" s="689"/>
      <c r="E152" s="714">
        <f t="shared" si="23"/>
        <v>-75.941870649999942</v>
      </c>
      <c r="F152" s="714">
        <v>75.951870650000004</v>
      </c>
      <c r="G152" s="714">
        <v>-0.01</v>
      </c>
      <c r="H152" s="714">
        <f t="shared" si="21"/>
        <v>75.941870649999998</v>
      </c>
      <c r="I152" s="693"/>
      <c r="J152" s="714">
        <v>0</v>
      </c>
      <c r="K152" s="714">
        <f t="shared" si="22"/>
        <v>75.941870649999998</v>
      </c>
      <c r="L152" s="691"/>
      <c r="M152" s="709"/>
      <c r="N152" s="709"/>
      <c r="O152" s="709"/>
      <c r="P152" s="709"/>
      <c r="Q152" s="709"/>
      <c r="R152" s="709"/>
      <c r="S152" s="709"/>
      <c r="T152" s="709"/>
      <c r="U152" s="709"/>
      <c r="V152" s="709"/>
      <c r="W152" s="709"/>
      <c r="X152" s="709"/>
      <c r="Y152" s="709"/>
      <c r="Z152" s="709"/>
      <c r="AA152" s="709"/>
      <c r="AB152" s="709"/>
      <c r="AC152" s="709"/>
      <c r="AD152" s="709"/>
      <c r="AE152" s="709"/>
      <c r="AF152" s="709"/>
      <c r="AG152" s="709"/>
      <c r="AH152" s="709"/>
      <c r="AI152" s="709"/>
      <c r="AJ152" s="709"/>
      <c r="AK152" s="709"/>
      <c r="AL152" s="709"/>
      <c r="AM152" s="709"/>
      <c r="AN152" s="709"/>
      <c r="AO152" s="709"/>
      <c r="AP152" s="709"/>
      <c r="AQ152" s="709"/>
      <c r="AR152" s="709"/>
      <c r="AS152" s="709"/>
      <c r="AT152" s="709"/>
      <c r="AU152" s="709"/>
      <c r="AV152" s="709"/>
      <c r="AW152" s="709"/>
      <c r="AX152" s="709"/>
      <c r="AY152" s="709"/>
      <c r="AZ152" s="709"/>
      <c r="BA152" s="709"/>
      <c r="BB152" s="709"/>
      <c r="BC152" s="709"/>
      <c r="BD152" s="709"/>
      <c r="BE152" s="709"/>
      <c r="BF152" s="709"/>
      <c r="BG152" s="709"/>
      <c r="BH152" s="709"/>
      <c r="BI152" s="709"/>
      <c r="BJ152" s="709"/>
      <c r="BK152" s="709"/>
      <c r="BL152" s="709"/>
      <c r="BM152" s="709"/>
      <c r="BN152" s="709"/>
      <c r="BO152" s="709"/>
      <c r="BP152" s="709"/>
      <c r="BQ152" s="709"/>
      <c r="BR152" s="709"/>
      <c r="BS152" s="709"/>
      <c r="BT152" s="709"/>
      <c r="BU152" s="709"/>
      <c r="BV152" s="709"/>
      <c r="BW152" s="709"/>
      <c r="BX152" s="709"/>
      <c r="BY152" s="709"/>
      <c r="BZ152" s="709"/>
      <c r="CA152" s="709"/>
      <c r="CB152" s="709"/>
      <c r="CC152" s="709"/>
      <c r="CD152" s="709"/>
      <c r="CE152" s="709"/>
      <c r="CF152" s="709"/>
      <c r="CG152" s="709"/>
      <c r="CH152" s="709"/>
      <c r="CI152" s="709"/>
      <c r="CJ152" s="709"/>
      <c r="CK152" s="709"/>
      <c r="CL152" s="709"/>
      <c r="CM152" s="709"/>
      <c r="CN152" s="709"/>
      <c r="CO152" s="709"/>
      <c r="CP152" s="709"/>
      <c r="CQ152" s="709"/>
      <c r="CR152" s="709"/>
      <c r="CS152" s="709"/>
      <c r="CT152" s="709"/>
      <c r="CU152" s="709"/>
      <c r="CV152" s="709"/>
      <c r="CW152" s="709"/>
      <c r="CX152" s="709"/>
      <c r="CY152" s="709"/>
      <c r="CZ152" s="709"/>
      <c r="DA152" s="709"/>
      <c r="DB152" s="709"/>
      <c r="DC152" s="709"/>
      <c r="DD152" s="709"/>
      <c r="DE152" s="709"/>
      <c r="DF152" s="709"/>
      <c r="DG152" s="709"/>
      <c r="DH152" s="709"/>
      <c r="DI152" s="709"/>
      <c r="DJ152" s="709"/>
      <c r="DK152" s="709"/>
      <c r="DL152" s="709"/>
      <c r="DM152" s="709"/>
      <c r="DN152" s="709"/>
      <c r="DO152" s="709"/>
      <c r="DP152" s="709"/>
      <c r="DQ152" s="709"/>
      <c r="DR152" s="709"/>
      <c r="DS152" s="709"/>
      <c r="DT152" s="709"/>
      <c r="DU152" s="709"/>
      <c r="DV152" s="709"/>
      <c r="DW152" s="709"/>
      <c r="DX152" s="709"/>
      <c r="DY152" s="709"/>
      <c r="DZ152" s="709"/>
      <c r="EA152" s="709"/>
      <c r="EB152" s="709"/>
      <c r="EC152" s="709"/>
      <c r="ED152" s="709"/>
      <c r="EE152" s="709"/>
      <c r="EF152" s="709"/>
      <c r="EG152" s="709"/>
      <c r="EH152" s="709"/>
      <c r="EI152" s="709"/>
      <c r="EJ152" s="709"/>
      <c r="EK152" s="709"/>
      <c r="EL152" s="709"/>
      <c r="EM152" s="709"/>
      <c r="EN152" s="709"/>
      <c r="EO152" s="709"/>
      <c r="EP152" s="709"/>
      <c r="EQ152" s="709"/>
      <c r="ER152" s="709"/>
      <c r="ES152" s="709"/>
      <c r="ET152" s="709"/>
      <c r="EU152" s="709"/>
      <c r="EV152" s="709"/>
      <c r="EW152" s="709"/>
      <c r="EX152" s="709"/>
      <c r="EY152" s="709"/>
      <c r="EZ152" s="709"/>
      <c r="FA152" s="709"/>
      <c r="FB152" s="709"/>
      <c r="FC152" s="709"/>
      <c r="FD152" s="709"/>
      <c r="FE152" s="709"/>
      <c r="FF152" s="709"/>
      <c r="FG152" s="709"/>
      <c r="FH152" s="709"/>
      <c r="FI152" s="709"/>
      <c r="FJ152" s="709"/>
      <c r="FK152" s="709"/>
      <c r="FL152" s="709"/>
      <c r="FM152" s="709"/>
      <c r="FN152" s="709"/>
      <c r="FO152" s="709"/>
      <c r="FP152" s="709"/>
      <c r="FQ152" s="709"/>
      <c r="FR152" s="709"/>
      <c r="FS152" s="709"/>
      <c r="FT152" s="709"/>
      <c r="FU152" s="709"/>
      <c r="FV152" s="709"/>
      <c r="FW152" s="709"/>
      <c r="FX152" s="709"/>
      <c r="FY152" s="709"/>
      <c r="FZ152" s="709"/>
      <c r="GA152" s="709"/>
      <c r="GB152" s="709"/>
      <c r="GC152" s="709"/>
      <c r="GD152" s="709"/>
      <c r="GE152" s="709"/>
      <c r="GF152" s="709"/>
      <c r="GG152" s="709"/>
      <c r="GH152" s="709"/>
      <c r="GI152" s="709"/>
      <c r="GJ152" s="709"/>
      <c r="GK152" s="709"/>
      <c r="GL152" s="709"/>
      <c r="GM152" s="709"/>
      <c r="GN152" s="709"/>
      <c r="GO152" s="709"/>
      <c r="GP152" s="709"/>
      <c r="GQ152" s="709"/>
      <c r="GR152" s="709"/>
      <c r="GS152" s="709"/>
      <c r="GT152" s="709"/>
      <c r="GU152" s="709"/>
      <c r="GV152" s="709"/>
      <c r="GW152" s="709"/>
      <c r="GX152" s="709"/>
      <c r="GY152" s="709"/>
      <c r="GZ152" s="709"/>
      <c r="HA152" s="709"/>
      <c r="HB152" s="709"/>
      <c r="HC152" s="709"/>
      <c r="HD152" s="709"/>
      <c r="HE152" s="709"/>
      <c r="HF152" s="709"/>
      <c r="HG152" s="709"/>
      <c r="HH152" s="709"/>
      <c r="HI152" s="709"/>
      <c r="HJ152" s="709"/>
      <c r="HK152" s="709"/>
      <c r="HL152" s="709"/>
      <c r="HM152" s="709"/>
      <c r="HN152" s="709"/>
      <c r="HO152" s="709"/>
      <c r="HP152" s="709"/>
      <c r="HQ152" s="709"/>
      <c r="HR152" s="709"/>
      <c r="HS152" s="709"/>
      <c r="HT152" s="709"/>
      <c r="HU152" s="709"/>
      <c r="HV152" s="709"/>
      <c r="HW152" s="709"/>
      <c r="HX152" s="709"/>
      <c r="HY152" s="709"/>
      <c r="HZ152" s="709"/>
      <c r="IA152" s="709"/>
      <c r="IB152" s="709"/>
      <c r="IC152" s="709"/>
      <c r="ID152" s="709"/>
      <c r="IE152" s="709"/>
      <c r="IF152" s="709"/>
      <c r="IG152" s="709"/>
      <c r="IH152" s="709"/>
      <c r="II152" s="709"/>
      <c r="IJ152" s="709"/>
      <c r="IK152" s="709"/>
      <c r="IL152" s="709"/>
      <c r="IM152" s="709"/>
      <c r="IN152" s="709"/>
      <c r="IO152" s="709"/>
      <c r="IP152" s="709"/>
      <c r="IQ152" s="709"/>
      <c r="IR152" s="709"/>
      <c r="IS152" s="709"/>
      <c r="IT152" s="709"/>
      <c r="IU152" s="709"/>
      <c r="IV152" s="709"/>
    </row>
    <row r="153" spans="1:256" ht="12.75" hidden="1" customHeight="1">
      <c r="A153" s="706" t="s">
        <v>12</v>
      </c>
      <c r="B153" s="714">
        <v>445.18537789999999</v>
      </c>
      <c r="C153" s="714">
        <v>268.33420715</v>
      </c>
      <c r="D153" s="689"/>
      <c r="E153" s="714">
        <f t="shared" si="23"/>
        <v>176.85117074999999</v>
      </c>
      <c r="F153" s="714">
        <v>-181.96754239000001</v>
      </c>
      <c r="G153" s="714">
        <v>5.1163716099999998</v>
      </c>
      <c r="H153" s="714">
        <f t="shared" si="21"/>
        <v>-176.85117078000002</v>
      </c>
      <c r="I153" s="693"/>
      <c r="J153" s="714">
        <v>0</v>
      </c>
      <c r="K153" s="714">
        <f t="shared" si="22"/>
        <v>-176.85117078000002</v>
      </c>
      <c r="L153" s="691"/>
      <c r="M153" s="709"/>
      <c r="N153" s="709"/>
      <c r="O153" s="709"/>
      <c r="P153" s="709"/>
      <c r="Q153" s="709"/>
      <c r="R153" s="709"/>
      <c r="S153" s="709"/>
      <c r="T153" s="709"/>
      <c r="U153" s="709"/>
      <c r="V153" s="709"/>
      <c r="W153" s="709"/>
      <c r="X153" s="709"/>
      <c r="Y153" s="709"/>
      <c r="Z153" s="709"/>
      <c r="AA153" s="709"/>
      <c r="AB153" s="709"/>
      <c r="AC153" s="709"/>
      <c r="AD153" s="709"/>
      <c r="AE153" s="709"/>
      <c r="AF153" s="709"/>
      <c r="AG153" s="709"/>
      <c r="AH153" s="709"/>
      <c r="AI153" s="709"/>
      <c r="AJ153" s="709"/>
      <c r="AK153" s="709"/>
      <c r="AL153" s="709"/>
      <c r="AM153" s="709"/>
      <c r="AN153" s="709"/>
      <c r="AO153" s="709"/>
      <c r="AP153" s="709"/>
      <c r="AQ153" s="709"/>
      <c r="AR153" s="709"/>
      <c r="AS153" s="709"/>
      <c r="AT153" s="709"/>
      <c r="AU153" s="709"/>
      <c r="AV153" s="709"/>
      <c r="AW153" s="709"/>
      <c r="AX153" s="709"/>
      <c r="AY153" s="709"/>
      <c r="AZ153" s="709"/>
      <c r="BA153" s="709"/>
      <c r="BB153" s="709"/>
      <c r="BC153" s="709"/>
      <c r="BD153" s="709"/>
      <c r="BE153" s="709"/>
      <c r="BF153" s="709"/>
      <c r="BG153" s="709"/>
      <c r="BH153" s="709"/>
      <c r="BI153" s="709"/>
      <c r="BJ153" s="709"/>
      <c r="BK153" s="709"/>
      <c r="BL153" s="709"/>
      <c r="BM153" s="709"/>
      <c r="BN153" s="709"/>
      <c r="BO153" s="709"/>
      <c r="BP153" s="709"/>
      <c r="BQ153" s="709"/>
      <c r="BR153" s="709"/>
      <c r="BS153" s="709"/>
      <c r="BT153" s="709"/>
      <c r="BU153" s="709"/>
      <c r="BV153" s="709"/>
      <c r="BW153" s="709"/>
      <c r="BX153" s="709"/>
      <c r="BY153" s="709"/>
      <c r="BZ153" s="709"/>
      <c r="CA153" s="709"/>
      <c r="CB153" s="709"/>
      <c r="CC153" s="709"/>
      <c r="CD153" s="709"/>
      <c r="CE153" s="709"/>
      <c r="CF153" s="709"/>
      <c r="CG153" s="709"/>
      <c r="CH153" s="709"/>
      <c r="CI153" s="709"/>
      <c r="CJ153" s="709"/>
      <c r="CK153" s="709"/>
      <c r="CL153" s="709"/>
      <c r="CM153" s="709"/>
      <c r="CN153" s="709"/>
      <c r="CO153" s="709"/>
      <c r="CP153" s="709"/>
      <c r="CQ153" s="709"/>
      <c r="CR153" s="709"/>
      <c r="CS153" s="709"/>
      <c r="CT153" s="709"/>
      <c r="CU153" s="709"/>
      <c r="CV153" s="709"/>
      <c r="CW153" s="709"/>
      <c r="CX153" s="709"/>
      <c r="CY153" s="709"/>
      <c r="CZ153" s="709"/>
      <c r="DA153" s="709"/>
      <c r="DB153" s="709"/>
      <c r="DC153" s="709"/>
      <c r="DD153" s="709"/>
      <c r="DE153" s="709"/>
      <c r="DF153" s="709"/>
      <c r="DG153" s="709"/>
      <c r="DH153" s="709"/>
      <c r="DI153" s="709"/>
      <c r="DJ153" s="709"/>
      <c r="DK153" s="709"/>
      <c r="DL153" s="709"/>
      <c r="DM153" s="709"/>
      <c r="DN153" s="709"/>
      <c r="DO153" s="709"/>
      <c r="DP153" s="709"/>
      <c r="DQ153" s="709"/>
      <c r="DR153" s="709"/>
      <c r="DS153" s="709"/>
      <c r="DT153" s="709"/>
      <c r="DU153" s="709"/>
      <c r="DV153" s="709"/>
      <c r="DW153" s="709"/>
      <c r="DX153" s="709"/>
      <c r="DY153" s="709"/>
      <c r="DZ153" s="709"/>
      <c r="EA153" s="709"/>
      <c r="EB153" s="709"/>
      <c r="EC153" s="709"/>
      <c r="ED153" s="709"/>
      <c r="EE153" s="709"/>
      <c r="EF153" s="709"/>
      <c r="EG153" s="709"/>
      <c r="EH153" s="709"/>
      <c r="EI153" s="709"/>
      <c r="EJ153" s="709"/>
      <c r="EK153" s="709"/>
      <c r="EL153" s="709"/>
      <c r="EM153" s="709"/>
      <c r="EN153" s="709"/>
      <c r="EO153" s="709"/>
      <c r="EP153" s="709"/>
      <c r="EQ153" s="709"/>
      <c r="ER153" s="709"/>
      <c r="ES153" s="709"/>
      <c r="ET153" s="709"/>
      <c r="EU153" s="709"/>
      <c r="EV153" s="709"/>
      <c r="EW153" s="709"/>
      <c r="EX153" s="709"/>
      <c r="EY153" s="709"/>
      <c r="EZ153" s="709"/>
      <c r="FA153" s="709"/>
      <c r="FB153" s="709"/>
      <c r="FC153" s="709"/>
      <c r="FD153" s="709"/>
      <c r="FE153" s="709"/>
      <c r="FF153" s="709"/>
      <c r="FG153" s="709"/>
      <c r="FH153" s="709"/>
      <c r="FI153" s="709"/>
      <c r="FJ153" s="709"/>
      <c r="FK153" s="709"/>
      <c r="FL153" s="709"/>
      <c r="FM153" s="709"/>
      <c r="FN153" s="709"/>
      <c r="FO153" s="709"/>
      <c r="FP153" s="709"/>
      <c r="FQ153" s="709"/>
      <c r="FR153" s="709"/>
      <c r="FS153" s="709"/>
      <c r="FT153" s="709"/>
      <c r="FU153" s="709"/>
      <c r="FV153" s="709"/>
      <c r="FW153" s="709"/>
      <c r="FX153" s="709"/>
      <c r="FY153" s="709"/>
      <c r="FZ153" s="709"/>
      <c r="GA153" s="709"/>
      <c r="GB153" s="709"/>
      <c r="GC153" s="709"/>
      <c r="GD153" s="709"/>
      <c r="GE153" s="709"/>
      <c r="GF153" s="709"/>
      <c r="GG153" s="709"/>
      <c r="GH153" s="709"/>
      <c r="GI153" s="709"/>
      <c r="GJ153" s="709"/>
      <c r="GK153" s="709"/>
      <c r="GL153" s="709"/>
      <c r="GM153" s="709"/>
      <c r="GN153" s="709"/>
      <c r="GO153" s="709"/>
      <c r="GP153" s="709"/>
      <c r="GQ153" s="709"/>
      <c r="GR153" s="709"/>
      <c r="GS153" s="709"/>
      <c r="GT153" s="709"/>
      <c r="GU153" s="709"/>
      <c r="GV153" s="709"/>
      <c r="GW153" s="709"/>
      <c r="GX153" s="709"/>
      <c r="GY153" s="709"/>
      <c r="GZ153" s="709"/>
      <c r="HA153" s="709"/>
      <c r="HB153" s="709"/>
      <c r="HC153" s="709"/>
      <c r="HD153" s="709"/>
      <c r="HE153" s="709"/>
      <c r="HF153" s="709"/>
      <c r="HG153" s="709"/>
      <c r="HH153" s="709"/>
      <c r="HI153" s="709"/>
      <c r="HJ153" s="709"/>
      <c r="HK153" s="709"/>
      <c r="HL153" s="709"/>
      <c r="HM153" s="709"/>
      <c r="HN153" s="709"/>
      <c r="HO153" s="709"/>
      <c r="HP153" s="709"/>
      <c r="HQ153" s="709"/>
      <c r="HR153" s="709"/>
      <c r="HS153" s="709"/>
      <c r="HT153" s="709"/>
      <c r="HU153" s="709"/>
      <c r="HV153" s="709"/>
      <c r="HW153" s="709"/>
      <c r="HX153" s="709"/>
      <c r="HY153" s="709"/>
      <c r="HZ153" s="709"/>
      <c r="IA153" s="709"/>
      <c r="IB153" s="709"/>
      <c r="IC153" s="709"/>
      <c r="ID153" s="709"/>
      <c r="IE153" s="709"/>
      <c r="IF153" s="709"/>
      <c r="IG153" s="709"/>
      <c r="IH153" s="709"/>
      <c r="II153" s="709"/>
      <c r="IJ153" s="709"/>
      <c r="IK153" s="709"/>
      <c r="IL153" s="709"/>
      <c r="IM153" s="709"/>
      <c r="IN153" s="709"/>
      <c r="IO153" s="709"/>
      <c r="IP153" s="709"/>
      <c r="IQ153" s="709"/>
      <c r="IR153" s="709"/>
      <c r="IS153" s="709"/>
      <c r="IT153" s="709"/>
      <c r="IU153" s="709"/>
      <c r="IV153" s="709"/>
    </row>
    <row r="154" spans="1:256" ht="12.75" hidden="1" customHeight="1">
      <c r="A154" s="706" t="s">
        <v>13</v>
      </c>
      <c r="B154" s="714">
        <v>819.26293978000001</v>
      </c>
      <c r="C154" s="714">
        <v>620.68130101999998</v>
      </c>
      <c r="D154" s="689"/>
      <c r="E154" s="714">
        <f t="shared" si="23"/>
        <v>198.58163876000003</v>
      </c>
      <c r="F154" s="714">
        <v>-155.44037269999998</v>
      </c>
      <c r="G154" s="714">
        <v>-43.141266109999997</v>
      </c>
      <c r="H154" s="714">
        <f t="shared" si="21"/>
        <v>-198.58163880999999</v>
      </c>
      <c r="I154" s="693"/>
      <c r="J154" s="714">
        <v>0</v>
      </c>
      <c r="K154" s="714">
        <f t="shared" si="22"/>
        <v>-198.58163880999999</v>
      </c>
      <c r="L154" s="691"/>
      <c r="M154" s="709"/>
      <c r="N154" s="709"/>
      <c r="O154" s="709"/>
      <c r="P154" s="709"/>
      <c r="Q154" s="709"/>
      <c r="R154" s="709"/>
      <c r="S154" s="709"/>
      <c r="T154" s="709"/>
      <c r="U154" s="709"/>
      <c r="V154" s="709"/>
      <c r="W154" s="709"/>
      <c r="X154" s="709"/>
      <c r="Y154" s="709"/>
      <c r="Z154" s="709"/>
      <c r="AA154" s="709"/>
      <c r="AB154" s="709"/>
      <c r="AC154" s="709"/>
      <c r="AD154" s="709"/>
      <c r="AE154" s="709"/>
      <c r="AF154" s="709"/>
      <c r="AG154" s="709"/>
      <c r="AH154" s="709"/>
      <c r="AI154" s="709"/>
      <c r="AJ154" s="709"/>
      <c r="AK154" s="709"/>
      <c r="AL154" s="709"/>
      <c r="AM154" s="709"/>
      <c r="AN154" s="709"/>
      <c r="AO154" s="709"/>
      <c r="AP154" s="709"/>
      <c r="AQ154" s="709"/>
      <c r="AR154" s="709"/>
      <c r="AS154" s="709"/>
      <c r="AT154" s="709"/>
      <c r="AU154" s="709"/>
      <c r="AV154" s="709"/>
      <c r="AW154" s="709"/>
      <c r="AX154" s="709"/>
      <c r="AY154" s="709"/>
      <c r="AZ154" s="709"/>
      <c r="BA154" s="709"/>
      <c r="BB154" s="709"/>
      <c r="BC154" s="709"/>
      <c r="BD154" s="709"/>
      <c r="BE154" s="709"/>
      <c r="BF154" s="709"/>
      <c r="BG154" s="709"/>
      <c r="BH154" s="709"/>
      <c r="BI154" s="709"/>
      <c r="BJ154" s="709"/>
      <c r="BK154" s="709"/>
      <c r="BL154" s="709"/>
      <c r="BM154" s="709"/>
      <c r="BN154" s="709"/>
      <c r="BO154" s="709"/>
      <c r="BP154" s="709"/>
      <c r="BQ154" s="709"/>
      <c r="BR154" s="709"/>
      <c r="BS154" s="709"/>
      <c r="BT154" s="709"/>
      <c r="BU154" s="709"/>
      <c r="BV154" s="709"/>
      <c r="BW154" s="709"/>
      <c r="BX154" s="709"/>
      <c r="BY154" s="709"/>
      <c r="BZ154" s="709"/>
      <c r="CA154" s="709"/>
      <c r="CB154" s="709"/>
      <c r="CC154" s="709"/>
      <c r="CD154" s="709"/>
      <c r="CE154" s="709"/>
      <c r="CF154" s="709"/>
      <c r="CG154" s="709"/>
      <c r="CH154" s="709"/>
      <c r="CI154" s="709"/>
      <c r="CJ154" s="709"/>
      <c r="CK154" s="709"/>
      <c r="CL154" s="709"/>
      <c r="CM154" s="709"/>
      <c r="CN154" s="709"/>
      <c r="CO154" s="709"/>
      <c r="CP154" s="709"/>
      <c r="CQ154" s="709"/>
      <c r="CR154" s="709"/>
      <c r="CS154" s="709"/>
      <c r="CT154" s="709"/>
      <c r="CU154" s="709"/>
      <c r="CV154" s="709"/>
      <c r="CW154" s="709"/>
      <c r="CX154" s="709"/>
      <c r="CY154" s="709"/>
      <c r="CZ154" s="709"/>
      <c r="DA154" s="709"/>
      <c r="DB154" s="709"/>
      <c r="DC154" s="709"/>
      <c r="DD154" s="709"/>
      <c r="DE154" s="709"/>
      <c r="DF154" s="709"/>
      <c r="DG154" s="709"/>
      <c r="DH154" s="709"/>
      <c r="DI154" s="709"/>
      <c r="DJ154" s="709"/>
      <c r="DK154" s="709"/>
      <c r="DL154" s="709"/>
      <c r="DM154" s="709"/>
      <c r="DN154" s="709"/>
      <c r="DO154" s="709"/>
      <c r="DP154" s="709"/>
      <c r="DQ154" s="709"/>
      <c r="DR154" s="709"/>
      <c r="DS154" s="709"/>
      <c r="DT154" s="709"/>
      <c r="DU154" s="709"/>
      <c r="DV154" s="709"/>
      <c r="DW154" s="709"/>
      <c r="DX154" s="709"/>
      <c r="DY154" s="709"/>
      <c r="DZ154" s="709"/>
      <c r="EA154" s="709"/>
      <c r="EB154" s="709"/>
      <c r="EC154" s="709"/>
      <c r="ED154" s="709"/>
      <c r="EE154" s="709"/>
      <c r="EF154" s="709"/>
      <c r="EG154" s="709"/>
      <c r="EH154" s="709"/>
      <c r="EI154" s="709"/>
      <c r="EJ154" s="709"/>
      <c r="EK154" s="709"/>
      <c r="EL154" s="709"/>
      <c r="EM154" s="709"/>
      <c r="EN154" s="709"/>
      <c r="EO154" s="709"/>
      <c r="EP154" s="709"/>
      <c r="EQ154" s="709"/>
      <c r="ER154" s="709"/>
      <c r="ES154" s="709"/>
      <c r="ET154" s="709"/>
      <c r="EU154" s="709"/>
      <c r="EV154" s="709"/>
      <c r="EW154" s="709"/>
      <c r="EX154" s="709"/>
      <c r="EY154" s="709"/>
      <c r="EZ154" s="709"/>
      <c r="FA154" s="709"/>
      <c r="FB154" s="709"/>
      <c r="FC154" s="709"/>
      <c r="FD154" s="709"/>
      <c r="FE154" s="709"/>
      <c r="FF154" s="709"/>
      <c r="FG154" s="709"/>
      <c r="FH154" s="709"/>
      <c r="FI154" s="709"/>
      <c r="FJ154" s="709"/>
      <c r="FK154" s="709"/>
      <c r="FL154" s="709"/>
      <c r="FM154" s="709"/>
      <c r="FN154" s="709"/>
      <c r="FO154" s="709"/>
      <c r="FP154" s="709"/>
      <c r="FQ154" s="709"/>
      <c r="FR154" s="709"/>
      <c r="FS154" s="709"/>
      <c r="FT154" s="709"/>
      <c r="FU154" s="709"/>
      <c r="FV154" s="709"/>
      <c r="FW154" s="709"/>
      <c r="FX154" s="709"/>
      <c r="FY154" s="709"/>
      <c r="FZ154" s="709"/>
      <c r="GA154" s="709"/>
      <c r="GB154" s="709"/>
      <c r="GC154" s="709"/>
      <c r="GD154" s="709"/>
      <c r="GE154" s="709"/>
      <c r="GF154" s="709"/>
      <c r="GG154" s="709"/>
      <c r="GH154" s="709"/>
      <c r="GI154" s="709"/>
      <c r="GJ154" s="709"/>
      <c r="GK154" s="709"/>
      <c r="GL154" s="709"/>
      <c r="GM154" s="709"/>
      <c r="GN154" s="709"/>
      <c r="GO154" s="709"/>
      <c r="GP154" s="709"/>
      <c r="GQ154" s="709"/>
      <c r="GR154" s="709"/>
      <c r="GS154" s="709"/>
      <c r="GT154" s="709"/>
      <c r="GU154" s="709"/>
      <c r="GV154" s="709"/>
      <c r="GW154" s="709"/>
      <c r="GX154" s="709"/>
      <c r="GY154" s="709"/>
      <c r="GZ154" s="709"/>
      <c r="HA154" s="709"/>
      <c r="HB154" s="709"/>
      <c r="HC154" s="709"/>
      <c r="HD154" s="709"/>
      <c r="HE154" s="709"/>
      <c r="HF154" s="709"/>
      <c r="HG154" s="709"/>
      <c r="HH154" s="709"/>
      <c r="HI154" s="709"/>
      <c r="HJ154" s="709"/>
      <c r="HK154" s="709"/>
      <c r="HL154" s="709"/>
      <c r="HM154" s="709"/>
      <c r="HN154" s="709"/>
      <c r="HO154" s="709"/>
      <c r="HP154" s="709"/>
      <c r="HQ154" s="709"/>
      <c r="HR154" s="709"/>
      <c r="HS154" s="709"/>
      <c r="HT154" s="709"/>
      <c r="HU154" s="709"/>
      <c r="HV154" s="709"/>
      <c r="HW154" s="709"/>
      <c r="HX154" s="709"/>
      <c r="HY154" s="709"/>
      <c r="HZ154" s="709"/>
      <c r="IA154" s="709"/>
      <c r="IB154" s="709"/>
      <c r="IC154" s="709"/>
      <c r="ID154" s="709"/>
      <c r="IE154" s="709"/>
      <c r="IF154" s="709"/>
      <c r="IG154" s="709"/>
      <c r="IH154" s="709"/>
      <c r="II154" s="709"/>
      <c r="IJ154" s="709"/>
      <c r="IK154" s="709"/>
      <c r="IL154" s="709"/>
      <c r="IM154" s="709"/>
      <c r="IN154" s="709"/>
      <c r="IO154" s="709"/>
      <c r="IP154" s="709"/>
      <c r="IQ154" s="709"/>
      <c r="IR154" s="709"/>
      <c r="IS154" s="709"/>
      <c r="IT154" s="709"/>
      <c r="IU154" s="709"/>
      <c r="IV154" s="709"/>
    </row>
    <row r="155" spans="1:256" ht="12.75" hidden="1" customHeight="1">
      <c r="A155" s="706" t="s">
        <v>14</v>
      </c>
      <c r="B155" s="714">
        <v>918.20198272000005</v>
      </c>
      <c r="C155" s="714">
        <v>1840.26559892</v>
      </c>
      <c r="D155" s="689"/>
      <c r="E155" s="714">
        <f t="shared" si="23"/>
        <v>-922.06361619999996</v>
      </c>
      <c r="F155" s="714">
        <v>438.00423531000007</v>
      </c>
      <c r="G155" s="714">
        <v>484.05938086000003</v>
      </c>
      <c r="H155" s="714">
        <f t="shared" si="21"/>
        <v>922.06361617000016</v>
      </c>
      <c r="I155" s="693"/>
      <c r="J155" s="714">
        <v>0</v>
      </c>
      <c r="K155" s="714">
        <f t="shared" si="22"/>
        <v>922.06361617000016</v>
      </c>
      <c r="L155" s="691"/>
      <c r="M155" s="709"/>
      <c r="N155" s="709"/>
      <c r="O155" s="709"/>
      <c r="P155" s="709"/>
      <c r="Q155" s="709"/>
      <c r="R155" s="709"/>
      <c r="S155" s="709"/>
      <c r="T155" s="709"/>
      <c r="U155" s="709"/>
      <c r="V155" s="709"/>
      <c r="W155" s="709"/>
      <c r="X155" s="709"/>
      <c r="Y155" s="709"/>
      <c r="Z155" s="709"/>
      <c r="AA155" s="709"/>
      <c r="AB155" s="709"/>
      <c r="AC155" s="709"/>
      <c r="AD155" s="709"/>
      <c r="AE155" s="709"/>
      <c r="AF155" s="709"/>
      <c r="AG155" s="709"/>
      <c r="AH155" s="709"/>
      <c r="AI155" s="709"/>
      <c r="AJ155" s="709"/>
      <c r="AK155" s="709"/>
      <c r="AL155" s="709"/>
      <c r="AM155" s="709"/>
      <c r="AN155" s="709"/>
      <c r="AO155" s="709"/>
      <c r="AP155" s="709"/>
      <c r="AQ155" s="709"/>
      <c r="AR155" s="709"/>
      <c r="AS155" s="709"/>
      <c r="AT155" s="709"/>
      <c r="AU155" s="709"/>
      <c r="AV155" s="709"/>
      <c r="AW155" s="709"/>
      <c r="AX155" s="709"/>
      <c r="AY155" s="709"/>
      <c r="AZ155" s="709"/>
      <c r="BA155" s="709"/>
      <c r="BB155" s="709"/>
      <c r="BC155" s="709"/>
      <c r="BD155" s="709"/>
      <c r="BE155" s="709"/>
      <c r="BF155" s="709"/>
      <c r="BG155" s="709"/>
      <c r="BH155" s="709"/>
      <c r="BI155" s="709"/>
      <c r="BJ155" s="709"/>
      <c r="BK155" s="709"/>
      <c r="BL155" s="709"/>
      <c r="BM155" s="709"/>
      <c r="BN155" s="709"/>
      <c r="BO155" s="709"/>
      <c r="BP155" s="709"/>
      <c r="BQ155" s="709"/>
      <c r="BR155" s="709"/>
      <c r="BS155" s="709"/>
      <c r="BT155" s="709"/>
      <c r="BU155" s="709"/>
      <c r="BV155" s="709"/>
      <c r="BW155" s="709"/>
      <c r="BX155" s="709"/>
      <c r="BY155" s="709"/>
      <c r="BZ155" s="709"/>
      <c r="CA155" s="709"/>
      <c r="CB155" s="709"/>
      <c r="CC155" s="709"/>
      <c r="CD155" s="709"/>
      <c r="CE155" s="709"/>
      <c r="CF155" s="709"/>
      <c r="CG155" s="709"/>
      <c r="CH155" s="709"/>
      <c r="CI155" s="709"/>
      <c r="CJ155" s="709"/>
      <c r="CK155" s="709"/>
      <c r="CL155" s="709"/>
      <c r="CM155" s="709"/>
      <c r="CN155" s="709"/>
      <c r="CO155" s="709"/>
      <c r="CP155" s="709"/>
      <c r="CQ155" s="709"/>
      <c r="CR155" s="709"/>
      <c r="CS155" s="709"/>
      <c r="CT155" s="709"/>
      <c r="CU155" s="709"/>
      <c r="CV155" s="709"/>
      <c r="CW155" s="709"/>
      <c r="CX155" s="709"/>
      <c r="CY155" s="709"/>
      <c r="CZ155" s="709"/>
      <c r="DA155" s="709"/>
      <c r="DB155" s="709"/>
      <c r="DC155" s="709"/>
      <c r="DD155" s="709"/>
      <c r="DE155" s="709"/>
      <c r="DF155" s="709"/>
      <c r="DG155" s="709"/>
      <c r="DH155" s="709"/>
      <c r="DI155" s="709"/>
      <c r="DJ155" s="709"/>
      <c r="DK155" s="709"/>
      <c r="DL155" s="709"/>
      <c r="DM155" s="709"/>
      <c r="DN155" s="709"/>
      <c r="DO155" s="709"/>
      <c r="DP155" s="709"/>
      <c r="DQ155" s="709"/>
      <c r="DR155" s="709"/>
      <c r="DS155" s="709"/>
      <c r="DT155" s="709"/>
      <c r="DU155" s="709"/>
      <c r="DV155" s="709"/>
      <c r="DW155" s="709"/>
      <c r="DX155" s="709"/>
      <c r="DY155" s="709"/>
      <c r="DZ155" s="709"/>
      <c r="EA155" s="709"/>
      <c r="EB155" s="709"/>
      <c r="EC155" s="709"/>
      <c r="ED155" s="709"/>
      <c r="EE155" s="709"/>
      <c r="EF155" s="709"/>
      <c r="EG155" s="709"/>
      <c r="EH155" s="709"/>
      <c r="EI155" s="709"/>
      <c r="EJ155" s="709"/>
      <c r="EK155" s="709"/>
      <c r="EL155" s="709"/>
      <c r="EM155" s="709"/>
      <c r="EN155" s="709"/>
      <c r="EO155" s="709"/>
      <c r="EP155" s="709"/>
      <c r="EQ155" s="709"/>
      <c r="ER155" s="709"/>
      <c r="ES155" s="709"/>
      <c r="ET155" s="709"/>
      <c r="EU155" s="709"/>
      <c r="EV155" s="709"/>
      <c r="EW155" s="709"/>
      <c r="EX155" s="709"/>
      <c r="EY155" s="709"/>
      <c r="EZ155" s="709"/>
      <c r="FA155" s="709"/>
      <c r="FB155" s="709"/>
      <c r="FC155" s="709"/>
      <c r="FD155" s="709"/>
      <c r="FE155" s="709"/>
      <c r="FF155" s="709"/>
      <c r="FG155" s="709"/>
      <c r="FH155" s="709"/>
      <c r="FI155" s="709"/>
      <c r="FJ155" s="709"/>
      <c r="FK155" s="709"/>
      <c r="FL155" s="709"/>
      <c r="FM155" s="709"/>
      <c r="FN155" s="709"/>
      <c r="FO155" s="709"/>
      <c r="FP155" s="709"/>
      <c r="FQ155" s="709"/>
      <c r="FR155" s="709"/>
      <c r="FS155" s="709"/>
      <c r="FT155" s="709"/>
      <c r="FU155" s="709"/>
      <c r="FV155" s="709"/>
      <c r="FW155" s="709"/>
      <c r="FX155" s="709"/>
      <c r="FY155" s="709"/>
      <c r="FZ155" s="709"/>
      <c r="GA155" s="709"/>
      <c r="GB155" s="709"/>
      <c r="GC155" s="709"/>
      <c r="GD155" s="709"/>
      <c r="GE155" s="709"/>
      <c r="GF155" s="709"/>
      <c r="GG155" s="709"/>
      <c r="GH155" s="709"/>
      <c r="GI155" s="709"/>
      <c r="GJ155" s="709"/>
      <c r="GK155" s="709"/>
      <c r="GL155" s="709"/>
      <c r="GM155" s="709"/>
      <c r="GN155" s="709"/>
      <c r="GO155" s="709"/>
      <c r="GP155" s="709"/>
      <c r="GQ155" s="709"/>
      <c r="GR155" s="709"/>
      <c r="GS155" s="709"/>
      <c r="GT155" s="709"/>
      <c r="GU155" s="709"/>
      <c r="GV155" s="709"/>
      <c r="GW155" s="709"/>
      <c r="GX155" s="709"/>
      <c r="GY155" s="709"/>
      <c r="GZ155" s="709"/>
      <c r="HA155" s="709"/>
      <c r="HB155" s="709"/>
      <c r="HC155" s="709"/>
      <c r="HD155" s="709"/>
      <c r="HE155" s="709"/>
      <c r="HF155" s="709"/>
      <c r="HG155" s="709"/>
      <c r="HH155" s="709"/>
      <c r="HI155" s="709"/>
      <c r="HJ155" s="709"/>
      <c r="HK155" s="709"/>
      <c r="HL155" s="709"/>
      <c r="HM155" s="709"/>
      <c r="HN155" s="709"/>
      <c r="HO155" s="709"/>
      <c r="HP155" s="709"/>
      <c r="HQ155" s="709"/>
      <c r="HR155" s="709"/>
      <c r="HS155" s="709"/>
      <c r="HT155" s="709"/>
      <c r="HU155" s="709"/>
      <c r="HV155" s="709"/>
      <c r="HW155" s="709"/>
      <c r="HX155" s="709"/>
      <c r="HY155" s="709"/>
      <c r="HZ155" s="709"/>
      <c r="IA155" s="709"/>
      <c r="IB155" s="709"/>
      <c r="IC155" s="709"/>
      <c r="ID155" s="709"/>
      <c r="IE155" s="709"/>
      <c r="IF155" s="709"/>
      <c r="IG155" s="709"/>
      <c r="IH155" s="709"/>
      <c r="II155" s="709"/>
      <c r="IJ155" s="709"/>
      <c r="IK155" s="709"/>
      <c r="IL155" s="709"/>
      <c r="IM155" s="709"/>
      <c r="IN155" s="709"/>
      <c r="IO155" s="709"/>
      <c r="IP155" s="709"/>
      <c r="IQ155" s="709"/>
      <c r="IR155" s="709"/>
      <c r="IS155" s="709"/>
      <c r="IT155" s="709"/>
      <c r="IU155" s="709"/>
      <c r="IV155" s="709"/>
    </row>
    <row r="156" spans="1:256" ht="12.75" hidden="1" customHeight="1">
      <c r="A156" s="706" t="s">
        <v>15</v>
      </c>
      <c r="B156" s="714">
        <v>1753.0660206999999</v>
      </c>
      <c r="C156" s="714">
        <v>2241.3462385599996</v>
      </c>
      <c r="D156" s="689"/>
      <c r="E156" s="714">
        <f t="shared" si="23"/>
        <v>-488.28021785999977</v>
      </c>
      <c r="F156" s="714">
        <v>504.69808059999997</v>
      </c>
      <c r="G156" s="714">
        <v>-16.41786274</v>
      </c>
      <c r="H156" s="714">
        <f t="shared" si="21"/>
        <v>488.28021785999999</v>
      </c>
      <c r="I156" s="693"/>
      <c r="J156" s="714">
        <v>0</v>
      </c>
      <c r="K156" s="714">
        <f t="shared" si="22"/>
        <v>488.28021785999999</v>
      </c>
      <c r="L156" s="691"/>
      <c r="M156" s="709"/>
      <c r="N156" s="709"/>
      <c r="O156" s="709"/>
      <c r="P156" s="709"/>
      <c r="Q156" s="709"/>
      <c r="R156" s="709"/>
      <c r="S156" s="709"/>
      <c r="T156" s="709"/>
      <c r="U156" s="709"/>
      <c r="V156" s="709"/>
      <c r="W156" s="709"/>
      <c r="X156" s="709"/>
      <c r="Y156" s="709"/>
      <c r="Z156" s="709"/>
      <c r="AA156" s="709"/>
      <c r="AB156" s="709"/>
      <c r="AC156" s="709"/>
      <c r="AD156" s="709"/>
      <c r="AE156" s="709"/>
      <c r="AF156" s="709"/>
      <c r="AG156" s="709"/>
      <c r="AH156" s="709"/>
      <c r="AI156" s="709"/>
      <c r="AJ156" s="709"/>
      <c r="AK156" s="709"/>
      <c r="AL156" s="709"/>
      <c r="AM156" s="709"/>
      <c r="AN156" s="709"/>
      <c r="AO156" s="709"/>
      <c r="AP156" s="709"/>
      <c r="AQ156" s="709"/>
      <c r="AR156" s="709"/>
      <c r="AS156" s="709"/>
      <c r="AT156" s="709"/>
      <c r="AU156" s="709"/>
      <c r="AV156" s="709"/>
      <c r="AW156" s="709"/>
      <c r="AX156" s="709"/>
      <c r="AY156" s="709"/>
      <c r="AZ156" s="709"/>
      <c r="BA156" s="709"/>
      <c r="BB156" s="709"/>
      <c r="BC156" s="709"/>
      <c r="BD156" s="709"/>
      <c r="BE156" s="709"/>
      <c r="BF156" s="709"/>
      <c r="BG156" s="709"/>
      <c r="BH156" s="709"/>
      <c r="BI156" s="709"/>
      <c r="BJ156" s="709"/>
      <c r="BK156" s="709"/>
      <c r="BL156" s="709"/>
      <c r="BM156" s="709"/>
      <c r="BN156" s="709"/>
      <c r="BO156" s="709"/>
      <c r="BP156" s="709"/>
      <c r="BQ156" s="709"/>
      <c r="BR156" s="709"/>
      <c r="BS156" s="709"/>
      <c r="BT156" s="709"/>
      <c r="BU156" s="709"/>
      <c r="BV156" s="709"/>
      <c r="BW156" s="709"/>
      <c r="BX156" s="709"/>
      <c r="BY156" s="709"/>
      <c r="BZ156" s="709"/>
      <c r="CA156" s="709"/>
      <c r="CB156" s="709"/>
      <c r="CC156" s="709"/>
      <c r="CD156" s="709"/>
      <c r="CE156" s="709"/>
      <c r="CF156" s="709"/>
      <c r="CG156" s="709"/>
      <c r="CH156" s="709"/>
      <c r="CI156" s="709"/>
      <c r="CJ156" s="709"/>
      <c r="CK156" s="709"/>
      <c r="CL156" s="709"/>
      <c r="CM156" s="709"/>
      <c r="CN156" s="709"/>
      <c r="CO156" s="709"/>
      <c r="CP156" s="709"/>
      <c r="CQ156" s="709"/>
      <c r="CR156" s="709"/>
      <c r="CS156" s="709"/>
      <c r="CT156" s="709"/>
      <c r="CU156" s="709"/>
      <c r="CV156" s="709"/>
      <c r="CW156" s="709"/>
      <c r="CX156" s="709"/>
      <c r="CY156" s="709"/>
      <c r="CZ156" s="709"/>
      <c r="DA156" s="709"/>
      <c r="DB156" s="709"/>
      <c r="DC156" s="709"/>
      <c r="DD156" s="709"/>
      <c r="DE156" s="709"/>
      <c r="DF156" s="709"/>
      <c r="DG156" s="709"/>
      <c r="DH156" s="709"/>
      <c r="DI156" s="709"/>
      <c r="DJ156" s="709"/>
      <c r="DK156" s="709"/>
      <c r="DL156" s="709"/>
      <c r="DM156" s="709"/>
      <c r="DN156" s="709"/>
      <c r="DO156" s="709"/>
      <c r="DP156" s="709"/>
      <c r="DQ156" s="709"/>
      <c r="DR156" s="709"/>
      <c r="DS156" s="709"/>
      <c r="DT156" s="709"/>
      <c r="DU156" s="709"/>
      <c r="DV156" s="709"/>
      <c r="DW156" s="709"/>
      <c r="DX156" s="709"/>
      <c r="DY156" s="709"/>
      <c r="DZ156" s="709"/>
      <c r="EA156" s="709"/>
      <c r="EB156" s="709"/>
      <c r="EC156" s="709"/>
      <c r="ED156" s="709"/>
      <c r="EE156" s="709"/>
      <c r="EF156" s="709"/>
      <c r="EG156" s="709"/>
      <c r="EH156" s="709"/>
      <c r="EI156" s="709"/>
      <c r="EJ156" s="709"/>
      <c r="EK156" s="709"/>
      <c r="EL156" s="709"/>
      <c r="EM156" s="709"/>
      <c r="EN156" s="709"/>
      <c r="EO156" s="709"/>
      <c r="EP156" s="709"/>
      <c r="EQ156" s="709"/>
      <c r="ER156" s="709"/>
      <c r="ES156" s="709"/>
      <c r="ET156" s="709"/>
      <c r="EU156" s="709"/>
      <c r="EV156" s="709"/>
      <c r="EW156" s="709"/>
      <c r="EX156" s="709"/>
      <c r="EY156" s="709"/>
      <c r="EZ156" s="709"/>
      <c r="FA156" s="709"/>
      <c r="FB156" s="709"/>
      <c r="FC156" s="709"/>
      <c r="FD156" s="709"/>
      <c r="FE156" s="709"/>
      <c r="FF156" s="709"/>
      <c r="FG156" s="709"/>
      <c r="FH156" s="709"/>
      <c r="FI156" s="709"/>
      <c r="FJ156" s="709"/>
      <c r="FK156" s="709"/>
      <c r="FL156" s="709"/>
      <c r="FM156" s="709"/>
      <c r="FN156" s="709"/>
      <c r="FO156" s="709"/>
      <c r="FP156" s="709"/>
      <c r="FQ156" s="709"/>
      <c r="FR156" s="709"/>
      <c r="FS156" s="709"/>
      <c r="FT156" s="709"/>
      <c r="FU156" s="709"/>
      <c r="FV156" s="709"/>
      <c r="FW156" s="709"/>
      <c r="FX156" s="709"/>
      <c r="FY156" s="709"/>
      <c r="FZ156" s="709"/>
      <c r="GA156" s="709"/>
      <c r="GB156" s="709"/>
      <c r="GC156" s="709"/>
      <c r="GD156" s="709"/>
      <c r="GE156" s="709"/>
      <c r="GF156" s="709"/>
      <c r="GG156" s="709"/>
      <c r="GH156" s="709"/>
      <c r="GI156" s="709"/>
      <c r="GJ156" s="709"/>
      <c r="GK156" s="709"/>
      <c r="GL156" s="709"/>
      <c r="GM156" s="709"/>
      <c r="GN156" s="709"/>
      <c r="GO156" s="709"/>
      <c r="GP156" s="709"/>
      <c r="GQ156" s="709"/>
      <c r="GR156" s="709"/>
      <c r="GS156" s="709"/>
      <c r="GT156" s="709"/>
      <c r="GU156" s="709"/>
      <c r="GV156" s="709"/>
      <c r="GW156" s="709"/>
      <c r="GX156" s="709"/>
      <c r="GY156" s="709"/>
      <c r="GZ156" s="709"/>
      <c r="HA156" s="709"/>
      <c r="HB156" s="709"/>
      <c r="HC156" s="709"/>
      <c r="HD156" s="709"/>
      <c r="HE156" s="709"/>
      <c r="HF156" s="709"/>
      <c r="HG156" s="709"/>
      <c r="HH156" s="709"/>
      <c r="HI156" s="709"/>
      <c r="HJ156" s="709"/>
      <c r="HK156" s="709"/>
      <c r="HL156" s="709"/>
      <c r="HM156" s="709"/>
      <c r="HN156" s="709"/>
      <c r="HO156" s="709"/>
      <c r="HP156" s="709"/>
      <c r="HQ156" s="709"/>
      <c r="HR156" s="709"/>
      <c r="HS156" s="709"/>
      <c r="HT156" s="709"/>
      <c r="HU156" s="709"/>
      <c r="HV156" s="709"/>
      <c r="HW156" s="709"/>
      <c r="HX156" s="709"/>
      <c r="HY156" s="709"/>
      <c r="HZ156" s="709"/>
      <c r="IA156" s="709"/>
      <c r="IB156" s="709"/>
      <c r="IC156" s="709"/>
      <c r="ID156" s="709"/>
      <c r="IE156" s="709"/>
      <c r="IF156" s="709"/>
      <c r="IG156" s="709"/>
      <c r="IH156" s="709"/>
      <c r="II156" s="709"/>
      <c r="IJ156" s="709"/>
      <c r="IK156" s="709"/>
      <c r="IL156" s="709"/>
      <c r="IM156" s="709"/>
      <c r="IN156" s="709"/>
      <c r="IO156" s="709"/>
      <c r="IP156" s="709"/>
      <c r="IQ156" s="709"/>
      <c r="IR156" s="709"/>
      <c r="IS156" s="709"/>
      <c r="IT156" s="709"/>
      <c r="IU156" s="709"/>
      <c r="IV156" s="709"/>
    </row>
    <row r="157" spans="1:256" ht="12.75" hidden="1" customHeight="1">
      <c r="A157" s="706" t="s">
        <v>16</v>
      </c>
      <c r="B157" s="714">
        <v>4503.71837529</v>
      </c>
      <c r="C157" s="714">
        <v>2753.2926036200001</v>
      </c>
      <c r="D157" s="689"/>
      <c r="E157" s="714">
        <f t="shared" si="23"/>
        <v>1750.4257716699999</v>
      </c>
      <c r="F157" s="714">
        <v>-1669.3020883500001</v>
      </c>
      <c r="G157" s="714">
        <v>-81.123683319999998</v>
      </c>
      <c r="H157" s="714">
        <f t="shared" si="21"/>
        <v>-1750.4257716700001</v>
      </c>
      <c r="I157" s="693"/>
      <c r="J157" s="714">
        <v>0</v>
      </c>
      <c r="K157" s="714">
        <f t="shared" si="22"/>
        <v>-1750.4257716700001</v>
      </c>
      <c r="L157" s="691"/>
      <c r="M157" s="709"/>
      <c r="N157" s="709"/>
      <c r="O157" s="709"/>
      <c r="P157" s="709"/>
      <c r="Q157" s="709"/>
      <c r="R157" s="709"/>
      <c r="S157" s="709"/>
      <c r="T157" s="709"/>
      <c r="U157" s="709"/>
      <c r="V157" s="709"/>
      <c r="W157" s="709"/>
      <c r="X157" s="709"/>
      <c r="Y157" s="709"/>
      <c r="Z157" s="709"/>
      <c r="AA157" s="709"/>
      <c r="AB157" s="709"/>
      <c r="AC157" s="709"/>
      <c r="AD157" s="709"/>
      <c r="AE157" s="709"/>
      <c r="AF157" s="709"/>
      <c r="AG157" s="709"/>
      <c r="AH157" s="709"/>
      <c r="AI157" s="709"/>
      <c r="AJ157" s="709"/>
      <c r="AK157" s="709"/>
      <c r="AL157" s="709"/>
      <c r="AM157" s="709"/>
      <c r="AN157" s="709"/>
      <c r="AO157" s="709"/>
      <c r="AP157" s="709"/>
      <c r="AQ157" s="709"/>
      <c r="AR157" s="709"/>
      <c r="AS157" s="709"/>
      <c r="AT157" s="709"/>
      <c r="AU157" s="709"/>
      <c r="AV157" s="709"/>
      <c r="AW157" s="709"/>
      <c r="AX157" s="709"/>
      <c r="AY157" s="709"/>
      <c r="AZ157" s="709"/>
      <c r="BA157" s="709"/>
      <c r="BB157" s="709"/>
      <c r="BC157" s="709"/>
      <c r="BD157" s="709"/>
      <c r="BE157" s="709"/>
      <c r="BF157" s="709"/>
      <c r="BG157" s="709"/>
      <c r="BH157" s="709"/>
      <c r="BI157" s="709"/>
      <c r="BJ157" s="709"/>
      <c r="BK157" s="709"/>
      <c r="BL157" s="709"/>
      <c r="BM157" s="709"/>
      <c r="BN157" s="709"/>
      <c r="BO157" s="709"/>
      <c r="BP157" s="709"/>
      <c r="BQ157" s="709"/>
      <c r="BR157" s="709"/>
      <c r="BS157" s="709"/>
      <c r="BT157" s="709"/>
      <c r="BU157" s="709"/>
      <c r="BV157" s="709"/>
      <c r="BW157" s="709"/>
      <c r="BX157" s="709"/>
      <c r="BY157" s="709"/>
      <c r="BZ157" s="709"/>
      <c r="CA157" s="709"/>
      <c r="CB157" s="709"/>
      <c r="CC157" s="709"/>
      <c r="CD157" s="709"/>
      <c r="CE157" s="709"/>
      <c r="CF157" s="709"/>
      <c r="CG157" s="709"/>
      <c r="CH157" s="709"/>
      <c r="CI157" s="709"/>
      <c r="CJ157" s="709"/>
      <c r="CK157" s="709"/>
      <c r="CL157" s="709"/>
      <c r="CM157" s="709"/>
      <c r="CN157" s="709"/>
      <c r="CO157" s="709"/>
      <c r="CP157" s="709"/>
      <c r="CQ157" s="709"/>
      <c r="CR157" s="709"/>
      <c r="CS157" s="709"/>
      <c r="CT157" s="709"/>
      <c r="CU157" s="709"/>
      <c r="CV157" s="709"/>
      <c r="CW157" s="709"/>
      <c r="CX157" s="709"/>
      <c r="CY157" s="709"/>
      <c r="CZ157" s="709"/>
      <c r="DA157" s="709"/>
      <c r="DB157" s="709"/>
      <c r="DC157" s="709"/>
      <c r="DD157" s="709"/>
      <c r="DE157" s="709"/>
      <c r="DF157" s="709"/>
      <c r="DG157" s="709"/>
      <c r="DH157" s="709"/>
      <c r="DI157" s="709"/>
      <c r="DJ157" s="709"/>
      <c r="DK157" s="709"/>
      <c r="DL157" s="709"/>
      <c r="DM157" s="709"/>
      <c r="DN157" s="709"/>
      <c r="DO157" s="709"/>
      <c r="DP157" s="709"/>
      <c r="DQ157" s="709"/>
      <c r="DR157" s="709"/>
      <c r="DS157" s="709"/>
      <c r="DT157" s="709"/>
      <c r="DU157" s="709"/>
      <c r="DV157" s="709"/>
      <c r="DW157" s="709"/>
      <c r="DX157" s="709"/>
      <c r="DY157" s="709"/>
      <c r="DZ157" s="709"/>
      <c r="EA157" s="709"/>
      <c r="EB157" s="709"/>
      <c r="EC157" s="709"/>
      <c r="ED157" s="709"/>
      <c r="EE157" s="709"/>
      <c r="EF157" s="709"/>
      <c r="EG157" s="709"/>
      <c r="EH157" s="709"/>
      <c r="EI157" s="709"/>
      <c r="EJ157" s="709"/>
      <c r="EK157" s="709"/>
      <c r="EL157" s="709"/>
      <c r="EM157" s="709"/>
      <c r="EN157" s="709"/>
      <c r="EO157" s="709"/>
      <c r="EP157" s="709"/>
      <c r="EQ157" s="709"/>
      <c r="ER157" s="709"/>
      <c r="ES157" s="709"/>
      <c r="ET157" s="709"/>
      <c r="EU157" s="709"/>
      <c r="EV157" s="709"/>
      <c r="EW157" s="709"/>
      <c r="EX157" s="709"/>
      <c r="EY157" s="709"/>
      <c r="EZ157" s="709"/>
      <c r="FA157" s="709"/>
      <c r="FB157" s="709"/>
      <c r="FC157" s="709"/>
      <c r="FD157" s="709"/>
      <c r="FE157" s="709"/>
      <c r="FF157" s="709"/>
      <c r="FG157" s="709"/>
      <c r="FH157" s="709"/>
      <c r="FI157" s="709"/>
      <c r="FJ157" s="709"/>
      <c r="FK157" s="709"/>
      <c r="FL157" s="709"/>
      <c r="FM157" s="709"/>
      <c r="FN157" s="709"/>
      <c r="FO157" s="709"/>
      <c r="FP157" s="709"/>
      <c r="FQ157" s="709"/>
      <c r="FR157" s="709"/>
      <c r="FS157" s="709"/>
      <c r="FT157" s="709"/>
      <c r="FU157" s="709"/>
      <c r="FV157" s="709"/>
      <c r="FW157" s="709"/>
      <c r="FX157" s="709"/>
      <c r="FY157" s="709"/>
      <c r="FZ157" s="709"/>
      <c r="GA157" s="709"/>
      <c r="GB157" s="709"/>
      <c r="GC157" s="709"/>
      <c r="GD157" s="709"/>
      <c r="GE157" s="709"/>
      <c r="GF157" s="709"/>
      <c r="GG157" s="709"/>
      <c r="GH157" s="709"/>
      <c r="GI157" s="709"/>
      <c r="GJ157" s="709"/>
      <c r="GK157" s="709"/>
      <c r="GL157" s="709"/>
      <c r="GM157" s="709"/>
      <c r="GN157" s="709"/>
      <c r="GO157" s="709"/>
      <c r="GP157" s="709"/>
      <c r="GQ157" s="709"/>
      <c r="GR157" s="709"/>
      <c r="GS157" s="709"/>
      <c r="GT157" s="709"/>
      <c r="GU157" s="709"/>
      <c r="GV157" s="709"/>
      <c r="GW157" s="709"/>
      <c r="GX157" s="709"/>
      <c r="GY157" s="709"/>
      <c r="GZ157" s="709"/>
      <c r="HA157" s="709"/>
      <c r="HB157" s="709"/>
      <c r="HC157" s="709"/>
      <c r="HD157" s="709"/>
      <c r="HE157" s="709"/>
      <c r="HF157" s="709"/>
      <c r="HG157" s="709"/>
      <c r="HH157" s="709"/>
      <c r="HI157" s="709"/>
      <c r="HJ157" s="709"/>
      <c r="HK157" s="709"/>
      <c r="HL157" s="709"/>
      <c r="HM157" s="709"/>
      <c r="HN157" s="709"/>
      <c r="HO157" s="709"/>
      <c r="HP157" s="709"/>
      <c r="HQ157" s="709"/>
      <c r="HR157" s="709"/>
      <c r="HS157" s="709"/>
      <c r="HT157" s="709"/>
      <c r="HU157" s="709"/>
      <c r="HV157" s="709"/>
      <c r="HW157" s="709"/>
      <c r="HX157" s="709"/>
      <c r="HY157" s="709"/>
      <c r="HZ157" s="709"/>
      <c r="IA157" s="709"/>
      <c r="IB157" s="709"/>
      <c r="IC157" s="709"/>
      <c r="ID157" s="709"/>
      <c r="IE157" s="709"/>
      <c r="IF157" s="709"/>
      <c r="IG157" s="709"/>
      <c r="IH157" s="709"/>
      <c r="II157" s="709"/>
      <c r="IJ157" s="709"/>
      <c r="IK157" s="709"/>
      <c r="IL157" s="709"/>
      <c r="IM157" s="709"/>
      <c r="IN157" s="709"/>
      <c r="IO157" s="709"/>
      <c r="IP157" s="709"/>
      <c r="IQ157" s="709"/>
      <c r="IR157" s="709"/>
      <c r="IS157" s="709"/>
      <c r="IT157" s="709"/>
      <c r="IU157" s="709"/>
      <c r="IV157" s="709"/>
    </row>
    <row r="158" spans="1:256" ht="12.75" hidden="1" customHeight="1">
      <c r="A158" s="706"/>
      <c r="B158" s="688"/>
      <c r="C158" s="706"/>
      <c r="D158" s="689"/>
      <c r="E158" s="706"/>
      <c r="F158" s="688"/>
      <c r="G158" s="706"/>
      <c r="H158" s="706"/>
      <c r="I158" s="693"/>
      <c r="J158" s="706"/>
      <c r="K158" s="706"/>
      <c r="L158" s="691"/>
      <c r="M158" s="709"/>
      <c r="N158" s="709"/>
      <c r="O158" s="709"/>
      <c r="P158" s="709"/>
      <c r="Q158" s="709"/>
      <c r="R158" s="709"/>
      <c r="S158" s="709"/>
      <c r="T158" s="709"/>
      <c r="U158" s="709"/>
      <c r="V158" s="709"/>
      <c r="W158" s="709"/>
      <c r="X158" s="709"/>
      <c r="Y158" s="709"/>
      <c r="Z158" s="709"/>
      <c r="AA158" s="709"/>
      <c r="AB158" s="709"/>
      <c r="AC158" s="709"/>
      <c r="AD158" s="709"/>
      <c r="AE158" s="709"/>
      <c r="AF158" s="709"/>
      <c r="AG158" s="709"/>
      <c r="AH158" s="709"/>
      <c r="AI158" s="709"/>
      <c r="AJ158" s="709"/>
      <c r="AK158" s="709"/>
      <c r="AL158" s="709"/>
      <c r="AM158" s="709"/>
      <c r="AN158" s="709"/>
      <c r="AO158" s="709"/>
      <c r="AP158" s="709"/>
      <c r="AQ158" s="709"/>
      <c r="AR158" s="709"/>
      <c r="AS158" s="709"/>
      <c r="AT158" s="709"/>
      <c r="AU158" s="709"/>
      <c r="AV158" s="709"/>
      <c r="AW158" s="709"/>
      <c r="AX158" s="709"/>
      <c r="AY158" s="709"/>
      <c r="AZ158" s="709"/>
      <c r="BA158" s="709"/>
      <c r="BB158" s="709"/>
      <c r="BC158" s="709"/>
      <c r="BD158" s="709"/>
      <c r="BE158" s="709"/>
      <c r="BF158" s="709"/>
      <c r="BG158" s="709"/>
      <c r="BH158" s="709"/>
      <c r="BI158" s="709"/>
      <c r="BJ158" s="709"/>
      <c r="BK158" s="709"/>
      <c r="BL158" s="709"/>
      <c r="BM158" s="709"/>
      <c r="BN158" s="709"/>
      <c r="BO158" s="709"/>
      <c r="BP158" s="709"/>
      <c r="BQ158" s="709"/>
      <c r="BR158" s="709"/>
      <c r="BS158" s="709"/>
      <c r="BT158" s="709"/>
      <c r="BU158" s="709"/>
      <c r="BV158" s="709"/>
      <c r="BW158" s="709"/>
      <c r="BX158" s="709"/>
      <c r="BY158" s="709"/>
      <c r="BZ158" s="709"/>
      <c r="CA158" s="709"/>
      <c r="CB158" s="709"/>
      <c r="CC158" s="709"/>
      <c r="CD158" s="709"/>
      <c r="CE158" s="709"/>
      <c r="CF158" s="709"/>
      <c r="CG158" s="709"/>
      <c r="CH158" s="709"/>
      <c r="CI158" s="709"/>
      <c r="CJ158" s="709"/>
      <c r="CK158" s="709"/>
      <c r="CL158" s="709"/>
      <c r="CM158" s="709"/>
      <c r="CN158" s="709"/>
      <c r="CO158" s="709"/>
      <c r="CP158" s="709"/>
      <c r="CQ158" s="709"/>
      <c r="CR158" s="709"/>
      <c r="CS158" s="709"/>
      <c r="CT158" s="709"/>
      <c r="CU158" s="709"/>
      <c r="CV158" s="709"/>
      <c r="CW158" s="709"/>
      <c r="CX158" s="709"/>
      <c r="CY158" s="709"/>
      <c r="CZ158" s="709"/>
      <c r="DA158" s="709"/>
      <c r="DB158" s="709"/>
      <c r="DC158" s="709"/>
      <c r="DD158" s="709"/>
      <c r="DE158" s="709"/>
      <c r="DF158" s="709"/>
      <c r="DG158" s="709"/>
      <c r="DH158" s="709"/>
      <c r="DI158" s="709"/>
      <c r="DJ158" s="709"/>
      <c r="DK158" s="709"/>
      <c r="DL158" s="709"/>
      <c r="DM158" s="709"/>
      <c r="DN158" s="709"/>
      <c r="DO158" s="709"/>
      <c r="DP158" s="709"/>
      <c r="DQ158" s="709"/>
      <c r="DR158" s="709"/>
      <c r="DS158" s="709"/>
      <c r="DT158" s="709"/>
      <c r="DU158" s="709"/>
      <c r="DV158" s="709"/>
      <c r="DW158" s="709"/>
      <c r="DX158" s="709"/>
      <c r="DY158" s="709"/>
      <c r="DZ158" s="709"/>
      <c r="EA158" s="709"/>
      <c r="EB158" s="709"/>
      <c r="EC158" s="709"/>
      <c r="ED158" s="709"/>
      <c r="EE158" s="709"/>
      <c r="EF158" s="709"/>
      <c r="EG158" s="709"/>
      <c r="EH158" s="709"/>
      <c r="EI158" s="709"/>
      <c r="EJ158" s="709"/>
      <c r="EK158" s="709"/>
      <c r="EL158" s="709"/>
      <c r="EM158" s="709"/>
      <c r="EN158" s="709"/>
      <c r="EO158" s="709"/>
      <c r="EP158" s="709"/>
      <c r="EQ158" s="709"/>
      <c r="ER158" s="709"/>
      <c r="ES158" s="709"/>
      <c r="ET158" s="709"/>
      <c r="EU158" s="709"/>
      <c r="EV158" s="709"/>
      <c r="EW158" s="709"/>
      <c r="EX158" s="709"/>
      <c r="EY158" s="709"/>
      <c r="EZ158" s="709"/>
      <c r="FA158" s="709"/>
      <c r="FB158" s="709"/>
      <c r="FC158" s="709"/>
      <c r="FD158" s="709"/>
      <c r="FE158" s="709"/>
      <c r="FF158" s="709"/>
      <c r="FG158" s="709"/>
      <c r="FH158" s="709"/>
      <c r="FI158" s="709"/>
      <c r="FJ158" s="709"/>
      <c r="FK158" s="709"/>
      <c r="FL158" s="709"/>
      <c r="FM158" s="709"/>
      <c r="FN158" s="709"/>
      <c r="FO158" s="709"/>
      <c r="FP158" s="709"/>
      <c r="FQ158" s="709"/>
      <c r="FR158" s="709"/>
      <c r="FS158" s="709"/>
      <c r="FT158" s="709"/>
      <c r="FU158" s="709"/>
      <c r="FV158" s="709"/>
      <c r="FW158" s="709"/>
      <c r="FX158" s="709"/>
      <c r="FY158" s="709"/>
      <c r="FZ158" s="709"/>
      <c r="GA158" s="709"/>
      <c r="GB158" s="709"/>
      <c r="GC158" s="709"/>
      <c r="GD158" s="709"/>
      <c r="GE158" s="709"/>
      <c r="GF158" s="709"/>
      <c r="GG158" s="709"/>
      <c r="GH158" s="709"/>
      <c r="GI158" s="709"/>
      <c r="GJ158" s="709"/>
      <c r="GK158" s="709"/>
      <c r="GL158" s="709"/>
      <c r="GM158" s="709"/>
      <c r="GN158" s="709"/>
      <c r="GO158" s="709"/>
      <c r="GP158" s="709"/>
      <c r="GQ158" s="709"/>
      <c r="GR158" s="709"/>
      <c r="GS158" s="709"/>
      <c r="GT158" s="709"/>
      <c r="GU158" s="709"/>
      <c r="GV158" s="709"/>
      <c r="GW158" s="709"/>
      <c r="GX158" s="709"/>
      <c r="GY158" s="709"/>
      <c r="GZ158" s="709"/>
      <c r="HA158" s="709"/>
      <c r="HB158" s="709"/>
      <c r="HC158" s="709"/>
      <c r="HD158" s="709"/>
      <c r="HE158" s="709"/>
      <c r="HF158" s="709"/>
      <c r="HG158" s="709"/>
      <c r="HH158" s="709"/>
      <c r="HI158" s="709"/>
      <c r="HJ158" s="709"/>
      <c r="HK158" s="709"/>
      <c r="HL158" s="709"/>
      <c r="HM158" s="709"/>
      <c r="HN158" s="709"/>
      <c r="HO158" s="709"/>
      <c r="HP158" s="709"/>
      <c r="HQ158" s="709"/>
      <c r="HR158" s="709"/>
      <c r="HS158" s="709"/>
      <c r="HT158" s="709"/>
      <c r="HU158" s="709"/>
      <c r="HV158" s="709"/>
      <c r="HW158" s="709"/>
      <c r="HX158" s="709"/>
      <c r="HY158" s="709"/>
      <c r="HZ158" s="709"/>
      <c r="IA158" s="709"/>
      <c r="IB158" s="709"/>
      <c r="IC158" s="709"/>
      <c r="ID158" s="709"/>
      <c r="IE158" s="709"/>
      <c r="IF158" s="709"/>
      <c r="IG158" s="709"/>
      <c r="IH158" s="709"/>
      <c r="II158" s="709"/>
      <c r="IJ158" s="709"/>
      <c r="IK158" s="709"/>
      <c r="IL158" s="709"/>
      <c r="IM158" s="709"/>
      <c r="IN158" s="709"/>
      <c r="IO158" s="709"/>
      <c r="IP158" s="709"/>
      <c r="IQ158" s="709"/>
      <c r="IR158" s="709"/>
      <c r="IS158" s="709"/>
      <c r="IT158" s="709"/>
      <c r="IU158" s="709"/>
      <c r="IV158" s="709"/>
    </row>
    <row r="159" spans="1:256" ht="12.75" hidden="1" customHeight="1">
      <c r="A159" s="710">
        <v>2008</v>
      </c>
      <c r="B159" s="688"/>
      <c r="C159" s="706"/>
      <c r="D159" s="689"/>
      <c r="E159" s="706"/>
      <c r="F159" s="688"/>
      <c r="G159" s="706"/>
      <c r="H159" s="706"/>
      <c r="I159" s="693"/>
      <c r="J159" s="706"/>
      <c r="K159" s="706"/>
      <c r="L159" s="691"/>
      <c r="M159" s="709"/>
      <c r="N159" s="709"/>
      <c r="O159" s="709"/>
      <c r="P159" s="709"/>
      <c r="Q159" s="709"/>
      <c r="R159" s="709"/>
      <c r="S159" s="709"/>
      <c r="T159" s="709"/>
      <c r="U159" s="709"/>
      <c r="V159" s="709"/>
      <c r="W159" s="709"/>
      <c r="X159" s="709"/>
      <c r="Y159" s="709"/>
      <c r="Z159" s="709"/>
      <c r="AA159" s="709"/>
      <c r="AB159" s="709"/>
      <c r="AC159" s="709"/>
      <c r="AD159" s="709"/>
      <c r="AE159" s="709"/>
      <c r="AF159" s="709"/>
      <c r="AG159" s="709"/>
      <c r="AH159" s="709"/>
      <c r="AI159" s="709"/>
      <c r="AJ159" s="709"/>
      <c r="AK159" s="709"/>
      <c r="AL159" s="709"/>
      <c r="AM159" s="709"/>
      <c r="AN159" s="709"/>
      <c r="AO159" s="709"/>
      <c r="AP159" s="709"/>
      <c r="AQ159" s="709"/>
      <c r="AR159" s="709"/>
      <c r="AS159" s="709"/>
      <c r="AT159" s="709"/>
      <c r="AU159" s="709"/>
      <c r="AV159" s="709"/>
      <c r="AW159" s="709"/>
      <c r="AX159" s="709"/>
      <c r="AY159" s="709"/>
      <c r="AZ159" s="709"/>
      <c r="BA159" s="709"/>
      <c r="BB159" s="709"/>
      <c r="BC159" s="709"/>
      <c r="BD159" s="709"/>
      <c r="BE159" s="709"/>
      <c r="BF159" s="709"/>
      <c r="BG159" s="709"/>
      <c r="BH159" s="709"/>
      <c r="BI159" s="709"/>
      <c r="BJ159" s="709"/>
      <c r="BK159" s="709"/>
      <c r="BL159" s="709"/>
      <c r="BM159" s="709"/>
      <c r="BN159" s="709"/>
      <c r="BO159" s="709"/>
      <c r="BP159" s="709"/>
      <c r="BQ159" s="709"/>
      <c r="BR159" s="709"/>
      <c r="BS159" s="709"/>
      <c r="BT159" s="709"/>
      <c r="BU159" s="709"/>
      <c r="BV159" s="709"/>
      <c r="BW159" s="709"/>
      <c r="BX159" s="709"/>
      <c r="BY159" s="709"/>
      <c r="BZ159" s="709"/>
      <c r="CA159" s="709"/>
      <c r="CB159" s="709"/>
      <c r="CC159" s="709"/>
      <c r="CD159" s="709"/>
      <c r="CE159" s="709"/>
      <c r="CF159" s="709"/>
      <c r="CG159" s="709"/>
      <c r="CH159" s="709"/>
      <c r="CI159" s="709"/>
      <c r="CJ159" s="709"/>
      <c r="CK159" s="709"/>
      <c r="CL159" s="709"/>
      <c r="CM159" s="709"/>
      <c r="CN159" s="709"/>
      <c r="CO159" s="709"/>
      <c r="CP159" s="709"/>
      <c r="CQ159" s="709"/>
      <c r="CR159" s="709"/>
      <c r="CS159" s="709"/>
      <c r="CT159" s="709"/>
      <c r="CU159" s="709"/>
      <c r="CV159" s="709"/>
      <c r="CW159" s="709"/>
      <c r="CX159" s="709"/>
      <c r="CY159" s="709"/>
      <c r="CZ159" s="709"/>
      <c r="DA159" s="709"/>
      <c r="DB159" s="709"/>
      <c r="DC159" s="709"/>
      <c r="DD159" s="709"/>
      <c r="DE159" s="709"/>
      <c r="DF159" s="709"/>
      <c r="DG159" s="709"/>
      <c r="DH159" s="709"/>
      <c r="DI159" s="709"/>
      <c r="DJ159" s="709"/>
      <c r="DK159" s="709"/>
      <c r="DL159" s="709"/>
      <c r="DM159" s="709"/>
      <c r="DN159" s="709"/>
      <c r="DO159" s="709"/>
      <c r="DP159" s="709"/>
      <c r="DQ159" s="709"/>
      <c r="DR159" s="709"/>
      <c r="DS159" s="709"/>
      <c r="DT159" s="709"/>
      <c r="DU159" s="709"/>
      <c r="DV159" s="709"/>
      <c r="DW159" s="709"/>
      <c r="DX159" s="709"/>
      <c r="DY159" s="709"/>
      <c r="DZ159" s="709"/>
      <c r="EA159" s="709"/>
      <c r="EB159" s="709"/>
      <c r="EC159" s="709"/>
      <c r="ED159" s="709"/>
      <c r="EE159" s="709"/>
      <c r="EF159" s="709"/>
      <c r="EG159" s="709"/>
      <c r="EH159" s="709"/>
      <c r="EI159" s="709"/>
      <c r="EJ159" s="709"/>
      <c r="EK159" s="709"/>
      <c r="EL159" s="709"/>
      <c r="EM159" s="709"/>
      <c r="EN159" s="709"/>
      <c r="EO159" s="709"/>
      <c r="EP159" s="709"/>
      <c r="EQ159" s="709"/>
      <c r="ER159" s="709"/>
      <c r="ES159" s="709"/>
      <c r="ET159" s="709"/>
      <c r="EU159" s="709"/>
      <c r="EV159" s="709"/>
      <c r="EW159" s="709"/>
      <c r="EX159" s="709"/>
      <c r="EY159" s="709"/>
      <c r="EZ159" s="709"/>
      <c r="FA159" s="709"/>
      <c r="FB159" s="709"/>
      <c r="FC159" s="709"/>
      <c r="FD159" s="709"/>
      <c r="FE159" s="709"/>
      <c r="FF159" s="709"/>
      <c r="FG159" s="709"/>
      <c r="FH159" s="709"/>
      <c r="FI159" s="709"/>
      <c r="FJ159" s="709"/>
      <c r="FK159" s="709"/>
      <c r="FL159" s="709"/>
      <c r="FM159" s="709"/>
      <c r="FN159" s="709"/>
      <c r="FO159" s="709"/>
      <c r="FP159" s="709"/>
      <c r="FQ159" s="709"/>
      <c r="FR159" s="709"/>
      <c r="FS159" s="709"/>
      <c r="FT159" s="709"/>
      <c r="FU159" s="709"/>
      <c r="FV159" s="709"/>
      <c r="FW159" s="709"/>
      <c r="FX159" s="709"/>
      <c r="FY159" s="709"/>
      <c r="FZ159" s="709"/>
      <c r="GA159" s="709"/>
      <c r="GB159" s="709"/>
      <c r="GC159" s="709"/>
      <c r="GD159" s="709"/>
      <c r="GE159" s="709"/>
      <c r="GF159" s="709"/>
      <c r="GG159" s="709"/>
      <c r="GH159" s="709"/>
      <c r="GI159" s="709"/>
      <c r="GJ159" s="709"/>
      <c r="GK159" s="709"/>
      <c r="GL159" s="709"/>
      <c r="GM159" s="709"/>
      <c r="GN159" s="709"/>
      <c r="GO159" s="709"/>
      <c r="GP159" s="709"/>
      <c r="GQ159" s="709"/>
      <c r="GR159" s="709"/>
      <c r="GS159" s="709"/>
      <c r="GT159" s="709"/>
      <c r="GU159" s="709"/>
      <c r="GV159" s="709"/>
      <c r="GW159" s="709"/>
      <c r="GX159" s="709"/>
      <c r="GY159" s="709"/>
      <c r="GZ159" s="709"/>
      <c r="HA159" s="709"/>
      <c r="HB159" s="709"/>
      <c r="HC159" s="709"/>
      <c r="HD159" s="709"/>
      <c r="HE159" s="709"/>
      <c r="HF159" s="709"/>
      <c r="HG159" s="709"/>
      <c r="HH159" s="709"/>
      <c r="HI159" s="709"/>
      <c r="HJ159" s="709"/>
      <c r="HK159" s="709"/>
      <c r="HL159" s="709"/>
      <c r="HM159" s="709"/>
      <c r="HN159" s="709"/>
      <c r="HO159" s="709"/>
      <c r="HP159" s="709"/>
      <c r="HQ159" s="709"/>
      <c r="HR159" s="709"/>
      <c r="HS159" s="709"/>
      <c r="HT159" s="709"/>
      <c r="HU159" s="709"/>
      <c r="HV159" s="709"/>
      <c r="HW159" s="709"/>
      <c r="HX159" s="709"/>
      <c r="HY159" s="709"/>
      <c r="HZ159" s="709"/>
      <c r="IA159" s="709"/>
      <c r="IB159" s="709"/>
      <c r="IC159" s="709"/>
      <c r="ID159" s="709"/>
      <c r="IE159" s="709"/>
      <c r="IF159" s="709"/>
      <c r="IG159" s="709"/>
      <c r="IH159" s="709"/>
      <c r="II159" s="709"/>
      <c r="IJ159" s="709"/>
      <c r="IK159" s="709"/>
      <c r="IL159" s="709"/>
      <c r="IM159" s="709"/>
      <c r="IN159" s="709"/>
      <c r="IO159" s="709"/>
      <c r="IP159" s="709"/>
      <c r="IQ159" s="709"/>
      <c r="IR159" s="709"/>
      <c r="IS159" s="709"/>
      <c r="IT159" s="709"/>
      <c r="IU159" s="709"/>
      <c r="IV159" s="709"/>
    </row>
    <row r="160" spans="1:256" ht="12.75" hidden="1" customHeight="1">
      <c r="A160" s="706"/>
      <c r="B160" s="688"/>
      <c r="C160" s="706"/>
      <c r="D160" s="689"/>
      <c r="E160" s="706"/>
      <c r="F160" s="688"/>
      <c r="G160" s="706"/>
      <c r="H160" s="706"/>
      <c r="I160" s="693"/>
      <c r="J160" s="706"/>
      <c r="K160" s="706"/>
      <c r="L160" s="691"/>
      <c r="M160" s="709"/>
      <c r="N160" s="709"/>
      <c r="O160" s="709"/>
      <c r="P160" s="709"/>
      <c r="Q160" s="709"/>
      <c r="R160" s="709"/>
      <c r="S160" s="709"/>
      <c r="T160" s="709"/>
      <c r="U160" s="709"/>
      <c r="V160" s="709"/>
      <c r="W160" s="709"/>
      <c r="X160" s="709"/>
      <c r="Y160" s="709"/>
      <c r="Z160" s="709"/>
      <c r="AA160" s="709"/>
      <c r="AB160" s="709"/>
      <c r="AC160" s="709"/>
      <c r="AD160" s="709"/>
      <c r="AE160" s="709"/>
      <c r="AF160" s="709"/>
      <c r="AG160" s="709"/>
      <c r="AH160" s="709"/>
      <c r="AI160" s="709"/>
      <c r="AJ160" s="709"/>
      <c r="AK160" s="709"/>
      <c r="AL160" s="709"/>
      <c r="AM160" s="709"/>
      <c r="AN160" s="709"/>
      <c r="AO160" s="709"/>
      <c r="AP160" s="709"/>
      <c r="AQ160" s="709"/>
      <c r="AR160" s="709"/>
      <c r="AS160" s="709"/>
      <c r="AT160" s="709"/>
      <c r="AU160" s="709"/>
      <c r="AV160" s="709"/>
      <c r="AW160" s="709"/>
      <c r="AX160" s="709"/>
      <c r="AY160" s="709"/>
      <c r="AZ160" s="709"/>
      <c r="BA160" s="709"/>
      <c r="BB160" s="709"/>
      <c r="BC160" s="709"/>
      <c r="BD160" s="709"/>
      <c r="BE160" s="709"/>
      <c r="BF160" s="709"/>
      <c r="BG160" s="709"/>
      <c r="BH160" s="709"/>
      <c r="BI160" s="709"/>
      <c r="BJ160" s="709"/>
      <c r="BK160" s="709"/>
      <c r="BL160" s="709"/>
      <c r="BM160" s="709"/>
      <c r="BN160" s="709"/>
      <c r="BO160" s="709"/>
      <c r="BP160" s="709"/>
      <c r="BQ160" s="709"/>
      <c r="BR160" s="709"/>
      <c r="BS160" s="709"/>
      <c r="BT160" s="709"/>
      <c r="BU160" s="709"/>
      <c r="BV160" s="709"/>
      <c r="BW160" s="709"/>
      <c r="BX160" s="709"/>
      <c r="BY160" s="709"/>
      <c r="BZ160" s="709"/>
      <c r="CA160" s="709"/>
      <c r="CB160" s="709"/>
      <c r="CC160" s="709"/>
      <c r="CD160" s="709"/>
      <c r="CE160" s="709"/>
      <c r="CF160" s="709"/>
      <c r="CG160" s="709"/>
      <c r="CH160" s="709"/>
      <c r="CI160" s="709"/>
      <c r="CJ160" s="709"/>
      <c r="CK160" s="709"/>
      <c r="CL160" s="709"/>
      <c r="CM160" s="709"/>
      <c r="CN160" s="709"/>
      <c r="CO160" s="709"/>
      <c r="CP160" s="709"/>
      <c r="CQ160" s="709"/>
      <c r="CR160" s="709"/>
      <c r="CS160" s="709"/>
      <c r="CT160" s="709"/>
      <c r="CU160" s="709"/>
      <c r="CV160" s="709"/>
      <c r="CW160" s="709"/>
      <c r="CX160" s="709"/>
      <c r="CY160" s="709"/>
      <c r="CZ160" s="709"/>
      <c r="DA160" s="709"/>
      <c r="DB160" s="709"/>
      <c r="DC160" s="709"/>
      <c r="DD160" s="709"/>
      <c r="DE160" s="709"/>
      <c r="DF160" s="709"/>
      <c r="DG160" s="709"/>
      <c r="DH160" s="709"/>
      <c r="DI160" s="709"/>
      <c r="DJ160" s="709"/>
      <c r="DK160" s="709"/>
      <c r="DL160" s="709"/>
      <c r="DM160" s="709"/>
      <c r="DN160" s="709"/>
      <c r="DO160" s="709"/>
      <c r="DP160" s="709"/>
      <c r="DQ160" s="709"/>
      <c r="DR160" s="709"/>
      <c r="DS160" s="709"/>
      <c r="DT160" s="709"/>
      <c r="DU160" s="709"/>
      <c r="DV160" s="709"/>
      <c r="DW160" s="709"/>
      <c r="DX160" s="709"/>
      <c r="DY160" s="709"/>
      <c r="DZ160" s="709"/>
      <c r="EA160" s="709"/>
      <c r="EB160" s="709"/>
      <c r="EC160" s="709"/>
      <c r="ED160" s="709"/>
      <c r="EE160" s="709"/>
      <c r="EF160" s="709"/>
      <c r="EG160" s="709"/>
      <c r="EH160" s="709"/>
      <c r="EI160" s="709"/>
      <c r="EJ160" s="709"/>
      <c r="EK160" s="709"/>
      <c r="EL160" s="709"/>
      <c r="EM160" s="709"/>
      <c r="EN160" s="709"/>
      <c r="EO160" s="709"/>
      <c r="EP160" s="709"/>
      <c r="EQ160" s="709"/>
      <c r="ER160" s="709"/>
      <c r="ES160" s="709"/>
      <c r="ET160" s="709"/>
      <c r="EU160" s="709"/>
      <c r="EV160" s="709"/>
      <c r="EW160" s="709"/>
      <c r="EX160" s="709"/>
      <c r="EY160" s="709"/>
      <c r="EZ160" s="709"/>
      <c r="FA160" s="709"/>
      <c r="FB160" s="709"/>
      <c r="FC160" s="709"/>
      <c r="FD160" s="709"/>
      <c r="FE160" s="709"/>
      <c r="FF160" s="709"/>
      <c r="FG160" s="709"/>
      <c r="FH160" s="709"/>
      <c r="FI160" s="709"/>
      <c r="FJ160" s="709"/>
      <c r="FK160" s="709"/>
      <c r="FL160" s="709"/>
      <c r="FM160" s="709"/>
      <c r="FN160" s="709"/>
      <c r="FO160" s="709"/>
      <c r="FP160" s="709"/>
      <c r="FQ160" s="709"/>
      <c r="FR160" s="709"/>
      <c r="FS160" s="709"/>
      <c r="FT160" s="709"/>
      <c r="FU160" s="709"/>
      <c r="FV160" s="709"/>
      <c r="FW160" s="709"/>
      <c r="FX160" s="709"/>
      <c r="FY160" s="709"/>
      <c r="FZ160" s="709"/>
      <c r="GA160" s="709"/>
      <c r="GB160" s="709"/>
      <c r="GC160" s="709"/>
      <c r="GD160" s="709"/>
      <c r="GE160" s="709"/>
      <c r="GF160" s="709"/>
      <c r="GG160" s="709"/>
      <c r="GH160" s="709"/>
      <c r="GI160" s="709"/>
      <c r="GJ160" s="709"/>
      <c r="GK160" s="709"/>
      <c r="GL160" s="709"/>
      <c r="GM160" s="709"/>
      <c r="GN160" s="709"/>
      <c r="GO160" s="709"/>
      <c r="GP160" s="709"/>
      <c r="GQ160" s="709"/>
      <c r="GR160" s="709"/>
      <c r="GS160" s="709"/>
      <c r="GT160" s="709"/>
      <c r="GU160" s="709"/>
      <c r="GV160" s="709"/>
      <c r="GW160" s="709"/>
      <c r="GX160" s="709"/>
      <c r="GY160" s="709"/>
      <c r="GZ160" s="709"/>
      <c r="HA160" s="709"/>
      <c r="HB160" s="709"/>
      <c r="HC160" s="709"/>
      <c r="HD160" s="709"/>
      <c r="HE160" s="709"/>
      <c r="HF160" s="709"/>
      <c r="HG160" s="709"/>
      <c r="HH160" s="709"/>
      <c r="HI160" s="709"/>
      <c r="HJ160" s="709"/>
      <c r="HK160" s="709"/>
      <c r="HL160" s="709"/>
      <c r="HM160" s="709"/>
      <c r="HN160" s="709"/>
      <c r="HO160" s="709"/>
      <c r="HP160" s="709"/>
      <c r="HQ160" s="709"/>
      <c r="HR160" s="709"/>
      <c r="HS160" s="709"/>
      <c r="HT160" s="709"/>
      <c r="HU160" s="709"/>
      <c r="HV160" s="709"/>
      <c r="HW160" s="709"/>
      <c r="HX160" s="709"/>
      <c r="HY160" s="709"/>
      <c r="HZ160" s="709"/>
      <c r="IA160" s="709"/>
      <c r="IB160" s="709"/>
      <c r="IC160" s="709"/>
      <c r="ID160" s="709"/>
      <c r="IE160" s="709"/>
      <c r="IF160" s="709"/>
      <c r="IG160" s="709"/>
      <c r="IH160" s="709"/>
      <c r="II160" s="709"/>
      <c r="IJ160" s="709"/>
      <c r="IK160" s="709"/>
      <c r="IL160" s="709"/>
      <c r="IM160" s="709"/>
      <c r="IN160" s="709"/>
      <c r="IO160" s="709"/>
      <c r="IP160" s="709"/>
      <c r="IQ160" s="709"/>
      <c r="IR160" s="709"/>
      <c r="IS160" s="709"/>
      <c r="IT160" s="709"/>
      <c r="IU160" s="709"/>
      <c r="IV160" s="709"/>
    </row>
    <row r="161" spans="1:256" ht="12.75" hidden="1" customHeight="1">
      <c r="A161" s="706" t="s">
        <v>345</v>
      </c>
      <c r="B161" s="688"/>
      <c r="C161" s="706"/>
      <c r="D161" s="689"/>
      <c r="E161" s="706"/>
      <c r="F161" s="688"/>
      <c r="G161" s="706"/>
      <c r="H161" s="706"/>
      <c r="I161" s="693"/>
      <c r="J161" s="706"/>
      <c r="K161" s="706"/>
      <c r="L161" s="691"/>
      <c r="M161" s="709"/>
      <c r="N161" s="709"/>
      <c r="O161" s="709"/>
      <c r="P161" s="709"/>
      <c r="Q161" s="709"/>
      <c r="R161" s="709"/>
      <c r="S161" s="709"/>
      <c r="T161" s="709"/>
      <c r="U161" s="709"/>
      <c r="V161" s="709"/>
      <c r="W161" s="709"/>
      <c r="X161" s="709"/>
      <c r="Y161" s="709"/>
      <c r="Z161" s="709"/>
      <c r="AA161" s="709"/>
      <c r="AB161" s="709"/>
      <c r="AC161" s="709"/>
      <c r="AD161" s="709"/>
      <c r="AE161" s="709"/>
      <c r="AF161" s="709"/>
      <c r="AG161" s="709"/>
      <c r="AH161" s="709"/>
      <c r="AI161" s="709"/>
      <c r="AJ161" s="709"/>
      <c r="AK161" s="709"/>
      <c r="AL161" s="709"/>
      <c r="AM161" s="709"/>
      <c r="AN161" s="709"/>
      <c r="AO161" s="709"/>
      <c r="AP161" s="709"/>
      <c r="AQ161" s="709"/>
      <c r="AR161" s="709"/>
      <c r="AS161" s="709"/>
      <c r="AT161" s="709"/>
      <c r="AU161" s="709"/>
      <c r="AV161" s="709"/>
      <c r="AW161" s="709"/>
      <c r="AX161" s="709"/>
      <c r="AY161" s="709"/>
      <c r="AZ161" s="709"/>
      <c r="BA161" s="709"/>
      <c r="BB161" s="709"/>
      <c r="BC161" s="709"/>
      <c r="BD161" s="709"/>
      <c r="BE161" s="709"/>
      <c r="BF161" s="709"/>
      <c r="BG161" s="709"/>
      <c r="BH161" s="709"/>
      <c r="BI161" s="709"/>
      <c r="BJ161" s="709"/>
      <c r="BK161" s="709"/>
      <c r="BL161" s="709"/>
      <c r="BM161" s="709"/>
      <c r="BN161" s="709"/>
      <c r="BO161" s="709"/>
      <c r="BP161" s="709"/>
      <c r="BQ161" s="709"/>
      <c r="BR161" s="709"/>
      <c r="BS161" s="709"/>
      <c r="BT161" s="709"/>
      <c r="BU161" s="709"/>
      <c r="BV161" s="709"/>
      <c r="BW161" s="709"/>
      <c r="BX161" s="709"/>
      <c r="BY161" s="709"/>
      <c r="BZ161" s="709"/>
      <c r="CA161" s="709"/>
      <c r="CB161" s="709"/>
      <c r="CC161" s="709"/>
      <c r="CD161" s="709"/>
      <c r="CE161" s="709"/>
      <c r="CF161" s="709"/>
      <c r="CG161" s="709"/>
      <c r="CH161" s="709"/>
      <c r="CI161" s="709"/>
      <c r="CJ161" s="709"/>
      <c r="CK161" s="709"/>
      <c r="CL161" s="709"/>
      <c r="CM161" s="709"/>
      <c r="CN161" s="709"/>
      <c r="CO161" s="709"/>
      <c r="CP161" s="709"/>
      <c r="CQ161" s="709"/>
      <c r="CR161" s="709"/>
      <c r="CS161" s="709"/>
      <c r="CT161" s="709"/>
      <c r="CU161" s="709"/>
      <c r="CV161" s="709"/>
      <c r="CW161" s="709"/>
      <c r="CX161" s="709"/>
      <c r="CY161" s="709"/>
      <c r="CZ161" s="709"/>
      <c r="DA161" s="709"/>
      <c r="DB161" s="709"/>
      <c r="DC161" s="709"/>
      <c r="DD161" s="709"/>
      <c r="DE161" s="709"/>
      <c r="DF161" s="709"/>
      <c r="DG161" s="709"/>
      <c r="DH161" s="709"/>
      <c r="DI161" s="709"/>
      <c r="DJ161" s="709"/>
      <c r="DK161" s="709"/>
      <c r="DL161" s="709"/>
      <c r="DM161" s="709"/>
      <c r="DN161" s="709"/>
      <c r="DO161" s="709"/>
      <c r="DP161" s="709"/>
      <c r="DQ161" s="709"/>
      <c r="DR161" s="709"/>
      <c r="DS161" s="709"/>
      <c r="DT161" s="709"/>
      <c r="DU161" s="709"/>
      <c r="DV161" s="709"/>
      <c r="DW161" s="709"/>
      <c r="DX161" s="709"/>
      <c r="DY161" s="709"/>
      <c r="DZ161" s="709"/>
      <c r="EA161" s="709"/>
      <c r="EB161" s="709"/>
      <c r="EC161" s="709"/>
      <c r="ED161" s="709"/>
      <c r="EE161" s="709"/>
      <c r="EF161" s="709"/>
      <c r="EG161" s="709"/>
      <c r="EH161" s="709"/>
      <c r="EI161" s="709"/>
      <c r="EJ161" s="709"/>
      <c r="EK161" s="709"/>
      <c r="EL161" s="709"/>
      <c r="EM161" s="709"/>
      <c r="EN161" s="709"/>
      <c r="EO161" s="709"/>
      <c r="EP161" s="709"/>
      <c r="EQ161" s="709"/>
      <c r="ER161" s="709"/>
      <c r="ES161" s="709"/>
      <c r="ET161" s="709"/>
      <c r="EU161" s="709"/>
      <c r="EV161" s="709"/>
      <c r="EW161" s="709"/>
      <c r="EX161" s="709"/>
      <c r="EY161" s="709"/>
      <c r="EZ161" s="709"/>
      <c r="FA161" s="709"/>
      <c r="FB161" s="709"/>
      <c r="FC161" s="709"/>
      <c r="FD161" s="709"/>
      <c r="FE161" s="709"/>
      <c r="FF161" s="709"/>
      <c r="FG161" s="709"/>
      <c r="FH161" s="709"/>
      <c r="FI161" s="709"/>
      <c r="FJ161" s="709"/>
      <c r="FK161" s="709"/>
      <c r="FL161" s="709"/>
      <c r="FM161" s="709"/>
      <c r="FN161" s="709"/>
      <c r="FO161" s="709"/>
      <c r="FP161" s="709"/>
      <c r="FQ161" s="709"/>
      <c r="FR161" s="709"/>
      <c r="FS161" s="709"/>
      <c r="FT161" s="709"/>
      <c r="FU161" s="709"/>
      <c r="FV161" s="709"/>
      <c r="FW161" s="709"/>
      <c r="FX161" s="709"/>
      <c r="FY161" s="709"/>
      <c r="FZ161" s="709"/>
      <c r="GA161" s="709"/>
      <c r="GB161" s="709"/>
      <c r="GC161" s="709"/>
      <c r="GD161" s="709"/>
      <c r="GE161" s="709"/>
      <c r="GF161" s="709"/>
      <c r="GG161" s="709"/>
      <c r="GH161" s="709"/>
      <c r="GI161" s="709"/>
      <c r="GJ161" s="709"/>
      <c r="GK161" s="709"/>
      <c r="GL161" s="709"/>
      <c r="GM161" s="709"/>
      <c r="GN161" s="709"/>
      <c r="GO161" s="709"/>
      <c r="GP161" s="709"/>
      <c r="GQ161" s="709"/>
      <c r="GR161" s="709"/>
      <c r="GS161" s="709"/>
      <c r="GT161" s="709"/>
      <c r="GU161" s="709"/>
      <c r="GV161" s="709"/>
      <c r="GW161" s="709"/>
      <c r="GX161" s="709"/>
      <c r="GY161" s="709"/>
      <c r="GZ161" s="709"/>
      <c r="HA161" s="709"/>
      <c r="HB161" s="709"/>
      <c r="HC161" s="709"/>
      <c r="HD161" s="709"/>
      <c r="HE161" s="709"/>
      <c r="HF161" s="709"/>
      <c r="HG161" s="709"/>
      <c r="HH161" s="709"/>
      <c r="HI161" s="709"/>
      <c r="HJ161" s="709"/>
      <c r="HK161" s="709"/>
      <c r="HL161" s="709"/>
      <c r="HM161" s="709"/>
      <c r="HN161" s="709"/>
      <c r="HO161" s="709"/>
      <c r="HP161" s="709"/>
      <c r="HQ161" s="709"/>
      <c r="HR161" s="709"/>
      <c r="HS161" s="709"/>
      <c r="HT161" s="709"/>
      <c r="HU161" s="709"/>
      <c r="HV161" s="709"/>
      <c r="HW161" s="709"/>
      <c r="HX161" s="709"/>
      <c r="HY161" s="709"/>
      <c r="HZ161" s="709"/>
      <c r="IA161" s="709"/>
      <c r="IB161" s="709"/>
      <c r="IC161" s="709"/>
      <c r="ID161" s="709"/>
      <c r="IE161" s="709"/>
      <c r="IF161" s="709"/>
      <c r="IG161" s="709"/>
      <c r="IH161" s="709"/>
      <c r="II161" s="709"/>
      <c r="IJ161" s="709"/>
      <c r="IK161" s="709"/>
      <c r="IL161" s="709"/>
      <c r="IM161" s="709"/>
      <c r="IN161" s="709"/>
      <c r="IO161" s="709"/>
      <c r="IP161" s="709"/>
      <c r="IQ161" s="709"/>
      <c r="IR161" s="709"/>
      <c r="IS161" s="709"/>
      <c r="IT161" s="709"/>
      <c r="IU161" s="709"/>
      <c r="IV161" s="709"/>
    </row>
    <row r="162" spans="1:256" ht="12.75" hidden="1" customHeight="1">
      <c r="A162" s="706" t="s">
        <v>334</v>
      </c>
      <c r="B162" s="688"/>
      <c r="C162" s="706"/>
      <c r="D162" s="689"/>
      <c r="E162" s="706"/>
      <c r="F162" s="688"/>
      <c r="G162" s="706"/>
      <c r="H162" s="706"/>
      <c r="I162" s="693"/>
      <c r="J162" s="706"/>
      <c r="K162" s="706"/>
      <c r="L162" s="691"/>
      <c r="M162" s="709"/>
      <c r="N162" s="709"/>
      <c r="O162" s="709"/>
      <c r="P162" s="709"/>
      <c r="Q162" s="709"/>
      <c r="R162" s="709"/>
      <c r="S162" s="709"/>
      <c r="T162" s="709"/>
      <c r="U162" s="709"/>
      <c r="V162" s="709"/>
      <c r="W162" s="709"/>
      <c r="X162" s="709"/>
      <c r="Y162" s="709"/>
      <c r="Z162" s="709"/>
      <c r="AA162" s="709"/>
      <c r="AB162" s="709"/>
      <c r="AC162" s="709"/>
      <c r="AD162" s="709"/>
      <c r="AE162" s="709"/>
      <c r="AF162" s="709"/>
      <c r="AG162" s="709"/>
      <c r="AH162" s="709"/>
      <c r="AI162" s="709"/>
      <c r="AJ162" s="709"/>
      <c r="AK162" s="709"/>
      <c r="AL162" s="709"/>
      <c r="AM162" s="709"/>
      <c r="AN162" s="709"/>
      <c r="AO162" s="709"/>
      <c r="AP162" s="709"/>
      <c r="AQ162" s="709"/>
      <c r="AR162" s="709"/>
      <c r="AS162" s="709"/>
      <c r="AT162" s="709"/>
      <c r="AU162" s="709"/>
      <c r="AV162" s="709"/>
      <c r="AW162" s="709"/>
      <c r="AX162" s="709"/>
      <c r="AY162" s="709"/>
      <c r="AZ162" s="709"/>
      <c r="BA162" s="709"/>
      <c r="BB162" s="709"/>
      <c r="BC162" s="709"/>
      <c r="BD162" s="709"/>
      <c r="BE162" s="709"/>
      <c r="BF162" s="709"/>
      <c r="BG162" s="709"/>
      <c r="BH162" s="709"/>
      <c r="BI162" s="709"/>
      <c r="BJ162" s="709"/>
      <c r="BK162" s="709"/>
      <c r="BL162" s="709"/>
      <c r="BM162" s="709"/>
      <c r="BN162" s="709"/>
      <c r="BO162" s="709"/>
      <c r="BP162" s="709"/>
      <c r="BQ162" s="709"/>
      <c r="BR162" s="709"/>
      <c r="BS162" s="709"/>
      <c r="BT162" s="709"/>
      <c r="BU162" s="709"/>
      <c r="BV162" s="709"/>
      <c r="BW162" s="709"/>
      <c r="BX162" s="709"/>
      <c r="BY162" s="709"/>
      <c r="BZ162" s="709"/>
      <c r="CA162" s="709"/>
      <c r="CB162" s="709"/>
      <c r="CC162" s="709"/>
      <c r="CD162" s="709"/>
      <c r="CE162" s="709"/>
      <c r="CF162" s="709"/>
      <c r="CG162" s="709"/>
      <c r="CH162" s="709"/>
      <c r="CI162" s="709"/>
      <c r="CJ162" s="709"/>
      <c r="CK162" s="709"/>
      <c r="CL162" s="709"/>
      <c r="CM162" s="709"/>
      <c r="CN162" s="709"/>
      <c r="CO162" s="709"/>
      <c r="CP162" s="709"/>
      <c r="CQ162" s="709"/>
      <c r="CR162" s="709"/>
      <c r="CS162" s="709"/>
      <c r="CT162" s="709"/>
      <c r="CU162" s="709"/>
      <c r="CV162" s="709"/>
      <c r="CW162" s="709"/>
      <c r="CX162" s="709"/>
      <c r="CY162" s="709"/>
      <c r="CZ162" s="709"/>
      <c r="DA162" s="709"/>
      <c r="DB162" s="709"/>
      <c r="DC162" s="709"/>
      <c r="DD162" s="709"/>
      <c r="DE162" s="709"/>
      <c r="DF162" s="709"/>
      <c r="DG162" s="709"/>
      <c r="DH162" s="709"/>
      <c r="DI162" s="709"/>
      <c r="DJ162" s="709"/>
      <c r="DK162" s="709"/>
      <c r="DL162" s="709"/>
      <c r="DM162" s="709"/>
      <c r="DN162" s="709"/>
      <c r="DO162" s="709"/>
      <c r="DP162" s="709"/>
      <c r="DQ162" s="709"/>
      <c r="DR162" s="709"/>
      <c r="DS162" s="709"/>
      <c r="DT162" s="709"/>
      <c r="DU162" s="709"/>
      <c r="DV162" s="709"/>
      <c r="DW162" s="709"/>
      <c r="DX162" s="709"/>
      <c r="DY162" s="709"/>
      <c r="DZ162" s="709"/>
      <c r="EA162" s="709"/>
      <c r="EB162" s="709"/>
      <c r="EC162" s="709"/>
      <c r="ED162" s="709"/>
      <c r="EE162" s="709"/>
      <c r="EF162" s="709"/>
      <c r="EG162" s="709"/>
      <c r="EH162" s="709"/>
      <c r="EI162" s="709"/>
      <c r="EJ162" s="709"/>
      <c r="EK162" s="709"/>
      <c r="EL162" s="709"/>
      <c r="EM162" s="709"/>
      <c r="EN162" s="709"/>
      <c r="EO162" s="709"/>
      <c r="EP162" s="709"/>
      <c r="EQ162" s="709"/>
      <c r="ER162" s="709"/>
      <c r="ES162" s="709"/>
      <c r="ET162" s="709"/>
      <c r="EU162" s="709"/>
      <c r="EV162" s="709"/>
      <c r="EW162" s="709"/>
      <c r="EX162" s="709"/>
      <c r="EY162" s="709"/>
      <c r="EZ162" s="709"/>
      <c r="FA162" s="709"/>
      <c r="FB162" s="709"/>
      <c r="FC162" s="709"/>
      <c r="FD162" s="709"/>
      <c r="FE162" s="709"/>
      <c r="FF162" s="709"/>
      <c r="FG162" s="709"/>
      <c r="FH162" s="709"/>
      <c r="FI162" s="709"/>
      <c r="FJ162" s="709"/>
      <c r="FK162" s="709"/>
      <c r="FL162" s="709"/>
      <c r="FM162" s="709"/>
      <c r="FN162" s="709"/>
      <c r="FO162" s="709"/>
      <c r="FP162" s="709"/>
      <c r="FQ162" s="709"/>
      <c r="FR162" s="709"/>
      <c r="FS162" s="709"/>
      <c r="FT162" s="709"/>
      <c r="FU162" s="709"/>
      <c r="FV162" s="709"/>
      <c r="FW162" s="709"/>
      <c r="FX162" s="709"/>
      <c r="FY162" s="709"/>
      <c r="FZ162" s="709"/>
      <c r="GA162" s="709"/>
      <c r="GB162" s="709"/>
      <c r="GC162" s="709"/>
      <c r="GD162" s="709"/>
      <c r="GE162" s="709"/>
      <c r="GF162" s="709"/>
      <c r="GG162" s="709"/>
      <c r="GH162" s="709"/>
      <c r="GI162" s="709"/>
      <c r="GJ162" s="709"/>
      <c r="GK162" s="709"/>
      <c r="GL162" s="709"/>
      <c r="GM162" s="709"/>
      <c r="GN162" s="709"/>
      <c r="GO162" s="709"/>
      <c r="GP162" s="709"/>
      <c r="GQ162" s="709"/>
      <c r="GR162" s="709"/>
      <c r="GS162" s="709"/>
      <c r="GT162" s="709"/>
      <c r="GU162" s="709"/>
      <c r="GV162" s="709"/>
      <c r="GW162" s="709"/>
      <c r="GX162" s="709"/>
      <c r="GY162" s="709"/>
      <c r="GZ162" s="709"/>
      <c r="HA162" s="709"/>
      <c r="HB162" s="709"/>
      <c r="HC162" s="709"/>
      <c r="HD162" s="709"/>
      <c r="HE162" s="709"/>
      <c r="HF162" s="709"/>
      <c r="HG162" s="709"/>
      <c r="HH162" s="709"/>
      <c r="HI162" s="709"/>
      <c r="HJ162" s="709"/>
      <c r="HK162" s="709"/>
      <c r="HL162" s="709"/>
      <c r="HM162" s="709"/>
      <c r="HN162" s="709"/>
      <c r="HO162" s="709"/>
      <c r="HP162" s="709"/>
      <c r="HQ162" s="709"/>
      <c r="HR162" s="709"/>
      <c r="HS162" s="709"/>
      <c r="HT162" s="709"/>
      <c r="HU162" s="709"/>
      <c r="HV162" s="709"/>
      <c r="HW162" s="709"/>
      <c r="HX162" s="709"/>
      <c r="HY162" s="709"/>
      <c r="HZ162" s="709"/>
      <c r="IA162" s="709"/>
      <c r="IB162" s="709"/>
      <c r="IC162" s="709"/>
      <c r="ID162" s="709"/>
      <c r="IE162" s="709"/>
      <c r="IF162" s="709"/>
      <c r="IG162" s="709"/>
      <c r="IH162" s="709"/>
      <c r="II162" s="709"/>
      <c r="IJ162" s="709"/>
      <c r="IK162" s="709"/>
      <c r="IL162" s="709"/>
      <c r="IM162" s="709"/>
      <c r="IN162" s="709"/>
      <c r="IO162" s="709"/>
      <c r="IP162" s="709"/>
      <c r="IQ162" s="709"/>
      <c r="IR162" s="709"/>
      <c r="IS162" s="709"/>
      <c r="IT162" s="709"/>
      <c r="IU162" s="709"/>
      <c r="IV162" s="709"/>
    </row>
    <row r="163" spans="1:256" ht="12.75" hidden="1" customHeight="1">
      <c r="A163" s="706" t="s">
        <v>335</v>
      </c>
      <c r="B163" s="688"/>
      <c r="C163" s="706"/>
      <c r="D163" s="689"/>
      <c r="E163" s="706"/>
      <c r="F163" s="688"/>
      <c r="G163" s="706"/>
      <c r="H163" s="706"/>
      <c r="I163" s="693"/>
      <c r="J163" s="706"/>
      <c r="K163" s="706"/>
      <c r="L163" s="691"/>
      <c r="M163" s="709"/>
      <c r="N163" s="709"/>
      <c r="O163" s="709"/>
      <c r="P163" s="709"/>
      <c r="Q163" s="709"/>
      <c r="R163" s="709"/>
      <c r="S163" s="709"/>
      <c r="T163" s="709"/>
      <c r="U163" s="709"/>
      <c r="V163" s="709"/>
      <c r="W163" s="709"/>
      <c r="X163" s="709"/>
      <c r="Y163" s="709"/>
      <c r="Z163" s="709"/>
      <c r="AA163" s="709"/>
      <c r="AB163" s="709"/>
      <c r="AC163" s="709"/>
      <c r="AD163" s="709"/>
      <c r="AE163" s="709"/>
      <c r="AF163" s="709"/>
      <c r="AG163" s="709"/>
      <c r="AH163" s="709"/>
      <c r="AI163" s="709"/>
      <c r="AJ163" s="709"/>
      <c r="AK163" s="709"/>
      <c r="AL163" s="709"/>
      <c r="AM163" s="709"/>
      <c r="AN163" s="709"/>
      <c r="AO163" s="709"/>
      <c r="AP163" s="709"/>
      <c r="AQ163" s="709"/>
      <c r="AR163" s="709"/>
      <c r="AS163" s="709"/>
      <c r="AT163" s="709"/>
      <c r="AU163" s="709"/>
      <c r="AV163" s="709"/>
      <c r="AW163" s="709"/>
      <c r="AX163" s="709"/>
      <c r="AY163" s="709"/>
      <c r="AZ163" s="709"/>
      <c r="BA163" s="709"/>
      <c r="BB163" s="709"/>
      <c r="BC163" s="709"/>
      <c r="BD163" s="709"/>
      <c r="BE163" s="709"/>
      <c r="BF163" s="709"/>
      <c r="BG163" s="709"/>
      <c r="BH163" s="709"/>
      <c r="BI163" s="709"/>
      <c r="BJ163" s="709"/>
      <c r="BK163" s="709"/>
      <c r="BL163" s="709"/>
      <c r="BM163" s="709"/>
      <c r="BN163" s="709"/>
      <c r="BO163" s="709"/>
      <c r="BP163" s="709"/>
      <c r="BQ163" s="709"/>
      <c r="BR163" s="709"/>
      <c r="BS163" s="709"/>
      <c r="BT163" s="709"/>
      <c r="BU163" s="709"/>
      <c r="BV163" s="709"/>
      <c r="BW163" s="709"/>
      <c r="BX163" s="709"/>
      <c r="BY163" s="709"/>
      <c r="BZ163" s="709"/>
      <c r="CA163" s="709"/>
      <c r="CB163" s="709"/>
      <c r="CC163" s="709"/>
      <c r="CD163" s="709"/>
      <c r="CE163" s="709"/>
      <c r="CF163" s="709"/>
      <c r="CG163" s="709"/>
      <c r="CH163" s="709"/>
      <c r="CI163" s="709"/>
      <c r="CJ163" s="709"/>
      <c r="CK163" s="709"/>
      <c r="CL163" s="709"/>
      <c r="CM163" s="709"/>
      <c r="CN163" s="709"/>
      <c r="CO163" s="709"/>
      <c r="CP163" s="709"/>
      <c r="CQ163" s="709"/>
      <c r="CR163" s="709"/>
      <c r="CS163" s="709"/>
      <c r="CT163" s="709"/>
      <c r="CU163" s="709"/>
      <c r="CV163" s="709"/>
      <c r="CW163" s="709"/>
      <c r="CX163" s="709"/>
      <c r="CY163" s="709"/>
      <c r="CZ163" s="709"/>
      <c r="DA163" s="709"/>
      <c r="DB163" s="709"/>
      <c r="DC163" s="709"/>
      <c r="DD163" s="709"/>
      <c r="DE163" s="709"/>
      <c r="DF163" s="709"/>
      <c r="DG163" s="709"/>
      <c r="DH163" s="709"/>
      <c r="DI163" s="709"/>
      <c r="DJ163" s="709"/>
      <c r="DK163" s="709"/>
      <c r="DL163" s="709"/>
      <c r="DM163" s="709"/>
      <c r="DN163" s="709"/>
      <c r="DO163" s="709"/>
      <c r="DP163" s="709"/>
      <c r="DQ163" s="709"/>
      <c r="DR163" s="709"/>
      <c r="DS163" s="709"/>
      <c r="DT163" s="709"/>
      <c r="DU163" s="709"/>
      <c r="DV163" s="709"/>
      <c r="DW163" s="709"/>
      <c r="DX163" s="709"/>
      <c r="DY163" s="709"/>
      <c r="DZ163" s="709"/>
      <c r="EA163" s="709"/>
      <c r="EB163" s="709"/>
      <c r="EC163" s="709"/>
      <c r="ED163" s="709"/>
      <c r="EE163" s="709"/>
      <c r="EF163" s="709"/>
      <c r="EG163" s="709"/>
      <c r="EH163" s="709"/>
      <c r="EI163" s="709"/>
      <c r="EJ163" s="709"/>
      <c r="EK163" s="709"/>
      <c r="EL163" s="709"/>
      <c r="EM163" s="709"/>
      <c r="EN163" s="709"/>
      <c r="EO163" s="709"/>
      <c r="EP163" s="709"/>
      <c r="EQ163" s="709"/>
      <c r="ER163" s="709"/>
      <c r="ES163" s="709"/>
      <c r="ET163" s="709"/>
      <c r="EU163" s="709"/>
      <c r="EV163" s="709"/>
      <c r="EW163" s="709"/>
      <c r="EX163" s="709"/>
      <c r="EY163" s="709"/>
      <c r="EZ163" s="709"/>
      <c r="FA163" s="709"/>
      <c r="FB163" s="709"/>
      <c r="FC163" s="709"/>
      <c r="FD163" s="709"/>
      <c r="FE163" s="709"/>
      <c r="FF163" s="709"/>
      <c r="FG163" s="709"/>
      <c r="FH163" s="709"/>
      <c r="FI163" s="709"/>
      <c r="FJ163" s="709"/>
      <c r="FK163" s="709"/>
      <c r="FL163" s="709"/>
      <c r="FM163" s="709"/>
      <c r="FN163" s="709"/>
      <c r="FO163" s="709"/>
      <c r="FP163" s="709"/>
      <c r="FQ163" s="709"/>
      <c r="FR163" s="709"/>
      <c r="FS163" s="709"/>
      <c r="FT163" s="709"/>
      <c r="FU163" s="709"/>
      <c r="FV163" s="709"/>
      <c r="FW163" s="709"/>
      <c r="FX163" s="709"/>
      <c r="FY163" s="709"/>
      <c r="FZ163" s="709"/>
      <c r="GA163" s="709"/>
      <c r="GB163" s="709"/>
      <c r="GC163" s="709"/>
      <c r="GD163" s="709"/>
      <c r="GE163" s="709"/>
      <c r="GF163" s="709"/>
      <c r="GG163" s="709"/>
      <c r="GH163" s="709"/>
      <c r="GI163" s="709"/>
      <c r="GJ163" s="709"/>
      <c r="GK163" s="709"/>
      <c r="GL163" s="709"/>
      <c r="GM163" s="709"/>
      <c r="GN163" s="709"/>
      <c r="GO163" s="709"/>
      <c r="GP163" s="709"/>
      <c r="GQ163" s="709"/>
      <c r="GR163" s="709"/>
      <c r="GS163" s="709"/>
      <c r="GT163" s="709"/>
      <c r="GU163" s="709"/>
      <c r="GV163" s="709"/>
      <c r="GW163" s="709"/>
      <c r="GX163" s="709"/>
      <c r="GY163" s="709"/>
      <c r="GZ163" s="709"/>
      <c r="HA163" s="709"/>
      <c r="HB163" s="709"/>
      <c r="HC163" s="709"/>
      <c r="HD163" s="709"/>
      <c r="HE163" s="709"/>
      <c r="HF163" s="709"/>
      <c r="HG163" s="709"/>
      <c r="HH163" s="709"/>
      <c r="HI163" s="709"/>
      <c r="HJ163" s="709"/>
      <c r="HK163" s="709"/>
      <c r="HL163" s="709"/>
      <c r="HM163" s="709"/>
      <c r="HN163" s="709"/>
      <c r="HO163" s="709"/>
      <c r="HP163" s="709"/>
      <c r="HQ163" s="709"/>
      <c r="HR163" s="709"/>
      <c r="HS163" s="709"/>
      <c r="HT163" s="709"/>
      <c r="HU163" s="709"/>
      <c r="HV163" s="709"/>
      <c r="HW163" s="709"/>
      <c r="HX163" s="709"/>
      <c r="HY163" s="709"/>
      <c r="HZ163" s="709"/>
      <c r="IA163" s="709"/>
      <c r="IB163" s="709"/>
      <c r="IC163" s="709"/>
      <c r="ID163" s="709"/>
      <c r="IE163" s="709"/>
      <c r="IF163" s="709"/>
      <c r="IG163" s="709"/>
      <c r="IH163" s="709"/>
      <c r="II163" s="709"/>
      <c r="IJ163" s="709"/>
      <c r="IK163" s="709"/>
      <c r="IL163" s="709"/>
      <c r="IM163" s="709"/>
      <c r="IN163" s="709"/>
      <c r="IO163" s="709"/>
      <c r="IP163" s="709"/>
      <c r="IQ163" s="709"/>
      <c r="IR163" s="709"/>
      <c r="IS163" s="709"/>
      <c r="IT163" s="709"/>
      <c r="IU163" s="709"/>
      <c r="IV163" s="709"/>
    </row>
    <row r="164" spans="1:256" ht="12.75" hidden="1" customHeight="1">
      <c r="A164" s="706" t="s">
        <v>336</v>
      </c>
      <c r="B164" s="688"/>
      <c r="C164" s="706"/>
      <c r="D164" s="689"/>
      <c r="E164" s="706"/>
      <c r="F164" s="688"/>
      <c r="G164" s="706"/>
      <c r="H164" s="706"/>
      <c r="I164" s="693"/>
      <c r="J164" s="706"/>
      <c r="K164" s="706"/>
      <c r="L164" s="691"/>
      <c r="M164" s="709"/>
      <c r="N164" s="709"/>
      <c r="O164" s="709"/>
      <c r="P164" s="709"/>
      <c r="Q164" s="709"/>
      <c r="R164" s="709"/>
      <c r="S164" s="709"/>
      <c r="T164" s="709"/>
      <c r="U164" s="709"/>
      <c r="V164" s="709"/>
      <c r="W164" s="709"/>
      <c r="X164" s="709"/>
      <c r="Y164" s="709"/>
      <c r="Z164" s="709"/>
      <c r="AA164" s="709"/>
      <c r="AB164" s="709"/>
      <c r="AC164" s="709"/>
      <c r="AD164" s="709"/>
      <c r="AE164" s="709"/>
      <c r="AF164" s="709"/>
      <c r="AG164" s="709"/>
      <c r="AH164" s="709"/>
      <c r="AI164" s="709"/>
      <c r="AJ164" s="709"/>
      <c r="AK164" s="709"/>
      <c r="AL164" s="709"/>
      <c r="AM164" s="709"/>
      <c r="AN164" s="709"/>
      <c r="AO164" s="709"/>
      <c r="AP164" s="709"/>
      <c r="AQ164" s="709"/>
      <c r="AR164" s="709"/>
      <c r="AS164" s="709"/>
      <c r="AT164" s="709"/>
      <c r="AU164" s="709"/>
      <c r="AV164" s="709"/>
      <c r="AW164" s="709"/>
      <c r="AX164" s="709"/>
      <c r="AY164" s="709"/>
      <c r="AZ164" s="709"/>
      <c r="BA164" s="709"/>
      <c r="BB164" s="709"/>
      <c r="BC164" s="709"/>
      <c r="BD164" s="709"/>
      <c r="BE164" s="709"/>
      <c r="BF164" s="709"/>
      <c r="BG164" s="709"/>
      <c r="BH164" s="709"/>
      <c r="BI164" s="709"/>
      <c r="BJ164" s="709"/>
      <c r="BK164" s="709"/>
      <c r="BL164" s="709"/>
      <c r="BM164" s="709"/>
      <c r="BN164" s="709"/>
      <c r="BO164" s="709"/>
      <c r="BP164" s="709"/>
      <c r="BQ164" s="709"/>
      <c r="BR164" s="709"/>
      <c r="BS164" s="709"/>
      <c r="BT164" s="709"/>
      <c r="BU164" s="709"/>
      <c r="BV164" s="709"/>
      <c r="BW164" s="709"/>
      <c r="BX164" s="709"/>
      <c r="BY164" s="709"/>
      <c r="BZ164" s="709"/>
      <c r="CA164" s="709"/>
      <c r="CB164" s="709"/>
      <c r="CC164" s="709"/>
      <c r="CD164" s="709"/>
      <c r="CE164" s="709"/>
      <c r="CF164" s="709"/>
      <c r="CG164" s="709"/>
      <c r="CH164" s="709"/>
      <c r="CI164" s="709"/>
      <c r="CJ164" s="709"/>
      <c r="CK164" s="709"/>
      <c r="CL164" s="709"/>
      <c r="CM164" s="709"/>
      <c r="CN164" s="709"/>
      <c r="CO164" s="709"/>
      <c r="CP164" s="709"/>
      <c r="CQ164" s="709"/>
      <c r="CR164" s="709"/>
      <c r="CS164" s="709"/>
      <c r="CT164" s="709"/>
      <c r="CU164" s="709"/>
      <c r="CV164" s="709"/>
      <c r="CW164" s="709"/>
      <c r="CX164" s="709"/>
      <c r="CY164" s="709"/>
      <c r="CZ164" s="709"/>
      <c r="DA164" s="709"/>
      <c r="DB164" s="709"/>
      <c r="DC164" s="709"/>
      <c r="DD164" s="709"/>
      <c r="DE164" s="709"/>
      <c r="DF164" s="709"/>
      <c r="DG164" s="709"/>
      <c r="DH164" s="709"/>
      <c r="DI164" s="709"/>
      <c r="DJ164" s="709"/>
      <c r="DK164" s="709"/>
      <c r="DL164" s="709"/>
      <c r="DM164" s="709"/>
      <c r="DN164" s="709"/>
      <c r="DO164" s="709"/>
      <c r="DP164" s="709"/>
      <c r="DQ164" s="709"/>
      <c r="DR164" s="709"/>
      <c r="DS164" s="709"/>
      <c r="DT164" s="709"/>
      <c r="DU164" s="709"/>
      <c r="DV164" s="709"/>
      <c r="DW164" s="709"/>
      <c r="DX164" s="709"/>
      <c r="DY164" s="709"/>
      <c r="DZ164" s="709"/>
      <c r="EA164" s="709"/>
      <c r="EB164" s="709"/>
      <c r="EC164" s="709"/>
      <c r="ED164" s="709"/>
      <c r="EE164" s="709"/>
      <c r="EF164" s="709"/>
      <c r="EG164" s="709"/>
      <c r="EH164" s="709"/>
      <c r="EI164" s="709"/>
      <c r="EJ164" s="709"/>
      <c r="EK164" s="709"/>
      <c r="EL164" s="709"/>
      <c r="EM164" s="709"/>
      <c r="EN164" s="709"/>
      <c r="EO164" s="709"/>
      <c r="EP164" s="709"/>
      <c r="EQ164" s="709"/>
      <c r="ER164" s="709"/>
      <c r="ES164" s="709"/>
      <c r="ET164" s="709"/>
      <c r="EU164" s="709"/>
      <c r="EV164" s="709"/>
      <c r="EW164" s="709"/>
      <c r="EX164" s="709"/>
      <c r="EY164" s="709"/>
      <c r="EZ164" s="709"/>
      <c r="FA164" s="709"/>
      <c r="FB164" s="709"/>
      <c r="FC164" s="709"/>
      <c r="FD164" s="709"/>
      <c r="FE164" s="709"/>
      <c r="FF164" s="709"/>
      <c r="FG164" s="709"/>
      <c r="FH164" s="709"/>
      <c r="FI164" s="709"/>
      <c r="FJ164" s="709"/>
      <c r="FK164" s="709"/>
      <c r="FL164" s="709"/>
      <c r="FM164" s="709"/>
      <c r="FN164" s="709"/>
      <c r="FO164" s="709"/>
      <c r="FP164" s="709"/>
      <c r="FQ164" s="709"/>
      <c r="FR164" s="709"/>
      <c r="FS164" s="709"/>
      <c r="FT164" s="709"/>
      <c r="FU164" s="709"/>
      <c r="FV164" s="709"/>
      <c r="FW164" s="709"/>
      <c r="FX164" s="709"/>
      <c r="FY164" s="709"/>
      <c r="FZ164" s="709"/>
      <c r="GA164" s="709"/>
      <c r="GB164" s="709"/>
      <c r="GC164" s="709"/>
      <c r="GD164" s="709"/>
      <c r="GE164" s="709"/>
      <c r="GF164" s="709"/>
      <c r="GG164" s="709"/>
      <c r="GH164" s="709"/>
      <c r="GI164" s="709"/>
      <c r="GJ164" s="709"/>
      <c r="GK164" s="709"/>
      <c r="GL164" s="709"/>
      <c r="GM164" s="709"/>
      <c r="GN164" s="709"/>
      <c r="GO164" s="709"/>
      <c r="GP164" s="709"/>
      <c r="GQ164" s="709"/>
      <c r="GR164" s="709"/>
      <c r="GS164" s="709"/>
      <c r="GT164" s="709"/>
      <c r="GU164" s="709"/>
      <c r="GV164" s="709"/>
      <c r="GW164" s="709"/>
      <c r="GX164" s="709"/>
      <c r="GY164" s="709"/>
      <c r="GZ164" s="709"/>
      <c r="HA164" s="709"/>
      <c r="HB164" s="709"/>
      <c r="HC164" s="709"/>
      <c r="HD164" s="709"/>
      <c r="HE164" s="709"/>
      <c r="HF164" s="709"/>
      <c r="HG164" s="709"/>
      <c r="HH164" s="709"/>
      <c r="HI164" s="709"/>
      <c r="HJ164" s="709"/>
      <c r="HK164" s="709"/>
      <c r="HL164" s="709"/>
      <c r="HM164" s="709"/>
      <c r="HN164" s="709"/>
      <c r="HO164" s="709"/>
      <c r="HP164" s="709"/>
      <c r="HQ164" s="709"/>
      <c r="HR164" s="709"/>
      <c r="HS164" s="709"/>
      <c r="HT164" s="709"/>
      <c r="HU164" s="709"/>
      <c r="HV164" s="709"/>
      <c r="HW164" s="709"/>
      <c r="HX164" s="709"/>
      <c r="HY164" s="709"/>
      <c r="HZ164" s="709"/>
      <c r="IA164" s="709"/>
      <c r="IB164" s="709"/>
      <c r="IC164" s="709"/>
      <c r="ID164" s="709"/>
      <c r="IE164" s="709"/>
      <c r="IF164" s="709"/>
      <c r="IG164" s="709"/>
      <c r="IH164" s="709"/>
      <c r="II164" s="709"/>
      <c r="IJ164" s="709"/>
      <c r="IK164" s="709"/>
      <c r="IL164" s="709"/>
      <c r="IM164" s="709"/>
      <c r="IN164" s="709"/>
      <c r="IO164" s="709"/>
      <c r="IP164" s="709"/>
      <c r="IQ164" s="709"/>
      <c r="IR164" s="709"/>
      <c r="IS164" s="709"/>
      <c r="IT164" s="709"/>
      <c r="IU164" s="709"/>
      <c r="IV164" s="709"/>
    </row>
    <row r="165" spans="1:256" ht="12.75" hidden="1" customHeight="1">
      <c r="A165" s="706" t="s">
        <v>337</v>
      </c>
      <c r="B165" s="688"/>
      <c r="C165" s="706"/>
      <c r="D165" s="689"/>
      <c r="E165" s="706"/>
      <c r="F165" s="688"/>
      <c r="G165" s="706"/>
      <c r="H165" s="706"/>
      <c r="I165" s="693"/>
      <c r="J165" s="706"/>
      <c r="K165" s="706"/>
      <c r="L165" s="691"/>
      <c r="M165" s="709"/>
      <c r="N165" s="709"/>
      <c r="O165" s="709"/>
      <c r="P165" s="709"/>
      <c r="Q165" s="709"/>
      <c r="R165" s="709"/>
      <c r="S165" s="709"/>
      <c r="T165" s="709"/>
      <c r="U165" s="709"/>
      <c r="V165" s="709"/>
      <c r="W165" s="709"/>
      <c r="X165" s="709"/>
      <c r="Y165" s="709"/>
      <c r="Z165" s="709"/>
      <c r="AA165" s="709"/>
      <c r="AB165" s="709"/>
      <c r="AC165" s="709"/>
      <c r="AD165" s="709"/>
      <c r="AE165" s="709"/>
      <c r="AF165" s="709"/>
      <c r="AG165" s="709"/>
      <c r="AH165" s="709"/>
      <c r="AI165" s="709"/>
      <c r="AJ165" s="709"/>
      <c r="AK165" s="709"/>
      <c r="AL165" s="709"/>
      <c r="AM165" s="709"/>
      <c r="AN165" s="709"/>
      <c r="AO165" s="709"/>
      <c r="AP165" s="709"/>
      <c r="AQ165" s="709"/>
      <c r="AR165" s="709"/>
      <c r="AS165" s="709"/>
      <c r="AT165" s="709"/>
      <c r="AU165" s="709"/>
      <c r="AV165" s="709"/>
      <c r="AW165" s="709"/>
      <c r="AX165" s="709"/>
      <c r="AY165" s="709"/>
      <c r="AZ165" s="709"/>
      <c r="BA165" s="709"/>
      <c r="BB165" s="709"/>
      <c r="BC165" s="709"/>
      <c r="BD165" s="709"/>
      <c r="BE165" s="709"/>
      <c r="BF165" s="709"/>
      <c r="BG165" s="709"/>
      <c r="BH165" s="709"/>
      <c r="BI165" s="709"/>
      <c r="BJ165" s="709"/>
      <c r="BK165" s="709"/>
      <c r="BL165" s="709"/>
      <c r="BM165" s="709"/>
      <c r="BN165" s="709"/>
      <c r="BO165" s="709"/>
      <c r="BP165" s="709"/>
      <c r="BQ165" s="709"/>
      <c r="BR165" s="709"/>
      <c r="BS165" s="709"/>
      <c r="BT165" s="709"/>
      <c r="BU165" s="709"/>
      <c r="BV165" s="709"/>
      <c r="BW165" s="709"/>
      <c r="BX165" s="709"/>
      <c r="BY165" s="709"/>
      <c r="BZ165" s="709"/>
      <c r="CA165" s="709"/>
      <c r="CB165" s="709"/>
      <c r="CC165" s="709"/>
      <c r="CD165" s="709"/>
      <c r="CE165" s="709"/>
      <c r="CF165" s="709"/>
      <c r="CG165" s="709"/>
      <c r="CH165" s="709"/>
      <c r="CI165" s="709"/>
      <c r="CJ165" s="709"/>
      <c r="CK165" s="709"/>
      <c r="CL165" s="709"/>
      <c r="CM165" s="709"/>
      <c r="CN165" s="709"/>
      <c r="CO165" s="709"/>
      <c r="CP165" s="709"/>
      <c r="CQ165" s="709"/>
      <c r="CR165" s="709"/>
      <c r="CS165" s="709"/>
      <c r="CT165" s="709"/>
      <c r="CU165" s="709"/>
      <c r="CV165" s="709"/>
      <c r="CW165" s="709"/>
      <c r="CX165" s="709"/>
      <c r="CY165" s="709"/>
      <c r="CZ165" s="709"/>
      <c r="DA165" s="709"/>
      <c r="DB165" s="709"/>
      <c r="DC165" s="709"/>
      <c r="DD165" s="709"/>
      <c r="DE165" s="709"/>
      <c r="DF165" s="709"/>
      <c r="DG165" s="709"/>
      <c r="DH165" s="709"/>
      <c r="DI165" s="709"/>
      <c r="DJ165" s="709"/>
      <c r="DK165" s="709"/>
      <c r="DL165" s="709"/>
      <c r="DM165" s="709"/>
      <c r="DN165" s="709"/>
      <c r="DO165" s="709"/>
      <c r="DP165" s="709"/>
      <c r="DQ165" s="709"/>
      <c r="DR165" s="709"/>
      <c r="DS165" s="709"/>
      <c r="DT165" s="709"/>
      <c r="DU165" s="709"/>
      <c r="DV165" s="709"/>
      <c r="DW165" s="709"/>
      <c r="DX165" s="709"/>
      <c r="DY165" s="709"/>
      <c r="DZ165" s="709"/>
      <c r="EA165" s="709"/>
      <c r="EB165" s="709"/>
      <c r="EC165" s="709"/>
      <c r="ED165" s="709"/>
      <c r="EE165" s="709"/>
      <c r="EF165" s="709"/>
      <c r="EG165" s="709"/>
      <c r="EH165" s="709"/>
      <c r="EI165" s="709"/>
      <c r="EJ165" s="709"/>
      <c r="EK165" s="709"/>
      <c r="EL165" s="709"/>
      <c r="EM165" s="709"/>
      <c r="EN165" s="709"/>
      <c r="EO165" s="709"/>
      <c r="EP165" s="709"/>
      <c r="EQ165" s="709"/>
      <c r="ER165" s="709"/>
      <c r="ES165" s="709"/>
      <c r="ET165" s="709"/>
      <c r="EU165" s="709"/>
      <c r="EV165" s="709"/>
      <c r="EW165" s="709"/>
      <c r="EX165" s="709"/>
      <c r="EY165" s="709"/>
      <c r="EZ165" s="709"/>
      <c r="FA165" s="709"/>
      <c r="FB165" s="709"/>
      <c r="FC165" s="709"/>
      <c r="FD165" s="709"/>
      <c r="FE165" s="709"/>
      <c r="FF165" s="709"/>
      <c r="FG165" s="709"/>
      <c r="FH165" s="709"/>
      <c r="FI165" s="709"/>
      <c r="FJ165" s="709"/>
      <c r="FK165" s="709"/>
      <c r="FL165" s="709"/>
      <c r="FM165" s="709"/>
      <c r="FN165" s="709"/>
      <c r="FO165" s="709"/>
      <c r="FP165" s="709"/>
      <c r="FQ165" s="709"/>
      <c r="FR165" s="709"/>
      <c r="FS165" s="709"/>
      <c r="FT165" s="709"/>
      <c r="FU165" s="709"/>
      <c r="FV165" s="709"/>
      <c r="FW165" s="709"/>
      <c r="FX165" s="709"/>
      <c r="FY165" s="709"/>
      <c r="FZ165" s="709"/>
      <c r="GA165" s="709"/>
      <c r="GB165" s="709"/>
      <c r="GC165" s="709"/>
      <c r="GD165" s="709"/>
      <c r="GE165" s="709"/>
      <c r="GF165" s="709"/>
      <c r="GG165" s="709"/>
      <c r="GH165" s="709"/>
      <c r="GI165" s="709"/>
      <c r="GJ165" s="709"/>
      <c r="GK165" s="709"/>
      <c r="GL165" s="709"/>
      <c r="GM165" s="709"/>
      <c r="GN165" s="709"/>
      <c r="GO165" s="709"/>
      <c r="GP165" s="709"/>
      <c r="GQ165" s="709"/>
      <c r="GR165" s="709"/>
      <c r="GS165" s="709"/>
      <c r="GT165" s="709"/>
      <c r="GU165" s="709"/>
      <c r="GV165" s="709"/>
      <c r="GW165" s="709"/>
      <c r="GX165" s="709"/>
      <c r="GY165" s="709"/>
      <c r="GZ165" s="709"/>
      <c r="HA165" s="709"/>
      <c r="HB165" s="709"/>
      <c r="HC165" s="709"/>
      <c r="HD165" s="709"/>
      <c r="HE165" s="709"/>
      <c r="HF165" s="709"/>
      <c r="HG165" s="709"/>
      <c r="HH165" s="709"/>
      <c r="HI165" s="709"/>
      <c r="HJ165" s="709"/>
      <c r="HK165" s="709"/>
      <c r="HL165" s="709"/>
      <c r="HM165" s="709"/>
      <c r="HN165" s="709"/>
      <c r="HO165" s="709"/>
      <c r="HP165" s="709"/>
      <c r="HQ165" s="709"/>
      <c r="HR165" s="709"/>
      <c r="HS165" s="709"/>
      <c r="HT165" s="709"/>
      <c r="HU165" s="709"/>
      <c r="HV165" s="709"/>
      <c r="HW165" s="709"/>
      <c r="HX165" s="709"/>
      <c r="HY165" s="709"/>
      <c r="HZ165" s="709"/>
      <c r="IA165" s="709"/>
      <c r="IB165" s="709"/>
      <c r="IC165" s="709"/>
      <c r="ID165" s="709"/>
      <c r="IE165" s="709"/>
      <c r="IF165" s="709"/>
      <c r="IG165" s="709"/>
      <c r="IH165" s="709"/>
      <c r="II165" s="709"/>
      <c r="IJ165" s="709"/>
      <c r="IK165" s="709"/>
      <c r="IL165" s="709"/>
      <c r="IM165" s="709"/>
      <c r="IN165" s="709"/>
      <c r="IO165" s="709"/>
      <c r="IP165" s="709"/>
      <c r="IQ165" s="709"/>
      <c r="IR165" s="709"/>
      <c r="IS165" s="709"/>
      <c r="IT165" s="709"/>
      <c r="IU165" s="709"/>
      <c r="IV165" s="709"/>
    </row>
    <row r="166" spans="1:256" ht="12.75" hidden="1" customHeight="1">
      <c r="A166" s="706" t="s">
        <v>346</v>
      </c>
      <c r="B166" s="688"/>
      <c r="C166" s="706"/>
      <c r="D166" s="689"/>
      <c r="E166" s="706"/>
      <c r="F166" s="688"/>
      <c r="G166" s="706"/>
      <c r="H166" s="706"/>
      <c r="I166" s="693"/>
      <c r="J166" s="706"/>
      <c r="K166" s="706"/>
      <c r="L166" s="691"/>
      <c r="M166" s="709"/>
      <c r="N166" s="709"/>
      <c r="O166" s="709"/>
      <c r="P166" s="709"/>
      <c r="Q166" s="709"/>
      <c r="R166" s="709"/>
      <c r="S166" s="709"/>
      <c r="T166" s="709"/>
      <c r="U166" s="709"/>
      <c r="V166" s="709"/>
      <c r="W166" s="709"/>
      <c r="X166" s="709"/>
      <c r="Y166" s="709"/>
      <c r="Z166" s="709"/>
      <c r="AA166" s="709"/>
      <c r="AB166" s="709"/>
      <c r="AC166" s="709"/>
      <c r="AD166" s="709"/>
      <c r="AE166" s="709"/>
      <c r="AF166" s="709"/>
      <c r="AG166" s="709"/>
      <c r="AH166" s="709"/>
      <c r="AI166" s="709"/>
      <c r="AJ166" s="709"/>
      <c r="AK166" s="709"/>
      <c r="AL166" s="709"/>
      <c r="AM166" s="709"/>
      <c r="AN166" s="709"/>
      <c r="AO166" s="709"/>
      <c r="AP166" s="709"/>
      <c r="AQ166" s="709"/>
      <c r="AR166" s="709"/>
      <c r="AS166" s="709"/>
      <c r="AT166" s="709"/>
      <c r="AU166" s="709"/>
      <c r="AV166" s="709"/>
      <c r="AW166" s="709"/>
      <c r="AX166" s="709"/>
      <c r="AY166" s="709"/>
      <c r="AZ166" s="709"/>
      <c r="BA166" s="709"/>
      <c r="BB166" s="709"/>
      <c r="BC166" s="709"/>
      <c r="BD166" s="709"/>
      <c r="BE166" s="709"/>
      <c r="BF166" s="709"/>
      <c r="BG166" s="709"/>
      <c r="BH166" s="709"/>
      <c r="BI166" s="709"/>
      <c r="BJ166" s="709"/>
      <c r="BK166" s="709"/>
      <c r="BL166" s="709"/>
      <c r="BM166" s="709"/>
      <c r="BN166" s="709"/>
      <c r="BO166" s="709"/>
      <c r="BP166" s="709"/>
      <c r="BQ166" s="709"/>
      <c r="BR166" s="709"/>
      <c r="BS166" s="709"/>
      <c r="BT166" s="709"/>
      <c r="BU166" s="709"/>
      <c r="BV166" s="709"/>
      <c r="BW166" s="709"/>
      <c r="BX166" s="709"/>
      <c r="BY166" s="709"/>
      <c r="BZ166" s="709"/>
      <c r="CA166" s="709"/>
      <c r="CB166" s="709"/>
      <c r="CC166" s="709"/>
      <c r="CD166" s="709"/>
      <c r="CE166" s="709"/>
      <c r="CF166" s="709"/>
      <c r="CG166" s="709"/>
      <c r="CH166" s="709"/>
      <c r="CI166" s="709"/>
      <c r="CJ166" s="709"/>
      <c r="CK166" s="709"/>
      <c r="CL166" s="709"/>
      <c r="CM166" s="709"/>
      <c r="CN166" s="709"/>
      <c r="CO166" s="709"/>
      <c r="CP166" s="709"/>
      <c r="CQ166" s="709"/>
      <c r="CR166" s="709"/>
      <c r="CS166" s="709"/>
      <c r="CT166" s="709"/>
      <c r="CU166" s="709"/>
      <c r="CV166" s="709"/>
      <c r="CW166" s="709"/>
      <c r="CX166" s="709"/>
      <c r="CY166" s="709"/>
      <c r="CZ166" s="709"/>
      <c r="DA166" s="709"/>
      <c r="DB166" s="709"/>
      <c r="DC166" s="709"/>
      <c r="DD166" s="709"/>
      <c r="DE166" s="709"/>
      <c r="DF166" s="709"/>
      <c r="DG166" s="709"/>
      <c r="DH166" s="709"/>
      <c r="DI166" s="709"/>
      <c r="DJ166" s="709"/>
      <c r="DK166" s="709"/>
      <c r="DL166" s="709"/>
      <c r="DM166" s="709"/>
      <c r="DN166" s="709"/>
      <c r="DO166" s="709"/>
      <c r="DP166" s="709"/>
      <c r="DQ166" s="709"/>
      <c r="DR166" s="709"/>
      <c r="DS166" s="709"/>
      <c r="DT166" s="709"/>
      <c r="DU166" s="709"/>
      <c r="DV166" s="709"/>
      <c r="DW166" s="709"/>
      <c r="DX166" s="709"/>
      <c r="DY166" s="709"/>
      <c r="DZ166" s="709"/>
      <c r="EA166" s="709"/>
      <c r="EB166" s="709"/>
      <c r="EC166" s="709"/>
      <c r="ED166" s="709"/>
      <c r="EE166" s="709"/>
      <c r="EF166" s="709"/>
      <c r="EG166" s="709"/>
      <c r="EH166" s="709"/>
      <c r="EI166" s="709"/>
      <c r="EJ166" s="709"/>
      <c r="EK166" s="709"/>
      <c r="EL166" s="709"/>
      <c r="EM166" s="709"/>
      <c r="EN166" s="709"/>
      <c r="EO166" s="709"/>
      <c r="EP166" s="709"/>
      <c r="EQ166" s="709"/>
      <c r="ER166" s="709"/>
      <c r="ES166" s="709"/>
      <c r="ET166" s="709"/>
      <c r="EU166" s="709"/>
      <c r="EV166" s="709"/>
      <c r="EW166" s="709"/>
      <c r="EX166" s="709"/>
      <c r="EY166" s="709"/>
      <c r="EZ166" s="709"/>
      <c r="FA166" s="709"/>
      <c r="FB166" s="709"/>
      <c r="FC166" s="709"/>
      <c r="FD166" s="709"/>
      <c r="FE166" s="709"/>
      <c r="FF166" s="709"/>
      <c r="FG166" s="709"/>
      <c r="FH166" s="709"/>
      <c r="FI166" s="709"/>
      <c r="FJ166" s="709"/>
      <c r="FK166" s="709"/>
      <c r="FL166" s="709"/>
      <c r="FM166" s="709"/>
      <c r="FN166" s="709"/>
      <c r="FO166" s="709"/>
      <c r="FP166" s="709"/>
      <c r="FQ166" s="709"/>
      <c r="FR166" s="709"/>
      <c r="FS166" s="709"/>
      <c r="FT166" s="709"/>
      <c r="FU166" s="709"/>
      <c r="FV166" s="709"/>
      <c r="FW166" s="709"/>
      <c r="FX166" s="709"/>
      <c r="FY166" s="709"/>
      <c r="FZ166" s="709"/>
      <c r="GA166" s="709"/>
      <c r="GB166" s="709"/>
      <c r="GC166" s="709"/>
      <c r="GD166" s="709"/>
      <c r="GE166" s="709"/>
      <c r="GF166" s="709"/>
      <c r="GG166" s="709"/>
      <c r="GH166" s="709"/>
      <c r="GI166" s="709"/>
      <c r="GJ166" s="709"/>
      <c r="GK166" s="709"/>
      <c r="GL166" s="709"/>
      <c r="GM166" s="709"/>
      <c r="GN166" s="709"/>
      <c r="GO166" s="709"/>
      <c r="GP166" s="709"/>
      <c r="GQ166" s="709"/>
      <c r="GR166" s="709"/>
      <c r="GS166" s="709"/>
      <c r="GT166" s="709"/>
      <c r="GU166" s="709"/>
      <c r="GV166" s="709"/>
      <c r="GW166" s="709"/>
      <c r="GX166" s="709"/>
      <c r="GY166" s="709"/>
      <c r="GZ166" s="709"/>
      <c r="HA166" s="709"/>
      <c r="HB166" s="709"/>
      <c r="HC166" s="709"/>
      <c r="HD166" s="709"/>
      <c r="HE166" s="709"/>
      <c r="HF166" s="709"/>
      <c r="HG166" s="709"/>
      <c r="HH166" s="709"/>
      <c r="HI166" s="709"/>
      <c r="HJ166" s="709"/>
      <c r="HK166" s="709"/>
      <c r="HL166" s="709"/>
      <c r="HM166" s="709"/>
      <c r="HN166" s="709"/>
      <c r="HO166" s="709"/>
      <c r="HP166" s="709"/>
      <c r="HQ166" s="709"/>
      <c r="HR166" s="709"/>
      <c r="HS166" s="709"/>
      <c r="HT166" s="709"/>
      <c r="HU166" s="709"/>
      <c r="HV166" s="709"/>
      <c r="HW166" s="709"/>
      <c r="HX166" s="709"/>
      <c r="HY166" s="709"/>
      <c r="HZ166" s="709"/>
      <c r="IA166" s="709"/>
      <c r="IB166" s="709"/>
      <c r="IC166" s="709"/>
      <c r="ID166" s="709"/>
      <c r="IE166" s="709"/>
      <c r="IF166" s="709"/>
      <c r="IG166" s="709"/>
      <c r="IH166" s="709"/>
      <c r="II166" s="709"/>
      <c r="IJ166" s="709"/>
      <c r="IK166" s="709"/>
      <c r="IL166" s="709"/>
      <c r="IM166" s="709"/>
      <c r="IN166" s="709"/>
      <c r="IO166" s="709"/>
      <c r="IP166" s="709"/>
      <c r="IQ166" s="709"/>
      <c r="IR166" s="709"/>
      <c r="IS166" s="709"/>
      <c r="IT166" s="709"/>
      <c r="IU166" s="709"/>
      <c r="IV166" s="709"/>
    </row>
    <row r="167" spans="1:256" ht="12.75" hidden="1" customHeight="1">
      <c r="A167" s="706"/>
      <c r="B167" s="688"/>
      <c r="C167" s="706"/>
      <c r="D167" s="689"/>
      <c r="E167" s="706"/>
      <c r="F167" s="688"/>
      <c r="G167" s="706"/>
      <c r="H167" s="706"/>
      <c r="I167" s="693"/>
      <c r="J167" s="706"/>
      <c r="K167" s="706"/>
      <c r="L167" s="691"/>
      <c r="M167" s="709"/>
      <c r="N167" s="709"/>
      <c r="O167" s="709"/>
      <c r="P167" s="709"/>
      <c r="Q167" s="709"/>
      <c r="R167" s="709"/>
      <c r="S167" s="709"/>
      <c r="T167" s="709"/>
      <c r="U167" s="709"/>
      <c r="V167" s="709"/>
      <c r="W167" s="709"/>
      <c r="X167" s="709"/>
      <c r="Y167" s="709"/>
      <c r="Z167" s="709"/>
      <c r="AA167" s="709"/>
      <c r="AB167" s="709"/>
      <c r="AC167" s="709"/>
      <c r="AD167" s="709"/>
      <c r="AE167" s="709"/>
      <c r="AF167" s="709"/>
      <c r="AG167" s="709"/>
      <c r="AH167" s="709"/>
      <c r="AI167" s="709"/>
      <c r="AJ167" s="709"/>
      <c r="AK167" s="709"/>
      <c r="AL167" s="709"/>
      <c r="AM167" s="709"/>
      <c r="AN167" s="709"/>
      <c r="AO167" s="709"/>
      <c r="AP167" s="709"/>
      <c r="AQ167" s="709"/>
      <c r="AR167" s="709"/>
      <c r="AS167" s="709"/>
      <c r="AT167" s="709"/>
      <c r="AU167" s="709"/>
      <c r="AV167" s="709"/>
      <c r="AW167" s="709"/>
      <c r="AX167" s="709"/>
      <c r="AY167" s="709"/>
      <c r="AZ167" s="709"/>
      <c r="BA167" s="709"/>
      <c r="BB167" s="709"/>
      <c r="BC167" s="709"/>
      <c r="BD167" s="709"/>
      <c r="BE167" s="709"/>
      <c r="BF167" s="709"/>
      <c r="BG167" s="709"/>
      <c r="BH167" s="709"/>
      <c r="BI167" s="709"/>
      <c r="BJ167" s="709"/>
      <c r="BK167" s="709"/>
      <c r="BL167" s="709"/>
      <c r="BM167" s="709"/>
      <c r="BN167" s="709"/>
      <c r="BO167" s="709"/>
      <c r="BP167" s="709"/>
      <c r="BQ167" s="709"/>
      <c r="BR167" s="709"/>
      <c r="BS167" s="709"/>
      <c r="BT167" s="709"/>
      <c r="BU167" s="709"/>
      <c r="BV167" s="709"/>
      <c r="BW167" s="709"/>
      <c r="BX167" s="709"/>
      <c r="BY167" s="709"/>
      <c r="BZ167" s="709"/>
      <c r="CA167" s="709"/>
      <c r="CB167" s="709"/>
      <c r="CC167" s="709"/>
      <c r="CD167" s="709"/>
      <c r="CE167" s="709"/>
      <c r="CF167" s="709"/>
      <c r="CG167" s="709"/>
      <c r="CH167" s="709"/>
      <c r="CI167" s="709"/>
      <c r="CJ167" s="709"/>
      <c r="CK167" s="709"/>
      <c r="CL167" s="709"/>
      <c r="CM167" s="709"/>
      <c r="CN167" s="709"/>
      <c r="CO167" s="709"/>
      <c r="CP167" s="709"/>
      <c r="CQ167" s="709"/>
      <c r="CR167" s="709"/>
      <c r="CS167" s="709"/>
      <c r="CT167" s="709"/>
      <c r="CU167" s="709"/>
      <c r="CV167" s="709"/>
      <c r="CW167" s="709"/>
      <c r="CX167" s="709"/>
      <c r="CY167" s="709"/>
      <c r="CZ167" s="709"/>
      <c r="DA167" s="709"/>
      <c r="DB167" s="709"/>
      <c r="DC167" s="709"/>
      <c r="DD167" s="709"/>
      <c r="DE167" s="709"/>
      <c r="DF167" s="709"/>
      <c r="DG167" s="709"/>
      <c r="DH167" s="709"/>
      <c r="DI167" s="709"/>
      <c r="DJ167" s="709"/>
      <c r="DK167" s="709"/>
      <c r="DL167" s="709"/>
      <c r="DM167" s="709"/>
      <c r="DN167" s="709"/>
      <c r="DO167" s="709"/>
      <c r="DP167" s="709"/>
      <c r="DQ167" s="709"/>
      <c r="DR167" s="709"/>
      <c r="DS167" s="709"/>
      <c r="DT167" s="709"/>
      <c r="DU167" s="709"/>
      <c r="DV167" s="709"/>
      <c r="DW167" s="709"/>
      <c r="DX167" s="709"/>
      <c r="DY167" s="709"/>
      <c r="DZ167" s="709"/>
      <c r="EA167" s="709"/>
      <c r="EB167" s="709"/>
      <c r="EC167" s="709"/>
      <c r="ED167" s="709"/>
      <c r="EE167" s="709"/>
      <c r="EF167" s="709"/>
      <c r="EG167" s="709"/>
      <c r="EH167" s="709"/>
      <c r="EI167" s="709"/>
      <c r="EJ167" s="709"/>
      <c r="EK167" s="709"/>
      <c r="EL167" s="709"/>
      <c r="EM167" s="709"/>
      <c r="EN167" s="709"/>
      <c r="EO167" s="709"/>
      <c r="EP167" s="709"/>
      <c r="EQ167" s="709"/>
      <c r="ER167" s="709"/>
      <c r="ES167" s="709"/>
      <c r="ET167" s="709"/>
      <c r="EU167" s="709"/>
      <c r="EV167" s="709"/>
      <c r="EW167" s="709"/>
      <c r="EX167" s="709"/>
      <c r="EY167" s="709"/>
      <c r="EZ167" s="709"/>
      <c r="FA167" s="709"/>
      <c r="FB167" s="709"/>
      <c r="FC167" s="709"/>
      <c r="FD167" s="709"/>
      <c r="FE167" s="709"/>
      <c r="FF167" s="709"/>
      <c r="FG167" s="709"/>
      <c r="FH167" s="709"/>
      <c r="FI167" s="709"/>
      <c r="FJ167" s="709"/>
      <c r="FK167" s="709"/>
      <c r="FL167" s="709"/>
      <c r="FM167" s="709"/>
      <c r="FN167" s="709"/>
      <c r="FO167" s="709"/>
      <c r="FP167" s="709"/>
      <c r="FQ167" s="709"/>
      <c r="FR167" s="709"/>
      <c r="FS167" s="709"/>
      <c r="FT167" s="709"/>
      <c r="FU167" s="709"/>
      <c r="FV167" s="709"/>
      <c r="FW167" s="709"/>
      <c r="FX167" s="709"/>
      <c r="FY167" s="709"/>
      <c r="FZ167" s="709"/>
      <c r="GA167" s="709"/>
      <c r="GB167" s="709"/>
      <c r="GC167" s="709"/>
      <c r="GD167" s="709"/>
      <c r="GE167" s="709"/>
      <c r="GF167" s="709"/>
      <c r="GG167" s="709"/>
      <c r="GH167" s="709"/>
      <c r="GI167" s="709"/>
      <c r="GJ167" s="709"/>
      <c r="GK167" s="709"/>
      <c r="GL167" s="709"/>
      <c r="GM167" s="709"/>
      <c r="GN167" s="709"/>
      <c r="GO167" s="709"/>
      <c r="GP167" s="709"/>
      <c r="GQ167" s="709"/>
      <c r="GR167" s="709"/>
      <c r="GS167" s="709"/>
      <c r="GT167" s="709"/>
      <c r="GU167" s="709"/>
      <c r="GV167" s="709"/>
      <c r="GW167" s="709"/>
      <c r="GX167" s="709"/>
      <c r="GY167" s="709"/>
      <c r="GZ167" s="709"/>
      <c r="HA167" s="709"/>
      <c r="HB167" s="709"/>
      <c r="HC167" s="709"/>
      <c r="HD167" s="709"/>
      <c r="HE167" s="709"/>
      <c r="HF167" s="709"/>
      <c r="HG167" s="709"/>
      <c r="HH167" s="709"/>
      <c r="HI167" s="709"/>
      <c r="HJ167" s="709"/>
      <c r="HK167" s="709"/>
      <c r="HL167" s="709"/>
      <c r="HM167" s="709"/>
      <c r="HN167" s="709"/>
      <c r="HO167" s="709"/>
      <c r="HP167" s="709"/>
      <c r="HQ167" s="709"/>
      <c r="HR167" s="709"/>
      <c r="HS167" s="709"/>
      <c r="HT167" s="709"/>
      <c r="HU167" s="709"/>
      <c r="HV167" s="709"/>
      <c r="HW167" s="709"/>
      <c r="HX167" s="709"/>
      <c r="HY167" s="709"/>
      <c r="HZ167" s="709"/>
      <c r="IA167" s="709"/>
      <c r="IB167" s="709"/>
      <c r="IC167" s="709"/>
      <c r="ID167" s="709"/>
      <c r="IE167" s="709"/>
      <c r="IF167" s="709"/>
      <c r="IG167" s="709"/>
      <c r="IH167" s="709"/>
      <c r="II167" s="709"/>
      <c r="IJ167" s="709"/>
      <c r="IK167" s="709"/>
      <c r="IL167" s="709"/>
      <c r="IM167" s="709"/>
      <c r="IN167" s="709"/>
      <c r="IO167" s="709"/>
      <c r="IP167" s="709"/>
      <c r="IQ167" s="709"/>
      <c r="IR167" s="709"/>
      <c r="IS167" s="709"/>
      <c r="IT167" s="709"/>
      <c r="IU167" s="709"/>
      <c r="IV167" s="709"/>
    </row>
    <row r="168" spans="1:256" ht="12.75" customHeight="1">
      <c r="A168" s="710">
        <v>2010</v>
      </c>
      <c r="B168" s="688"/>
      <c r="C168" s="706"/>
      <c r="D168" s="689"/>
      <c r="E168" s="706"/>
      <c r="F168" s="688"/>
      <c r="G168" s="711"/>
      <c r="H168" s="706"/>
      <c r="I168" s="693"/>
      <c r="J168" s="706"/>
      <c r="K168" s="706"/>
      <c r="L168" s="691"/>
      <c r="M168" s="709"/>
      <c r="N168" s="709"/>
      <c r="O168" s="709"/>
      <c r="P168" s="709"/>
      <c r="Q168" s="709"/>
      <c r="R168" s="709"/>
      <c r="S168" s="709"/>
      <c r="T168" s="709"/>
      <c r="U168" s="709"/>
      <c r="V168" s="709"/>
      <c r="W168" s="709"/>
      <c r="X168" s="709"/>
      <c r="Y168" s="709"/>
      <c r="Z168" s="709"/>
      <c r="AA168" s="709"/>
      <c r="AB168" s="709"/>
      <c r="AC168" s="709"/>
      <c r="AD168" s="709"/>
      <c r="AE168" s="709"/>
      <c r="AF168" s="709"/>
      <c r="AG168" s="709"/>
      <c r="AH168" s="709"/>
      <c r="AI168" s="709"/>
      <c r="AJ168" s="709"/>
      <c r="AK168" s="709"/>
      <c r="AL168" s="709"/>
      <c r="AM168" s="709"/>
      <c r="AN168" s="709"/>
      <c r="AO168" s="709"/>
      <c r="AP168" s="709"/>
      <c r="AQ168" s="709"/>
      <c r="AR168" s="709"/>
      <c r="AS168" s="709"/>
      <c r="AT168" s="709"/>
      <c r="AU168" s="709"/>
      <c r="AV168" s="709"/>
      <c r="AW168" s="709"/>
      <c r="AX168" s="709"/>
      <c r="AY168" s="709"/>
      <c r="AZ168" s="709"/>
      <c r="BA168" s="709"/>
      <c r="BB168" s="709"/>
      <c r="BC168" s="709"/>
      <c r="BD168" s="709"/>
      <c r="BE168" s="709"/>
      <c r="BF168" s="709"/>
      <c r="BG168" s="709"/>
      <c r="BH168" s="709"/>
      <c r="BI168" s="709"/>
      <c r="BJ168" s="709"/>
      <c r="BK168" s="709"/>
      <c r="BL168" s="709"/>
      <c r="BM168" s="709"/>
      <c r="BN168" s="709"/>
      <c r="BO168" s="709"/>
      <c r="BP168" s="709"/>
      <c r="BQ168" s="709"/>
      <c r="BR168" s="709"/>
      <c r="BS168" s="709"/>
      <c r="BT168" s="709"/>
      <c r="BU168" s="709"/>
      <c r="BV168" s="709"/>
      <c r="BW168" s="709"/>
      <c r="BX168" s="709"/>
      <c r="BY168" s="709"/>
      <c r="BZ168" s="709"/>
      <c r="CA168" s="709"/>
      <c r="CB168" s="709"/>
      <c r="CC168" s="709"/>
      <c r="CD168" s="709"/>
      <c r="CE168" s="709"/>
      <c r="CF168" s="709"/>
      <c r="CG168" s="709"/>
      <c r="CH168" s="709"/>
      <c r="CI168" s="709"/>
      <c r="CJ168" s="709"/>
      <c r="CK168" s="709"/>
      <c r="CL168" s="709"/>
      <c r="CM168" s="709"/>
      <c r="CN168" s="709"/>
      <c r="CO168" s="709"/>
      <c r="CP168" s="709"/>
      <c r="CQ168" s="709"/>
      <c r="CR168" s="709"/>
      <c r="CS168" s="709"/>
      <c r="CT168" s="709"/>
      <c r="CU168" s="709"/>
      <c r="CV168" s="709"/>
      <c r="CW168" s="709"/>
      <c r="CX168" s="709"/>
      <c r="CY168" s="709"/>
      <c r="CZ168" s="709"/>
      <c r="DA168" s="709"/>
      <c r="DB168" s="709"/>
      <c r="DC168" s="709"/>
      <c r="DD168" s="709"/>
      <c r="DE168" s="709"/>
      <c r="DF168" s="709"/>
      <c r="DG168" s="709"/>
      <c r="DH168" s="709"/>
      <c r="DI168" s="709"/>
      <c r="DJ168" s="709"/>
      <c r="DK168" s="709"/>
      <c r="DL168" s="709"/>
      <c r="DM168" s="709"/>
      <c r="DN168" s="709"/>
      <c r="DO168" s="709"/>
      <c r="DP168" s="709"/>
      <c r="DQ168" s="709"/>
      <c r="DR168" s="709"/>
      <c r="DS168" s="709"/>
      <c r="DT168" s="709"/>
      <c r="DU168" s="709"/>
      <c r="DV168" s="709"/>
      <c r="DW168" s="709"/>
      <c r="DX168" s="709"/>
      <c r="DY168" s="709"/>
      <c r="DZ168" s="709"/>
      <c r="EA168" s="709"/>
      <c r="EB168" s="709"/>
      <c r="EC168" s="709"/>
      <c r="ED168" s="709"/>
      <c r="EE168" s="709"/>
      <c r="EF168" s="709"/>
      <c r="EG168" s="709"/>
      <c r="EH168" s="709"/>
      <c r="EI168" s="709"/>
      <c r="EJ168" s="709"/>
      <c r="EK168" s="709"/>
      <c r="EL168" s="709"/>
      <c r="EM168" s="709"/>
      <c r="EN168" s="709"/>
      <c r="EO168" s="709"/>
      <c r="EP168" s="709"/>
      <c r="EQ168" s="709"/>
      <c r="ER168" s="709"/>
      <c r="ES168" s="709"/>
      <c r="ET168" s="709"/>
      <c r="EU168" s="709"/>
      <c r="EV168" s="709"/>
      <c r="EW168" s="709"/>
      <c r="EX168" s="709"/>
      <c r="EY168" s="709"/>
      <c r="EZ168" s="709"/>
      <c r="FA168" s="709"/>
      <c r="FB168" s="709"/>
      <c r="FC168" s="709"/>
      <c r="FD168" s="709"/>
      <c r="FE168" s="709"/>
      <c r="FF168" s="709"/>
      <c r="FG168" s="709"/>
      <c r="FH168" s="709"/>
      <c r="FI168" s="709"/>
      <c r="FJ168" s="709"/>
      <c r="FK168" s="709"/>
      <c r="FL168" s="709"/>
      <c r="FM168" s="709"/>
      <c r="FN168" s="709"/>
      <c r="FO168" s="709"/>
      <c r="FP168" s="709"/>
      <c r="FQ168" s="709"/>
      <c r="FR168" s="709"/>
      <c r="FS168" s="709"/>
      <c r="FT168" s="709"/>
      <c r="FU168" s="709"/>
      <c r="FV168" s="709"/>
      <c r="FW168" s="709"/>
      <c r="FX168" s="709"/>
      <c r="FY168" s="709"/>
      <c r="FZ168" s="709"/>
      <c r="GA168" s="709"/>
      <c r="GB168" s="709"/>
      <c r="GC168" s="709"/>
      <c r="GD168" s="709"/>
      <c r="GE168" s="709"/>
      <c r="GF168" s="709"/>
      <c r="GG168" s="709"/>
      <c r="GH168" s="709"/>
      <c r="GI168" s="709"/>
      <c r="GJ168" s="709"/>
      <c r="GK168" s="709"/>
      <c r="GL168" s="709"/>
      <c r="GM168" s="709"/>
      <c r="GN168" s="709"/>
      <c r="GO168" s="709"/>
      <c r="GP168" s="709"/>
      <c r="GQ168" s="709"/>
      <c r="GR168" s="709"/>
      <c r="GS168" s="709"/>
      <c r="GT168" s="709"/>
      <c r="GU168" s="709"/>
      <c r="GV168" s="709"/>
      <c r="GW168" s="709"/>
      <c r="GX168" s="709"/>
      <c r="GY168" s="709"/>
      <c r="GZ168" s="709"/>
      <c r="HA168" s="709"/>
      <c r="HB168" s="709"/>
      <c r="HC168" s="709"/>
      <c r="HD168" s="709"/>
      <c r="HE168" s="709"/>
      <c r="HF168" s="709"/>
      <c r="HG168" s="709"/>
      <c r="HH168" s="709"/>
      <c r="HI168" s="709"/>
      <c r="HJ168" s="709"/>
      <c r="HK168" s="709"/>
      <c r="HL168" s="709"/>
      <c r="HM168" s="709"/>
      <c r="HN168" s="709"/>
      <c r="HO168" s="709"/>
      <c r="HP168" s="709"/>
      <c r="HQ168" s="709"/>
      <c r="HR168" s="709"/>
      <c r="HS168" s="709"/>
      <c r="HT168" s="709"/>
      <c r="HU168" s="709"/>
      <c r="HV168" s="709"/>
      <c r="HW168" s="709"/>
      <c r="HX168" s="709"/>
      <c r="HY168" s="709"/>
      <c r="HZ168" s="709"/>
      <c r="IA168" s="709"/>
      <c r="IB168" s="709"/>
      <c r="IC168" s="709"/>
      <c r="ID168" s="709"/>
      <c r="IE168" s="709"/>
      <c r="IF168" s="709"/>
      <c r="IG168" s="709"/>
      <c r="IH168" s="709"/>
      <c r="II168" s="709"/>
      <c r="IJ168" s="709"/>
      <c r="IK168" s="709"/>
      <c r="IL168" s="709"/>
      <c r="IM168" s="709"/>
      <c r="IN168" s="709"/>
      <c r="IO168" s="709"/>
      <c r="IP168" s="709"/>
      <c r="IQ168" s="709"/>
      <c r="IR168" s="709"/>
      <c r="IS168" s="709"/>
      <c r="IT168" s="709"/>
      <c r="IU168" s="709"/>
      <c r="IV168" s="709"/>
    </row>
    <row r="169" spans="1:256" ht="12.75" customHeight="1">
      <c r="A169" s="710"/>
      <c r="B169" s="691"/>
      <c r="C169" s="706"/>
      <c r="D169" s="689"/>
      <c r="E169" s="706"/>
      <c r="F169" s="692"/>
      <c r="G169" s="712"/>
      <c r="H169" s="706"/>
      <c r="I169" s="693"/>
      <c r="J169" s="706"/>
      <c r="K169" s="706"/>
      <c r="L169" s="691"/>
      <c r="M169" s="709"/>
      <c r="N169" s="709"/>
      <c r="O169" s="709"/>
      <c r="P169" s="709"/>
      <c r="Q169" s="709"/>
      <c r="R169" s="709"/>
      <c r="S169" s="709"/>
      <c r="T169" s="709"/>
      <c r="U169" s="709"/>
      <c r="V169" s="709"/>
      <c r="W169" s="709"/>
      <c r="X169" s="709"/>
      <c r="Y169" s="709"/>
      <c r="Z169" s="709"/>
      <c r="AA169" s="709"/>
      <c r="AB169" s="709"/>
      <c r="AC169" s="709"/>
      <c r="AD169" s="709"/>
      <c r="AE169" s="709"/>
      <c r="AF169" s="709"/>
      <c r="AG169" s="709"/>
      <c r="AH169" s="709"/>
      <c r="AI169" s="709"/>
      <c r="AJ169" s="709"/>
      <c r="AK169" s="709"/>
      <c r="AL169" s="709"/>
      <c r="AM169" s="709"/>
      <c r="AN169" s="709"/>
      <c r="AO169" s="709"/>
      <c r="AP169" s="709"/>
      <c r="AQ169" s="709"/>
      <c r="AR169" s="709"/>
      <c r="AS169" s="709"/>
      <c r="AT169" s="709"/>
      <c r="AU169" s="709"/>
      <c r="AV169" s="709"/>
      <c r="AW169" s="709"/>
      <c r="AX169" s="709"/>
      <c r="AY169" s="709"/>
      <c r="AZ169" s="709"/>
      <c r="BA169" s="709"/>
      <c r="BB169" s="709"/>
      <c r="BC169" s="709"/>
      <c r="BD169" s="709"/>
      <c r="BE169" s="709"/>
      <c r="BF169" s="709"/>
      <c r="BG169" s="709"/>
      <c r="BH169" s="709"/>
      <c r="BI169" s="709"/>
      <c r="BJ169" s="709"/>
      <c r="BK169" s="709"/>
      <c r="BL169" s="709"/>
      <c r="BM169" s="709"/>
      <c r="BN169" s="709"/>
      <c r="BO169" s="709"/>
      <c r="BP169" s="709"/>
      <c r="BQ169" s="709"/>
      <c r="BR169" s="709"/>
      <c r="BS169" s="709"/>
      <c r="BT169" s="709"/>
      <c r="BU169" s="709"/>
      <c r="BV169" s="709"/>
      <c r="BW169" s="709"/>
      <c r="BX169" s="709"/>
      <c r="BY169" s="709"/>
      <c r="BZ169" s="709"/>
      <c r="CA169" s="709"/>
      <c r="CB169" s="709"/>
      <c r="CC169" s="709"/>
      <c r="CD169" s="709"/>
      <c r="CE169" s="709"/>
      <c r="CF169" s="709"/>
      <c r="CG169" s="709"/>
      <c r="CH169" s="709"/>
      <c r="CI169" s="709"/>
      <c r="CJ169" s="709"/>
      <c r="CK169" s="709"/>
      <c r="CL169" s="709"/>
      <c r="CM169" s="709"/>
      <c r="CN169" s="709"/>
      <c r="CO169" s="709"/>
      <c r="CP169" s="709"/>
      <c r="CQ169" s="709"/>
      <c r="CR169" s="709"/>
      <c r="CS169" s="709"/>
      <c r="CT169" s="709"/>
      <c r="CU169" s="709"/>
      <c r="CV169" s="709"/>
      <c r="CW169" s="709"/>
      <c r="CX169" s="709"/>
      <c r="CY169" s="709"/>
      <c r="CZ169" s="709"/>
      <c r="DA169" s="709"/>
      <c r="DB169" s="709"/>
      <c r="DC169" s="709"/>
      <c r="DD169" s="709"/>
      <c r="DE169" s="709"/>
      <c r="DF169" s="709"/>
      <c r="DG169" s="709"/>
      <c r="DH169" s="709"/>
      <c r="DI169" s="709"/>
      <c r="DJ169" s="709"/>
      <c r="DK169" s="709"/>
      <c r="DL169" s="709"/>
      <c r="DM169" s="709"/>
      <c r="DN169" s="709"/>
      <c r="DO169" s="709"/>
      <c r="DP169" s="709"/>
      <c r="DQ169" s="709"/>
      <c r="DR169" s="709"/>
      <c r="DS169" s="709"/>
      <c r="DT169" s="709"/>
      <c r="DU169" s="709"/>
      <c r="DV169" s="709"/>
      <c r="DW169" s="709"/>
      <c r="DX169" s="709"/>
      <c r="DY169" s="709"/>
      <c r="DZ169" s="709"/>
      <c r="EA169" s="709"/>
      <c r="EB169" s="709"/>
      <c r="EC169" s="709"/>
      <c r="ED169" s="709"/>
      <c r="EE169" s="709"/>
      <c r="EF169" s="709"/>
      <c r="EG169" s="709"/>
      <c r="EH169" s="709"/>
      <c r="EI169" s="709"/>
      <c r="EJ169" s="709"/>
      <c r="EK169" s="709"/>
      <c r="EL169" s="709"/>
      <c r="EM169" s="709"/>
      <c r="EN169" s="709"/>
      <c r="EO169" s="709"/>
      <c r="EP169" s="709"/>
      <c r="EQ169" s="709"/>
      <c r="ER169" s="709"/>
      <c r="ES169" s="709"/>
      <c r="ET169" s="709"/>
      <c r="EU169" s="709"/>
      <c r="EV169" s="709"/>
      <c r="EW169" s="709"/>
      <c r="EX169" s="709"/>
      <c r="EY169" s="709"/>
      <c r="EZ169" s="709"/>
      <c r="FA169" s="709"/>
      <c r="FB169" s="709"/>
      <c r="FC169" s="709"/>
      <c r="FD169" s="709"/>
      <c r="FE169" s="709"/>
      <c r="FF169" s="709"/>
      <c r="FG169" s="709"/>
      <c r="FH169" s="709"/>
      <c r="FI169" s="709"/>
      <c r="FJ169" s="709"/>
      <c r="FK169" s="709"/>
      <c r="FL169" s="709"/>
      <c r="FM169" s="709"/>
      <c r="FN169" s="709"/>
      <c r="FO169" s="709"/>
      <c r="FP169" s="709"/>
      <c r="FQ169" s="709"/>
      <c r="FR169" s="709"/>
      <c r="FS169" s="709"/>
      <c r="FT169" s="709"/>
      <c r="FU169" s="709"/>
      <c r="FV169" s="709"/>
      <c r="FW169" s="709"/>
      <c r="FX169" s="709"/>
      <c r="FY169" s="709"/>
      <c r="FZ169" s="709"/>
      <c r="GA169" s="709"/>
      <c r="GB169" s="709"/>
      <c r="GC169" s="709"/>
      <c r="GD169" s="709"/>
      <c r="GE169" s="709"/>
      <c r="GF169" s="709"/>
      <c r="GG169" s="709"/>
      <c r="GH169" s="709"/>
      <c r="GI169" s="709"/>
      <c r="GJ169" s="709"/>
      <c r="GK169" s="709"/>
      <c r="GL169" s="709"/>
      <c r="GM169" s="709"/>
      <c r="GN169" s="709"/>
      <c r="GO169" s="709"/>
      <c r="GP169" s="709"/>
      <c r="GQ169" s="709"/>
      <c r="GR169" s="709"/>
      <c r="GS169" s="709"/>
      <c r="GT169" s="709"/>
      <c r="GU169" s="709"/>
      <c r="GV169" s="709"/>
      <c r="GW169" s="709"/>
      <c r="GX169" s="709"/>
      <c r="GY169" s="709"/>
      <c r="GZ169" s="709"/>
      <c r="HA169" s="709"/>
      <c r="HB169" s="709"/>
      <c r="HC169" s="709"/>
      <c r="HD169" s="709"/>
      <c r="HE169" s="709"/>
      <c r="HF169" s="709"/>
      <c r="HG169" s="709"/>
      <c r="HH169" s="709"/>
      <c r="HI169" s="709"/>
      <c r="HJ169" s="709"/>
      <c r="HK169" s="709"/>
      <c r="HL169" s="709"/>
      <c r="HM169" s="709"/>
      <c r="HN169" s="709"/>
      <c r="HO169" s="709"/>
      <c r="HP169" s="709"/>
      <c r="HQ169" s="709"/>
      <c r="HR169" s="709"/>
      <c r="HS169" s="709"/>
      <c r="HT169" s="709"/>
      <c r="HU169" s="709"/>
      <c r="HV169" s="709"/>
      <c r="HW169" s="709"/>
      <c r="HX169" s="709"/>
      <c r="HY169" s="709"/>
      <c r="HZ169" s="709"/>
      <c r="IA169" s="709"/>
      <c r="IB169" s="709"/>
      <c r="IC169" s="709"/>
      <c r="ID169" s="709"/>
      <c r="IE169" s="709"/>
      <c r="IF169" s="709"/>
      <c r="IG169" s="709"/>
      <c r="IH169" s="709"/>
      <c r="II169" s="709"/>
      <c r="IJ169" s="709"/>
      <c r="IK169" s="709"/>
      <c r="IL169" s="709"/>
      <c r="IM169" s="709"/>
      <c r="IN169" s="709"/>
      <c r="IO169" s="709"/>
      <c r="IP169" s="709"/>
      <c r="IQ169" s="709"/>
      <c r="IR169" s="709"/>
      <c r="IS169" s="709"/>
      <c r="IT169" s="709"/>
      <c r="IU169" s="709"/>
      <c r="IV169" s="709"/>
    </row>
    <row r="170" spans="1:256">
      <c r="A170" s="706" t="s">
        <v>345</v>
      </c>
      <c r="B170" s="716">
        <v>102.2444957</v>
      </c>
      <c r="C170" s="716">
        <v>86.077145999999999</v>
      </c>
      <c r="D170" s="716">
        <v>0</v>
      </c>
      <c r="E170" s="716">
        <f t="shared" ref="E170:E181" si="24">B170-C170</f>
        <v>16.167349700000003</v>
      </c>
      <c r="F170" s="716">
        <v>-16.167349699999999</v>
      </c>
      <c r="G170" s="716">
        <v>0</v>
      </c>
      <c r="H170" s="716">
        <f>F170+G170</f>
        <v>-16.167349699999999</v>
      </c>
      <c r="I170" s="716">
        <f>+D170</f>
        <v>0</v>
      </c>
      <c r="J170" s="716">
        <v>0</v>
      </c>
      <c r="K170" s="716">
        <f>+I170+H170+J170</f>
        <v>-16.167349699999999</v>
      </c>
      <c r="L170" s="691"/>
      <c r="M170" s="709"/>
      <c r="N170" s="709"/>
      <c r="O170" s="709"/>
      <c r="P170" s="709"/>
      <c r="Q170" s="709"/>
      <c r="R170" s="709"/>
      <c r="S170" s="709"/>
      <c r="T170" s="709"/>
      <c r="U170" s="709"/>
      <c r="V170" s="709"/>
      <c r="W170" s="709"/>
      <c r="X170" s="709"/>
      <c r="Y170" s="709"/>
      <c r="Z170" s="709"/>
      <c r="AA170" s="709"/>
      <c r="AB170" s="709"/>
      <c r="AC170" s="709"/>
      <c r="AD170" s="709"/>
      <c r="AE170" s="709"/>
      <c r="AF170" s="709"/>
      <c r="AG170" s="709"/>
      <c r="AH170" s="709"/>
      <c r="AI170" s="709"/>
      <c r="AJ170" s="709"/>
      <c r="AK170" s="709"/>
      <c r="AL170" s="709"/>
      <c r="AM170" s="709"/>
      <c r="AN170" s="709"/>
      <c r="AO170" s="709"/>
      <c r="AP170" s="709"/>
      <c r="AQ170" s="709"/>
      <c r="AR170" s="709"/>
      <c r="AS170" s="709"/>
      <c r="AT170" s="709"/>
      <c r="AU170" s="709"/>
      <c r="AV170" s="709"/>
      <c r="AW170" s="709"/>
      <c r="AX170" s="709"/>
      <c r="AY170" s="709"/>
      <c r="AZ170" s="709"/>
      <c r="BA170" s="709"/>
      <c r="BB170" s="709"/>
      <c r="BC170" s="709"/>
      <c r="BD170" s="709"/>
      <c r="BE170" s="709"/>
      <c r="BF170" s="709"/>
      <c r="BG170" s="709"/>
      <c r="BH170" s="709"/>
      <c r="BI170" s="709"/>
      <c r="BJ170" s="709"/>
      <c r="BK170" s="709"/>
      <c r="BL170" s="709"/>
      <c r="BM170" s="709"/>
      <c r="BN170" s="709"/>
      <c r="BO170" s="709"/>
      <c r="BP170" s="709"/>
      <c r="BQ170" s="709"/>
      <c r="BR170" s="709"/>
      <c r="BS170" s="709"/>
      <c r="BT170" s="709"/>
      <c r="BU170" s="709"/>
      <c r="BV170" s="709"/>
      <c r="BW170" s="709"/>
      <c r="BX170" s="709"/>
      <c r="BY170" s="709"/>
      <c r="BZ170" s="709"/>
      <c r="CA170" s="709"/>
      <c r="CB170" s="709"/>
      <c r="CC170" s="709"/>
      <c r="CD170" s="709"/>
      <c r="CE170" s="709"/>
      <c r="CF170" s="709"/>
      <c r="CG170" s="709"/>
      <c r="CH170" s="709"/>
      <c r="CI170" s="709"/>
      <c r="CJ170" s="709"/>
      <c r="CK170" s="709"/>
      <c r="CL170" s="709"/>
      <c r="CM170" s="709"/>
      <c r="CN170" s="709"/>
      <c r="CO170" s="709"/>
      <c r="CP170" s="709"/>
      <c r="CQ170" s="709"/>
      <c r="CR170" s="709"/>
      <c r="CS170" s="709"/>
      <c r="CT170" s="709"/>
      <c r="CU170" s="709"/>
      <c r="CV170" s="709"/>
      <c r="CW170" s="709"/>
      <c r="CX170" s="709"/>
      <c r="CY170" s="709"/>
      <c r="CZ170" s="709"/>
      <c r="DA170" s="709"/>
      <c r="DB170" s="709"/>
      <c r="DC170" s="709"/>
      <c r="DD170" s="709"/>
      <c r="DE170" s="709"/>
      <c r="DF170" s="709"/>
      <c r="DG170" s="709"/>
      <c r="DH170" s="709"/>
      <c r="DI170" s="709"/>
      <c r="DJ170" s="709"/>
      <c r="DK170" s="709"/>
      <c r="DL170" s="709"/>
      <c r="DM170" s="709"/>
      <c r="DN170" s="709"/>
      <c r="DO170" s="709"/>
      <c r="DP170" s="709"/>
      <c r="DQ170" s="709"/>
      <c r="DR170" s="709"/>
      <c r="DS170" s="709"/>
      <c r="DT170" s="709"/>
      <c r="DU170" s="709"/>
      <c r="DV170" s="709"/>
      <c r="DW170" s="709"/>
      <c r="DX170" s="709"/>
      <c r="DY170" s="709"/>
      <c r="DZ170" s="709"/>
      <c r="EA170" s="709"/>
      <c r="EB170" s="709"/>
      <c r="EC170" s="709"/>
      <c r="ED170" s="709"/>
      <c r="EE170" s="709"/>
      <c r="EF170" s="709"/>
      <c r="EG170" s="709"/>
      <c r="EH170" s="709"/>
      <c r="EI170" s="709"/>
      <c r="EJ170" s="709"/>
      <c r="EK170" s="709"/>
      <c r="EL170" s="709"/>
      <c r="EM170" s="709"/>
      <c r="EN170" s="709"/>
      <c r="EO170" s="709"/>
      <c r="EP170" s="709"/>
      <c r="EQ170" s="709"/>
      <c r="ER170" s="709"/>
      <c r="ES170" s="709"/>
      <c r="ET170" s="709"/>
      <c r="EU170" s="709"/>
      <c r="EV170" s="709"/>
      <c r="EW170" s="709"/>
      <c r="EX170" s="709"/>
      <c r="EY170" s="709"/>
      <c r="EZ170" s="709"/>
      <c r="FA170" s="709"/>
      <c r="FB170" s="709"/>
      <c r="FC170" s="709"/>
      <c r="FD170" s="709"/>
      <c r="FE170" s="709"/>
      <c r="FF170" s="709"/>
      <c r="FG170" s="709"/>
      <c r="FH170" s="709"/>
      <c r="FI170" s="709"/>
      <c r="FJ170" s="709"/>
      <c r="FK170" s="709"/>
      <c r="FL170" s="709"/>
      <c r="FM170" s="709"/>
      <c r="FN170" s="709"/>
      <c r="FO170" s="709"/>
      <c r="FP170" s="709"/>
      <c r="FQ170" s="709"/>
      <c r="FR170" s="709"/>
      <c r="FS170" s="709"/>
      <c r="FT170" s="709"/>
      <c r="FU170" s="709"/>
      <c r="FV170" s="709"/>
      <c r="FW170" s="709"/>
      <c r="FX170" s="709"/>
      <c r="FY170" s="709"/>
      <c r="FZ170" s="709"/>
      <c r="GA170" s="709"/>
      <c r="GB170" s="709"/>
      <c r="GC170" s="709"/>
      <c r="GD170" s="709"/>
      <c r="GE170" s="709"/>
      <c r="GF170" s="709"/>
      <c r="GG170" s="709"/>
      <c r="GH170" s="709"/>
      <c r="GI170" s="709"/>
      <c r="GJ170" s="709"/>
      <c r="GK170" s="709"/>
      <c r="GL170" s="709"/>
      <c r="GM170" s="709"/>
      <c r="GN170" s="709"/>
      <c r="GO170" s="709"/>
      <c r="GP170" s="709"/>
      <c r="GQ170" s="709"/>
      <c r="GR170" s="709"/>
      <c r="GS170" s="709"/>
      <c r="GT170" s="709"/>
      <c r="GU170" s="709"/>
      <c r="GV170" s="709"/>
      <c r="GW170" s="709"/>
      <c r="GX170" s="709"/>
      <c r="GY170" s="709"/>
      <c r="GZ170" s="709"/>
      <c r="HA170" s="709"/>
      <c r="HB170" s="709"/>
      <c r="HC170" s="709"/>
      <c r="HD170" s="709"/>
      <c r="HE170" s="709"/>
      <c r="HF170" s="709"/>
      <c r="HG170" s="709"/>
      <c r="HH170" s="709"/>
      <c r="HI170" s="709"/>
      <c r="HJ170" s="709"/>
      <c r="HK170" s="709"/>
      <c r="HL170" s="709"/>
      <c r="HM170" s="709"/>
      <c r="HN170" s="709"/>
      <c r="HO170" s="709"/>
      <c r="HP170" s="709"/>
      <c r="HQ170" s="709"/>
      <c r="HR170" s="709"/>
      <c r="HS170" s="709"/>
      <c r="HT170" s="709"/>
      <c r="HU170" s="709"/>
      <c r="HV170" s="709"/>
      <c r="HW170" s="709"/>
      <c r="HX170" s="709"/>
      <c r="HY170" s="709"/>
      <c r="HZ170" s="709"/>
      <c r="IA170" s="709"/>
      <c r="IB170" s="709"/>
      <c r="IC170" s="709"/>
      <c r="ID170" s="709"/>
      <c r="IE170" s="709"/>
      <c r="IF170" s="709"/>
      <c r="IG170" s="709"/>
      <c r="IH170" s="709"/>
      <c r="II170" s="709"/>
      <c r="IJ170" s="709"/>
      <c r="IK170" s="709"/>
      <c r="IL170" s="709"/>
      <c r="IM170" s="709"/>
      <c r="IN170" s="709"/>
      <c r="IO170" s="709"/>
      <c r="IP170" s="709"/>
      <c r="IQ170" s="709"/>
      <c r="IR170" s="709"/>
      <c r="IS170" s="709"/>
      <c r="IT170" s="709"/>
      <c r="IU170" s="709"/>
      <c r="IV170" s="709"/>
    </row>
    <row r="171" spans="1:256">
      <c r="A171" s="706" t="s">
        <v>334</v>
      </c>
      <c r="B171" s="716">
        <v>133.2725667</v>
      </c>
      <c r="C171" s="716">
        <v>132.79950299999999</v>
      </c>
      <c r="D171" s="716">
        <v>0</v>
      </c>
      <c r="E171" s="716">
        <f t="shared" si="24"/>
        <v>0.47306370000001152</v>
      </c>
      <c r="F171" s="716">
        <v>-0.47306370000000003</v>
      </c>
      <c r="G171" s="716">
        <v>0</v>
      </c>
      <c r="H171" s="716">
        <f>F171+G171</f>
        <v>-0.47306370000000003</v>
      </c>
      <c r="I171" s="716">
        <v>0</v>
      </c>
      <c r="J171" s="716">
        <v>0</v>
      </c>
      <c r="K171" s="716">
        <f>+I171+H171+J171</f>
        <v>-0.47306370000000003</v>
      </c>
      <c r="L171" s="691"/>
      <c r="M171" s="709"/>
      <c r="N171" s="709"/>
      <c r="O171" s="709"/>
      <c r="P171" s="709"/>
      <c r="Q171" s="709"/>
      <c r="R171" s="709"/>
      <c r="S171" s="709"/>
      <c r="T171" s="709"/>
      <c r="U171" s="709"/>
      <c r="V171" s="709"/>
      <c r="W171" s="709"/>
      <c r="X171" s="709"/>
      <c r="Y171" s="709"/>
      <c r="Z171" s="709"/>
      <c r="AA171" s="709"/>
      <c r="AB171" s="709"/>
      <c r="AC171" s="709"/>
      <c r="AD171" s="709"/>
      <c r="AE171" s="709"/>
      <c r="AF171" s="709"/>
      <c r="AG171" s="709"/>
      <c r="AH171" s="709"/>
      <c r="AI171" s="709"/>
      <c r="AJ171" s="709"/>
      <c r="AK171" s="709"/>
      <c r="AL171" s="709"/>
      <c r="AM171" s="709"/>
      <c r="AN171" s="709"/>
      <c r="AO171" s="709"/>
      <c r="AP171" s="709"/>
      <c r="AQ171" s="709"/>
      <c r="AR171" s="709"/>
      <c r="AS171" s="709"/>
      <c r="AT171" s="709"/>
      <c r="AU171" s="709"/>
      <c r="AV171" s="709"/>
      <c r="AW171" s="709"/>
      <c r="AX171" s="709"/>
      <c r="AY171" s="709"/>
      <c r="AZ171" s="709"/>
      <c r="BA171" s="709"/>
      <c r="BB171" s="709"/>
      <c r="BC171" s="709"/>
      <c r="BD171" s="709"/>
      <c r="BE171" s="709"/>
      <c r="BF171" s="709"/>
      <c r="BG171" s="709"/>
      <c r="BH171" s="709"/>
      <c r="BI171" s="709"/>
      <c r="BJ171" s="709"/>
      <c r="BK171" s="709"/>
      <c r="BL171" s="709"/>
      <c r="BM171" s="709"/>
      <c r="BN171" s="709"/>
      <c r="BO171" s="709"/>
      <c r="BP171" s="709"/>
      <c r="BQ171" s="709"/>
      <c r="BR171" s="709"/>
      <c r="BS171" s="709"/>
      <c r="BT171" s="709"/>
      <c r="BU171" s="709"/>
      <c r="BV171" s="709"/>
      <c r="BW171" s="709"/>
      <c r="BX171" s="709"/>
      <c r="BY171" s="709"/>
      <c r="BZ171" s="709"/>
      <c r="CA171" s="709"/>
      <c r="CB171" s="709"/>
      <c r="CC171" s="709"/>
      <c r="CD171" s="709"/>
      <c r="CE171" s="709"/>
      <c r="CF171" s="709"/>
      <c r="CG171" s="709"/>
      <c r="CH171" s="709"/>
      <c r="CI171" s="709"/>
      <c r="CJ171" s="709"/>
      <c r="CK171" s="709"/>
      <c r="CL171" s="709"/>
      <c r="CM171" s="709"/>
      <c r="CN171" s="709"/>
      <c r="CO171" s="709"/>
      <c r="CP171" s="709"/>
      <c r="CQ171" s="709"/>
      <c r="CR171" s="709"/>
      <c r="CS171" s="709"/>
      <c r="CT171" s="709"/>
      <c r="CU171" s="709"/>
      <c r="CV171" s="709"/>
      <c r="CW171" s="709"/>
      <c r="CX171" s="709"/>
      <c r="CY171" s="709"/>
      <c r="CZ171" s="709"/>
      <c r="DA171" s="709"/>
      <c r="DB171" s="709"/>
      <c r="DC171" s="709"/>
      <c r="DD171" s="709"/>
      <c r="DE171" s="709"/>
      <c r="DF171" s="709"/>
      <c r="DG171" s="709"/>
      <c r="DH171" s="709"/>
      <c r="DI171" s="709"/>
      <c r="DJ171" s="709"/>
      <c r="DK171" s="709"/>
      <c r="DL171" s="709"/>
      <c r="DM171" s="709"/>
      <c r="DN171" s="709"/>
      <c r="DO171" s="709"/>
      <c r="DP171" s="709"/>
      <c r="DQ171" s="709"/>
      <c r="DR171" s="709"/>
      <c r="DS171" s="709"/>
      <c r="DT171" s="709"/>
      <c r="DU171" s="709"/>
      <c r="DV171" s="709"/>
      <c r="DW171" s="709"/>
      <c r="DX171" s="709"/>
      <c r="DY171" s="709"/>
      <c r="DZ171" s="709"/>
      <c r="EA171" s="709"/>
      <c r="EB171" s="709"/>
      <c r="EC171" s="709"/>
      <c r="ED171" s="709"/>
      <c r="EE171" s="709"/>
      <c r="EF171" s="709"/>
      <c r="EG171" s="709"/>
      <c r="EH171" s="709"/>
      <c r="EI171" s="709"/>
      <c r="EJ171" s="709"/>
      <c r="EK171" s="709"/>
      <c r="EL171" s="709"/>
      <c r="EM171" s="709"/>
      <c r="EN171" s="709"/>
      <c r="EO171" s="709"/>
      <c r="EP171" s="709"/>
      <c r="EQ171" s="709"/>
      <c r="ER171" s="709"/>
      <c r="ES171" s="709"/>
      <c r="ET171" s="709"/>
      <c r="EU171" s="709"/>
      <c r="EV171" s="709"/>
      <c r="EW171" s="709"/>
      <c r="EX171" s="709"/>
      <c r="EY171" s="709"/>
      <c r="EZ171" s="709"/>
      <c r="FA171" s="709"/>
      <c r="FB171" s="709"/>
      <c r="FC171" s="709"/>
      <c r="FD171" s="709"/>
      <c r="FE171" s="709"/>
      <c r="FF171" s="709"/>
      <c r="FG171" s="709"/>
      <c r="FH171" s="709"/>
      <c r="FI171" s="709"/>
      <c r="FJ171" s="709"/>
      <c r="FK171" s="709"/>
      <c r="FL171" s="709"/>
      <c r="FM171" s="709"/>
      <c r="FN171" s="709"/>
      <c r="FO171" s="709"/>
      <c r="FP171" s="709"/>
      <c r="FQ171" s="709"/>
      <c r="FR171" s="709"/>
      <c r="FS171" s="709"/>
      <c r="FT171" s="709"/>
      <c r="FU171" s="709"/>
      <c r="FV171" s="709"/>
      <c r="FW171" s="709"/>
      <c r="FX171" s="709"/>
      <c r="FY171" s="709"/>
      <c r="FZ171" s="709"/>
      <c r="GA171" s="709"/>
      <c r="GB171" s="709"/>
      <c r="GC171" s="709"/>
      <c r="GD171" s="709"/>
      <c r="GE171" s="709"/>
      <c r="GF171" s="709"/>
      <c r="GG171" s="709"/>
      <c r="GH171" s="709"/>
      <c r="GI171" s="709"/>
      <c r="GJ171" s="709"/>
      <c r="GK171" s="709"/>
      <c r="GL171" s="709"/>
      <c r="GM171" s="709"/>
      <c r="GN171" s="709"/>
      <c r="GO171" s="709"/>
      <c r="GP171" s="709"/>
      <c r="GQ171" s="709"/>
      <c r="GR171" s="709"/>
      <c r="GS171" s="709"/>
      <c r="GT171" s="709"/>
      <c r="GU171" s="709"/>
      <c r="GV171" s="709"/>
      <c r="GW171" s="709"/>
      <c r="GX171" s="709"/>
      <c r="GY171" s="709"/>
      <c r="GZ171" s="709"/>
      <c r="HA171" s="709"/>
      <c r="HB171" s="709"/>
      <c r="HC171" s="709"/>
      <c r="HD171" s="709"/>
      <c r="HE171" s="709"/>
      <c r="HF171" s="709"/>
      <c r="HG171" s="709"/>
      <c r="HH171" s="709"/>
      <c r="HI171" s="709"/>
      <c r="HJ171" s="709"/>
      <c r="HK171" s="709"/>
      <c r="HL171" s="709"/>
      <c r="HM171" s="709"/>
      <c r="HN171" s="709"/>
      <c r="HO171" s="709"/>
      <c r="HP171" s="709"/>
      <c r="HQ171" s="709"/>
      <c r="HR171" s="709"/>
      <c r="HS171" s="709"/>
      <c r="HT171" s="709"/>
      <c r="HU171" s="709"/>
      <c r="HV171" s="709"/>
      <c r="HW171" s="709"/>
      <c r="HX171" s="709"/>
      <c r="HY171" s="709"/>
      <c r="HZ171" s="709"/>
      <c r="IA171" s="709"/>
      <c r="IB171" s="709"/>
      <c r="IC171" s="709"/>
      <c r="ID171" s="709"/>
      <c r="IE171" s="709"/>
      <c r="IF171" s="709"/>
      <c r="IG171" s="709"/>
      <c r="IH171" s="709"/>
      <c r="II171" s="709"/>
      <c r="IJ171" s="709"/>
      <c r="IK171" s="709"/>
      <c r="IL171" s="709"/>
      <c r="IM171" s="709"/>
      <c r="IN171" s="709"/>
      <c r="IO171" s="709"/>
      <c r="IP171" s="709"/>
      <c r="IQ171" s="709"/>
      <c r="IR171" s="709"/>
      <c r="IS171" s="709"/>
      <c r="IT171" s="709"/>
      <c r="IU171" s="709"/>
      <c r="IV171" s="709"/>
    </row>
    <row r="172" spans="1:256">
      <c r="A172" s="706" t="s">
        <v>335</v>
      </c>
      <c r="B172" s="716">
        <v>175.99354690000001</v>
      </c>
      <c r="C172" s="716">
        <v>137.38725400000001</v>
      </c>
      <c r="D172" s="716">
        <v>0</v>
      </c>
      <c r="E172" s="716">
        <f t="shared" si="24"/>
        <v>38.6062929</v>
      </c>
      <c r="F172" s="716">
        <v>-38.6062929</v>
      </c>
      <c r="G172" s="716">
        <v>0</v>
      </c>
      <c r="H172" s="716">
        <f t="shared" ref="H172:H181" si="25">F172+G172</f>
        <v>-38.6062929</v>
      </c>
      <c r="I172" s="716">
        <f t="shared" ref="I172:I181" si="26">+D172</f>
        <v>0</v>
      </c>
      <c r="J172" s="716">
        <v>0</v>
      </c>
      <c r="K172" s="716">
        <f t="shared" ref="K172:K181" si="27">+I172+H172+J172</f>
        <v>-38.6062929</v>
      </c>
      <c r="L172" s="691"/>
      <c r="M172" s="709"/>
      <c r="N172" s="709"/>
      <c r="O172" s="709"/>
      <c r="P172" s="709"/>
      <c r="Q172" s="709"/>
      <c r="R172" s="709"/>
      <c r="S172" s="709"/>
      <c r="T172" s="709"/>
      <c r="U172" s="709"/>
      <c r="V172" s="709"/>
      <c r="W172" s="709"/>
      <c r="X172" s="709"/>
      <c r="Y172" s="709"/>
      <c r="Z172" s="709"/>
      <c r="AA172" s="709"/>
      <c r="AB172" s="709"/>
      <c r="AC172" s="709"/>
      <c r="AD172" s="709"/>
      <c r="AE172" s="709"/>
      <c r="AF172" s="709"/>
      <c r="AG172" s="709"/>
      <c r="AH172" s="709"/>
      <c r="AI172" s="709"/>
      <c r="AJ172" s="709"/>
      <c r="AK172" s="709"/>
      <c r="AL172" s="709"/>
      <c r="AM172" s="709"/>
      <c r="AN172" s="709"/>
      <c r="AO172" s="709"/>
      <c r="AP172" s="709"/>
      <c r="AQ172" s="709"/>
      <c r="AR172" s="709"/>
      <c r="AS172" s="709"/>
      <c r="AT172" s="709"/>
      <c r="AU172" s="709"/>
      <c r="AV172" s="709"/>
      <c r="AW172" s="709"/>
      <c r="AX172" s="709"/>
      <c r="AY172" s="709"/>
      <c r="AZ172" s="709"/>
      <c r="BA172" s="709"/>
      <c r="BB172" s="709"/>
      <c r="BC172" s="709"/>
      <c r="BD172" s="709"/>
      <c r="BE172" s="709"/>
      <c r="BF172" s="709"/>
      <c r="BG172" s="709"/>
      <c r="BH172" s="709"/>
      <c r="BI172" s="709"/>
      <c r="BJ172" s="709"/>
      <c r="BK172" s="709"/>
      <c r="BL172" s="709"/>
      <c r="BM172" s="709"/>
      <c r="BN172" s="709"/>
      <c r="BO172" s="709"/>
      <c r="BP172" s="709"/>
      <c r="BQ172" s="709"/>
      <c r="BR172" s="709"/>
      <c r="BS172" s="709"/>
      <c r="BT172" s="709"/>
      <c r="BU172" s="709"/>
      <c r="BV172" s="709"/>
      <c r="BW172" s="709"/>
      <c r="BX172" s="709"/>
      <c r="BY172" s="709"/>
      <c r="BZ172" s="709"/>
      <c r="CA172" s="709"/>
      <c r="CB172" s="709"/>
      <c r="CC172" s="709"/>
      <c r="CD172" s="709"/>
      <c r="CE172" s="709"/>
      <c r="CF172" s="709"/>
      <c r="CG172" s="709"/>
      <c r="CH172" s="709"/>
      <c r="CI172" s="709"/>
      <c r="CJ172" s="709"/>
      <c r="CK172" s="709"/>
      <c r="CL172" s="709"/>
      <c r="CM172" s="709"/>
      <c r="CN172" s="709"/>
      <c r="CO172" s="709"/>
      <c r="CP172" s="709"/>
      <c r="CQ172" s="709"/>
      <c r="CR172" s="709"/>
      <c r="CS172" s="709"/>
      <c r="CT172" s="709"/>
      <c r="CU172" s="709"/>
      <c r="CV172" s="709"/>
      <c r="CW172" s="709"/>
      <c r="CX172" s="709"/>
      <c r="CY172" s="709"/>
      <c r="CZ172" s="709"/>
      <c r="DA172" s="709"/>
      <c r="DB172" s="709"/>
      <c r="DC172" s="709"/>
      <c r="DD172" s="709"/>
      <c r="DE172" s="709"/>
      <c r="DF172" s="709"/>
      <c r="DG172" s="709"/>
      <c r="DH172" s="709"/>
      <c r="DI172" s="709"/>
      <c r="DJ172" s="709"/>
      <c r="DK172" s="709"/>
      <c r="DL172" s="709"/>
      <c r="DM172" s="709"/>
      <c r="DN172" s="709"/>
      <c r="DO172" s="709"/>
      <c r="DP172" s="709"/>
      <c r="DQ172" s="709"/>
      <c r="DR172" s="709"/>
      <c r="DS172" s="709"/>
      <c r="DT172" s="709"/>
      <c r="DU172" s="709"/>
      <c r="DV172" s="709"/>
      <c r="DW172" s="709"/>
      <c r="DX172" s="709"/>
      <c r="DY172" s="709"/>
      <c r="DZ172" s="709"/>
      <c r="EA172" s="709"/>
      <c r="EB172" s="709"/>
      <c r="EC172" s="709"/>
      <c r="ED172" s="709"/>
      <c r="EE172" s="709"/>
      <c r="EF172" s="709"/>
      <c r="EG172" s="709"/>
      <c r="EH172" s="709"/>
      <c r="EI172" s="709"/>
      <c r="EJ172" s="709"/>
      <c r="EK172" s="709"/>
      <c r="EL172" s="709"/>
      <c r="EM172" s="709"/>
      <c r="EN172" s="709"/>
      <c r="EO172" s="709"/>
      <c r="EP172" s="709"/>
      <c r="EQ172" s="709"/>
      <c r="ER172" s="709"/>
      <c r="ES172" s="709"/>
      <c r="ET172" s="709"/>
      <c r="EU172" s="709"/>
      <c r="EV172" s="709"/>
      <c r="EW172" s="709"/>
      <c r="EX172" s="709"/>
      <c r="EY172" s="709"/>
      <c r="EZ172" s="709"/>
      <c r="FA172" s="709"/>
      <c r="FB172" s="709"/>
      <c r="FC172" s="709"/>
      <c r="FD172" s="709"/>
      <c r="FE172" s="709"/>
      <c r="FF172" s="709"/>
      <c r="FG172" s="709"/>
      <c r="FH172" s="709"/>
      <c r="FI172" s="709"/>
      <c r="FJ172" s="709"/>
      <c r="FK172" s="709"/>
      <c r="FL172" s="709"/>
      <c r="FM172" s="709"/>
      <c r="FN172" s="709"/>
      <c r="FO172" s="709"/>
      <c r="FP172" s="709"/>
      <c r="FQ172" s="709"/>
      <c r="FR172" s="709"/>
      <c r="FS172" s="709"/>
      <c r="FT172" s="709"/>
      <c r="FU172" s="709"/>
      <c r="FV172" s="709"/>
      <c r="FW172" s="709"/>
      <c r="FX172" s="709"/>
      <c r="FY172" s="709"/>
      <c r="FZ172" s="709"/>
      <c r="GA172" s="709"/>
      <c r="GB172" s="709"/>
      <c r="GC172" s="709"/>
      <c r="GD172" s="709"/>
      <c r="GE172" s="709"/>
      <c r="GF172" s="709"/>
      <c r="GG172" s="709"/>
      <c r="GH172" s="709"/>
      <c r="GI172" s="709"/>
      <c r="GJ172" s="709"/>
      <c r="GK172" s="709"/>
      <c r="GL172" s="709"/>
      <c r="GM172" s="709"/>
      <c r="GN172" s="709"/>
      <c r="GO172" s="709"/>
      <c r="GP172" s="709"/>
      <c r="GQ172" s="709"/>
      <c r="GR172" s="709"/>
      <c r="GS172" s="709"/>
      <c r="GT172" s="709"/>
      <c r="GU172" s="709"/>
      <c r="GV172" s="709"/>
      <c r="GW172" s="709"/>
      <c r="GX172" s="709"/>
      <c r="GY172" s="709"/>
      <c r="GZ172" s="709"/>
      <c r="HA172" s="709"/>
      <c r="HB172" s="709"/>
      <c r="HC172" s="709"/>
      <c r="HD172" s="709"/>
      <c r="HE172" s="709"/>
      <c r="HF172" s="709"/>
      <c r="HG172" s="709"/>
      <c r="HH172" s="709"/>
      <c r="HI172" s="709"/>
      <c r="HJ172" s="709"/>
      <c r="HK172" s="709"/>
      <c r="HL172" s="709"/>
      <c r="HM172" s="709"/>
      <c r="HN172" s="709"/>
      <c r="HO172" s="709"/>
      <c r="HP172" s="709"/>
      <c r="HQ172" s="709"/>
      <c r="HR172" s="709"/>
      <c r="HS172" s="709"/>
      <c r="HT172" s="709"/>
      <c r="HU172" s="709"/>
      <c r="HV172" s="709"/>
      <c r="HW172" s="709"/>
      <c r="HX172" s="709"/>
      <c r="HY172" s="709"/>
      <c r="HZ172" s="709"/>
      <c r="IA172" s="709"/>
      <c r="IB172" s="709"/>
      <c r="IC172" s="709"/>
      <c r="ID172" s="709"/>
      <c r="IE172" s="709"/>
      <c r="IF172" s="709"/>
      <c r="IG172" s="709"/>
      <c r="IH172" s="709"/>
      <c r="II172" s="709"/>
      <c r="IJ172" s="709"/>
      <c r="IK172" s="709"/>
      <c r="IL172" s="709"/>
      <c r="IM172" s="709"/>
      <c r="IN172" s="709"/>
      <c r="IO172" s="709"/>
      <c r="IP172" s="709"/>
      <c r="IQ172" s="709"/>
      <c r="IR172" s="709"/>
      <c r="IS172" s="709"/>
      <c r="IT172" s="709"/>
      <c r="IU172" s="709"/>
      <c r="IV172" s="709"/>
    </row>
    <row r="173" spans="1:256" ht="12.75" customHeight="1">
      <c r="A173" s="706" t="s">
        <v>336</v>
      </c>
      <c r="B173" s="716">
        <v>159.7751451</v>
      </c>
      <c r="C173" s="716">
        <v>122.643542</v>
      </c>
      <c r="D173" s="716">
        <v>0</v>
      </c>
      <c r="E173" s="716">
        <f t="shared" si="24"/>
        <v>37.131603100000007</v>
      </c>
      <c r="F173" s="716">
        <v>-37.1316031</v>
      </c>
      <c r="G173" s="716">
        <v>0</v>
      </c>
      <c r="H173" s="716">
        <f t="shared" si="25"/>
        <v>-37.1316031</v>
      </c>
      <c r="I173" s="716">
        <f t="shared" si="26"/>
        <v>0</v>
      </c>
      <c r="J173" s="716">
        <v>0</v>
      </c>
      <c r="K173" s="716">
        <f t="shared" si="27"/>
        <v>-37.1316031</v>
      </c>
      <c r="L173" s="691"/>
      <c r="M173" s="709"/>
      <c r="N173" s="709"/>
      <c r="O173" s="709"/>
      <c r="P173" s="709"/>
      <c r="Q173" s="709"/>
      <c r="R173" s="709"/>
      <c r="S173" s="709"/>
      <c r="T173" s="709"/>
      <c r="U173" s="709"/>
      <c r="V173" s="709"/>
      <c r="W173" s="709"/>
      <c r="X173" s="709"/>
      <c r="Y173" s="709"/>
      <c r="Z173" s="709"/>
      <c r="AA173" s="709"/>
      <c r="AB173" s="709"/>
      <c r="AC173" s="709"/>
      <c r="AD173" s="709"/>
      <c r="AE173" s="709"/>
      <c r="AF173" s="709"/>
      <c r="AG173" s="709"/>
      <c r="AH173" s="709"/>
      <c r="AI173" s="709"/>
      <c r="AJ173" s="709"/>
      <c r="AK173" s="709"/>
      <c r="AL173" s="709"/>
      <c r="AM173" s="709"/>
      <c r="AN173" s="709"/>
      <c r="AO173" s="709"/>
      <c r="AP173" s="709"/>
      <c r="AQ173" s="709"/>
      <c r="AR173" s="709"/>
      <c r="AS173" s="709"/>
      <c r="AT173" s="709"/>
      <c r="AU173" s="709"/>
      <c r="AV173" s="709"/>
      <c r="AW173" s="709"/>
      <c r="AX173" s="709"/>
      <c r="AY173" s="709"/>
      <c r="AZ173" s="709"/>
      <c r="BA173" s="709"/>
      <c r="BB173" s="709"/>
      <c r="BC173" s="709"/>
      <c r="BD173" s="709"/>
      <c r="BE173" s="709"/>
      <c r="BF173" s="709"/>
      <c r="BG173" s="709"/>
      <c r="BH173" s="709"/>
      <c r="BI173" s="709"/>
      <c r="BJ173" s="709"/>
      <c r="BK173" s="709"/>
      <c r="BL173" s="709"/>
      <c r="BM173" s="709"/>
      <c r="BN173" s="709"/>
      <c r="BO173" s="709"/>
      <c r="BP173" s="709"/>
      <c r="BQ173" s="709"/>
      <c r="BR173" s="709"/>
      <c r="BS173" s="709"/>
      <c r="BT173" s="709"/>
      <c r="BU173" s="709"/>
      <c r="BV173" s="709"/>
      <c r="BW173" s="709"/>
      <c r="BX173" s="709"/>
      <c r="BY173" s="709"/>
      <c r="BZ173" s="709"/>
      <c r="CA173" s="709"/>
      <c r="CB173" s="709"/>
      <c r="CC173" s="709"/>
      <c r="CD173" s="709"/>
      <c r="CE173" s="709"/>
      <c r="CF173" s="709"/>
      <c r="CG173" s="709"/>
      <c r="CH173" s="709"/>
      <c r="CI173" s="709"/>
      <c r="CJ173" s="709"/>
      <c r="CK173" s="709"/>
      <c r="CL173" s="709"/>
      <c r="CM173" s="709"/>
      <c r="CN173" s="709"/>
      <c r="CO173" s="709"/>
      <c r="CP173" s="709"/>
      <c r="CQ173" s="709"/>
      <c r="CR173" s="709"/>
      <c r="CS173" s="709"/>
      <c r="CT173" s="709"/>
      <c r="CU173" s="709"/>
      <c r="CV173" s="709"/>
      <c r="CW173" s="709"/>
      <c r="CX173" s="709"/>
      <c r="CY173" s="709"/>
      <c r="CZ173" s="709"/>
      <c r="DA173" s="709"/>
      <c r="DB173" s="709"/>
      <c r="DC173" s="709"/>
      <c r="DD173" s="709"/>
      <c r="DE173" s="709"/>
      <c r="DF173" s="709"/>
      <c r="DG173" s="709"/>
      <c r="DH173" s="709"/>
      <c r="DI173" s="709"/>
      <c r="DJ173" s="709"/>
      <c r="DK173" s="709"/>
      <c r="DL173" s="709"/>
      <c r="DM173" s="709"/>
      <c r="DN173" s="709"/>
      <c r="DO173" s="709"/>
      <c r="DP173" s="709"/>
      <c r="DQ173" s="709"/>
      <c r="DR173" s="709"/>
      <c r="DS173" s="709"/>
      <c r="DT173" s="709"/>
      <c r="DU173" s="709"/>
      <c r="DV173" s="709"/>
      <c r="DW173" s="709"/>
      <c r="DX173" s="709"/>
      <c r="DY173" s="709"/>
      <c r="DZ173" s="709"/>
      <c r="EA173" s="709"/>
      <c r="EB173" s="709"/>
      <c r="EC173" s="709"/>
      <c r="ED173" s="709"/>
      <c r="EE173" s="709"/>
      <c r="EF173" s="709"/>
      <c r="EG173" s="709"/>
      <c r="EH173" s="709"/>
      <c r="EI173" s="709"/>
      <c r="EJ173" s="709"/>
      <c r="EK173" s="709"/>
      <c r="EL173" s="709"/>
      <c r="EM173" s="709"/>
      <c r="EN173" s="709"/>
      <c r="EO173" s="709"/>
      <c r="EP173" s="709"/>
      <c r="EQ173" s="709"/>
      <c r="ER173" s="709"/>
      <c r="ES173" s="709"/>
      <c r="ET173" s="709"/>
      <c r="EU173" s="709"/>
      <c r="EV173" s="709"/>
      <c r="EW173" s="709"/>
      <c r="EX173" s="709"/>
      <c r="EY173" s="709"/>
      <c r="EZ173" s="709"/>
      <c r="FA173" s="709"/>
      <c r="FB173" s="709"/>
      <c r="FC173" s="709"/>
      <c r="FD173" s="709"/>
      <c r="FE173" s="709"/>
      <c r="FF173" s="709"/>
      <c r="FG173" s="709"/>
      <c r="FH173" s="709"/>
      <c r="FI173" s="709"/>
      <c r="FJ173" s="709"/>
      <c r="FK173" s="709"/>
      <c r="FL173" s="709"/>
      <c r="FM173" s="709"/>
      <c r="FN173" s="709"/>
      <c r="FO173" s="709"/>
      <c r="FP173" s="709"/>
      <c r="FQ173" s="709"/>
      <c r="FR173" s="709"/>
      <c r="FS173" s="709"/>
      <c r="FT173" s="709"/>
      <c r="FU173" s="709"/>
      <c r="FV173" s="709"/>
      <c r="FW173" s="709"/>
      <c r="FX173" s="709"/>
      <c r="FY173" s="709"/>
      <c r="FZ173" s="709"/>
      <c r="GA173" s="709"/>
      <c r="GB173" s="709"/>
      <c r="GC173" s="709"/>
      <c r="GD173" s="709"/>
      <c r="GE173" s="709"/>
      <c r="GF173" s="709"/>
      <c r="GG173" s="709"/>
      <c r="GH173" s="709"/>
      <c r="GI173" s="709"/>
      <c r="GJ173" s="709"/>
      <c r="GK173" s="709"/>
      <c r="GL173" s="709"/>
      <c r="GM173" s="709"/>
      <c r="GN173" s="709"/>
      <c r="GO173" s="709"/>
      <c r="GP173" s="709"/>
      <c r="GQ173" s="709"/>
      <c r="GR173" s="709"/>
      <c r="GS173" s="709"/>
      <c r="GT173" s="709"/>
      <c r="GU173" s="709"/>
      <c r="GV173" s="709"/>
      <c r="GW173" s="709"/>
      <c r="GX173" s="709"/>
      <c r="GY173" s="709"/>
      <c r="GZ173" s="709"/>
      <c r="HA173" s="709"/>
      <c r="HB173" s="709"/>
      <c r="HC173" s="709"/>
      <c r="HD173" s="709"/>
      <c r="HE173" s="709"/>
      <c r="HF173" s="709"/>
      <c r="HG173" s="709"/>
      <c r="HH173" s="709"/>
      <c r="HI173" s="709"/>
      <c r="HJ173" s="709"/>
      <c r="HK173" s="709"/>
      <c r="HL173" s="709"/>
      <c r="HM173" s="709"/>
      <c r="HN173" s="709"/>
      <c r="HO173" s="709"/>
      <c r="HP173" s="709"/>
      <c r="HQ173" s="709"/>
      <c r="HR173" s="709"/>
      <c r="HS173" s="709"/>
      <c r="HT173" s="709"/>
      <c r="HU173" s="709"/>
      <c r="HV173" s="709"/>
      <c r="HW173" s="709"/>
      <c r="HX173" s="709"/>
      <c r="HY173" s="709"/>
      <c r="HZ173" s="709"/>
      <c r="IA173" s="709"/>
      <c r="IB173" s="709"/>
      <c r="IC173" s="709"/>
      <c r="ID173" s="709"/>
      <c r="IE173" s="709"/>
      <c r="IF173" s="709"/>
      <c r="IG173" s="709"/>
      <c r="IH173" s="709"/>
      <c r="II173" s="709"/>
      <c r="IJ173" s="709"/>
      <c r="IK173" s="709"/>
      <c r="IL173" s="709"/>
      <c r="IM173" s="709"/>
      <c r="IN173" s="709"/>
      <c r="IO173" s="709"/>
      <c r="IP173" s="709"/>
      <c r="IQ173" s="709"/>
      <c r="IR173" s="709"/>
      <c r="IS173" s="709"/>
      <c r="IT173" s="709"/>
      <c r="IU173" s="709"/>
      <c r="IV173" s="709"/>
    </row>
    <row r="174" spans="1:256" ht="12.75" customHeight="1">
      <c r="A174" s="706" t="s">
        <v>337</v>
      </c>
      <c r="B174" s="716">
        <v>157.20761949999999</v>
      </c>
      <c r="C174" s="716">
        <v>119.51799200000001</v>
      </c>
      <c r="D174" s="716">
        <v>0</v>
      </c>
      <c r="E174" s="716">
        <f t="shared" si="24"/>
        <v>37.689627499999986</v>
      </c>
      <c r="F174" s="716">
        <v>-37.6896275</v>
      </c>
      <c r="G174" s="716">
        <v>0</v>
      </c>
      <c r="H174" s="716">
        <f t="shared" si="25"/>
        <v>-37.6896275</v>
      </c>
      <c r="I174" s="716">
        <f t="shared" si="26"/>
        <v>0</v>
      </c>
      <c r="J174" s="716">
        <v>0</v>
      </c>
      <c r="K174" s="716">
        <f t="shared" si="27"/>
        <v>-37.6896275</v>
      </c>
      <c r="L174" s="691"/>
      <c r="M174" s="709"/>
      <c r="N174" s="709"/>
      <c r="O174" s="709"/>
      <c r="P174" s="709"/>
      <c r="Q174" s="709"/>
      <c r="R174" s="709"/>
      <c r="S174" s="709"/>
      <c r="T174" s="709"/>
      <c r="U174" s="709"/>
      <c r="V174" s="709"/>
      <c r="W174" s="709"/>
      <c r="X174" s="709"/>
      <c r="Y174" s="709"/>
      <c r="Z174" s="709"/>
      <c r="AA174" s="709"/>
      <c r="AB174" s="709"/>
      <c r="AC174" s="709"/>
      <c r="AD174" s="709"/>
      <c r="AE174" s="709"/>
      <c r="AF174" s="709"/>
      <c r="AG174" s="709"/>
      <c r="AH174" s="709"/>
      <c r="AI174" s="709"/>
      <c r="AJ174" s="709"/>
      <c r="AK174" s="709"/>
      <c r="AL174" s="709"/>
      <c r="AM174" s="709"/>
      <c r="AN174" s="709"/>
      <c r="AO174" s="709"/>
      <c r="AP174" s="709"/>
      <c r="AQ174" s="709"/>
      <c r="AR174" s="709"/>
      <c r="AS174" s="709"/>
      <c r="AT174" s="709"/>
      <c r="AU174" s="709"/>
      <c r="AV174" s="709"/>
      <c r="AW174" s="709"/>
      <c r="AX174" s="709"/>
      <c r="AY174" s="709"/>
      <c r="AZ174" s="709"/>
      <c r="BA174" s="709"/>
      <c r="BB174" s="709"/>
      <c r="BC174" s="709"/>
      <c r="BD174" s="709"/>
      <c r="BE174" s="709"/>
      <c r="BF174" s="709"/>
      <c r="BG174" s="709"/>
      <c r="BH174" s="709"/>
      <c r="BI174" s="709"/>
      <c r="BJ174" s="709"/>
      <c r="BK174" s="709"/>
      <c r="BL174" s="709"/>
      <c r="BM174" s="709"/>
      <c r="BN174" s="709"/>
      <c r="BO174" s="709"/>
      <c r="BP174" s="709"/>
      <c r="BQ174" s="709"/>
      <c r="BR174" s="709"/>
      <c r="BS174" s="709"/>
      <c r="BT174" s="709"/>
      <c r="BU174" s="709"/>
      <c r="BV174" s="709"/>
      <c r="BW174" s="709"/>
      <c r="BX174" s="709"/>
      <c r="BY174" s="709"/>
      <c r="BZ174" s="709"/>
      <c r="CA174" s="709"/>
      <c r="CB174" s="709"/>
      <c r="CC174" s="709"/>
      <c r="CD174" s="709"/>
      <c r="CE174" s="709"/>
      <c r="CF174" s="709"/>
      <c r="CG174" s="709"/>
      <c r="CH174" s="709"/>
      <c r="CI174" s="709"/>
      <c r="CJ174" s="709"/>
      <c r="CK174" s="709"/>
      <c r="CL174" s="709"/>
      <c r="CM174" s="709"/>
      <c r="CN174" s="709"/>
      <c r="CO174" s="709"/>
      <c r="CP174" s="709"/>
      <c r="CQ174" s="709"/>
      <c r="CR174" s="709"/>
      <c r="CS174" s="709"/>
      <c r="CT174" s="709"/>
      <c r="CU174" s="709"/>
      <c r="CV174" s="709"/>
      <c r="CW174" s="709"/>
      <c r="CX174" s="709"/>
      <c r="CY174" s="709"/>
      <c r="CZ174" s="709"/>
      <c r="DA174" s="709"/>
      <c r="DB174" s="709"/>
      <c r="DC174" s="709"/>
      <c r="DD174" s="709"/>
      <c r="DE174" s="709"/>
      <c r="DF174" s="709"/>
      <c r="DG174" s="709"/>
      <c r="DH174" s="709"/>
      <c r="DI174" s="709"/>
      <c r="DJ174" s="709"/>
      <c r="DK174" s="709"/>
      <c r="DL174" s="709"/>
      <c r="DM174" s="709"/>
      <c r="DN174" s="709"/>
      <c r="DO174" s="709"/>
      <c r="DP174" s="709"/>
      <c r="DQ174" s="709"/>
      <c r="DR174" s="709"/>
      <c r="DS174" s="709"/>
      <c r="DT174" s="709"/>
      <c r="DU174" s="709"/>
      <c r="DV174" s="709"/>
      <c r="DW174" s="709"/>
      <c r="DX174" s="709"/>
      <c r="DY174" s="709"/>
      <c r="DZ174" s="709"/>
      <c r="EA174" s="709"/>
      <c r="EB174" s="709"/>
      <c r="EC174" s="709"/>
      <c r="ED174" s="709"/>
      <c r="EE174" s="709"/>
      <c r="EF174" s="709"/>
      <c r="EG174" s="709"/>
      <c r="EH174" s="709"/>
      <c r="EI174" s="709"/>
      <c r="EJ174" s="709"/>
      <c r="EK174" s="709"/>
      <c r="EL174" s="709"/>
      <c r="EM174" s="709"/>
      <c r="EN174" s="709"/>
      <c r="EO174" s="709"/>
      <c r="EP174" s="709"/>
      <c r="EQ174" s="709"/>
      <c r="ER174" s="709"/>
      <c r="ES174" s="709"/>
      <c r="ET174" s="709"/>
      <c r="EU174" s="709"/>
      <c r="EV174" s="709"/>
      <c r="EW174" s="709"/>
      <c r="EX174" s="709"/>
      <c r="EY174" s="709"/>
      <c r="EZ174" s="709"/>
      <c r="FA174" s="709"/>
      <c r="FB174" s="709"/>
      <c r="FC174" s="709"/>
      <c r="FD174" s="709"/>
      <c r="FE174" s="709"/>
      <c r="FF174" s="709"/>
      <c r="FG174" s="709"/>
      <c r="FH174" s="709"/>
      <c r="FI174" s="709"/>
      <c r="FJ174" s="709"/>
      <c r="FK174" s="709"/>
      <c r="FL174" s="709"/>
      <c r="FM174" s="709"/>
      <c r="FN174" s="709"/>
      <c r="FO174" s="709"/>
      <c r="FP174" s="709"/>
      <c r="FQ174" s="709"/>
      <c r="FR174" s="709"/>
      <c r="FS174" s="709"/>
      <c r="FT174" s="709"/>
      <c r="FU174" s="709"/>
      <c r="FV174" s="709"/>
      <c r="FW174" s="709"/>
      <c r="FX174" s="709"/>
      <c r="FY174" s="709"/>
      <c r="FZ174" s="709"/>
      <c r="GA174" s="709"/>
      <c r="GB174" s="709"/>
      <c r="GC174" s="709"/>
      <c r="GD174" s="709"/>
      <c r="GE174" s="709"/>
      <c r="GF174" s="709"/>
      <c r="GG174" s="709"/>
      <c r="GH174" s="709"/>
      <c r="GI174" s="709"/>
      <c r="GJ174" s="709"/>
      <c r="GK174" s="709"/>
      <c r="GL174" s="709"/>
      <c r="GM174" s="709"/>
      <c r="GN174" s="709"/>
      <c r="GO174" s="709"/>
      <c r="GP174" s="709"/>
      <c r="GQ174" s="709"/>
      <c r="GR174" s="709"/>
      <c r="GS174" s="709"/>
      <c r="GT174" s="709"/>
      <c r="GU174" s="709"/>
      <c r="GV174" s="709"/>
      <c r="GW174" s="709"/>
      <c r="GX174" s="709"/>
      <c r="GY174" s="709"/>
      <c r="GZ174" s="709"/>
      <c r="HA174" s="709"/>
      <c r="HB174" s="709"/>
      <c r="HC174" s="709"/>
      <c r="HD174" s="709"/>
      <c r="HE174" s="709"/>
      <c r="HF174" s="709"/>
      <c r="HG174" s="709"/>
      <c r="HH174" s="709"/>
      <c r="HI174" s="709"/>
      <c r="HJ174" s="709"/>
      <c r="HK174" s="709"/>
      <c r="HL174" s="709"/>
      <c r="HM174" s="709"/>
      <c r="HN174" s="709"/>
      <c r="HO174" s="709"/>
      <c r="HP174" s="709"/>
      <c r="HQ174" s="709"/>
      <c r="HR174" s="709"/>
      <c r="HS174" s="709"/>
      <c r="HT174" s="709"/>
      <c r="HU174" s="709"/>
      <c r="HV174" s="709"/>
      <c r="HW174" s="709"/>
      <c r="HX174" s="709"/>
      <c r="HY174" s="709"/>
      <c r="HZ174" s="709"/>
      <c r="IA174" s="709"/>
      <c r="IB174" s="709"/>
      <c r="IC174" s="709"/>
      <c r="ID174" s="709"/>
      <c r="IE174" s="709"/>
      <c r="IF174" s="709"/>
      <c r="IG174" s="709"/>
      <c r="IH174" s="709"/>
      <c r="II174" s="709"/>
      <c r="IJ174" s="709"/>
      <c r="IK174" s="709"/>
      <c r="IL174" s="709"/>
      <c r="IM174" s="709"/>
      <c r="IN174" s="709"/>
      <c r="IO174" s="709"/>
      <c r="IP174" s="709"/>
      <c r="IQ174" s="709"/>
      <c r="IR174" s="709"/>
      <c r="IS174" s="709"/>
      <c r="IT174" s="709"/>
      <c r="IU174" s="709"/>
      <c r="IV174" s="709"/>
    </row>
    <row r="175" spans="1:256" ht="12.75" customHeight="1">
      <c r="A175" s="706" t="s">
        <v>338</v>
      </c>
      <c r="B175" s="716">
        <v>202.1621859</v>
      </c>
      <c r="C175" s="716">
        <v>143.30288400000001</v>
      </c>
      <c r="D175" s="716">
        <v>0</v>
      </c>
      <c r="E175" s="716">
        <f t="shared" si="24"/>
        <v>58.859301899999991</v>
      </c>
      <c r="F175" s="716">
        <v>-58.859301899999998</v>
      </c>
      <c r="G175" s="716">
        <v>0</v>
      </c>
      <c r="H175" s="716">
        <f t="shared" si="25"/>
        <v>-58.859301899999998</v>
      </c>
      <c r="I175" s="716">
        <f t="shared" si="26"/>
        <v>0</v>
      </c>
      <c r="J175" s="716">
        <v>0</v>
      </c>
      <c r="K175" s="716">
        <f t="shared" si="27"/>
        <v>-58.859301899999998</v>
      </c>
      <c r="L175" s="691"/>
      <c r="M175" s="709"/>
      <c r="N175" s="709"/>
      <c r="O175" s="709"/>
      <c r="P175" s="709"/>
      <c r="Q175" s="709"/>
      <c r="R175" s="709"/>
      <c r="S175" s="709"/>
      <c r="T175" s="709"/>
      <c r="U175" s="709"/>
      <c r="V175" s="709"/>
      <c r="W175" s="709"/>
      <c r="X175" s="709"/>
      <c r="Y175" s="709"/>
      <c r="Z175" s="709"/>
      <c r="AA175" s="709"/>
      <c r="AB175" s="709"/>
      <c r="AC175" s="709"/>
      <c r="AD175" s="709"/>
      <c r="AE175" s="709"/>
      <c r="AF175" s="709"/>
      <c r="AG175" s="709"/>
      <c r="AH175" s="709"/>
      <c r="AI175" s="709"/>
      <c r="AJ175" s="709"/>
      <c r="AK175" s="709"/>
      <c r="AL175" s="709"/>
      <c r="AM175" s="709"/>
      <c r="AN175" s="709"/>
      <c r="AO175" s="709"/>
      <c r="AP175" s="709"/>
      <c r="AQ175" s="709"/>
      <c r="AR175" s="709"/>
      <c r="AS175" s="709"/>
      <c r="AT175" s="709"/>
      <c r="AU175" s="709"/>
      <c r="AV175" s="709"/>
      <c r="AW175" s="709"/>
      <c r="AX175" s="709"/>
      <c r="AY175" s="709"/>
      <c r="AZ175" s="709"/>
      <c r="BA175" s="709"/>
      <c r="BB175" s="709"/>
      <c r="BC175" s="709"/>
      <c r="BD175" s="709"/>
      <c r="BE175" s="709"/>
      <c r="BF175" s="709"/>
      <c r="BG175" s="709"/>
      <c r="BH175" s="709"/>
      <c r="BI175" s="709"/>
      <c r="BJ175" s="709"/>
      <c r="BK175" s="709"/>
      <c r="BL175" s="709"/>
      <c r="BM175" s="709"/>
      <c r="BN175" s="709"/>
      <c r="BO175" s="709"/>
      <c r="BP175" s="709"/>
      <c r="BQ175" s="709"/>
      <c r="BR175" s="709"/>
      <c r="BS175" s="709"/>
      <c r="BT175" s="709"/>
      <c r="BU175" s="709"/>
      <c r="BV175" s="709"/>
      <c r="BW175" s="709"/>
      <c r="BX175" s="709"/>
      <c r="BY175" s="709"/>
      <c r="BZ175" s="709"/>
      <c r="CA175" s="709"/>
      <c r="CB175" s="709"/>
      <c r="CC175" s="709"/>
      <c r="CD175" s="709"/>
      <c r="CE175" s="709"/>
      <c r="CF175" s="709"/>
      <c r="CG175" s="709"/>
      <c r="CH175" s="709"/>
      <c r="CI175" s="709"/>
      <c r="CJ175" s="709"/>
      <c r="CK175" s="709"/>
      <c r="CL175" s="709"/>
      <c r="CM175" s="709"/>
      <c r="CN175" s="709"/>
      <c r="CO175" s="709"/>
      <c r="CP175" s="709"/>
      <c r="CQ175" s="709"/>
      <c r="CR175" s="709"/>
      <c r="CS175" s="709"/>
      <c r="CT175" s="709"/>
      <c r="CU175" s="709"/>
      <c r="CV175" s="709"/>
      <c r="CW175" s="709"/>
      <c r="CX175" s="709"/>
      <c r="CY175" s="709"/>
      <c r="CZ175" s="709"/>
      <c r="DA175" s="709"/>
      <c r="DB175" s="709"/>
      <c r="DC175" s="709"/>
      <c r="DD175" s="709"/>
      <c r="DE175" s="709"/>
      <c r="DF175" s="709"/>
      <c r="DG175" s="709"/>
      <c r="DH175" s="709"/>
      <c r="DI175" s="709"/>
      <c r="DJ175" s="709"/>
      <c r="DK175" s="709"/>
      <c r="DL175" s="709"/>
      <c r="DM175" s="709"/>
      <c r="DN175" s="709"/>
      <c r="DO175" s="709"/>
      <c r="DP175" s="709"/>
      <c r="DQ175" s="709"/>
      <c r="DR175" s="709"/>
      <c r="DS175" s="709"/>
      <c r="DT175" s="709"/>
      <c r="DU175" s="709"/>
      <c r="DV175" s="709"/>
      <c r="DW175" s="709"/>
      <c r="DX175" s="709"/>
      <c r="DY175" s="709"/>
      <c r="DZ175" s="709"/>
      <c r="EA175" s="709"/>
      <c r="EB175" s="709"/>
      <c r="EC175" s="709"/>
      <c r="ED175" s="709"/>
      <c r="EE175" s="709"/>
      <c r="EF175" s="709"/>
      <c r="EG175" s="709"/>
      <c r="EH175" s="709"/>
      <c r="EI175" s="709"/>
      <c r="EJ175" s="709"/>
      <c r="EK175" s="709"/>
      <c r="EL175" s="709"/>
      <c r="EM175" s="709"/>
      <c r="EN175" s="709"/>
      <c r="EO175" s="709"/>
      <c r="EP175" s="709"/>
      <c r="EQ175" s="709"/>
      <c r="ER175" s="709"/>
      <c r="ES175" s="709"/>
      <c r="ET175" s="709"/>
      <c r="EU175" s="709"/>
      <c r="EV175" s="709"/>
      <c r="EW175" s="709"/>
      <c r="EX175" s="709"/>
      <c r="EY175" s="709"/>
      <c r="EZ175" s="709"/>
      <c r="FA175" s="709"/>
      <c r="FB175" s="709"/>
      <c r="FC175" s="709"/>
      <c r="FD175" s="709"/>
      <c r="FE175" s="709"/>
      <c r="FF175" s="709"/>
      <c r="FG175" s="709"/>
      <c r="FH175" s="709"/>
      <c r="FI175" s="709"/>
      <c r="FJ175" s="709"/>
      <c r="FK175" s="709"/>
      <c r="FL175" s="709"/>
      <c r="FM175" s="709"/>
      <c r="FN175" s="709"/>
      <c r="FO175" s="709"/>
      <c r="FP175" s="709"/>
      <c r="FQ175" s="709"/>
      <c r="FR175" s="709"/>
      <c r="FS175" s="709"/>
      <c r="FT175" s="709"/>
      <c r="FU175" s="709"/>
      <c r="FV175" s="709"/>
      <c r="FW175" s="709"/>
      <c r="FX175" s="709"/>
      <c r="FY175" s="709"/>
      <c r="FZ175" s="709"/>
      <c r="GA175" s="709"/>
      <c r="GB175" s="709"/>
      <c r="GC175" s="709"/>
      <c r="GD175" s="709"/>
      <c r="GE175" s="709"/>
      <c r="GF175" s="709"/>
      <c r="GG175" s="709"/>
      <c r="GH175" s="709"/>
      <c r="GI175" s="709"/>
      <c r="GJ175" s="709"/>
      <c r="GK175" s="709"/>
      <c r="GL175" s="709"/>
      <c r="GM175" s="709"/>
      <c r="GN175" s="709"/>
      <c r="GO175" s="709"/>
      <c r="GP175" s="709"/>
      <c r="GQ175" s="709"/>
      <c r="GR175" s="709"/>
      <c r="GS175" s="709"/>
      <c r="GT175" s="709"/>
      <c r="GU175" s="709"/>
      <c r="GV175" s="709"/>
      <c r="GW175" s="709"/>
      <c r="GX175" s="709"/>
      <c r="GY175" s="709"/>
      <c r="GZ175" s="709"/>
      <c r="HA175" s="709"/>
      <c r="HB175" s="709"/>
      <c r="HC175" s="709"/>
      <c r="HD175" s="709"/>
      <c r="HE175" s="709"/>
      <c r="HF175" s="709"/>
      <c r="HG175" s="709"/>
      <c r="HH175" s="709"/>
      <c r="HI175" s="709"/>
      <c r="HJ175" s="709"/>
      <c r="HK175" s="709"/>
      <c r="HL175" s="709"/>
      <c r="HM175" s="709"/>
      <c r="HN175" s="709"/>
      <c r="HO175" s="709"/>
      <c r="HP175" s="709"/>
      <c r="HQ175" s="709"/>
      <c r="HR175" s="709"/>
      <c r="HS175" s="709"/>
      <c r="HT175" s="709"/>
      <c r="HU175" s="709"/>
      <c r="HV175" s="709"/>
      <c r="HW175" s="709"/>
      <c r="HX175" s="709"/>
      <c r="HY175" s="709"/>
      <c r="HZ175" s="709"/>
      <c r="IA175" s="709"/>
      <c r="IB175" s="709"/>
      <c r="IC175" s="709"/>
      <c r="ID175" s="709"/>
      <c r="IE175" s="709"/>
      <c r="IF175" s="709"/>
      <c r="IG175" s="709"/>
      <c r="IH175" s="709"/>
      <c r="II175" s="709"/>
      <c r="IJ175" s="709"/>
      <c r="IK175" s="709"/>
      <c r="IL175" s="709"/>
      <c r="IM175" s="709"/>
      <c r="IN175" s="709"/>
      <c r="IO175" s="709"/>
      <c r="IP175" s="709"/>
      <c r="IQ175" s="709"/>
      <c r="IR175" s="709"/>
      <c r="IS175" s="709"/>
      <c r="IT175" s="709"/>
      <c r="IU175" s="709"/>
      <c r="IV175" s="709"/>
    </row>
    <row r="176" spans="1:256" ht="12.75" customHeight="1">
      <c r="A176" s="706" t="s">
        <v>339</v>
      </c>
      <c r="B176" s="716">
        <v>213.91820609999999</v>
      </c>
      <c r="C176" s="716">
        <v>132.947892</v>
      </c>
      <c r="D176" s="716">
        <v>0</v>
      </c>
      <c r="E176" s="716">
        <f t="shared" si="24"/>
        <v>80.970314099999996</v>
      </c>
      <c r="F176" s="716">
        <v>-80.970314099999996</v>
      </c>
      <c r="G176" s="716">
        <v>0</v>
      </c>
      <c r="H176" s="716">
        <f t="shared" si="25"/>
        <v>-80.970314099999996</v>
      </c>
      <c r="I176" s="716">
        <f t="shared" si="26"/>
        <v>0</v>
      </c>
      <c r="J176" s="716">
        <v>0</v>
      </c>
      <c r="K176" s="716">
        <f t="shared" si="27"/>
        <v>-80.970314099999996</v>
      </c>
      <c r="L176" s="691"/>
      <c r="M176" s="709"/>
      <c r="N176" s="709"/>
      <c r="O176" s="709"/>
      <c r="P176" s="709"/>
      <c r="Q176" s="709"/>
      <c r="R176" s="709"/>
      <c r="S176" s="709"/>
      <c r="T176" s="709"/>
      <c r="U176" s="709"/>
      <c r="V176" s="709"/>
      <c r="W176" s="709"/>
      <c r="X176" s="709"/>
      <c r="Y176" s="709"/>
      <c r="Z176" s="709"/>
      <c r="AA176" s="709"/>
      <c r="AB176" s="709"/>
      <c r="AC176" s="709"/>
      <c r="AD176" s="709"/>
      <c r="AE176" s="709"/>
      <c r="AF176" s="709"/>
      <c r="AG176" s="709"/>
      <c r="AH176" s="709"/>
      <c r="AI176" s="709"/>
      <c r="AJ176" s="709"/>
      <c r="AK176" s="709"/>
      <c r="AL176" s="709"/>
      <c r="AM176" s="709"/>
      <c r="AN176" s="709"/>
      <c r="AO176" s="709"/>
      <c r="AP176" s="709"/>
      <c r="AQ176" s="709"/>
      <c r="AR176" s="709"/>
      <c r="AS176" s="709"/>
      <c r="AT176" s="709"/>
      <c r="AU176" s="709"/>
      <c r="AV176" s="709"/>
      <c r="AW176" s="709"/>
      <c r="AX176" s="709"/>
      <c r="AY176" s="709"/>
      <c r="AZ176" s="709"/>
      <c r="BA176" s="709"/>
      <c r="BB176" s="709"/>
      <c r="BC176" s="709"/>
      <c r="BD176" s="709"/>
      <c r="BE176" s="709"/>
      <c r="BF176" s="709"/>
      <c r="BG176" s="709"/>
      <c r="BH176" s="709"/>
      <c r="BI176" s="709"/>
      <c r="BJ176" s="709"/>
      <c r="BK176" s="709"/>
      <c r="BL176" s="709"/>
      <c r="BM176" s="709"/>
      <c r="BN176" s="709"/>
      <c r="BO176" s="709"/>
      <c r="BP176" s="709"/>
      <c r="BQ176" s="709"/>
      <c r="BR176" s="709"/>
      <c r="BS176" s="709"/>
      <c r="BT176" s="709"/>
      <c r="BU176" s="709"/>
      <c r="BV176" s="709"/>
      <c r="BW176" s="709"/>
      <c r="BX176" s="709"/>
      <c r="BY176" s="709"/>
      <c r="BZ176" s="709"/>
      <c r="CA176" s="709"/>
      <c r="CB176" s="709"/>
      <c r="CC176" s="709"/>
      <c r="CD176" s="709"/>
      <c r="CE176" s="709"/>
      <c r="CF176" s="709"/>
      <c r="CG176" s="709"/>
      <c r="CH176" s="709"/>
      <c r="CI176" s="709"/>
      <c r="CJ176" s="709"/>
      <c r="CK176" s="709"/>
      <c r="CL176" s="709"/>
      <c r="CM176" s="709"/>
      <c r="CN176" s="709"/>
      <c r="CO176" s="709"/>
      <c r="CP176" s="709"/>
      <c r="CQ176" s="709"/>
      <c r="CR176" s="709"/>
      <c r="CS176" s="709"/>
      <c r="CT176" s="709"/>
      <c r="CU176" s="709"/>
      <c r="CV176" s="709"/>
      <c r="CW176" s="709"/>
      <c r="CX176" s="709"/>
      <c r="CY176" s="709"/>
      <c r="CZ176" s="709"/>
      <c r="DA176" s="709"/>
      <c r="DB176" s="709"/>
      <c r="DC176" s="709"/>
      <c r="DD176" s="709"/>
      <c r="DE176" s="709"/>
      <c r="DF176" s="709"/>
      <c r="DG176" s="709"/>
      <c r="DH176" s="709"/>
      <c r="DI176" s="709"/>
      <c r="DJ176" s="709"/>
      <c r="DK176" s="709"/>
      <c r="DL176" s="709"/>
      <c r="DM176" s="709"/>
      <c r="DN176" s="709"/>
      <c r="DO176" s="709"/>
      <c r="DP176" s="709"/>
      <c r="DQ176" s="709"/>
      <c r="DR176" s="709"/>
      <c r="DS176" s="709"/>
      <c r="DT176" s="709"/>
      <c r="DU176" s="709"/>
      <c r="DV176" s="709"/>
      <c r="DW176" s="709"/>
      <c r="DX176" s="709"/>
      <c r="DY176" s="709"/>
      <c r="DZ176" s="709"/>
      <c r="EA176" s="709"/>
      <c r="EB176" s="709"/>
      <c r="EC176" s="709"/>
      <c r="ED176" s="709"/>
      <c r="EE176" s="709"/>
      <c r="EF176" s="709"/>
      <c r="EG176" s="709"/>
      <c r="EH176" s="709"/>
      <c r="EI176" s="709"/>
      <c r="EJ176" s="709"/>
      <c r="EK176" s="709"/>
      <c r="EL176" s="709"/>
      <c r="EM176" s="709"/>
      <c r="EN176" s="709"/>
      <c r="EO176" s="709"/>
      <c r="EP176" s="709"/>
      <c r="EQ176" s="709"/>
      <c r="ER176" s="709"/>
      <c r="ES176" s="709"/>
      <c r="ET176" s="709"/>
      <c r="EU176" s="709"/>
      <c r="EV176" s="709"/>
      <c r="EW176" s="709"/>
      <c r="EX176" s="709"/>
      <c r="EY176" s="709"/>
      <c r="EZ176" s="709"/>
      <c r="FA176" s="709"/>
      <c r="FB176" s="709"/>
      <c r="FC176" s="709"/>
      <c r="FD176" s="709"/>
      <c r="FE176" s="709"/>
      <c r="FF176" s="709"/>
      <c r="FG176" s="709"/>
      <c r="FH176" s="709"/>
      <c r="FI176" s="709"/>
      <c r="FJ176" s="709"/>
      <c r="FK176" s="709"/>
      <c r="FL176" s="709"/>
      <c r="FM176" s="709"/>
      <c r="FN176" s="709"/>
      <c r="FO176" s="709"/>
      <c r="FP176" s="709"/>
      <c r="FQ176" s="709"/>
      <c r="FR176" s="709"/>
      <c r="FS176" s="709"/>
      <c r="FT176" s="709"/>
      <c r="FU176" s="709"/>
      <c r="FV176" s="709"/>
      <c r="FW176" s="709"/>
      <c r="FX176" s="709"/>
      <c r="FY176" s="709"/>
      <c r="FZ176" s="709"/>
      <c r="GA176" s="709"/>
      <c r="GB176" s="709"/>
      <c r="GC176" s="709"/>
      <c r="GD176" s="709"/>
      <c r="GE176" s="709"/>
      <c r="GF176" s="709"/>
      <c r="GG176" s="709"/>
      <c r="GH176" s="709"/>
      <c r="GI176" s="709"/>
      <c r="GJ176" s="709"/>
      <c r="GK176" s="709"/>
      <c r="GL176" s="709"/>
      <c r="GM176" s="709"/>
      <c r="GN176" s="709"/>
      <c r="GO176" s="709"/>
      <c r="GP176" s="709"/>
      <c r="GQ176" s="709"/>
      <c r="GR176" s="709"/>
      <c r="GS176" s="709"/>
      <c r="GT176" s="709"/>
      <c r="GU176" s="709"/>
      <c r="GV176" s="709"/>
      <c r="GW176" s="709"/>
      <c r="GX176" s="709"/>
      <c r="GY176" s="709"/>
      <c r="GZ176" s="709"/>
      <c r="HA176" s="709"/>
      <c r="HB176" s="709"/>
      <c r="HC176" s="709"/>
      <c r="HD176" s="709"/>
      <c r="HE176" s="709"/>
      <c r="HF176" s="709"/>
      <c r="HG176" s="709"/>
      <c r="HH176" s="709"/>
      <c r="HI176" s="709"/>
      <c r="HJ176" s="709"/>
      <c r="HK176" s="709"/>
      <c r="HL176" s="709"/>
      <c r="HM176" s="709"/>
      <c r="HN176" s="709"/>
      <c r="HO176" s="709"/>
      <c r="HP176" s="709"/>
      <c r="HQ176" s="709"/>
      <c r="HR176" s="709"/>
      <c r="HS176" s="709"/>
      <c r="HT176" s="709"/>
      <c r="HU176" s="709"/>
      <c r="HV176" s="709"/>
      <c r="HW176" s="709"/>
      <c r="HX176" s="709"/>
      <c r="HY176" s="709"/>
      <c r="HZ176" s="709"/>
      <c r="IA176" s="709"/>
      <c r="IB176" s="709"/>
      <c r="IC176" s="709"/>
      <c r="ID176" s="709"/>
      <c r="IE176" s="709"/>
      <c r="IF176" s="709"/>
      <c r="IG176" s="709"/>
      <c r="IH176" s="709"/>
      <c r="II176" s="709"/>
      <c r="IJ176" s="709"/>
      <c r="IK176" s="709"/>
      <c r="IL176" s="709"/>
      <c r="IM176" s="709"/>
      <c r="IN176" s="709"/>
      <c r="IO176" s="709"/>
      <c r="IP176" s="709"/>
      <c r="IQ176" s="709"/>
      <c r="IR176" s="709"/>
      <c r="IS176" s="709"/>
      <c r="IT176" s="709"/>
      <c r="IU176" s="709"/>
      <c r="IV176" s="709"/>
    </row>
    <row r="177" spans="1:256" ht="12.75" customHeight="1">
      <c r="A177" s="706" t="s">
        <v>340</v>
      </c>
      <c r="B177" s="716">
        <v>215.2165555</v>
      </c>
      <c r="C177" s="716">
        <v>163.47235000000001</v>
      </c>
      <c r="D177" s="716">
        <v>0</v>
      </c>
      <c r="E177" s="716">
        <f t="shared" si="24"/>
        <v>51.744205499999993</v>
      </c>
      <c r="F177" s="716">
        <v>-51.7442055</v>
      </c>
      <c r="G177" s="716">
        <v>0</v>
      </c>
      <c r="H177" s="716">
        <f t="shared" si="25"/>
        <v>-51.7442055</v>
      </c>
      <c r="I177" s="716">
        <f t="shared" si="26"/>
        <v>0</v>
      </c>
      <c r="J177" s="716">
        <v>0</v>
      </c>
      <c r="K177" s="716">
        <f t="shared" si="27"/>
        <v>-51.7442055</v>
      </c>
      <c r="L177" s="691"/>
      <c r="M177" s="709"/>
      <c r="N177" s="709"/>
      <c r="O177" s="709"/>
      <c r="P177" s="709"/>
      <c r="Q177" s="709"/>
      <c r="R177" s="709"/>
      <c r="S177" s="709"/>
      <c r="T177" s="709"/>
      <c r="U177" s="709"/>
      <c r="V177" s="709"/>
      <c r="W177" s="709"/>
      <c r="X177" s="709"/>
      <c r="Y177" s="709"/>
      <c r="Z177" s="709"/>
      <c r="AA177" s="709"/>
      <c r="AB177" s="709"/>
      <c r="AC177" s="709"/>
      <c r="AD177" s="709"/>
      <c r="AE177" s="709"/>
      <c r="AF177" s="709"/>
      <c r="AG177" s="709"/>
      <c r="AH177" s="709"/>
      <c r="AI177" s="709"/>
      <c r="AJ177" s="709"/>
      <c r="AK177" s="709"/>
      <c r="AL177" s="709"/>
      <c r="AM177" s="709"/>
      <c r="AN177" s="709"/>
      <c r="AO177" s="709"/>
      <c r="AP177" s="709"/>
      <c r="AQ177" s="709"/>
      <c r="AR177" s="709"/>
      <c r="AS177" s="709"/>
      <c r="AT177" s="709"/>
      <c r="AU177" s="709"/>
      <c r="AV177" s="709"/>
      <c r="AW177" s="709"/>
      <c r="AX177" s="709"/>
      <c r="AY177" s="709"/>
      <c r="AZ177" s="709"/>
      <c r="BA177" s="709"/>
      <c r="BB177" s="709"/>
      <c r="BC177" s="709"/>
      <c r="BD177" s="709"/>
      <c r="BE177" s="709"/>
      <c r="BF177" s="709"/>
      <c r="BG177" s="709"/>
      <c r="BH177" s="709"/>
      <c r="BI177" s="709"/>
      <c r="BJ177" s="709"/>
      <c r="BK177" s="709"/>
      <c r="BL177" s="709"/>
      <c r="BM177" s="709"/>
      <c r="BN177" s="709"/>
      <c r="BO177" s="709"/>
      <c r="BP177" s="709"/>
      <c r="BQ177" s="709"/>
      <c r="BR177" s="709"/>
      <c r="BS177" s="709"/>
      <c r="BT177" s="709"/>
      <c r="BU177" s="709"/>
      <c r="BV177" s="709"/>
      <c r="BW177" s="709"/>
      <c r="BX177" s="709"/>
      <c r="BY177" s="709"/>
      <c r="BZ177" s="709"/>
      <c r="CA177" s="709"/>
      <c r="CB177" s="709"/>
      <c r="CC177" s="709"/>
      <c r="CD177" s="709"/>
      <c r="CE177" s="709"/>
      <c r="CF177" s="709"/>
      <c r="CG177" s="709"/>
      <c r="CH177" s="709"/>
      <c r="CI177" s="709"/>
      <c r="CJ177" s="709"/>
      <c r="CK177" s="709"/>
      <c r="CL177" s="709"/>
      <c r="CM177" s="709"/>
      <c r="CN177" s="709"/>
      <c r="CO177" s="709"/>
      <c r="CP177" s="709"/>
      <c r="CQ177" s="709"/>
      <c r="CR177" s="709"/>
      <c r="CS177" s="709"/>
      <c r="CT177" s="709"/>
      <c r="CU177" s="709"/>
      <c r="CV177" s="709"/>
      <c r="CW177" s="709"/>
      <c r="CX177" s="709"/>
      <c r="CY177" s="709"/>
      <c r="CZ177" s="709"/>
      <c r="DA177" s="709"/>
      <c r="DB177" s="709"/>
      <c r="DC177" s="709"/>
      <c r="DD177" s="709"/>
      <c r="DE177" s="709"/>
      <c r="DF177" s="709"/>
      <c r="DG177" s="709"/>
      <c r="DH177" s="709"/>
      <c r="DI177" s="709"/>
      <c r="DJ177" s="709"/>
      <c r="DK177" s="709"/>
      <c r="DL177" s="709"/>
      <c r="DM177" s="709"/>
      <c r="DN177" s="709"/>
      <c r="DO177" s="709"/>
      <c r="DP177" s="709"/>
      <c r="DQ177" s="709"/>
      <c r="DR177" s="709"/>
      <c r="DS177" s="709"/>
      <c r="DT177" s="709"/>
      <c r="DU177" s="709"/>
      <c r="DV177" s="709"/>
      <c r="DW177" s="709"/>
      <c r="DX177" s="709"/>
      <c r="DY177" s="709"/>
      <c r="DZ177" s="709"/>
      <c r="EA177" s="709"/>
      <c r="EB177" s="709"/>
      <c r="EC177" s="709"/>
      <c r="ED177" s="709"/>
      <c r="EE177" s="709"/>
      <c r="EF177" s="709"/>
      <c r="EG177" s="709"/>
      <c r="EH177" s="709"/>
      <c r="EI177" s="709"/>
      <c r="EJ177" s="709"/>
      <c r="EK177" s="709"/>
      <c r="EL177" s="709"/>
      <c r="EM177" s="709"/>
      <c r="EN177" s="709"/>
      <c r="EO177" s="709"/>
      <c r="EP177" s="709"/>
      <c r="EQ177" s="709"/>
      <c r="ER177" s="709"/>
      <c r="ES177" s="709"/>
      <c r="ET177" s="709"/>
      <c r="EU177" s="709"/>
      <c r="EV177" s="709"/>
      <c r="EW177" s="709"/>
      <c r="EX177" s="709"/>
      <c r="EY177" s="709"/>
      <c r="EZ177" s="709"/>
      <c r="FA177" s="709"/>
      <c r="FB177" s="709"/>
      <c r="FC177" s="709"/>
      <c r="FD177" s="709"/>
      <c r="FE177" s="709"/>
      <c r="FF177" s="709"/>
      <c r="FG177" s="709"/>
      <c r="FH177" s="709"/>
      <c r="FI177" s="709"/>
      <c r="FJ177" s="709"/>
      <c r="FK177" s="709"/>
      <c r="FL177" s="709"/>
      <c r="FM177" s="709"/>
      <c r="FN177" s="709"/>
      <c r="FO177" s="709"/>
      <c r="FP177" s="709"/>
      <c r="FQ177" s="709"/>
      <c r="FR177" s="709"/>
      <c r="FS177" s="709"/>
      <c r="FT177" s="709"/>
      <c r="FU177" s="709"/>
      <c r="FV177" s="709"/>
      <c r="FW177" s="709"/>
      <c r="FX177" s="709"/>
      <c r="FY177" s="709"/>
      <c r="FZ177" s="709"/>
      <c r="GA177" s="709"/>
      <c r="GB177" s="709"/>
      <c r="GC177" s="709"/>
      <c r="GD177" s="709"/>
      <c r="GE177" s="709"/>
      <c r="GF177" s="709"/>
      <c r="GG177" s="709"/>
      <c r="GH177" s="709"/>
      <c r="GI177" s="709"/>
      <c r="GJ177" s="709"/>
      <c r="GK177" s="709"/>
      <c r="GL177" s="709"/>
      <c r="GM177" s="709"/>
      <c r="GN177" s="709"/>
      <c r="GO177" s="709"/>
      <c r="GP177" s="709"/>
      <c r="GQ177" s="709"/>
      <c r="GR177" s="709"/>
      <c r="GS177" s="709"/>
      <c r="GT177" s="709"/>
      <c r="GU177" s="709"/>
      <c r="GV177" s="709"/>
      <c r="GW177" s="709"/>
      <c r="GX177" s="709"/>
      <c r="GY177" s="709"/>
      <c r="GZ177" s="709"/>
      <c r="HA177" s="709"/>
      <c r="HB177" s="709"/>
      <c r="HC177" s="709"/>
      <c r="HD177" s="709"/>
      <c r="HE177" s="709"/>
      <c r="HF177" s="709"/>
      <c r="HG177" s="709"/>
      <c r="HH177" s="709"/>
      <c r="HI177" s="709"/>
      <c r="HJ177" s="709"/>
      <c r="HK177" s="709"/>
      <c r="HL177" s="709"/>
      <c r="HM177" s="709"/>
      <c r="HN177" s="709"/>
      <c r="HO177" s="709"/>
      <c r="HP177" s="709"/>
      <c r="HQ177" s="709"/>
      <c r="HR177" s="709"/>
      <c r="HS177" s="709"/>
      <c r="HT177" s="709"/>
      <c r="HU177" s="709"/>
      <c r="HV177" s="709"/>
      <c r="HW177" s="709"/>
      <c r="HX177" s="709"/>
      <c r="HY177" s="709"/>
      <c r="HZ177" s="709"/>
      <c r="IA177" s="709"/>
      <c r="IB177" s="709"/>
      <c r="IC177" s="709"/>
      <c r="ID177" s="709"/>
      <c r="IE177" s="709"/>
      <c r="IF177" s="709"/>
      <c r="IG177" s="709"/>
      <c r="IH177" s="709"/>
      <c r="II177" s="709"/>
      <c r="IJ177" s="709"/>
      <c r="IK177" s="709"/>
      <c r="IL177" s="709"/>
      <c r="IM177" s="709"/>
      <c r="IN177" s="709"/>
      <c r="IO177" s="709"/>
      <c r="IP177" s="709"/>
      <c r="IQ177" s="709"/>
      <c r="IR177" s="709"/>
      <c r="IS177" s="709"/>
      <c r="IT177" s="709"/>
      <c r="IU177" s="709"/>
      <c r="IV177" s="709"/>
    </row>
    <row r="178" spans="1:256" ht="12.75" customHeight="1">
      <c r="A178" s="706" t="s">
        <v>341</v>
      </c>
      <c r="B178" s="716">
        <v>226.56223630000002</v>
      </c>
      <c r="C178" s="716">
        <v>183.673239</v>
      </c>
      <c r="D178" s="716">
        <v>0</v>
      </c>
      <c r="E178" s="716">
        <f t="shared" si="24"/>
        <v>42.888997300000028</v>
      </c>
      <c r="F178" s="716">
        <v>-42.8889973</v>
      </c>
      <c r="G178" s="716">
        <v>0</v>
      </c>
      <c r="H178" s="716">
        <f t="shared" si="25"/>
        <v>-42.8889973</v>
      </c>
      <c r="I178" s="716">
        <f t="shared" si="26"/>
        <v>0</v>
      </c>
      <c r="J178" s="716">
        <v>0</v>
      </c>
      <c r="K178" s="716">
        <f t="shared" si="27"/>
        <v>-42.8889973</v>
      </c>
      <c r="L178" s="691"/>
      <c r="M178" s="709"/>
      <c r="N178" s="709"/>
      <c r="O178" s="709"/>
      <c r="P178" s="709"/>
      <c r="Q178" s="709"/>
      <c r="R178" s="709"/>
      <c r="S178" s="709"/>
      <c r="T178" s="709"/>
      <c r="U178" s="709"/>
      <c r="V178" s="709"/>
      <c r="W178" s="709"/>
      <c r="X178" s="709"/>
      <c r="Y178" s="709"/>
      <c r="Z178" s="709"/>
      <c r="AA178" s="709"/>
      <c r="AB178" s="709"/>
      <c r="AC178" s="709"/>
      <c r="AD178" s="709"/>
      <c r="AE178" s="709"/>
      <c r="AF178" s="709"/>
      <c r="AG178" s="709"/>
      <c r="AH178" s="709"/>
      <c r="AI178" s="709"/>
      <c r="AJ178" s="709"/>
      <c r="AK178" s="709"/>
      <c r="AL178" s="709"/>
      <c r="AM178" s="709"/>
      <c r="AN178" s="709"/>
      <c r="AO178" s="709"/>
      <c r="AP178" s="709"/>
      <c r="AQ178" s="709"/>
      <c r="AR178" s="709"/>
      <c r="AS178" s="709"/>
      <c r="AT178" s="709"/>
      <c r="AU178" s="709"/>
      <c r="AV178" s="709"/>
      <c r="AW178" s="709"/>
      <c r="AX178" s="709"/>
      <c r="AY178" s="709"/>
      <c r="AZ178" s="709"/>
      <c r="BA178" s="709"/>
      <c r="BB178" s="709"/>
      <c r="BC178" s="709"/>
      <c r="BD178" s="709"/>
      <c r="BE178" s="709"/>
      <c r="BF178" s="709"/>
      <c r="BG178" s="709"/>
      <c r="BH178" s="709"/>
      <c r="BI178" s="709"/>
      <c r="BJ178" s="709"/>
      <c r="BK178" s="709"/>
      <c r="BL178" s="709"/>
      <c r="BM178" s="709"/>
      <c r="BN178" s="709"/>
      <c r="BO178" s="709"/>
      <c r="BP178" s="709"/>
      <c r="BQ178" s="709"/>
      <c r="BR178" s="709"/>
      <c r="BS178" s="709"/>
      <c r="BT178" s="709"/>
      <c r="BU178" s="709"/>
      <c r="BV178" s="709"/>
      <c r="BW178" s="709"/>
      <c r="BX178" s="709"/>
      <c r="BY178" s="709"/>
      <c r="BZ178" s="709"/>
      <c r="CA178" s="709"/>
      <c r="CB178" s="709"/>
      <c r="CC178" s="709"/>
      <c r="CD178" s="709"/>
      <c r="CE178" s="709"/>
      <c r="CF178" s="709"/>
      <c r="CG178" s="709"/>
      <c r="CH178" s="709"/>
      <c r="CI178" s="709"/>
      <c r="CJ178" s="709"/>
      <c r="CK178" s="709"/>
      <c r="CL178" s="709"/>
      <c r="CM178" s="709"/>
      <c r="CN178" s="709"/>
      <c r="CO178" s="709"/>
      <c r="CP178" s="709"/>
      <c r="CQ178" s="709"/>
      <c r="CR178" s="709"/>
      <c r="CS178" s="709"/>
      <c r="CT178" s="709"/>
      <c r="CU178" s="709"/>
      <c r="CV178" s="709"/>
      <c r="CW178" s="709"/>
      <c r="CX178" s="709"/>
      <c r="CY178" s="709"/>
      <c r="CZ178" s="709"/>
      <c r="DA178" s="709"/>
      <c r="DB178" s="709"/>
      <c r="DC178" s="709"/>
      <c r="DD178" s="709"/>
      <c r="DE178" s="709"/>
      <c r="DF178" s="709"/>
      <c r="DG178" s="709"/>
      <c r="DH178" s="709"/>
      <c r="DI178" s="709"/>
      <c r="DJ178" s="709"/>
      <c r="DK178" s="709"/>
      <c r="DL178" s="709"/>
      <c r="DM178" s="709"/>
      <c r="DN178" s="709"/>
      <c r="DO178" s="709"/>
      <c r="DP178" s="709"/>
      <c r="DQ178" s="709"/>
      <c r="DR178" s="709"/>
      <c r="DS178" s="709"/>
      <c r="DT178" s="709"/>
      <c r="DU178" s="709"/>
      <c r="DV178" s="709"/>
      <c r="DW178" s="709"/>
      <c r="DX178" s="709"/>
      <c r="DY178" s="709"/>
      <c r="DZ178" s="709"/>
      <c r="EA178" s="709"/>
      <c r="EB178" s="709"/>
      <c r="EC178" s="709"/>
      <c r="ED178" s="709"/>
      <c r="EE178" s="709"/>
      <c r="EF178" s="709"/>
      <c r="EG178" s="709"/>
      <c r="EH178" s="709"/>
      <c r="EI178" s="709"/>
      <c r="EJ178" s="709"/>
      <c r="EK178" s="709"/>
      <c r="EL178" s="709"/>
      <c r="EM178" s="709"/>
      <c r="EN178" s="709"/>
      <c r="EO178" s="709"/>
      <c r="EP178" s="709"/>
      <c r="EQ178" s="709"/>
      <c r="ER178" s="709"/>
      <c r="ES178" s="709"/>
      <c r="ET178" s="709"/>
      <c r="EU178" s="709"/>
      <c r="EV178" s="709"/>
      <c r="EW178" s="709"/>
      <c r="EX178" s="709"/>
      <c r="EY178" s="709"/>
      <c r="EZ178" s="709"/>
      <c r="FA178" s="709"/>
      <c r="FB178" s="709"/>
      <c r="FC178" s="709"/>
      <c r="FD178" s="709"/>
      <c r="FE178" s="709"/>
      <c r="FF178" s="709"/>
      <c r="FG178" s="709"/>
      <c r="FH178" s="709"/>
      <c r="FI178" s="709"/>
      <c r="FJ178" s="709"/>
      <c r="FK178" s="709"/>
      <c r="FL178" s="709"/>
      <c r="FM178" s="709"/>
      <c r="FN178" s="709"/>
      <c r="FO178" s="709"/>
      <c r="FP178" s="709"/>
      <c r="FQ178" s="709"/>
      <c r="FR178" s="709"/>
      <c r="FS178" s="709"/>
      <c r="FT178" s="709"/>
      <c r="FU178" s="709"/>
      <c r="FV178" s="709"/>
      <c r="FW178" s="709"/>
      <c r="FX178" s="709"/>
      <c r="FY178" s="709"/>
      <c r="FZ178" s="709"/>
      <c r="GA178" s="709"/>
      <c r="GB178" s="709"/>
      <c r="GC178" s="709"/>
      <c r="GD178" s="709"/>
      <c r="GE178" s="709"/>
      <c r="GF178" s="709"/>
      <c r="GG178" s="709"/>
      <c r="GH178" s="709"/>
      <c r="GI178" s="709"/>
      <c r="GJ178" s="709"/>
      <c r="GK178" s="709"/>
      <c r="GL178" s="709"/>
      <c r="GM178" s="709"/>
      <c r="GN178" s="709"/>
      <c r="GO178" s="709"/>
      <c r="GP178" s="709"/>
      <c r="GQ178" s="709"/>
      <c r="GR178" s="709"/>
      <c r="GS178" s="709"/>
      <c r="GT178" s="709"/>
      <c r="GU178" s="709"/>
      <c r="GV178" s="709"/>
      <c r="GW178" s="709"/>
      <c r="GX178" s="709"/>
      <c r="GY178" s="709"/>
      <c r="GZ178" s="709"/>
      <c r="HA178" s="709"/>
      <c r="HB178" s="709"/>
      <c r="HC178" s="709"/>
      <c r="HD178" s="709"/>
      <c r="HE178" s="709"/>
      <c r="HF178" s="709"/>
      <c r="HG178" s="709"/>
      <c r="HH178" s="709"/>
      <c r="HI178" s="709"/>
      <c r="HJ178" s="709"/>
      <c r="HK178" s="709"/>
      <c r="HL178" s="709"/>
      <c r="HM178" s="709"/>
      <c r="HN178" s="709"/>
      <c r="HO178" s="709"/>
      <c r="HP178" s="709"/>
      <c r="HQ178" s="709"/>
      <c r="HR178" s="709"/>
      <c r="HS178" s="709"/>
      <c r="HT178" s="709"/>
      <c r="HU178" s="709"/>
      <c r="HV178" s="709"/>
      <c r="HW178" s="709"/>
      <c r="HX178" s="709"/>
      <c r="HY178" s="709"/>
      <c r="HZ178" s="709"/>
      <c r="IA178" s="709"/>
      <c r="IB178" s="709"/>
      <c r="IC178" s="709"/>
      <c r="ID178" s="709"/>
      <c r="IE178" s="709"/>
      <c r="IF178" s="709"/>
      <c r="IG178" s="709"/>
      <c r="IH178" s="709"/>
      <c r="II178" s="709"/>
      <c r="IJ178" s="709"/>
      <c r="IK178" s="709"/>
      <c r="IL178" s="709"/>
      <c r="IM178" s="709"/>
      <c r="IN178" s="709"/>
      <c r="IO178" s="709"/>
      <c r="IP178" s="709"/>
      <c r="IQ178" s="709"/>
      <c r="IR178" s="709"/>
      <c r="IS178" s="709"/>
      <c r="IT178" s="709"/>
      <c r="IU178" s="709"/>
      <c r="IV178" s="709"/>
    </row>
    <row r="179" spans="1:256" ht="12.75" customHeight="1">
      <c r="A179" s="706" t="s">
        <v>342</v>
      </c>
      <c r="B179" s="716">
        <v>207.1318005</v>
      </c>
      <c r="C179" s="716">
        <v>242.91885099999999</v>
      </c>
      <c r="D179" s="716">
        <v>0</v>
      </c>
      <c r="E179" s="716">
        <f t="shared" si="24"/>
        <v>-35.787050499999992</v>
      </c>
      <c r="F179" s="716">
        <v>35.787050499999999</v>
      </c>
      <c r="G179" s="716">
        <v>0</v>
      </c>
      <c r="H179" s="716">
        <f t="shared" si="25"/>
        <v>35.787050499999999</v>
      </c>
      <c r="I179" s="716">
        <f t="shared" si="26"/>
        <v>0</v>
      </c>
      <c r="J179" s="716">
        <v>0</v>
      </c>
      <c r="K179" s="716">
        <f t="shared" si="27"/>
        <v>35.787050499999999</v>
      </c>
      <c r="L179" s="691"/>
      <c r="M179" s="709"/>
      <c r="N179" s="709"/>
      <c r="O179" s="709"/>
      <c r="P179" s="709"/>
      <c r="Q179" s="709"/>
      <c r="R179" s="709"/>
      <c r="S179" s="709"/>
      <c r="T179" s="709"/>
      <c r="U179" s="709"/>
      <c r="V179" s="709"/>
      <c r="W179" s="709"/>
      <c r="X179" s="709"/>
      <c r="Y179" s="709"/>
      <c r="Z179" s="709"/>
      <c r="AA179" s="709"/>
      <c r="AB179" s="709"/>
      <c r="AC179" s="709"/>
      <c r="AD179" s="709"/>
      <c r="AE179" s="709"/>
      <c r="AF179" s="709"/>
      <c r="AG179" s="709"/>
      <c r="AH179" s="709"/>
      <c r="AI179" s="709"/>
      <c r="AJ179" s="709"/>
      <c r="AK179" s="709"/>
      <c r="AL179" s="709"/>
      <c r="AM179" s="709"/>
      <c r="AN179" s="709"/>
      <c r="AO179" s="709"/>
      <c r="AP179" s="709"/>
      <c r="AQ179" s="709"/>
      <c r="AR179" s="709"/>
      <c r="AS179" s="709"/>
      <c r="AT179" s="709"/>
      <c r="AU179" s="709"/>
      <c r="AV179" s="709"/>
      <c r="AW179" s="709"/>
      <c r="AX179" s="709"/>
      <c r="AY179" s="709"/>
      <c r="AZ179" s="709"/>
      <c r="BA179" s="709"/>
      <c r="BB179" s="709"/>
      <c r="BC179" s="709"/>
      <c r="BD179" s="709"/>
      <c r="BE179" s="709"/>
      <c r="BF179" s="709"/>
      <c r="BG179" s="709"/>
      <c r="BH179" s="709"/>
      <c r="BI179" s="709"/>
      <c r="BJ179" s="709"/>
      <c r="BK179" s="709"/>
      <c r="BL179" s="709"/>
      <c r="BM179" s="709"/>
      <c r="BN179" s="709"/>
      <c r="BO179" s="709"/>
      <c r="BP179" s="709"/>
      <c r="BQ179" s="709"/>
      <c r="BR179" s="709"/>
      <c r="BS179" s="709"/>
      <c r="BT179" s="709"/>
      <c r="BU179" s="709"/>
      <c r="BV179" s="709"/>
      <c r="BW179" s="709"/>
      <c r="BX179" s="709"/>
      <c r="BY179" s="709"/>
      <c r="BZ179" s="709"/>
      <c r="CA179" s="709"/>
      <c r="CB179" s="709"/>
      <c r="CC179" s="709"/>
      <c r="CD179" s="709"/>
      <c r="CE179" s="709"/>
      <c r="CF179" s="709"/>
      <c r="CG179" s="709"/>
      <c r="CH179" s="709"/>
      <c r="CI179" s="709"/>
      <c r="CJ179" s="709"/>
      <c r="CK179" s="709"/>
      <c r="CL179" s="709"/>
      <c r="CM179" s="709"/>
      <c r="CN179" s="709"/>
      <c r="CO179" s="709"/>
      <c r="CP179" s="709"/>
      <c r="CQ179" s="709"/>
      <c r="CR179" s="709"/>
      <c r="CS179" s="709"/>
      <c r="CT179" s="709"/>
      <c r="CU179" s="709"/>
      <c r="CV179" s="709"/>
      <c r="CW179" s="709"/>
      <c r="CX179" s="709"/>
      <c r="CY179" s="709"/>
      <c r="CZ179" s="709"/>
      <c r="DA179" s="709"/>
      <c r="DB179" s="709"/>
      <c r="DC179" s="709"/>
      <c r="DD179" s="709"/>
      <c r="DE179" s="709"/>
      <c r="DF179" s="709"/>
      <c r="DG179" s="709"/>
      <c r="DH179" s="709"/>
      <c r="DI179" s="709"/>
      <c r="DJ179" s="709"/>
      <c r="DK179" s="709"/>
      <c r="DL179" s="709"/>
      <c r="DM179" s="709"/>
      <c r="DN179" s="709"/>
      <c r="DO179" s="709"/>
      <c r="DP179" s="709"/>
      <c r="DQ179" s="709"/>
      <c r="DR179" s="709"/>
      <c r="DS179" s="709"/>
      <c r="DT179" s="709"/>
      <c r="DU179" s="709"/>
      <c r="DV179" s="709"/>
      <c r="DW179" s="709"/>
      <c r="DX179" s="709"/>
      <c r="DY179" s="709"/>
      <c r="DZ179" s="709"/>
      <c r="EA179" s="709"/>
      <c r="EB179" s="709"/>
      <c r="EC179" s="709"/>
      <c r="ED179" s="709"/>
      <c r="EE179" s="709"/>
      <c r="EF179" s="709"/>
      <c r="EG179" s="709"/>
      <c r="EH179" s="709"/>
      <c r="EI179" s="709"/>
      <c r="EJ179" s="709"/>
      <c r="EK179" s="709"/>
      <c r="EL179" s="709"/>
      <c r="EM179" s="709"/>
      <c r="EN179" s="709"/>
      <c r="EO179" s="709"/>
      <c r="EP179" s="709"/>
      <c r="EQ179" s="709"/>
      <c r="ER179" s="709"/>
      <c r="ES179" s="709"/>
      <c r="ET179" s="709"/>
      <c r="EU179" s="709"/>
      <c r="EV179" s="709"/>
      <c r="EW179" s="709"/>
      <c r="EX179" s="709"/>
      <c r="EY179" s="709"/>
      <c r="EZ179" s="709"/>
      <c r="FA179" s="709"/>
      <c r="FB179" s="709"/>
      <c r="FC179" s="709"/>
      <c r="FD179" s="709"/>
      <c r="FE179" s="709"/>
      <c r="FF179" s="709"/>
      <c r="FG179" s="709"/>
      <c r="FH179" s="709"/>
      <c r="FI179" s="709"/>
      <c r="FJ179" s="709"/>
      <c r="FK179" s="709"/>
      <c r="FL179" s="709"/>
      <c r="FM179" s="709"/>
      <c r="FN179" s="709"/>
      <c r="FO179" s="709"/>
      <c r="FP179" s="709"/>
      <c r="FQ179" s="709"/>
      <c r="FR179" s="709"/>
      <c r="FS179" s="709"/>
      <c r="FT179" s="709"/>
      <c r="FU179" s="709"/>
      <c r="FV179" s="709"/>
      <c r="FW179" s="709"/>
      <c r="FX179" s="709"/>
      <c r="FY179" s="709"/>
      <c r="FZ179" s="709"/>
      <c r="GA179" s="709"/>
      <c r="GB179" s="709"/>
      <c r="GC179" s="709"/>
      <c r="GD179" s="709"/>
      <c r="GE179" s="709"/>
      <c r="GF179" s="709"/>
      <c r="GG179" s="709"/>
      <c r="GH179" s="709"/>
      <c r="GI179" s="709"/>
      <c r="GJ179" s="709"/>
      <c r="GK179" s="709"/>
      <c r="GL179" s="709"/>
      <c r="GM179" s="709"/>
      <c r="GN179" s="709"/>
      <c r="GO179" s="709"/>
      <c r="GP179" s="709"/>
      <c r="GQ179" s="709"/>
      <c r="GR179" s="709"/>
      <c r="GS179" s="709"/>
      <c r="GT179" s="709"/>
      <c r="GU179" s="709"/>
      <c r="GV179" s="709"/>
      <c r="GW179" s="709"/>
      <c r="GX179" s="709"/>
      <c r="GY179" s="709"/>
      <c r="GZ179" s="709"/>
      <c r="HA179" s="709"/>
      <c r="HB179" s="709"/>
      <c r="HC179" s="709"/>
      <c r="HD179" s="709"/>
      <c r="HE179" s="709"/>
      <c r="HF179" s="709"/>
      <c r="HG179" s="709"/>
      <c r="HH179" s="709"/>
      <c r="HI179" s="709"/>
      <c r="HJ179" s="709"/>
      <c r="HK179" s="709"/>
      <c r="HL179" s="709"/>
      <c r="HM179" s="709"/>
      <c r="HN179" s="709"/>
      <c r="HO179" s="709"/>
      <c r="HP179" s="709"/>
      <c r="HQ179" s="709"/>
      <c r="HR179" s="709"/>
      <c r="HS179" s="709"/>
      <c r="HT179" s="709"/>
      <c r="HU179" s="709"/>
      <c r="HV179" s="709"/>
      <c r="HW179" s="709"/>
      <c r="HX179" s="709"/>
      <c r="HY179" s="709"/>
      <c r="HZ179" s="709"/>
      <c r="IA179" s="709"/>
      <c r="IB179" s="709"/>
      <c r="IC179" s="709"/>
      <c r="ID179" s="709"/>
      <c r="IE179" s="709"/>
      <c r="IF179" s="709"/>
      <c r="IG179" s="709"/>
      <c r="IH179" s="709"/>
      <c r="II179" s="709"/>
      <c r="IJ179" s="709"/>
      <c r="IK179" s="709"/>
      <c r="IL179" s="709"/>
      <c r="IM179" s="709"/>
      <c r="IN179" s="709"/>
      <c r="IO179" s="709"/>
      <c r="IP179" s="709"/>
      <c r="IQ179" s="709"/>
      <c r="IR179" s="709"/>
      <c r="IS179" s="709"/>
      <c r="IT179" s="709"/>
      <c r="IU179" s="709"/>
      <c r="IV179" s="709"/>
    </row>
    <row r="180" spans="1:256" ht="12.75" customHeight="1">
      <c r="A180" s="706" t="s">
        <v>343</v>
      </c>
      <c r="B180" s="716">
        <v>210.91</v>
      </c>
      <c r="C180" s="716">
        <v>242.256</v>
      </c>
      <c r="D180" s="716">
        <v>0</v>
      </c>
      <c r="E180" s="716">
        <f t="shared" si="24"/>
        <v>-31.346000000000004</v>
      </c>
      <c r="F180" s="716">
        <f>+E180*-1</f>
        <v>31.346000000000004</v>
      </c>
      <c r="G180" s="716">
        <v>0</v>
      </c>
      <c r="H180" s="716">
        <f t="shared" si="25"/>
        <v>31.346000000000004</v>
      </c>
      <c r="I180" s="716">
        <f t="shared" si="26"/>
        <v>0</v>
      </c>
      <c r="J180" s="716">
        <v>0</v>
      </c>
      <c r="K180" s="716">
        <f t="shared" si="27"/>
        <v>31.346000000000004</v>
      </c>
      <c r="L180" s="691"/>
      <c r="M180" s="709"/>
      <c r="N180" s="709"/>
      <c r="O180" s="709"/>
      <c r="P180" s="709"/>
      <c r="Q180" s="709"/>
      <c r="R180" s="709"/>
      <c r="S180" s="709"/>
      <c r="T180" s="709"/>
      <c r="U180" s="709"/>
      <c r="V180" s="709"/>
      <c r="W180" s="709"/>
      <c r="X180" s="709"/>
      <c r="Y180" s="709"/>
      <c r="Z180" s="709"/>
      <c r="AA180" s="709"/>
      <c r="AB180" s="709"/>
      <c r="AC180" s="709"/>
      <c r="AD180" s="709"/>
      <c r="AE180" s="709"/>
      <c r="AF180" s="709"/>
      <c r="AG180" s="709"/>
      <c r="AH180" s="709"/>
      <c r="AI180" s="709"/>
      <c r="AJ180" s="709"/>
      <c r="AK180" s="709"/>
      <c r="AL180" s="709"/>
      <c r="AM180" s="709"/>
      <c r="AN180" s="709"/>
      <c r="AO180" s="709"/>
      <c r="AP180" s="709"/>
      <c r="AQ180" s="709"/>
      <c r="AR180" s="709"/>
      <c r="AS180" s="709"/>
      <c r="AT180" s="709"/>
      <c r="AU180" s="709"/>
      <c r="AV180" s="709"/>
      <c r="AW180" s="709"/>
      <c r="AX180" s="709"/>
      <c r="AY180" s="709"/>
      <c r="AZ180" s="709"/>
      <c r="BA180" s="709"/>
      <c r="BB180" s="709"/>
      <c r="BC180" s="709"/>
      <c r="BD180" s="709"/>
      <c r="BE180" s="709"/>
      <c r="BF180" s="709"/>
      <c r="BG180" s="709"/>
      <c r="BH180" s="709"/>
      <c r="BI180" s="709"/>
      <c r="BJ180" s="709"/>
      <c r="BK180" s="709"/>
      <c r="BL180" s="709"/>
      <c r="BM180" s="709"/>
      <c r="BN180" s="709"/>
      <c r="BO180" s="709"/>
      <c r="BP180" s="709"/>
      <c r="BQ180" s="709"/>
      <c r="BR180" s="709"/>
      <c r="BS180" s="709"/>
      <c r="BT180" s="709"/>
      <c r="BU180" s="709"/>
      <c r="BV180" s="709"/>
      <c r="BW180" s="709"/>
      <c r="BX180" s="709"/>
      <c r="BY180" s="709"/>
      <c r="BZ180" s="709"/>
      <c r="CA180" s="709"/>
      <c r="CB180" s="709"/>
      <c r="CC180" s="709"/>
      <c r="CD180" s="709"/>
      <c r="CE180" s="709"/>
      <c r="CF180" s="709"/>
      <c r="CG180" s="709"/>
      <c r="CH180" s="709"/>
      <c r="CI180" s="709"/>
      <c r="CJ180" s="709"/>
      <c r="CK180" s="709"/>
      <c r="CL180" s="709"/>
      <c r="CM180" s="709"/>
      <c r="CN180" s="709"/>
      <c r="CO180" s="709"/>
      <c r="CP180" s="709"/>
      <c r="CQ180" s="709"/>
      <c r="CR180" s="709"/>
      <c r="CS180" s="709"/>
      <c r="CT180" s="709"/>
      <c r="CU180" s="709"/>
      <c r="CV180" s="709"/>
      <c r="CW180" s="709"/>
      <c r="CX180" s="709"/>
      <c r="CY180" s="709"/>
      <c r="CZ180" s="709"/>
      <c r="DA180" s="709"/>
      <c r="DB180" s="709"/>
      <c r="DC180" s="709"/>
      <c r="DD180" s="709"/>
      <c r="DE180" s="709"/>
      <c r="DF180" s="709"/>
      <c r="DG180" s="709"/>
      <c r="DH180" s="709"/>
      <c r="DI180" s="709"/>
      <c r="DJ180" s="709"/>
      <c r="DK180" s="709"/>
      <c r="DL180" s="709"/>
      <c r="DM180" s="709"/>
      <c r="DN180" s="709"/>
      <c r="DO180" s="709"/>
      <c r="DP180" s="709"/>
      <c r="DQ180" s="709"/>
      <c r="DR180" s="709"/>
      <c r="DS180" s="709"/>
      <c r="DT180" s="709"/>
      <c r="DU180" s="709"/>
      <c r="DV180" s="709"/>
      <c r="DW180" s="709"/>
      <c r="DX180" s="709"/>
      <c r="DY180" s="709"/>
      <c r="DZ180" s="709"/>
      <c r="EA180" s="709"/>
      <c r="EB180" s="709"/>
      <c r="EC180" s="709"/>
      <c r="ED180" s="709"/>
      <c r="EE180" s="709"/>
      <c r="EF180" s="709"/>
      <c r="EG180" s="709"/>
      <c r="EH180" s="709"/>
      <c r="EI180" s="709"/>
      <c r="EJ180" s="709"/>
      <c r="EK180" s="709"/>
      <c r="EL180" s="709"/>
      <c r="EM180" s="709"/>
      <c r="EN180" s="709"/>
      <c r="EO180" s="709"/>
      <c r="EP180" s="709"/>
      <c r="EQ180" s="709"/>
      <c r="ER180" s="709"/>
      <c r="ES180" s="709"/>
      <c r="ET180" s="709"/>
      <c r="EU180" s="709"/>
      <c r="EV180" s="709"/>
      <c r="EW180" s="709"/>
      <c r="EX180" s="709"/>
      <c r="EY180" s="709"/>
      <c r="EZ180" s="709"/>
      <c r="FA180" s="709"/>
      <c r="FB180" s="709"/>
      <c r="FC180" s="709"/>
      <c r="FD180" s="709"/>
      <c r="FE180" s="709"/>
      <c r="FF180" s="709"/>
      <c r="FG180" s="709"/>
      <c r="FH180" s="709"/>
      <c r="FI180" s="709"/>
      <c r="FJ180" s="709"/>
      <c r="FK180" s="709"/>
      <c r="FL180" s="709"/>
      <c r="FM180" s="709"/>
      <c r="FN180" s="709"/>
      <c r="FO180" s="709"/>
      <c r="FP180" s="709"/>
      <c r="FQ180" s="709"/>
      <c r="FR180" s="709"/>
      <c r="FS180" s="709"/>
      <c r="FT180" s="709"/>
      <c r="FU180" s="709"/>
      <c r="FV180" s="709"/>
      <c r="FW180" s="709"/>
      <c r="FX180" s="709"/>
      <c r="FY180" s="709"/>
      <c r="FZ180" s="709"/>
      <c r="GA180" s="709"/>
      <c r="GB180" s="709"/>
      <c r="GC180" s="709"/>
      <c r="GD180" s="709"/>
      <c r="GE180" s="709"/>
      <c r="GF180" s="709"/>
      <c r="GG180" s="709"/>
      <c r="GH180" s="709"/>
      <c r="GI180" s="709"/>
      <c r="GJ180" s="709"/>
      <c r="GK180" s="709"/>
      <c r="GL180" s="709"/>
      <c r="GM180" s="709"/>
      <c r="GN180" s="709"/>
      <c r="GO180" s="709"/>
      <c r="GP180" s="709"/>
      <c r="GQ180" s="709"/>
      <c r="GR180" s="709"/>
      <c r="GS180" s="709"/>
      <c r="GT180" s="709"/>
      <c r="GU180" s="709"/>
      <c r="GV180" s="709"/>
      <c r="GW180" s="709"/>
      <c r="GX180" s="709"/>
      <c r="GY180" s="709"/>
      <c r="GZ180" s="709"/>
      <c r="HA180" s="709"/>
      <c r="HB180" s="709"/>
      <c r="HC180" s="709"/>
      <c r="HD180" s="709"/>
      <c r="HE180" s="709"/>
      <c r="HF180" s="709"/>
      <c r="HG180" s="709"/>
      <c r="HH180" s="709"/>
      <c r="HI180" s="709"/>
      <c r="HJ180" s="709"/>
      <c r="HK180" s="709"/>
      <c r="HL180" s="709"/>
      <c r="HM180" s="709"/>
      <c r="HN180" s="709"/>
      <c r="HO180" s="709"/>
      <c r="HP180" s="709"/>
      <c r="HQ180" s="709"/>
      <c r="HR180" s="709"/>
      <c r="HS180" s="709"/>
      <c r="HT180" s="709"/>
      <c r="HU180" s="709"/>
      <c r="HV180" s="709"/>
      <c r="HW180" s="709"/>
      <c r="HX180" s="709"/>
      <c r="HY180" s="709"/>
      <c r="HZ180" s="709"/>
      <c r="IA180" s="709"/>
      <c r="IB180" s="709"/>
      <c r="IC180" s="709"/>
      <c r="ID180" s="709"/>
      <c r="IE180" s="709"/>
      <c r="IF180" s="709"/>
      <c r="IG180" s="709"/>
      <c r="IH180" s="709"/>
      <c r="II180" s="709"/>
      <c r="IJ180" s="709"/>
      <c r="IK180" s="709"/>
      <c r="IL180" s="709"/>
      <c r="IM180" s="709"/>
      <c r="IN180" s="709"/>
      <c r="IO180" s="709"/>
      <c r="IP180" s="709"/>
      <c r="IQ180" s="709"/>
      <c r="IR180" s="709"/>
      <c r="IS180" s="709"/>
      <c r="IT180" s="709"/>
      <c r="IU180" s="709"/>
      <c r="IV180" s="709"/>
    </row>
    <row r="181" spans="1:256" ht="12.75" customHeight="1">
      <c r="A181" s="706" t="s">
        <v>344</v>
      </c>
      <c r="B181" s="716">
        <v>334.661</v>
      </c>
      <c r="C181" s="716">
        <v>464.56200000000001</v>
      </c>
      <c r="D181" s="716">
        <v>0</v>
      </c>
      <c r="E181" s="716">
        <f t="shared" si="24"/>
        <v>-129.90100000000001</v>
      </c>
      <c r="F181" s="716">
        <f>+E181*-1</f>
        <v>129.90100000000001</v>
      </c>
      <c r="G181" s="716">
        <v>0</v>
      </c>
      <c r="H181" s="716">
        <f t="shared" si="25"/>
        <v>129.90100000000001</v>
      </c>
      <c r="I181" s="716">
        <f t="shared" si="26"/>
        <v>0</v>
      </c>
      <c r="J181" s="716">
        <v>0</v>
      </c>
      <c r="K181" s="716">
        <f t="shared" si="27"/>
        <v>129.90100000000001</v>
      </c>
      <c r="L181" s="691"/>
      <c r="M181" s="709"/>
      <c r="N181" s="709"/>
      <c r="O181" s="709"/>
      <c r="P181" s="709"/>
      <c r="Q181" s="709"/>
      <c r="R181" s="709"/>
      <c r="S181" s="709"/>
      <c r="T181" s="709"/>
      <c r="U181" s="709"/>
      <c r="V181" s="709"/>
      <c r="W181" s="709"/>
      <c r="X181" s="709"/>
      <c r="Y181" s="709"/>
      <c r="Z181" s="709"/>
      <c r="AA181" s="709"/>
      <c r="AB181" s="709"/>
      <c r="AC181" s="709"/>
      <c r="AD181" s="709"/>
      <c r="AE181" s="709"/>
      <c r="AF181" s="709"/>
      <c r="AG181" s="709"/>
      <c r="AH181" s="709"/>
      <c r="AI181" s="709"/>
      <c r="AJ181" s="709"/>
      <c r="AK181" s="709"/>
      <c r="AL181" s="709"/>
      <c r="AM181" s="709"/>
      <c r="AN181" s="709"/>
      <c r="AO181" s="709"/>
      <c r="AP181" s="709"/>
      <c r="AQ181" s="709"/>
      <c r="AR181" s="709"/>
      <c r="AS181" s="709"/>
      <c r="AT181" s="709"/>
      <c r="AU181" s="709"/>
      <c r="AV181" s="709"/>
      <c r="AW181" s="709"/>
      <c r="AX181" s="709"/>
      <c r="AY181" s="709"/>
      <c r="AZ181" s="709"/>
      <c r="BA181" s="709"/>
      <c r="BB181" s="709"/>
      <c r="BC181" s="709"/>
      <c r="BD181" s="709"/>
      <c r="BE181" s="709"/>
      <c r="BF181" s="709"/>
      <c r="BG181" s="709"/>
      <c r="BH181" s="709"/>
      <c r="BI181" s="709"/>
      <c r="BJ181" s="709"/>
      <c r="BK181" s="709"/>
      <c r="BL181" s="709"/>
      <c r="BM181" s="709"/>
      <c r="BN181" s="709"/>
      <c r="BO181" s="709"/>
      <c r="BP181" s="709"/>
      <c r="BQ181" s="709"/>
      <c r="BR181" s="709"/>
      <c r="BS181" s="709"/>
      <c r="BT181" s="709"/>
      <c r="BU181" s="709"/>
      <c r="BV181" s="709"/>
      <c r="BW181" s="709"/>
      <c r="BX181" s="709"/>
      <c r="BY181" s="709"/>
      <c r="BZ181" s="709"/>
      <c r="CA181" s="709"/>
      <c r="CB181" s="709"/>
      <c r="CC181" s="709"/>
      <c r="CD181" s="709"/>
      <c r="CE181" s="709"/>
      <c r="CF181" s="709"/>
      <c r="CG181" s="709"/>
      <c r="CH181" s="709"/>
      <c r="CI181" s="709"/>
      <c r="CJ181" s="709"/>
      <c r="CK181" s="709"/>
      <c r="CL181" s="709"/>
      <c r="CM181" s="709"/>
      <c r="CN181" s="709"/>
      <c r="CO181" s="709"/>
      <c r="CP181" s="709"/>
      <c r="CQ181" s="709"/>
      <c r="CR181" s="709"/>
      <c r="CS181" s="709"/>
      <c r="CT181" s="709"/>
      <c r="CU181" s="709"/>
      <c r="CV181" s="709"/>
      <c r="CW181" s="709"/>
      <c r="CX181" s="709"/>
      <c r="CY181" s="709"/>
      <c r="CZ181" s="709"/>
      <c r="DA181" s="709"/>
      <c r="DB181" s="709"/>
      <c r="DC181" s="709"/>
      <c r="DD181" s="709"/>
      <c r="DE181" s="709"/>
      <c r="DF181" s="709"/>
      <c r="DG181" s="709"/>
      <c r="DH181" s="709"/>
      <c r="DI181" s="709"/>
      <c r="DJ181" s="709"/>
      <c r="DK181" s="709"/>
      <c r="DL181" s="709"/>
      <c r="DM181" s="709"/>
      <c r="DN181" s="709"/>
      <c r="DO181" s="709"/>
      <c r="DP181" s="709"/>
      <c r="DQ181" s="709"/>
      <c r="DR181" s="709"/>
      <c r="DS181" s="709"/>
      <c r="DT181" s="709"/>
      <c r="DU181" s="709"/>
      <c r="DV181" s="709"/>
      <c r="DW181" s="709"/>
      <c r="DX181" s="709"/>
      <c r="DY181" s="709"/>
      <c r="DZ181" s="709"/>
      <c r="EA181" s="709"/>
      <c r="EB181" s="709"/>
      <c r="EC181" s="709"/>
      <c r="ED181" s="709"/>
      <c r="EE181" s="709"/>
      <c r="EF181" s="709"/>
      <c r="EG181" s="709"/>
      <c r="EH181" s="709"/>
      <c r="EI181" s="709"/>
      <c r="EJ181" s="709"/>
      <c r="EK181" s="709"/>
      <c r="EL181" s="709"/>
      <c r="EM181" s="709"/>
      <c r="EN181" s="709"/>
      <c r="EO181" s="709"/>
      <c r="EP181" s="709"/>
      <c r="EQ181" s="709"/>
      <c r="ER181" s="709"/>
      <c r="ES181" s="709"/>
      <c r="ET181" s="709"/>
      <c r="EU181" s="709"/>
      <c r="EV181" s="709"/>
      <c r="EW181" s="709"/>
      <c r="EX181" s="709"/>
      <c r="EY181" s="709"/>
      <c r="EZ181" s="709"/>
      <c r="FA181" s="709"/>
      <c r="FB181" s="709"/>
      <c r="FC181" s="709"/>
      <c r="FD181" s="709"/>
      <c r="FE181" s="709"/>
      <c r="FF181" s="709"/>
      <c r="FG181" s="709"/>
      <c r="FH181" s="709"/>
      <c r="FI181" s="709"/>
      <c r="FJ181" s="709"/>
      <c r="FK181" s="709"/>
      <c r="FL181" s="709"/>
      <c r="FM181" s="709"/>
      <c r="FN181" s="709"/>
      <c r="FO181" s="709"/>
      <c r="FP181" s="709"/>
      <c r="FQ181" s="709"/>
      <c r="FR181" s="709"/>
      <c r="FS181" s="709"/>
      <c r="FT181" s="709"/>
      <c r="FU181" s="709"/>
      <c r="FV181" s="709"/>
      <c r="FW181" s="709"/>
      <c r="FX181" s="709"/>
      <c r="FY181" s="709"/>
      <c r="FZ181" s="709"/>
      <c r="GA181" s="709"/>
      <c r="GB181" s="709"/>
      <c r="GC181" s="709"/>
      <c r="GD181" s="709"/>
      <c r="GE181" s="709"/>
      <c r="GF181" s="709"/>
      <c r="GG181" s="709"/>
      <c r="GH181" s="709"/>
      <c r="GI181" s="709"/>
      <c r="GJ181" s="709"/>
      <c r="GK181" s="709"/>
      <c r="GL181" s="709"/>
      <c r="GM181" s="709"/>
      <c r="GN181" s="709"/>
      <c r="GO181" s="709"/>
      <c r="GP181" s="709"/>
      <c r="GQ181" s="709"/>
      <c r="GR181" s="709"/>
      <c r="GS181" s="709"/>
      <c r="GT181" s="709"/>
      <c r="GU181" s="709"/>
      <c r="GV181" s="709"/>
      <c r="GW181" s="709"/>
      <c r="GX181" s="709"/>
      <c r="GY181" s="709"/>
      <c r="GZ181" s="709"/>
      <c r="HA181" s="709"/>
      <c r="HB181" s="709"/>
      <c r="HC181" s="709"/>
      <c r="HD181" s="709"/>
      <c r="HE181" s="709"/>
      <c r="HF181" s="709"/>
      <c r="HG181" s="709"/>
      <c r="HH181" s="709"/>
      <c r="HI181" s="709"/>
      <c r="HJ181" s="709"/>
      <c r="HK181" s="709"/>
      <c r="HL181" s="709"/>
      <c r="HM181" s="709"/>
      <c r="HN181" s="709"/>
      <c r="HO181" s="709"/>
      <c r="HP181" s="709"/>
      <c r="HQ181" s="709"/>
      <c r="HR181" s="709"/>
      <c r="HS181" s="709"/>
      <c r="HT181" s="709"/>
      <c r="HU181" s="709"/>
      <c r="HV181" s="709"/>
      <c r="HW181" s="709"/>
      <c r="HX181" s="709"/>
      <c r="HY181" s="709"/>
      <c r="HZ181" s="709"/>
      <c r="IA181" s="709"/>
      <c r="IB181" s="709"/>
      <c r="IC181" s="709"/>
      <c r="ID181" s="709"/>
      <c r="IE181" s="709"/>
      <c r="IF181" s="709"/>
      <c r="IG181" s="709"/>
      <c r="IH181" s="709"/>
      <c r="II181" s="709"/>
      <c r="IJ181" s="709"/>
      <c r="IK181" s="709"/>
      <c r="IL181" s="709"/>
      <c r="IM181" s="709"/>
      <c r="IN181" s="709"/>
      <c r="IO181" s="709"/>
      <c r="IP181" s="709"/>
      <c r="IQ181" s="709"/>
      <c r="IR181" s="709"/>
      <c r="IS181" s="709"/>
      <c r="IT181" s="709"/>
      <c r="IU181" s="709"/>
      <c r="IV181" s="709"/>
    </row>
    <row r="182" spans="1:256" ht="12.75" customHeight="1">
      <c r="A182" s="706"/>
      <c r="B182" s="716"/>
      <c r="C182" s="716"/>
      <c r="D182" s="689"/>
      <c r="E182" s="716"/>
      <c r="F182" s="716"/>
      <c r="G182" s="716"/>
      <c r="H182" s="716"/>
      <c r="I182" s="693"/>
      <c r="J182" s="716"/>
      <c r="K182" s="716"/>
      <c r="L182" s="691"/>
      <c r="M182" s="709"/>
      <c r="N182" s="709"/>
      <c r="O182" s="709"/>
      <c r="P182" s="709"/>
      <c r="Q182" s="709"/>
      <c r="R182" s="709"/>
      <c r="S182" s="709"/>
      <c r="T182" s="709"/>
      <c r="U182" s="709"/>
      <c r="V182" s="709"/>
      <c r="W182" s="709"/>
      <c r="X182" s="709"/>
      <c r="Y182" s="709"/>
      <c r="Z182" s="709"/>
      <c r="AA182" s="709"/>
      <c r="AB182" s="709"/>
      <c r="AC182" s="709"/>
      <c r="AD182" s="709"/>
      <c r="AE182" s="709"/>
      <c r="AF182" s="709"/>
      <c r="AG182" s="709"/>
      <c r="AH182" s="709"/>
      <c r="AI182" s="709"/>
      <c r="AJ182" s="709"/>
      <c r="AK182" s="709"/>
      <c r="AL182" s="709"/>
      <c r="AM182" s="709"/>
      <c r="AN182" s="709"/>
      <c r="AO182" s="709"/>
      <c r="AP182" s="709"/>
      <c r="AQ182" s="709"/>
      <c r="AR182" s="709"/>
      <c r="AS182" s="709"/>
      <c r="AT182" s="709"/>
      <c r="AU182" s="709"/>
      <c r="AV182" s="709"/>
      <c r="AW182" s="709"/>
      <c r="AX182" s="709"/>
      <c r="AY182" s="709"/>
      <c r="AZ182" s="709"/>
      <c r="BA182" s="709"/>
      <c r="BB182" s="709"/>
      <c r="BC182" s="709"/>
      <c r="BD182" s="709"/>
      <c r="BE182" s="709"/>
      <c r="BF182" s="709"/>
      <c r="BG182" s="709"/>
      <c r="BH182" s="709"/>
      <c r="BI182" s="709"/>
      <c r="BJ182" s="709"/>
      <c r="BK182" s="709"/>
      <c r="BL182" s="709"/>
      <c r="BM182" s="709"/>
      <c r="BN182" s="709"/>
      <c r="BO182" s="709"/>
      <c r="BP182" s="709"/>
      <c r="BQ182" s="709"/>
      <c r="BR182" s="709"/>
      <c r="BS182" s="709"/>
      <c r="BT182" s="709"/>
      <c r="BU182" s="709"/>
      <c r="BV182" s="709"/>
      <c r="BW182" s="709"/>
      <c r="BX182" s="709"/>
      <c r="BY182" s="709"/>
      <c r="BZ182" s="709"/>
      <c r="CA182" s="709"/>
      <c r="CB182" s="709"/>
      <c r="CC182" s="709"/>
      <c r="CD182" s="709"/>
      <c r="CE182" s="709"/>
      <c r="CF182" s="709"/>
      <c r="CG182" s="709"/>
      <c r="CH182" s="709"/>
      <c r="CI182" s="709"/>
      <c r="CJ182" s="709"/>
      <c r="CK182" s="709"/>
      <c r="CL182" s="709"/>
      <c r="CM182" s="709"/>
      <c r="CN182" s="709"/>
      <c r="CO182" s="709"/>
      <c r="CP182" s="709"/>
      <c r="CQ182" s="709"/>
      <c r="CR182" s="709"/>
      <c r="CS182" s="709"/>
      <c r="CT182" s="709"/>
      <c r="CU182" s="709"/>
      <c r="CV182" s="709"/>
      <c r="CW182" s="709"/>
      <c r="CX182" s="709"/>
      <c r="CY182" s="709"/>
      <c r="CZ182" s="709"/>
      <c r="DA182" s="709"/>
      <c r="DB182" s="709"/>
      <c r="DC182" s="709"/>
      <c r="DD182" s="709"/>
      <c r="DE182" s="709"/>
      <c r="DF182" s="709"/>
      <c r="DG182" s="709"/>
      <c r="DH182" s="709"/>
      <c r="DI182" s="709"/>
      <c r="DJ182" s="709"/>
      <c r="DK182" s="709"/>
      <c r="DL182" s="709"/>
      <c r="DM182" s="709"/>
      <c r="DN182" s="709"/>
      <c r="DO182" s="709"/>
      <c r="DP182" s="709"/>
      <c r="DQ182" s="709"/>
      <c r="DR182" s="709"/>
      <c r="DS182" s="709"/>
      <c r="DT182" s="709"/>
      <c r="DU182" s="709"/>
      <c r="DV182" s="709"/>
      <c r="DW182" s="709"/>
      <c r="DX182" s="709"/>
      <c r="DY182" s="709"/>
      <c r="DZ182" s="709"/>
      <c r="EA182" s="709"/>
      <c r="EB182" s="709"/>
      <c r="EC182" s="709"/>
      <c r="ED182" s="709"/>
      <c r="EE182" s="709"/>
      <c r="EF182" s="709"/>
      <c r="EG182" s="709"/>
      <c r="EH182" s="709"/>
      <c r="EI182" s="709"/>
      <c r="EJ182" s="709"/>
      <c r="EK182" s="709"/>
      <c r="EL182" s="709"/>
      <c r="EM182" s="709"/>
      <c r="EN182" s="709"/>
      <c r="EO182" s="709"/>
      <c r="EP182" s="709"/>
      <c r="EQ182" s="709"/>
      <c r="ER182" s="709"/>
      <c r="ES182" s="709"/>
      <c r="ET182" s="709"/>
      <c r="EU182" s="709"/>
      <c r="EV182" s="709"/>
      <c r="EW182" s="709"/>
      <c r="EX182" s="709"/>
      <c r="EY182" s="709"/>
      <c r="EZ182" s="709"/>
      <c r="FA182" s="709"/>
      <c r="FB182" s="709"/>
      <c r="FC182" s="709"/>
      <c r="FD182" s="709"/>
      <c r="FE182" s="709"/>
      <c r="FF182" s="709"/>
      <c r="FG182" s="709"/>
      <c r="FH182" s="709"/>
      <c r="FI182" s="709"/>
      <c r="FJ182" s="709"/>
      <c r="FK182" s="709"/>
      <c r="FL182" s="709"/>
      <c r="FM182" s="709"/>
      <c r="FN182" s="709"/>
      <c r="FO182" s="709"/>
      <c r="FP182" s="709"/>
      <c r="FQ182" s="709"/>
      <c r="FR182" s="709"/>
      <c r="FS182" s="709"/>
      <c r="FT182" s="709"/>
      <c r="FU182" s="709"/>
      <c r="FV182" s="709"/>
      <c r="FW182" s="709"/>
      <c r="FX182" s="709"/>
      <c r="FY182" s="709"/>
      <c r="FZ182" s="709"/>
      <c r="GA182" s="709"/>
      <c r="GB182" s="709"/>
      <c r="GC182" s="709"/>
      <c r="GD182" s="709"/>
      <c r="GE182" s="709"/>
      <c r="GF182" s="709"/>
      <c r="GG182" s="709"/>
      <c r="GH182" s="709"/>
      <c r="GI182" s="709"/>
      <c r="GJ182" s="709"/>
      <c r="GK182" s="709"/>
      <c r="GL182" s="709"/>
      <c r="GM182" s="709"/>
      <c r="GN182" s="709"/>
      <c r="GO182" s="709"/>
      <c r="GP182" s="709"/>
      <c r="GQ182" s="709"/>
      <c r="GR182" s="709"/>
      <c r="GS182" s="709"/>
      <c r="GT182" s="709"/>
      <c r="GU182" s="709"/>
      <c r="GV182" s="709"/>
      <c r="GW182" s="709"/>
      <c r="GX182" s="709"/>
      <c r="GY182" s="709"/>
      <c r="GZ182" s="709"/>
      <c r="HA182" s="709"/>
      <c r="HB182" s="709"/>
      <c r="HC182" s="709"/>
      <c r="HD182" s="709"/>
      <c r="HE182" s="709"/>
      <c r="HF182" s="709"/>
      <c r="HG182" s="709"/>
      <c r="HH182" s="709"/>
      <c r="HI182" s="709"/>
      <c r="HJ182" s="709"/>
      <c r="HK182" s="709"/>
      <c r="HL182" s="709"/>
      <c r="HM182" s="709"/>
      <c r="HN182" s="709"/>
      <c r="HO182" s="709"/>
      <c r="HP182" s="709"/>
      <c r="HQ182" s="709"/>
      <c r="HR182" s="709"/>
      <c r="HS182" s="709"/>
      <c r="HT182" s="709"/>
      <c r="HU182" s="709"/>
      <c r="HV182" s="709"/>
      <c r="HW182" s="709"/>
      <c r="HX182" s="709"/>
      <c r="HY182" s="709"/>
      <c r="HZ182" s="709"/>
      <c r="IA182" s="709"/>
      <c r="IB182" s="709"/>
      <c r="IC182" s="709"/>
      <c r="ID182" s="709"/>
      <c r="IE182" s="709"/>
      <c r="IF182" s="709"/>
      <c r="IG182" s="709"/>
      <c r="IH182" s="709"/>
      <c r="II182" s="709"/>
      <c r="IJ182" s="709"/>
      <c r="IK182" s="709"/>
      <c r="IL182" s="709"/>
      <c r="IM182" s="709"/>
      <c r="IN182" s="709"/>
      <c r="IO182" s="709"/>
      <c r="IP182" s="709"/>
      <c r="IQ182" s="709"/>
      <c r="IR182" s="709"/>
      <c r="IS182" s="709"/>
      <c r="IT182" s="709"/>
      <c r="IU182" s="709"/>
      <c r="IV182" s="709"/>
    </row>
    <row r="183" spans="1:256" ht="12.75" customHeight="1">
      <c r="A183" s="710">
        <v>2011</v>
      </c>
      <c r="B183" s="716"/>
      <c r="C183" s="716"/>
      <c r="D183" s="689"/>
      <c r="E183" s="716"/>
      <c r="F183" s="716"/>
      <c r="G183" s="716"/>
      <c r="H183" s="716"/>
      <c r="I183" s="693"/>
      <c r="J183" s="716"/>
      <c r="K183" s="716"/>
      <c r="L183" s="691"/>
      <c r="M183" s="709"/>
      <c r="N183" s="709"/>
      <c r="O183" s="709"/>
      <c r="P183" s="709"/>
      <c r="Q183" s="709"/>
      <c r="R183" s="709"/>
      <c r="S183" s="709"/>
      <c r="T183" s="709"/>
      <c r="U183" s="709"/>
      <c r="V183" s="709"/>
      <c r="W183" s="709"/>
      <c r="X183" s="709"/>
      <c r="Y183" s="709"/>
      <c r="Z183" s="709"/>
      <c r="AA183" s="709"/>
      <c r="AB183" s="709"/>
      <c r="AC183" s="709"/>
      <c r="AD183" s="709"/>
      <c r="AE183" s="709"/>
      <c r="AF183" s="709"/>
      <c r="AG183" s="709"/>
      <c r="AH183" s="709"/>
      <c r="AI183" s="709"/>
      <c r="AJ183" s="709"/>
      <c r="AK183" s="709"/>
      <c r="AL183" s="709"/>
      <c r="AM183" s="709"/>
      <c r="AN183" s="709"/>
      <c r="AO183" s="709"/>
      <c r="AP183" s="709"/>
      <c r="AQ183" s="709"/>
      <c r="AR183" s="709"/>
      <c r="AS183" s="709"/>
      <c r="AT183" s="709"/>
      <c r="AU183" s="709"/>
      <c r="AV183" s="709"/>
      <c r="AW183" s="709"/>
      <c r="AX183" s="709"/>
      <c r="AY183" s="709"/>
      <c r="AZ183" s="709"/>
      <c r="BA183" s="709"/>
      <c r="BB183" s="709"/>
      <c r="BC183" s="709"/>
      <c r="BD183" s="709"/>
      <c r="BE183" s="709"/>
      <c r="BF183" s="709"/>
      <c r="BG183" s="709"/>
      <c r="BH183" s="709"/>
      <c r="BI183" s="709"/>
      <c r="BJ183" s="709"/>
      <c r="BK183" s="709"/>
      <c r="BL183" s="709"/>
      <c r="BM183" s="709"/>
      <c r="BN183" s="709"/>
      <c r="BO183" s="709"/>
      <c r="BP183" s="709"/>
      <c r="BQ183" s="709"/>
      <c r="BR183" s="709"/>
      <c r="BS183" s="709"/>
      <c r="BT183" s="709"/>
      <c r="BU183" s="709"/>
      <c r="BV183" s="709"/>
      <c r="BW183" s="709"/>
      <c r="BX183" s="709"/>
      <c r="BY183" s="709"/>
      <c r="BZ183" s="709"/>
      <c r="CA183" s="709"/>
      <c r="CB183" s="709"/>
      <c r="CC183" s="709"/>
      <c r="CD183" s="709"/>
      <c r="CE183" s="709"/>
      <c r="CF183" s="709"/>
      <c r="CG183" s="709"/>
      <c r="CH183" s="709"/>
      <c r="CI183" s="709"/>
      <c r="CJ183" s="709"/>
      <c r="CK183" s="709"/>
      <c r="CL183" s="709"/>
      <c r="CM183" s="709"/>
      <c r="CN183" s="709"/>
      <c r="CO183" s="709"/>
      <c r="CP183" s="709"/>
      <c r="CQ183" s="709"/>
      <c r="CR183" s="709"/>
      <c r="CS183" s="709"/>
      <c r="CT183" s="709"/>
      <c r="CU183" s="709"/>
      <c r="CV183" s="709"/>
      <c r="CW183" s="709"/>
      <c r="CX183" s="709"/>
      <c r="CY183" s="709"/>
      <c r="CZ183" s="709"/>
      <c r="DA183" s="709"/>
      <c r="DB183" s="709"/>
      <c r="DC183" s="709"/>
      <c r="DD183" s="709"/>
      <c r="DE183" s="709"/>
      <c r="DF183" s="709"/>
      <c r="DG183" s="709"/>
      <c r="DH183" s="709"/>
      <c r="DI183" s="709"/>
      <c r="DJ183" s="709"/>
      <c r="DK183" s="709"/>
      <c r="DL183" s="709"/>
      <c r="DM183" s="709"/>
      <c r="DN183" s="709"/>
      <c r="DO183" s="709"/>
      <c r="DP183" s="709"/>
      <c r="DQ183" s="709"/>
      <c r="DR183" s="709"/>
      <c r="DS183" s="709"/>
      <c r="DT183" s="709"/>
      <c r="DU183" s="709"/>
      <c r="DV183" s="709"/>
      <c r="DW183" s="709"/>
      <c r="DX183" s="709"/>
      <c r="DY183" s="709"/>
      <c r="DZ183" s="709"/>
      <c r="EA183" s="709"/>
      <c r="EB183" s="709"/>
      <c r="EC183" s="709"/>
      <c r="ED183" s="709"/>
      <c r="EE183" s="709"/>
      <c r="EF183" s="709"/>
      <c r="EG183" s="709"/>
      <c r="EH183" s="709"/>
      <c r="EI183" s="709"/>
      <c r="EJ183" s="709"/>
      <c r="EK183" s="709"/>
      <c r="EL183" s="709"/>
      <c r="EM183" s="709"/>
      <c r="EN183" s="709"/>
      <c r="EO183" s="709"/>
      <c r="EP183" s="709"/>
      <c r="EQ183" s="709"/>
      <c r="ER183" s="709"/>
      <c r="ES183" s="709"/>
      <c r="ET183" s="709"/>
      <c r="EU183" s="709"/>
      <c r="EV183" s="709"/>
      <c r="EW183" s="709"/>
      <c r="EX183" s="709"/>
      <c r="EY183" s="709"/>
      <c r="EZ183" s="709"/>
      <c r="FA183" s="709"/>
      <c r="FB183" s="709"/>
      <c r="FC183" s="709"/>
      <c r="FD183" s="709"/>
      <c r="FE183" s="709"/>
      <c r="FF183" s="709"/>
      <c r="FG183" s="709"/>
      <c r="FH183" s="709"/>
      <c r="FI183" s="709"/>
      <c r="FJ183" s="709"/>
      <c r="FK183" s="709"/>
      <c r="FL183" s="709"/>
      <c r="FM183" s="709"/>
      <c r="FN183" s="709"/>
      <c r="FO183" s="709"/>
      <c r="FP183" s="709"/>
      <c r="FQ183" s="709"/>
      <c r="FR183" s="709"/>
      <c r="FS183" s="709"/>
      <c r="FT183" s="709"/>
      <c r="FU183" s="709"/>
      <c r="FV183" s="709"/>
      <c r="FW183" s="709"/>
      <c r="FX183" s="709"/>
      <c r="FY183" s="709"/>
      <c r="FZ183" s="709"/>
      <c r="GA183" s="709"/>
      <c r="GB183" s="709"/>
      <c r="GC183" s="709"/>
      <c r="GD183" s="709"/>
      <c r="GE183" s="709"/>
      <c r="GF183" s="709"/>
      <c r="GG183" s="709"/>
      <c r="GH183" s="709"/>
      <c r="GI183" s="709"/>
      <c r="GJ183" s="709"/>
      <c r="GK183" s="709"/>
      <c r="GL183" s="709"/>
      <c r="GM183" s="709"/>
      <c r="GN183" s="709"/>
      <c r="GO183" s="709"/>
      <c r="GP183" s="709"/>
      <c r="GQ183" s="709"/>
      <c r="GR183" s="709"/>
      <c r="GS183" s="709"/>
      <c r="GT183" s="709"/>
      <c r="GU183" s="709"/>
      <c r="GV183" s="709"/>
      <c r="GW183" s="709"/>
      <c r="GX183" s="709"/>
      <c r="GY183" s="709"/>
      <c r="GZ183" s="709"/>
      <c r="HA183" s="709"/>
      <c r="HB183" s="709"/>
      <c r="HC183" s="709"/>
      <c r="HD183" s="709"/>
      <c r="HE183" s="709"/>
      <c r="HF183" s="709"/>
      <c r="HG183" s="709"/>
      <c r="HH183" s="709"/>
      <c r="HI183" s="709"/>
      <c r="HJ183" s="709"/>
      <c r="HK183" s="709"/>
      <c r="HL183" s="709"/>
      <c r="HM183" s="709"/>
      <c r="HN183" s="709"/>
      <c r="HO183" s="709"/>
      <c r="HP183" s="709"/>
      <c r="HQ183" s="709"/>
      <c r="HR183" s="709"/>
      <c r="HS183" s="709"/>
      <c r="HT183" s="709"/>
      <c r="HU183" s="709"/>
      <c r="HV183" s="709"/>
      <c r="HW183" s="709"/>
      <c r="HX183" s="709"/>
      <c r="HY183" s="709"/>
      <c r="HZ183" s="709"/>
      <c r="IA183" s="709"/>
      <c r="IB183" s="709"/>
      <c r="IC183" s="709"/>
      <c r="ID183" s="709"/>
      <c r="IE183" s="709"/>
      <c r="IF183" s="709"/>
      <c r="IG183" s="709"/>
      <c r="IH183" s="709"/>
      <c r="II183" s="709"/>
      <c r="IJ183" s="709"/>
      <c r="IK183" s="709"/>
      <c r="IL183" s="709"/>
      <c r="IM183" s="709"/>
      <c r="IN183" s="709"/>
      <c r="IO183" s="709"/>
      <c r="IP183" s="709"/>
      <c r="IQ183" s="709"/>
      <c r="IR183" s="709"/>
      <c r="IS183" s="709"/>
      <c r="IT183" s="709"/>
      <c r="IU183" s="709"/>
      <c r="IV183" s="709"/>
    </row>
    <row r="184" spans="1:256" ht="12.75" customHeight="1">
      <c r="A184" s="710"/>
      <c r="B184" s="716"/>
      <c r="C184" s="716"/>
      <c r="D184" s="689"/>
      <c r="E184" s="716"/>
      <c r="F184" s="716"/>
      <c r="G184" s="716"/>
      <c r="H184" s="716"/>
      <c r="I184" s="693"/>
      <c r="J184" s="716"/>
      <c r="K184" s="716"/>
      <c r="L184" s="691"/>
      <c r="M184" s="709"/>
      <c r="N184" s="709"/>
      <c r="O184" s="709"/>
      <c r="P184" s="709"/>
      <c r="Q184" s="709"/>
      <c r="R184" s="709"/>
      <c r="S184" s="709"/>
      <c r="T184" s="709"/>
      <c r="U184" s="709"/>
      <c r="V184" s="709"/>
      <c r="W184" s="709"/>
      <c r="X184" s="709"/>
      <c r="Y184" s="709"/>
      <c r="Z184" s="709"/>
      <c r="AA184" s="709"/>
      <c r="AB184" s="709"/>
      <c r="AC184" s="709"/>
      <c r="AD184" s="709"/>
      <c r="AE184" s="709"/>
      <c r="AF184" s="709"/>
      <c r="AG184" s="709"/>
      <c r="AH184" s="709"/>
      <c r="AI184" s="709"/>
      <c r="AJ184" s="709"/>
      <c r="AK184" s="709"/>
      <c r="AL184" s="709"/>
      <c r="AM184" s="709"/>
      <c r="AN184" s="709"/>
      <c r="AO184" s="709"/>
      <c r="AP184" s="709"/>
      <c r="AQ184" s="709"/>
      <c r="AR184" s="709"/>
      <c r="AS184" s="709"/>
      <c r="AT184" s="709"/>
      <c r="AU184" s="709"/>
      <c r="AV184" s="709"/>
      <c r="AW184" s="709"/>
      <c r="AX184" s="709"/>
      <c r="AY184" s="709"/>
      <c r="AZ184" s="709"/>
      <c r="BA184" s="709"/>
      <c r="BB184" s="709"/>
      <c r="BC184" s="709"/>
      <c r="BD184" s="709"/>
      <c r="BE184" s="709"/>
      <c r="BF184" s="709"/>
      <c r="BG184" s="709"/>
      <c r="BH184" s="709"/>
      <c r="BI184" s="709"/>
      <c r="BJ184" s="709"/>
      <c r="BK184" s="709"/>
      <c r="BL184" s="709"/>
      <c r="BM184" s="709"/>
      <c r="BN184" s="709"/>
      <c r="BO184" s="709"/>
      <c r="BP184" s="709"/>
      <c r="BQ184" s="709"/>
      <c r="BR184" s="709"/>
      <c r="BS184" s="709"/>
      <c r="BT184" s="709"/>
      <c r="BU184" s="709"/>
      <c r="BV184" s="709"/>
      <c r="BW184" s="709"/>
      <c r="BX184" s="709"/>
      <c r="BY184" s="709"/>
      <c r="BZ184" s="709"/>
      <c r="CA184" s="709"/>
      <c r="CB184" s="709"/>
      <c r="CC184" s="709"/>
      <c r="CD184" s="709"/>
      <c r="CE184" s="709"/>
      <c r="CF184" s="709"/>
      <c r="CG184" s="709"/>
      <c r="CH184" s="709"/>
      <c r="CI184" s="709"/>
      <c r="CJ184" s="709"/>
      <c r="CK184" s="709"/>
      <c r="CL184" s="709"/>
      <c r="CM184" s="709"/>
      <c r="CN184" s="709"/>
      <c r="CO184" s="709"/>
      <c r="CP184" s="709"/>
      <c r="CQ184" s="709"/>
      <c r="CR184" s="709"/>
      <c r="CS184" s="709"/>
      <c r="CT184" s="709"/>
      <c r="CU184" s="709"/>
      <c r="CV184" s="709"/>
      <c r="CW184" s="709"/>
      <c r="CX184" s="709"/>
      <c r="CY184" s="709"/>
      <c r="CZ184" s="709"/>
      <c r="DA184" s="709"/>
      <c r="DB184" s="709"/>
      <c r="DC184" s="709"/>
      <c r="DD184" s="709"/>
      <c r="DE184" s="709"/>
      <c r="DF184" s="709"/>
      <c r="DG184" s="709"/>
      <c r="DH184" s="709"/>
      <c r="DI184" s="709"/>
      <c r="DJ184" s="709"/>
      <c r="DK184" s="709"/>
      <c r="DL184" s="709"/>
      <c r="DM184" s="709"/>
      <c r="DN184" s="709"/>
      <c r="DO184" s="709"/>
      <c r="DP184" s="709"/>
      <c r="DQ184" s="709"/>
      <c r="DR184" s="709"/>
      <c r="DS184" s="709"/>
      <c r="DT184" s="709"/>
      <c r="DU184" s="709"/>
      <c r="DV184" s="709"/>
      <c r="DW184" s="709"/>
      <c r="DX184" s="709"/>
      <c r="DY184" s="709"/>
      <c r="DZ184" s="709"/>
      <c r="EA184" s="709"/>
      <c r="EB184" s="709"/>
      <c r="EC184" s="709"/>
      <c r="ED184" s="709"/>
      <c r="EE184" s="709"/>
      <c r="EF184" s="709"/>
      <c r="EG184" s="709"/>
      <c r="EH184" s="709"/>
      <c r="EI184" s="709"/>
      <c r="EJ184" s="709"/>
      <c r="EK184" s="709"/>
      <c r="EL184" s="709"/>
      <c r="EM184" s="709"/>
      <c r="EN184" s="709"/>
      <c r="EO184" s="709"/>
      <c r="EP184" s="709"/>
      <c r="EQ184" s="709"/>
      <c r="ER184" s="709"/>
      <c r="ES184" s="709"/>
      <c r="ET184" s="709"/>
      <c r="EU184" s="709"/>
      <c r="EV184" s="709"/>
      <c r="EW184" s="709"/>
      <c r="EX184" s="709"/>
      <c r="EY184" s="709"/>
      <c r="EZ184" s="709"/>
      <c r="FA184" s="709"/>
      <c r="FB184" s="709"/>
      <c r="FC184" s="709"/>
      <c r="FD184" s="709"/>
      <c r="FE184" s="709"/>
      <c r="FF184" s="709"/>
      <c r="FG184" s="709"/>
      <c r="FH184" s="709"/>
      <c r="FI184" s="709"/>
      <c r="FJ184" s="709"/>
      <c r="FK184" s="709"/>
      <c r="FL184" s="709"/>
      <c r="FM184" s="709"/>
      <c r="FN184" s="709"/>
      <c r="FO184" s="709"/>
      <c r="FP184" s="709"/>
      <c r="FQ184" s="709"/>
      <c r="FR184" s="709"/>
      <c r="FS184" s="709"/>
      <c r="FT184" s="709"/>
      <c r="FU184" s="709"/>
      <c r="FV184" s="709"/>
      <c r="FW184" s="709"/>
      <c r="FX184" s="709"/>
      <c r="FY184" s="709"/>
      <c r="FZ184" s="709"/>
      <c r="GA184" s="709"/>
      <c r="GB184" s="709"/>
      <c r="GC184" s="709"/>
      <c r="GD184" s="709"/>
      <c r="GE184" s="709"/>
      <c r="GF184" s="709"/>
      <c r="GG184" s="709"/>
      <c r="GH184" s="709"/>
      <c r="GI184" s="709"/>
      <c r="GJ184" s="709"/>
      <c r="GK184" s="709"/>
      <c r="GL184" s="709"/>
      <c r="GM184" s="709"/>
      <c r="GN184" s="709"/>
      <c r="GO184" s="709"/>
      <c r="GP184" s="709"/>
      <c r="GQ184" s="709"/>
      <c r="GR184" s="709"/>
      <c r="GS184" s="709"/>
      <c r="GT184" s="709"/>
      <c r="GU184" s="709"/>
      <c r="GV184" s="709"/>
      <c r="GW184" s="709"/>
      <c r="GX184" s="709"/>
      <c r="GY184" s="709"/>
      <c r="GZ184" s="709"/>
      <c r="HA184" s="709"/>
      <c r="HB184" s="709"/>
      <c r="HC184" s="709"/>
      <c r="HD184" s="709"/>
      <c r="HE184" s="709"/>
      <c r="HF184" s="709"/>
      <c r="HG184" s="709"/>
      <c r="HH184" s="709"/>
      <c r="HI184" s="709"/>
      <c r="HJ184" s="709"/>
      <c r="HK184" s="709"/>
      <c r="HL184" s="709"/>
      <c r="HM184" s="709"/>
      <c r="HN184" s="709"/>
      <c r="HO184" s="709"/>
      <c r="HP184" s="709"/>
      <c r="HQ184" s="709"/>
      <c r="HR184" s="709"/>
      <c r="HS184" s="709"/>
      <c r="HT184" s="709"/>
      <c r="HU184" s="709"/>
      <c r="HV184" s="709"/>
      <c r="HW184" s="709"/>
      <c r="HX184" s="709"/>
      <c r="HY184" s="709"/>
      <c r="HZ184" s="709"/>
      <c r="IA184" s="709"/>
      <c r="IB184" s="709"/>
      <c r="IC184" s="709"/>
      <c r="ID184" s="709"/>
      <c r="IE184" s="709"/>
      <c r="IF184" s="709"/>
      <c r="IG184" s="709"/>
      <c r="IH184" s="709"/>
      <c r="II184" s="709"/>
      <c r="IJ184" s="709"/>
      <c r="IK184" s="709"/>
      <c r="IL184" s="709"/>
      <c r="IM184" s="709"/>
      <c r="IN184" s="709"/>
      <c r="IO184" s="709"/>
      <c r="IP184" s="709"/>
      <c r="IQ184" s="709"/>
      <c r="IR184" s="709"/>
      <c r="IS184" s="709"/>
      <c r="IT184" s="709"/>
      <c r="IU184" s="709"/>
      <c r="IV184" s="709"/>
    </row>
    <row r="185" spans="1:256" ht="12.75" customHeight="1">
      <c r="A185" s="706" t="s">
        <v>345</v>
      </c>
      <c r="B185" s="716">
        <v>192.99799999999999</v>
      </c>
      <c r="C185" s="716">
        <v>152.38345860000001</v>
      </c>
      <c r="D185" s="689"/>
      <c r="E185" s="716">
        <f>B185-C185</f>
        <v>40.614541399999979</v>
      </c>
      <c r="F185" s="716">
        <v>-40.6</v>
      </c>
      <c r="G185" s="716">
        <v>0</v>
      </c>
      <c r="H185" s="716">
        <f>F185+G185</f>
        <v>-40.6</v>
      </c>
      <c r="I185" s="716">
        <f>+D185</f>
        <v>0</v>
      </c>
      <c r="J185" s="716">
        <v>0</v>
      </c>
      <c r="K185" s="716">
        <f>+I185+H185+J185</f>
        <v>-40.6</v>
      </c>
      <c r="L185" s="691"/>
      <c r="M185" s="709"/>
      <c r="N185" s="709"/>
      <c r="O185" s="709"/>
      <c r="P185" s="709"/>
      <c r="Q185" s="709"/>
      <c r="R185" s="709"/>
      <c r="S185" s="709"/>
      <c r="T185" s="709"/>
      <c r="U185" s="709"/>
      <c r="V185" s="709"/>
      <c r="W185" s="709"/>
      <c r="X185" s="709"/>
      <c r="Y185" s="709"/>
      <c r="Z185" s="709"/>
      <c r="AA185" s="709"/>
      <c r="AB185" s="709"/>
      <c r="AC185" s="709"/>
      <c r="AD185" s="709"/>
      <c r="AE185" s="709"/>
      <c r="AF185" s="709"/>
      <c r="AG185" s="709"/>
      <c r="AH185" s="709"/>
      <c r="AI185" s="709"/>
      <c r="AJ185" s="709"/>
      <c r="AK185" s="709"/>
      <c r="AL185" s="709"/>
      <c r="AM185" s="709"/>
      <c r="AN185" s="709"/>
      <c r="AO185" s="709"/>
      <c r="AP185" s="709"/>
      <c r="AQ185" s="709"/>
      <c r="AR185" s="709"/>
      <c r="AS185" s="709"/>
      <c r="AT185" s="709"/>
      <c r="AU185" s="709"/>
      <c r="AV185" s="709"/>
      <c r="AW185" s="709"/>
      <c r="AX185" s="709"/>
      <c r="AY185" s="709"/>
      <c r="AZ185" s="709"/>
      <c r="BA185" s="709"/>
      <c r="BB185" s="709"/>
      <c r="BC185" s="709"/>
      <c r="BD185" s="709"/>
      <c r="BE185" s="709"/>
      <c r="BF185" s="709"/>
      <c r="BG185" s="709"/>
      <c r="BH185" s="709"/>
      <c r="BI185" s="709"/>
      <c r="BJ185" s="709"/>
      <c r="BK185" s="709"/>
      <c r="BL185" s="709"/>
      <c r="BM185" s="709"/>
      <c r="BN185" s="709"/>
      <c r="BO185" s="709"/>
      <c r="BP185" s="709"/>
      <c r="BQ185" s="709"/>
      <c r="BR185" s="709"/>
      <c r="BS185" s="709"/>
      <c r="BT185" s="709"/>
      <c r="BU185" s="709"/>
      <c r="BV185" s="709"/>
      <c r="BW185" s="709"/>
      <c r="BX185" s="709"/>
      <c r="BY185" s="709"/>
      <c r="BZ185" s="709"/>
      <c r="CA185" s="709"/>
      <c r="CB185" s="709"/>
      <c r="CC185" s="709"/>
      <c r="CD185" s="709"/>
      <c r="CE185" s="709"/>
      <c r="CF185" s="709"/>
      <c r="CG185" s="709"/>
      <c r="CH185" s="709"/>
      <c r="CI185" s="709"/>
      <c r="CJ185" s="709"/>
      <c r="CK185" s="709"/>
      <c r="CL185" s="709"/>
      <c r="CM185" s="709"/>
      <c r="CN185" s="709"/>
      <c r="CO185" s="709"/>
      <c r="CP185" s="709"/>
      <c r="CQ185" s="709"/>
      <c r="CR185" s="709"/>
      <c r="CS185" s="709"/>
      <c r="CT185" s="709"/>
      <c r="CU185" s="709"/>
      <c r="CV185" s="709"/>
      <c r="CW185" s="709"/>
      <c r="CX185" s="709"/>
      <c r="CY185" s="709"/>
      <c r="CZ185" s="709"/>
      <c r="DA185" s="709"/>
      <c r="DB185" s="709"/>
      <c r="DC185" s="709"/>
      <c r="DD185" s="709"/>
      <c r="DE185" s="709"/>
      <c r="DF185" s="709"/>
      <c r="DG185" s="709"/>
      <c r="DH185" s="709"/>
      <c r="DI185" s="709"/>
      <c r="DJ185" s="709"/>
      <c r="DK185" s="709"/>
      <c r="DL185" s="709"/>
      <c r="DM185" s="709"/>
      <c r="DN185" s="709"/>
      <c r="DO185" s="709"/>
      <c r="DP185" s="709"/>
      <c r="DQ185" s="709"/>
      <c r="DR185" s="709"/>
      <c r="DS185" s="709"/>
      <c r="DT185" s="709"/>
      <c r="DU185" s="709"/>
      <c r="DV185" s="709"/>
      <c r="DW185" s="709"/>
      <c r="DX185" s="709"/>
      <c r="DY185" s="709"/>
      <c r="DZ185" s="709"/>
      <c r="EA185" s="709"/>
      <c r="EB185" s="709"/>
      <c r="EC185" s="709"/>
      <c r="ED185" s="709"/>
      <c r="EE185" s="709"/>
      <c r="EF185" s="709"/>
      <c r="EG185" s="709"/>
      <c r="EH185" s="709"/>
      <c r="EI185" s="709"/>
      <c r="EJ185" s="709"/>
      <c r="EK185" s="709"/>
      <c r="EL185" s="709"/>
      <c r="EM185" s="709"/>
      <c r="EN185" s="709"/>
      <c r="EO185" s="709"/>
      <c r="EP185" s="709"/>
      <c r="EQ185" s="709"/>
      <c r="ER185" s="709"/>
      <c r="ES185" s="709"/>
      <c r="ET185" s="709"/>
      <c r="EU185" s="709"/>
      <c r="EV185" s="709"/>
      <c r="EW185" s="709"/>
      <c r="EX185" s="709"/>
      <c r="EY185" s="709"/>
      <c r="EZ185" s="709"/>
      <c r="FA185" s="709"/>
      <c r="FB185" s="709"/>
      <c r="FC185" s="709"/>
      <c r="FD185" s="709"/>
      <c r="FE185" s="709"/>
      <c r="FF185" s="709"/>
      <c r="FG185" s="709"/>
      <c r="FH185" s="709"/>
      <c r="FI185" s="709"/>
      <c r="FJ185" s="709"/>
      <c r="FK185" s="709"/>
      <c r="FL185" s="709"/>
      <c r="FM185" s="709"/>
      <c r="FN185" s="709"/>
      <c r="FO185" s="709"/>
      <c r="FP185" s="709"/>
      <c r="FQ185" s="709"/>
      <c r="FR185" s="709"/>
      <c r="FS185" s="709"/>
      <c r="FT185" s="709"/>
      <c r="FU185" s="709"/>
      <c r="FV185" s="709"/>
      <c r="FW185" s="709"/>
      <c r="FX185" s="709"/>
      <c r="FY185" s="709"/>
      <c r="FZ185" s="709"/>
      <c r="GA185" s="709"/>
      <c r="GB185" s="709"/>
      <c r="GC185" s="709"/>
      <c r="GD185" s="709"/>
      <c r="GE185" s="709"/>
      <c r="GF185" s="709"/>
      <c r="GG185" s="709"/>
      <c r="GH185" s="709"/>
      <c r="GI185" s="709"/>
      <c r="GJ185" s="709"/>
      <c r="GK185" s="709"/>
      <c r="GL185" s="709"/>
      <c r="GM185" s="709"/>
      <c r="GN185" s="709"/>
      <c r="GO185" s="709"/>
      <c r="GP185" s="709"/>
      <c r="GQ185" s="709"/>
      <c r="GR185" s="709"/>
      <c r="GS185" s="709"/>
      <c r="GT185" s="709"/>
      <c r="GU185" s="709"/>
      <c r="GV185" s="709"/>
      <c r="GW185" s="709"/>
      <c r="GX185" s="709"/>
      <c r="GY185" s="709"/>
      <c r="GZ185" s="709"/>
      <c r="HA185" s="709"/>
      <c r="HB185" s="709"/>
      <c r="HC185" s="709"/>
      <c r="HD185" s="709"/>
      <c r="HE185" s="709"/>
      <c r="HF185" s="709"/>
      <c r="HG185" s="709"/>
      <c r="HH185" s="709"/>
      <c r="HI185" s="709"/>
      <c r="HJ185" s="709"/>
      <c r="HK185" s="709"/>
      <c r="HL185" s="709"/>
      <c r="HM185" s="709"/>
      <c r="HN185" s="709"/>
      <c r="HO185" s="709"/>
      <c r="HP185" s="709"/>
      <c r="HQ185" s="709"/>
      <c r="HR185" s="709"/>
      <c r="HS185" s="709"/>
      <c r="HT185" s="709"/>
      <c r="HU185" s="709"/>
      <c r="HV185" s="709"/>
      <c r="HW185" s="709"/>
      <c r="HX185" s="709"/>
      <c r="HY185" s="709"/>
      <c r="HZ185" s="709"/>
      <c r="IA185" s="709"/>
      <c r="IB185" s="709"/>
      <c r="IC185" s="709"/>
      <c r="ID185" s="709"/>
      <c r="IE185" s="709"/>
      <c r="IF185" s="709"/>
      <c r="IG185" s="709"/>
      <c r="IH185" s="709"/>
      <c r="II185" s="709"/>
      <c r="IJ185" s="709"/>
      <c r="IK185" s="709"/>
      <c r="IL185" s="709"/>
      <c r="IM185" s="709"/>
      <c r="IN185" s="709"/>
      <c r="IO185" s="709"/>
      <c r="IP185" s="709"/>
      <c r="IQ185" s="709"/>
      <c r="IR185" s="709"/>
      <c r="IS185" s="709"/>
      <c r="IT185" s="709"/>
      <c r="IU185" s="709"/>
      <c r="IV185" s="709"/>
    </row>
    <row r="186" spans="1:256" ht="12.75" customHeight="1">
      <c r="A186" s="706" t="s">
        <v>334</v>
      </c>
      <c r="B186" s="716">
        <v>233.507476</v>
      </c>
      <c r="C186" s="716">
        <v>183.10317900000001</v>
      </c>
      <c r="D186" s="689"/>
      <c r="E186" s="716">
        <f>B186-C186</f>
        <v>50.404296999999985</v>
      </c>
      <c r="F186" s="716">
        <v>-50.4</v>
      </c>
      <c r="G186" s="716">
        <v>0</v>
      </c>
      <c r="H186" s="716">
        <f>F186+G186</f>
        <v>-50.4</v>
      </c>
      <c r="I186" s="716">
        <f>+D186</f>
        <v>0</v>
      </c>
      <c r="J186" s="716">
        <v>0</v>
      </c>
      <c r="K186" s="716">
        <f>+I186+H186+J186</f>
        <v>-50.4</v>
      </c>
      <c r="L186" s="691"/>
      <c r="M186" s="709"/>
      <c r="N186" s="709"/>
      <c r="O186" s="709"/>
      <c r="P186" s="709"/>
      <c r="Q186" s="709"/>
      <c r="R186" s="709"/>
      <c r="S186" s="709"/>
      <c r="T186" s="709"/>
      <c r="U186" s="709"/>
      <c r="V186" s="709"/>
      <c r="W186" s="709"/>
      <c r="X186" s="709"/>
      <c r="Y186" s="709"/>
      <c r="Z186" s="709"/>
      <c r="AA186" s="709"/>
      <c r="AB186" s="709"/>
      <c r="AC186" s="709"/>
      <c r="AD186" s="709"/>
      <c r="AE186" s="709"/>
      <c r="AF186" s="709"/>
      <c r="AG186" s="709"/>
      <c r="AH186" s="709"/>
      <c r="AI186" s="709"/>
      <c r="AJ186" s="709"/>
      <c r="AK186" s="709"/>
      <c r="AL186" s="709"/>
      <c r="AM186" s="709"/>
      <c r="AN186" s="709"/>
      <c r="AO186" s="709"/>
      <c r="AP186" s="709"/>
      <c r="AQ186" s="709"/>
      <c r="AR186" s="709"/>
      <c r="AS186" s="709"/>
      <c r="AT186" s="709"/>
      <c r="AU186" s="709"/>
      <c r="AV186" s="709"/>
      <c r="AW186" s="709"/>
      <c r="AX186" s="709"/>
      <c r="AY186" s="709"/>
      <c r="AZ186" s="709"/>
      <c r="BA186" s="709"/>
      <c r="BB186" s="709"/>
      <c r="BC186" s="709"/>
      <c r="BD186" s="709"/>
      <c r="BE186" s="709"/>
      <c r="BF186" s="709"/>
      <c r="BG186" s="709"/>
      <c r="BH186" s="709"/>
      <c r="BI186" s="709"/>
      <c r="BJ186" s="709"/>
      <c r="BK186" s="709"/>
      <c r="BL186" s="709"/>
      <c r="BM186" s="709"/>
      <c r="BN186" s="709"/>
      <c r="BO186" s="709"/>
      <c r="BP186" s="709"/>
      <c r="BQ186" s="709"/>
      <c r="BR186" s="709"/>
      <c r="BS186" s="709"/>
      <c r="BT186" s="709"/>
      <c r="BU186" s="709"/>
      <c r="BV186" s="709"/>
      <c r="BW186" s="709"/>
      <c r="BX186" s="709"/>
      <c r="BY186" s="709"/>
      <c r="BZ186" s="709"/>
      <c r="CA186" s="709"/>
      <c r="CB186" s="709"/>
      <c r="CC186" s="709"/>
      <c r="CD186" s="709"/>
      <c r="CE186" s="709"/>
      <c r="CF186" s="709"/>
      <c r="CG186" s="709"/>
      <c r="CH186" s="709"/>
      <c r="CI186" s="709"/>
      <c r="CJ186" s="709"/>
      <c r="CK186" s="709"/>
      <c r="CL186" s="709"/>
      <c r="CM186" s="709"/>
      <c r="CN186" s="709"/>
      <c r="CO186" s="709"/>
      <c r="CP186" s="709"/>
      <c r="CQ186" s="709"/>
      <c r="CR186" s="709"/>
      <c r="CS186" s="709"/>
      <c r="CT186" s="709"/>
      <c r="CU186" s="709"/>
      <c r="CV186" s="709"/>
      <c r="CW186" s="709"/>
      <c r="CX186" s="709"/>
      <c r="CY186" s="709"/>
      <c r="CZ186" s="709"/>
      <c r="DA186" s="709"/>
      <c r="DB186" s="709"/>
      <c r="DC186" s="709"/>
      <c r="DD186" s="709"/>
      <c r="DE186" s="709"/>
      <c r="DF186" s="709"/>
      <c r="DG186" s="709"/>
      <c r="DH186" s="709"/>
      <c r="DI186" s="709"/>
      <c r="DJ186" s="709"/>
      <c r="DK186" s="709"/>
      <c r="DL186" s="709"/>
      <c r="DM186" s="709"/>
      <c r="DN186" s="709"/>
      <c r="DO186" s="709"/>
      <c r="DP186" s="709"/>
      <c r="DQ186" s="709"/>
      <c r="DR186" s="709"/>
      <c r="DS186" s="709"/>
      <c r="DT186" s="709"/>
      <c r="DU186" s="709"/>
      <c r="DV186" s="709"/>
      <c r="DW186" s="709"/>
      <c r="DX186" s="709"/>
      <c r="DY186" s="709"/>
      <c r="DZ186" s="709"/>
      <c r="EA186" s="709"/>
      <c r="EB186" s="709"/>
      <c r="EC186" s="709"/>
      <c r="ED186" s="709"/>
      <c r="EE186" s="709"/>
      <c r="EF186" s="709"/>
      <c r="EG186" s="709"/>
      <c r="EH186" s="709"/>
      <c r="EI186" s="709"/>
      <c r="EJ186" s="709"/>
      <c r="EK186" s="709"/>
      <c r="EL186" s="709"/>
      <c r="EM186" s="709"/>
      <c r="EN186" s="709"/>
      <c r="EO186" s="709"/>
      <c r="EP186" s="709"/>
      <c r="EQ186" s="709"/>
      <c r="ER186" s="709"/>
      <c r="ES186" s="709"/>
      <c r="ET186" s="709"/>
      <c r="EU186" s="709"/>
      <c r="EV186" s="709"/>
      <c r="EW186" s="709"/>
      <c r="EX186" s="709"/>
      <c r="EY186" s="709"/>
      <c r="EZ186" s="709"/>
      <c r="FA186" s="709"/>
      <c r="FB186" s="709"/>
      <c r="FC186" s="709"/>
      <c r="FD186" s="709"/>
      <c r="FE186" s="709"/>
      <c r="FF186" s="709"/>
      <c r="FG186" s="709"/>
      <c r="FH186" s="709"/>
      <c r="FI186" s="709"/>
      <c r="FJ186" s="709"/>
      <c r="FK186" s="709"/>
      <c r="FL186" s="709"/>
      <c r="FM186" s="709"/>
      <c r="FN186" s="709"/>
      <c r="FO186" s="709"/>
      <c r="FP186" s="709"/>
      <c r="FQ186" s="709"/>
      <c r="FR186" s="709"/>
      <c r="FS186" s="709"/>
      <c r="FT186" s="709"/>
      <c r="FU186" s="709"/>
      <c r="FV186" s="709"/>
      <c r="FW186" s="709"/>
      <c r="FX186" s="709"/>
      <c r="FY186" s="709"/>
      <c r="FZ186" s="709"/>
      <c r="GA186" s="709"/>
      <c r="GB186" s="709"/>
      <c r="GC186" s="709"/>
      <c r="GD186" s="709"/>
      <c r="GE186" s="709"/>
      <c r="GF186" s="709"/>
      <c r="GG186" s="709"/>
      <c r="GH186" s="709"/>
      <c r="GI186" s="709"/>
      <c r="GJ186" s="709"/>
      <c r="GK186" s="709"/>
      <c r="GL186" s="709"/>
      <c r="GM186" s="709"/>
      <c r="GN186" s="709"/>
      <c r="GO186" s="709"/>
      <c r="GP186" s="709"/>
      <c r="GQ186" s="709"/>
      <c r="GR186" s="709"/>
      <c r="GS186" s="709"/>
      <c r="GT186" s="709"/>
      <c r="GU186" s="709"/>
      <c r="GV186" s="709"/>
      <c r="GW186" s="709"/>
      <c r="GX186" s="709"/>
      <c r="GY186" s="709"/>
      <c r="GZ186" s="709"/>
      <c r="HA186" s="709"/>
      <c r="HB186" s="709"/>
      <c r="HC186" s="709"/>
      <c r="HD186" s="709"/>
      <c r="HE186" s="709"/>
      <c r="HF186" s="709"/>
      <c r="HG186" s="709"/>
      <c r="HH186" s="709"/>
      <c r="HI186" s="709"/>
      <c r="HJ186" s="709"/>
      <c r="HK186" s="709"/>
      <c r="HL186" s="709"/>
      <c r="HM186" s="709"/>
      <c r="HN186" s="709"/>
      <c r="HO186" s="709"/>
      <c r="HP186" s="709"/>
      <c r="HQ186" s="709"/>
      <c r="HR186" s="709"/>
      <c r="HS186" s="709"/>
      <c r="HT186" s="709"/>
      <c r="HU186" s="709"/>
      <c r="HV186" s="709"/>
      <c r="HW186" s="709"/>
      <c r="HX186" s="709"/>
      <c r="HY186" s="709"/>
      <c r="HZ186" s="709"/>
      <c r="IA186" s="709"/>
      <c r="IB186" s="709"/>
      <c r="IC186" s="709"/>
      <c r="ID186" s="709"/>
      <c r="IE186" s="709"/>
      <c r="IF186" s="709"/>
      <c r="IG186" s="709"/>
      <c r="IH186" s="709"/>
      <c r="II186" s="709"/>
      <c r="IJ186" s="709"/>
      <c r="IK186" s="709"/>
      <c r="IL186" s="709"/>
      <c r="IM186" s="709"/>
      <c r="IN186" s="709"/>
      <c r="IO186" s="709"/>
      <c r="IP186" s="709"/>
      <c r="IQ186" s="709"/>
      <c r="IR186" s="709"/>
      <c r="IS186" s="709"/>
      <c r="IT186" s="709"/>
      <c r="IU186" s="709"/>
      <c r="IV186" s="709"/>
    </row>
    <row r="187" spans="1:256" ht="12.75" customHeight="1">
      <c r="A187" s="706" t="s">
        <v>335</v>
      </c>
      <c r="B187" s="716"/>
      <c r="C187" s="716"/>
      <c r="D187" s="689"/>
      <c r="E187" s="716"/>
      <c r="F187" s="716"/>
      <c r="G187" s="716"/>
      <c r="H187" s="716"/>
      <c r="I187" s="717"/>
      <c r="J187" s="716"/>
      <c r="K187" s="716"/>
      <c r="L187" s="691"/>
      <c r="M187" s="709"/>
      <c r="N187" s="709"/>
      <c r="O187" s="709"/>
      <c r="P187" s="709"/>
      <c r="Q187" s="709"/>
      <c r="R187" s="709"/>
      <c r="S187" s="709"/>
      <c r="T187" s="709"/>
      <c r="U187" s="709"/>
      <c r="V187" s="709"/>
      <c r="W187" s="709"/>
      <c r="X187" s="709"/>
      <c r="Y187" s="709"/>
      <c r="Z187" s="709"/>
      <c r="AA187" s="709"/>
      <c r="AB187" s="709"/>
      <c r="AC187" s="709"/>
      <c r="AD187" s="709"/>
      <c r="AE187" s="709"/>
      <c r="AF187" s="709"/>
      <c r="AG187" s="709"/>
      <c r="AH187" s="709"/>
      <c r="AI187" s="709"/>
      <c r="AJ187" s="709"/>
      <c r="AK187" s="709"/>
      <c r="AL187" s="709"/>
      <c r="AM187" s="709"/>
      <c r="AN187" s="709"/>
      <c r="AO187" s="709"/>
      <c r="AP187" s="709"/>
      <c r="AQ187" s="709"/>
      <c r="AR187" s="709"/>
      <c r="AS187" s="709"/>
      <c r="AT187" s="709"/>
      <c r="AU187" s="709"/>
      <c r="AV187" s="709"/>
      <c r="AW187" s="709"/>
      <c r="AX187" s="709"/>
      <c r="AY187" s="709"/>
      <c r="AZ187" s="709"/>
      <c r="BA187" s="709"/>
      <c r="BB187" s="709"/>
      <c r="BC187" s="709"/>
      <c r="BD187" s="709"/>
      <c r="BE187" s="709"/>
      <c r="BF187" s="709"/>
      <c r="BG187" s="709"/>
      <c r="BH187" s="709"/>
      <c r="BI187" s="709"/>
      <c r="BJ187" s="709"/>
      <c r="BK187" s="709"/>
      <c r="BL187" s="709"/>
      <c r="BM187" s="709"/>
      <c r="BN187" s="709"/>
      <c r="BO187" s="709"/>
      <c r="BP187" s="709"/>
      <c r="BQ187" s="709"/>
      <c r="BR187" s="709"/>
      <c r="BS187" s="709"/>
      <c r="BT187" s="709"/>
      <c r="BU187" s="709"/>
      <c r="BV187" s="709"/>
      <c r="BW187" s="709"/>
      <c r="BX187" s="709"/>
      <c r="BY187" s="709"/>
      <c r="BZ187" s="709"/>
      <c r="CA187" s="709"/>
      <c r="CB187" s="709"/>
      <c r="CC187" s="709"/>
      <c r="CD187" s="709"/>
      <c r="CE187" s="709"/>
      <c r="CF187" s="709"/>
      <c r="CG187" s="709"/>
      <c r="CH187" s="709"/>
      <c r="CI187" s="709"/>
      <c r="CJ187" s="709"/>
      <c r="CK187" s="709"/>
      <c r="CL187" s="709"/>
      <c r="CM187" s="709"/>
      <c r="CN187" s="709"/>
      <c r="CO187" s="709"/>
      <c r="CP187" s="709"/>
      <c r="CQ187" s="709"/>
      <c r="CR187" s="709"/>
      <c r="CS187" s="709"/>
      <c r="CT187" s="709"/>
      <c r="CU187" s="709"/>
      <c r="CV187" s="709"/>
      <c r="CW187" s="709"/>
      <c r="CX187" s="709"/>
      <c r="CY187" s="709"/>
      <c r="CZ187" s="709"/>
      <c r="DA187" s="709"/>
      <c r="DB187" s="709"/>
      <c r="DC187" s="709"/>
      <c r="DD187" s="709"/>
      <c r="DE187" s="709"/>
      <c r="DF187" s="709"/>
      <c r="DG187" s="709"/>
      <c r="DH187" s="709"/>
      <c r="DI187" s="709"/>
      <c r="DJ187" s="709"/>
      <c r="DK187" s="709"/>
      <c r="DL187" s="709"/>
      <c r="DM187" s="709"/>
      <c r="DN187" s="709"/>
      <c r="DO187" s="709"/>
      <c r="DP187" s="709"/>
      <c r="DQ187" s="709"/>
      <c r="DR187" s="709"/>
      <c r="DS187" s="709"/>
      <c r="DT187" s="709"/>
      <c r="DU187" s="709"/>
      <c r="DV187" s="709"/>
      <c r="DW187" s="709"/>
      <c r="DX187" s="709"/>
      <c r="DY187" s="709"/>
      <c r="DZ187" s="709"/>
      <c r="EA187" s="709"/>
      <c r="EB187" s="709"/>
      <c r="EC187" s="709"/>
      <c r="ED187" s="709"/>
      <c r="EE187" s="709"/>
      <c r="EF187" s="709"/>
      <c r="EG187" s="709"/>
      <c r="EH187" s="709"/>
      <c r="EI187" s="709"/>
      <c r="EJ187" s="709"/>
      <c r="EK187" s="709"/>
      <c r="EL187" s="709"/>
      <c r="EM187" s="709"/>
      <c r="EN187" s="709"/>
      <c r="EO187" s="709"/>
      <c r="EP187" s="709"/>
      <c r="EQ187" s="709"/>
      <c r="ER187" s="709"/>
      <c r="ES187" s="709"/>
      <c r="ET187" s="709"/>
      <c r="EU187" s="709"/>
      <c r="EV187" s="709"/>
      <c r="EW187" s="709"/>
      <c r="EX187" s="709"/>
      <c r="EY187" s="709"/>
      <c r="EZ187" s="709"/>
      <c r="FA187" s="709"/>
      <c r="FB187" s="709"/>
      <c r="FC187" s="709"/>
      <c r="FD187" s="709"/>
      <c r="FE187" s="709"/>
      <c r="FF187" s="709"/>
      <c r="FG187" s="709"/>
      <c r="FH187" s="709"/>
      <c r="FI187" s="709"/>
      <c r="FJ187" s="709"/>
      <c r="FK187" s="709"/>
      <c r="FL187" s="709"/>
      <c r="FM187" s="709"/>
      <c r="FN187" s="709"/>
      <c r="FO187" s="709"/>
      <c r="FP187" s="709"/>
      <c r="FQ187" s="709"/>
      <c r="FR187" s="709"/>
      <c r="FS187" s="709"/>
      <c r="FT187" s="709"/>
      <c r="FU187" s="709"/>
      <c r="FV187" s="709"/>
      <c r="FW187" s="709"/>
      <c r="FX187" s="709"/>
      <c r="FY187" s="709"/>
      <c r="FZ187" s="709"/>
      <c r="GA187" s="709"/>
      <c r="GB187" s="709"/>
      <c r="GC187" s="709"/>
      <c r="GD187" s="709"/>
      <c r="GE187" s="709"/>
      <c r="GF187" s="709"/>
      <c r="GG187" s="709"/>
      <c r="GH187" s="709"/>
      <c r="GI187" s="709"/>
      <c r="GJ187" s="709"/>
      <c r="GK187" s="709"/>
      <c r="GL187" s="709"/>
      <c r="GM187" s="709"/>
      <c r="GN187" s="709"/>
      <c r="GO187" s="709"/>
      <c r="GP187" s="709"/>
      <c r="GQ187" s="709"/>
      <c r="GR187" s="709"/>
      <c r="GS187" s="709"/>
      <c r="GT187" s="709"/>
      <c r="GU187" s="709"/>
      <c r="GV187" s="709"/>
      <c r="GW187" s="709"/>
      <c r="GX187" s="709"/>
      <c r="GY187" s="709"/>
      <c r="GZ187" s="709"/>
      <c r="HA187" s="709"/>
      <c r="HB187" s="709"/>
      <c r="HC187" s="709"/>
      <c r="HD187" s="709"/>
      <c r="HE187" s="709"/>
      <c r="HF187" s="709"/>
      <c r="HG187" s="709"/>
      <c r="HH187" s="709"/>
      <c r="HI187" s="709"/>
      <c r="HJ187" s="709"/>
      <c r="HK187" s="709"/>
      <c r="HL187" s="709"/>
      <c r="HM187" s="709"/>
      <c r="HN187" s="709"/>
      <c r="HO187" s="709"/>
      <c r="HP187" s="709"/>
      <c r="HQ187" s="709"/>
      <c r="HR187" s="709"/>
      <c r="HS187" s="709"/>
      <c r="HT187" s="709"/>
      <c r="HU187" s="709"/>
      <c r="HV187" s="709"/>
      <c r="HW187" s="709"/>
      <c r="HX187" s="709"/>
      <c r="HY187" s="709"/>
      <c r="HZ187" s="709"/>
      <c r="IA187" s="709"/>
      <c r="IB187" s="709"/>
      <c r="IC187" s="709"/>
      <c r="ID187" s="709"/>
      <c r="IE187" s="709"/>
      <c r="IF187" s="709"/>
      <c r="IG187" s="709"/>
      <c r="IH187" s="709"/>
      <c r="II187" s="709"/>
      <c r="IJ187" s="709"/>
      <c r="IK187" s="709"/>
      <c r="IL187" s="709"/>
      <c r="IM187" s="709"/>
      <c r="IN187" s="709"/>
      <c r="IO187" s="709"/>
      <c r="IP187" s="709"/>
      <c r="IQ187" s="709"/>
      <c r="IR187" s="709"/>
      <c r="IS187" s="709"/>
      <c r="IT187" s="709"/>
      <c r="IU187" s="709"/>
      <c r="IV187" s="709"/>
    </row>
    <row r="188" spans="1:256" ht="12.75" customHeight="1" thickBot="1">
      <c r="A188" s="701"/>
      <c r="B188" s="718"/>
      <c r="C188" s="718"/>
      <c r="D188" s="719"/>
      <c r="E188" s="718"/>
      <c r="F188" s="718"/>
      <c r="G188" s="718"/>
      <c r="H188" s="718"/>
      <c r="I188" s="720"/>
      <c r="J188" s="718"/>
      <c r="K188" s="718"/>
      <c r="L188" s="691"/>
      <c r="M188" s="709"/>
      <c r="N188" s="709"/>
      <c r="O188" s="709"/>
      <c r="P188" s="709"/>
      <c r="Q188" s="709"/>
      <c r="R188" s="709"/>
      <c r="S188" s="709"/>
      <c r="T188" s="709"/>
      <c r="U188" s="709"/>
      <c r="V188" s="709"/>
      <c r="W188" s="709"/>
      <c r="X188" s="709"/>
      <c r="Y188" s="709"/>
      <c r="Z188" s="709"/>
      <c r="AA188" s="709"/>
      <c r="AB188" s="709"/>
      <c r="AC188" s="709"/>
      <c r="AD188" s="709"/>
      <c r="AE188" s="709"/>
      <c r="AF188" s="709"/>
      <c r="AG188" s="709"/>
      <c r="AH188" s="709"/>
      <c r="AI188" s="709"/>
      <c r="AJ188" s="709"/>
      <c r="AK188" s="709"/>
      <c r="AL188" s="709"/>
      <c r="AM188" s="709"/>
      <c r="AN188" s="709"/>
      <c r="AO188" s="709"/>
      <c r="AP188" s="709"/>
      <c r="AQ188" s="709"/>
      <c r="AR188" s="709"/>
      <c r="AS188" s="709"/>
      <c r="AT188" s="709"/>
      <c r="AU188" s="709"/>
      <c r="AV188" s="709"/>
      <c r="AW188" s="709"/>
      <c r="AX188" s="709"/>
      <c r="AY188" s="709"/>
      <c r="AZ188" s="709"/>
      <c r="BA188" s="709"/>
      <c r="BB188" s="709"/>
      <c r="BC188" s="709"/>
      <c r="BD188" s="709"/>
      <c r="BE188" s="709"/>
      <c r="BF188" s="709"/>
      <c r="BG188" s="709"/>
      <c r="BH188" s="709"/>
      <c r="BI188" s="709"/>
      <c r="BJ188" s="709"/>
      <c r="BK188" s="709"/>
      <c r="BL188" s="709"/>
      <c r="BM188" s="709"/>
      <c r="BN188" s="709"/>
      <c r="BO188" s="709"/>
      <c r="BP188" s="709"/>
      <c r="BQ188" s="709"/>
      <c r="BR188" s="709"/>
      <c r="BS188" s="709"/>
      <c r="BT188" s="709"/>
      <c r="BU188" s="709"/>
      <c r="BV188" s="709"/>
      <c r="BW188" s="709"/>
      <c r="BX188" s="709"/>
      <c r="BY188" s="709"/>
      <c r="BZ188" s="709"/>
      <c r="CA188" s="709"/>
      <c r="CB188" s="709"/>
      <c r="CC188" s="709"/>
      <c r="CD188" s="709"/>
      <c r="CE188" s="709"/>
      <c r="CF188" s="709"/>
      <c r="CG188" s="709"/>
      <c r="CH188" s="709"/>
      <c r="CI188" s="709"/>
      <c r="CJ188" s="709"/>
      <c r="CK188" s="709"/>
      <c r="CL188" s="709"/>
      <c r="CM188" s="709"/>
      <c r="CN188" s="709"/>
      <c r="CO188" s="709"/>
      <c r="CP188" s="709"/>
      <c r="CQ188" s="709"/>
      <c r="CR188" s="709"/>
      <c r="CS188" s="709"/>
      <c r="CT188" s="709"/>
      <c r="CU188" s="709"/>
      <c r="CV188" s="709"/>
      <c r="CW188" s="709"/>
      <c r="CX188" s="709"/>
      <c r="CY188" s="709"/>
      <c r="CZ188" s="709"/>
      <c r="DA188" s="709"/>
      <c r="DB188" s="709"/>
      <c r="DC188" s="709"/>
      <c r="DD188" s="709"/>
      <c r="DE188" s="709"/>
      <c r="DF188" s="709"/>
      <c r="DG188" s="709"/>
      <c r="DH188" s="709"/>
      <c r="DI188" s="709"/>
      <c r="DJ188" s="709"/>
      <c r="DK188" s="709"/>
      <c r="DL188" s="709"/>
      <c r="DM188" s="709"/>
      <c r="DN188" s="709"/>
      <c r="DO188" s="709"/>
      <c r="DP188" s="709"/>
      <c r="DQ188" s="709"/>
      <c r="DR188" s="709"/>
      <c r="DS188" s="709"/>
      <c r="DT188" s="709"/>
      <c r="DU188" s="709"/>
      <c r="DV188" s="709"/>
      <c r="DW188" s="709"/>
      <c r="DX188" s="709"/>
      <c r="DY188" s="709"/>
      <c r="DZ188" s="709"/>
      <c r="EA188" s="709"/>
      <c r="EB188" s="709"/>
      <c r="EC188" s="709"/>
      <c r="ED188" s="709"/>
      <c r="EE188" s="709"/>
      <c r="EF188" s="709"/>
      <c r="EG188" s="709"/>
      <c r="EH188" s="709"/>
      <c r="EI188" s="709"/>
      <c r="EJ188" s="709"/>
      <c r="EK188" s="709"/>
      <c r="EL188" s="709"/>
      <c r="EM188" s="709"/>
      <c r="EN188" s="709"/>
      <c r="EO188" s="709"/>
      <c r="EP188" s="709"/>
      <c r="EQ188" s="709"/>
      <c r="ER188" s="709"/>
      <c r="ES188" s="709"/>
      <c r="ET188" s="709"/>
      <c r="EU188" s="709"/>
      <c r="EV188" s="709"/>
      <c r="EW188" s="709"/>
      <c r="EX188" s="709"/>
      <c r="EY188" s="709"/>
      <c r="EZ188" s="709"/>
      <c r="FA188" s="709"/>
      <c r="FB188" s="709"/>
      <c r="FC188" s="709"/>
      <c r="FD188" s="709"/>
      <c r="FE188" s="709"/>
      <c r="FF188" s="709"/>
      <c r="FG188" s="709"/>
      <c r="FH188" s="709"/>
      <c r="FI188" s="709"/>
      <c r="FJ188" s="709"/>
      <c r="FK188" s="709"/>
      <c r="FL188" s="709"/>
      <c r="FM188" s="709"/>
      <c r="FN188" s="709"/>
      <c r="FO188" s="709"/>
      <c r="FP188" s="709"/>
      <c r="FQ188" s="709"/>
      <c r="FR188" s="709"/>
      <c r="FS188" s="709"/>
      <c r="FT188" s="709"/>
      <c r="FU188" s="709"/>
      <c r="FV188" s="709"/>
      <c r="FW188" s="709"/>
      <c r="FX188" s="709"/>
      <c r="FY188" s="709"/>
      <c r="FZ188" s="709"/>
      <c r="GA188" s="709"/>
      <c r="GB188" s="709"/>
      <c r="GC188" s="709"/>
      <c r="GD188" s="709"/>
      <c r="GE188" s="709"/>
      <c r="GF188" s="709"/>
      <c r="GG188" s="709"/>
      <c r="GH188" s="709"/>
      <c r="GI188" s="709"/>
      <c r="GJ188" s="709"/>
      <c r="GK188" s="709"/>
      <c r="GL188" s="709"/>
      <c r="GM188" s="709"/>
      <c r="GN188" s="709"/>
      <c r="GO188" s="709"/>
      <c r="GP188" s="709"/>
      <c r="GQ188" s="709"/>
      <c r="GR188" s="709"/>
      <c r="GS188" s="709"/>
      <c r="GT188" s="709"/>
      <c r="GU188" s="709"/>
      <c r="GV188" s="709"/>
      <c r="GW188" s="709"/>
      <c r="GX188" s="709"/>
      <c r="GY188" s="709"/>
      <c r="GZ188" s="709"/>
      <c r="HA188" s="709"/>
      <c r="HB188" s="709"/>
      <c r="HC188" s="709"/>
      <c r="HD188" s="709"/>
      <c r="HE188" s="709"/>
      <c r="HF188" s="709"/>
      <c r="HG188" s="709"/>
      <c r="HH188" s="709"/>
      <c r="HI188" s="709"/>
      <c r="HJ188" s="709"/>
      <c r="HK188" s="709"/>
      <c r="HL188" s="709"/>
      <c r="HM188" s="709"/>
      <c r="HN188" s="709"/>
      <c r="HO188" s="709"/>
      <c r="HP188" s="709"/>
      <c r="HQ188" s="709"/>
      <c r="HR188" s="709"/>
      <c r="HS188" s="709"/>
      <c r="HT188" s="709"/>
      <c r="HU188" s="709"/>
      <c r="HV188" s="709"/>
      <c r="HW188" s="709"/>
      <c r="HX188" s="709"/>
      <c r="HY188" s="709"/>
      <c r="HZ188" s="709"/>
      <c r="IA188" s="709"/>
      <c r="IB188" s="709"/>
      <c r="IC188" s="709"/>
      <c r="ID188" s="709"/>
      <c r="IE188" s="709"/>
      <c r="IF188" s="709"/>
      <c r="IG188" s="709"/>
      <c r="IH188" s="709"/>
      <c r="II188" s="709"/>
      <c r="IJ188" s="709"/>
      <c r="IK188" s="709"/>
      <c r="IL188" s="709"/>
      <c r="IM188" s="709"/>
      <c r="IN188" s="709"/>
      <c r="IO188" s="709"/>
      <c r="IP188" s="709"/>
      <c r="IQ188" s="709"/>
      <c r="IR188" s="709"/>
      <c r="IS188" s="709"/>
      <c r="IT188" s="709"/>
      <c r="IU188" s="709"/>
      <c r="IV188" s="709"/>
    </row>
    <row r="189" spans="1:256" ht="12.75" customHeight="1" thickTop="1">
      <c r="A189" s="686"/>
      <c r="B189" s="686"/>
      <c r="C189" s="686"/>
      <c r="D189" s="686"/>
      <c r="E189" s="686"/>
      <c r="F189" s="686"/>
      <c r="G189" s="686"/>
      <c r="H189" s="686"/>
      <c r="I189" s="686"/>
      <c r="J189" s="686"/>
      <c r="K189" s="686"/>
      <c r="L189" s="686"/>
    </row>
    <row r="190" spans="1:256" ht="12.75" customHeight="1">
      <c r="A190" s="686" t="s">
        <v>215</v>
      </c>
      <c r="B190" s="721"/>
      <c r="C190" s="721"/>
      <c r="D190" s="721"/>
      <c r="E190" s="721"/>
      <c r="F190" s="686"/>
      <c r="G190" s="686"/>
      <c r="H190" s="686"/>
      <c r="I190" s="686"/>
      <c r="J190" s="686"/>
      <c r="K190" s="686"/>
      <c r="L190" s="686"/>
    </row>
    <row r="191" spans="1:256" ht="12.75" customHeight="1">
      <c r="A191" s="686"/>
      <c r="B191" s="686"/>
      <c r="C191" s="686"/>
      <c r="D191" s="686"/>
      <c r="E191" s="686"/>
      <c r="F191" s="686"/>
      <c r="G191" s="686"/>
      <c r="H191" s="686"/>
      <c r="I191" s="721"/>
      <c r="J191" s="686"/>
      <c r="K191" s="686"/>
      <c r="L191" s="686"/>
    </row>
    <row r="192" spans="1:256" ht="12.75" hidden="1" customHeight="1">
      <c r="A192" s="686" t="s">
        <v>216</v>
      </c>
      <c r="B192" s="686"/>
      <c r="C192" s="686"/>
      <c r="D192" s="686"/>
      <c r="E192" s="686"/>
      <c r="F192" s="686"/>
      <c r="G192" s="686"/>
      <c r="H192" s="686"/>
      <c r="I192" s="686"/>
      <c r="J192" s="686"/>
      <c r="K192" s="686"/>
      <c r="L192" s="686"/>
    </row>
    <row r="193" spans="1:12" ht="12.75" hidden="1" customHeight="1">
      <c r="A193" s="686" t="s">
        <v>218</v>
      </c>
      <c r="B193" s="686"/>
      <c r="C193" s="686"/>
      <c r="D193" s="686"/>
      <c r="E193" s="686"/>
      <c r="F193" s="686"/>
      <c r="G193" s="686"/>
      <c r="H193" s="686"/>
      <c r="I193" s="686"/>
      <c r="J193" s="686"/>
      <c r="K193" s="686"/>
      <c r="L193" s="686"/>
    </row>
    <row r="194" spans="1:12" ht="12.75" hidden="1" customHeight="1">
      <c r="A194" s="686" t="s">
        <v>219</v>
      </c>
      <c r="B194" s="686"/>
      <c r="C194" s="686"/>
      <c r="D194" s="686"/>
      <c r="E194" s="686"/>
      <c r="F194" s="686"/>
      <c r="G194" s="686"/>
      <c r="H194" s="686"/>
      <c r="I194" s="686"/>
      <c r="J194" s="686"/>
      <c r="K194" s="686"/>
      <c r="L194" s="686"/>
    </row>
    <row r="195" spans="1:12" ht="12.75" customHeight="1">
      <c r="A195" s="686" t="s">
        <v>736</v>
      </c>
      <c r="B195" s="686"/>
      <c r="C195" s="686"/>
      <c r="D195" s="686"/>
      <c r="E195" s="686"/>
      <c r="F195" s="686"/>
      <c r="G195" s="686"/>
      <c r="H195" s="686"/>
      <c r="I195" s="686"/>
      <c r="J195" s="686"/>
      <c r="K195" s="686"/>
      <c r="L195" s="686"/>
    </row>
    <row r="196" spans="1:12" ht="12.75" customHeight="1">
      <c r="A196" s="686" t="s">
        <v>1195</v>
      </c>
      <c r="B196" s="686"/>
      <c r="C196" s="686"/>
      <c r="D196" s="686"/>
      <c r="E196" s="686"/>
      <c r="F196" s="686"/>
      <c r="G196" s="686"/>
      <c r="H196" s="686"/>
      <c r="I196" s="686"/>
      <c r="J196" s="686"/>
      <c r="K196" s="686"/>
      <c r="L196" s="686"/>
    </row>
    <row r="197" spans="1:12" ht="12.75" customHeight="1">
      <c r="A197" s="686" t="s">
        <v>737</v>
      </c>
      <c r="B197" s="686"/>
      <c r="C197" s="686"/>
      <c r="D197" s="686"/>
      <c r="E197" s="686"/>
      <c r="F197" s="686"/>
      <c r="G197" s="686"/>
      <c r="H197" s="686"/>
      <c r="I197" s="686"/>
      <c r="J197" s="686"/>
      <c r="K197" s="686"/>
      <c r="L197" s="686"/>
    </row>
    <row r="198" spans="1:12" ht="13.15" customHeight="1">
      <c r="A198" s="686"/>
      <c r="B198" s="686"/>
      <c r="C198" s="686"/>
      <c r="D198" s="686"/>
      <c r="E198" s="686"/>
      <c r="F198" s="686"/>
      <c r="G198" s="686"/>
      <c r="H198" s="686"/>
      <c r="I198" s="686"/>
      <c r="J198" s="686"/>
      <c r="K198" s="686"/>
      <c r="L198" s="686"/>
    </row>
    <row r="199" spans="1:12">
      <c r="A199" s="686"/>
      <c r="B199" s="686"/>
      <c r="C199" s="686"/>
      <c r="D199" s="686"/>
      <c r="E199" s="686"/>
      <c r="F199" s="686"/>
      <c r="G199" s="686"/>
      <c r="H199" s="686"/>
      <c r="I199" s="686"/>
      <c r="J199" s="686"/>
      <c r="K199" s="686"/>
      <c r="L199" s="686"/>
    </row>
    <row r="200" spans="1:12">
      <c r="A200" s="686"/>
      <c r="B200" s="686"/>
      <c r="C200" s="686"/>
      <c r="D200" s="686"/>
      <c r="E200" s="686"/>
      <c r="F200" s="686"/>
      <c r="G200" s="686"/>
      <c r="H200" s="686"/>
      <c r="I200" s="686"/>
      <c r="J200" s="686"/>
      <c r="K200" s="686"/>
      <c r="L200" s="686"/>
    </row>
    <row r="201" spans="1:12">
      <c r="A201" s="686"/>
      <c r="B201" s="686"/>
      <c r="C201" s="686"/>
      <c r="D201" s="686"/>
      <c r="E201" s="686"/>
      <c r="F201" s="686"/>
      <c r="G201" s="686"/>
      <c r="H201" s="686"/>
      <c r="I201" s="686"/>
      <c r="J201" s="686"/>
      <c r="K201" s="686"/>
      <c r="L201" s="686"/>
    </row>
    <row r="202" spans="1:12">
      <c r="A202" s="686"/>
      <c r="B202" s="686"/>
      <c r="C202" s="686"/>
      <c r="D202" s="686"/>
      <c r="E202" s="686"/>
      <c r="F202" s="686"/>
      <c r="G202" s="686"/>
      <c r="H202" s="686"/>
      <c r="I202" s="686"/>
      <c r="J202" s="686"/>
      <c r="K202" s="686"/>
      <c r="L202" s="686"/>
    </row>
    <row r="203" spans="1:12">
      <c r="A203" s="686"/>
      <c r="B203" s="686"/>
      <c r="C203" s="686"/>
      <c r="D203" s="686"/>
      <c r="E203" s="686"/>
      <c r="F203" s="686"/>
      <c r="G203" s="686"/>
      <c r="H203" s="686"/>
      <c r="I203" s="686"/>
      <c r="J203" s="686"/>
      <c r="K203" s="686"/>
      <c r="L203" s="686"/>
    </row>
    <row r="204" spans="1:12">
      <c r="A204" s="686"/>
      <c r="B204" s="686"/>
      <c r="C204" s="686"/>
      <c r="D204" s="686"/>
      <c r="E204" s="686"/>
      <c r="F204" s="686"/>
      <c r="G204" s="686"/>
      <c r="H204" s="686"/>
      <c r="I204" s="686"/>
      <c r="J204" s="686"/>
      <c r="K204" s="686"/>
      <c r="L204" s="686"/>
    </row>
    <row r="205" spans="1:12">
      <c r="A205" s="686"/>
      <c r="B205" s="686">
        <v>1000000</v>
      </c>
      <c r="C205" s="686"/>
      <c r="D205" s="686"/>
      <c r="E205" s="686"/>
      <c r="F205" s="686"/>
      <c r="G205" s="686"/>
      <c r="H205" s="686"/>
      <c r="I205" s="686"/>
      <c r="J205" s="686"/>
      <c r="K205" s="686"/>
      <c r="L205" s="686"/>
    </row>
    <row r="206" spans="1:12">
      <c r="A206" s="686"/>
      <c r="B206" s="686"/>
      <c r="C206" s="686"/>
      <c r="D206" s="686"/>
      <c r="E206" s="686"/>
      <c r="F206" s="686"/>
      <c r="G206" s="686"/>
      <c r="H206" s="686"/>
      <c r="I206" s="686"/>
      <c r="J206" s="686"/>
      <c r="K206" s="686"/>
      <c r="L206" s="686"/>
    </row>
    <row r="208" spans="1:12">
      <c r="B208" s="678">
        <v>100505524.40000001</v>
      </c>
    </row>
    <row r="209" spans="2:2">
      <c r="B209" s="678">
        <v>473063.7</v>
      </c>
    </row>
    <row r="210" spans="2:2">
      <c r="B210" s="678">
        <v>11947592.699999999</v>
      </c>
    </row>
    <row r="211" spans="2:2">
      <c r="B211" s="722">
        <v>94821849.299999997</v>
      </c>
    </row>
    <row r="212" spans="2:2">
      <c r="B212" s="678">
        <v>-6736981.2999999998</v>
      </c>
    </row>
    <row r="213" spans="2:2">
      <c r="B213" s="678">
        <v>1894917.8</v>
      </c>
    </row>
    <row r="214" spans="2:2">
      <c r="B214" s="678">
        <f>+B211+B212+B213+B209+B210</f>
        <v>102400442.2</v>
      </c>
    </row>
    <row r="317" spans="8:9">
      <c r="H317" s="678">
        <f>4920100299/1000</f>
        <v>4920100.2989999996</v>
      </c>
      <c r="I317" s="678">
        <v>725</v>
      </c>
    </row>
    <row r="318" spans="8:9">
      <c r="H318" s="678">
        <f>4698281252/1000</f>
        <v>4698281.2520000003</v>
      </c>
      <c r="I318" s="678">
        <v>20</v>
      </c>
    </row>
    <row r="319" spans="8:9">
      <c r="H319" s="678">
        <f>6895867959/1000</f>
        <v>6895867.9589999998</v>
      </c>
    </row>
    <row r="320" spans="8:9" hidden="1"/>
    <row r="321" hidden="1"/>
    <row r="322" hidden="1"/>
    <row r="323" hidden="1"/>
    <row r="324" hidden="1"/>
    <row r="325" hidden="1"/>
    <row r="326" hidden="1"/>
    <row r="327" hidden="1"/>
    <row r="328" hidden="1"/>
  </sheetData>
  <customSheetViews>
    <customSheetView guid="{705E0D18-9A83-42CA-8732-90923BE2EC7D}"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1"/>
      <headerFooter alignWithMargins="0"/>
    </customSheetView>
    <customSheetView guid="{D45E5F9E-4EA6-40A2-8A1D-3AC67FB8CE54}"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2"/>
      <headerFooter alignWithMargins="0"/>
    </customSheetView>
    <customSheetView guid="{098C004C-808F-436E-8F18-182F927479D1}"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3"/>
      <headerFooter alignWithMargins="0"/>
    </customSheetView>
    <customSheetView guid="{89CA84C2-78F5-4B05-8F1D-B7C5F97BCB4E}"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4"/>
      <headerFooter alignWithMargins="0"/>
    </customSheetView>
  </customSheetViews>
  <mergeCells count="3">
    <mergeCell ref="F7:H7"/>
    <mergeCell ref="A1:K1"/>
    <mergeCell ref="A3:K3"/>
  </mergeCells>
  <phoneticPr fontId="31" type="noConversion"/>
  <printOptions horizontalCentered="1"/>
  <pageMargins left="0.7" right="0.5" top="0.5" bottom="0.4" header="0.5" footer="0.5"/>
  <pageSetup paperSize="9" scale="90" orientation="landscape" horizontalDpi="300" verticalDpi="300" r:id="rId5"/>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C2:O121"/>
  <sheetViews>
    <sheetView showGridLines="0" topLeftCell="A2" zoomScale="80" zoomScaleNormal="80" workbookViewId="0">
      <pane xSplit="3" ySplit="65" topLeftCell="D95" activePane="bottomRight" state="frozen"/>
      <selection activeCell="J193" sqref="J193"/>
      <selection pane="topRight" activeCell="J193" sqref="J193"/>
      <selection pane="bottomLeft" activeCell="J193" sqref="J193"/>
      <selection pane="bottomRight" activeCell="J193" sqref="J193"/>
    </sheetView>
  </sheetViews>
  <sheetFormatPr defaultRowHeight="15"/>
  <cols>
    <col min="3" max="3" width="13.77734375" customWidth="1"/>
    <col min="4" max="4" width="10.44140625" customWidth="1"/>
    <col min="5" max="5" width="11.5546875" customWidth="1"/>
    <col min="6" max="6" width="11.44140625" customWidth="1"/>
    <col min="7" max="7" width="9.77734375" bestFit="1" customWidth="1"/>
    <col min="8" max="8" width="12.109375" customWidth="1"/>
    <col min="9" max="9" width="10.6640625" customWidth="1"/>
    <col min="10" max="10" width="8.77734375" customWidth="1"/>
  </cols>
  <sheetData>
    <row r="2" spans="3:9" ht="16.5">
      <c r="C2" s="1977" t="s">
        <v>1743</v>
      </c>
      <c r="D2" s="1977"/>
      <c r="E2" s="1977"/>
      <c r="F2" s="1977"/>
      <c r="G2" s="1977"/>
      <c r="H2" s="1977"/>
      <c r="I2" s="1977"/>
    </row>
    <row r="3" spans="3:9" ht="15.75" customHeight="1" thickBot="1">
      <c r="C3" s="1978" t="s">
        <v>1790</v>
      </c>
      <c r="D3" s="1979"/>
      <c r="E3" s="1979"/>
      <c r="F3" s="1979"/>
      <c r="G3" s="1979"/>
      <c r="H3" s="1979"/>
      <c r="I3" s="1979"/>
    </row>
    <row r="4" spans="3:9" ht="33.75" thickBot="1">
      <c r="C4" s="1601" t="s">
        <v>263</v>
      </c>
      <c r="D4" s="1610" t="s">
        <v>1304</v>
      </c>
      <c r="E4" s="1610" t="s">
        <v>1305</v>
      </c>
      <c r="F4" s="1610" t="s">
        <v>1306</v>
      </c>
      <c r="G4" s="1630" t="s">
        <v>1307</v>
      </c>
      <c r="H4" s="1610" t="s">
        <v>1308</v>
      </c>
      <c r="I4" s="1610" t="s">
        <v>1309</v>
      </c>
    </row>
    <row r="5" spans="3:9" ht="15.75" hidden="1" customHeight="1" thickTop="1">
      <c r="C5" s="1602"/>
      <c r="D5" s="1611"/>
      <c r="E5" s="1611"/>
      <c r="F5" s="1611"/>
      <c r="G5" s="1611"/>
      <c r="H5" s="1611"/>
      <c r="I5" s="1611"/>
    </row>
    <row r="6" spans="3:9" ht="15.75" hidden="1" customHeight="1">
      <c r="C6" s="1603"/>
      <c r="D6" s="1612"/>
      <c r="E6" s="1612"/>
      <c r="F6" s="1612"/>
      <c r="G6" s="1612"/>
      <c r="H6" s="1612"/>
      <c r="I6" s="1612"/>
    </row>
    <row r="7" spans="3:9" ht="15.75" hidden="1" customHeight="1">
      <c r="C7" s="1604">
        <v>2013</v>
      </c>
      <c r="D7" s="1612"/>
      <c r="E7" s="1612"/>
      <c r="F7" s="1612"/>
      <c r="G7" s="1612"/>
      <c r="H7" s="1612"/>
      <c r="I7" s="1612"/>
    </row>
    <row r="8" spans="3:9" ht="15.75" hidden="1" customHeight="1">
      <c r="C8" s="1605" t="s">
        <v>345</v>
      </c>
      <c r="D8" s="1613">
        <v>181.68</v>
      </c>
      <c r="E8" s="1613">
        <v>21.18</v>
      </c>
      <c r="F8" s="1613">
        <v>761.09</v>
      </c>
      <c r="G8" s="1613">
        <v>691.18</v>
      </c>
      <c r="H8" s="1613">
        <v>6950.84</v>
      </c>
      <c r="I8" s="1613">
        <v>47.53</v>
      </c>
    </row>
    <row r="9" spans="3:9" ht="15.75" hidden="1" customHeight="1">
      <c r="C9" s="1605" t="s">
        <v>334</v>
      </c>
      <c r="D9" s="1613">
        <v>172.41</v>
      </c>
      <c r="E9" s="1613">
        <v>21.95</v>
      </c>
      <c r="F9" s="1613">
        <v>811.83</v>
      </c>
      <c r="G9" s="1613">
        <v>620.05999999999995</v>
      </c>
      <c r="H9" s="1613">
        <v>6835.89</v>
      </c>
      <c r="I9" s="1613">
        <v>30.75</v>
      </c>
    </row>
    <row r="10" spans="3:9" ht="15.75" hidden="1" customHeight="1">
      <c r="C10" s="1605" t="s">
        <v>335</v>
      </c>
      <c r="D10" s="1613">
        <v>179.44</v>
      </c>
      <c r="E10" s="1613">
        <v>37.01</v>
      </c>
      <c r="F10" s="1613">
        <v>1377.65</v>
      </c>
      <c r="G10" s="1613">
        <v>743.82</v>
      </c>
      <c r="H10" s="1613">
        <v>7042.27</v>
      </c>
      <c r="I10" s="1613">
        <v>33.69</v>
      </c>
    </row>
    <row r="11" spans="3:9" ht="15.75" hidden="1" customHeight="1">
      <c r="C11" s="1605" t="s">
        <v>336</v>
      </c>
      <c r="D11" s="1613">
        <v>182.87</v>
      </c>
      <c r="E11" s="1613">
        <v>37.31</v>
      </c>
      <c r="F11" s="1613">
        <v>954.8</v>
      </c>
      <c r="G11" s="1613">
        <v>760.46</v>
      </c>
      <c r="H11" s="1613">
        <v>9908.41</v>
      </c>
      <c r="I11" s="1613">
        <v>34.729999999999997</v>
      </c>
    </row>
    <row r="12" spans="3:9" ht="15.75" hidden="1" customHeight="1">
      <c r="C12" s="1605" t="s">
        <v>337</v>
      </c>
      <c r="D12" s="1613">
        <v>215.2</v>
      </c>
      <c r="E12" s="1613">
        <v>37.090000000000003</v>
      </c>
      <c r="F12" s="1613">
        <v>954.18</v>
      </c>
      <c r="G12" s="1613">
        <v>793.43</v>
      </c>
      <c r="H12" s="1613">
        <v>12146.9</v>
      </c>
      <c r="I12" s="1613">
        <v>38.68</v>
      </c>
    </row>
    <row r="13" spans="3:9" ht="15.75" hidden="1" customHeight="1">
      <c r="C13" s="1605" t="s">
        <v>338</v>
      </c>
      <c r="D13" s="1613">
        <v>185.8</v>
      </c>
      <c r="E13" s="1613">
        <v>34.36</v>
      </c>
      <c r="F13" s="1613">
        <v>968.54</v>
      </c>
      <c r="G13" s="1613">
        <v>731.17</v>
      </c>
      <c r="H13" s="1613">
        <v>9110.9699999999993</v>
      </c>
      <c r="I13" s="1613">
        <v>36.869999999999997</v>
      </c>
    </row>
    <row r="14" spans="3:9" ht="15.75" hidden="1" customHeight="1">
      <c r="C14" s="1605" t="s">
        <v>339</v>
      </c>
      <c r="D14" s="1613">
        <v>205.85</v>
      </c>
      <c r="E14" s="1613">
        <v>35.409999999999997</v>
      </c>
      <c r="F14" s="1613">
        <v>1052.26</v>
      </c>
      <c r="G14" s="1613">
        <v>822.57</v>
      </c>
      <c r="H14" s="1613">
        <v>10099.719999999999</v>
      </c>
      <c r="I14" s="1613">
        <v>42.74</v>
      </c>
    </row>
    <row r="15" spans="3:9" ht="15.75" hidden="1" customHeight="1">
      <c r="C15" s="1605" t="s">
        <v>340</v>
      </c>
      <c r="D15" s="1613">
        <v>187.25</v>
      </c>
      <c r="E15" s="1613">
        <v>30.29</v>
      </c>
      <c r="F15" s="1613">
        <v>1114.8599999999999</v>
      </c>
      <c r="G15" s="1613">
        <v>825.75</v>
      </c>
      <c r="H15" s="1613">
        <v>11551.94</v>
      </c>
      <c r="I15" s="1613">
        <v>41.78</v>
      </c>
    </row>
    <row r="16" spans="3:9" ht="15.75" hidden="1" customHeight="1">
      <c r="C16" s="1605" t="s">
        <v>341</v>
      </c>
      <c r="D16" s="1613">
        <v>201.22</v>
      </c>
      <c r="E16" s="1613">
        <v>33.17</v>
      </c>
      <c r="F16" s="1613">
        <v>1003.98</v>
      </c>
      <c r="G16" s="1613">
        <v>799.62</v>
      </c>
      <c r="H16" s="1613">
        <v>8701.56</v>
      </c>
      <c r="I16" s="1613">
        <v>44.48</v>
      </c>
    </row>
    <row r="17" spans="3:9" ht="15.75" hidden="1" customHeight="1">
      <c r="C17" s="1605" t="s">
        <v>342</v>
      </c>
      <c r="D17" s="1613">
        <v>212.66</v>
      </c>
      <c r="E17" s="1613">
        <v>35.69</v>
      </c>
      <c r="F17" s="1613">
        <v>1073.8800000000001</v>
      </c>
      <c r="G17" s="1613">
        <v>873.19</v>
      </c>
      <c r="H17" s="1613">
        <v>9769.81</v>
      </c>
      <c r="I17" s="1613">
        <v>48.59</v>
      </c>
    </row>
    <row r="18" spans="3:9" ht="15.75" hidden="1" customHeight="1">
      <c r="C18" s="1605" t="s">
        <v>343</v>
      </c>
      <c r="D18" s="1613">
        <v>186.64</v>
      </c>
      <c r="E18" s="1613">
        <v>31.74</v>
      </c>
      <c r="F18" s="1613">
        <v>904.27</v>
      </c>
      <c r="G18" s="1613">
        <v>927.93</v>
      </c>
      <c r="H18" s="1613">
        <v>14753.35</v>
      </c>
      <c r="I18" s="1613">
        <v>24.04</v>
      </c>
    </row>
    <row r="19" spans="3:9" ht="15.75" hidden="1" customHeight="1">
      <c r="C19" s="1605" t="s">
        <v>344</v>
      </c>
      <c r="D19" s="1613">
        <v>180.8</v>
      </c>
      <c r="E19" s="1613">
        <v>11.82</v>
      </c>
      <c r="F19" s="1613">
        <v>1033.73</v>
      </c>
      <c r="G19" s="1613">
        <v>1042.32</v>
      </c>
      <c r="H19" s="1613">
        <v>12273.02</v>
      </c>
      <c r="I19" s="1613">
        <v>23.56</v>
      </c>
    </row>
    <row r="20" spans="3:9" ht="16.5" hidden="1" customHeight="1" thickBot="1">
      <c r="C20" s="1606"/>
      <c r="D20" s="1614"/>
      <c r="E20" s="1614"/>
      <c r="F20" s="1614"/>
      <c r="G20" s="1614"/>
      <c r="H20" s="1614"/>
      <c r="I20" s="1614"/>
    </row>
    <row r="21" spans="3:9" ht="16.5" hidden="1" customHeight="1" thickBot="1">
      <c r="C21" s="1607" t="s">
        <v>1150</v>
      </c>
      <c r="D21" s="1615">
        <v>2291.8200000000002</v>
      </c>
      <c r="E21" s="1615">
        <v>367.02</v>
      </c>
      <c r="F21" s="1615">
        <v>12011.07</v>
      </c>
      <c r="G21" s="1615">
        <v>9631.5</v>
      </c>
      <c r="H21" s="1615">
        <v>119144.68</v>
      </c>
      <c r="I21" s="1615">
        <v>447.44</v>
      </c>
    </row>
    <row r="22" spans="3:9" ht="15.75" hidden="1" customHeight="1">
      <c r="C22" s="1608"/>
      <c r="D22" s="1616"/>
      <c r="E22" s="1616"/>
      <c r="F22" s="1616"/>
      <c r="G22" s="1616"/>
      <c r="H22" s="1616"/>
      <c r="I22" s="1616"/>
    </row>
    <row r="23" spans="3:9" ht="15.75" hidden="1" customHeight="1">
      <c r="C23" s="1604">
        <v>2014</v>
      </c>
      <c r="D23" s="1613"/>
      <c r="E23" s="1613"/>
      <c r="F23" s="1613"/>
      <c r="G23" s="1613"/>
      <c r="H23" s="1613"/>
      <c r="I23" s="1613"/>
    </row>
    <row r="24" spans="3:9" ht="15.75" hidden="1" customHeight="1">
      <c r="C24" s="1605" t="s">
        <v>345</v>
      </c>
      <c r="D24" s="1613">
        <v>182.48</v>
      </c>
      <c r="E24" s="1613">
        <v>29.41</v>
      </c>
      <c r="F24" s="1613">
        <v>973.79</v>
      </c>
      <c r="G24" s="1613">
        <v>815.89</v>
      </c>
      <c r="H24" s="1613">
        <v>11141.19</v>
      </c>
      <c r="I24" s="1613">
        <v>24.19</v>
      </c>
    </row>
    <row r="25" spans="3:9" ht="15.75" hidden="1" customHeight="1">
      <c r="C25" s="1605" t="s">
        <v>334</v>
      </c>
      <c r="D25" s="1613">
        <v>175.09</v>
      </c>
      <c r="E25" s="1613">
        <v>32.950000000000003</v>
      </c>
      <c r="F25" s="1613">
        <v>991.91</v>
      </c>
      <c r="G25" s="1613">
        <v>799.12</v>
      </c>
      <c r="H25" s="1613">
        <v>10631.6</v>
      </c>
      <c r="I25" s="1613">
        <v>25.1</v>
      </c>
    </row>
    <row r="26" spans="3:9" ht="15.75" hidden="1" customHeight="1">
      <c r="C26" s="1605" t="s">
        <v>335</v>
      </c>
      <c r="D26" s="1613">
        <v>192.02</v>
      </c>
      <c r="E26" s="1613">
        <v>32.35</v>
      </c>
      <c r="F26" s="1613">
        <v>1163.76</v>
      </c>
      <c r="G26" s="1613">
        <v>947.64</v>
      </c>
      <c r="H26" s="1613">
        <v>12859.5</v>
      </c>
      <c r="I26" s="1613">
        <v>30.82</v>
      </c>
    </row>
    <row r="27" spans="3:9" ht="17.25" hidden="1" thickTop="1">
      <c r="C27" s="1605" t="s">
        <v>336</v>
      </c>
      <c r="D27" s="1613">
        <v>183.63</v>
      </c>
      <c r="E27" s="1613">
        <v>28.12</v>
      </c>
      <c r="F27" s="1613">
        <v>1184.8499999999999</v>
      </c>
      <c r="G27" s="1613">
        <v>974.37</v>
      </c>
      <c r="H27" s="1613">
        <v>13298.04</v>
      </c>
      <c r="I27" s="1613">
        <v>29.23</v>
      </c>
    </row>
    <row r="28" spans="3:9" ht="17.25" hidden="1" thickTop="1">
      <c r="C28" s="1605" t="s">
        <v>337</v>
      </c>
      <c r="D28" s="1613">
        <v>215.2</v>
      </c>
      <c r="E28" s="1613">
        <v>37.090000000000003</v>
      </c>
      <c r="F28" s="1613">
        <v>954.18</v>
      </c>
      <c r="G28" s="1613">
        <v>793.43</v>
      </c>
      <c r="H28" s="1613">
        <v>12146.9</v>
      </c>
      <c r="I28" s="1613">
        <v>38.68</v>
      </c>
    </row>
    <row r="29" spans="3:9" ht="17.25" hidden="1" thickTop="1">
      <c r="C29" s="1605" t="s">
        <v>338</v>
      </c>
      <c r="D29" s="1613">
        <v>193.58</v>
      </c>
      <c r="E29" s="1613">
        <v>32.979999999999997</v>
      </c>
      <c r="F29" s="1613">
        <v>1164.73</v>
      </c>
      <c r="G29" s="1613">
        <v>966.45</v>
      </c>
      <c r="H29" s="1613">
        <v>14163.56</v>
      </c>
      <c r="I29" s="1613">
        <v>34.25</v>
      </c>
    </row>
    <row r="30" spans="3:9" ht="17.25" hidden="1" thickTop="1">
      <c r="C30" s="1605" t="s">
        <v>339</v>
      </c>
      <c r="D30" s="1613">
        <v>199.59</v>
      </c>
      <c r="E30" s="1613">
        <v>34.340000000000003</v>
      </c>
      <c r="F30" s="1613">
        <v>1272.9100000000001</v>
      </c>
      <c r="G30" s="1613">
        <v>1038.44</v>
      </c>
      <c r="H30" s="1613">
        <v>15370.63</v>
      </c>
      <c r="I30" s="1613">
        <v>37.68</v>
      </c>
    </row>
    <row r="31" spans="3:9" ht="17.25" hidden="1" thickTop="1">
      <c r="C31" s="1605" t="s">
        <v>340</v>
      </c>
      <c r="D31" s="1613">
        <v>170.86</v>
      </c>
      <c r="E31" s="1613">
        <v>27.25</v>
      </c>
      <c r="F31" s="1613">
        <v>1300.3499999999999</v>
      </c>
      <c r="G31" s="1613">
        <v>1122.4100000000001</v>
      </c>
      <c r="H31" s="1613">
        <v>16268.07</v>
      </c>
      <c r="I31" s="1613">
        <v>33.840000000000003</v>
      </c>
    </row>
    <row r="32" spans="3:9" ht="17.25" hidden="1" thickTop="1">
      <c r="C32" s="1605" t="s">
        <v>341</v>
      </c>
      <c r="D32" s="1613">
        <v>197.88</v>
      </c>
      <c r="E32" s="1613">
        <v>30.39</v>
      </c>
      <c r="F32" s="1613">
        <v>1158.8399999999999</v>
      </c>
      <c r="G32" s="1613">
        <v>1057.48</v>
      </c>
      <c r="H32" s="1613">
        <v>15991.79</v>
      </c>
      <c r="I32" s="1613">
        <v>39.35</v>
      </c>
    </row>
    <row r="33" spans="3:9" ht="17.25" hidden="1" thickTop="1">
      <c r="C33" s="1605" t="s">
        <v>342</v>
      </c>
      <c r="D33" s="1617">
        <v>200.32</v>
      </c>
      <c r="E33" s="1617">
        <v>34.58</v>
      </c>
      <c r="F33" s="1617">
        <v>1193.3800000000001</v>
      </c>
      <c r="G33" s="1617">
        <v>1086.1600000000001</v>
      </c>
      <c r="H33" s="1617">
        <v>17527.400000000001</v>
      </c>
      <c r="I33" s="1617">
        <v>40.96</v>
      </c>
    </row>
    <row r="34" spans="3:9" ht="17.25" hidden="1" thickTop="1">
      <c r="C34" s="1605" t="s">
        <v>343</v>
      </c>
      <c r="D34" s="1617">
        <v>171.446</v>
      </c>
      <c r="E34" s="1617">
        <v>27.66</v>
      </c>
      <c r="F34" s="1617">
        <v>1143.69</v>
      </c>
      <c r="G34" s="1617">
        <v>1077.296</v>
      </c>
      <c r="H34" s="1617">
        <v>17876.307000000001</v>
      </c>
      <c r="I34" s="1617">
        <v>42.009</v>
      </c>
    </row>
    <row r="35" spans="3:9" ht="17.25" hidden="1" thickTop="1">
      <c r="C35" s="1605" t="s">
        <v>344</v>
      </c>
      <c r="D35" s="1613">
        <v>189.83</v>
      </c>
      <c r="E35" s="1613">
        <v>27.49</v>
      </c>
      <c r="F35" s="1613">
        <v>1161.5899999999999</v>
      </c>
      <c r="G35" s="1613">
        <v>1162.71</v>
      </c>
      <c r="H35" s="1613">
        <v>19347.91</v>
      </c>
      <c r="I35" s="1613">
        <v>40.49</v>
      </c>
    </row>
    <row r="36" spans="3:9" ht="17.25" hidden="1" thickTop="1">
      <c r="C36" s="1605"/>
      <c r="D36" s="1613"/>
      <c r="E36" s="1613"/>
      <c r="F36" s="1613"/>
      <c r="G36" s="1613"/>
      <c r="H36" s="1613"/>
      <c r="I36" s="1613"/>
    </row>
    <row r="37" spans="3:9" ht="18" hidden="1" thickTop="1" thickBot="1">
      <c r="C37" s="1607" t="s">
        <v>1150</v>
      </c>
      <c r="D37" s="1618">
        <f t="shared" ref="D37:I37" si="0">+SUM(D24:D35)</f>
        <v>2271.9259999999999</v>
      </c>
      <c r="E37" s="1618">
        <f t="shared" si="0"/>
        <v>374.61</v>
      </c>
      <c r="F37" s="1618">
        <f t="shared" si="0"/>
        <v>13663.980000000001</v>
      </c>
      <c r="G37" s="1618">
        <f t="shared" si="0"/>
        <v>11841.396000000001</v>
      </c>
      <c r="H37" s="1618">
        <f t="shared" si="0"/>
        <v>176622.89700000003</v>
      </c>
      <c r="I37" s="1618">
        <f t="shared" si="0"/>
        <v>416.59900000000005</v>
      </c>
    </row>
    <row r="38" spans="3:9" ht="17.25" hidden="1" thickTop="1">
      <c r="C38" s="1604">
        <v>2015</v>
      </c>
      <c r="D38" s="1613"/>
      <c r="E38" s="1613"/>
      <c r="F38" s="1613"/>
      <c r="G38" s="1613"/>
      <c r="H38" s="1613"/>
      <c r="I38" s="1613"/>
    </row>
    <row r="39" spans="3:9" ht="17.25" hidden="1" thickTop="1">
      <c r="C39" s="1605" t="s">
        <v>345</v>
      </c>
      <c r="D39" s="1619">
        <v>170.77</v>
      </c>
      <c r="E39" s="1619">
        <v>29.55</v>
      </c>
      <c r="F39" s="1624">
        <v>1174.0899999999999</v>
      </c>
      <c r="G39" s="1624">
        <v>1124.49</v>
      </c>
      <c r="H39" s="1624">
        <v>16903.259999999998</v>
      </c>
      <c r="I39" s="1619">
        <v>37.6</v>
      </c>
    </row>
    <row r="40" spans="3:9" ht="17.25" hidden="1" thickTop="1">
      <c r="C40" s="1605" t="s">
        <v>334</v>
      </c>
      <c r="D40" s="1619">
        <v>172.25</v>
      </c>
      <c r="E40" s="1619">
        <v>32.229999999999997</v>
      </c>
      <c r="F40" s="1624">
        <v>1140.94</v>
      </c>
      <c r="G40" s="1624">
        <v>1027.8800000000001</v>
      </c>
      <c r="H40" s="1624">
        <v>16160.42</v>
      </c>
      <c r="I40" s="1619">
        <v>39.94</v>
      </c>
    </row>
    <row r="41" spans="3:9" ht="17.25" hidden="1" thickTop="1">
      <c r="C41" s="1605" t="s">
        <v>335</v>
      </c>
      <c r="D41" s="1619">
        <v>191.637</v>
      </c>
      <c r="E41" s="1619">
        <v>30.332000000000001</v>
      </c>
      <c r="F41" s="1624">
        <v>1183.6379999999999</v>
      </c>
      <c r="G41" s="1624">
        <v>1110.1690000000001</v>
      </c>
      <c r="H41" s="1624">
        <v>18211.888999999999</v>
      </c>
      <c r="I41" s="1619">
        <v>44.484000000000002</v>
      </c>
    </row>
    <row r="42" spans="3:9" ht="17.25" hidden="1" thickTop="1">
      <c r="C42" s="1605" t="s">
        <v>336</v>
      </c>
      <c r="D42" s="1619">
        <v>180.34</v>
      </c>
      <c r="E42" s="1619">
        <v>26.98</v>
      </c>
      <c r="F42" s="1624">
        <v>1151.25</v>
      </c>
      <c r="G42" s="1624">
        <v>1107.52</v>
      </c>
      <c r="H42" s="1624">
        <v>17269.689999999999</v>
      </c>
      <c r="I42" s="1619">
        <v>43.55</v>
      </c>
    </row>
    <row r="43" spans="3:9" ht="17.25" hidden="1" thickTop="1">
      <c r="C43" s="1605" t="s">
        <v>337</v>
      </c>
      <c r="D43" s="1619">
        <v>179.76</v>
      </c>
      <c r="E43" s="1619">
        <v>27.38</v>
      </c>
      <c r="F43" s="1624">
        <v>1052.4960000000001</v>
      </c>
      <c r="G43" s="1624">
        <v>1123.7650000000001</v>
      </c>
      <c r="H43" s="1624">
        <v>18684.617999999999</v>
      </c>
      <c r="I43" s="1619">
        <v>43.219000000000001</v>
      </c>
    </row>
    <row r="44" spans="3:9" ht="17.25" hidden="1" thickTop="1">
      <c r="C44" s="1605" t="s">
        <v>338</v>
      </c>
      <c r="D44" s="1619">
        <v>196.41</v>
      </c>
      <c r="E44" s="1619">
        <v>31.85</v>
      </c>
      <c r="F44" s="1624">
        <v>1121.24</v>
      </c>
      <c r="G44" s="1624">
        <v>1038.18</v>
      </c>
      <c r="H44" s="1624">
        <v>17478.240000000002</v>
      </c>
      <c r="I44" s="1619">
        <v>47.17</v>
      </c>
    </row>
    <row r="45" spans="3:9" ht="17.25" hidden="1" thickTop="1">
      <c r="C45" s="1605" t="s">
        <v>339</v>
      </c>
      <c r="D45" s="1619">
        <v>199.1</v>
      </c>
      <c r="E45" s="1619">
        <v>34</v>
      </c>
      <c r="F45" s="1624">
        <v>1288.23</v>
      </c>
      <c r="G45" s="1624">
        <v>1167.43</v>
      </c>
      <c r="H45" s="1624">
        <v>18670.439999999999</v>
      </c>
      <c r="I45" s="1619">
        <v>49.36</v>
      </c>
    </row>
    <row r="46" spans="3:9" ht="17.25" hidden="1" thickTop="1">
      <c r="C46" s="1605" t="s">
        <v>340</v>
      </c>
      <c r="D46" s="1619">
        <v>153.13</v>
      </c>
      <c r="E46" s="1619">
        <v>28.05</v>
      </c>
      <c r="F46" s="1624">
        <v>1373.48</v>
      </c>
      <c r="G46" s="1624">
        <v>1122.22</v>
      </c>
      <c r="H46" s="1624">
        <v>19750.59</v>
      </c>
      <c r="I46" s="1619">
        <v>46.52</v>
      </c>
    </row>
    <row r="47" spans="3:9" ht="17.25" hidden="1" thickTop="1">
      <c r="C47" s="1605" t="s">
        <v>341</v>
      </c>
      <c r="D47" s="1620">
        <v>164.309</v>
      </c>
      <c r="E47" s="1620">
        <v>31.146999999999998</v>
      </c>
      <c r="F47" s="1624">
        <v>1196.8720000000001</v>
      </c>
      <c r="G47" s="1624">
        <v>1103.9059999999999</v>
      </c>
      <c r="H47" s="1624">
        <v>19133.21</v>
      </c>
      <c r="I47" s="1620">
        <v>50.401000000000003</v>
      </c>
    </row>
    <row r="48" spans="3:9" ht="17.25" hidden="1" thickTop="1">
      <c r="C48" s="1605" t="s">
        <v>342</v>
      </c>
      <c r="D48" s="1620">
        <v>156.428</v>
      </c>
      <c r="E48" s="1620">
        <v>30.774999999999999</v>
      </c>
      <c r="F48" s="1624">
        <v>1295.03</v>
      </c>
      <c r="G48" s="1624">
        <v>1152.83</v>
      </c>
      <c r="H48" s="1624">
        <v>22166.446</v>
      </c>
      <c r="I48" s="1620">
        <v>54.045999999999999</v>
      </c>
    </row>
    <row r="49" spans="3:9" ht="17.25" hidden="1" thickTop="1">
      <c r="C49" s="1605" t="s">
        <v>343</v>
      </c>
      <c r="D49" s="1620">
        <v>143.44</v>
      </c>
      <c r="E49" s="1620">
        <v>32.19</v>
      </c>
      <c r="F49" s="1624">
        <v>1206.1600000000001</v>
      </c>
      <c r="G49" s="1624">
        <v>1151.3399999999999</v>
      </c>
      <c r="H49" s="1624">
        <v>21390.18</v>
      </c>
      <c r="I49" s="1620">
        <v>51.34</v>
      </c>
    </row>
    <row r="50" spans="3:9" ht="17.25" hidden="1" thickTop="1">
      <c r="C50" s="1605" t="s">
        <v>344</v>
      </c>
      <c r="D50" s="1620">
        <v>155.04400000000001</v>
      </c>
      <c r="E50" s="1620">
        <v>27.245999999999999</v>
      </c>
      <c r="F50" s="1624">
        <v>1359.876</v>
      </c>
      <c r="G50" s="1624">
        <v>1183.5650000000001</v>
      </c>
      <c r="H50" s="1624">
        <v>22904.326000000001</v>
      </c>
      <c r="I50" s="1620">
        <v>52.59</v>
      </c>
    </row>
    <row r="51" spans="3:9" ht="15.75" hidden="1" customHeight="1" thickBot="1">
      <c r="C51" s="1607" t="s">
        <v>1150</v>
      </c>
      <c r="D51" s="1621">
        <f t="shared" ref="D51:I51" si="1">+SUM(D39:D50)</f>
        <v>2062.6179999999999</v>
      </c>
      <c r="E51" s="1627">
        <f t="shared" si="1"/>
        <v>361.72999999999996</v>
      </c>
      <c r="F51" s="1621">
        <f t="shared" si="1"/>
        <v>14543.302</v>
      </c>
      <c r="G51" s="1621">
        <f t="shared" si="1"/>
        <v>13413.295000000002</v>
      </c>
      <c r="H51" s="1621">
        <f t="shared" si="1"/>
        <v>228723.30900000001</v>
      </c>
      <c r="I51" s="1627">
        <f t="shared" si="1"/>
        <v>560.22</v>
      </c>
    </row>
    <row r="52" spans="3:9" ht="17.25" hidden="1" thickTop="1">
      <c r="C52" s="1603"/>
      <c r="D52" s="1622"/>
      <c r="E52" s="1622"/>
      <c r="F52" s="1622"/>
      <c r="G52" s="1622"/>
      <c r="H52" s="1622"/>
      <c r="I52" s="1622"/>
    </row>
    <row r="53" spans="3:9" ht="17.25" hidden="1" thickTop="1">
      <c r="C53" s="1604">
        <v>2016</v>
      </c>
      <c r="D53" s="1613"/>
      <c r="E53" s="1613"/>
      <c r="F53" s="1613"/>
      <c r="G53" s="1613"/>
      <c r="H53" s="1613"/>
      <c r="I53" s="1613"/>
    </row>
    <row r="54" spans="3:9" ht="14.25" hidden="1" customHeight="1">
      <c r="C54" s="1605" t="s">
        <v>345</v>
      </c>
      <c r="D54" s="1619">
        <v>132.26</v>
      </c>
      <c r="E54" s="1619">
        <v>24.614999999999998</v>
      </c>
      <c r="F54" s="1619">
        <v>1328.9280000000001</v>
      </c>
      <c r="G54" s="1619">
        <v>1104.4480000000001</v>
      </c>
      <c r="H54" s="1624">
        <v>19956.074000000001</v>
      </c>
      <c r="I54" s="1619">
        <v>49.886000000000003</v>
      </c>
    </row>
    <row r="55" spans="3:9" ht="17.25" hidden="1" thickTop="1">
      <c r="C55" s="1605" t="s">
        <v>334</v>
      </c>
      <c r="D55" s="1619">
        <v>148.41999999999999</v>
      </c>
      <c r="E55" s="1619">
        <v>30.26</v>
      </c>
      <c r="F55" s="1619">
        <v>1289.46</v>
      </c>
      <c r="G55" s="1619">
        <v>1067.1300000000001</v>
      </c>
      <c r="H55" s="1624">
        <v>19793.73</v>
      </c>
      <c r="I55" s="1619">
        <v>54.57</v>
      </c>
    </row>
    <row r="56" spans="3:9" ht="15.75" hidden="1" customHeight="1">
      <c r="C56" s="1605" t="s">
        <v>335</v>
      </c>
      <c r="D56" s="1619">
        <v>152.465</v>
      </c>
      <c r="E56" s="1619">
        <v>29.645</v>
      </c>
      <c r="F56" s="1619">
        <v>1455.703</v>
      </c>
      <c r="G56" s="1619">
        <v>962.90499999999997</v>
      </c>
      <c r="H56" s="1624">
        <v>21731.491999999998</v>
      </c>
      <c r="I56" s="1619">
        <v>61.860999999999997</v>
      </c>
    </row>
    <row r="57" spans="3:9" ht="17.25" hidden="1" thickTop="1">
      <c r="C57" s="1605" t="s">
        <v>336</v>
      </c>
      <c r="D57" s="1619">
        <v>161.72999999999999</v>
      </c>
      <c r="E57" s="1619">
        <v>24.974</v>
      </c>
      <c r="F57" s="1619">
        <v>1962.6380000000001</v>
      </c>
      <c r="G57" s="1619">
        <v>841.33500000000004</v>
      </c>
      <c r="H57" s="1624">
        <v>21086.574000000001</v>
      </c>
      <c r="I57" s="1619">
        <v>59.853000000000002</v>
      </c>
    </row>
    <row r="58" spans="3:9" ht="17.25" hidden="1" thickTop="1">
      <c r="C58" s="1605" t="s">
        <v>337</v>
      </c>
      <c r="D58" s="1619">
        <v>199.256</v>
      </c>
      <c r="E58" s="1619">
        <v>29.113</v>
      </c>
      <c r="F58" s="1619">
        <v>2779.9029999999998</v>
      </c>
      <c r="G58" s="1619">
        <v>675.84500000000003</v>
      </c>
      <c r="H58" s="1624">
        <v>23292.988000000001</v>
      </c>
      <c r="I58" s="1619">
        <v>83.153999999999996</v>
      </c>
    </row>
    <row r="59" spans="3:9" ht="17.25" hidden="1" thickTop="1">
      <c r="C59" s="1605" t="s">
        <v>338</v>
      </c>
      <c r="D59" s="1619">
        <v>268.19200000000001</v>
      </c>
      <c r="E59" s="1619">
        <v>33.5</v>
      </c>
      <c r="F59" s="1619">
        <v>3203.8</v>
      </c>
      <c r="G59" s="1619">
        <v>741.94</v>
      </c>
      <c r="H59" s="1624">
        <v>23321.170999999998</v>
      </c>
      <c r="I59" s="1619">
        <v>87.956999999999994</v>
      </c>
    </row>
    <row r="60" spans="3:9" ht="17.25" hidden="1" thickTop="1">
      <c r="C60" s="1605" t="s">
        <v>339</v>
      </c>
      <c r="D60" s="1619">
        <v>242.37</v>
      </c>
      <c r="E60" s="1619">
        <v>31.076000000000001</v>
      </c>
      <c r="F60" s="1619">
        <v>3946.3380000000002</v>
      </c>
      <c r="G60" s="1619">
        <v>1052.838</v>
      </c>
      <c r="H60" s="1624">
        <v>24538.833999999999</v>
      </c>
      <c r="I60" s="1619">
        <v>102.748</v>
      </c>
    </row>
    <row r="61" spans="3:9" ht="17.25" hidden="1" thickTop="1">
      <c r="C61" s="1605" t="s">
        <v>340</v>
      </c>
      <c r="D61" s="1619">
        <v>253.93799999999999</v>
      </c>
      <c r="E61" s="1619">
        <v>27.768000000000001</v>
      </c>
      <c r="F61" s="1619">
        <v>4038.12</v>
      </c>
      <c r="G61" s="1619">
        <v>1156.3800000000001</v>
      </c>
      <c r="H61" s="1624">
        <v>26009.647000000001</v>
      </c>
      <c r="I61" s="1619">
        <v>109.489</v>
      </c>
    </row>
    <row r="62" spans="3:9" ht="17.25" hidden="1" thickTop="1">
      <c r="C62" s="1605" t="s">
        <v>341</v>
      </c>
      <c r="D62" s="1619">
        <v>288.5</v>
      </c>
      <c r="E62" s="1619">
        <v>32.5</v>
      </c>
      <c r="F62" s="1619">
        <v>4421.9089999999997</v>
      </c>
      <c r="G62" s="1619">
        <v>1188.528</v>
      </c>
      <c r="H62" s="1624">
        <v>27300</v>
      </c>
      <c r="I62" s="1619">
        <v>100</v>
      </c>
    </row>
    <row r="63" spans="3:9" ht="17.25" hidden="1" thickTop="1">
      <c r="C63" s="1605" t="s">
        <v>342</v>
      </c>
      <c r="D63" s="1619">
        <v>295.99900000000002</v>
      </c>
      <c r="E63" s="1619">
        <v>29.187000000000001</v>
      </c>
      <c r="F63" s="1619">
        <v>6247.3940000000002</v>
      </c>
      <c r="G63" s="1619">
        <v>1106.3579999999999</v>
      </c>
      <c r="H63" s="1624">
        <v>29801.734</v>
      </c>
      <c r="I63" s="1619">
        <v>117.896</v>
      </c>
    </row>
    <row r="64" spans="3:9" ht="17.25" hidden="1" thickTop="1">
      <c r="C64" s="1605" t="s">
        <v>343</v>
      </c>
      <c r="D64" s="1619">
        <v>353</v>
      </c>
      <c r="E64" s="1619">
        <v>30.6</v>
      </c>
      <c r="F64" s="1619">
        <v>8691.2000000000007</v>
      </c>
      <c r="G64" s="1619" t="s">
        <v>1350</v>
      </c>
      <c r="H64" s="1624">
        <v>28542.1</v>
      </c>
      <c r="I64" s="1619">
        <v>128.80000000000001</v>
      </c>
    </row>
    <row r="65" spans="3:9" ht="17.25" hidden="1" thickTop="1">
      <c r="C65" s="1605" t="s">
        <v>344</v>
      </c>
      <c r="D65" s="1619">
        <v>405.4</v>
      </c>
      <c r="E65" s="1619">
        <v>24.42</v>
      </c>
      <c r="F65" s="1619">
        <v>13042.1</v>
      </c>
      <c r="G65" s="1619">
        <v>1348</v>
      </c>
      <c r="H65" s="1624">
        <v>33211.81</v>
      </c>
      <c r="I65" s="1619">
        <v>155.9</v>
      </c>
    </row>
    <row r="66" spans="3:9" ht="18" hidden="1" thickTop="1" thickBot="1">
      <c r="C66" s="1607" t="s">
        <v>1150</v>
      </c>
      <c r="D66" s="1621">
        <f t="shared" ref="D66:I66" si="2">+SUM(D54:D65)</f>
        <v>2901.53</v>
      </c>
      <c r="E66" s="1627">
        <f t="shared" si="2"/>
        <v>347.65800000000007</v>
      </c>
      <c r="F66" s="1621">
        <f t="shared" si="2"/>
        <v>52407.492999999995</v>
      </c>
      <c r="G66" s="1621">
        <f t="shared" si="2"/>
        <v>11245.707</v>
      </c>
      <c r="H66" s="1621">
        <f t="shared" si="2"/>
        <v>298586.15399999998</v>
      </c>
      <c r="I66" s="1627">
        <f t="shared" si="2"/>
        <v>1112.114</v>
      </c>
    </row>
    <row r="67" spans="3:9" ht="15.75" customHeight="1" thickTop="1">
      <c r="C67" s="1603"/>
      <c r="D67" s="1623"/>
      <c r="E67" s="1628"/>
      <c r="F67" s="1623"/>
      <c r="G67" s="1623"/>
      <c r="H67" s="1623"/>
      <c r="I67" s="1628"/>
    </row>
    <row r="68" spans="3:9" ht="18" customHeight="1">
      <c r="C68" s="1604">
        <v>2017</v>
      </c>
      <c r="D68" s="1623"/>
      <c r="E68" s="1628"/>
      <c r="F68" s="1623"/>
      <c r="G68" s="1623"/>
      <c r="H68" s="1623"/>
      <c r="I68" s="1628"/>
    </row>
    <row r="69" spans="3:9" ht="16.5">
      <c r="C69" s="1605" t="s">
        <v>345</v>
      </c>
      <c r="D69" s="1624">
        <v>350.02300000000002</v>
      </c>
      <c r="E69" s="1619">
        <v>26.666</v>
      </c>
      <c r="F69" s="1624">
        <v>12756.288</v>
      </c>
      <c r="G69" s="1624">
        <v>1173.5619999999999</v>
      </c>
      <c r="H69" s="1624">
        <v>27550.084999999999</v>
      </c>
      <c r="I69" s="1624">
        <v>190.95599999999999</v>
      </c>
    </row>
    <row r="70" spans="3:9" ht="18" customHeight="1">
      <c r="C70" s="1605" t="s">
        <v>334</v>
      </c>
      <c r="D70" s="1624">
        <v>326.3</v>
      </c>
      <c r="E70" s="1619">
        <v>27.8</v>
      </c>
      <c r="F70" s="1624">
        <v>8952</v>
      </c>
      <c r="G70" s="1624">
        <v>953.5</v>
      </c>
      <c r="H70" s="1624">
        <v>26820.1</v>
      </c>
      <c r="I70" s="1624">
        <v>207</v>
      </c>
    </row>
    <row r="71" spans="3:9" ht="15.75" customHeight="1">
      <c r="C71" s="1605" t="s">
        <v>335</v>
      </c>
      <c r="D71" s="1624">
        <v>414.2</v>
      </c>
      <c r="E71" s="1619">
        <v>31</v>
      </c>
      <c r="F71" s="1624">
        <v>11124</v>
      </c>
      <c r="G71" s="1624">
        <v>922.2</v>
      </c>
      <c r="H71" s="1624">
        <v>35604.1</v>
      </c>
      <c r="I71" s="1624">
        <v>244.1</v>
      </c>
    </row>
    <row r="72" spans="3:9" ht="17.25" customHeight="1">
      <c r="C72" s="1605" t="s">
        <v>336</v>
      </c>
      <c r="D72" s="1624">
        <v>363.7</v>
      </c>
      <c r="E72" s="1619">
        <v>21.6</v>
      </c>
      <c r="F72" s="1624">
        <v>13595.5</v>
      </c>
      <c r="G72" s="1624">
        <v>652.9</v>
      </c>
      <c r="H72" s="1624">
        <v>40089</v>
      </c>
      <c r="I72" s="1624">
        <v>231</v>
      </c>
    </row>
    <row r="73" spans="3:9" ht="15.75" customHeight="1">
      <c r="C73" s="1605" t="s">
        <v>337</v>
      </c>
      <c r="D73" s="1624">
        <v>531.79999999999995</v>
      </c>
      <c r="E73" s="1619">
        <v>27.8</v>
      </c>
      <c r="F73" s="1624">
        <v>16623.400000000001</v>
      </c>
      <c r="G73" s="1624">
        <v>820.6</v>
      </c>
      <c r="H73" s="1624">
        <v>47019.1</v>
      </c>
      <c r="I73" s="1624">
        <v>323.3</v>
      </c>
    </row>
    <row r="74" spans="3:9" ht="17.25" customHeight="1">
      <c r="C74" s="1605" t="s">
        <v>338</v>
      </c>
      <c r="D74" s="1624">
        <v>524.99099999999999</v>
      </c>
      <c r="E74" s="1619">
        <v>29.311</v>
      </c>
      <c r="F74" s="1624">
        <v>17466.159</v>
      </c>
      <c r="G74" s="1624">
        <v>696.87</v>
      </c>
      <c r="H74" s="1624">
        <v>53738.116999999998</v>
      </c>
      <c r="I74" s="1624">
        <v>342.13600000000002</v>
      </c>
    </row>
    <row r="75" spans="3:9" ht="15" customHeight="1">
      <c r="C75" s="1605" t="s">
        <v>339</v>
      </c>
      <c r="D75" s="1624">
        <v>521.79999999999995</v>
      </c>
      <c r="E75" s="1619">
        <v>30</v>
      </c>
      <c r="F75" s="1624">
        <v>20013.7</v>
      </c>
      <c r="G75" s="1624">
        <v>636.1</v>
      </c>
      <c r="H75" s="1624">
        <v>61162.400000000001</v>
      </c>
      <c r="I75" s="1624">
        <v>382.6</v>
      </c>
    </row>
    <row r="76" spans="3:9" ht="16.5">
      <c r="C76" s="1605" t="s">
        <v>340</v>
      </c>
      <c r="D76" s="1624">
        <v>541.52</v>
      </c>
      <c r="E76" s="1619">
        <v>26.64</v>
      </c>
      <c r="F76" s="1624">
        <v>20302.995999999999</v>
      </c>
      <c r="G76" s="1624">
        <v>595.61400000000003</v>
      </c>
      <c r="H76" s="1624">
        <v>70771.557000000001</v>
      </c>
      <c r="I76" s="1624">
        <v>419.07</v>
      </c>
    </row>
    <row r="77" spans="3:9" ht="16.5">
      <c r="C77" s="1605" t="s">
        <v>341</v>
      </c>
      <c r="D77" s="1624">
        <v>620</v>
      </c>
      <c r="E77" s="1619">
        <v>27.17</v>
      </c>
      <c r="F77" s="1624">
        <v>20731</v>
      </c>
      <c r="G77" s="1624">
        <v>478</v>
      </c>
      <c r="H77" s="1624">
        <v>83303</v>
      </c>
      <c r="I77" s="1624">
        <v>432</v>
      </c>
    </row>
    <row r="78" spans="3:9" ht="16.5">
      <c r="C78" s="1605" t="s">
        <v>342</v>
      </c>
      <c r="D78" s="1624">
        <v>609.63599999999997</v>
      </c>
      <c r="E78" s="1619">
        <v>27.247</v>
      </c>
      <c r="F78" s="1624">
        <v>23764.643</v>
      </c>
      <c r="G78" s="1624">
        <v>475.07100000000003</v>
      </c>
      <c r="H78" s="1624">
        <v>92540.576000000001</v>
      </c>
      <c r="I78" s="1624">
        <v>478.88799999999998</v>
      </c>
    </row>
    <row r="79" spans="3:9" ht="16.5">
      <c r="C79" s="1605" t="s">
        <v>343</v>
      </c>
      <c r="D79" s="1624">
        <v>575.26900000000001</v>
      </c>
      <c r="E79" s="1619">
        <v>25.638999999999999</v>
      </c>
      <c r="F79" s="1624">
        <v>22748.641</v>
      </c>
      <c r="G79" s="1624">
        <v>347.33100000000002</v>
      </c>
      <c r="H79" s="1624">
        <v>97945.160999999993</v>
      </c>
      <c r="I79" s="1624">
        <v>472.98200000000003</v>
      </c>
    </row>
    <row r="80" spans="3:9" ht="17.25" thickBot="1">
      <c r="C80" s="1605" t="s">
        <v>344</v>
      </c>
      <c r="D80" s="1624">
        <v>524.20399999999995</v>
      </c>
      <c r="E80" s="1619">
        <v>19.193999999999999</v>
      </c>
      <c r="F80" s="1624">
        <v>26779.106</v>
      </c>
      <c r="G80" s="1624">
        <v>347.21300000000002</v>
      </c>
      <c r="H80" s="1624">
        <v>118198.935</v>
      </c>
      <c r="I80" s="1624">
        <v>524.80700000000002</v>
      </c>
    </row>
    <row r="81" spans="3:15" ht="17.25" thickBot="1">
      <c r="C81" s="1609" t="s">
        <v>1150</v>
      </c>
      <c r="D81" s="1625">
        <f t="shared" ref="D81:I81" si="3">SUM(D69:D80)</f>
        <v>5903.4430000000011</v>
      </c>
      <c r="E81" s="1337">
        <f t="shared" si="3"/>
        <v>320.06700000000006</v>
      </c>
      <c r="F81" s="1625">
        <f t="shared" si="3"/>
        <v>214857.43300000002</v>
      </c>
      <c r="G81" s="1625">
        <f t="shared" si="3"/>
        <v>8098.9609999999993</v>
      </c>
      <c r="H81" s="1625">
        <f t="shared" si="3"/>
        <v>754742.13100000005</v>
      </c>
      <c r="I81" s="1631">
        <f t="shared" si="3"/>
        <v>4248.8389999999999</v>
      </c>
    </row>
    <row r="82" spans="3:15" ht="17.25" customHeight="1">
      <c r="C82" s="1605"/>
      <c r="D82" s="1624"/>
      <c r="E82" s="1619"/>
      <c r="F82" s="1624"/>
      <c r="G82" s="1624"/>
      <c r="H82" s="1624"/>
      <c r="I82" s="1619"/>
    </row>
    <row r="83" spans="3:15" ht="16.5">
      <c r="C83" s="1604">
        <v>2018</v>
      </c>
      <c r="D83" s="1624"/>
      <c r="E83" s="1619"/>
      <c r="F83" s="1624"/>
      <c r="G83" s="1624"/>
      <c r="H83" s="1624"/>
      <c r="I83" s="1619"/>
    </row>
    <row r="84" spans="3:15" ht="16.5">
      <c r="C84" s="1605" t="s">
        <v>345</v>
      </c>
      <c r="D84" s="1624">
        <v>548.125</v>
      </c>
      <c r="E84" s="1619">
        <v>22.728000000000002</v>
      </c>
      <c r="F84" s="1624">
        <v>20981.214</v>
      </c>
      <c r="G84" s="1624">
        <v>449.6</v>
      </c>
      <c r="H84" s="1624">
        <v>100593.9</v>
      </c>
      <c r="I84" s="1624">
        <v>501.8</v>
      </c>
    </row>
    <row r="85" spans="3:15" ht="16.5">
      <c r="C85" s="1605" t="s">
        <v>334</v>
      </c>
      <c r="D85" s="1624">
        <v>457.18799999999999</v>
      </c>
      <c r="E85" s="1619">
        <v>22.475999999999999</v>
      </c>
      <c r="F85" s="1624">
        <v>18869.044999999998</v>
      </c>
      <c r="G85" s="1624">
        <v>292.22199999999998</v>
      </c>
      <c r="H85" s="1624">
        <v>89584.316000000006</v>
      </c>
      <c r="I85" s="1624">
        <v>463.78399999999999</v>
      </c>
    </row>
    <row r="86" spans="3:15" ht="17.25" customHeight="1">
      <c r="C86" s="1605" t="s">
        <v>335</v>
      </c>
      <c r="D86" s="1624">
        <v>545.17899999999997</v>
      </c>
      <c r="E86" s="1619">
        <v>23.675999999999998</v>
      </c>
      <c r="F86" s="1624">
        <v>21996.847000000002</v>
      </c>
      <c r="G86" s="1624">
        <v>268.40800000000002</v>
      </c>
      <c r="H86" s="1624">
        <v>116119.95</v>
      </c>
      <c r="I86" s="1624">
        <v>510.505</v>
      </c>
    </row>
    <row r="87" spans="3:15" ht="21" customHeight="1">
      <c r="C87" s="1605" t="s">
        <v>336</v>
      </c>
      <c r="D87" s="1624">
        <v>505.49599999999998</v>
      </c>
      <c r="E87" s="1619">
        <v>17.38</v>
      </c>
      <c r="F87" s="1624">
        <v>21170.044999999998</v>
      </c>
      <c r="G87" s="1624">
        <v>253.59899999999999</v>
      </c>
      <c r="H87" s="1624">
        <v>117616.792</v>
      </c>
      <c r="I87" s="1624">
        <v>456.96</v>
      </c>
    </row>
    <row r="88" spans="3:15" ht="21" customHeight="1">
      <c r="C88" s="1605" t="s">
        <v>337</v>
      </c>
      <c r="D88" s="1624">
        <v>611.13499999999999</v>
      </c>
      <c r="E88" s="1619">
        <v>21.216999999999999</v>
      </c>
      <c r="F88" s="1624">
        <v>23278.196</v>
      </c>
      <c r="G88" s="1624">
        <v>213.172</v>
      </c>
      <c r="H88" s="1624">
        <v>137422.97</v>
      </c>
      <c r="I88" s="1624">
        <v>496.61900000000003</v>
      </c>
    </row>
    <row r="89" spans="3:15" ht="21" customHeight="1">
      <c r="C89" s="1605" t="s">
        <v>338</v>
      </c>
      <c r="D89" s="1624">
        <v>553.6</v>
      </c>
      <c r="E89" s="1619">
        <v>22.46</v>
      </c>
      <c r="F89" s="1624">
        <v>23790</v>
      </c>
      <c r="G89" s="1624">
        <v>175.19</v>
      </c>
      <c r="H89" s="1624">
        <v>156609.78</v>
      </c>
      <c r="I89" s="1624">
        <v>502.22</v>
      </c>
    </row>
    <row r="90" spans="3:15" ht="21" customHeight="1">
      <c r="C90" s="1605" t="s">
        <v>339</v>
      </c>
      <c r="D90" s="1624">
        <v>560.15</v>
      </c>
      <c r="E90" s="1619">
        <v>20.07</v>
      </c>
      <c r="F90" s="1624">
        <v>25075.47</v>
      </c>
      <c r="G90" s="1624">
        <v>223.13</v>
      </c>
      <c r="H90" s="1624">
        <v>169416.76</v>
      </c>
      <c r="I90" s="1624">
        <v>559.58000000000004</v>
      </c>
    </row>
    <row r="91" spans="3:15" ht="21" customHeight="1">
      <c r="C91" s="1605" t="s">
        <v>340</v>
      </c>
      <c r="D91" s="1624">
        <v>553.00900000000001</v>
      </c>
      <c r="E91" s="1619">
        <v>15.147</v>
      </c>
      <c r="F91" s="1624">
        <v>25249.867999999999</v>
      </c>
      <c r="G91" s="1624">
        <v>317.35199999999998</v>
      </c>
      <c r="H91" s="1624">
        <v>164917.97099999999</v>
      </c>
      <c r="I91" s="1624">
        <v>518.69799999999998</v>
      </c>
    </row>
    <row r="92" spans="3:15" ht="21" customHeight="1">
      <c r="C92" s="1605" t="s">
        <v>341</v>
      </c>
      <c r="D92" s="1624">
        <v>542.95699999999999</v>
      </c>
      <c r="E92" s="1619">
        <v>19.373999999999999</v>
      </c>
      <c r="F92" s="1624">
        <v>24918.008999999998</v>
      </c>
      <c r="G92" s="1624">
        <v>300.80700000000002</v>
      </c>
      <c r="H92" s="1624">
        <v>161289.49900000001</v>
      </c>
      <c r="I92" s="1624">
        <v>511.27100000000002</v>
      </c>
      <c r="O92" s="922"/>
    </row>
    <row r="93" spans="3:15" ht="21" customHeight="1">
      <c r="C93" s="1605" t="s">
        <v>342</v>
      </c>
      <c r="D93" s="1624">
        <v>571.6</v>
      </c>
      <c r="E93" s="1619">
        <v>20.399999999999999</v>
      </c>
      <c r="F93" s="1624">
        <v>21025.4</v>
      </c>
      <c r="G93" s="1624">
        <v>345.5</v>
      </c>
      <c r="H93" s="1624">
        <v>161427.4</v>
      </c>
      <c r="I93" s="1624">
        <v>495.99400000000003</v>
      </c>
    </row>
    <row r="94" spans="3:15" ht="21" customHeight="1">
      <c r="C94" s="1605" t="s">
        <v>343</v>
      </c>
      <c r="D94" s="1624">
        <v>477.4</v>
      </c>
      <c r="E94" s="1619">
        <v>16.7</v>
      </c>
      <c r="F94" s="1624">
        <v>17845.400000000001</v>
      </c>
      <c r="G94" s="1624">
        <v>334.9</v>
      </c>
      <c r="H94" s="1624">
        <v>133862.1</v>
      </c>
      <c r="I94" s="1624">
        <v>430.6</v>
      </c>
    </row>
    <row r="95" spans="3:15" ht="21" customHeight="1" thickBot="1">
      <c r="C95" s="1605" t="s">
        <v>344</v>
      </c>
      <c r="D95" s="1624">
        <v>478.6</v>
      </c>
      <c r="E95" s="1619">
        <v>13</v>
      </c>
      <c r="F95" s="1624">
        <v>27419.1</v>
      </c>
      <c r="G95" s="1624">
        <v>236.2</v>
      </c>
      <c r="H95" s="1624">
        <v>161540.70000000001</v>
      </c>
      <c r="I95" s="1624">
        <v>409.1</v>
      </c>
    </row>
    <row r="96" spans="3:15" ht="21" customHeight="1" thickBot="1">
      <c r="C96" s="1609" t="s">
        <v>1150</v>
      </c>
      <c r="D96" s="1625">
        <f t="shared" ref="D96:I96" si="4">SUM(D84:D95)</f>
        <v>6404.4390000000003</v>
      </c>
      <c r="E96" s="1337">
        <f t="shared" si="4"/>
        <v>234.62799999999996</v>
      </c>
      <c r="F96" s="1625">
        <f t="shared" si="4"/>
        <v>271618.59399999992</v>
      </c>
      <c r="G96" s="1625">
        <f t="shared" si="4"/>
        <v>3410.0799999999995</v>
      </c>
      <c r="H96" s="1625">
        <f t="shared" si="4"/>
        <v>1670402.138</v>
      </c>
      <c r="I96" s="1631">
        <f t="shared" si="4"/>
        <v>5857.1310000000003</v>
      </c>
    </row>
    <row r="97" spans="3:10" ht="21" customHeight="1">
      <c r="C97" s="1605"/>
      <c r="D97" s="1624"/>
      <c r="E97" s="1619"/>
      <c r="F97" s="1624"/>
      <c r="G97" s="1624"/>
      <c r="H97" s="1624"/>
      <c r="I97" s="1624"/>
    </row>
    <row r="98" spans="3:10" ht="21" customHeight="1">
      <c r="C98" s="1604">
        <v>2019</v>
      </c>
      <c r="D98" s="1624"/>
      <c r="E98" s="1619"/>
      <c r="F98" s="1624"/>
      <c r="G98" s="1624"/>
      <c r="H98" s="1624"/>
      <c r="I98" s="1624"/>
    </row>
    <row r="99" spans="3:10" ht="21" customHeight="1">
      <c r="C99" s="1604" t="s">
        <v>345</v>
      </c>
      <c r="D99" s="1624">
        <v>401.51400000000001</v>
      </c>
      <c r="E99" s="1619">
        <v>12.204000000000001</v>
      </c>
      <c r="F99" s="1624">
        <v>40613.786</v>
      </c>
      <c r="G99" s="1624">
        <v>232.608</v>
      </c>
      <c r="H99" s="1624">
        <v>135481.068</v>
      </c>
      <c r="I99" s="1624">
        <v>413.387</v>
      </c>
    </row>
    <row r="100" spans="3:10" ht="21" customHeight="1">
      <c r="C100" s="1604" t="s">
        <v>334</v>
      </c>
      <c r="D100" s="1624">
        <v>456.53699999999998</v>
      </c>
      <c r="E100" s="1619">
        <v>16.350999999999999</v>
      </c>
      <c r="F100" s="1624">
        <v>27811.168000000001</v>
      </c>
      <c r="G100" s="1624">
        <v>226.768</v>
      </c>
      <c r="H100" s="1624">
        <v>119081.12300000001</v>
      </c>
      <c r="I100" s="1624">
        <v>463.61500000000001</v>
      </c>
    </row>
    <row r="101" spans="3:10" ht="21" customHeight="1">
      <c r="C101" s="1604" t="s">
        <v>335</v>
      </c>
      <c r="D101" s="1624">
        <v>525.90899999999999</v>
      </c>
      <c r="E101" s="1619">
        <v>15.42</v>
      </c>
      <c r="F101" s="1624">
        <v>30417.553</v>
      </c>
      <c r="G101" s="1624">
        <v>248.87899999999999</v>
      </c>
      <c r="H101" s="1624">
        <v>142597.82800000001</v>
      </c>
      <c r="I101" s="1624">
        <v>441.02300000000002</v>
      </c>
    </row>
    <row r="102" spans="3:10" ht="21" customHeight="1">
      <c r="C102" s="1604" t="s">
        <v>336</v>
      </c>
      <c r="D102" s="1624">
        <v>535.01800000000003</v>
      </c>
      <c r="E102" s="1619">
        <v>13.651</v>
      </c>
      <c r="F102" s="1624">
        <v>32092.525000000001</v>
      </c>
      <c r="G102" s="1624">
        <v>168.78700000000001</v>
      </c>
      <c r="H102" s="1624">
        <v>157348.283</v>
      </c>
      <c r="I102" s="1624">
        <v>390.07799999999997</v>
      </c>
    </row>
    <row r="103" spans="3:10" ht="21" customHeight="1">
      <c r="C103" s="1604" t="s">
        <v>337</v>
      </c>
      <c r="D103" s="1624">
        <v>642.58500000000004</v>
      </c>
      <c r="E103" s="1619">
        <v>14.654999999999999</v>
      </c>
      <c r="F103" s="1624">
        <v>15542.619000000001</v>
      </c>
      <c r="G103" s="1624">
        <v>121.44</v>
      </c>
      <c r="H103" s="1624">
        <v>166491.56</v>
      </c>
      <c r="I103" s="1624">
        <v>494.29</v>
      </c>
    </row>
    <row r="104" spans="3:10" ht="21" customHeight="1">
      <c r="C104" s="1604" t="s">
        <v>338</v>
      </c>
      <c r="D104" s="1624">
        <v>705.95799999999997</v>
      </c>
      <c r="E104" s="1619">
        <v>13.343</v>
      </c>
      <c r="F104" s="1624">
        <v>18012.052</v>
      </c>
      <c r="G104" s="1624">
        <v>79.597999999999999</v>
      </c>
      <c r="H104" s="1624">
        <v>160873.02900000001</v>
      </c>
      <c r="I104" s="1624">
        <v>486.81200000000001</v>
      </c>
    </row>
    <row r="105" spans="3:10" ht="21" customHeight="1">
      <c r="C105" s="1604" t="s">
        <v>339</v>
      </c>
      <c r="D105" s="1624">
        <v>983.53200000000004</v>
      </c>
      <c r="E105" s="1619">
        <v>13.586</v>
      </c>
      <c r="F105" s="1624">
        <v>20465.365000000002</v>
      </c>
      <c r="G105" s="1624">
        <v>99.555000000000007</v>
      </c>
      <c r="H105" s="1624">
        <v>170823.26800000001</v>
      </c>
      <c r="I105" s="1624">
        <v>638.16499999999996</v>
      </c>
    </row>
    <row r="106" spans="3:10" ht="15" customHeight="1">
      <c r="C106" s="1604" t="s">
        <v>340</v>
      </c>
      <c r="D106" s="1624">
        <v>872.90599999999995</v>
      </c>
      <c r="E106" s="1619">
        <v>8.99</v>
      </c>
      <c r="F106" s="1624">
        <v>21919.772000000001</v>
      </c>
      <c r="G106" s="1624">
        <v>85.234999999999999</v>
      </c>
      <c r="H106" s="1624">
        <v>179281.19699999999</v>
      </c>
      <c r="I106" s="1624">
        <v>542.27599999999995</v>
      </c>
    </row>
    <row r="107" spans="3:10" ht="15" customHeight="1" thickBot="1">
      <c r="C107" s="1604" t="s">
        <v>341</v>
      </c>
      <c r="D107" s="1626">
        <v>1010.701</v>
      </c>
      <c r="E107" s="1629">
        <v>11.881</v>
      </c>
      <c r="F107" s="1626">
        <v>22749.600999999999</v>
      </c>
      <c r="G107" s="1626">
        <v>62.438000000000002</v>
      </c>
      <c r="H107" s="1626">
        <v>200441.851</v>
      </c>
      <c r="I107" s="1626">
        <v>679.423</v>
      </c>
    </row>
    <row r="108" spans="3:10" ht="15.75" thickTop="1">
      <c r="C108" s="1080"/>
      <c r="D108" s="1504"/>
      <c r="E108" s="1504"/>
      <c r="F108" s="1504"/>
      <c r="G108" s="1504"/>
      <c r="H108" s="1504"/>
      <c r="I108" s="1504"/>
    </row>
    <row r="109" spans="3:10" ht="16.5">
      <c r="C109" s="1432" t="s">
        <v>1779</v>
      </c>
      <c r="D109" s="1231"/>
      <c r="E109" s="1231"/>
      <c r="F109" s="1231"/>
      <c r="G109" s="1231"/>
      <c r="H109" s="1231"/>
      <c r="I109" s="1231"/>
      <c r="J109" s="922"/>
    </row>
    <row r="110" spans="3:10">
      <c r="C110" s="922"/>
      <c r="D110" s="922"/>
      <c r="E110" s="922"/>
      <c r="F110" s="922"/>
      <c r="G110" s="922"/>
      <c r="H110" s="922"/>
      <c r="I110" s="922"/>
      <c r="J110" s="922"/>
    </row>
    <row r="111" spans="3:10">
      <c r="C111" s="922"/>
      <c r="D111" s="922"/>
      <c r="E111" s="922"/>
      <c r="F111" s="922"/>
      <c r="G111" s="922"/>
      <c r="H111" s="922"/>
      <c r="I111" s="922"/>
      <c r="J111" s="922"/>
    </row>
    <row r="112" spans="3:10">
      <c r="D112" s="922"/>
      <c r="E112" s="922"/>
      <c r="F112" s="922"/>
      <c r="G112" s="922"/>
      <c r="H112" s="1224"/>
      <c r="I112" s="922"/>
      <c r="J112" s="922"/>
    </row>
    <row r="113" spans="6:10">
      <c r="I113" s="922"/>
      <c r="J113" s="922"/>
    </row>
    <row r="114" spans="6:10">
      <c r="I114" s="922"/>
      <c r="J114" s="922"/>
    </row>
    <row r="115" spans="6:10">
      <c r="F115" s="922"/>
      <c r="I115" s="922"/>
      <c r="J115" s="922"/>
    </row>
    <row r="116" spans="6:10">
      <c r="I116" s="922"/>
      <c r="J116" s="922"/>
    </row>
    <row r="117" spans="6:10">
      <c r="I117" s="922"/>
      <c r="J117" s="922"/>
    </row>
    <row r="118" spans="6:10">
      <c r="I118" s="922"/>
      <c r="J118" s="922"/>
    </row>
    <row r="119" spans="6:10">
      <c r="I119" s="922"/>
      <c r="J119" s="922"/>
    </row>
    <row r="120" spans="6:10">
      <c r="I120" s="922"/>
      <c r="J120" s="922"/>
    </row>
    <row r="121" spans="6:10">
      <c r="I121" s="922"/>
      <c r="J121" s="922"/>
    </row>
  </sheetData>
  <customSheetViews>
    <customSheetView guid="{705E0D18-9A83-42CA-8732-90923BE2EC7D}" showGridLines="0" hiddenRows="1" topLeftCell="A2">
      <pane xSplit="3" ySplit="64" topLeftCell="H80" activePane="bottomRight" state="frozen"/>
      <selection pane="bottomRight" activeCell="K2" sqref="K1:O1048576"/>
      <pageMargins left="0.7" right="0.7" top="0.75" bottom="0.75" header="0.3" footer="0.3"/>
      <pageSetup paperSize="9" orientation="portrait" r:id="rId1"/>
    </customSheetView>
    <customSheetView guid="{D45E5F9E-4EA6-40A2-8A1D-3AC67FB8CE54}" showGridLines="0" hiddenRows="1" topLeftCell="A2">
      <pane xSplit="3" ySplit="64" topLeftCell="D87" activePane="bottomRight" state="frozen"/>
      <selection pane="bottomRight" activeCell="A88" sqref="A88:XFD88"/>
      <pageMargins left="0.7" right="0.7" top="0.75" bottom="0.75" header="0.3" footer="0.3"/>
      <pageSetup paperSize="9" orientation="portrait" r:id="rId2"/>
    </customSheetView>
    <customSheetView guid="{098C004C-808F-436E-8F18-182F927479D1}" showGridLines="0" hiddenRows="1" topLeftCell="A2">
      <pane xSplit="3" ySplit="35" topLeftCell="D48" activePane="bottomRight" state="frozen"/>
      <selection pane="bottomRight" activeCell="E58" sqref="E58"/>
      <pageMargins left="0.7" right="0.7" top="0.75" bottom="0.75" header="0.3" footer="0.3"/>
    </customSheetView>
    <customSheetView guid="{89CA84C2-78F5-4B05-8F1D-B7C5F97BCB4E}" showGridLines="0" hiddenRows="1" topLeftCell="A2">
      <pane xSplit="3" ySplit="50" topLeftCell="D68" activePane="bottomRight" state="frozen"/>
      <selection pane="bottomRight" activeCell="A80" sqref="A80:XFD80"/>
      <pageMargins left="0.7" right="0.7" top="0.75" bottom="0.75" header="0.3" footer="0.3"/>
      <pageSetup paperSize="9" orientation="portrait" r:id="rId3"/>
    </customSheetView>
  </customSheetViews>
  <mergeCells count="2">
    <mergeCell ref="C2:I2"/>
    <mergeCell ref="C3:I3"/>
  </mergeCells>
  <pageMargins left="0.7" right="0.7" top="0.75" bottom="0.75" header="0.3" footer="0.3"/>
  <pageSetup paperSize="9" orientation="portrait" r:id="rId4"/>
  <ignoredErrors>
    <ignoredError sqref="D37:I37 D51:I51 D66:H66 D81:I81 D96:I96" unlockedFormula="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B1:L63"/>
  <sheetViews>
    <sheetView showGridLines="0" workbookViewId="0">
      <pane xSplit="2" ySplit="4" topLeftCell="C51" activePane="bottomRight" state="frozen"/>
      <selection activeCell="J193" sqref="J193"/>
      <selection pane="topRight" activeCell="J193" sqref="J193"/>
      <selection pane="bottomLeft" activeCell="J193" sqref="J193"/>
      <selection pane="bottomRight" activeCell="J193" sqref="J193"/>
    </sheetView>
  </sheetViews>
  <sheetFormatPr defaultRowHeight="15"/>
  <cols>
    <col min="2" max="2" width="10" customWidth="1"/>
    <col min="3" max="3" width="13.77734375" customWidth="1"/>
    <col min="4" max="4" width="12.44140625" customWidth="1"/>
    <col min="5" max="5" width="14.6640625" customWidth="1"/>
    <col min="6" max="6" width="15.44140625" customWidth="1"/>
  </cols>
  <sheetData>
    <row r="1" spans="2:7" ht="15" customHeight="1">
      <c r="B1" s="1980" t="s">
        <v>1744</v>
      </c>
      <c r="C1" s="1980"/>
      <c r="D1" s="1980"/>
      <c r="E1" s="1980"/>
      <c r="F1" s="1980"/>
      <c r="G1" s="1019"/>
    </row>
    <row r="2" spans="2:7">
      <c r="B2" s="1981" t="s">
        <v>1359</v>
      </c>
      <c r="C2" s="1981"/>
      <c r="D2" s="1981"/>
      <c r="E2" s="1981"/>
      <c r="F2" s="1981"/>
    </row>
    <row r="3" spans="2:7" ht="15.75" thickBot="1">
      <c r="B3" s="1"/>
      <c r="C3" s="1"/>
      <c r="D3" s="1"/>
      <c r="E3" s="1"/>
      <c r="F3" s="1"/>
    </row>
    <row r="4" spans="2:7" ht="16.5" thickBot="1">
      <c r="B4" s="1592" t="s">
        <v>263</v>
      </c>
      <c r="C4" s="1020" t="s">
        <v>1748</v>
      </c>
      <c r="D4" s="1021" t="s">
        <v>1749</v>
      </c>
      <c r="E4" s="1020" t="s">
        <v>1750</v>
      </c>
      <c r="F4" s="1021" t="s">
        <v>1751</v>
      </c>
    </row>
    <row r="5" spans="2:7" ht="18.75">
      <c r="B5" s="1593"/>
      <c r="C5" s="1022"/>
      <c r="D5" s="1023"/>
      <c r="E5" s="1022"/>
      <c r="F5" s="1023"/>
    </row>
    <row r="6" spans="2:7" ht="15.75" hidden="1">
      <c r="B6" s="1587">
        <v>2016</v>
      </c>
      <c r="C6" s="1024"/>
      <c r="D6" s="1025"/>
      <c r="E6" s="1024"/>
      <c r="F6" s="1025"/>
    </row>
    <row r="7" spans="2:7" ht="15.75" hidden="1">
      <c r="B7" s="1594" t="s">
        <v>345</v>
      </c>
      <c r="C7" s="1358">
        <v>249.17781189999999</v>
      </c>
      <c r="D7" s="1597">
        <v>395.34554888999998</v>
      </c>
      <c r="E7" s="1358">
        <f>+D7+C7</f>
        <v>644.52336078999997</v>
      </c>
      <c r="F7" s="1360">
        <f>+C7-D7</f>
        <v>-146.16773698999998</v>
      </c>
    </row>
    <row r="8" spans="2:7" ht="15.75" hidden="1">
      <c r="B8" s="1594" t="s">
        <v>334</v>
      </c>
      <c r="C8" s="1358">
        <v>209.55185183</v>
      </c>
      <c r="D8" s="1597">
        <v>427.72780231000002</v>
      </c>
      <c r="E8" s="1358">
        <f t="shared" ref="E8:E18" si="0">+D8+C8</f>
        <v>637.27965414000005</v>
      </c>
      <c r="F8" s="1360">
        <f t="shared" ref="F8:F18" si="1">+C8-D8</f>
        <v>-218.17595048000001</v>
      </c>
    </row>
    <row r="9" spans="2:7" ht="15.75" hidden="1">
      <c r="B9" s="1594" t="s">
        <v>335</v>
      </c>
      <c r="C9" s="1358">
        <v>166.49663235</v>
      </c>
      <c r="D9" s="1597">
        <v>478.05701492600002</v>
      </c>
      <c r="E9" s="1358">
        <f t="shared" si="0"/>
        <v>644.55364727599999</v>
      </c>
      <c r="F9" s="1360">
        <f t="shared" si="1"/>
        <v>-311.56038257600005</v>
      </c>
    </row>
    <row r="10" spans="2:7" ht="15.75" hidden="1">
      <c r="B10" s="1594" t="s">
        <v>336</v>
      </c>
      <c r="C10" s="1358">
        <v>157.82985009000001</v>
      </c>
      <c r="D10" s="1597">
        <v>356.48083895499997</v>
      </c>
      <c r="E10" s="1358">
        <f t="shared" si="0"/>
        <v>514.310689045</v>
      </c>
      <c r="F10" s="1360">
        <f t="shared" si="1"/>
        <v>-198.65098886499996</v>
      </c>
    </row>
    <row r="11" spans="2:7" ht="15.75" hidden="1">
      <c r="B11" s="1594" t="s">
        <v>337</v>
      </c>
      <c r="C11" s="1358">
        <v>165.20101191999998</v>
      </c>
      <c r="D11" s="1597">
        <v>408.48907707000001</v>
      </c>
      <c r="E11" s="1358">
        <f t="shared" si="0"/>
        <v>573.69008899000005</v>
      </c>
      <c r="F11" s="1360">
        <f t="shared" si="1"/>
        <v>-243.28806515000002</v>
      </c>
    </row>
    <row r="12" spans="2:7" ht="15.75" hidden="1">
      <c r="B12" s="1594" t="s">
        <v>338</v>
      </c>
      <c r="C12" s="1358">
        <v>176.20607389</v>
      </c>
      <c r="D12" s="1597">
        <v>429.408273753</v>
      </c>
      <c r="E12" s="1358">
        <f t="shared" si="0"/>
        <v>605.61434764299997</v>
      </c>
      <c r="F12" s="1360">
        <f t="shared" si="1"/>
        <v>-253.202199863</v>
      </c>
    </row>
    <row r="13" spans="2:7" ht="15.75" hidden="1">
      <c r="B13" s="1594" t="s">
        <v>339</v>
      </c>
      <c r="C13" s="1358">
        <v>184.20575156999999</v>
      </c>
      <c r="D13" s="1597">
        <v>394.22839668</v>
      </c>
      <c r="E13" s="1358">
        <f t="shared" si="0"/>
        <v>578.43414825000002</v>
      </c>
      <c r="F13" s="1360">
        <f t="shared" si="1"/>
        <v>-210.02264511000001</v>
      </c>
    </row>
    <row r="14" spans="2:7" ht="15.75" hidden="1">
      <c r="B14" s="1594" t="s">
        <v>340</v>
      </c>
      <c r="C14" s="1358">
        <v>202.13691759</v>
      </c>
      <c r="D14" s="1597">
        <v>445.02606943000001</v>
      </c>
      <c r="E14" s="1358">
        <f t="shared" si="0"/>
        <v>647.16298701999995</v>
      </c>
      <c r="F14" s="1360">
        <f t="shared" si="1"/>
        <v>-242.88915184000001</v>
      </c>
    </row>
    <row r="15" spans="2:7" ht="15.75" hidden="1">
      <c r="B15" s="1594" t="s">
        <v>341</v>
      </c>
      <c r="C15" s="1358">
        <v>250.41591206000001</v>
      </c>
      <c r="D15" s="1597">
        <v>443.88834850000001</v>
      </c>
      <c r="E15" s="1358">
        <f>+D15+C15</f>
        <v>694.30426055999999</v>
      </c>
      <c r="F15" s="1360">
        <f t="shared" si="1"/>
        <v>-193.47243644</v>
      </c>
    </row>
    <row r="16" spans="2:7" ht="15.75" hidden="1">
      <c r="B16" s="1594" t="s">
        <v>342</v>
      </c>
      <c r="C16" s="1358">
        <v>318.45319076999999</v>
      </c>
      <c r="D16" s="1597">
        <v>468.06434322799998</v>
      </c>
      <c r="E16" s="1358">
        <f t="shared" si="0"/>
        <v>786.51753399799998</v>
      </c>
      <c r="F16" s="1360">
        <f>+C16-D16</f>
        <v>-149.61115245799999</v>
      </c>
    </row>
    <row r="17" spans="2:6" ht="15.75" hidden="1">
      <c r="B17" s="1594" t="s">
        <v>343</v>
      </c>
      <c r="C17" s="1358">
        <v>460.72757288999998</v>
      </c>
      <c r="D17" s="1597">
        <v>475.33286603899995</v>
      </c>
      <c r="E17" s="1358">
        <f t="shared" si="0"/>
        <v>936.06043892899993</v>
      </c>
      <c r="F17" s="1360">
        <f>+C17-D17</f>
        <v>-14.605293148999976</v>
      </c>
    </row>
    <row r="18" spans="2:6" ht="15.75" hidden="1">
      <c r="B18" s="1594" t="s">
        <v>344</v>
      </c>
      <c r="C18" s="1358">
        <v>291.87076279000001</v>
      </c>
      <c r="D18" s="1597">
        <v>489.36610879599999</v>
      </c>
      <c r="E18" s="1358">
        <f t="shared" si="0"/>
        <v>781.23687158600001</v>
      </c>
      <c r="F18" s="1360">
        <f t="shared" si="1"/>
        <v>-197.49534600599998</v>
      </c>
    </row>
    <row r="19" spans="2:6" ht="16.5" hidden="1" thickBot="1">
      <c r="B19" s="1595" t="s">
        <v>37</v>
      </c>
      <c r="C19" s="1361">
        <f>SUM(C7:C18)</f>
        <v>2832.2733396499998</v>
      </c>
      <c r="D19" s="1598">
        <f>SUM(D7:D18)</f>
        <v>5211.4146885769997</v>
      </c>
      <c r="E19" s="1361">
        <f>SUM(E7:E18)</f>
        <v>8043.6880282270004</v>
      </c>
      <c r="F19" s="1362">
        <f>SUM(F7:F18)</f>
        <v>-2379.1413489269999</v>
      </c>
    </row>
    <row r="20" spans="2:6" ht="15.75" hidden="1">
      <c r="B20" s="1594"/>
      <c r="C20" s="1358"/>
      <c r="D20" s="1597"/>
      <c r="E20" s="1358"/>
      <c r="F20" s="1360"/>
    </row>
    <row r="21" spans="2:6" ht="15.75">
      <c r="B21" s="1587">
        <v>2017</v>
      </c>
      <c r="C21" s="1358"/>
      <c r="D21" s="1597"/>
      <c r="E21" s="1358"/>
      <c r="F21" s="1363"/>
    </row>
    <row r="22" spans="2:6" ht="15.75">
      <c r="B22" s="1596" t="s">
        <v>345</v>
      </c>
      <c r="C22" s="1359">
        <v>291.97086805555557</v>
      </c>
      <c r="D22" s="1360">
        <v>385</v>
      </c>
      <c r="E22" s="1358">
        <f t="shared" ref="E22:E33" si="2">+D22+C22</f>
        <v>676.97086805555557</v>
      </c>
      <c r="F22" s="1360">
        <f t="shared" ref="F22:F33" si="3">+C22-D22</f>
        <v>-93.02913194444443</v>
      </c>
    </row>
    <row r="23" spans="2:6" ht="15.75" customHeight="1">
      <c r="B23" s="1596" t="s">
        <v>334</v>
      </c>
      <c r="C23" s="1359">
        <v>290.34151516000003</v>
      </c>
      <c r="D23" s="1360">
        <v>424.4</v>
      </c>
      <c r="E23" s="1358">
        <f t="shared" si="2"/>
        <v>714.74151516000006</v>
      </c>
      <c r="F23" s="1360">
        <f t="shared" si="3"/>
        <v>-134.05848483999995</v>
      </c>
    </row>
    <row r="24" spans="2:6" ht="15.75">
      <c r="B24" s="1596" t="s">
        <v>335</v>
      </c>
      <c r="C24" s="1359">
        <v>265.66932163999996</v>
      </c>
      <c r="D24" s="1360">
        <v>461.8</v>
      </c>
      <c r="E24" s="1358">
        <f t="shared" si="2"/>
        <v>727.46932163999998</v>
      </c>
      <c r="F24" s="1360">
        <f t="shared" si="3"/>
        <v>-196.13067836000005</v>
      </c>
    </row>
    <row r="25" spans="2:6" ht="15.75">
      <c r="B25" s="1596" t="s">
        <v>336</v>
      </c>
      <c r="C25" s="1359">
        <v>225.5758256</v>
      </c>
      <c r="D25" s="1360">
        <v>405.5</v>
      </c>
      <c r="E25" s="1358">
        <f t="shared" si="2"/>
        <v>631.07582560000003</v>
      </c>
      <c r="F25" s="1360">
        <f t="shared" si="3"/>
        <v>-179.9241744</v>
      </c>
    </row>
    <row r="26" spans="2:6" ht="15.75">
      <c r="B26" s="1596" t="s">
        <v>337</v>
      </c>
      <c r="C26" s="1359">
        <v>268.61010532</v>
      </c>
      <c r="D26" s="1360">
        <v>465.6</v>
      </c>
      <c r="E26" s="1358">
        <f t="shared" si="2"/>
        <v>734.21010532000003</v>
      </c>
      <c r="F26" s="1360">
        <f t="shared" si="3"/>
        <v>-196.98989468000002</v>
      </c>
    </row>
    <row r="27" spans="2:6" ht="15.75">
      <c r="B27" s="1596" t="s">
        <v>338</v>
      </c>
      <c r="C27" s="1359">
        <v>264.49658079</v>
      </c>
      <c r="D27" s="1360">
        <v>495.1</v>
      </c>
      <c r="E27" s="1358">
        <f t="shared" si="2"/>
        <v>759.59658078999996</v>
      </c>
      <c r="F27" s="1360">
        <f t="shared" si="3"/>
        <v>-230.60341921000003</v>
      </c>
    </row>
    <row r="28" spans="2:6" ht="15.75">
      <c r="B28" s="1596" t="s">
        <v>339</v>
      </c>
      <c r="C28" s="1359">
        <v>261.94287888000002</v>
      </c>
      <c r="D28" s="1360">
        <v>481.9</v>
      </c>
      <c r="E28" s="1358">
        <f t="shared" si="2"/>
        <v>743.84287887999994</v>
      </c>
      <c r="F28" s="1360">
        <f t="shared" si="3"/>
        <v>-219.95712111999995</v>
      </c>
    </row>
    <row r="29" spans="2:6" ht="15.75">
      <c r="B29" s="1596" t="s">
        <v>340</v>
      </c>
      <c r="C29" s="1364">
        <v>356.42626541999999</v>
      </c>
      <c r="D29" s="1360">
        <v>448.2</v>
      </c>
      <c r="E29" s="1358">
        <f t="shared" si="2"/>
        <v>804.62626541999998</v>
      </c>
      <c r="F29" s="1360">
        <f t="shared" si="3"/>
        <v>-91.773734579999996</v>
      </c>
    </row>
    <row r="30" spans="2:6" ht="15.75">
      <c r="B30" s="1596" t="s">
        <v>341</v>
      </c>
      <c r="C30" s="1364">
        <v>324.80602639</v>
      </c>
      <c r="D30" s="1360">
        <v>440</v>
      </c>
      <c r="E30" s="1358">
        <f t="shared" si="2"/>
        <v>764.80602638999994</v>
      </c>
      <c r="F30" s="1360">
        <f t="shared" si="3"/>
        <v>-115.19397361</v>
      </c>
    </row>
    <row r="31" spans="2:6" ht="15.75">
      <c r="B31" s="1596" t="s">
        <v>342</v>
      </c>
      <c r="C31" s="1359">
        <v>352.796718795</v>
      </c>
      <c r="D31" s="1360">
        <v>460.8</v>
      </c>
      <c r="E31" s="1358">
        <f t="shared" si="2"/>
        <v>813.59671879500002</v>
      </c>
      <c r="F31" s="1360">
        <f t="shared" si="3"/>
        <v>-108.00328120500001</v>
      </c>
    </row>
    <row r="32" spans="2:6" ht="15.75">
      <c r="B32" s="1596" t="s">
        <v>343</v>
      </c>
      <c r="C32" s="1359">
        <v>577.74575894000009</v>
      </c>
      <c r="D32" s="1360">
        <v>493.7</v>
      </c>
      <c r="E32" s="1358">
        <f t="shared" si="2"/>
        <v>1071.4457589400001</v>
      </c>
      <c r="F32" s="1360">
        <f t="shared" si="3"/>
        <v>84.045758940000098</v>
      </c>
    </row>
    <row r="33" spans="2:12" ht="16.5" thickBot="1">
      <c r="B33" s="1596" t="s">
        <v>344</v>
      </c>
      <c r="C33" s="1359">
        <v>299.8</v>
      </c>
      <c r="D33" s="1360">
        <v>556.29999999999995</v>
      </c>
      <c r="E33" s="1358">
        <f t="shared" si="2"/>
        <v>856.09999999999991</v>
      </c>
      <c r="F33" s="1360">
        <f t="shared" si="3"/>
        <v>-256.49999999999994</v>
      </c>
    </row>
    <row r="34" spans="2:12" ht="16.5" thickBot="1">
      <c r="B34" s="1592" t="s">
        <v>37</v>
      </c>
      <c r="C34" s="1361">
        <f>SUM(C22:C33)</f>
        <v>3780.1818649905558</v>
      </c>
      <c r="D34" s="1365">
        <f>SUM(D22:D33)</f>
        <v>5518.3</v>
      </c>
      <c r="E34" s="1362">
        <f>SUM(E22:E33)</f>
        <v>9298.4818649905556</v>
      </c>
      <c r="F34" s="1365">
        <f>SUM(F22:F33)</f>
        <v>-1738.1181350094446</v>
      </c>
    </row>
    <row r="35" spans="2:12" ht="15.75">
      <c r="B35" s="1596"/>
      <c r="C35" s="1359"/>
      <c r="D35" s="1360"/>
      <c r="E35" s="1358"/>
      <c r="F35" s="1358"/>
    </row>
    <row r="36" spans="2:12" ht="15.75">
      <c r="B36" s="1587">
        <v>2018</v>
      </c>
      <c r="C36" s="1359"/>
      <c r="D36" s="1360"/>
      <c r="E36" s="1358"/>
      <c r="F36" s="1358"/>
    </row>
    <row r="37" spans="2:12" ht="15.75">
      <c r="B37" s="1596" t="s">
        <v>345</v>
      </c>
      <c r="C37" s="1359">
        <v>251.2</v>
      </c>
      <c r="D37" s="1360">
        <v>489.66879999999998</v>
      </c>
      <c r="E37" s="1358">
        <f>+D37+C37</f>
        <v>740.86879999999996</v>
      </c>
      <c r="F37" s="1360">
        <f>+C37-D37</f>
        <v>-238.46879999999999</v>
      </c>
      <c r="H37" s="922"/>
      <c r="I37" s="922"/>
      <c r="J37" s="922"/>
      <c r="K37" s="922"/>
      <c r="L37" s="922"/>
    </row>
    <row r="38" spans="2:12" ht="15.75">
      <c r="B38" s="1596" t="s">
        <v>334</v>
      </c>
      <c r="C38" s="1359">
        <v>346.31799999999998</v>
      </c>
      <c r="D38" s="1360">
        <v>574.87800000000004</v>
      </c>
      <c r="E38" s="1358">
        <f>+D38+C38</f>
        <v>921.19600000000003</v>
      </c>
      <c r="F38" s="1360">
        <f>+C38-D38</f>
        <v>-228.56000000000006</v>
      </c>
      <c r="H38" s="922"/>
      <c r="I38" s="922"/>
      <c r="J38" s="922"/>
      <c r="K38" s="922"/>
      <c r="L38" s="922"/>
    </row>
    <row r="39" spans="2:12" ht="15.75">
      <c r="B39" s="1596" t="s">
        <v>335</v>
      </c>
      <c r="C39" s="1359">
        <v>288.55189999999999</v>
      </c>
      <c r="D39" s="1360">
        <v>605.77980000000002</v>
      </c>
      <c r="E39" s="1358">
        <f>+D39+C39</f>
        <v>894.33169999999996</v>
      </c>
      <c r="F39" s="1360">
        <f>+C39-D39</f>
        <v>-317.22790000000003</v>
      </c>
    </row>
    <row r="40" spans="2:12" ht="15.75">
      <c r="B40" s="1596" t="s">
        <v>336</v>
      </c>
      <c r="C40" s="1359">
        <v>329.61900000000003</v>
      </c>
      <c r="D40" s="1360">
        <v>544.09220000000005</v>
      </c>
      <c r="E40" s="1358">
        <f>+D40+C40</f>
        <v>873.71120000000008</v>
      </c>
      <c r="F40" s="1360">
        <f>+C40-D40</f>
        <v>-214.47320000000002</v>
      </c>
      <c r="H40" s="1366"/>
    </row>
    <row r="41" spans="2:12" ht="15.75">
      <c r="B41" s="1596" t="s">
        <v>337</v>
      </c>
      <c r="C41" s="1359">
        <v>267.18040000000002</v>
      </c>
      <c r="D41" s="1360">
        <v>532.38810000000001</v>
      </c>
      <c r="E41" s="1358">
        <f t="shared" ref="E41:E46" si="4">+D41+C41</f>
        <v>799.56850000000009</v>
      </c>
      <c r="F41" s="1360">
        <f t="shared" ref="F41:F46" si="5">+C41-D41</f>
        <v>-265.20769999999999</v>
      </c>
      <c r="H41" s="922"/>
    </row>
    <row r="42" spans="2:12" ht="15.75">
      <c r="B42" s="1596" t="s">
        <v>338</v>
      </c>
      <c r="C42" s="1359">
        <v>384.63938619999999</v>
      </c>
      <c r="D42" s="1360">
        <v>614.64811345999999</v>
      </c>
      <c r="E42" s="1358">
        <f t="shared" si="4"/>
        <v>999.28749965999998</v>
      </c>
      <c r="F42" s="1360">
        <f t="shared" si="5"/>
        <v>-230.00872726</v>
      </c>
      <c r="H42" s="922"/>
    </row>
    <row r="43" spans="2:12" ht="15.75">
      <c r="B43" s="1596" t="s">
        <v>339</v>
      </c>
      <c r="C43" s="1359">
        <v>340.26918572000005</v>
      </c>
      <c r="D43" s="1360">
        <v>560.01585276000003</v>
      </c>
      <c r="E43" s="1358">
        <f t="shared" si="4"/>
        <v>900.28503848000014</v>
      </c>
      <c r="F43" s="1360">
        <f t="shared" si="5"/>
        <v>-219.74666703999998</v>
      </c>
      <c r="H43" s="922"/>
    </row>
    <row r="44" spans="2:12" ht="15.75">
      <c r="B44" s="1596" t="s">
        <v>340</v>
      </c>
      <c r="C44" s="1359">
        <v>449.34836155199997</v>
      </c>
      <c r="D44" s="1360">
        <v>576.53875034999999</v>
      </c>
      <c r="E44" s="1358">
        <f t="shared" si="4"/>
        <v>1025.887111902</v>
      </c>
      <c r="F44" s="1360">
        <f t="shared" si="5"/>
        <v>-127.19038879800001</v>
      </c>
      <c r="H44" s="922"/>
    </row>
    <row r="45" spans="2:12" ht="15.75">
      <c r="B45" s="1596" t="s">
        <v>341</v>
      </c>
      <c r="C45" s="1359">
        <v>353.40230932999998</v>
      </c>
      <c r="D45" s="1360">
        <v>577.13114929000005</v>
      </c>
      <c r="E45" s="1358">
        <f t="shared" si="4"/>
        <v>930.53345862000003</v>
      </c>
      <c r="F45" s="1360">
        <f t="shared" si="5"/>
        <v>-223.72883996000007</v>
      </c>
      <c r="H45" s="922"/>
    </row>
    <row r="46" spans="2:12" ht="15.75">
      <c r="B46" s="1596" t="s">
        <v>342</v>
      </c>
      <c r="C46" s="1359">
        <v>448.6</v>
      </c>
      <c r="D46" s="1597">
        <v>592.29999999999995</v>
      </c>
      <c r="E46" s="1359">
        <f t="shared" si="4"/>
        <v>1040.9000000000001</v>
      </c>
      <c r="F46" s="1359">
        <f t="shared" si="5"/>
        <v>-143.69999999999993</v>
      </c>
      <c r="H46" s="922"/>
    </row>
    <row r="47" spans="2:12" ht="15.75">
      <c r="B47" s="1596" t="s">
        <v>343</v>
      </c>
      <c r="C47" s="1359">
        <v>471.7</v>
      </c>
      <c r="D47" s="1597">
        <v>628.70000000000005</v>
      </c>
      <c r="E47" s="1359">
        <f>+D47+C47</f>
        <v>1100.4000000000001</v>
      </c>
      <c r="F47" s="1359">
        <f>+C47-D47</f>
        <v>-157.00000000000006</v>
      </c>
      <c r="H47" s="922"/>
    </row>
    <row r="48" spans="2:12" ht="16.5" thickBot="1">
      <c r="B48" s="1596" t="s">
        <v>344</v>
      </c>
      <c r="C48" s="1359">
        <v>364.8</v>
      </c>
      <c r="D48" s="1597">
        <v>494.7</v>
      </c>
      <c r="E48" s="1359">
        <f>+D48+C48</f>
        <v>859.5</v>
      </c>
      <c r="F48" s="1359">
        <f>+C48-D48</f>
        <v>-129.89999999999998</v>
      </c>
      <c r="H48" s="922"/>
    </row>
    <row r="49" spans="2:8" ht="16.5" thickBot="1">
      <c r="B49" s="1592" t="s">
        <v>37</v>
      </c>
      <c r="C49" s="1361">
        <f>SUM(C37:C48)</f>
        <v>4295.6285428019992</v>
      </c>
      <c r="D49" s="1365">
        <f>SUM(D37:D48)</f>
        <v>6790.8407658600008</v>
      </c>
      <c r="E49" s="1362">
        <f>SUM(E37:E48)</f>
        <v>11086.469308662001</v>
      </c>
      <c r="F49" s="1365">
        <f>SUM(F37:F48)</f>
        <v>-2495.2122230579998</v>
      </c>
      <c r="H49" s="922"/>
    </row>
    <row r="50" spans="2:8" ht="15.75">
      <c r="B50" s="1596"/>
      <c r="C50" s="1359"/>
      <c r="D50" s="1597"/>
      <c r="E50" s="1359"/>
      <c r="F50" s="1359"/>
      <c r="H50" s="922"/>
    </row>
    <row r="51" spans="2:8" ht="15.75">
      <c r="B51" s="1587">
        <v>2019</v>
      </c>
      <c r="C51" s="1359"/>
      <c r="D51" s="1597"/>
      <c r="E51" s="1359"/>
      <c r="F51" s="1359"/>
      <c r="H51" s="922"/>
    </row>
    <row r="52" spans="2:8" ht="15.75">
      <c r="B52" s="1587" t="s">
        <v>345</v>
      </c>
      <c r="C52" s="1359">
        <v>292.60000000000002</v>
      </c>
      <c r="D52" s="1597">
        <v>336.8</v>
      </c>
      <c r="E52" s="1359">
        <v>629.40000000000009</v>
      </c>
      <c r="F52" s="1359">
        <f t="shared" ref="F52:F60" si="6">+C52-D52</f>
        <v>-44.199999999999989</v>
      </c>
      <c r="H52" s="922"/>
    </row>
    <row r="53" spans="2:8" ht="15.75">
      <c r="B53" s="1587" t="s">
        <v>334</v>
      </c>
      <c r="C53" s="1359">
        <v>348.4</v>
      </c>
      <c r="D53" s="1597">
        <v>370.5</v>
      </c>
      <c r="E53" s="1359">
        <f t="shared" ref="E53:E60" si="7">+D53+C53</f>
        <v>718.9</v>
      </c>
      <c r="F53" s="1359">
        <f t="shared" si="6"/>
        <v>-22.100000000000023</v>
      </c>
      <c r="H53" s="922"/>
    </row>
    <row r="54" spans="2:8" ht="15.75">
      <c r="B54" s="1587" t="s">
        <v>335</v>
      </c>
      <c r="C54" s="1359">
        <v>295.89999999999998</v>
      </c>
      <c r="D54" s="1597">
        <v>329</v>
      </c>
      <c r="E54" s="1359">
        <f t="shared" si="7"/>
        <v>624.9</v>
      </c>
      <c r="F54" s="1359">
        <f t="shared" si="6"/>
        <v>-33.100000000000023</v>
      </c>
      <c r="H54" s="922"/>
    </row>
    <row r="55" spans="2:8" ht="15.75">
      <c r="B55" s="1587" t="s">
        <v>336</v>
      </c>
      <c r="C55" s="1359">
        <v>277</v>
      </c>
      <c r="D55" s="1597">
        <v>416.7</v>
      </c>
      <c r="E55" s="1359">
        <f t="shared" si="7"/>
        <v>693.7</v>
      </c>
      <c r="F55" s="1359">
        <f t="shared" si="6"/>
        <v>-139.69999999999999</v>
      </c>
      <c r="H55" s="922"/>
    </row>
    <row r="56" spans="2:8" ht="15.75">
      <c r="B56" s="1587" t="s">
        <v>337</v>
      </c>
      <c r="C56" s="1359">
        <v>343.2</v>
      </c>
      <c r="D56" s="1597">
        <v>436.8</v>
      </c>
      <c r="E56" s="1359">
        <f t="shared" si="7"/>
        <v>780</v>
      </c>
      <c r="F56" s="1359">
        <f t="shared" si="6"/>
        <v>-93.600000000000023</v>
      </c>
      <c r="H56" s="922"/>
    </row>
    <row r="57" spans="2:8" ht="15.75">
      <c r="B57" s="1587" t="s">
        <v>338</v>
      </c>
      <c r="C57" s="1359">
        <v>239.8</v>
      </c>
      <c r="D57" s="1597">
        <v>458.5</v>
      </c>
      <c r="E57" s="1359">
        <f t="shared" si="7"/>
        <v>698.3</v>
      </c>
      <c r="F57" s="1359">
        <f t="shared" si="6"/>
        <v>-218.7</v>
      </c>
      <c r="H57" s="922"/>
    </row>
    <row r="58" spans="2:8" ht="15.75">
      <c r="B58" s="1587" t="s">
        <v>339</v>
      </c>
      <c r="C58" s="1359">
        <v>299.5</v>
      </c>
      <c r="D58" s="1597">
        <v>357</v>
      </c>
      <c r="E58" s="1359">
        <f t="shared" si="7"/>
        <v>656.5</v>
      </c>
      <c r="F58" s="1359">
        <f t="shared" si="6"/>
        <v>-57.5</v>
      </c>
      <c r="H58" s="922"/>
    </row>
    <row r="59" spans="2:8" ht="15.75">
      <c r="B59" s="1587" t="s">
        <v>340</v>
      </c>
      <c r="C59" s="1589">
        <v>345.4</v>
      </c>
      <c r="D59" s="1599">
        <v>384.2</v>
      </c>
      <c r="E59" s="1590">
        <f t="shared" si="7"/>
        <v>729.59999999999991</v>
      </c>
      <c r="F59" s="1591">
        <f t="shared" si="6"/>
        <v>-38.800000000000011</v>
      </c>
      <c r="H59" s="922"/>
    </row>
    <row r="60" spans="2:8" ht="16.5" thickBot="1">
      <c r="B60" s="1587" t="s">
        <v>341</v>
      </c>
      <c r="C60" s="1600">
        <v>378.4</v>
      </c>
      <c r="D60" s="1588">
        <v>403.7</v>
      </c>
      <c r="E60" s="1469">
        <f t="shared" si="7"/>
        <v>782.09999999999991</v>
      </c>
      <c r="F60" s="1470">
        <f t="shared" si="6"/>
        <v>-25.300000000000011</v>
      </c>
      <c r="H60" s="922"/>
    </row>
    <row r="61" spans="2:8" ht="15.75" thickTop="1">
      <c r="B61" s="1080"/>
      <c r="D61" s="1224"/>
      <c r="H61" s="922"/>
    </row>
    <row r="62" spans="2:8" ht="15.75">
      <c r="B62" s="1432" t="s">
        <v>1794</v>
      </c>
      <c r="H62" s="922"/>
    </row>
    <row r="63" spans="2:8">
      <c r="H63" s="922"/>
    </row>
  </sheetData>
  <customSheetViews>
    <customSheetView guid="{705E0D18-9A83-42CA-8732-90923BE2EC7D}" showGridLines="0" topLeftCell="A40">
      <selection activeCell="E33" sqref="E33"/>
      <pageMargins left="0.7" right="0.7" top="0.75" bottom="0.75" header="0.3" footer="0.3"/>
      <pageSetup paperSize="9" orientation="portrait" r:id="rId1"/>
    </customSheetView>
    <customSheetView guid="{D45E5F9E-4EA6-40A2-8A1D-3AC67FB8CE54}" showGridLines="0" topLeftCell="A22">
      <selection activeCell="E33" sqref="E33"/>
      <pageMargins left="0.7" right="0.7" top="0.75" bottom="0.75" header="0.3" footer="0.3"/>
      <pageSetup paperSize="9" orientation="portrait" r:id="rId2"/>
    </customSheetView>
    <customSheetView guid="{89CA84C2-78F5-4B05-8F1D-B7C5F97BCB4E}" showGridLines="0" topLeftCell="A13">
      <selection activeCell="G34" sqref="G34"/>
      <pageMargins left="0.7" right="0.7" top="0.75" bottom="0.75" header="0.3" footer="0.3"/>
      <pageSetup paperSize="9" orientation="portrait" r:id="rId3"/>
    </customSheetView>
  </customSheetViews>
  <mergeCells count="2">
    <mergeCell ref="B1:F1"/>
    <mergeCell ref="B2:F2"/>
  </mergeCell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sheetPr>
  <dimension ref="B3:GH111"/>
  <sheetViews>
    <sheetView topLeftCell="A95" workbookViewId="0">
      <selection activeCell="B112" sqref="B112"/>
    </sheetView>
  </sheetViews>
  <sheetFormatPr defaultColWidth="8.77734375" defaultRowHeight="15"/>
  <cols>
    <col min="1" max="1" width="8.77734375" style="1026"/>
    <col min="2" max="2" width="9.21875" style="1026" bestFit="1" customWidth="1"/>
    <col min="3" max="3" width="9.109375" style="1026" bestFit="1" customWidth="1"/>
    <col min="4" max="4" width="8.77734375" style="1026"/>
    <col min="5" max="5" width="11.6640625" style="1026" customWidth="1"/>
    <col min="6" max="6" width="8.77734375" style="1026"/>
    <col min="7" max="7" width="11" style="1026" bestFit="1" customWidth="1"/>
    <col min="8" max="9" width="8.77734375" style="1026"/>
    <col min="10" max="12" width="11" style="1026" bestFit="1" customWidth="1"/>
    <col min="13" max="13" width="8.77734375" style="1026"/>
    <col min="14" max="14" width="9.21875" style="1026" bestFit="1" customWidth="1"/>
    <col min="15" max="16" width="8.77734375" style="1026"/>
    <col min="17" max="17" width="9.21875" style="1026" bestFit="1" customWidth="1"/>
    <col min="18" max="20" width="8.77734375" style="1026"/>
    <col min="21" max="23" width="9.21875" style="1026" bestFit="1" customWidth="1"/>
    <col min="24" max="25" width="8.77734375" style="1026"/>
    <col min="26" max="26" width="9.21875" style="1026" bestFit="1" customWidth="1"/>
    <col min="27" max="28" width="8.77734375" style="1026"/>
    <col min="29" max="29" width="9.21875" style="1026" bestFit="1" customWidth="1"/>
    <col min="30" max="32" width="8.77734375" style="1026"/>
    <col min="33" max="33" width="9.21875" style="1026" bestFit="1" customWidth="1"/>
    <col min="34" max="37" width="8.77734375" style="1026"/>
    <col min="38" max="38" width="9.21875" style="1026" bestFit="1" customWidth="1"/>
    <col min="39" max="42" width="8.77734375" style="1026"/>
    <col min="43" max="46" width="9.21875" style="1026" bestFit="1" customWidth="1"/>
    <col min="47" max="50" width="8.77734375" style="1026"/>
    <col min="51" max="51" width="12.44140625" style="1026" bestFit="1" customWidth="1"/>
    <col min="52" max="53" width="10.21875" style="1026" bestFit="1" customWidth="1"/>
    <col min="54" max="54" width="8.77734375" style="1026"/>
    <col min="55" max="55" width="11" style="1026" bestFit="1" customWidth="1"/>
    <col min="56" max="56" width="12.44140625" style="1026" bestFit="1" customWidth="1"/>
    <col min="57" max="57" width="9.21875" style="1026" bestFit="1" customWidth="1"/>
    <col min="58" max="63" width="8.77734375" style="1026"/>
    <col min="64" max="65" width="9.21875" style="1026" bestFit="1" customWidth="1"/>
    <col min="66" max="71" width="8.77734375" style="1026"/>
    <col min="72" max="73" width="9.21875" style="1026" bestFit="1" customWidth="1"/>
    <col min="74" max="77" width="8.77734375" style="1026"/>
    <col min="78" max="78" width="9.21875" style="1026" bestFit="1" customWidth="1"/>
    <col min="79" max="91" width="8.77734375" style="1026"/>
    <col min="92" max="93" width="9.21875" style="1026" bestFit="1" customWidth="1"/>
    <col min="94" max="98" width="8.77734375" style="1026"/>
    <col min="99" max="99" width="9.21875" style="1026" bestFit="1" customWidth="1"/>
    <col min="100" max="105" width="8.77734375" style="1026"/>
    <col min="106" max="106" width="9.21875" style="1026" bestFit="1" customWidth="1"/>
    <col min="107" max="109" width="8.77734375" style="1026"/>
    <col min="110" max="110" width="13.5546875" style="1026" bestFit="1" customWidth="1"/>
    <col min="111" max="112" width="9.21875" style="1026" bestFit="1" customWidth="1"/>
    <col min="113" max="114" width="8.77734375" style="1026"/>
    <col min="115" max="115" width="9.21875" style="1026" bestFit="1" customWidth="1"/>
    <col min="116" max="117" width="8.77734375" style="1026"/>
    <col min="118" max="118" width="9.21875" style="1026" bestFit="1" customWidth="1"/>
    <col min="119" max="120" width="8.77734375" style="1026"/>
    <col min="121" max="121" width="13.5546875" style="1026" bestFit="1" customWidth="1"/>
    <col min="122" max="122" width="12.44140625" style="1026" bestFit="1" customWidth="1"/>
    <col min="123" max="123" width="13.5546875" style="1026" bestFit="1" customWidth="1"/>
    <col min="124" max="124" width="8.77734375" style="1026"/>
    <col min="125" max="125" width="10.21875" style="1026" bestFit="1" customWidth="1"/>
    <col min="126" max="126" width="9.21875" style="1026" bestFit="1" customWidth="1"/>
    <col min="127" max="129" width="8.77734375" style="1026"/>
    <col min="130" max="130" width="10.21875" style="1026" bestFit="1" customWidth="1"/>
    <col min="131" max="131" width="9.21875" style="1026" bestFit="1" customWidth="1"/>
    <col min="132" max="133" width="8.77734375" style="1026"/>
    <col min="134" max="134" width="9.21875" style="1026" bestFit="1" customWidth="1"/>
    <col min="135" max="136" width="8.77734375" style="1026"/>
    <col min="137" max="137" width="10.21875" style="1026" bestFit="1" customWidth="1"/>
    <col min="138" max="138" width="8.77734375" style="1026"/>
    <col min="139" max="139" width="10.21875" style="1026" bestFit="1" customWidth="1"/>
    <col min="140" max="140" width="8.77734375" style="1026"/>
    <col min="141" max="141" width="9.21875" style="1026" bestFit="1" customWidth="1"/>
    <col min="142" max="142" width="8.77734375" style="1026"/>
    <col min="143" max="143" width="9.21875" style="1026" bestFit="1" customWidth="1"/>
    <col min="144" max="146" width="8.77734375" style="1026"/>
    <col min="147" max="147" width="9.21875" style="1026" bestFit="1" customWidth="1"/>
    <col min="148" max="150" width="8.77734375" style="1026"/>
    <col min="151" max="151" width="9.21875" style="1026" bestFit="1" customWidth="1"/>
    <col min="152" max="155" width="8.77734375" style="1026"/>
    <col min="156" max="156" width="9.21875" style="1026" bestFit="1" customWidth="1"/>
    <col min="157" max="157" width="8.77734375" style="1026"/>
    <col min="158" max="158" width="9.21875" style="1026" bestFit="1" customWidth="1"/>
    <col min="159" max="161" width="8.77734375" style="1026"/>
    <col min="162" max="162" width="9.21875" style="1026" bestFit="1" customWidth="1"/>
    <col min="163" max="165" width="8.77734375" style="1026"/>
    <col min="166" max="166" width="9.21875" style="1026" bestFit="1" customWidth="1"/>
    <col min="167" max="170" width="8.77734375" style="1026"/>
    <col min="171" max="171" width="9.21875" style="1026" bestFit="1" customWidth="1"/>
    <col min="172" max="178" width="8.77734375" style="1026"/>
    <col min="179" max="180" width="13.5546875" style="1026" bestFit="1" customWidth="1"/>
    <col min="181" max="181" width="10.77734375" style="1026" bestFit="1" customWidth="1"/>
    <col min="182" max="182" width="10" style="1026" bestFit="1" customWidth="1"/>
    <col min="183" max="183" width="8.77734375" style="1026"/>
    <col min="184" max="184" width="12.44140625" style="1026" bestFit="1" customWidth="1"/>
    <col min="185" max="187" width="8.77734375" style="1026"/>
    <col min="188" max="188" width="13.5546875" style="1026" bestFit="1" customWidth="1"/>
    <col min="189" max="16384" width="8.77734375" style="1026"/>
  </cols>
  <sheetData>
    <row r="3" spans="2:189">
      <c r="B3" s="1221"/>
      <c r="C3" s="1221" t="s">
        <v>1461</v>
      </c>
      <c r="D3" s="1221"/>
      <c r="E3" s="1221" t="s">
        <v>1361</v>
      </c>
      <c r="F3" s="1221" t="s">
        <v>1362</v>
      </c>
      <c r="G3" s="1221" t="s">
        <v>1503</v>
      </c>
      <c r="H3" s="1221" t="s">
        <v>1504</v>
      </c>
      <c r="I3" s="1221"/>
      <c r="J3" s="1221" t="s">
        <v>1505</v>
      </c>
      <c r="K3" s="1221" t="s">
        <v>1414</v>
      </c>
      <c r="L3" s="1221" t="s">
        <v>1364</v>
      </c>
      <c r="M3" s="1221" t="s">
        <v>1365</v>
      </c>
      <c r="N3" s="1221" t="s">
        <v>1506</v>
      </c>
      <c r="O3" s="1221" t="s">
        <v>1364</v>
      </c>
      <c r="P3" s="1221" t="s">
        <v>1365</v>
      </c>
      <c r="Q3" s="1221" t="s">
        <v>1415</v>
      </c>
      <c r="R3" s="1221" t="s">
        <v>1364</v>
      </c>
      <c r="S3" s="1221" t="s">
        <v>1365</v>
      </c>
      <c r="T3" s="1221"/>
      <c r="U3" s="1221" t="s">
        <v>1507</v>
      </c>
      <c r="V3" s="1221" t="s">
        <v>1450</v>
      </c>
      <c r="W3" s="1221" t="s">
        <v>1364</v>
      </c>
      <c r="X3" s="1221" t="s">
        <v>1365</v>
      </c>
      <c r="Y3" s="1221"/>
      <c r="Z3" s="1221" t="s">
        <v>1416</v>
      </c>
      <c r="AA3" s="1221" t="s">
        <v>1364</v>
      </c>
      <c r="AB3" s="1221" t="s">
        <v>1365</v>
      </c>
      <c r="AC3" s="1221" t="s">
        <v>1417</v>
      </c>
      <c r="AD3" s="1221" t="s">
        <v>1364</v>
      </c>
      <c r="AE3" s="1221" t="s">
        <v>1365</v>
      </c>
      <c r="AF3" s="1221"/>
      <c r="AG3" s="1221" t="s">
        <v>1508</v>
      </c>
      <c r="AH3" s="1221" t="s">
        <v>1509</v>
      </c>
      <c r="AI3" s="1221" t="s">
        <v>1366</v>
      </c>
      <c r="AJ3" s="1221" t="s">
        <v>1367</v>
      </c>
      <c r="AK3" s="1221"/>
      <c r="AL3" s="1221" t="s">
        <v>1510</v>
      </c>
      <c r="AM3" s="1221" t="s">
        <v>1368</v>
      </c>
      <c r="AN3" s="1221" t="s">
        <v>1369</v>
      </c>
      <c r="AO3" s="1221" t="s">
        <v>1370</v>
      </c>
      <c r="AP3" s="1221"/>
      <c r="AQ3" s="1221" t="s">
        <v>1511</v>
      </c>
      <c r="AR3" s="1221" t="s">
        <v>1512</v>
      </c>
      <c r="AS3" s="1221" t="s">
        <v>1513</v>
      </c>
      <c r="AT3" s="1221" t="s">
        <v>1364</v>
      </c>
      <c r="AU3" s="1221" t="s">
        <v>1365</v>
      </c>
      <c r="AV3" s="1221" t="s">
        <v>1514</v>
      </c>
      <c r="AW3" s="1221" t="s">
        <v>1515</v>
      </c>
      <c r="AX3" s="1221"/>
      <c r="AY3" s="1221" t="s">
        <v>1516</v>
      </c>
      <c r="AZ3" s="1221" t="s">
        <v>1517</v>
      </c>
      <c r="BA3" s="1221" t="s">
        <v>1372</v>
      </c>
      <c r="BB3" s="1221" t="s">
        <v>1518</v>
      </c>
      <c r="BC3" s="1221" t="s">
        <v>1519</v>
      </c>
      <c r="BD3" s="1221" t="s">
        <v>1375</v>
      </c>
      <c r="BE3" s="1221" t="s">
        <v>1376</v>
      </c>
      <c r="BF3" s="1221" t="s">
        <v>1377</v>
      </c>
      <c r="BG3" s="1221" t="s">
        <v>1378</v>
      </c>
      <c r="BH3" s="1221" t="s">
        <v>1520</v>
      </c>
      <c r="BI3" s="1221" t="s">
        <v>1521</v>
      </c>
      <c r="BJ3" s="1221" t="s">
        <v>1522</v>
      </c>
      <c r="BK3" s="1221"/>
      <c r="BL3" s="1221" t="s">
        <v>1523</v>
      </c>
      <c r="BM3" s="1221" t="s">
        <v>1381</v>
      </c>
      <c r="BN3" s="1221" t="s">
        <v>1524</v>
      </c>
      <c r="BO3" s="1221" t="s">
        <v>1525</v>
      </c>
      <c r="BP3" s="1221" t="s">
        <v>1526</v>
      </c>
      <c r="BQ3" s="1221" t="s">
        <v>1382</v>
      </c>
      <c r="BR3" s="1221" t="s">
        <v>1527</v>
      </c>
      <c r="BS3" s="1221"/>
      <c r="BT3" s="1221" t="s">
        <v>1528</v>
      </c>
      <c r="BU3" s="1221" t="s">
        <v>1383</v>
      </c>
      <c r="BV3" s="1221" t="s">
        <v>1529</v>
      </c>
      <c r="BW3" s="1221" t="s">
        <v>1530</v>
      </c>
      <c r="BX3" s="1221" t="s">
        <v>1469</v>
      </c>
      <c r="BY3" s="1221" t="s">
        <v>1531</v>
      </c>
      <c r="BZ3" s="1221" t="s">
        <v>1449</v>
      </c>
      <c r="CA3" s="1221" t="s">
        <v>1532</v>
      </c>
      <c r="CB3" s="1221" t="s">
        <v>1533</v>
      </c>
      <c r="CC3" s="1221" t="s">
        <v>1534</v>
      </c>
      <c r="CD3" s="1221" t="s">
        <v>1535</v>
      </c>
      <c r="CE3" s="1221" t="s">
        <v>1536</v>
      </c>
      <c r="CF3" s="1221" t="s">
        <v>1537</v>
      </c>
      <c r="CG3" s="1221" t="s">
        <v>1384</v>
      </c>
      <c r="CH3" s="1221" t="s">
        <v>1385</v>
      </c>
      <c r="CI3" s="1221" t="s">
        <v>1538</v>
      </c>
      <c r="CJ3" s="1221" t="s">
        <v>1539</v>
      </c>
      <c r="CK3" s="1221" t="s">
        <v>1386</v>
      </c>
      <c r="CL3" s="1221" t="s">
        <v>1540</v>
      </c>
      <c r="CM3" s="1221"/>
      <c r="CN3" s="1221" t="s">
        <v>1541</v>
      </c>
      <c r="CO3" s="1221" t="s">
        <v>1387</v>
      </c>
      <c r="CP3" s="1221" t="s">
        <v>1388</v>
      </c>
      <c r="CQ3" s="1221" t="s">
        <v>1389</v>
      </c>
      <c r="CR3" s="1221" t="s">
        <v>1390</v>
      </c>
      <c r="CS3" s="1221" t="s">
        <v>1391</v>
      </c>
      <c r="CT3" s="1221" t="s">
        <v>1392</v>
      </c>
      <c r="CU3" s="1221" t="s">
        <v>1542</v>
      </c>
      <c r="CV3" s="1221" t="s">
        <v>1388</v>
      </c>
      <c r="CW3" s="1221" t="s">
        <v>1389</v>
      </c>
      <c r="CX3" s="1221" t="s">
        <v>1390</v>
      </c>
      <c r="CY3" s="1221" t="s">
        <v>1391</v>
      </c>
      <c r="CZ3" s="1221" t="s">
        <v>1392</v>
      </c>
      <c r="DA3" s="1221"/>
      <c r="DB3" s="1221" t="s">
        <v>1543</v>
      </c>
      <c r="DC3" s="1221" t="s">
        <v>1544</v>
      </c>
      <c r="DD3" s="1221" t="s">
        <v>1545</v>
      </c>
      <c r="DE3" s="1221"/>
      <c r="DF3" s="1221" t="s">
        <v>1546</v>
      </c>
      <c r="DG3" s="1221" t="s">
        <v>1394</v>
      </c>
      <c r="DH3" s="1221" t="s">
        <v>1395</v>
      </c>
      <c r="DI3" s="1221" t="s">
        <v>1396</v>
      </c>
      <c r="DJ3" s="1221" t="s">
        <v>1397</v>
      </c>
      <c r="DK3" s="1221" t="s">
        <v>1398</v>
      </c>
      <c r="DL3" s="1221" t="s">
        <v>1399</v>
      </c>
      <c r="DM3" s="1221" t="s">
        <v>1400</v>
      </c>
      <c r="DN3" s="1221" t="s">
        <v>1401</v>
      </c>
      <c r="DO3" s="1221" t="s">
        <v>1402</v>
      </c>
      <c r="DP3" s="1221" t="s">
        <v>1403</v>
      </c>
      <c r="DQ3" s="1221" t="s">
        <v>1547</v>
      </c>
      <c r="DR3" s="1221" t="s">
        <v>1548</v>
      </c>
      <c r="DS3" s="1221" t="s">
        <v>1404</v>
      </c>
      <c r="DT3" s="1221" t="s">
        <v>1549</v>
      </c>
      <c r="DU3" s="1221" t="s">
        <v>1550</v>
      </c>
      <c r="DV3" s="1221" t="s">
        <v>1551</v>
      </c>
      <c r="DW3" s="1221" t="s">
        <v>1405</v>
      </c>
      <c r="DX3" s="1221" t="s">
        <v>1406</v>
      </c>
      <c r="DY3" s="1221"/>
      <c r="DZ3" s="1221" t="s">
        <v>1552</v>
      </c>
      <c r="EA3" s="1221" t="s">
        <v>1407</v>
      </c>
      <c r="EB3" s="1221" t="s">
        <v>1405</v>
      </c>
      <c r="EC3" s="1221" t="s">
        <v>1406</v>
      </c>
      <c r="ED3" s="1221" t="s">
        <v>1408</v>
      </c>
      <c r="EE3" s="1221" t="s">
        <v>1409</v>
      </c>
      <c r="EF3" s="1221" t="s">
        <v>1410</v>
      </c>
      <c r="EG3" s="1221" t="s">
        <v>1411</v>
      </c>
      <c r="EH3" s="1221" t="s">
        <v>1412</v>
      </c>
      <c r="EI3" s="1221" t="s">
        <v>1413</v>
      </c>
      <c r="EJ3" s="1221"/>
      <c r="EK3" s="1221" t="s">
        <v>1553</v>
      </c>
      <c r="EL3" s="1221" t="s">
        <v>1554</v>
      </c>
      <c r="EM3" s="1221" t="s">
        <v>1363</v>
      </c>
      <c r="EN3" s="1221" t="s">
        <v>1555</v>
      </c>
      <c r="EO3" s="1221" t="s">
        <v>1556</v>
      </c>
      <c r="EP3" s="1221" t="s">
        <v>1557</v>
      </c>
      <c r="EQ3" s="1221" t="s">
        <v>1366</v>
      </c>
      <c r="ER3" s="1221" t="s">
        <v>1555</v>
      </c>
      <c r="ES3" s="1221" t="s">
        <v>1556</v>
      </c>
      <c r="ET3" s="1221" t="s">
        <v>1557</v>
      </c>
      <c r="EU3" s="1221" t="s">
        <v>1367</v>
      </c>
      <c r="EV3" s="1221" t="s">
        <v>1555</v>
      </c>
      <c r="EW3" s="1221" t="s">
        <v>1556</v>
      </c>
      <c r="EX3" s="1221" t="s">
        <v>1557</v>
      </c>
      <c r="EY3" s="1221"/>
      <c r="EZ3" s="1221" t="s">
        <v>1558</v>
      </c>
      <c r="FA3" s="1221" t="s">
        <v>1559</v>
      </c>
      <c r="FB3" s="1221" t="s">
        <v>1450</v>
      </c>
      <c r="FC3" s="1221" t="s">
        <v>1555</v>
      </c>
      <c r="FD3" s="1221" t="s">
        <v>1556</v>
      </c>
      <c r="FE3" s="1221" t="s">
        <v>1557</v>
      </c>
      <c r="FF3" s="1221" t="s">
        <v>1369</v>
      </c>
      <c r="FG3" s="1221" t="s">
        <v>1555</v>
      </c>
      <c r="FH3" s="1221" t="s">
        <v>1556</v>
      </c>
      <c r="FI3" s="1221" t="s">
        <v>1557</v>
      </c>
      <c r="FJ3" s="1221" t="s">
        <v>1370</v>
      </c>
      <c r="FK3" s="1221" t="s">
        <v>1555</v>
      </c>
      <c r="FL3" s="1221" t="s">
        <v>1556</v>
      </c>
      <c r="FM3" s="1221" t="s">
        <v>1557</v>
      </c>
      <c r="FN3" s="1221"/>
      <c r="FO3" s="1221" t="s">
        <v>1560</v>
      </c>
      <c r="FP3" s="1221" t="s">
        <v>1418</v>
      </c>
      <c r="FQ3" s="1221" t="s">
        <v>1419</v>
      </c>
      <c r="FR3" s="1221" t="s">
        <v>1420</v>
      </c>
      <c r="FS3" s="1221" t="s">
        <v>1421</v>
      </c>
      <c r="FT3" s="1221" t="s">
        <v>1422</v>
      </c>
      <c r="FU3" s="1221" t="s">
        <v>1423</v>
      </c>
      <c r="FV3" s="1221"/>
      <c r="FW3" s="1221" t="s">
        <v>1561</v>
      </c>
      <c r="FX3" s="1221" t="s">
        <v>1562</v>
      </c>
      <c r="FY3" s="1221" t="s">
        <v>1563</v>
      </c>
      <c r="FZ3" s="1221" t="s">
        <v>1564</v>
      </c>
      <c r="GA3" s="1221"/>
      <c r="GB3" s="1221" t="s">
        <v>1565</v>
      </c>
      <c r="GC3" s="1221" t="s">
        <v>1566</v>
      </c>
      <c r="GD3" s="1221"/>
      <c r="GE3" s="1221"/>
      <c r="GF3" s="1221" t="s">
        <v>1567</v>
      </c>
      <c r="GG3" s="1221" t="s">
        <v>1424</v>
      </c>
    </row>
    <row r="4" spans="2:189">
      <c r="B4" s="1223">
        <v>42005</v>
      </c>
      <c r="C4" s="1423"/>
      <c r="D4" s="1423"/>
      <c r="E4" s="1423">
        <v>256026</v>
      </c>
      <c r="F4" s="1423"/>
      <c r="G4" s="1423">
        <v>256026</v>
      </c>
      <c r="H4" s="1423"/>
      <c r="I4" s="1423"/>
      <c r="J4" s="1423">
        <v>8961</v>
      </c>
      <c r="K4" s="1423">
        <v>8961</v>
      </c>
      <c r="L4" s="1423">
        <v>8961</v>
      </c>
      <c r="M4" s="1423"/>
      <c r="N4" s="1423">
        <v>0</v>
      </c>
      <c r="O4" s="1423"/>
      <c r="P4" s="1423"/>
      <c r="Q4" s="1423">
        <v>0</v>
      </c>
      <c r="R4" s="1423"/>
      <c r="S4" s="1423"/>
      <c r="T4" s="1423"/>
      <c r="U4" s="1423">
        <v>0</v>
      </c>
      <c r="V4" s="1423">
        <v>0</v>
      </c>
      <c r="W4" s="1423"/>
      <c r="X4" s="1423"/>
      <c r="Y4" s="1423"/>
      <c r="Z4" s="1423">
        <v>0</v>
      </c>
      <c r="AA4" s="1423"/>
      <c r="AB4" s="1423"/>
      <c r="AC4" s="1423">
        <v>0</v>
      </c>
      <c r="AD4" s="1423"/>
      <c r="AE4" s="1423"/>
      <c r="AF4" s="1423"/>
      <c r="AG4" s="1423">
        <v>0</v>
      </c>
      <c r="AH4" s="1423"/>
      <c r="AI4" s="1423"/>
      <c r="AJ4" s="1423"/>
      <c r="AK4" s="1423"/>
      <c r="AL4" s="1423">
        <v>0</v>
      </c>
      <c r="AM4" s="1423"/>
      <c r="AN4" s="1423"/>
      <c r="AO4" s="1423"/>
      <c r="AP4" s="1423"/>
      <c r="AQ4" s="1423">
        <v>752734</v>
      </c>
      <c r="AR4" s="1423">
        <v>618314</v>
      </c>
      <c r="AS4" s="1423">
        <v>134420</v>
      </c>
      <c r="AT4" s="1423">
        <v>134420</v>
      </c>
      <c r="AU4" s="1423"/>
      <c r="AV4" s="1423"/>
      <c r="AW4" s="1423"/>
      <c r="AX4" s="1423"/>
      <c r="AY4" s="1423">
        <v>1595090</v>
      </c>
      <c r="AZ4" s="1423">
        <v>1595090</v>
      </c>
      <c r="BA4" s="1423">
        <v>1595090</v>
      </c>
      <c r="BB4" s="1423"/>
      <c r="BC4" s="1423"/>
      <c r="BD4" s="1423">
        <v>0</v>
      </c>
      <c r="BE4" s="1423">
        <v>0</v>
      </c>
      <c r="BF4" s="1423"/>
      <c r="BG4" s="1423"/>
      <c r="BH4" s="1423"/>
      <c r="BI4" s="1423"/>
      <c r="BJ4" s="1423"/>
      <c r="BK4" s="1423"/>
      <c r="BL4" s="1423">
        <v>0</v>
      </c>
      <c r="BM4" s="1423">
        <v>0</v>
      </c>
      <c r="BN4" s="1423"/>
      <c r="BO4" s="1423"/>
      <c r="BP4" s="1423"/>
      <c r="BQ4" s="1423"/>
      <c r="BR4" s="1423"/>
      <c r="BS4" s="1423"/>
      <c r="BT4" s="1423">
        <v>0</v>
      </c>
      <c r="BU4" s="1423">
        <v>0</v>
      </c>
      <c r="BV4" s="1423"/>
      <c r="BW4" s="1423"/>
      <c r="BX4" s="1423"/>
      <c r="BY4" s="1423"/>
      <c r="BZ4" s="1423">
        <v>0</v>
      </c>
      <c r="CA4" s="1423"/>
      <c r="CB4" s="1423"/>
      <c r="CC4" s="1423"/>
      <c r="CD4" s="1423"/>
      <c r="CE4" s="1423"/>
      <c r="CF4" s="1423"/>
      <c r="CG4" s="1423"/>
      <c r="CH4" s="1423"/>
      <c r="CI4" s="1423"/>
      <c r="CJ4" s="1423"/>
      <c r="CK4" s="1423"/>
      <c r="CL4" s="1423"/>
      <c r="CM4" s="1423"/>
      <c r="CN4" s="1423">
        <v>0</v>
      </c>
      <c r="CO4" s="1423">
        <v>0</v>
      </c>
      <c r="CP4" s="1423"/>
      <c r="CQ4" s="1423"/>
      <c r="CR4" s="1423"/>
      <c r="CS4" s="1423"/>
      <c r="CT4" s="1423"/>
      <c r="CU4" s="1423">
        <v>0</v>
      </c>
      <c r="CV4" s="1423"/>
      <c r="CW4" s="1423"/>
      <c r="CX4" s="1423"/>
      <c r="CY4" s="1423"/>
      <c r="CZ4" s="1423"/>
      <c r="DA4" s="1423"/>
      <c r="DB4" s="1423">
        <v>0</v>
      </c>
      <c r="DC4" s="1423"/>
      <c r="DD4" s="1423"/>
      <c r="DE4" s="1423"/>
      <c r="DF4" s="1423">
        <v>78471628</v>
      </c>
      <c r="DG4" s="1423">
        <v>0</v>
      </c>
      <c r="DH4" s="1423">
        <v>0</v>
      </c>
      <c r="DI4" s="1423"/>
      <c r="DJ4" s="1423"/>
      <c r="DK4" s="1423">
        <v>0</v>
      </c>
      <c r="DL4" s="1423"/>
      <c r="DM4" s="1423"/>
      <c r="DN4" s="1423">
        <v>0</v>
      </c>
      <c r="DO4" s="1423"/>
      <c r="DP4" s="1423"/>
      <c r="DQ4" s="1423">
        <v>70160878</v>
      </c>
      <c r="DR4" s="1423">
        <v>2620336</v>
      </c>
      <c r="DS4" s="1423">
        <v>67540542</v>
      </c>
      <c r="DT4" s="1423"/>
      <c r="DU4" s="1423">
        <v>8310750</v>
      </c>
      <c r="DV4" s="1423">
        <v>0</v>
      </c>
      <c r="DW4" s="1423"/>
      <c r="DX4" s="1423"/>
      <c r="DY4" s="1423"/>
      <c r="DZ4" s="1423">
        <v>8344350</v>
      </c>
      <c r="EA4" s="1423">
        <v>0</v>
      </c>
      <c r="EB4" s="1423"/>
      <c r="EC4" s="1423"/>
      <c r="ED4" s="1423">
        <v>0</v>
      </c>
      <c r="EE4" s="1423"/>
      <c r="EF4" s="1423"/>
      <c r="EG4" s="1423">
        <v>8344350</v>
      </c>
      <c r="EH4" s="1423"/>
      <c r="EI4" s="1423">
        <v>8344350</v>
      </c>
      <c r="EJ4" s="1423"/>
      <c r="EK4" s="1423">
        <v>0</v>
      </c>
      <c r="EL4" s="1423"/>
      <c r="EM4" s="1423">
        <v>0</v>
      </c>
      <c r="EN4" s="1423"/>
      <c r="EO4" s="1423"/>
      <c r="EP4" s="1423"/>
      <c r="EQ4" s="1423">
        <v>0</v>
      </c>
      <c r="ER4" s="1423"/>
      <c r="ES4" s="1423"/>
      <c r="ET4" s="1423"/>
      <c r="EU4" s="1423">
        <v>0</v>
      </c>
      <c r="EV4" s="1423"/>
      <c r="EW4" s="1423"/>
      <c r="EX4" s="1423"/>
      <c r="EY4" s="1423"/>
      <c r="EZ4" s="1423">
        <v>0</v>
      </c>
      <c r="FA4" s="1423"/>
      <c r="FB4" s="1423">
        <v>0</v>
      </c>
      <c r="FC4" s="1423"/>
      <c r="FD4" s="1423"/>
      <c r="FE4" s="1423"/>
      <c r="FF4" s="1423">
        <v>0</v>
      </c>
      <c r="FG4" s="1423"/>
      <c r="FH4" s="1423"/>
      <c r="FI4" s="1423"/>
      <c r="FJ4" s="1423">
        <v>0</v>
      </c>
      <c r="FK4" s="1423"/>
      <c r="FL4" s="1423"/>
      <c r="FM4" s="1423"/>
      <c r="FN4" s="1423"/>
      <c r="FO4" s="1423">
        <v>0</v>
      </c>
      <c r="FP4" s="1423"/>
      <c r="FQ4" s="1423"/>
      <c r="FR4" s="1423"/>
      <c r="FS4" s="1423"/>
      <c r="FT4" s="1423"/>
      <c r="FU4" s="1423"/>
      <c r="FV4" s="1423"/>
      <c r="FW4" s="1423">
        <v>23661402</v>
      </c>
      <c r="FX4" s="1423">
        <v>16901590</v>
      </c>
      <c r="FY4" s="1423">
        <v>6578623</v>
      </c>
      <c r="FZ4" s="1423">
        <v>181189</v>
      </c>
      <c r="GA4" s="1423"/>
      <c r="GB4" s="1423">
        <v>10658022</v>
      </c>
      <c r="GC4" s="1423"/>
      <c r="GD4" s="1423"/>
      <c r="GE4" s="1423"/>
      <c r="GF4" s="1423">
        <v>123748213</v>
      </c>
      <c r="GG4" s="1221"/>
    </row>
    <row r="5" spans="2:189">
      <c r="B5" s="1223">
        <v>42036</v>
      </c>
      <c r="C5" s="1423"/>
      <c r="D5" s="1423"/>
      <c r="E5" s="1423">
        <v>190881</v>
      </c>
      <c r="F5" s="1423"/>
      <c r="G5" s="1423">
        <v>190881</v>
      </c>
      <c r="H5" s="1423"/>
      <c r="I5" s="1423"/>
      <c r="J5" s="1423">
        <v>86353</v>
      </c>
      <c r="K5" s="1423">
        <v>86353</v>
      </c>
      <c r="L5" s="1423">
        <v>86353</v>
      </c>
      <c r="M5" s="1423"/>
      <c r="N5" s="1423">
        <v>0</v>
      </c>
      <c r="O5" s="1423"/>
      <c r="P5" s="1423"/>
      <c r="Q5" s="1423">
        <v>0</v>
      </c>
      <c r="R5" s="1423"/>
      <c r="S5" s="1423"/>
      <c r="T5" s="1423"/>
      <c r="U5" s="1423">
        <v>0</v>
      </c>
      <c r="V5" s="1423">
        <v>0</v>
      </c>
      <c r="W5" s="1423"/>
      <c r="X5" s="1423"/>
      <c r="Y5" s="1423"/>
      <c r="Z5" s="1423">
        <v>0</v>
      </c>
      <c r="AA5" s="1423"/>
      <c r="AB5" s="1423"/>
      <c r="AC5" s="1423">
        <v>0</v>
      </c>
      <c r="AD5" s="1423"/>
      <c r="AE5" s="1423"/>
      <c r="AF5" s="1423"/>
      <c r="AG5" s="1423">
        <v>0</v>
      </c>
      <c r="AH5" s="1423"/>
      <c r="AI5" s="1423"/>
      <c r="AJ5" s="1423"/>
      <c r="AK5" s="1423"/>
      <c r="AL5" s="1423">
        <v>0</v>
      </c>
      <c r="AM5" s="1423"/>
      <c r="AN5" s="1423"/>
      <c r="AO5" s="1423"/>
      <c r="AP5" s="1423"/>
      <c r="AQ5" s="1423">
        <v>589460</v>
      </c>
      <c r="AR5" s="1423">
        <v>449622</v>
      </c>
      <c r="AS5" s="1423">
        <v>139838</v>
      </c>
      <c r="AT5" s="1423">
        <v>139838</v>
      </c>
      <c r="AU5" s="1423"/>
      <c r="AV5" s="1423"/>
      <c r="AW5" s="1423"/>
      <c r="AX5" s="1423"/>
      <c r="AY5" s="1423">
        <v>1595090</v>
      </c>
      <c r="AZ5" s="1423">
        <v>1595090</v>
      </c>
      <c r="BA5" s="1423">
        <v>1595090</v>
      </c>
      <c r="BB5" s="1423"/>
      <c r="BC5" s="1423"/>
      <c r="BD5" s="1423">
        <v>0</v>
      </c>
      <c r="BE5" s="1423">
        <v>0</v>
      </c>
      <c r="BF5" s="1423"/>
      <c r="BG5" s="1423"/>
      <c r="BH5" s="1423"/>
      <c r="BI5" s="1423"/>
      <c r="BJ5" s="1423"/>
      <c r="BK5" s="1423"/>
      <c r="BL5" s="1423">
        <v>0</v>
      </c>
      <c r="BM5" s="1423">
        <v>0</v>
      </c>
      <c r="BN5" s="1423"/>
      <c r="BO5" s="1423"/>
      <c r="BP5" s="1423"/>
      <c r="BQ5" s="1423"/>
      <c r="BR5" s="1423"/>
      <c r="BS5" s="1423"/>
      <c r="BT5" s="1423">
        <v>0</v>
      </c>
      <c r="BU5" s="1423">
        <v>0</v>
      </c>
      <c r="BV5" s="1423"/>
      <c r="BW5" s="1423"/>
      <c r="BX5" s="1423"/>
      <c r="BY5" s="1423"/>
      <c r="BZ5" s="1423">
        <v>0</v>
      </c>
      <c r="CA5" s="1423"/>
      <c r="CB5" s="1423"/>
      <c r="CC5" s="1423"/>
      <c r="CD5" s="1423"/>
      <c r="CE5" s="1423"/>
      <c r="CF5" s="1423"/>
      <c r="CG5" s="1423"/>
      <c r="CH5" s="1423"/>
      <c r="CI5" s="1423"/>
      <c r="CJ5" s="1423"/>
      <c r="CK5" s="1423"/>
      <c r="CL5" s="1423"/>
      <c r="CM5" s="1423"/>
      <c r="CN5" s="1423">
        <v>0</v>
      </c>
      <c r="CO5" s="1423">
        <v>0</v>
      </c>
      <c r="CP5" s="1423"/>
      <c r="CQ5" s="1423"/>
      <c r="CR5" s="1423"/>
      <c r="CS5" s="1423"/>
      <c r="CT5" s="1423"/>
      <c r="CU5" s="1423">
        <v>0</v>
      </c>
      <c r="CV5" s="1423"/>
      <c r="CW5" s="1423"/>
      <c r="CX5" s="1423"/>
      <c r="CY5" s="1423"/>
      <c r="CZ5" s="1423"/>
      <c r="DA5" s="1423"/>
      <c r="DB5" s="1423">
        <v>0</v>
      </c>
      <c r="DC5" s="1423"/>
      <c r="DD5" s="1423"/>
      <c r="DE5" s="1423"/>
      <c r="DF5" s="1423">
        <v>80283201</v>
      </c>
      <c r="DG5" s="1423">
        <v>0</v>
      </c>
      <c r="DH5" s="1423">
        <v>0</v>
      </c>
      <c r="DI5" s="1423"/>
      <c r="DJ5" s="1423"/>
      <c r="DK5" s="1423">
        <v>0</v>
      </c>
      <c r="DL5" s="1423"/>
      <c r="DM5" s="1423"/>
      <c r="DN5" s="1423">
        <v>0</v>
      </c>
      <c r="DO5" s="1423"/>
      <c r="DP5" s="1423"/>
      <c r="DQ5" s="1423">
        <v>71972451</v>
      </c>
      <c r="DR5" s="1423">
        <v>2676155</v>
      </c>
      <c r="DS5" s="1423">
        <v>69296296</v>
      </c>
      <c r="DT5" s="1423"/>
      <c r="DU5" s="1423">
        <v>8310750</v>
      </c>
      <c r="DV5" s="1423">
        <v>0</v>
      </c>
      <c r="DW5" s="1423"/>
      <c r="DX5" s="1423"/>
      <c r="DY5" s="1423"/>
      <c r="DZ5" s="1423">
        <v>8346700</v>
      </c>
      <c r="EA5" s="1423">
        <v>0</v>
      </c>
      <c r="EB5" s="1423"/>
      <c r="EC5" s="1423"/>
      <c r="ED5" s="1423">
        <v>0</v>
      </c>
      <c r="EE5" s="1423"/>
      <c r="EF5" s="1423"/>
      <c r="EG5" s="1423">
        <v>8346700</v>
      </c>
      <c r="EH5" s="1423"/>
      <c r="EI5" s="1423">
        <v>8346700</v>
      </c>
      <c r="EJ5" s="1423"/>
      <c r="EK5" s="1423">
        <v>0</v>
      </c>
      <c r="EL5" s="1423"/>
      <c r="EM5" s="1423">
        <v>0</v>
      </c>
      <c r="EN5" s="1423"/>
      <c r="EO5" s="1423"/>
      <c r="EP5" s="1423"/>
      <c r="EQ5" s="1423">
        <v>0</v>
      </c>
      <c r="ER5" s="1423"/>
      <c r="ES5" s="1423"/>
      <c r="ET5" s="1423"/>
      <c r="EU5" s="1423">
        <v>0</v>
      </c>
      <c r="EV5" s="1423"/>
      <c r="EW5" s="1423"/>
      <c r="EX5" s="1423"/>
      <c r="EY5" s="1423"/>
      <c r="EZ5" s="1423">
        <v>0</v>
      </c>
      <c r="FA5" s="1423"/>
      <c r="FB5" s="1423">
        <v>0</v>
      </c>
      <c r="FC5" s="1423"/>
      <c r="FD5" s="1423"/>
      <c r="FE5" s="1423"/>
      <c r="FF5" s="1423">
        <v>0</v>
      </c>
      <c r="FG5" s="1423"/>
      <c r="FH5" s="1423"/>
      <c r="FI5" s="1423"/>
      <c r="FJ5" s="1423">
        <v>0</v>
      </c>
      <c r="FK5" s="1423"/>
      <c r="FL5" s="1423"/>
      <c r="FM5" s="1423"/>
      <c r="FN5" s="1423"/>
      <c r="FO5" s="1423">
        <v>0</v>
      </c>
      <c r="FP5" s="1423"/>
      <c r="FQ5" s="1423"/>
      <c r="FR5" s="1423"/>
      <c r="FS5" s="1423"/>
      <c r="FT5" s="1423"/>
      <c r="FU5" s="1423"/>
      <c r="FV5" s="1423"/>
      <c r="FW5" s="1423">
        <v>23578705</v>
      </c>
      <c r="FX5" s="1423">
        <v>16902783</v>
      </c>
      <c r="FY5" s="1423">
        <v>6505315</v>
      </c>
      <c r="FZ5" s="1423">
        <v>170607</v>
      </c>
      <c r="GA5" s="1423"/>
      <c r="GB5" s="1423">
        <v>10991795</v>
      </c>
      <c r="GC5" s="1423"/>
      <c r="GD5" s="1423"/>
      <c r="GE5" s="1423"/>
      <c r="GF5" s="1423">
        <v>125662185</v>
      </c>
      <c r="GG5" s="1221"/>
    </row>
    <row r="6" spans="2:189">
      <c r="B6" s="1223">
        <v>42064</v>
      </c>
      <c r="C6" s="1423"/>
      <c r="D6" s="1423"/>
      <c r="E6" s="1423">
        <v>149137</v>
      </c>
      <c r="F6" s="1423"/>
      <c r="G6" s="1423">
        <v>149137</v>
      </c>
      <c r="H6" s="1423"/>
      <c r="I6" s="1423"/>
      <c r="J6" s="1423">
        <v>712</v>
      </c>
      <c r="K6" s="1423">
        <v>712</v>
      </c>
      <c r="L6" s="1423">
        <v>712</v>
      </c>
      <c r="M6" s="1423"/>
      <c r="N6" s="1423">
        <v>0</v>
      </c>
      <c r="O6" s="1423"/>
      <c r="P6" s="1423"/>
      <c r="Q6" s="1423">
        <v>0</v>
      </c>
      <c r="R6" s="1423"/>
      <c r="S6" s="1423"/>
      <c r="T6" s="1423"/>
      <c r="U6" s="1423">
        <v>0</v>
      </c>
      <c r="V6" s="1423">
        <v>0</v>
      </c>
      <c r="W6" s="1423"/>
      <c r="X6" s="1423"/>
      <c r="Y6" s="1423"/>
      <c r="Z6" s="1423">
        <v>0</v>
      </c>
      <c r="AA6" s="1423"/>
      <c r="AB6" s="1423"/>
      <c r="AC6" s="1423">
        <v>0</v>
      </c>
      <c r="AD6" s="1423"/>
      <c r="AE6" s="1423"/>
      <c r="AF6" s="1423"/>
      <c r="AG6" s="1423">
        <v>0</v>
      </c>
      <c r="AH6" s="1423"/>
      <c r="AI6" s="1423"/>
      <c r="AJ6" s="1423"/>
      <c r="AK6" s="1423"/>
      <c r="AL6" s="1423">
        <v>0</v>
      </c>
      <c r="AM6" s="1423"/>
      <c r="AN6" s="1423"/>
      <c r="AO6" s="1423"/>
      <c r="AP6" s="1423"/>
      <c r="AQ6" s="1423">
        <v>509681</v>
      </c>
      <c r="AR6" s="1423">
        <v>371401</v>
      </c>
      <c r="AS6" s="1423">
        <v>138280</v>
      </c>
      <c r="AT6" s="1423">
        <v>138280</v>
      </c>
      <c r="AU6" s="1423"/>
      <c r="AV6" s="1423"/>
      <c r="AW6" s="1423"/>
      <c r="AX6" s="1423"/>
      <c r="AY6" s="1423">
        <v>1472924</v>
      </c>
      <c r="AZ6" s="1423">
        <v>1472924</v>
      </c>
      <c r="BA6" s="1423">
        <v>1472924</v>
      </c>
      <c r="BB6" s="1423"/>
      <c r="BC6" s="1423"/>
      <c r="BD6" s="1423">
        <v>0</v>
      </c>
      <c r="BE6" s="1423">
        <v>0</v>
      </c>
      <c r="BF6" s="1423"/>
      <c r="BG6" s="1423"/>
      <c r="BH6" s="1423"/>
      <c r="BI6" s="1423"/>
      <c r="BJ6" s="1423"/>
      <c r="BK6" s="1423"/>
      <c r="BL6" s="1423">
        <v>0</v>
      </c>
      <c r="BM6" s="1423">
        <v>0</v>
      </c>
      <c r="BN6" s="1423"/>
      <c r="BO6" s="1423"/>
      <c r="BP6" s="1423"/>
      <c r="BQ6" s="1423"/>
      <c r="BR6" s="1423"/>
      <c r="BS6" s="1423"/>
      <c r="BT6" s="1423">
        <v>0</v>
      </c>
      <c r="BU6" s="1423">
        <v>0</v>
      </c>
      <c r="BV6" s="1423"/>
      <c r="BW6" s="1423"/>
      <c r="BX6" s="1423"/>
      <c r="BY6" s="1423"/>
      <c r="BZ6" s="1423">
        <v>0</v>
      </c>
      <c r="CA6" s="1423"/>
      <c r="CB6" s="1423"/>
      <c r="CC6" s="1423"/>
      <c r="CD6" s="1423"/>
      <c r="CE6" s="1423"/>
      <c r="CF6" s="1423"/>
      <c r="CG6" s="1423"/>
      <c r="CH6" s="1423"/>
      <c r="CI6" s="1423"/>
      <c r="CJ6" s="1423"/>
      <c r="CK6" s="1423"/>
      <c r="CL6" s="1423"/>
      <c r="CM6" s="1423"/>
      <c r="CN6" s="1423">
        <v>0</v>
      </c>
      <c r="CO6" s="1423">
        <v>0</v>
      </c>
      <c r="CP6" s="1423"/>
      <c r="CQ6" s="1423"/>
      <c r="CR6" s="1423"/>
      <c r="CS6" s="1423"/>
      <c r="CT6" s="1423"/>
      <c r="CU6" s="1423">
        <v>0</v>
      </c>
      <c r="CV6" s="1423"/>
      <c r="CW6" s="1423"/>
      <c r="CX6" s="1423"/>
      <c r="CY6" s="1423"/>
      <c r="CZ6" s="1423"/>
      <c r="DA6" s="1423"/>
      <c r="DB6" s="1423">
        <v>0</v>
      </c>
      <c r="DC6" s="1423"/>
      <c r="DD6" s="1423"/>
      <c r="DE6" s="1423"/>
      <c r="DF6" s="1423">
        <v>80796129</v>
      </c>
      <c r="DG6" s="1423">
        <v>0</v>
      </c>
      <c r="DH6" s="1423">
        <v>0</v>
      </c>
      <c r="DI6" s="1423"/>
      <c r="DJ6" s="1423"/>
      <c r="DK6" s="1423">
        <v>0</v>
      </c>
      <c r="DL6" s="1423"/>
      <c r="DM6" s="1423"/>
      <c r="DN6" s="1423">
        <v>0</v>
      </c>
      <c r="DO6" s="1423"/>
      <c r="DP6" s="1423"/>
      <c r="DQ6" s="1423">
        <v>73253059</v>
      </c>
      <c r="DR6" s="1423">
        <v>2672189</v>
      </c>
      <c r="DS6" s="1423">
        <v>70580870</v>
      </c>
      <c r="DT6" s="1423"/>
      <c r="DU6" s="1423">
        <v>7543070</v>
      </c>
      <c r="DV6" s="1423">
        <v>0</v>
      </c>
      <c r="DW6" s="1423"/>
      <c r="DX6" s="1423"/>
      <c r="DY6" s="1423"/>
      <c r="DZ6" s="1423">
        <v>8247150</v>
      </c>
      <c r="EA6" s="1423">
        <v>0</v>
      </c>
      <c r="EB6" s="1423"/>
      <c r="EC6" s="1423"/>
      <c r="ED6" s="1423">
        <v>0</v>
      </c>
      <c r="EE6" s="1423"/>
      <c r="EF6" s="1423"/>
      <c r="EG6" s="1423">
        <v>8247150</v>
      </c>
      <c r="EH6" s="1423"/>
      <c r="EI6" s="1423">
        <v>8247150</v>
      </c>
      <c r="EJ6" s="1423"/>
      <c r="EK6" s="1423">
        <v>0</v>
      </c>
      <c r="EL6" s="1423"/>
      <c r="EM6" s="1423">
        <v>0</v>
      </c>
      <c r="EN6" s="1423"/>
      <c r="EO6" s="1423"/>
      <c r="EP6" s="1423"/>
      <c r="EQ6" s="1423">
        <v>0</v>
      </c>
      <c r="ER6" s="1423"/>
      <c r="ES6" s="1423"/>
      <c r="ET6" s="1423"/>
      <c r="EU6" s="1423">
        <v>0</v>
      </c>
      <c r="EV6" s="1423"/>
      <c r="EW6" s="1423"/>
      <c r="EX6" s="1423"/>
      <c r="EY6" s="1423"/>
      <c r="EZ6" s="1423">
        <v>0</v>
      </c>
      <c r="FA6" s="1423"/>
      <c r="FB6" s="1423">
        <v>0</v>
      </c>
      <c r="FC6" s="1423"/>
      <c r="FD6" s="1423"/>
      <c r="FE6" s="1423"/>
      <c r="FF6" s="1423">
        <v>0</v>
      </c>
      <c r="FG6" s="1423"/>
      <c r="FH6" s="1423"/>
      <c r="FI6" s="1423"/>
      <c r="FJ6" s="1423">
        <v>0</v>
      </c>
      <c r="FK6" s="1423"/>
      <c r="FL6" s="1423"/>
      <c r="FM6" s="1423"/>
      <c r="FN6" s="1423"/>
      <c r="FO6" s="1423">
        <v>0</v>
      </c>
      <c r="FP6" s="1423"/>
      <c r="FQ6" s="1423"/>
      <c r="FR6" s="1423"/>
      <c r="FS6" s="1423"/>
      <c r="FT6" s="1423"/>
      <c r="FU6" s="1423"/>
      <c r="FV6" s="1423"/>
      <c r="FW6" s="1423">
        <v>23386597</v>
      </c>
      <c r="FX6" s="1423">
        <v>16892526</v>
      </c>
      <c r="FY6" s="1423">
        <v>6331145</v>
      </c>
      <c r="FZ6" s="1423">
        <v>162926</v>
      </c>
      <c r="GA6" s="1423"/>
      <c r="GB6" s="1423">
        <v>10944379</v>
      </c>
      <c r="GC6" s="1423"/>
      <c r="GD6" s="1423"/>
      <c r="GE6" s="1423"/>
      <c r="GF6" s="1423">
        <v>125506709</v>
      </c>
      <c r="GG6" s="1221"/>
    </row>
    <row r="7" spans="2:189">
      <c r="B7" s="1223">
        <v>42095</v>
      </c>
      <c r="C7" s="1423"/>
      <c r="D7" s="1423"/>
      <c r="E7" s="1423">
        <v>53562</v>
      </c>
      <c r="F7" s="1423"/>
      <c r="G7" s="1423">
        <v>53562</v>
      </c>
      <c r="H7" s="1423"/>
      <c r="I7" s="1423"/>
      <c r="J7" s="1423">
        <v>0</v>
      </c>
      <c r="K7" s="1423">
        <v>0</v>
      </c>
      <c r="L7" s="1423"/>
      <c r="M7" s="1423"/>
      <c r="N7" s="1423">
        <v>0</v>
      </c>
      <c r="O7" s="1423"/>
      <c r="P7" s="1423"/>
      <c r="Q7" s="1423">
        <v>0</v>
      </c>
      <c r="R7" s="1423"/>
      <c r="S7" s="1423"/>
      <c r="T7" s="1423"/>
      <c r="U7" s="1423">
        <v>0</v>
      </c>
      <c r="V7" s="1423">
        <v>0</v>
      </c>
      <c r="W7" s="1423"/>
      <c r="X7" s="1423"/>
      <c r="Y7" s="1423"/>
      <c r="Z7" s="1423">
        <v>0</v>
      </c>
      <c r="AA7" s="1423"/>
      <c r="AB7" s="1423"/>
      <c r="AC7" s="1423">
        <v>0</v>
      </c>
      <c r="AD7" s="1423"/>
      <c r="AE7" s="1423"/>
      <c r="AF7" s="1423"/>
      <c r="AG7" s="1423">
        <v>0</v>
      </c>
      <c r="AH7" s="1423"/>
      <c r="AI7" s="1423"/>
      <c r="AJ7" s="1423"/>
      <c r="AK7" s="1423"/>
      <c r="AL7" s="1423">
        <v>0</v>
      </c>
      <c r="AM7" s="1423"/>
      <c r="AN7" s="1423"/>
      <c r="AO7" s="1423"/>
      <c r="AP7" s="1423"/>
      <c r="AQ7" s="1423">
        <v>349297</v>
      </c>
      <c r="AR7" s="1423">
        <v>278821</v>
      </c>
      <c r="AS7" s="1423">
        <v>70476</v>
      </c>
      <c r="AT7" s="1423">
        <v>70476</v>
      </c>
      <c r="AU7" s="1423"/>
      <c r="AV7" s="1423"/>
      <c r="AW7" s="1423"/>
      <c r="AX7" s="1423"/>
      <c r="AY7" s="1423">
        <v>178712</v>
      </c>
      <c r="AZ7" s="1423">
        <v>178712</v>
      </c>
      <c r="BA7" s="1423">
        <v>178712</v>
      </c>
      <c r="BB7" s="1423"/>
      <c r="BC7" s="1423"/>
      <c r="BD7" s="1423"/>
      <c r="BE7" s="1423">
        <v>0</v>
      </c>
      <c r="BF7" s="1423"/>
      <c r="BG7" s="1423"/>
      <c r="BH7" s="1423"/>
      <c r="BI7" s="1423"/>
      <c r="BJ7" s="1423"/>
      <c r="BK7" s="1423"/>
      <c r="BL7" s="1423">
        <v>0</v>
      </c>
      <c r="BM7" s="1423">
        <v>0</v>
      </c>
      <c r="BN7" s="1423"/>
      <c r="BO7" s="1423"/>
      <c r="BP7" s="1423"/>
      <c r="BQ7" s="1423"/>
      <c r="BR7" s="1423"/>
      <c r="BS7" s="1423"/>
      <c r="BT7" s="1423">
        <v>0</v>
      </c>
      <c r="BU7" s="1423">
        <v>0</v>
      </c>
      <c r="BV7" s="1423"/>
      <c r="BW7" s="1423"/>
      <c r="BX7" s="1423"/>
      <c r="BY7" s="1423"/>
      <c r="BZ7" s="1423">
        <v>0</v>
      </c>
      <c r="CA7" s="1423"/>
      <c r="CB7" s="1423"/>
      <c r="CC7" s="1423"/>
      <c r="CD7" s="1423"/>
      <c r="CE7" s="1423"/>
      <c r="CF7" s="1423"/>
      <c r="CG7" s="1423"/>
      <c r="CH7" s="1423"/>
      <c r="CI7" s="1423"/>
      <c r="CJ7" s="1423"/>
      <c r="CK7" s="1423"/>
      <c r="CL7" s="1423"/>
      <c r="CM7" s="1423"/>
      <c r="CN7" s="1423">
        <v>0</v>
      </c>
      <c r="CO7" s="1423">
        <v>0</v>
      </c>
      <c r="CP7" s="1423"/>
      <c r="CQ7" s="1423"/>
      <c r="CR7" s="1423"/>
      <c r="CS7" s="1423"/>
      <c r="CT7" s="1423"/>
      <c r="CU7" s="1423">
        <v>0</v>
      </c>
      <c r="CV7" s="1423"/>
      <c r="CW7" s="1423"/>
      <c r="CX7" s="1423"/>
      <c r="CY7" s="1423"/>
      <c r="CZ7" s="1423"/>
      <c r="DA7" s="1423"/>
      <c r="DB7" s="1423">
        <v>0</v>
      </c>
      <c r="DC7" s="1423"/>
      <c r="DD7" s="1423"/>
      <c r="DE7" s="1423"/>
      <c r="DF7" s="1423">
        <v>66738601</v>
      </c>
      <c r="DG7" s="1423">
        <v>0</v>
      </c>
      <c r="DH7" s="1423">
        <v>0</v>
      </c>
      <c r="DI7" s="1423"/>
      <c r="DJ7" s="1423"/>
      <c r="DK7" s="1423">
        <v>0</v>
      </c>
      <c r="DL7" s="1423"/>
      <c r="DM7" s="1423"/>
      <c r="DN7" s="1423">
        <v>0</v>
      </c>
      <c r="DO7" s="1423"/>
      <c r="DP7" s="1423"/>
      <c r="DQ7" s="1423">
        <v>66738601</v>
      </c>
      <c r="DR7" s="1423">
        <v>2061892</v>
      </c>
      <c r="DS7" s="1423">
        <v>64676709</v>
      </c>
      <c r="DT7" s="1423"/>
      <c r="DU7" s="1423"/>
      <c r="DV7" s="1423">
        <v>0</v>
      </c>
      <c r="DW7" s="1423"/>
      <c r="DX7" s="1423"/>
      <c r="DY7" s="1423"/>
      <c r="DZ7" s="1423">
        <v>0</v>
      </c>
      <c r="EA7" s="1423">
        <v>0</v>
      </c>
      <c r="EB7" s="1423"/>
      <c r="EC7" s="1423"/>
      <c r="ED7" s="1423">
        <v>0</v>
      </c>
      <c r="EE7" s="1423"/>
      <c r="EF7" s="1423"/>
      <c r="EG7" s="1423">
        <v>0</v>
      </c>
      <c r="EH7" s="1423"/>
      <c r="EI7" s="1423"/>
      <c r="EJ7" s="1423"/>
      <c r="EK7" s="1423">
        <v>0</v>
      </c>
      <c r="EL7" s="1423"/>
      <c r="EM7" s="1423">
        <v>0</v>
      </c>
      <c r="EN7" s="1423"/>
      <c r="EO7" s="1423"/>
      <c r="EP7" s="1423"/>
      <c r="EQ7" s="1423">
        <v>0</v>
      </c>
      <c r="ER7" s="1423"/>
      <c r="ES7" s="1423"/>
      <c r="ET7" s="1423"/>
      <c r="EU7" s="1423">
        <v>0</v>
      </c>
      <c r="EV7" s="1423"/>
      <c r="EW7" s="1423"/>
      <c r="EX7" s="1423"/>
      <c r="EY7" s="1423"/>
      <c r="EZ7" s="1423">
        <v>0</v>
      </c>
      <c r="FA7" s="1423"/>
      <c r="FB7" s="1423">
        <v>0</v>
      </c>
      <c r="FC7" s="1423"/>
      <c r="FD7" s="1423"/>
      <c r="FE7" s="1423"/>
      <c r="FF7" s="1423">
        <v>0</v>
      </c>
      <c r="FG7" s="1423"/>
      <c r="FH7" s="1423"/>
      <c r="FI7" s="1423"/>
      <c r="FJ7" s="1423">
        <v>0</v>
      </c>
      <c r="FK7" s="1423"/>
      <c r="FL7" s="1423"/>
      <c r="FM7" s="1423"/>
      <c r="FN7" s="1423"/>
      <c r="FO7" s="1423">
        <v>0</v>
      </c>
      <c r="FP7" s="1423"/>
      <c r="FQ7" s="1423"/>
      <c r="FR7" s="1423"/>
      <c r="FS7" s="1423"/>
      <c r="FT7" s="1423"/>
      <c r="FU7" s="1423"/>
      <c r="FV7" s="1423"/>
      <c r="FW7" s="1423">
        <v>21298812</v>
      </c>
      <c r="FX7" s="1423">
        <v>15625713</v>
      </c>
      <c r="FY7" s="1423">
        <v>5523069</v>
      </c>
      <c r="FZ7" s="1423">
        <v>150030</v>
      </c>
      <c r="GA7" s="1423"/>
      <c r="GB7" s="1423">
        <v>10274230</v>
      </c>
      <c r="GC7" s="1423"/>
      <c r="GD7" s="1423"/>
      <c r="GE7" s="1423"/>
      <c r="GF7" s="1423">
        <v>98893214</v>
      </c>
      <c r="GG7" s="1221"/>
    </row>
    <row r="8" spans="2:189">
      <c r="B8" s="1223">
        <v>42125</v>
      </c>
      <c r="C8" s="1423"/>
      <c r="D8" s="1423"/>
      <c r="E8" s="1423">
        <v>3031</v>
      </c>
      <c r="F8" s="1423"/>
      <c r="G8" s="1423">
        <v>3031</v>
      </c>
      <c r="H8" s="1423"/>
      <c r="I8" s="1423"/>
      <c r="J8" s="1423">
        <v>0</v>
      </c>
      <c r="K8" s="1423">
        <v>0</v>
      </c>
      <c r="L8" s="1423"/>
      <c r="M8" s="1423"/>
      <c r="N8" s="1423">
        <v>0</v>
      </c>
      <c r="O8" s="1423"/>
      <c r="P8" s="1423"/>
      <c r="Q8" s="1423">
        <v>0</v>
      </c>
      <c r="R8" s="1423"/>
      <c r="S8" s="1423"/>
      <c r="T8" s="1423"/>
      <c r="U8" s="1423">
        <v>0</v>
      </c>
      <c r="V8" s="1423">
        <v>0</v>
      </c>
      <c r="W8" s="1423"/>
      <c r="X8" s="1423"/>
      <c r="Y8" s="1423"/>
      <c r="Z8" s="1423">
        <v>0</v>
      </c>
      <c r="AA8" s="1423"/>
      <c r="AB8" s="1423"/>
      <c r="AC8" s="1423">
        <v>0</v>
      </c>
      <c r="AD8" s="1423"/>
      <c r="AE8" s="1423"/>
      <c r="AF8" s="1423"/>
      <c r="AG8" s="1423">
        <v>0</v>
      </c>
      <c r="AH8" s="1423"/>
      <c r="AI8" s="1423"/>
      <c r="AJ8" s="1423"/>
      <c r="AK8" s="1423"/>
      <c r="AL8" s="1423">
        <v>0</v>
      </c>
      <c r="AM8" s="1423"/>
      <c r="AN8" s="1423"/>
      <c r="AO8" s="1423"/>
      <c r="AP8" s="1423"/>
      <c r="AQ8" s="1423">
        <v>441103</v>
      </c>
      <c r="AR8" s="1423">
        <v>431136</v>
      </c>
      <c r="AS8" s="1423">
        <v>9967</v>
      </c>
      <c r="AT8" s="1423">
        <v>9967</v>
      </c>
      <c r="AU8" s="1423"/>
      <c r="AV8" s="1423"/>
      <c r="AW8" s="1423"/>
      <c r="AX8" s="1423"/>
      <c r="AY8" s="1423">
        <v>178712</v>
      </c>
      <c r="AZ8" s="1423">
        <v>178712</v>
      </c>
      <c r="BA8" s="1423">
        <v>178712</v>
      </c>
      <c r="BB8" s="1423"/>
      <c r="BC8" s="1423"/>
      <c r="BD8" s="1423"/>
      <c r="BE8" s="1423">
        <v>0</v>
      </c>
      <c r="BF8" s="1423"/>
      <c r="BG8" s="1423"/>
      <c r="BH8" s="1423"/>
      <c r="BI8" s="1423"/>
      <c r="BJ8" s="1423"/>
      <c r="BK8" s="1423"/>
      <c r="BL8" s="1423">
        <v>0</v>
      </c>
      <c r="BM8" s="1423">
        <v>0</v>
      </c>
      <c r="BN8" s="1423"/>
      <c r="BO8" s="1423"/>
      <c r="BP8" s="1423"/>
      <c r="BQ8" s="1423"/>
      <c r="BR8" s="1423"/>
      <c r="BS8" s="1423"/>
      <c r="BT8" s="1423">
        <v>0</v>
      </c>
      <c r="BU8" s="1423">
        <v>0</v>
      </c>
      <c r="BV8" s="1423"/>
      <c r="BW8" s="1423"/>
      <c r="BX8" s="1423"/>
      <c r="BY8" s="1423"/>
      <c r="BZ8" s="1423">
        <v>0</v>
      </c>
      <c r="CA8" s="1423"/>
      <c r="CB8" s="1423"/>
      <c r="CC8" s="1423"/>
      <c r="CD8" s="1423"/>
      <c r="CE8" s="1423"/>
      <c r="CF8" s="1423"/>
      <c r="CG8" s="1423"/>
      <c r="CH8" s="1423"/>
      <c r="CI8" s="1423"/>
      <c r="CJ8" s="1423"/>
      <c r="CK8" s="1423"/>
      <c r="CL8" s="1423"/>
      <c r="CM8" s="1423"/>
      <c r="CN8" s="1423">
        <v>0</v>
      </c>
      <c r="CO8" s="1423">
        <v>0</v>
      </c>
      <c r="CP8" s="1423"/>
      <c r="CQ8" s="1423"/>
      <c r="CR8" s="1423"/>
      <c r="CS8" s="1423"/>
      <c r="CT8" s="1423"/>
      <c r="CU8" s="1423">
        <v>0</v>
      </c>
      <c r="CV8" s="1423"/>
      <c r="CW8" s="1423"/>
      <c r="CX8" s="1423"/>
      <c r="CY8" s="1423"/>
      <c r="CZ8" s="1423"/>
      <c r="DA8" s="1423"/>
      <c r="DB8" s="1423">
        <v>0</v>
      </c>
      <c r="DC8" s="1423"/>
      <c r="DD8" s="1423"/>
      <c r="DE8" s="1423"/>
      <c r="DF8" s="1423">
        <v>67861046</v>
      </c>
      <c r="DG8" s="1423">
        <v>0</v>
      </c>
      <c r="DH8" s="1423">
        <v>0</v>
      </c>
      <c r="DI8" s="1423"/>
      <c r="DJ8" s="1423"/>
      <c r="DK8" s="1423">
        <v>0</v>
      </c>
      <c r="DL8" s="1423"/>
      <c r="DM8" s="1423"/>
      <c r="DN8" s="1423">
        <v>0</v>
      </c>
      <c r="DO8" s="1423"/>
      <c r="DP8" s="1423"/>
      <c r="DQ8" s="1423">
        <v>67861046</v>
      </c>
      <c r="DR8" s="1423">
        <v>2096477</v>
      </c>
      <c r="DS8" s="1423">
        <v>65764569</v>
      </c>
      <c r="DT8" s="1423"/>
      <c r="DU8" s="1423"/>
      <c r="DV8" s="1423">
        <v>0</v>
      </c>
      <c r="DW8" s="1423"/>
      <c r="DX8" s="1423"/>
      <c r="DY8" s="1423"/>
      <c r="DZ8" s="1423">
        <v>0</v>
      </c>
      <c r="EA8" s="1423">
        <v>0</v>
      </c>
      <c r="EB8" s="1423"/>
      <c r="EC8" s="1423"/>
      <c r="ED8" s="1423">
        <v>0</v>
      </c>
      <c r="EE8" s="1423"/>
      <c r="EF8" s="1423"/>
      <c r="EG8" s="1423">
        <v>0</v>
      </c>
      <c r="EH8" s="1423"/>
      <c r="EI8" s="1423"/>
      <c r="EJ8" s="1423"/>
      <c r="EK8" s="1423">
        <v>0</v>
      </c>
      <c r="EL8" s="1423"/>
      <c r="EM8" s="1423">
        <v>0</v>
      </c>
      <c r="EN8" s="1423"/>
      <c r="EO8" s="1423"/>
      <c r="EP8" s="1423"/>
      <c r="EQ8" s="1423">
        <v>0</v>
      </c>
      <c r="ER8" s="1423"/>
      <c r="ES8" s="1423"/>
      <c r="ET8" s="1423"/>
      <c r="EU8" s="1423">
        <v>0</v>
      </c>
      <c r="EV8" s="1423"/>
      <c r="EW8" s="1423"/>
      <c r="EX8" s="1423"/>
      <c r="EY8" s="1423"/>
      <c r="EZ8" s="1423">
        <v>0</v>
      </c>
      <c r="FA8" s="1423"/>
      <c r="FB8" s="1423">
        <v>0</v>
      </c>
      <c r="FC8" s="1423"/>
      <c r="FD8" s="1423"/>
      <c r="FE8" s="1423"/>
      <c r="FF8" s="1423">
        <v>0</v>
      </c>
      <c r="FG8" s="1423"/>
      <c r="FH8" s="1423"/>
      <c r="FI8" s="1423"/>
      <c r="FJ8" s="1423">
        <v>0</v>
      </c>
      <c r="FK8" s="1423"/>
      <c r="FL8" s="1423"/>
      <c r="FM8" s="1423"/>
      <c r="FN8" s="1423"/>
      <c r="FO8" s="1423">
        <v>0</v>
      </c>
      <c r="FP8" s="1423"/>
      <c r="FQ8" s="1423"/>
      <c r="FR8" s="1423"/>
      <c r="FS8" s="1423"/>
      <c r="FT8" s="1423"/>
      <c r="FU8" s="1423"/>
      <c r="FV8" s="1423"/>
      <c r="FW8" s="1423">
        <v>21203556</v>
      </c>
      <c r="FX8" s="1423">
        <v>15620764</v>
      </c>
      <c r="FY8" s="1423">
        <v>5437224</v>
      </c>
      <c r="FZ8" s="1423">
        <v>145568</v>
      </c>
      <c r="GA8" s="1423"/>
      <c r="GB8" s="1423">
        <v>9595968</v>
      </c>
      <c r="GC8" s="1423"/>
      <c r="GD8" s="1423"/>
      <c r="GE8" s="1423"/>
      <c r="GF8" s="1423">
        <v>99283416</v>
      </c>
      <c r="GG8" s="1221"/>
    </row>
    <row r="9" spans="2:189">
      <c r="B9" s="1223">
        <v>42156</v>
      </c>
      <c r="C9" s="1423"/>
      <c r="D9" s="1423"/>
      <c r="E9" s="1423">
        <v>30499.77</v>
      </c>
      <c r="F9" s="1423"/>
      <c r="G9" s="1423">
        <v>30499.77</v>
      </c>
      <c r="H9" s="1423"/>
      <c r="I9" s="1423"/>
      <c r="J9" s="1423">
        <v>0</v>
      </c>
      <c r="K9" s="1423">
        <v>0</v>
      </c>
      <c r="L9" s="1423"/>
      <c r="M9" s="1423"/>
      <c r="N9" s="1423">
        <v>0</v>
      </c>
      <c r="O9" s="1423"/>
      <c r="P9" s="1423"/>
      <c r="Q9" s="1423">
        <v>0</v>
      </c>
      <c r="R9" s="1423"/>
      <c r="S9" s="1423"/>
      <c r="T9" s="1423"/>
      <c r="U9" s="1423">
        <v>0</v>
      </c>
      <c r="V9" s="1423">
        <v>0</v>
      </c>
      <c r="W9" s="1423"/>
      <c r="X9" s="1423"/>
      <c r="Y9" s="1423"/>
      <c r="Z9" s="1423">
        <v>0</v>
      </c>
      <c r="AA9" s="1423"/>
      <c r="AB9" s="1423"/>
      <c r="AC9" s="1423">
        <v>0</v>
      </c>
      <c r="AD9" s="1423"/>
      <c r="AE9" s="1423"/>
      <c r="AF9" s="1423"/>
      <c r="AG9" s="1423">
        <v>0</v>
      </c>
      <c r="AH9" s="1423"/>
      <c r="AI9" s="1423"/>
      <c r="AJ9" s="1423"/>
      <c r="AK9" s="1423"/>
      <c r="AL9" s="1423">
        <v>0</v>
      </c>
      <c r="AM9" s="1423"/>
      <c r="AN9" s="1423"/>
      <c r="AO9" s="1423"/>
      <c r="AP9" s="1423"/>
      <c r="AQ9" s="1423">
        <v>293177.21871118544</v>
      </c>
      <c r="AR9" s="1423">
        <v>283210.67489377043</v>
      </c>
      <c r="AS9" s="1423">
        <v>9966.5438174150004</v>
      </c>
      <c r="AT9" s="1423">
        <v>9966.5438174150004</v>
      </c>
      <c r="AU9" s="1423"/>
      <c r="AV9" s="1423"/>
      <c r="AW9" s="1423"/>
      <c r="AX9" s="1423"/>
      <c r="AY9" s="1423">
        <v>178712</v>
      </c>
      <c r="AZ9" s="1423">
        <v>178712</v>
      </c>
      <c r="BA9" s="1423">
        <v>178712</v>
      </c>
      <c r="BB9" s="1423"/>
      <c r="BC9" s="1423"/>
      <c r="BD9" s="1423"/>
      <c r="BE9" s="1423">
        <v>0</v>
      </c>
      <c r="BF9" s="1423"/>
      <c r="BG9" s="1423"/>
      <c r="BH9" s="1423"/>
      <c r="BI9" s="1423"/>
      <c r="BJ9" s="1423"/>
      <c r="BK9" s="1423"/>
      <c r="BL9" s="1423">
        <v>0</v>
      </c>
      <c r="BM9" s="1423">
        <v>0</v>
      </c>
      <c r="BN9" s="1423"/>
      <c r="BO9" s="1423"/>
      <c r="BP9" s="1423"/>
      <c r="BQ9" s="1423"/>
      <c r="BR9" s="1423"/>
      <c r="BS9" s="1423"/>
      <c r="BT9" s="1423">
        <v>0</v>
      </c>
      <c r="BU9" s="1423">
        <v>0</v>
      </c>
      <c r="BV9" s="1423"/>
      <c r="BW9" s="1423"/>
      <c r="BX9" s="1423"/>
      <c r="BY9" s="1423"/>
      <c r="BZ9" s="1423">
        <v>0</v>
      </c>
      <c r="CA9" s="1423"/>
      <c r="CB9" s="1423"/>
      <c r="CC9" s="1423"/>
      <c r="CD9" s="1423"/>
      <c r="CE9" s="1423"/>
      <c r="CF9" s="1423"/>
      <c r="CG9" s="1423"/>
      <c r="CH9" s="1423"/>
      <c r="CI9" s="1423"/>
      <c r="CJ9" s="1423"/>
      <c r="CK9" s="1423"/>
      <c r="CL9" s="1423"/>
      <c r="CM9" s="1423"/>
      <c r="CN9" s="1423">
        <v>0</v>
      </c>
      <c r="CO9" s="1423">
        <v>0</v>
      </c>
      <c r="CP9" s="1423"/>
      <c r="CQ9" s="1423"/>
      <c r="CR9" s="1423"/>
      <c r="CS9" s="1423"/>
      <c r="CT9" s="1423"/>
      <c r="CU9" s="1423">
        <v>0</v>
      </c>
      <c r="CV9" s="1423"/>
      <c r="CW9" s="1423"/>
      <c r="CX9" s="1423"/>
      <c r="CY9" s="1423"/>
      <c r="CZ9" s="1423"/>
      <c r="DA9" s="1423"/>
      <c r="DB9" s="1423">
        <v>0</v>
      </c>
      <c r="DC9" s="1423"/>
      <c r="DD9" s="1423"/>
      <c r="DE9" s="1423"/>
      <c r="DF9" s="1423">
        <v>68128225.270000026</v>
      </c>
      <c r="DG9" s="1423">
        <v>0</v>
      </c>
      <c r="DH9" s="1423">
        <v>0</v>
      </c>
      <c r="DI9" s="1423"/>
      <c r="DJ9" s="1423"/>
      <c r="DK9" s="1423">
        <v>0</v>
      </c>
      <c r="DL9" s="1423"/>
      <c r="DM9" s="1423"/>
      <c r="DN9" s="1423">
        <v>0</v>
      </c>
      <c r="DO9" s="1423"/>
      <c r="DP9" s="1423"/>
      <c r="DQ9" s="1423">
        <v>68128225.270000026</v>
      </c>
      <c r="DR9" s="1423">
        <v>2104709.36614786</v>
      </c>
      <c r="DS9" s="1423">
        <v>66023515.903852165</v>
      </c>
      <c r="DT9" s="1423"/>
      <c r="DU9" s="1423"/>
      <c r="DV9" s="1423">
        <v>0</v>
      </c>
      <c r="DW9" s="1423"/>
      <c r="DX9" s="1423"/>
      <c r="DY9" s="1423"/>
      <c r="DZ9" s="1423">
        <v>0</v>
      </c>
      <c r="EA9" s="1423">
        <v>0</v>
      </c>
      <c r="EB9" s="1423"/>
      <c r="EC9" s="1423"/>
      <c r="ED9" s="1423">
        <v>0</v>
      </c>
      <c r="EE9" s="1423"/>
      <c r="EF9" s="1423"/>
      <c r="EG9" s="1423">
        <v>0</v>
      </c>
      <c r="EH9" s="1423"/>
      <c r="EI9" s="1423"/>
      <c r="EJ9" s="1423"/>
      <c r="EK9" s="1423">
        <v>0</v>
      </c>
      <c r="EL9" s="1423"/>
      <c r="EM9" s="1423">
        <v>0</v>
      </c>
      <c r="EN9" s="1423"/>
      <c r="EO9" s="1423"/>
      <c r="EP9" s="1423"/>
      <c r="EQ9" s="1423">
        <v>0</v>
      </c>
      <c r="ER9" s="1423"/>
      <c r="ES9" s="1423"/>
      <c r="ET9" s="1423"/>
      <c r="EU9" s="1423">
        <v>0</v>
      </c>
      <c r="EV9" s="1423"/>
      <c r="EW9" s="1423"/>
      <c r="EX9" s="1423"/>
      <c r="EY9" s="1423"/>
      <c r="EZ9" s="1423">
        <v>0</v>
      </c>
      <c r="FA9" s="1423"/>
      <c r="FB9" s="1423">
        <v>0</v>
      </c>
      <c r="FC9" s="1423"/>
      <c r="FD9" s="1423"/>
      <c r="FE9" s="1423"/>
      <c r="FF9" s="1423">
        <v>0</v>
      </c>
      <c r="FG9" s="1423"/>
      <c r="FH9" s="1423"/>
      <c r="FI9" s="1423"/>
      <c r="FJ9" s="1423">
        <v>0</v>
      </c>
      <c r="FK9" s="1423"/>
      <c r="FL9" s="1423"/>
      <c r="FM9" s="1423"/>
      <c r="FN9" s="1423"/>
      <c r="FO9" s="1423">
        <v>0</v>
      </c>
      <c r="FP9" s="1423"/>
      <c r="FQ9" s="1423"/>
      <c r="FR9" s="1423"/>
      <c r="FS9" s="1423"/>
      <c r="FT9" s="1423"/>
      <c r="FU9" s="1423"/>
      <c r="FV9" s="1423"/>
      <c r="FW9" s="1423">
        <v>21110017.310000002</v>
      </c>
      <c r="FX9" s="1423">
        <v>15615925.450000001</v>
      </c>
      <c r="FY9" s="1423">
        <v>5353295.3099999996</v>
      </c>
      <c r="FZ9" s="1423">
        <v>140796.54999999999</v>
      </c>
      <c r="GA9" s="1423"/>
      <c r="GB9" s="1423">
        <v>9696091.5799999982</v>
      </c>
      <c r="GC9" s="1423"/>
      <c r="GD9" s="1423"/>
      <c r="GE9" s="1423"/>
      <c r="GF9" s="1423">
        <v>99436723.148711205</v>
      </c>
      <c r="GG9" s="1221"/>
    </row>
    <row r="10" spans="2:189">
      <c r="B10" s="1223">
        <v>42186</v>
      </c>
      <c r="C10" s="1423"/>
      <c r="D10" s="1423"/>
      <c r="E10" s="1423">
        <v>1608276</v>
      </c>
      <c r="F10" s="1423"/>
      <c r="G10" s="1423">
        <v>1608276</v>
      </c>
      <c r="H10" s="1423"/>
      <c r="I10" s="1423"/>
      <c r="J10" s="1423">
        <v>0</v>
      </c>
      <c r="K10" s="1423">
        <v>0</v>
      </c>
      <c r="L10" s="1423"/>
      <c r="M10" s="1423"/>
      <c r="N10" s="1423">
        <v>0</v>
      </c>
      <c r="O10" s="1423"/>
      <c r="P10" s="1423"/>
      <c r="Q10" s="1423">
        <v>0</v>
      </c>
      <c r="R10" s="1423"/>
      <c r="S10" s="1423"/>
      <c r="T10" s="1423"/>
      <c r="U10" s="1423">
        <v>0</v>
      </c>
      <c r="V10" s="1423">
        <v>0</v>
      </c>
      <c r="W10" s="1423"/>
      <c r="X10" s="1423"/>
      <c r="Y10" s="1423"/>
      <c r="Z10" s="1423">
        <v>0</v>
      </c>
      <c r="AA10" s="1423"/>
      <c r="AB10" s="1423"/>
      <c r="AC10" s="1423">
        <v>0</v>
      </c>
      <c r="AD10" s="1423"/>
      <c r="AE10" s="1423"/>
      <c r="AF10" s="1423"/>
      <c r="AG10" s="1423">
        <v>0</v>
      </c>
      <c r="AH10" s="1423"/>
      <c r="AI10" s="1423"/>
      <c r="AJ10" s="1423"/>
      <c r="AK10" s="1423"/>
      <c r="AL10" s="1423">
        <v>0</v>
      </c>
      <c r="AM10" s="1423"/>
      <c r="AN10" s="1423"/>
      <c r="AO10" s="1423"/>
      <c r="AP10" s="1423"/>
      <c r="AQ10" s="1423">
        <v>171891</v>
      </c>
      <c r="AR10" s="1423">
        <v>161924</v>
      </c>
      <c r="AS10" s="1423">
        <v>9967</v>
      </c>
      <c r="AT10" s="1423">
        <v>9967</v>
      </c>
      <c r="AU10" s="1423"/>
      <c r="AV10" s="1423"/>
      <c r="AW10" s="1423"/>
      <c r="AX10" s="1423"/>
      <c r="AY10" s="1423">
        <v>178712</v>
      </c>
      <c r="AZ10" s="1423">
        <v>178712</v>
      </c>
      <c r="BA10" s="1423">
        <v>178712</v>
      </c>
      <c r="BB10" s="1423"/>
      <c r="BC10" s="1423"/>
      <c r="BD10" s="1423"/>
      <c r="BE10" s="1423">
        <v>0</v>
      </c>
      <c r="BF10" s="1423"/>
      <c r="BG10" s="1423"/>
      <c r="BH10" s="1423"/>
      <c r="BI10" s="1423"/>
      <c r="BJ10" s="1423"/>
      <c r="BK10" s="1423"/>
      <c r="BL10" s="1423">
        <v>0</v>
      </c>
      <c r="BM10" s="1423">
        <v>0</v>
      </c>
      <c r="BN10" s="1423"/>
      <c r="BO10" s="1423"/>
      <c r="BP10" s="1423"/>
      <c r="BQ10" s="1423"/>
      <c r="BR10" s="1423"/>
      <c r="BS10" s="1423"/>
      <c r="BT10" s="1423">
        <v>0</v>
      </c>
      <c r="BU10" s="1423">
        <v>0</v>
      </c>
      <c r="BV10" s="1423"/>
      <c r="BW10" s="1423"/>
      <c r="BX10" s="1423"/>
      <c r="BY10" s="1423"/>
      <c r="BZ10" s="1423">
        <v>0</v>
      </c>
      <c r="CA10" s="1423"/>
      <c r="CB10" s="1423"/>
      <c r="CC10" s="1423"/>
      <c r="CD10" s="1423"/>
      <c r="CE10" s="1423"/>
      <c r="CF10" s="1423"/>
      <c r="CG10" s="1423"/>
      <c r="CH10" s="1423"/>
      <c r="CI10" s="1423"/>
      <c r="CJ10" s="1423"/>
      <c r="CK10" s="1423"/>
      <c r="CL10" s="1423"/>
      <c r="CM10" s="1423"/>
      <c r="CN10" s="1423">
        <v>0</v>
      </c>
      <c r="CO10" s="1423">
        <v>0</v>
      </c>
      <c r="CP10" s="1423"/>
      <c r="CQ10" s="1423"/>
      <c r="CR10" s="1423"/>
      <c r="CS10" s="1423"/>
      <c r="CT10" s="1423"/>
      <c r="CU10" s="1423">
        <v>0</v>
      </c>
      <c r="CV10" s="1423"/>
      <c r="CW10" s="1423"/>
      <c r="CX10" s="1423"/>
      <c r="CY10" s="1423"/>
      <c r="CZ10" s="1423"/>
      <c r="DA10" s="1423"/>
      <c r="DB10" s="1423">
        <v>0</v>
      </c>
      <c r="DC10" s="1423"/>
      <c r="DD10" s="1423"/>
      <c r="DE10" s="1423"/>
      <c r="DF10" s="1423">
        <v>67788295</v>
      </c>
      <c r="DG10" s="1423">
        <v>0</v>
      </c>
      <c r="DH10" s="1423">
        <v>0</v>
      </c>
      <c r="DI10" s="1423"/>
      <c r="DJ10" s="1423"/>
      <c r="DK10" s="1423">
        <v>0</v>
      </c>
      <c r="DL10" s="1423"/>
      <c r="DM10" s="1423"/>
      <c r="DN10" s="1423">
        <v>0</v>
      </c>
      <c r="DO10" s="1423"/>
      <c r="DP10" s="1423"/>
      <c r="DQ10" s="1423">
        <v>67788295</v>
      </c>
      <c r="DR10" s="1423">
        <v>2094235</v>
      </c>
      <c r="DS10" s="1423">
        <v>65694060</v>
      </c>
      <c r="DT10" s="1423"/>
      <c r="DU10" s="1423"/>
      <c r="DV10" s="1423">
        <v>0</v>
      </c>
      <c r="DW10" s="1423"/>
      <c r="DX10" s="1423"/>
      <c r="DY10" s="1423"/>
      <c r="DZ10" s="1423">
        <v>0</v>
      </c>
      <c r="EA10" s="1423">
        <v>0</v>
      </c>
      <c r="EB10" s="1423"/>
      <c r="EC10" s="1423"/>
      <c r="ED10" s="1423">
        <v>0</v>
      </c>
      <c r="EE10" s="1423"/>
      <c r="EF10" s="1423"/>
      <c r="EG10" s="1423">
        <v>0</v>
      </c>
      <c r="EH10" s="1423"/>
      <c r="EI10" s="1423"/>
      <c r="EJ10" s="1423"/>
      <c r="EK10" s="1423">
        <v>0</v>
      </c>
      <c r="EL10" s="1423"/>
      <c r="EM10" s="1423">
        <v>0</v>
      </c>
      <c r="EN10" s="1423"/>
      <c r="EO10" s="1423"/>
      <c r="EP10" s="1423"/>
      <c r="EQ10" s="1423">
        <v>0</v>
      </c>
      <c r="ER10" s="1423"/>
      <c r="ES10" s="1423"/>
      <c r="ET10" s="1423"/>
      <c r="EU10" s="1423">
        <v>0</v>
      </c>
      <c r="EV10" s="1423"/>
      <c r="EW10" s="1423"/>
      <c r="EX10" s="1423"/>
      <c r="EY10" s="1423"/>
      <c r="EZ10" s="1423">
        <v>0</v>
      </c>
      <c r="FA10" s="1423"/>
      <c r="FB10" s="1423">
        <v>0</v>
      </c>
      <c r="FC10" s="1423"/>
      <c r="FD10" s="1423"/>
      <c r="FE10" s="1423"/>
      <c r="FF10" s="1423">
        <v>0</v>
      </c>
      <c r="FG10" s="1423"/>
      <c r="FH10" s="1423"/>
      <c r="FI10" s="1423"/>
      <c r="FJ10" s="1423">
        <v>0</v>
      </c>
      <c r="FK10" s="1423"/>
      <c r="FL10" s="1423"/>
      <c r="FM10" s="1423"/>
      <c r="FN10" s="1423"/>
      <c r="FO10" s="1423">
        <v>0</v>
      </c>
      <c r="FP10" s="1423"/>
      <c r="FQ10" s="1423"/>
      <c r="FR10" s="1423"/>
      <c r="FS10" s="1423"/>
      <c r="FT10" s="1423"/>
      <c r="FU10" s="1423"/>
      <c r="FV10" s="1423"/>
      <c r="FW10" s="1423">
        <v>21027278</v>
      </c>
      <c r="FX10" s="1423">
        <v>15611086</v>
      </c>
      <c r="FY10" s="1423">
        <v>5266609</v>
      </c>
      <c r="FZ10" s="1423">
        <v>149583</v>
      </c>
      <c r="GA10" s="1423"/>
      <c r="GB10" s="1423">
        <v>9201031</v>
      </c>
      <c r="GC10" s="1423"/>
      <c r="GD10" s="1423"/>
      <c r="GE10" s="1423"/>
      <c r="GF10" s="1423">
        <v>99975483</v>
      </c>
      <c r="GG10" s="1221"/>
    </row>
    <row r="11" spans="2:189">
      <c r="B11" s="1223">
        <v>42217</v>
      </c>
      <c r="C11" s="1423"/>
      <c r="D11" s="1423"/>
      <c r="E11" s="1423">
        <v>1770091</v>
      </c>
      <c r="F11" s="1423"/>
      <c r="G11" s="1423">
        <v>1770091</v>
      </c>
      <c r="H11" s="1423"/>
      <c r="I11" s="1423"/>
      <c r="J11" s="1423">
        <v>0</v>
      </c>
      <c r="K11" s="1423">
        <v>0</v>
      </c>
      <c r="L11" s="1423"/>
      <c r="M11" s="1423"/>
      <c r="N11" s="1423">
        <v>0</v>
      </c>
      <c r="O11" s="1423"/>
      <c r="P11" s="1423"/>
      <c r="Q11" s="1423">
        <v>0</v>
      </c>
      <c r="R11" s="1423"/>
      <c r="S11" s="1423"/>
      <c r="T11" s="1423"/>
      <c r="U11" s="1423">
        <v>0</v>
      </c>
      <c r="V11" s="1423">
        <v>0</v>
      </c>
      <c r="W11" s="1423"/>
      <c r="X11" s="1423"/>
      <c r="Y11" s="1423"/>
      <c r="Z11" s="1423">
        <v>0</v>
      </c>
      <c r="AA11" s="1423"/>
      <c r="AB11" s="1423"/>
      <c r="AC11" s="1423">
        <v>0</v>
      </c>
      <c r="AD11" s="1423"/>
      <c r="AE11" s="1423"/>
      <c r="AF11" s="1423"/>
      <c r="AG11" s="1423">
        <v>0</v>
      </c>
      <c r="AH11" s="1423"/>
      <c r="AI11" s="1423"/>
      <c r="AJ11" s="1423"/>
      <c r="AK11" s="1423"/>
      <c r="AL11" s="1423">
        <v>0</v>
      </c>
      <c r="AM11" s="1423"/>
      <c r="AN11" s="1423"/>
      <c r="AO11" s="1423"/>
      <c r="AP11" s="1423"/>
      <c r="AQ11" s="1423">
        <v>81208</v>
      </c>
      <c r="AR11" s="1423">
        <v>71241</v>
      </c>
      <c r="AS11" s="1423">
        <v>9967</v>
      </c>
      <c r="AT11" s="1423">
        <v>9967</v>
      </c>
      <c r="AU11" s="1423"/>
      <c r="AV11" s="1423"/>
      <c r="AW11" s="1423"/>
      <c r="AX11" s="1423"/>
      <c r="AY11" s="1423">
        <v>178712</v>
      </c>
      <c r="AZ11" s="1423">
        <v>178712</v>
      </c>
      <c r="BA11" s="1423">
        <v>178712</v>
      </c>
      <c r="BB11" s="1423"/>
      <c r="BC11" s="1423"/>
      <c r="BD11" s="1423"/>
      <c r="BE11" s="1423">
        <v>0</v>
      </c>
      <c r="BF11" s="1423"/>
      <c r="BG11" s="1423"/>
      <c r="BH11" s="1423"/>
      <c r="BI11" s="1423"/>
      <c r="BJ11" s="1423"/>
      <c r="BK11" s="1423"/>
      <c r="BL11" s="1423">
        <v>0</v>
      </c>
      <c r="BM11" s="1423">
        <v>0</v>
      </c>
      <c r="BN11" s="1423"/>
      <c r="BO11" s="1423"/>
      <c r="BP11" s="1423"/>
      <c r="BQ11" s="1423"/>
      <c r="BR11" s="1423"/>
      <c r="BS11" s="1423"/>
      <c r="BT11" s="1423">
        <v>0</v>
      </c>
      <c r="BU11" s="1423">
        <v>0</v>
      </c>
      <c r="BV11" s="1423"/>
      <c r="BW11" s="1423"/>
      <c r="BX11" s="1423"/>
      <c r="BY11" s="1423"/>
      <c r="BZ11" s="1423">
        <v>0</v>
      </c>
      <c r="CA11" s="1423"/>
      <c r="CB11" s="1423"/>
      <c r="CC11" s="1423"/>
      <c r="CD11" s="1423"/>
      <c r="CE11" s="1423"/>
      <c r="CF11" s="1423"/>
      <c r="CG11" s="1423"/>
      <c r="CH11" s="1423"/>
      <c r="CI11" s="1423"/>
      <c r="CJ11" s="1423"/>
      <c r="CK11" s="1423"/>
      <c r="CL11" s="1423"/>
      <c r="CM11" s="1423"/>
      <c r="CN11" s="1423">
        <v>0</v>
      </c>
      <c r="CO11" s="1423">
        <v>0</v>
      </c>
      <c r="CP11" s="1423"/>
      <c r="CQ11" s="1423"/>
      <c r="CR11" s="1423"/>
      <c r="CS11" s="1423"/>
      <c r="CT11" s="1423"/>
      <c r="CU11" s="1423">
        <v>0</v>
      </c>
      <c r="CV11" s="1423"/>
      <c r="CW11" s="1423"/>
      <c r="CX11" s="1423"/>
      <c r="CY11" s="1423"/>
      <c r="CZ11" s="1423"/>
      <c r="DA11" s="1423"/>
      <c r="DB11" s="1423">
        <v>0</v>
      </c>
      <c r="DC11" s="1423"/>
      <c r="DD11" s="1423"/>
      <c r="DE11" s="1423"/>
      <c r="DF11" s="1423">
        <v>60008121</v>
      </c>
      <c r="DG11" s="1423">
        <v>0</v>
      </c>
      <c r="DH11" s="1423">
        <v>0</v>
      </c>
      <c r="DI11" s="1423"/>
      <c r="DJ11" s="1423"/>
      <c r="DK11" s="1423">
        <v>0</v>
      </c>
      <c r="DL11" s="1423"/>
      <c r="DM11" s="1423"/>
      <c r="DN11" s="1423">
        <v>0</v>
      </c>
      <c r="DO11" s="1423"/>
      <c r="DP11" s="1423"/>
      <c r="DQ11" s="1423">
        <v>60008121</v>
      </c>
      <c r="DR11" s="1423">
        <v>1854508</v>
      </c>
      <c r="DS11" s="1423">
        <v>58153613</v>
      </c>
      <c r="DT11" s="1423"/>
      <c r="DU11" s="1423"/>
      <c r="DV11" s="1423">
        <v>0</v>
      </c>
      <c r="DW11" s="1423"/>
      <c r="DX11" s="1423"/>
      <c r="DY11" s="1423"/>
      <c r="DZ11" s="1423">
        <v>0</v>
      </c>
      <c r="EA11" s="1423">
        <v>0</v>
      </c>
      <c r="EB11" s="1423"/>
      <c r="EC11" s="1423"/>
      <c r="ED11" s="1423">
        <v>0</v>
      </c>
      <c r="EE11" s="1423"/>
      <c r="EF11" s="1423"/>
      <c r="EG11" s="1423">
        <v>0</v>
      </c>
      <c r="EH11" s="1423"/>
      <c r="EI11" s="1423"/>
      <c r="EJ11" s="1423"/>
      <c r="EK11" s="1423">
        <v>0</v>
      </c>
      <c r="EL11" s="1423"/>
      <c r="EM11" s="1423">
        <v>0</v>
      </c>
      <c r="EN11" s="1423"/>
      <c r="EO11" s="1423"/>
      <c r="EP11" s="1423"/>
      <c r="EQ11" s="1423">
        <v>0</v>
      </c>
      <c r="ER11" s="1423"/>
      <c r="ES11" s="1423"/>
      <c r="ET11" s="1423"/>
      <c r="EU11" s="1423">
        <v>0</v>
      </c>
      <c r="EV11" s="1423"/>
      <c r="EW11" s="1423"/>
      <c r="EX11" s="1423"/>
      <c r="EY11" s="1423"/>
      <c r="EZ11" s="1423">
        <v>0</v>
      </c>
      <c r="FA11" s="1423"/>
      <c r="FB11" s="1423">
        <v>0</v>
      </c>
      <c r="FC11" s="1423"/>
      <c r="FD11" s="1423"/>
      <c r="FE11" s="1423"/>
      <c r="FF11" s="1423">
        <v>0</v>
      </c>
      <c r="FG11" s="1423"/>
      <c r="FH11" s="1423"/>
      <c r="FI11" s="1423"/>
      <c r="FJ11" s="1423">
        <v>0</v>
      </c>
      <c r="FK11" s="1423"/>
      <c r="FL11" s="1423"/>
      <c r="FM11" s="1423"/>
      <c r="FN11" s="1423"/>
      <c r="FO11" s="1423">
        <v>0</v>
      </c>
      <c r="FP11" s="1423"/>
      <c r="FQ11" s="1423"/>
      <c r="FR11" s="1423"/>
      <c r="FS11" s="1423"/>
      <c r="FT11" s="1423"/>
      <c r="FU11" s="1423"/>
      <c r="FV11" s="1423"/>
      <c r="FW11" s="1423">
        <v>28086409</v>
      </c>
      <c r="FX11" s="1423">
        <v>22806247</v>
      </c>
      <c r="FY11" s="1423">
        <v>5144137</v>
      </c>
      <c r="FZ11" s="1423">
        <v>136025</v>
      </c>
      <c r="GA11" s="1423"/>
      <c r="GB11" s="1423">
        <v>9268429</v>
      </c>
      <c r="GC11" s="1423"/>
      <c r="GD11" s="1423"/>
      <c r="GE11" s="1423"/>
      <c r="GF11" s="1423">
        <v>99392970</v>
      </c>
      <c r="GG11" s="1221"/>
    </row>
    <row r="12" spans="2:189">
      <c r="B12" s="1223">
        <v>42248</v>
      </c>
      <c r="C12" s="1423"/>
      <c r="D12" s="1423"/>
      <c r="E12" s="1423">
        <v>2221054</v>
      </c>
      <c r="F12" s="1423"/>
      <c r="G12" s="1423">
        <v>2221054</v>
      </c>
      <c r="H12" s="1423"/>
      <c r="I12" s="1423"/>
      <c r="J12" s="1423">
        <v>0</v>
      </c>
      <c r="K12" s="1423">
        <v>0</v>
      </c>
      <c r="L12" s="1423"/>
      <c r="M12" s="1423"/>
      <c r="N12" s="1423">
        <v>0</v>
      </c>
      <c r="O12" s="1423"/>
      <c r="P12" s="1423"/>
      <c r="Q12" s="1423">
        <v>0</v>
      </c>
      <c r="R12" s="1423"/>
      <c r="S12" s="1423"/>
      <c r="T12" s="1423"/>
      <c r="U12" s="1423">
        <v>0</v>
      </c>
      <c r="V12" s="1423">
        <v>0</v>
      </c>
      <c r="W12" s="1423"/>
      <c r="X12" s="1423"/>
      <c r="Y12" s="1423"/>
      <c r="Z12" s="1423">
        <v>0</v>
      </c>
      <c r="AA12" s="1423"/>
      <c r="AB12" s="1423"/>
      <c r="AC12" s="1423">
        <v>0</v>
      </c>
      <c r="AD12" s="1423"/>
      <c r="AE12" s="1423"/>
      <c r="AF12" s="1423"/>
      <c r="AG12" s="1423">
        <v>0</v>
      </c>
      <c r="AH12" s="1423"/>
      <c r="AI12" s="1423"/>
      <c r="AJ12" s="1423"/>
      <c r="AK12" s="1423"/>
      <c r="AL12" s="1423">
        <v>0</v>
      </c>
      <c r="AM12" s="1423"/>
      <c r="AN12" s="1423"/>
      <c r="AO12" s="1423"/>
      <c r="AP12" s="1423"/>
      <c r="AQ12" s="1423">
        <v>96306</v>
      </c>
      <c r="AR12" s="1423">
        <v>92945</v>
      </c>
      <c r="AS12" s="1423">
        <v>3361</v>
      </c>
      <c r="AT12" s="1423">
        <v>3361</v>
      </c>
      <c r="AU12" s="1423"/>
      <c r="AV12" s="1423"/>
      <c r="AW12" s="1423"/>
      <c r="AX12" s="1423"/>
      <c r="AY12" s="1423">
        <v>184216</v>
      </c>
      <c r="AZ12" s="1423">
        <v>184216</v>
      </c>
      <c r="BA12" s="1423">
        <v>184216</v>
      </c>
      <c r="BB12" s="1423"/>
      <c r="BC12" s="1423"/>
      <c r="BD12" s="1423"/>
      <c r="BE12" s="1423">
        <v>0</v>
      </c>
      <c r="BF12" s="1423"/>
      <c r="BG12" s="1423"/>
      <c r="BH12" s="1423"/>
      <c r="BI12" s="1423"/>
      <c r="BJ12" s="1423"/>
      <c r="BK12" s="1423"/>
      <c r="BL12" s="1423">
        <v>0</v>
      </c>
      <c r="BM12" s="1423">
        <v>0</v>
      </c>
      <c r="BN12" s="1423"/>
      <c r="BO12" s="1423"/>
      <c r="BP12" s="1423"/>
      <c r="BQ12" s="1423"/>
      <c r="BR12" s="1423"/>
      <c r="BS12" s="1423"/>
      <c r="BT12" s="1423">
        <v>0</v>
      </c>
      <c r="BU12" s="1423">
        <v>0</v>
      </c>
      <c r="BV12" s="1423"/>
      <c r="BW12" s="1423"/>
      <c r="BX12" s="1423"/>
      <c r="BY12" s="1423"/>
      <c r="BZ12" s="1423">
        <v>0</v>
      </c>
      <c r="CA12" s="1423"/>
      <c r="CB12" s="1423"/>
      <c r="CC12" s="1423"/>
      <c r="CD12" s="1423"/>
      <c r="CE12" s="1423"/>
      <c r="CF12" s="1423"/>
      <c r="CG12" s="1423"/>
      <c r="CH12" s="1423"/>
      <c r="CI12" s="1423"/>
      <c r="CJ12" s="1423"/>
      <c r="CK12" s="1423"/>
      <c r="CL12" s="1423"/>
      <c r="CM12" s="1423"/>
      <c r="CN12" s="1423">
        <v>0</v>
      </c>
      <c r="CO12" s="1423">
        <v>0</v>
      </c>
      <c r="CP12" s="1423"/>
      <c r="CQ12" s="1423"/>
      <c r="CR12" s="1423"/>
      <c r="CS12" s="1423"/>
      <c r="CT12" s="1423"/>
      <c r="CU12" s="1423">
        <v>0</v>
      </c>
      <c r="CV12" s="1423"/>
      <c r="CW12" s="1423"/>
      <c r="CX12" s="1423"/>
      <c r="CY12" s="1423"/>
      <c r="CZ12" s="1423"/>
      <c r="DA12" s="1423"/>
      <c r="DB12" s="1423">
        <v>0</v>
      </c>
      <c r="DC12" s="1423"/>
      <c r="DD12" s="1423"/>
      <c r="DE12" s="1423"/>
      <c r="DF12" s="1423">
        <v>59184587</v>
      </c>
      <c r="DG12" s="1423">
        <v>0</v>
      </c>
      <c r="DH12" s="1423">
        <v>0</v>
      </c>
      <c r="DI12" s="1423"/>
      <c r="DJ12" s="1423"/>
      <c r="DK12" s="1423">
        <v>0</v>
      </c>
      <c r="DL12" s="1423"/>
      <c r="DM12" s="1423"/>
      <c r="DN12" s="1423">
        <v>0</v>
      </c>
      <c r="DO12" s="1423"/>
      <c r="DP12" s="1423"/>
      <c r="DQ12" s="1423">
        <v>59184587</v>
      </c>
      <c r="DR12" s="1423">
        <v>1829303</v>
      </c>
      <c r="DS12" s="1423">
        <v>57355284</v>
      </c>
      <c r="DT12" s="1423"/>
      <c r="DU12" s="1423"/>
      <c r="DV12" s="1423">
        <v>0</v>
      </c>
      <c r="DW12" s="1423"/>
      <c r="DX12" s="1423"/>
      <c r="DY12" s="1423"/>
      <c r="DZ12" s="1423">
        <v>0</v>
      </c>
      <c r="EA12" s="1423">
        <v>0</v>
      </c>
      <c r="EB12" s="1423"/>
      <c r="EC12" s="1423"/>
      <c r="ED12" s="1423">
        <v>0</v>
      </c>
      <c r="EE12" s="1423"/>
      <c r="EF12" s="1423"/>
      <c r="EG12" s="1423">
        <v>0</v>
      </c>
      <c r="EH12" s="1423"/>
      <c r="EI12" s="1423"/>
      <c r="EJ12" s="1423"/>
      <c r="EK12" s="1423">
        <v>0</v>
      </c>
      <c r="EL12" s="1423"/>
      <c r="EM12" s="1423">
        <v>0</v>
      </c>
      <c r="EN12" s="1423"/>
      <c r="EO12" s="1423"/>
      <c r="EP12" s="1423"/>
      <c r="EQ12" s="1423">
        <v>0</v>
      </c>
      <c r="ER12" s="1423"/>
      <c r="ES12" s="1423"/>
      <c r="ET12" s="1423"/>
      <c r="EU12" s="1423">
        <v>0</v>
      </c>
      <c r="EV12" s="1423"/>
      <c r="EW12" s="1423"/>
      <c r="EX12" s="1423"/>
      <c r="EY12" s="1423"/>
      <c r="EZ12" s="1423">
        <v>0</v>
      </c>
      <c r="FA12" s="1423"/>
      <c r="FB12" s="1423">
        <v>0</v>
      </c>
      <c r="FC12" s="1423"/>
      <c r="FD12" s="1423"/>
      <c r="FE12" s="1423"/>
      <c r="FF12" s="1423">
        <v>0</v>
      </c>
      <c r="FG12" s="1423"/>
      <c r="FH12" s="1423"/>
      <c r="FI12" s="1423"/>
      <c r="FJ12" s="1423">
        <v>0</v>
      </c>
      <c r="FK12" s="1423"/>
      <c r="FL12" s="1423"/>
      <c r="FM12" s="1423"/>
      <c r="FN12" s="1423"/>
      <c r="FO12" s="1423">
        <v>0</v>
      </c>
      <c r="FP12" s="1423"/>
      <c r="FQ12" s="1423"/>
      <c r="FR12" s="1423"/>
      <c r="FS12" s="1423"/>
      <c r="FT12" s="1423"/>
      <c r="FU12" s="1423"/>
      <c r="FV12" s="1423"/>
      <c r="FW12" s="1423">
        <v>27953848</v>
      </c>
      <c r="FX12" s="1423">
        <v>22801469</v>
      </c>
      <c r="FY12" s="1423">
        <v>5024425</v>
      </c>
      <c r="FZ12" s="1423">
        <v>127954</v>
      </c>
      <c r="GA12" s="1423"/>
      <c r="GB12" s="1423">
        <v>9225666</v>
      </c>
      <c r="GC12" s="1423"/>
      <c r="GD12" s="1423"/>
      <c r="GE12" s="1423"/>
      <c r="GF12" s="1423">
        <v>98865677</v>
      </c>
      <c r="GG12" s="1221"/>
    </row>
    <row r="13" spans="2:189">
      <c r="B13" s="1223">
        <v>42278</v>
      </c>
      <c r="C13" s="1423"/>
      <c r="D13" s="1423"/>
      <c r="E13" s="1423">
        <v>2118218.14</v>
      </c>
      <c r="F13" s="1423"/>
      <c r="G13" s="1423">
        <v>2118218.14</v>
      </c>
      <c r="H13" s="1423"/>
      <c r="I13" s="1423"/>
      <c r="J13" s="1423">
        <v>0</v>
      </c>
      <c r="K13" s="1423">
        <v>0</v>
      </c>
      <c r="L13" s="1423"/>
      <c r="M13" s="1423"/>
      <c r="N13" s="1423">
        <v>0</v>
      </c>
      <c r="O13" s="1423"/>
      <c r="P13" s="1423"/>
      <c r="Q13" s="1423">
        <v>0</v>
      </c>
      <c r="R13" s="1423"/>
      <c r="S13" s="1423"/>
      <c r="T13" s="1423"/>
      <c r="U13" s="1423">
        <v>0</v>
      </c>
      <c r="V13" s="1423">
        <v>0</v>
      </c>
      <c r="W13" s="1423"/>
      <c r="X13" s="1423"/>
      <c r="Y13" s="1423"/>
      <c r="Z13" s="1423">
        <v>0</v>
      </c>
      <c r="AA13" s="1423"/>
      <c r="AB13" s="1423"/>
      <c r="AC13" s="1423">
        <v>0</v>
      </c>
      <c r="AD13" s="1423"/>
      <c r="AE13" s="1423"/>
      <c r="AF13" s="1423"/>
      <c r="AG13" s="1423">
        <v>0</v>
      </c>
      <c r="AH13" s="1423"/>
      <c r="AI13" s="1423"/>
      <c r="AJ13" s="1423"/>
      <c r="AK13" s="1423"/>
      <c r="AL13" s="1423">
        <v>0</v>
      </c>
      <c r="AM13" s="1423"/>
      <c r="AN13" s="1423"/>
      <c r="AO13" s="1423"/>
      <c r="AP13" s="1423"/>
      <c r="AQ13" s="1423">
        <v>103504.52</v>
      </c>
      <c r="AR13" s="1423">
        <v>100143.52</v>
      </c>
      <c r="AS13" s="1423">
        <v>3361</v>
      </c>
      <c r="AT13" s="1423">
        <v>3361</v>
      </c>
      <c r="AU13" s="1423"/>
      <c r="AV13" s="1423"/>
      <c r="AW13" s="1423"/>
      <c r="AX13" s="1423"/>
      <c r="AY13" s="1423">
        <v>184215.65</v>
      </c>
      <c r="AZ13" s="1423">
        <v>184215.65</v>
      </c>
      <c r="BA13" s="1423">
        <v>184215.65</v>
      </c>
      <c r="BB13" s="1423"/>
      <c r="BC13" s="1423"/>
      <c r="BD13" s="1423"/>
      <c r="BE13" s="1423">
        <v>0</v>
      </c>
      <c r="BF13" s="1423"/>
      <c r="BG13" s="1423"/>
      <c r="BH13" s="1423"/>
      <c r="BI13" s="1423"/>
      <c r="BJ13" s="1423"/>
      <c r="BK13" s="1423"/>
      <c r="BL13" s="1423">
        <v>0</v>
      </c>
      <c r="BM13" s="1423">
        <v>0</v>
      </c>
      <c r="BN13" s="1423"/>
      <c r="BO13" s="1423"/>
      <c r="BP13" s="1423"/>
      <c r="BQ13" s="1423"/>
      <c r="BR13" s="1423"/>
      <c r="BS13" s="1423"/>
      <c r="BT13" s="1423">
        <v>0</v>
      </c>
      <c r="BU13" s="1423">
        <v>0</v>
      </c>
      <c r="BV13" s="1423"/>
      <c r="BW13" s="1423"/>
      <c r="BX13" s="1423"/>
      <c r="BY13" s="1423"/>
      <c r="BZ13" s="1423">
        <v>0</v>
      </c>
      <c r="CA13" s="1423"/>
      <c r="CB13" s="1423"/>
      <c r="CC13" s="1423"/>
      <c r="CD13" s="1423"/>
      <c r="CE13" s="1423"/>
      <c r="CF13" s="1423"/>
      <c r="CG13" s="1423"/>
      <c r="CH13" s="1423"/>
      <c r="CI13" s="1423"/>
      <c r="CJ13" s="1423"/>
      <c r="CK13" s="1423"/>
      <c r="CL13" s="1423"/>
      <c r="CM13" s="1423"/>
      <c r="CN13" s="1423">
        <v>0</v>
      </c>
      <c r="CO13" s="1423">
        <v>0</v>
      </c>
      <c r="CP13" s="1423"/>
      <c r="CQ13" s="1423"/>
      <c r="CR13" s="1423"/>
      <c r="CS13" s="1423"/>
      <c r="CT13" s="1423"/>
      <c r="CU13" s="1423">
        <v>0</v>
      </c>
      <c r="CV13" s="1423"/>
      <c r="CW13" s="1423"/>
      <c r="CX13" s="1423"/>
      <c r="CY13" s="1423"/>
      <c r="CZ13" s="1423"/>
      <c r="DA13" s="1423"/>
      <c r="DB13" s="1423">
        <v>0</v>
      </c>
      <c r="DC13" s="1423"/>
      <c r="DD13" s="1423"/>
      <c r="DE13" s="1423"/>
      <c r="DF13" s="1423">
        <v>59424876.564292513</v>
      </c>
      <c r="DG13" s="1423">
        <v>0</v>
      </c>
      <c r="DH13" s="1423">
        <v>0</v>
      </c>
      <c r="DI13" s="1423"/>
      <c r="DJ13" s="1423"/>
      <c r="DK13" s="1423">
        <v>0</v>
      </c>
      <c r="DL13" s="1423"/>
      <c r="DM13" s="1423"/>
      <c r="DN13" s="1423">
        <v>0</v>
      </c>
      <c r="DO13" s="1423"/>
      <c r="DP13" s="1423"/>
      <c r="DQ13" s="1423">
        <v>59424876.564292513</v>
      </c>
      <c r="DR13" s="1423">
        <v>1836706.7783332467</v>
      </c>
      <c r="DS13" s="1423">
        <v>57588169.785959266</v>
      </c>
      <c r="DT13" s="1423"/>
      <c r="DU13" s="1423"/>
      <c r="DV13" s="1423">
        <v>0</v>
      </c>
      <c r="DW13" s="1423"/>
      <c r="DX13" s="1423"/>
      <c r="DY13" s="1423"/>
      <c r="DZ13" s="1423">
        <v>0</v>
      </c>
      <c r="EA13" s="1423">
        <v>0</v>
      </c>
      <c r="EB13" s="1423"/>
      <c r="EC13" s="1423"/>
      <c r="ED13" s="1423">
        <v>0</v>
      </c>
      <c r="EE13" s="1423"/>
      <c r="EF13" s="1423"/>
      <c r="EG13" s="1423">
        <v>0</v>
      </c>
      <c r="EH13" s="1423"/>
      <c r="EI13" s="1423"/>
      <c r="EJ13" s="1423"/>
      <c r="EK13" s="1423">
        <v>0</v>
      </c>
      <c r="EL13" s="1423"/>
      <c r="EM13" s="1423">
        <v>0</v>
      </c>
      <c r="EN13" s="1423"/>
      <c r="EO13" s="1423"/>
      <c r="EP13" s="1423"/>
      <c r="EQ13" s="1423">
        <v>0</v>
      </c>
      <c r="ER13" s="1423"/>
      <c r="ES13" s="1423"/>
      <c r="ET13" s="1423"/>
      <c r="EU13" s="1423">
        <v>0</v>
      </c>
      <c r="EV13" s="1423"/>
      <c r="EW13" s="1423"/>
      <c r="EX13" s="1423"/>
      <c r="EY13" s="1423"/>
      <c r="EZ13" s="1423">
        <v>0</v>
      </c>
      <c r="FA13" s="1423"/>
      <c r="FB13" s="1423">
        <v>0</v>
      </c>
      <c r="FC13" s="1423"/>
      <c r="FD13" s="1423"/>
      <c r="FE13" s="1423"/>
      <c r="FF13" s="1423">
        <v>0</v>
      </c>
      <c r="FG13" s="1423"/>
      <c r="FH13" s="1423"/>
      <c r="FI13" s="1423"/>
      <c r="FJ13" s="1423">
        <v>0</v>
      </c>
      <c r="FK13" s="1423"/>
      <c r="FL13" s="1423"/>
      <c r="FM13" s="1423"/>
      <c r="FN13" s="1423"/>
      <c r="FO13" s="1423">
        <v>0</v>
      </c>
      <c r="FP13" s="1423"/>
      <c r="FQ13" s="1423"/>
      <c r="FR13" s="1423"/>
      <c r="FS13" s="1423"/>
      <c r="FT13" s="1423"/>
      <c r="FU13" s="1423"/>
      <c r="FV13" s="1423"/>
      <c r="FW13" s="1423">
        <v>27821287.289999999</v>
      </c>
      <c r="FX13" s="1423">
        <v>22796691.530000001</v>
      </c>
      <c r="FY13" s="1423">
        <v>4904713.9099999983</v>
      </c>
      <c r="FZ13" s="1423">
        <v>119881.84999999992</v>
      </c>
      <c r="GA13" s="1423"/>
      <c r="GB13" s="1423">
        <v>9101265.959499998</v>
      </c>
      <c r="GC13" s="1423"/>
      <c r="GD13" s="1423"/>
      <c r="GE13" s="1423"/>
      <c r="GF13" s="1423">
        <v>98753368.123792514</v>
      </c>
      <c r="GG13" s="1221"/>
    </row>
    <row r="14" spans="2:189">
      <c r="B14" s="1223">
        <v>42309</v>
      </c>
      <c r="C14" s="1423"/>
      <c r="D14" s="1423"/>
      <c r="E14" s="1423">
        <v>2043128.45</v>
      </c>
      <c r="F14" s="1423"/>
      <c r="G14" s="1423">
        <v>2043128.45</v>
      </c>
      <c r="H14" s="1423"/>
      <c r="I14" s="1423"/>
      <c r="J14" s="1423">
        <v>0</v>
      </c>
      <c r="K14" s="1423">
        <v>0</v>
      </c>
      <c r="L14" s="1423"/>
      <c r="M14" s="1423"/>
      <c r="N14" s="1423">
        <v>0</v>
      </c>
      <c r="O14" s="1423"/>
      <c r="P14" s="1423"/>
      <c r="Q14" s="1423">
        <v>0</v>
      </c>
      <c r="R14" s="1423"/>
      <c r="S14" s="1423"/>
      <c r="T14" s="1423"/>
      <c r="U14" s="1423">
        <v>0</v>
      </c>
      <c r="V14" s="1423">
        <v>0</v>
      </c>
      <c r="W14" s="1423"/>
      <c r="X14" s="1423"/>
      <c r="Y14" s="1423"/>
      <c r="Z14" s="1423">
        <v>0</v>
      </c>
      <c r="AA14" s="1423"/>
      <c r="AB14" s="1423"/>
      <c r="AC14" s="1423">
        <v>0</v>
      </c>
      <c r="AD14" s="1423"/>
      <c r="AE14" s="1423"/>
      <c r="AF14" s="1423"/>
      <c r="AG14" s="1423">
        <v>0</v>
      </c>
      <c r="AH14" s="1423"/>
      <c r="AI14" s="1423"/>
      <c r="AJ14" s="1423"/>
      <c r="AK14" s="1423"/>
      <c r="AL14" s="1423">
        <v>0</v>
      </c>
      <c r="AM14" s="1423"/>
      <c r="AN14" s="1423"/>
      <c r="AO14" s="1423"/>
      <c r="AP14" s="1423"/>
      <c r="AQ14" s="1423">
        <v>128355.59</v>
      </c>
      <c r="AR14" s="1423">
        <v>124994.59</v>
      </c>
      <c r="AS14" s="1423">
        <v>3361</v>
      </c>
      <c r="AT14" s="1423">
        <v>3361</v>
      </c>
      <c r="AU14" s="1423"/>
      <c r="AV14" s="1423"/>
      <c r="AW14" s="1423"/>
      <c r="AX14" s="1423"/>
      <c r="AY14" s="1423">
        <v>184215.65</v>
      </c>
      <c r="AZ14" s="1423">
        <v>184215.65</v>
      </c>
      <c r="BA14" s="1423">
        <v>184215.65</v>
      </c>
      <c r="BB14" s="1423"/>
      <c r="BC14" s="1423"/>
      <c r="BD14" s="1423"/>
      <c r="BE14" s="1423">
        <v>0</v>
      </c>
      <c r="BF14" s="1423"/>
      <c r="BG14" s="1423"/>
      <c r="BH14" s="1423"/>
      <c r="BI14" s="1423"/>
      <c r="BJ14" s="1423"/>
      <c r="BK14" s="1423"/>
      <c r="BL14" s="1423">
        <v>0</v>
      </c>
      <c r="BM14" s="1423">
        <v>0</v>
      </c>
      <c r="BN14" s="1423"/>
      <c r="BO14" s="1423"/>
      <c r="BP14" s="1423"/>
      <c r="BQ14" s="1423"/>
      <c r="BR14" s="1423"/>
      <c r="BS14" s="1423"/>
      <c r="BT14" s="1423">
        <v>0</v>
      </c>
      <c r="BU14" s="1423">
        <v>0</v>
      </c>
      <c r="BV14" s="1423"/>
      <c r="BW14" s="1423"/>
      <c r="BX14" s="1423"/>
      <c r="BY14" s="1423"/>
      <c r="BZ14" s="1423">
        <v>0</v>
      </c>
      <c r="CA14" s="1423"/>
      <c r="CB14" s="1423"/>
      <c r="CC14" s="1423"/>
      <c r="CD14" s="1423"/>
      <c r="CE14" s="1423"/>
      <c r="CF14" s="1423"/>
      <c r="CG14" s="1423"/>
      <c r="CH14" s="1423"/>
      <c r="CI14" s="1423"/>
      <c r="CJ14" s="1423"/>
      <c r="CK14" s="1423"/>
      <c r="CL14" s="1423"/>
      <c r="CM14" s="1423"/>
      <c r="CN14" s="1423">
        <v>0</v>
      </c>
      <c r="CO14" s="1423">
        <v>0</v>
      </c>
      <c r="CP14" s="1423"/>
      <c r="CQ14" s="1423"/>
      <c r="CR14" s="1423"/>
      <c r="CS14" s="1423"/>
      <c r="CT14" s="1423"/>
      <c r="CU14" s="1423">
        <v>0</v>
      </c>
      <c r="CV14" s="1423"/>
      <c r="CW14" s="1423"/>
      <c r="CX14" s="1423"/>
      <c r="CY14" s="1423"/>
      <c r="CZ14" s="1423"/>
      <c r="DA14" s="1423"/>
      <c r="DB14" s="1423">
        <v>0</v>
      </c>
      <c r="DC14" s="1423"/>
      <c r="DD14" s="1423"/>
      <c r="DE14" s="1423"/>
      <c r="DF14" s="1423">
        <v>58530183.747297257</v>
      </c>
      <c r="DG14" s="1423">
        <v>0</v>
      </c>
      <c r="DH14" s="1423">
        <v>0</v>
      </c>
      <c r="DI14" s="1423"/>
      <c r="DJ14" s="1423"/>
      <c r="DK14" s="1423">
        <v>0</v>
      </c>
      <c r="DL14" s="1423"/>
      <c r="DM14" s="1423"/>
      <c r="DN14" s="1423">
        <v>0</v>
      </c>
      <c r="DO14" s="1423"/>
      <c r="DP14" s="1423"/>
      <c r="DQ14" s="1423">
        <v>58530183.747297257</v>
      </c>
      <c r="DR14" s="1423">
        <v>1809139.0315272107</v>
      </c>
      <c r="DS14" s="1423">
        <v>56721044.715770043</v>
      </c>
      <c r="DT14" s="1423"/>
      <c r="DU14" s="1423"/>
      <c r="DV14" s="1423">
        <v>0</v>
      </c>
      <c r="DW14" s="1423"/>
      <c r="DX14" s="1423"/>
      <c r="DY14" s="1423"/>
      <c r="DZ14" s="1423">
        <v>0</v>
      </c>
      <c r="EA14" s="1423">
        <v>0</v>
      </c>
      <c r="EB14" s="1423"/>
      <c r="EC14" s="1423"/>
      <c r="ED14" s="1423">
        <v>0</v>
      </c>
      <c r="EE14" s="1423"/>
      <c r="EF14" s="1423"/>
      <c r="EG14" s="1423">
        <v>0</v>
      </c>
      <c r="EH14" s="1423"/>
      <c r="EI14" s="1423"/>
      <c r="EJ14" s="1423"/>
      <c r="EK14" s="1423">
        <v>0</v>
      </c>
      <c r="EL14" s="1423"/>
      <c r="EM14" s="1423">
        <v>0</v>
      </c>
      <c r="EN14" s="1423"/>
      <c r="EO14" s="1423"/>
      <c r="EP14" s="1423"/>
      <c r="EQ14" s="1423">
        <v>0</v>
      </c>
      <c r="ER14" s="1423"/>
      <c r="ES14" s="1423"/>
      <c r="ET14" s="1423"/>
      <c r="EU14" s="1423">
        <v>0</v>
      </c>
      <c r="EV14" s="1423"/>
      <c r="EW14" s="1423"/>
      <c r="EX14" s="1423"/>
      <c r="EY14" s="1423"/>
      <c r="EZ14" s="1423">
        <v>0</v>
      </c>
      <c r="FA14" s="1423"/>
      <c r="FB14" s="1423">
        <v>0</v>
      </c>
      <c r="FC14" s="1423"/>
      <c r="FD14" s="1423"/>
      <c r="FE14" s="1423"/>
      <c r="FF14" s="1423">
        <v>0</v>
      </c>
      <c r="FG14" s="1423"/>
      <c r="FH14" s="1423"/>
      <c r="FI14" s="1423"/>
      <c r="FJ14" s="1423">
        <v>0</v>
      </c>
      <c r="FK14" s="1423"/>
      <c r="FL14" s="1423"/>
      <c r="FM14" s="1423"/>
      <c r="FN14" s="1423"/>
      <c r="FO14" s="1423">
        <v>0</v>
      </c>
      <c r="FP14" s="1423"/>
      <c r="FQ14" s="1423"/>
      <c r="FR14" s="1423"/>
      <c r="FS14" s="1423"/>
      <c r="FT14" s="1423"/>
      <c r="FU14" s="1423"/>
      <c r="FV14" s="1423"/>
      <c r="FW14" s="1423">
        <v>20594620.48</v>
      </c>
      <c r="FX14" s="1423">
        <v>15697807.960000001</v>
      </c>
      <c r="FY14" s="1423">
        <v>4785002.4699999969</v>
      </c>
      <c r="FZ14" s="1423">
        <v>111810.04999999987</v>
      </c>
      <c r="GA14" s="1423"/>
      <c r="GB14" s="1423">
        <v>9522526.8339999989</v>
      </c>
      <c r="GC14" s="1423"/>
      <c r="GD14" s="1423"/>
      <c r="GE14" s="1423"/>
      <c r="GF14" s="1423">
        <v>91003030.751297265</v>
      </c>
      <c r="GG14" s="1221"/>
    </row>
    <row r="15" spans="2:189">
      <c r="B15" s="1223">
        <v>42339</v>
      </c>
      <c r="C15" s="1423"/>
      <c r="D15" s="1423"/>
      <c r="E15" s="1423">
        <v>1591234.04</v>
      </c>
      <c r="F15" s="1423"/>
      <c r="G15" s="1423">
        <v>1591234.04</v>
      </c>
      <c r="H15" s="1423"/>
      <c r="I15" s="1423"/>
      <c r="J15" s="1423">
        <v>0</v>
      </c>
      <c r="K15" s="1423">
        <v>0</v>
      </c>
      <c r="L15" s="1423"/>
      <c r="M15" s="1423"/>
      <c r="N15" s="1423">
        <v>0</v>
      </c>
      <c r="O15" s="1423"/>
      <c r="P15" s="1423"/>
      <c r="Q15" s="1423">
        <v>0</v>
      </c>
      <c r="R15" s="1423"/>
      <c r="S15" s="1423"/>
      <c r="T15" s="1423"/>
      <c r="U15" s="1423">
        <v>0</v>
      </c>
      <c r="V15" s="1423">
        <v>0</v>
      </c>
      <c r="W15" s="1423"/>
      <c r="X15" s="1423"/>
      <c r="Y15" s="1423"/>
      <c r="Z15" s="1423">
        <v>0</v>
      </c>
      <c r="AA15" s="1423"/>
      <c r="AB15" s="1423"/>
      <c r="AC15" s="1423">
        <v>0</v>
      </c>
      <c r="AD15" s="1423"/>
      <c r="AE15" s="1423"/>
      <c r="AF15" s="1423"/>
      <c r="AG15" s="1423">
        <v>0</v>
      </c>
      <c r="AH15" s="1423"/>
      <c r="AI15" s="1423"/>
      <c r="AJ15" s="1423"/>
      <c r="AK15" s="1423"/>
      <c r="AL15" s="1423">
        <v>0</v>
      </c>
      <c r="AM15" s="1423"/>
      <c r="AN15" s="1423"/>
      <c r="AO15" s="1423"/>
      <c r="AP15" s="1423"/>
      <c r="AQ15" s="1423">
        <v>131972.23000000001</v>
      </c>
      <c r="AR15" s="1423">
        <v>110726.37000000001</v>
      </c>
      <c r="AS15" s="1423">
        <v>21245.859999999997</v>
      </c>
      <c r="AT15" s="1423">
        <v>21245.859999999997</v>
      </c>
      <c r="AU15" s="1423"/>
      <c r="AV15" s="1423"/>
      <c r="AW15" s="1423"/>
      <c r="AX15" s="1423"/>
      <c r="AY15" s="1423">
        <v>191391.25</v>
      </c>
      <c r="AZ15" s="1423">
        <v>191391.25</v>
      </c>
      <c r="BA15" s="1423">
        <v>191391.25</v>
      </c>
      <c r="BB15" s="1423"/>
      <c r="BC15" s="1423"/>
      <c r="BD15" s="1423"/>
      <c r="BE15" s="1423">
        <v>0</v>
      </c>
      <c r="BF15" s="1423"/>
      <c r="BG15" s="1423"/>
      <c r="BH15" s="1423"/>
      <c r="BI15" s="1423"/>
      <c r="BJ15" s="1423"/>
      <c r="BK15" s="1423"/>
      <c r="BL15" s="1423">
        <v>0</v>
      </c>
      <c r="BM15" s="1423">
        <v>0</v>
      </c>
      <c r="BN15" s="1423"/>
      <c r="BO15" s="1423"/>
      <c r="BP15" s="1423"/>
      <c r="BQ15" s="1423"/>
      <c r="BR15" s="1423"/>
      <c r="BS15" s="1423"/>
      <c r="BT15" s="1423">
        <v>0</v>
      </c>
      <c r="BU15" s="1423">
        <v>0</v>
      </c>
      <c r="BV15" s="1423"/>
      <c r="BW15" s="1423"/>
      <c r="BX15" s="1423"/>
      <c r="BY15" s="1423"/>
      <c r="BZ15" s="1423">
        <v>0</v>
      </c>
      <c r="CA15" s="1423"/>
      <c r="CB15" s="1423"/>
      <c r="CC15" s="1423"/>
      <c r="CD15" s="1423"/>
      <c r="CE15" s="1423"/>
      <c r="CF15" s="1423"/>
      <c r="CG15" s="1423"/>
      <c r="CH15" s="1423"/>
      <c r="CI15" s="1423"/>
      <c r="CJ15" s="1423"/>
      <c r="CK15" s="1423"/>
      <c r="CL15" s="1423"/>
      <c r="CM15" s="1423"/>
      <c r="CN15" s="1423">
        <v>0</v>
      </c>
      <c r="CO15" s="1423">
        <v>0</v>
      </c>
      <c r="CP15" s="1423"/>
      <c r="CQ15" s="1423"/>
      <c r="CR15" s="1423"/>
      <c r="CS15" s="1423"/>
      <c r="CT15" s="1423"/>
      <c r="CU15" s="1423">
        <v>0</v>
      </c>
      <c r="CV15" s="1423"/>
      <c r="CW15" s="1423"/>
      <c r="CX15" s="1423"/>
      <c r="CY15" s="1423"/>
      <c r="CZ15" s="1423"/>
      <c r="DA15" s="1423"/>
      <c r="DB15" s="1423">
        <v>0</v>
      </c>
      <c r="DC15" s="1423"/>
      <c r="DD15" s="1423"/>
      <c r="DE15" s="1423"/>
      <c r="DF15" s="1423">
        <v>59829207.695590526</v>
      </c>
      <c r="DG15" s="1423">
        <v>0</v>
      </c>
      <c r="DH15" s="1423">
        <v>0</v>
      </c>
      <c r="DI15" s="1423"/>
      <c r="DJ15" s="1423"/>
      <c r="DK15" s="1423">
        <v>0</v>
      </c>
      <c r="DL15" s="1423"/>
      <c r="DM15" s="1423"/>
      <c r="DN15" s="1423">
        <v>0</v>
      </c>
      <c r="DO15" s="1423"/>
      <c r="DP15" s="1423"/>
      <c r="DQ15" s="1423">
        <v>59829207.695590526</v>
      </c>
      <c r="DR15" s="1423">
        <v>1849386.3407058406</v>
      </c>
      <c r="DS15" s="1423">
        <v>57979821.354884684</v>
      </c>
      <c r="DT15" s="1423"/>
      <c r="DU15" s="1423"/>
      <c r="DV15" s="1423">
        <v>0</v>
      </c>
      <c r="DW15" s="1423"/>
      <c r="DX15" s="1423"/>
      <c r="DY15" s="1423"/>
      <c r="DZ15" s="1423">
        <v>0</v>
      </c>
      <c r="EA15" s="1423">
        <v>0</v>
      </c>
      <c r="EB15" s="1423"/>
      <c r="EC15" s="1423"/>
      <c r="ED15" s="1423">
        <v>0</v>
      </c>
      <c r="EE15" s="1423"/>
      <c r="EF15" s="1423"/>
      <c r="EG15" s="1423">
        <v>0</v>
      </c>
      <c r="EH15" s="1423"/>
      <c r="EI15" s="1423"/>
      <c r="EJ15" s="1423"/>
      <c r="EK15" s="1423">
        <v>0</v>
      </c>
      <c r="EL15" s="1423"/>
      <c r="EM15" s="1423">
        <v>0</v>
      </c>
      <c r="EN15" s="1423"/>
      <c r="EO15" s="1423"/>
      <c r="EP15" s="1423"/>
      <c r="EQ15" s="1423">
        <v>0</v>
      </c>
      <c r="ER15" s="1423"/>
      <c r="ES15" s="1423"/>
      <c r="ET15" s="1423"/>
      <c r="EU15" s="1423">
        <v>0</v>
      </c>
      <c r="EV15" s="1423"/>
      <c r="EW15" s="1423"/>
      <c r="EX15" s="1423"/>
      <c r="EY15" s="1423"/>
      <c r="EZ15" s="1423">
        <v>0</v>
      </c>
      <c r="FA15" s="1423"/>
      <c r="FB15" s="1423">
        <v>0</v>
      </c>
      <c r="FC15" s="1423"/>
      <c r="FD15" s="1423"/>
      <c r="FE15" s="1423"/>
      <c r="FF15" s="1423">
        <v>0</v>
      </c>
      <c r="FG15" s="1423"/>
      <c r="FH15" s="1423"/>
      <c r="FI15" s="1423"/>
      <c r="FJ15" s="1423">
        <v>0</v>
      </c>
      <c r="FK15" s="1423"/>
      <c r="FL15" s="1423"/>
      <c r="FM15" s="1423"/>
      <c r="FN15" s="1423"/>
      <c r="FO15" s="1423">
        <v>0</v>
      </c>
      <c r="FP15" s="1423"/>
      <c r="FQ15" s="1423"/>
      <c r="FR15" s="1423"/>
      <c r="FS15" s="1423"/>
      <c r="FT15" s="1423"/>
      <c r="FU15" s="1423"/>
      <c r="FV15" s="1423"/>
      <c r="FW15" s="1423">
        <v>20462059.299999997</v>
      </c>
      <c r="FX15" s="1423">
        <v>15693030.02</v>
      </c>
      <c r="FY15" s="1423">
        <v>4665291.0299999965</v>
      </c>
      <c r="FZ15" s="1423">
        <v>103738.24999999983</v>
      </c>
      <c r="GA15" s="1423"/>
      <c r="GB15" s="1423">
        <v>9358866.4334999993</v>
      </c>
      <c r="GC15" s="1423"/>
      <c r="GD15" s="1423"/>
      <c r="GE15" s="1423"/>
      <c r="GF15" s="1423">
        <v>91564730.949090511</v>
      </c>
      <c r="GG15" s="1221"/>
    </row>
    <row r="16" spans="2:189">
      <c r="B16" s="1223"/>
      <c r="C16" s="1423"/>
      <c r="D16" s="1423"/>
      <c r="E16" s="1423"/>
      <c r="F16" s="1423"/>
      <c r="G16" s="1423"/>
      <c r="H16" s="1423"/>
      <c r="I16" s="1423"/>
      <c r="J16" s="1423"/>
      <c r="K16" s="1423"/>
      <c r="L16" s="1423"/>
      <c r="M16" s="1423"/>
      <c r="N16" s="1423"/>
      <c r="O16" s="1423"/>
      <c r="P16" s="1423"/>
      <c r="Q16" s="1423"/>
      <c r="R16" s="1423"/>
      <c r="S16" s="1423"/>
      <c r="T16" s="1423"/>
      <c r="U16" s="1423"/>
      <c r="V16" s="1423"/>
      <c r="W16" s="1423"/>
      <c r="X16" s="1423"/>
      <c r="Y16" s="1423"/>
      <c r="Z16" s="1423"/>
      <c r="AA16" s="1423"/>
      <c r="AB16" s="1423"/>
      <c r="AC16" s="1423"/>
      <c r="AD16" s="1423"/>
      <c r="AE16" s="1423"/>
      <c r="AF16" s="1423"/>
      <c r="AG16" s="1423"/>
      <c r="AH16" s="1423"/>
      <c r="AI16" s="1423"/>
      <c r="AJ16" s="1423"/>
      <c r="AK16" s="1423"/>
      <c r="AL16" s="1423"/>
      <c r="AM16" s="1423"/>
      <c r="AN16" s="1423"/>
      <c r="AO16" s="1423"/>
      <c r="AP16" s="1423"/>
      <c r="AQ16" s="1423"/>
      <c r="AR16" s="1423"/>
      <c r="AS16" s="1423"/>
      <c r="AT16" s="1423"/>
      <c r="AU16" s="1423"/>
      <c r="AV16" s="1423"/>
      <c r="AW16" s="1423"/>
      <c r="AX16" s="1423"/>
      <c r="AY16" s="1423"/>
      <c r="AZ16" s="1423"/>
      <c r="BA16" s="1423"/>
      <c r="BB16" s="1423"/>
      <c r="BC16" s="1423"/>
      <c r="BD16" s="1423"/>
      <c r="BE16" s="1423"/>
      <c r="BF16" s="1423"/>
      <c r="BG16" s="1423"/>
      <c r="BH16" s="1423"/>
      <c r="BI16" s="1423"/>
      <c r="BJ16" s="1423"/>
      <c r="BK16" s="1423"/>
      <c r="BL16" s="1423"/>
      <c r="BM16" s="1423"/>
      <c r="BN16" s="1423"/>
      <c r="BO16" s="1423"/>
      <c r="BP16" s="1423"/>
      <c r="BQ16" s="1423"/>
      <c r="BR16" s="1423"/>
      <c r="BS16" s="1423"/>
      <c r="BT16" s="1423"/>
      <c r="BU16" s="1423"/>
      <c r="BV16" s="1423"/>
      <c r="BW16" s="1423"/>
      <c r="BX16" s="1423"/>
      <c r="BY16" s="1423"/>
      <c r="BZ16" s="1423"/>
      <c r="CA16" s="1423"/>
      <c r="CB16" s="1423"/>
      <c r="CC16" s="1423"/>
      <c r="CD16" s="1423"/>
      <c r="CE16" s="1423"/>
      <c r="CF16" s="1423"/>
      <c r="CG16" s="1423"/>
      <c r="CH16" s="1423"/>
      <c r="CI16" s="1423"/>
      <c r="CJ16" s="1423"/>
      <c r="CK16" s="1423"/>
      <c r="CL16" s="1423"/>
      <c r="CM16" s="1423"/>
      <c r="CN16" s="1423"/>
      <c r="CO16" s="1423"/>
      <c r="CP16" s="1423"/>
      <c r="CQ16" s="1423"/>
      <c r="CR16" s="1423"/>
      <c r="CS16" s="1423"/>
      <c r="CT16" s="1423"/>
      <c r="CU16" s="1423"/>
      <c r="CV16" s="1423"/>
      <c r="CW16" s="1423"/>
      <c r="CX16" s="1423"/>
      <c r="CY16" s="1423"/>
      <c r="CZ16" s="1423"/>
      <c r="DA16" s="1423"/>
      <c r="DB16" s="1423"/>
      <c r="DC16" s="1423"/>
      <c r="DD16" s="1423"/>
      <c r="DE16" s="1423"/>
      <c r="DF16" s="1423"/>
      <c r="DG16" s="1423"/>
      <c r="DH16" s="1423"/>
      <c r="DI16" s="1423"/>
      <c r="DJ16" s="1423"/>
      <c r="DK16" s="1423"/>
      <c r="DL16" s="1423"/>
      <c r="DM16" s="1423"/>
      <c r="DN16" s="1423"/>
      <c r="DO16" s="1423"/>
      <c r="DP16" s="1423"/>
      <c r="DQ16" s="1423"/>
      <c r="DR16" s="1423"/>
      <c r="DS16" s="1423"/>
      <c r="DT16" s="1423"/>
      <c r="DU16" s="1423"/>
      <c r="DV16" s="1423"/>
      <c r="DW16" s="1423"/>
      <c r="DX16" s="1423"/>
      <c r="DY16" s="1423"/>
      <c r="DZ16" s="1423"/>
      <c r="EA16" s="1423"/>
      <c r="EB16" s="1423"/>
      <c r="EC16" s="1423"/>
      <c r="ED16" s="1423"/>
      <c r="EE16" s="1423"/>
      <c r="EF16" s="1423"/>
      <c r="EG16" s="1423"/>
      <c r="EH16" s="1423"/>
      <c r="EI16" s="1423"/>
      <c r="EJ16" s="1423"/>
      <c r="EK16" s="1423"/>
      <c r="EL16" s="1423"/>
      <c r="EM16" s="1423"/>
      <c r="EN16" s="1423"/>
      <c r="EO16" s="1423"/>
      <c r="EP16" s="1423"/>
      <c r="EQ16" s="1423"/>
      <c r="ER16" s="1423"/>
      <c r="ES16" s="1423"/>
      <c r="ET16" s="1423"/>
      <c r="EU16" s="1423"/>
      <c r="EV16" s="1423"/>
      <c r="EW16" s="1423"/>
      <c r="EX16" s="1423"/>
      <c r="EY16" s="1423"/>
      <c r="EZ16" s="1423"/>
      <c r="FA16" s="1423"/>
      <c r="FB16" s="1423"/>
      <c r="FC16" s="1423"/>
      <c r="FD16" s="1423"/>
      <c r="FE16" s="1423"/>
      <c r="FF16" s="1423"/>
      <c r="FG16" s="1423"/>
      <c r="FH16" s="1423"/>
      <c r="FI16" s="1423"/>
      <c r="FJ16" s="1423"/>
      <c r="FK16" s="1423"/>
      <c r="FL16" s="1423"/>
      <c r="FM16" s="1423"/>
      <c r="FN16" s="1423"/>
      <c r="FO16" s="1423"/>
      <c r="FP16" s="1423"/>
      <c r="FQ16" s="1423"/>
      <c r="FR16" s="1423"/>
      <c r="FS16" s="1423"/>
      <c r="FT16" s="1423"/>
      <c r="FU16" s="1423"/>
      <c r="FV16" s="1423"/>
      <c r="FW16" s="1423"/>
      <c r="FX16" s="1423"/>
      <c r="FY16" s="1423"/>
      <c r="FZ16" s="1423"/>
      <c r="GA16" s="1423"/>
      <c r="GB16" s="1423"/>
      <c r="GC16" s="1423"/>
      <c r="GD16" s="1423"/>
      <c r="GE16" s="1423"/>
      <c r="GF16" s="1423"/>
      <c r="GG16" s="1221"/>
    </row>
    <row r="17" spans="2:189">
      <c r="B17" s="1223"/>
      <c r="C17" s="1423"/>
      <c r="D17" s="1423"/>
      <c r="E17" s="1423"/>
      <c r="F17" s="1423"/>
      <c r="G17" s="1423"/>
      <c r="H17" s="1423"/>
      <c r="I17" s="1423"/>
      <c r="J17" s="1423"/>
      <c r="K17" s="1423"/>
      <c r="L17" s="1423"/>
      <c r="M17" s="1423"/>
      <c r="N17" s="1423"/>
      <c r="O17" s="1423"/>
      <c r="P17" s="1423"/>
      <c r="Q17" s="1423"/>
      <c r="R17" s="1423"/>
      <c r="S17" s="1423"/>
      <c r="T17" s="1423"/>
      <c r="U17" s="1423"/>
      <c r="V17" s="1423"/>
      <c r="W17" s="1423"/>
      <c r="X17" s="1423"/>
      <c r="Y17" s="1423"/>
      <c r="Z17" s="1423"/>
      <c r="AA17" s="1423"/>
      <c r="AB17" s="1423"/>
      <c r="AC17" s="1423"/>
      <c r="AD17" s="1423"/>
      <c r="AE17" s="1423"/>
      <c r="AF17" s="1423"/>
      <c r="AG17" s="1423"/>
      <c r="AH17" s="1423"/>
      <c r="AI17" s="1423"/>
      <c r="AJ17" s="1423"/>
      <c r="AK17" s="1423"/>
      <c r="AL17" s="1423"/>
      <c r="AM17" s="1423"/>
      <c r="AN17" s="1423"/>
      <c r="AO17" s="1423"/>
      <c r="AP17" s="1423"/>
      <c r="AQ17" s="1423"/>
      <c r="AR17" s="1423"/>
      <c r="AS17" s="1423"/>
      <c r="AT17" s="1423"/>
      <c r="AU17" s="1423"/>
      <c r="AV17" s="1423"/>
      <c r="AW17" s="1423"/>
      <c r="AX17" s="1423"/>
      <c r="AY17" s="1423"/>
      <c r="AZ17" s="1423"/>
      <c r="BA17" s="1423"/>
      <c r="BB17" s="1423"/>
      <c r="BC17" s="1423"/>
      <c r="BD17" s="1423"/>
      <c r="BE17" s="1423"/>
      <c r="BF17" s="1423"/>
      <c r="BG17" s="1423"/>
      <c r="BH17" s="1423"/>
      <c r="BI17" s="1423"/>
      <c r="BJ17" s="1423"/>
      <c r="BK17" s="1423"/>
      <c r="BL17" s="1423"/>
      <c r="BM17" s="1423"/>
      <c r="BN17" s="1423"/>
      <c r="BO17" s="1423"/>
      <c r="BP17" s="1423"/>
      <c r="BQ17" s="1423"/>
      <c r="BR17" s="1423"/>
      <c r="BS17" s="1423"/>
      <c r="BT17" s="1423"/>
      <c r="BU17" s="1423"/>
      <c r="BV17" s="1423"/>
      <c r="BW17" s="1423"/>
      <c r="BX17" s="1423"/>
      <c r="BY17" s="1423"/>
      <c r="BZ17" s="1423"/>
      <c r="CA17" s="1423"/>
      <c r="CB17" s="1423"/>
      <c r="CC17" s="1423"/>
      <c r="CD17" s="1423"/>
      <c r="CE17" s="1423"/>
      <c r="CF17" s="1423"/>
      <c r="CG17" s="1423"/>
      <c r="CH17" s="1423"/>
      <c r="CI17" s="1423"/>
      <c r="CJ17" s="1423"/>
      <c r="CK17" s="1423"/>
      <c r="CL17" s="1423"/>
      <c r="CM17" s="1423"/>
      <c r="CN17" s="1423"/>
      <c r="CO17" s="1423"/>
      <c r="CP17" s="1423"/>
      <c r="CQ17" s="1423"/>
      <c r="CR17" s="1423"/>
      <c r="CS17" s="1423"/>
      <c r="CT17" s="1423"/>
      <c r="CU17" s="1423"/>
      <c r="CV17" s="1423"/>
      <c r="CW17" s="1423"/>
      <c r="CX17" s="1423"/>
      <c r="CY17" s="1423"/>
      <c r="CZ17" s="1423"/>
      <c r="DA17" s="1423"/>
      <c r="DB17" s="1423"/>
      <c r="DC17" s="1423"/>
      <c r="DD17" s="1423"/>
      <c r="DE17" s="1423"/>
      <c r="DF17" s="1423"/>
      <c r="DG17" s="1423"/>
      <c r="DH17" s="1423"/>
      <c r="DI17" s="1423"/>
      <c r="DJ17" s="1423"/>
      <c r="DK17" s="1423"/>
      <c r="DL17" s="1423"/>
      <c r="DM17" s="1423"/>
      <c r="DN17" s="1423"/>
      <c r="DO17" s="1423"/>
      <c r="DP17" s="1423"/>
      <c r="DQ17" s="1423"/>
      <c r="DR17" s="1423"/>
      <c r="DS17" s="1423"/>
      <c r="DT17" s="1423"/>
      <c r="DU17" s="1423"/>
      <c r="DV17" s="1423"/>
      <c r="DW17" s="1423"/>
      <c r="DX17" s="1423"/>
      <c r="DY17" s="1423"/>
      <c r="DZ17" s="1423"/>
      <c r="EA17" s="1423"/>
      <c r="EB17" s="1423"/>
      <c r="EC17" s="1423"/>
      <c r="ED17" s="1423"/>
      <c r="EE17" s="1423"/>
      <c r="EF17" s="1423"/>
      <c r="EG17" s="1423"/>
      <c r="EH17" s="1423"/>
      <c r="EI17" s="1423"/>
      <c r="EJ17" s="1423"/>
      <c r="EK17" s="1423"/>
      <c r="EL17" s="1423"/>
      <c r="EM17" s="1423"/>
      <c r="EN17" s="1423"/>
      <c r="EO17" s="1423"/>
      <c r="EP17" s="1423"/>
      <c r="EQ17" s="1423"/>
      <c r="ER17" s="1423"/>
      <c r="ES17" s="1423"/>
      <c r="ET17" s="1423"/>
      <c r="EU17" s="1423"/>
      <c r="EV17" s="1423"/>
      <c r="EW17" s="1423"/>
      <c r="EX17" s="1423"/>
      <c r="EY17" s="1423"/>
      <c r="EZ17" s="1423"/>
      <c r="FA17" s="1423"/>
      <c r="FB17" s="1423"/>
      <c r="FC17" s="1423"/>
      <c r="FD17" s="1423"/>
      <c r="FE17" s="1423"/>
      <c r="FF17" s="1423"/>
      <c r="FG17" s="1423"/>
      <c r="FH17" s="1423"/>
      <c r="FI17" s="1423"/>
      <c r="FJ17" s="1423"/>
      <c r="FK17" s="1423"/>
      <c r="FL17" s="1423"/>
      <c r="FM17" s="1423"/>
      <c r="FN17" s="1423"/>
      <c r="FO17" s="1423"/>
      <c r="FP17" s="1423"/>
      <c r="FQ17" s="1423"/>
      <c r="FR17" s="1423"/>
      <c r="FS17" s="1423"/>
      <c r="FT17" s="1423"/>
      <c r="FU17" s="1423"/>
      <c r="FV17" s="1423"/>
      <c r="FW17" s="1423"/>
      <c r="FX17" s="1423"/>
      <c r="FY17" s="1423"/>
      <c r="FZ17" s="1423"/>
      <c r="GA17" s="1423"/>
      <c r="GB17" s="1423"/>
      <c r="GC17" s="1423"/>
      <c r="GD17" s="1423"/>
      <c r="GE17" s="1423"/>
      <c r="GF17" s="1423"/>
    </row>
    <row r="18" spans="2:189">
      <c r="B18" s="1223">
        <v>42370</v>
      </c>
      <c r="C18" s="1423"/>
      <c r="D18" s="1423"/>
      <c r="E18" s="1423">
        <v>1891217.8</v>
      </c>
      <c r="F18" s="1423"/>
      <c r="G18" s="1423">
        <v>1891217.8</v>
      </c>
      <c r="H18" s="1423"/>
      <c r="I18" s="1423"/>
      <c r="J18" s="1423">
        <v>0</v>
      </c>
      <c r="K18" s="1423">
        <v>0</v>
      </c>
      <c r="L18" s="1423"/>
      <c r="M18" s="1423"/>
      <c r="N18" s="1423">
        <v>0</v>
      </c>
      <c r="O18" s="1423"/>
      <c r="P18" s="1423"/>
      <c r="Q18" s="1423">
        <v>0</v>
      </c>
      <c r="R18" s="1423"/>
      <c r="S18" s="1423"/>
      <c r="T18" s="1423"/>
      <c r="U18" s="1423">
        <v>0</v>
      </c>
      <c r="V18" s="1423">
        <v>0</v>
      </c>
      <c r="W18" s="1423"/>
      <c r="X18" s="1423"/>
      <c r="Y18" s="1423"/>
      <c r="Z18" s="1423">
        <v>0</v>
      </c>
      <c r="AA18" s="1423"/>
      <c r="AB18" s="1423"/>
      <c r="AC18" s="1423">
        <v>0</v>
      </c>
      <c r="AD18" s="1423"/>
      <c r="AE18" s="1423"/>
      <c r="AF18" s="1423"/>
      <c r="AG18" s="1423">
        <v>0</v>
      </c>
      <c r="AH18" s="1423"/>
      <c r="AI18" s="1423"/>
      <c r="AJ18" s="1423"/>
      <c r="AK18" s="1423"/>
      <c r="AL18" s="1423">
        <v>0</v>
      </c>
      <c r="AM18" s="1423"/>
      <c r="AN18" s="1423"/>
      <c r="AO18" s="1423"/>
      <c r="AP18" s="1423"/>
      <c r="AQ18" s="1423">
        <v>118527.91</v>
      </c>
      <c r="AR18" s="1423">
        <v>95282.510000000009</v>
      </c>
      <c r="AS18" s="1423">
        <v>23245.4</v>
      </c>
      <c r="AT18" s="1423">
        <v>23245.4</v>
      </c>
      <c r="AU18" s="1423"/>
      <c r="AV18" s="1423"/>
      <c r="AW18" s="1423"/>
      <c r="AX18" s="1423"/>
      <c r="AY18" s="1423">
        <v>191391.25</v>
      </c>
      <c r="AZ18" s="1423">
        <v>191391.25</v>
      </c>
      <c r="BA18" s="1423">
        <v>191391.25</v>
      </c>
      <c r="BB18" s="1423"/>
      <c r="BC18" s="1423"/>
      <c r="BD18" s="1423"/>
      <c r="BE18" s="1423">
        <v>0</v>
      </c>
      <c r="BF18" s="1423"/>
      <c r="BG18" s="1423"/>
      <c r="BH18" s="1423"/>
      <c r="BI18" s="1423"/>
      <c r="BJ18" s="1423"/>
      <c r="BK18" s="1423"/>
      <c r="BL18" s="1423">
        <v>0</v>
      </c>
      <c r="BM18" s="1423">
        <v>0</v>
      </c>
      <c r="BN18" s="1423"/>
      <c r="BO18" s="1423"/>
      <c r="BP18" s="1423"/>
      <c r="BQ18" s="1423"/>
      <c r="BR18" s="1423"/>
      <c r="BS18" s="1423"/>
      <c r="BT18" s="1423">
        <v>0</v>
      </c>
      <c r="BU18" s="1423">
        <v>0</v>
      </c>
      <c r="BV18" s="1423"/>
      <c r="BW18" s="1423"/>
      <c r="BX18" s="1423"/>
      <c r="BY18" s="1423"/>
      <c r="BZ18" s="1423">
        <v>0</v>
      </c>
      <c r="CA18" s="1423"/>
      <c r="CB18" s="1423"/>
      <c r="CC18" s="1423"/>
      <c r="CD18" s="1423"/>
      <c r="CE18" s="1423"/>
      <c r="CF18" s="1423"/>
      <c r="CG18" s="1423"/>
      <c r="CH18" s="1423"/>
      <c r="CI18" s="1423"/>
      <c r="CJ18" s="1423"/>
      <c r="CK18" s="1423"/>
      <c r="CL18" s="1423"/>
      <c r="CM18" s="1423"/>
      <c r="CN18" s="1423">
        <v>0</v>
      </c>
      <c r="CO18" s="1423">
        <v>0</v>
      </c>
      <c r="CP18" s="1423"/>
      <c r="CQ18" s="1423"/>
      <c r="CR18" s="1423"/>
      <c r="CS18" s="1423"/>
      <c r="CT18" s="1423"/>
      <c r="CU18" s="1423">
        <v>0</v>
      </c>
      <c r="CV18" s="1423"/>
      <c r="CW18" s="1423"/>
      <c r="CX18" s="1423"/>
      <c r="CY18" s="1423"/>
      <c r="CZ18" s="1423"/>
      <c r="DA18" s="1423"/>
      <c r="DB18" s="1423">
        <v>0</v>
      </c>
      <c r="DC18" s="1423"/>
      <c r="DD18" s="1423"/>
      <c r="DE18" s="1423"/>
      <c r="DF18" s="1423">
        <v>60702096.905645952</v>
      </c>
      <c r="DG18" s="1423">
        <v>0</v>
      </c>
      <c r="DH18" s="1423">
        <v>0</v>
      </c>
      <c r="DI18" s="1423"/>
      <c r="DJ18" s="1423"/>
      <c r="DK18" s="1423">
        <v>0</v>
      </c>
      <c r="DL18" s="1423"/>
      <c r="DM18" s="1423"/>
      <c r="DN18" s="1423">
        <v>0</v>
      </c>
      <c r="DO18" s="1423"/>
      <c r="DP18" s="1423"/>
      <c r="DQ18" s="1423">
        <v>60702096.905645952</v>
      </c>
      <c r="DR18" s="1423">
        <v>1876282.2632788459</v>
      </c>
      <c r="DS18" s="1423">
        <v>58825814.642367102</v>
      </c>
      <c r="DT18" s="1423"/>
      <c r="DU18" s="1423"/>
      <c r="DV18" s="1423">
        <v>0</v>
      </c>
      <c r="DW18" s="1423"/>
      <c r="DX18" s="1423"/>
      <c r="DY18" s="1423"/>
      <c r="DZ18" s="1423">
        <v>0</v>
      </c>
      <c r="EA18" s="1423">
        <v>0</v>
      </c>
      <c r="EB18" s="1423"/>
      <c r="EC18" s="1423"/>
      <c r="ED18" s="1423">
        <v>0</v>
      </c>
      <c r="EE18" s="1423"/>
      <c r="EF18" s="1423"/>
      <c r="EG18" s="1423">
        <v>0</v>
      </c>
      <c r="EH18" s="1423"/>
      <c r="EI18" s="1423"/>
      <c r="EJ18" s="1423"/>
      <c r="EK18" s="1423">
        <v>0</v>
      </c>
      <c r="EL18" s="1423"/>
      <c r="EM18" s="1423">
        <v>0</v>
      </c>
      <c r="EN18" s="1423"/>
      <c r="EO18" s="1423"/>
      <c r="EP18" s="1423"/>
      <c r="EQ18" s="1423">
        <v>0</v>
      </c>
      <c r="ER18" s="1423"/>
      <c r="ES18" s="1423"/>
      <c r="ET18" s="1423"/>
      <c r="EU18" s="1423">
        <v>0</v>
      </c>
      <c r="EV18" s="1423"/>
      <c r="EW18" s="1423"/>
      <c r="EX18" s="1423"/>
      <c r="EY18" s="1423"/>
      <c r="EZ18" s="1423">
        <v>0</v>
      </c>
      <c r="FA18" s="1423"/>
      <c r="FB18" s="1423">
        <v>0</v>
      </c>
      <c r="FC18" s="1423"/>
      <c r="FD18" s="1423"/>
      <c r="FE18" s="1423"/>
      <c r="FF18" s="1423">
        <v>0</v>
      </c>
      <c r="FG18" s="1423"/>
      <c r="FH18" s="1423"/>
      <c r="FI18" s="1423"/>
      <c r="FJ18" s="1423">
        <v>0</v>
      </c>
      <c r="FK18" s="1423"/>
      <c r="FL18" s="1423"/>
      <c r="FM18" s="1423"/>
      <c r="FN18" s="1423"/>
      <c r="FO18" s="1423">
        <v>0</v>
      </c>
      <c r="FP18" s="1423"/>
      <c r="FQ18" s="1423"/>
      <c r="FR18" s="1423"/>
      <c r="FS18" s="1423"/>
      <c r="FT18" s="1423"/>
      <c r="FU18" s="1423"/>
      <c r="FV18" s="1423"/>
      <c r="FW18" s="1423">
        <v>20329498.119999994</v>
      </c>
      <c r="FX18" s="1423">
        <v>15688252.08</v>
      </c>
      <c r="FY18" s="1423">
        <v>4545579.5899999952</v>
      </c>
      <c r="FZ18" s="1423">
        <v>95666.449999999779</v>
      </c>
      <c r="GA18" s="1423"/>
      <c r="GB18" s="1423">
        <v>9302035.7294999976</v>
      </c>
      <c r="GC18" s="1423"/>
      <c r="GD18" s="1423"/>
      <c r="GE18" s="1423"/>
      <c r="GF18" s="1423">
        <v>92534767.715145946</v>
      </c>
    </row>
    <row r="19" spans="2:189">
      <c r="B19" s="1223">
        <v>42401</v>
      </c>
      <c r="C19" s="1423"/>
      <c r="D19" s="1423"/>
      <c r="E19" s="1423">
        <v>852703.73</v>
      </c>
      <c r="F19" s="1423"/>
      <c r="G19" s="1423">
        <v>852703.73</v>
      </c>
      <c r="H19" s="1423"/>
      <c r="I19" s="1423"/>
      <c r="J19" s="1423">
        <v>600000</v>
      </c>
      <c r="K19" s="1423">
        <v>600000</v>
      </c>
      <c r="L19" s="1423">
        <v>600000</v>
      </c>
      <c r="M19" s="1423"/>
      <c r="N19" s="1423">
        <v>0</v>
      </c>
      <c r="O19" s="1423"/>
      <c r="P19" s="1423"/>
      <c r="Q19" s="1423">
        <v>0</v>
      </c>
      <c r="R19" s="1423"/>
      <c r="S19" s="1423"/>
      <c r="T19" s="1423"/>
      <c r="U19" s="1423">
        <v>500000</v>
      </c>
      <c r="V19" s="1423">
        <v>500000</v>
      </c>
      <c r="W19" s="1423">
        <v>500000</v>
      </c>
      <c r="X19" s="1423"/>
      <c r="Y19" s="1423"/>
      <c r="Z19" s="1423">
        <v>0</v>
      </c>
      <c r="AA19" s="1423"/>
      <c r="AB19" s="1423"/>
      <c r="AC19" s="1423">
        <v>0</v>
      </c>
      <c r="AD19" s="1423"/>
      <c r="AE19" s="1423"/>
      <c r="AF19" s="1423"/>
      <c r="AG19" s="1423">
        <v>0</v>
      </c>
      <c r="AH19" s="1423"/>
      <c r="AI19" s="1423"/>
      <c r="AJ19" s="1423"/>
      <c r="AK19" s="1423"/>
      <c r="AL19" s="1423">
        <v>0</v>
      </c>
      <c r="AM19" s="1423"/>
      <c r="AN19" s="1423"/>
      <c r="AO19" s="1423"/>
      <c r="AP19" s="1423"/>
      <c r="AQ19" s="1423">
        <v>161452.56999999998</v>
      </c>
      <c r="AR19" s="1423">
        <v>138207.16999999998</v>
      </c>
      <c r="AS19" s="1423">
        <v>23245.4</v>
      </c>
      <c r="AT19" s="1423">
        <v>23245.4</v>
      </c>
      <c r="AU19" s="1423"/>
      <c r="AV19" s="1423"/>
      <c r="AW19" s="1423"/>
      <c r="AX19" s="1423"/>
      <c r="AY19" s="1423">
        <v>191391.25</v>
      </c>
      <c r="AZ19" s="1423">
        <v>191391.25</v>
      </c>
      <c r="BA19" s="1423">
        <v>191391.25</v>
      </c>
      <c r="BB19" s="1423"/>
      <c r="BC19" s="1423"/>
      <c r="BD19" s="1423"/>
      <c r="BE19" s="1423">
        <v>0</v>
      </c>
      <c r="BF19" s="1423"/>
      <c r="BG19" s="1423"/>
      <c r="BH19" s="1423"/>
      <c r="BI19" s="1423"/>
      <c r="BJ19" s="1423"/>
      <c r="BK19" s="1423"/>
      <c r="BL19" s="1423">
        <v>0</v>
      </c>
      <c r="BM19" s="1423">
        <v>0</v>
      </c>
      <c r="BN19" s="1423"/>
      <c r="BO19" s="1423"/>
      <c r="BP19" s="1423"/>
      <c r="BQ19" s="1423"/>
      <c r="BR19" s="1423"/>
      <c r="BS19" s="1423"/>
      <c r="BT19" s="1423">
        <v>0</v>
      </c>
      <c r="BU19" s="1423">
        <v>0</v>
      </c>
      <c r="BV19" s="1423"/>
      <c r="BW19" s="1423"/>
      <c r="BX19" s="1423"/>
      <c r="BY19" s="1423"/>
      <c r="BZ19" s="1423">
        <v>0</v>
      </c>
      <c r="CA19" s="1423"/>
      <c r="CB19" s="1423"/>
      <c r="CC19" s="1423"/>
      <c r="CD19" s="1423"/>
      <c r="CE19" s="1423"/>
      <c r="CF19" s="1423"/>
      <c r="CG19" s="1423"/>
      <c r="CH19" s="1423"/>
      <c r="CI19" s="1423"/>
      <c r="CJ19" s="1423"/>
      <c r="CK19" s="1423"/>
      <c r="CL19" s="1423"/>
      <c r="CM19" s="1423"/>
      <c r="CN19" s="1423">
        <v>0</v>
      </c>
      <c r="CO19" s="1423">
        <v>0</v>
      </c>
      <c r="CP19" s="1423"/>
      <c r="CQ19" s="1423"/>
      <c r="CR19" s="1423"/>
      <c r="CS19" s="1423"/>
      <c r="CT19" s="1423"/>
      <c r="CU19" s="1423">
        <v>0</v>
      </c>
      <c r="CV19" s="1423"/>
      <c r="CW19" s="1423"/>
      <c r="CX19" s="1423"/>
      <c r="CY19" s="1423"/>
      <c r="CZ19" s="1423"/>
      <c r="DA19" s="1423"/>
      <c r="DB19" s="1423">
        <v>0</v>
      </c>
      <c r="DC19" s="1423"/>
      <c r="DD19" s="1423"/>
      <c r="DE19" s="1423"/>
      <c r="DF19" s="1423">
        <v>61552196.046605401</v>
      </c>
      <c r="DG19" s="1423">
        <v>0</v>
      </c>
      <c r="DH19" s="1423">
        <v>0</v>
      </c>
      <c r="DI19" s="1423"/>
      <c r="DJ19" s="1423"/>
      <c r="DK19" s="1423">
        <v>0</v>
      </c>
      <c r="DL19" s="1423"/>
      <c r="DM19" s="1423"/>
      <c r="DN19" s="1423">
        <v>0</v>
      </c>
      <c r="DO19" s="1423"/>
      <c r="DP19" s="1423"/>
      <c r="DQ19" s="1423">
        <v>61552196.046605401</v>
      </c>
      <c r="DR19" s="1423">
        <v>1902475.9662267517</v>
      </c>
      <c r="DS19" s="1423">
        <v>59649720.080378652</v>
      </c>
      <c r="DT19" s="1423"/>
      <c r="DU19" s="1423"/>
      <c r="DV19" s="1423">
        <v>0</v>
      </c>
      <c r="DW19" s="1423"/>
      <c r="DX19" s="1423"/>
      <c r="DY19" s="1423"/>
      <c r="DZ19" s="1423">
        <v>0</v>
      </c>
      <c r="EA19" s="1423">
        <v>0</v>
      </c>
      <c r="EB19" s="1423"/>
      <c r="EC19" s="1423"/>
      <c r="ED19" s="1423">
        <v>0</v>
      </c>
      <c r="EE19" s="1423"/>
      <c r="EF19" s="1423"/>
      <c r="EG19" s="1423">
        <v>0</v>
      </c>
      <c r="EH19" s="1423"/>
      <c r="EI19" s="1423"/>
      <c r="EJ19" s="1423"/>
      <c r="EK19" s="1423">
        <v>0</v>
      </c>
      <c r="EL19" s="1423"/>
      <c r="EM19" s="1423">
        <v>0</v>
      </c>
      <c r="EN19" s="1423"/>
      <c r="EO19" s="1423"/>
      <c r="EP19" s="1423"/>
      <c r="EQ19" s="1423">
        <v>0</v>
      </c>
      <c r="ER19" s="1423"/>
      <c r="ES19" s="1423"/>
      <c r="ET19" s="1423"/>
      <c r="EU19" s="1423">
        <v>0</v>
      </c>
      <c r="EV19" s="1423"/>
      <c r="EW19" s="1423"/>
      <c r="EX19" s="1423"/>
      <c r="EY19" s="1423"/>
      <c r="EZ19" s="1423">
        <v>0</v>
      </c>
      <c r="FA19" s="1423"/>
      <c r="FB19" s="1423">
        <v>0</v>
      </c>
      <c r="FC19" s="1423"/>
      <c r="FD19" s="1423"/>
      <c r="FE19" s="1423"/>
      <c r="FF19" s="1423">
        <v>0</v>
      </c>
      <c r="FG19" s="1423"/>
      <c r="FH19" s="1423"/>
      <c r="FI19" s="1423"/>
      <c r="FJ19" s="1423">
        <v>0</v>
      </c>
      <c r="FK19" s="1423"/>
      <c r="FL19" s="1423"/>
      <c r="FM19" s="1423"/>
      <c r="FN19" s="1423"/>
      <c r="FO19" s="1423">
        <v>0</v>
      </c>
      <c r="FP19" s="1423"/>
      <c r="FQ19" s="1423"/>
      <c r="FR19" s="1423"/>
      <c r="FS19" s="1423"/>
      <c r="FT19" s="1423"/>
      <c r="FU19" s="1423"/>
      <c r="FV19" s="1423"/>
      <c r="FW19" s="1423">
        <v>20196936.939999994</v>
      </c>
      <c r="FX19" s="1423">
        <v>15683474.140000001</v>
      </c>
      <c r="FY19" s="1423">
        <v>4425868.1499999939</v>
      </c>
      <c r="FZ19" s="1423">
        <v>87594.64999999979</v>
      </c>
      <c r="GA19" s="1423"/>
      <c r="GB19" s="1423">
        <v>9151984.1489499994</v>
      </c>
      <c r="GC19" s="1423"/>
      <c r="GD19" s="1423"/>
      <c r="GE19" s="1423"/>
      <c r="GF19" s="1423">
        <v>93206664.685555384</v>
      </c>
    </row>
    <row r="20" spans="2:189">
      <c r="B20" s="1223">
        <v>42430</v>
      </c>
      <c r="C20" s="1423"/>
      <c r="D20" s="1423"/>
      <c r="E20" s="1423">
        <v>1942229.93</v>
      </c>
      <c r="F20" s="1423"/>
      <c r="G20" s="1423">
        <v>1942229.93</v>
      </c>
      <c r="H20" s="1423"/>
      <c r="I20" s="1423"/>
      <c r="J20" s="1423">
        <v>0</v>
      </c>
      <c r="K20" s="1423">
        <v>0</v>
      </c>
      <c r="L20" s="1423">
        <v>0</v>
      </c>
      <c r="M20" s="1423"/>
      <c r="N20" s="1423">
        <v>0</v>
      </c>
      <c r="O20" s="1423"/>
      <c r="P20" s="1423"/>
      <c r="Q20" s="1423">
        <v>0</v>
      </c>
      <c r="R20" s="1423"/>
      <c r="S20" s="1423"/>
      <c r="T20" s="1423"/>
      <c r="U20" s="1423">
        <v>0</v>
      </c>
      <c r="V20" s="1423">
        <v>0</v>
      </c>
      <c r="W20" s="1423">
        <v>0</v>
      </c>
      <c r="X20" s="1423"/>
      <c r="Y20" s="1423"/>
      <c r="Z20" s="1423">
        <v>0</v>
      </c>
      <c r="AA20" s="1423"/>
      <c r="AB20" s="1423"/>
      <c r="AC20" s="1423">
        <v>0</v>
      </c>
      <c r="AD20" s="1423"/>
      <c r="AE20" s="1423"/>
      <c r="AF20" s="1423"/>
      <c r="AG20" s="1423">
        <v>0</v>
      </c>
      <c r="AH20" s="1423"/>
      <c r="AI20" s="1423"/>
      <c r="AJ20" s="1423"/>
      <c r="AK20" s="1423"/>
      <c r="AL20" s="1423">
        <v>0</v>
      </c>
      <c r="AM20" s="1423"/>
      <c r="AN20" s="1423"/>
      <c r="AO20" s="1423"/>
      <c r="AP20" s="1423"/>
      <c r="AQ20" s="1423">
        <v>153140.20000000001</v>
      </c>
      <c r="AR20" s="1423">
        <v>129894.80000000002</v>
      </c>
      <c r="AS20" s="1423">
        <v>23245.4</v>
      </c>
      <c r="AT20" s="1423">
        <v>23245.4</v>
      </c>
      <c r="AU20" s="1423"/>
      <c r="AV20" s="1423"/>
      <c r="AW20" s="1423"/>
      <c r="AX20" s="1423"/>
      <c r="AY20" s="1423">
        <v>191391.25</v>
      </c>
      <c r="AZ20" s="1423">
        <v>191391.25</v>
      </c>
      <c r="BA20" s="1423">
        <v>191391.25</v>
      </c>
      <c r="BB20" s="1423"/>
      <c r="BC20" s="1423"/>
      <c r="BD20" s="1423"/>
      <c r="BE20" s="1423">
        <v>0</v>
      </c>
      <c r="BF20" s="1423"/>
      <c r="BG20" s="1423"/>
      <c r="BH20" s="1423"/>
      <c r="BI20" s="1423"/>
      <c r="BJ20" s="1423"/>
      <c r="BK20" s="1423"/>
      <c r="BL20" s="1423">
        <v>0</v>
      </c>
      <c r="BM20" s="1423">
        <v>0</v>
      </c>
      <c r="BN20" s="1423"/>
      <c r="BO20" s="1423"/>
      <c r="BP20" s="1423"/>
      <c r="BQ20" s="1423"/>
      <c r="BR20" s="1423"/>
      <c r="BS20" s="1423"/>
      <c r="BT20" s="1423">
        <v>0</v>
      </c>
      <c r="BU20" s="1423">
        <v>0</v>
      </c>
      <c r="BV20" s="1423"/>
      <c r="BW20" s="1423"/>
      <c r="BX20" s="1423"/>
      <c r="BY20" s="1423"/>
      <c r="BZ20" s="1423">
        <v>0</v>
      </c>
      <c r="CA20" s="1423"/>
      <c r="CB20" s="1423"/>
      <c r="CC20" s="1423"/>
      <c r="CD20" s="1423"/>
      <c r="CE20" s="1423"/>
      <c r="CF20" s="1423"/>
      <c r="CG20" s="1423"/>
      <c r="CH20" s="1423"/>
      <c r="CI20" s="1423"/>
      <c r="CJ20" s="1423"/>
      <c r="CK20" s="1423"/>
      <c r="CL20" s="1423"/>
      <c r="CM20" s="1423"/>
      <c r="CN20" s="1423">
        <v>0</v>
      </c>
      <c r="CO20" s="1423">
        <v>0</v>
      </c>
      <c r="CP20" s="1423"/>
      <c r="CQ20" s="1423"/>
      <c r="CR20" s="1423"/>
      <c r="CS20" s="1423"/>
      <c r="CT20" s="1423"/>
      <c r="CU20" s="1423">
        <v>0</v>
      </c>
      <c r="CV20" s="1423"/>
      <c r="CW20" s="1423"/>
      <c r="CX20" s="1423"/>
      <c r="CY20" s="1423"/>
      <c r="CZ20" s="1423"/>
      <c r="DA20" s="1423"/>
      <c r="DB20" s="1423">
        <v>0</v>
      </c>
      <c r="DC20" s="1423"/>
      <c r="DD20" s="1423"/>
      <c r="DE20" s="1423"/>
      <c r="DF20" s="1423">
        <v>61951078.196605399</v>
      </c>
      <c r="DG20" s="1423">
        <v>0</v>
      </c>
      <c r="DH20" s="1423">
        <v>0</v>
      </c>
      <c r="DI20" s="1423"/>
      <c r="DJ20" s="1423"/>
      <c r="DK20" s="1423">
        <v>0</v>
      </c>
      <c r="DL20" s="1423"/>
      <c r="DM20" s="1423"/>
      <c r="DN20" s="1423">
        <v>0</v>
      </c>
      <c r="DO20" s="1423"/>
      <c r="DP20" s="1423"/>
      <c r="DQ20" s="1423">
        <v>61951078.196605399</v>
      </c>
      <c r="DR20" s="1423">
        <v>1914766.5333440525</v>
      </c>
      <c r="DS20" s="1423">
        <v>60036311.663261347</v>
      </c>
      <c r="DT20" s="1423"/>
      <c r="DU20" s="1423"/>
      <c r="DV20" s="1423">
        <v>0</v>
      </c>
      <c r="DW20" s="1423"/>
      <c r="DX20" s="1423"/>
      <c r="DY20" s="1423"/>
      <c r="DZ20" s="1423">
        <v>0</v>
      </c>
      <c r="EA20" s="1423">
        <v>0</v>
      </c>
      <c r="EB20" s="1423"/>
      <c r="EC20" s="1423"/>
      <c r="ED20" s="1423">
        <v>0</v>
      </c>
      <c r="EE20" s="1423"/>
      <c r="EF20" s="1423"/>
      <c r="EG20" s="1423">
        <v>0</v>
      </c>
      <c r="EH20" s="1423"/>
      <c r="EI20" s="1423"/>
      <c r="EJ20" s="1423"/>
      <c r="EK20" s="1423">
        <v>0</v>
      </c>
      <c r="EL20" s="1423"/>
      <c r="EM20" s="1423">
        <v>0</v>
      </c>
      <c r="EN20" s="1423"/>
      <c r="EO20" s="1423"/>
      <c r="EP20" s="1423"/>
      <c r="EQ20" s="1423">
        <v>0</v>
      </c>
      <c r="ER20" s="1423"/>
      <c r="ES20" s="1423"/>
      <c r="ET20" s="1423"/>
      <c r="EU20" s="1423">
        <v>0</v>
      </c>
      <c r="EV20" s="1423"/>
      <c r="EW20" s="1423"/>
      <c r="EX20" s="1423"/>
      <c r="EY20" s="1423"/>
      <c r="EZ20" s="1423">
        <v>0</v>
      </c>
      <c r="FA20" s="1423"/>
      <c r="FB20" s="1423">
        <v>0</v>
      </c>
      <c r="FC20" s="1423"/>
      <c r="FD20" s="1423"/>
      <c r="FE20" s="1423"/>
      <c r="FF20" s="1423">
        <v>0</v>
      </c>
      <c r="FG20" s="1423"/>
      <c r="FH20" s="1423"/>
      <c r="FI20" s="1423"/>
      <c r="FJ20" s="1423">
        <v>0</v>
      </c>
      <c r="FK20" s="1423"/>
      <c r="FL20" s="1423"/>
      <c r="FM20" s="1423"/>
      <c r="FN20" s="1423"/>
      <c r="FO20" s="1423">
        <v>0</v>
      </c>
      <c r="FP20" s="1423"/>
      <c r="FQ20" s="1423"/>
      <c r="FR20" s="1423"/>
      <c r="FS20" s="1423"/>
      <c r="FT20" s="1423"/>
      <c r="FU20" s="1423"/>
      <c r="FV20" s="1423"/>
      <c r="FW20" s="1423">
        <v>20064375.759999994</v>
      </c>
      <c r="FX20" s="1423">
        <v>15678696.199999999</v>
      </c>
      <c r="FY20" s="1423">
        <v>4306156.7099999934</v>
      </c>
      <c r="FZ20" s="1423">
        <v>79522.849999999744</v>
      </c>
      <c r="GA20" s="1423"/>
      <c r="GB20" s="1423">
        <v>9261186.8489500005</v>
      </c>
      <c r="GC20" s="1423"/>
      <c r="GD20" s="1423"/>
      <c r="GE20" s="1423"/>
      <c r="GF20" s="1423">
        <v>93563402.185555398</v>
      </c>
    </row>
    <row r="21" spans="2:189">
      <c r="B21" s="1223">
        <v>42461</v>
      </c>
      <c r="C21" s="1423"/>
      <c r="D21" s="1423"/>
      <c r="E21" s="1423">
        <v>748275</v>
      </c>
      <c r="F21" s="1423"/>
      <c r="G21" s="1423">
        <v>748275</v>
      </c>
      <c r="H21" s="1423"/>
      <c r="I21" s="1423"/>
      <c r="J21" s="1423">
        <v>600000</v>
      </c>
      <c r="K21" s="1423">
        <v>600000</v>
      </c>
      <c r="L21" s="1423">
        <v>600000</v>
      </c>
      <c r="M21" s="1423"/>
      <c r="N21" s="1423">
        <v>0</v>
      </c>
      <c r="O21" s="1423"/>
      <c r="P21" s="1423"/>
      <c r="Q21" s="1423">
        <v>0</v>
      </c>
      <c r="R21" s="1423"/>
      <c r="S21" s="1423"/>
      <c r="T21" s="1423"/>
      <c r="U21" s="1423">
        <v>500000</v>
      </c>
      <c r="V21" s="1423">
        <v>500000</v>
      </c>
      <c r="W21" s="1423">
        <v>500000</v>
      </c>
      <c r="X21" s="1423"/>
      <c r="Y21" s="1423"/>
      <c r="Z21" s="1423">
        <v>0</v>
      </c>
      <c r="AA21" s="1423"/>
      <c r="AB21" s="1423"/>
      <c r="AC21" s="1423">
        <v>0</v>
      </c>
      <c r="AD21" s="1423"/>
      <c r="AE21" s="1423"/>
      <c r="AF21" s="1423"/>
      <c r="AG21" s="1423">
        <v>0</v>
      </c>
      <c r="AH21" s="1423"/>
      <c r="AI21" s="1423"/>
      <c r="AJ21" s="1423"/>
      <c r="AK21" s="1423"/>
      <c r="AL21" s="1423">
        <v>0</v>
      </c>
      <c r="AM21" s="1423"/>
      <c r="AN21" s="1423"/>
      <c r="AO21" s="1423"/>
      <c r="AP21" s="1423"/>
      <c r="AQ21" s="1423">
        <v>196691.4</v>
      </c>
      <c r="AR21" s="1423">
        <v>173446</v>
      </c>
      <c r="AS21" s="1423">
        <v>23245.4</v>
      </c>
      <c r="AT21" s="1423">
        <v>23245.4</v>
      </c>
      <c r="AU21" s="1423"/>
      <c r="AV21" s="1423"/>
      <c r="AW21" s="1423"/>
      <c r="AX21" s="1423"/>
      <c r="AY21" s="1423">
        <v>191391.25</v>
      </c>
      <c r="AZ21" s="1423">
        <v>191391.25</v>
      </c>
      <c r="BA21" s="1423">
        <v>191391.25</v>
      </c>
      <c r="BB21" s="1423"/>
      <c r="BC21" s="1423"/>
      <c r="BD21" s="1423"/>
      <c r="BE21" s="1423">
        <v>0</v>
      </c>
      <c r="BF21" s="1423"/>
      <c r="BG21" s="1423"/>
      <c r="BH21" s="1423"/>
      <c r="BI21" s="1423"/>
      <c r="BJ21" s="1423"/>
      <c r="BK21" s="1423"/>
      <c r="BL21" s="1423">
        <v>0</v>
      </c>
      <c r="BM21" s="1423">
        <v>0</v>
      </c>
      <c r="BN21" s="1423"/>
      <c r="BO21" s="1423"/>
      <c r="BP21" s="1423"/>
      <c r="BQ21" s="1423"/>
      <c r="BR21" s="1423"/>
      <c r="BS21" s="1423"/>
      <c r="BT21" s="1423">
        <v>0</v>
      </c>
      <c r="BU21" s="1423">
        <v>0</v>
      </c>
      <c r="BV21" s="1423"/>
      <c r="BW21" s="1423"/>
      <c r="BX21" s="1423"/>
      <c r="BY21" s="1423"/>
      <c r="BZ21" s="1423">
        <v>0</v>
      </c>
      <c r="CA21" s="1423"/>
      <c r="CB21" s="1423"/>
      <c r="CC21" s="1423"/>
      <c r="CD21" s="1423"/>
      <c r="CE21" s="1423"/>
      <c r="CF21" s="1423"/>
      <c r="CG21" s="1423"/>
      <c r="CH21" s="1423"/>
      <c r="CI21" s="1423"/>
      <c r="CJ21" s="1423"/>
      <c r="CK21" s="1423"/>
      <c r="CL21" s="1423"/>
      <c r="CM21" s="1423"/>
      <c r="CN21" s="1423">
        <v>0</v>
      </c>
      <c r="CO21" s="1423">
        <v>0</v>
      </c>
      <c r="CP21" s="1423"/>
      <c r="CQ21" s="1423"/>
      <c r="CR21" s="1423"/>
      <c r="CS21" s="1423"/>
      <c r="CT21" s="1423"/>
      <c r="CU21" s="1423">
        <v>0</v>
      </c>
      <c r="CV21" s="1423"/>
      <c r="CW21" s="1423"/>
      <c r="CX21" s="1423"/>
      <c r="CY21" s="1423"/>
      <c r="CZ21" s="1423"/>
      <c r="DA21" s="1423"/>
      <c r="DB21" s="1423">
        <v>0</v>
      </c>
      <c r="DC21" s="1423"/>
      <c r="DD21" s="1423"/>
      <c r="DE21" s="1423"/>
      <c r="DF21" s="1423">
        <v>62294302</v>
      </c>
      <c r="DG21" s="1423">
        <v>0</v>
      </c>
      <c r="DH21" s="1423">
        <v>0</v>
      </c>
      <c r="DI21" s="1423"/>
      <c r="DJ21" s="1423"/>
      <c r="DK21" s="1423">
        <v>0</v>
      </c>
      <c r="DL21" s="1423"/>
      <c r="DM21" s="1423"/>
      <c r="DN21" s="1423">
        <v>0</v>
      </c>
      <c r="DO21" s="1423"/>
      <c r="DP21" s="1423"/>
      <c r="DQ21" s="1423">
        <v>62294302</v>
      </c>
      <c r="DR21" s="1423">
        <v>1925342</v>
      </c>
      <c r="DS21" s="1423">
        <v>60368960</v>
      </c>
      <c r="DT21" s="1423"/>
      <c r="DU21" s="1423"/>
      <c r="DV21" s="1423">
        <v>0</v>
      </c>
      <c r="DW21" s="1423"/>
      <c r="DX21" s="1423"/>
      <c r="DY21" s="1423"/>
      <c r="DZ21" s="1423">
        <v>0</v>
      </c>
      <c r="EA21" s="1423">
        <v>0</v>
      </c>
      <c r="EB21" s="1423"/>
      <c r="EC21" s="1423"/>
      <c r="ED21" s="1423">
        <v>0</v>
      </c>
      <c r="EE21" s="1423"/>
      <c r="EF21" s="1423"/>
      <c r="EG21" s="1423">
        <v>0</v>
      </c>
      <c r="EH21" s="1423"/>
      <c r="EI21" s="1423"/>
      <c r="EJ21" s="1423"/>
      <c r="EK21" s="1423">
        <v>0</v>
      </c>
      <c r="EL21" s="1423"/>
      <c r="EM21" s="1423">
        <v>0</v>
      </c>
      <c r="EN21" s="1423"/>
      <c r="EO21" s="1423"/>
      <c r="EP21" s="1423"/>
      <c r="EQ21" s="1423">
        <v>0</v>
      </c>
      <c r="ER21" s="1423"/>
      <c r="ES21" s="1423"/>
      <c r="ET21" s="1423"/>
      <c r="EU21" s="1423">
        <v>0</v>
      </c>
      <c r="EV21" s="1423"/>
      <c r="EW21" s="1423"/>
      <c r="EX21" s="1423"/>
      <c r="EY21" s="1423"/>
      <c r="EZ21" s="1423">
        <v>0</v>
      </c>
      <c r="FA21" s="1423"/>
      <c r="FB21" s="1423">
        <v>0</v>
      </c>
      <c r="FC21" s="1423"/>
      <c r="FD21" s="1423"/>
      <c r="FE21" s="1423"/>
      <c r="FF21" s="1423">
        <v>0</v>
      </c>
      <c r="FG21" s="1423"/>
      <c r="FH21" s="1423"/>
      <c r="FI21" s="1423"/>
      <c r="FJ21" s="1423">
        <v>0</v>
      </c>
      <c r="FK21" s="1423"/>
      <c r="FL21" s="1423"/>
      <c r="FM21" s="1423"/>
      <c r="FN21" s="1423"/>
      <c r="FO21" s="1423">
        <v>0</v>
      </c>
      <c r="FP21" s="1423"/>
      <c r="FQ21" s="1423"/>
      <c r="FR21" s="1423"/>
      <c r="FS21" s="1423"/>
      <c r="FT21" s="1423"/>
      <c r="FU21" s="1423"/>
      <c r="FV21" s="1423"/>
      <c r="FW21" s="1423">
        <v>19931814</v>
      </c>
      <c r="FX21" s="1423">
        <v>15673918</v>
      </c>
      <c r="FY21" s="1423">
        <v>4186445</v>
      </c>
      <c r="FZ21" s="1423">
        <v>71451</v>
      </c>
      <c r="GA21" s="1423"/>
      <c r="GB21" s="1423">
        <v>9370273</v>
      </c>
      <c r="GC21" s="1423"/>
      <c r="GD21" s="1423"/>
      <c r="GE21" s="1423"/>
      <c r="GF21" s="1423">
        <v>93832746.650000006</v>
      </c>
    </row>
    <row r="22" spans="2:189">
      <c r="B22" s="1223">
        <v>42491</v>
      </c>
      <c r="C22" s="1423"/>
      <c r="D22" s="1423"/>
      <c r="E22" s="1423">
        <v>872969.8</v>
      </c>
      <c r="F22" s="1423"/>
      <c r="G22" s="1423">
        <v>872969.8</v>
      </c>
      <c r="H22" s="1423"/>
      <c r="I22" s="1423"/>
      <c r="J22" s="1423">
        <v>600000</v>
      </c>
      <c r="K22" s="1423">
        <v>600000</v>
      </c>
      <c r="L22" s="1423">
        <v>600000</v>
      </c>
      <c r="M22" s="1423"/>
      <c r="N22" s="1423">
        <v>0</v>
      </c>
      <c r="O22" s="1423"/>
      <c r="P22" s="1423"/>
      <c r="Q22" s="1423">
        <v>0</v>
      </c>
      <c r="R22" s="1423"/>
      <c r="S22" s="1423"/>
      <c r="T22" s="1423"/>
      <c r="U22" s="1423">
        <v>600000</v>
      </c>
      <c r="V22" s="1423">
        <v>600000</v>
      </c>
      <c r="W22" s="1423">
        <v>600000</v>
      </c>
      <c r="X22" s="1423"/>
      <c r="Y22" s="1423"/>
      <c r="Z22" s="1423">
        <v>0</v>
      </c>
      <c r="AA22" s="1423"/>
      <c r="AB22" s="1423"/>
      <c r="AC22" s="1423">
        <v>0</v>
      </c>
      <c r="AD22" s="1423"/>
      <c r="AE22" s="1423"/>
      <c r="AF22" s="1423"/>
      <c r="AG22" s="1423">
        <v>0</v>
      </c>
      <c r="AH22" s="1423"/>
      <c r="AI22" s="1423"/>
      <c r="AJ22" s="1423"/>
      <c r="AK22" s="1423"/>
      <c r="AL22" s="1423">
        <v>0</v>
      </c>
      <c r="AM22" s="1423"/>
      <c r="AN22" s="1423"/>
      <c r="AO22" s="1423"/>
      <c r="AP22" s="1423"/>
      <c r="AQ22" s="1423">
        <v>129108.97</v>
      </c>
      <c r="AR22" s="1423">
        <v>105863.57</v>
      </c>
      <c r="AS22" s="1423">
        <v>23245.4</v>
      </c>
      <c r="AT22" s="1423">
        <v>23245.4</v>
      </c>
      <c r="AU22" s="1423"/>
      <c r="AV22" s="1423"/>
      <c r="AW22" s="1423"/>
      <c r="AX22" s="1423"/>
      <c r="AY22" s="1423">
        <v>191391.25</v>
      </c>
      <c r="AZ22" s="1423">
        <v>191391.25</v>
      </c>
      <c r="BA22" s="1423">
        <v>191391.25</v>
      </c>
      <c r="BB22" s="1423"/>
      <c r="BC22" s="1423"/>
      <c r="BD22" s="1423"/>
      <c r="BE22" s="1423">
        <v>0</v>
      </c>
      <c r="BF22" s="1423"/>
      <c r="BG22" s="1423"/>
      <c r="BH22" s="1423"/>
      <c r="BI22" s="1423"/>
      <c r="BJ22" s="1423"/>
      <c r="BK22" s="1423"/>
      <c r="BL22" s="1423">
        <v>0</v>
      </c>
      <c r="BM22" s="1423">
        <v>0</v>
      </c>
      <c r="BN22" s="1423"/>
      <c r="BO22" s="1423"/>
      <c r="BP22" s="1423"/>
      <c r="BQ22" s="1423"/>
      <c r="BR22" s="1423"/>
      <c r="BS22" s="1423"/>
      <c r="BT22" s="1423">
        <v>0</v>
      </c>
      <c r="BU22" s="1423">
        <v>0</v>
      </c>
      <c r="BV22" s="1423"/>
      <c r="BW22" s="1423"/>
      <c r="BX22" s="1423"/>
      <c r="BY22" s="1423"/>
      <c r="BZ22" s="1423">
        <v>0</v>
      </c>
      <c r="CA22" s="1423"/>
      <c r="CB22" s="1423"/>
      <c r="CC22" s="1423"/>
      <c r="CD22" s="1423"/>
      <c r="CE22" s="1423"/>
      <c r="CF22" s="1423"/>
      <c r="CG22" s="1423"/>
      <c r="CH22" s="1423"/>
      <c r="CI22" s="1423"/>
      <c r="CJ22" s="1423"/>
      <c r="CK22" s="1423"/>
      <c r="CL22" s="1423"/>
      <c r="CM22" s="1423"/>
      <c r="CN22" s="1423">
        <v>0</v>
      </c>
      <c r="CO22" s="1423">
        <v>0</v>
      </c>
      <c r="CP22" s="1423"/>
      <c r="CQ22" s="1423"/>
      <c r="CR22" s="1423"/>
      <c r="CS22" s="1423"/>
      <c r="CT22" s="1423"/>
      <c r="CU22" s="1423">
        <v>0</v>
      </c>
      <c r="CV22" s="1423"/>
      <c r="CW22" s="1423"/>
      <c r="CX22" s="1423"/>
      <c r="CY22" s="1423"/>
      <c r="CZ22" s="1423"/>
      <c r="DA22" s="1423"/>
      <c r="DB22" s="1423">
        <v>0</v>
      </c>
      <c r="DC22" s="1423"/>
      <c r="DD22" s="1423"/>
      <c r="DE22" s="1423"/>
      <c r="DF22" s="1423">
        <v>62676402.77660539</v>
      </c>
      <c r="DG22" s="1423">
        <v>0</v>
      </c>
      <c r="DH22" s="1423">
        <v>0</v>
      </c>
      <c r="DI22" s="1423"/>
      <c r="DJ22" s="1423"/>
      <c r="DK22" s="1423">
        <v>0</v>
      </c>
      <c r="DL22" s="1423"/>
      <c r="DM22" s="1423"/>
      <c r="DN22" s="1423">
        <v>0</v>
      </c>
      <c r="DO22" s="1423"/>
      <c r="DP22" s="1423"/>
      <c r="DQ22" s="1423">
        <v>62676402.77660539</v>
      </c>
      <c r="DR22" s="1423">
        <v>1937115.6167320104</v>
      </c>
      <c r="DS22" s="1423">
        <v>60739287.159873381</v>
      </c>
      <c r="DT22" s="1423"/>
      <c r="DU22" s="1423"/>
      <c r="DV22" s="1423">
        <v>0</v>
      </c>
      <c r="DW22" s="1423"/>
      <c r="DX22" s="1423"/>
      <c r="DY22" s="1423"/>
      <c r="DZ22" s="1423">
        <v>0</v>
      </c>
      <c r="EA22" s="1423">
        <v>0</v>
      </c>
      <c r="EB22" s="1423"/>
      <c r="EC22" s="1423"/>
      <c r="ED22" s="1423">
        <v>0</v>
      </c>
      <c r="EE22" s="1423"/>
      <c r="EF22" s="1423"/>
      <c r="EG22" s="1423">
        <v>0</v>
      </c>
      <c r="EH22" s="1423"/>
      <c r="EI22" s="1423"/>
      <c r="EJ22" s="1423"/>
      <c r="EK22" s="1423">
        <v>0</v>
      </c>
      <c r="EL22" s="1423"/>
      <c r="EM22" s="1423">
        <v>0</v>
      </c>
      <c r="EN22" s="1423"/>
      <c r="EO22" s="1423"/>
      <c r="EP22" s="1423"/>
      <c r="EQ22" s="1423">
        <v>0</v>
      </c>
      <c r="ER22" s="1423"/>
      <c r="ES22" s="1423"/>
      <c r="ET22" s="1423"/>
      <c r="EU22" s="1423">
        <v>0</v>
      </c>
      <c r="EV22" s="1423"/>
      <c r="EW22" s="1423"/>
      <c r="EX22" s="1423"/>
      <c r="EY22" s="1423"/>
      <c r="EZ22" s="1423">
        <v>0</v>
      </c>
      <c r="FA22" s="1423"/>
      <c r="FB22" s="1423">
        <v>0</v>
      </c>
      <c r="FC22" s="1423"/>
      <c r="FD22" s="1423"/>
      <c r="FE22" s="1423"/>
      <c r="FF22" s="1423">
        <v>0</v>
      </c>
      <c r="FG22" s="1423"/>
      <c r="FH22" s="1423"/>
      <c r="FI22" s="1423"/>
      <c r="FJ22" s="1423">
        <v>0</v>
      </c>
      <c r="FK22" s="1423"/>
      <c r="FL22" s="1423"/>
      <c r="FM22" s="1423"/>
      <c r="FN22" s="1423"/>
      <c r="FO22" s="1423">
        <v>0</v>
      </c>
      <c r="FP22" s="1423"/>
      <c r="FQ22" s="1423"/>
      <c r="FR22" s="1423"/>
      <c r="FS22" s="1423"/>
      <c r="FT22" s="1423"/>
      <c r="FU22" s="1423"/>
      <c r="FV22" s="1423"/>
      <c r="FW22" s="1423">
        <v>19799253.399999991</v>
      </c>
      <c r="FX22" s="1423">
        <v>15669140.32</v>
      </c>
      <c r="FY22" s="1423">
        <v>4066733.8299999908</v>
      </c>
      <c r="FZ22" s="1423">
        <v>63379.249999999651</v>
      </c>
      <c r="GA22" s="1423"/>
      <c r="GB22" s="1423">
        <v>9300294.8594499975</v>
      </c>
      <c r="GC22" s="1423"/>
      <c r="GD22" s="1423"/>
      <c r="GE22" s="1423"/>
      <c r="GF22" s="1423">
        <v>94169421.056055382</v>
      </c>
    </row>
    <row r="23" spans="2:189">
      <c r="B23" s="1223">
        <v>42522</v>
      </c>
      <c r="C23" s="1423"/>
      <c r="D23" s="1423"/>
      <c r="E23" s="1423">
        <v>872969.8</v>
      </c>
      <c r="F23" s="1423"/>
      <c r="G23" s="1423">
        <v>872969.8</v>
      </c>
      <c r="H23" s="1423"/>
      <c r="I23" s="1423"/>
      <c r="J23" s="1423">
        <v>600000</v>
      </c>
      <c r="K23" s="1423">
        <v>600000</v>
      </c>
      <c r="L23" s="1423">
        <v>600000</v>
      </c>
      <c r="M23" s="1423"/>
      <c r="N23" s="1423">
        <v>0</v>
      </c>
      <c r="O23" s="1423"/>
      <c r="P23" s="1423"/>
      <c r="Q23" s="1423">
        <v>0</v>
      </c>
      <c r="R23" s="1423"/>
      <c r="S23" s="1423"/>
      <c r="T23" s="1423"/>
      <c r="U23" s="1423">
        <v>600000</v>
      </c>
      <c r="V23" s="1423">
        <v>600000</v>
      </c>
      <c r="W23" s="1423">
        <v>600000</v>
      </c>
      <c r="X23" s="1423"/>
      <c r="Y23" s="1423"/>
      <c r="Z23" s="1423">
        <v>0</v>
      </c>
      <c r="AA23" s="1423"/>
      <c r="AB23" s="1423"/>
      <c r="AC23" s="1423">
        <v>0</v>
      </c>
      <c r="AD23" s="1423"/>
      <c r="AE23" s="1423"/>
      <c r="AF23" s="1423"/>
      <c r="AG23" s="1423">
        <v>0</v>
      </c>
      <c r="AH23" s="1423"/>
      <c r="AI23" s="1423"/>
      <c r="AJ23" s="1423"/>
      <c r="AK23" s="1423"/>
      <c r="AL23" s="1423">
        <v>0</v>
      </c>
      <c r="AM23" s="1423"/>
      <c r="AN23" s="1423"/>
      <c r="AO23" s="1423"/>
      <c r="AP23" s="1423"/>
      <c r="AQ23" s="1423">
        <v>129108.97</v>
      </c>
      <c r="AR23" s="1423">
        <v>105863.57</v>
      </c>
      <c r="AS23" s="1423">
        <v>23245.4</v>
      </c>
      <c r="AT23" s="1423">
        <v>23245.4</v>
      </c>
      <c r="AU23" s="1423"/>
      <c r="AV23" s="1423"/>
      <c r="AW23" s="1423"/>
      <c r="AX23" s="1423"/>
      <c r="AY23" s="1423">
        <v>191391.25</v>
      </c>
      <c r="AZ23" s="1423">
        <v>191391.25</v>
      </c>
      <c r="BA23" s="1423">
        <v>191391.25</v>
      </c>
      <c r="BB23" s="1423"/>
      <c r="BC23" s="1423"/>
      <c r="BD23" s="1423"/>
      <c r="BE23" s="1423">
        <v>0</v>
      </c>
      <c r="BF23" s="1423"/>
      <c r="BG23" s="1423"/>
      <c r="BH23" s="1423"/>
      <c r="BI23" s="1423"/>
      <c r="BJ23" s="1423"/>
      <c r="BK23" s="1423"/>
      <c r="BL23" s="1423">
        <v>0</v>
      </c>
      <c r="BM23" s="1423">
        <v>0</v>
      </c>
      <c r="BN23" s="1423"/>
      <c r="BO23" s="1423"/>
      <c r="BP23" s="1423"/>
      <c r="BQ23" s="1423"/>
      <c r="BR23" s="1423"/>
      <c r="BS23" s="1423"/>
      <c r="BT23" s="1423">
        <v>0</v>
      </c>
      <c r="BU23" s="1423">
        <v>0</v>
      </c>
      <c r="BV23" s="1423"/>
      <c r="BW23" s="1423"/>
      <c r="BX23" s="1423"/>
      <c r="BY23" s="1423"/>
      <c r="BZ23" s="1423">
        <v>0</v>
      </c>
      <c r="CA23" s="1423"/>
      <c r="CB23" s="1423"/>
      <c r="CC23" s="1423"/>
      <c r="CD23" s="1423"/>
      <c r="CE23" s="1423"/>
      <c r="CF23" s="1423"/>
      <c r="CG23" s="1423"/>
      <c r="CH23" s="1423"/>
      <c r="CI23" s="1423"/>
      <c r="CJ23" s="1423"/>
      <c r="CK23" s="1423"/>
      <c r="CL23" s="1423"/>
      <c r="CM23" s="1423"/>
      <c r="CN23" s="1423">
        <v>0</v>
      </c>
      <c r="CO23" s="1423">
        <v>0</v>
      </c>
      <c r="CP23" s="1423"/>
      <c r="CQ23" s="1423"/>
      <c r="CR23" s="1423"/>
      <c r="CS23" s="1423"/>
      <c r="CT23" s="1423"/>
      <c r="CU23" s="1423">
        <v>0</v>
      </c>
      <c r="CV23" s="1423"/>
      <c r="CW23" s="1423"/>
      <c r="CX23" s="1423"/>
      <c r="CY23" s="1423"/>
      <c r="CZ23" s="1423"/>
      <c r="DA23" s="1423"/>
      <c r="DB23" s="1423">
        <v>0</v>
      </c>
      <c r="DC23" s="1423"/>
      <c r="DD23" s="1423"/>
      <c r="DE23" s="1423"/>
      <c r="DF23" s="1423">
        <v>62676402.77660539</v>
      </c>
      <c r="DG23" s="1423">
        <v>0</v>
      </c>
      <c r="DH23" s="1423">
        <v>0</v>
      </c>
      <c r="DI23" s="1423"/>
      <c r="DJ23" s="1423"/>
      <c r="DK23" s="1423">
        <v>0</v>
      </c>
      <c r="DL23" s="1423"/>
      <c r="DM23" s="1423"/>
      <c r="DN23" s="1423">
        <v>0</v>
      </c>
      <c r="DO23" s="1423"/>
      <c r="DP23" s="1423"/>
      <c r="DQ23" s="1423">
        <v>62676402.77660539</v>
      </c>
      <c r="DR23" s="1423">
        <v>1937115.6167320104</v>
      </c>
      <c r="DS23" s="1423">
        <v>60739287.159873381</v>
      </c>
      <c r="DT23" s="1423"/>
      <c r="DU23" s="1423"/>
      <c r="DV23" s="1423">
        <v>0</v>
      </c>
      <c r="DW23" s="1423"/>
      <c r="DX23" s="1423"/>
      <c r="DY23" s="1423"/>
      <c r="DZ23" s="1423">
        <v>0</v>
      </c>
      <c r="EA23" s="1423">
        <v>0</v>
      </c>
      <c r="EB23" s="1423"/>
      <c r="EC23" s="1423"/>
      <c r="ED23" s="1423">
        <v>0</v>
      </c>
      <c r="EE23" s="1423"/>
      <c r="EF23" s="1423"/>
      <c r="EG23" s="1423">
        <v>0</v>
      </c>
      <c r="EH23" s="1423"/>
      <c r="EI23" s="1423"/>
      <c r="EJ23" s="1423"/>
      <c r="EK23" s="1423">
        <v>0</v>
      </c>
      <c r="EL23" s="1423"/>
      <c r="EM23" s="1423">
        <v>0</v>
      </c>
      <c r="EN23" s="1423"/>
      <c r="EO23" s="1423"/>
      <c r="EP23" s="1423"/>
      <c r="EQ23" s="1423">
        <v>0</v>
      </c>
      <c r="ER23" s="1423"/>
      <c r="ES23" s="1423"/>
      <c r="ET23" s="1423"/>
      <c r="EU23" s="1423">
        <v>0</v>
      </c>
      <c r="EV23" s="1423"/>
      <c r="EW23" s="1423"/>
      <c r="EX23" s="1423"/>
      <c r="EY23" s="1423"/>
      <c r="EZ23" s="1423">
        <v>0</v>
      </c>
      <c r="FA23" s="1423"/>
      <c r="FB23" s="1423">
        <v>0</v>
      </c>
      <c r="FC23" s="1423"/>
      <c r="FD23" s="1423"/>
      <c r="FE23" s="1423"/>
      <c r="FF23" s="1423">
        <v>0</v>
      </c>
      <c r="FG23" s="1423"/>
      <c r="FH23" s="1423"/>
      <c r="FI23" s="1423"/>
      <c r="FJ23" s="1423">
        <v>0</v>
      </c>
      <c r="FK23" s="1423"/>
      <c r="FL23" s="1423"/>
      <c r="FM23" s="1423"/>
      <c r="FN23" s="1423"/>
      <c r="FO23" s="1423">
        <v>0</v>
      </c>
      <c r="FP23" s="1423"/>
      <c r="FQ23" s="1423"/>
      <c r="FR23" s="1423"/>
      <c r="FS23" s="1423"/>
      <c r="FT23" s="1423"/>
      <c r="FU23" s="1423"/>
      <c r="FV23" s="1423"/>
      <c r="FW23" s="1423">
        <v>19799253.399999991</v>
      </c>
      <c r="FX23" s="1423">
        <v>15669140.32</v>
      </c>
      <c r="FY23" s="1423">
        <v>4066733.8299999908</v>
      </c>
      <c r="FZ23" s="1423">
        <v>63379.249999999651</v>
      </c>
      <c r="GA23" s="1423"/>
      <c r="GB23" s="1423">
        <v>9300294.8594499975</v>
      </c>
      <c r="GC23" s="1423"/>
      <c r="GD23" s="1423"/>
      <c r="GE23" s="1423"/>
      <c r="GF23" s="1423">
        <v>94169421.056055382</v>
      </c>
    </row>
    <row r="24" spans="2:189">
      <c r="B24" s="1223">
        <v>42552</v>
      </c>
      <c r="C24" s="1423"/>
      <c r="D24" s="1423"/>
      <c r="E24" s="1423">
        <v>1821296.1600000001</v>
      </c>
      <c r="F24" s="1423"/>
      <c r="G24" s="1423">
        <v>1821296.1600000001</v>
      </c>
      <c r="H24" s="1423"/>
      <c r="I24" s="1423"/>
      <c r="J24" s="1423">
        <v>600000</v>
      </c>
      <c r="K24" s="1423">
        <v>600000</v>
      </c>
      <c r="L24" s="1423">
        <v>600000</v>
      </c>
      <c r="M24" s="1423"/>
      <c r="N24" s="1423">
        <v>0</v>
      </c>
      <c r="O24" s="1423"/>
      <c r="P24" s="1423"/>
      <c r="Q24" s="1423">
        <v>0</v>
      </c>
      <c r="R24" s="1423"/>
      <c r="S24" s="1423"/>
      <c r="T24" s="1423"/>
      <c r="U24" s="1423">
        <v>0</v>
      </c>
      <c r="V24" s="1423">
        <v>0</v>
      </c>
      <c r="W24" s="1423">
        <v>0</v>
      </c>
      <c r="X24" s="1423"/>
      <c r="Y24" s="1423"/>
      <c r="Z24" s="1423">
        <v>0</v>
      </c>
      <c r="AA24" s="1423"/>
      <c r="AB24" s="1423"/>
      <c r="AC24" s="1423">
        <v>0</v>
      </c>
      <c r="AD24" s="1423"/>
      <c r="AE24" s="1423"/>
      <c r="AF24" s="1423"/>
      <c r="AG24" s="1423">
        <v>0</v>
      </c>
      <c r="AH24" s="1423"/>
      <c r="AI24" s="1423"/>
      <c r="AJ24" s="1423"/>
      <c r="AK24" s="1423"/>
      <c r="AL24" s="1423">
        <v>0</v>
      </c>
      <c r="AM24" s="1423"/>
      <c r="AN24" s="1423"/>
      <c r="AO24" s="1423"/>
      <c r="AP24" s="1423"/>
      <c r="AQ24" s="1423">
        <v>86086.41</v>
      </c>
      <c r="AR24" s="1423">
        <v>62841.01</v>
      </c>
      <c r="AS24" s="1423">
        <v>23245.4</v>
      </c>
      <c r="AT24" s="1423">
        <v>23245.4</v>
      </c>
      <c r="AU24" s="1423"/>
      <c r="AV24" s="1423"/>
      <c r="AW24" s="1423"/>
      <c r="AX24" s="1423"/>
      <c r="AY24" s="1423">
        <v>191391.25</v>
      </c>
      <c r="AZ24" s="1423">
        <v>191391.25</v>
      </c>
      <c r="BA24" s="1423">
        <v>191391.25</v>
      </c>
      <c r="BB24" s="1423"/>
      <c r="BC24" s="1423"/>
      <c r="BD24" s="1423"/>
      <c r="BE24" s="1423">
        <v>0</v>
      </c>
      <c r="BF24" s="1423"/>
      <c r="BG24" s="1423"/>
      <c r="BH24" s="1423"/>
      <c r="BI24" s="1423"/>
      <c r="BJ24" s="1423"/>
      <c r="BK24" s="1423"/>
      <c r="BL24" s="1423">
        <v>0</v>
      </c>
      <c r="BM24" s="1423">
        <v>0</v>
      </c>
      <c r="BN24" s="1423"/>
      <c r="BO24" s="1423"/>
      <c r="BP24" s="1423"/>
      <c r="BQ24" s="1423"/>
      <c r="BR24" s="1423"/>
      <c r="BS24" s="1423"/>
      <c r="BT24" s="1423">
        <v>0</v>
      </c>
      <c r="BU24" s="1423">
        <v>0</v>
      </c>
      <c r="BV24" s="1423"/>
      <c r="BW24" s="1423"/>
      <c r="BX24" s="1423"/>
      <c r="BY24" s="1423"/>
      <c r="BZ24" s="1423">
        <v>0</v>
      </c>
      <c r="CA24" s="1423"/>
      <c r="CB24" s="1423"/>
      <c r="CC24" s="1423"/>
      <c r="CD24" s="1423"/>
      <c r="CE24" s="1423"/>
      <c r="CF24" s="1423"/>
      <c r="CG24" s="1423"/>
      <c r="CH24" s="1423"/>
      <c r="CI24" s="1423"/>
      <c r="CJ24" s="1423"/>
      <c r="CK24" s="1423"/>
      <c r="CL24" s="1423"/>
      <c r="CM24" s="1423"/>
      <c r="CN24" s="1423">
        <v>0</v>
      </c>
      <c r="CO24" s="1423">
        <v>0</v>
      </c>
      <c r="CP24" s="1423"/>
      <c r="CQ24" s="1423"/>
      <c r="CR24" s="1423"/>
      <c r="CS24" s="1423"/>
      <c r="CT24" s="1423"/>
      <c r="CU24" s="1423">
        <v>0</v>
      </c>
      <c r="CV24" s="1423"/>
      <c r="CW24" s="1423"/>
      <c r="CX24" s="1423"/>
      <c r="CY24" s="1423"/>
      <c r="CZ24" s="1423"/>
      <c r="DA24" s="1423"/>
      <c r="DB24" s="1423">
        <v>0</v>
      </c>
      <c r="DC24" s="1423"/>
      <c r="DD24" s="1423"/>
      <c r="DE24" s="1423"/>
      <c r="DF24" s="1423">
        <v>63362616.530096211</v>
      </c>
      <c r="DG24" s="1423">
        <v>0</v>
      </c>
      <c r="DH24" s="1423">
        <v>0</v>
      </c>
      <c r="DI24" s="1423"/>
      <c r="DJ24" s="1423"/>
      <c r="DK24" s="1423">
        <v>0</v>
      </c>
      <c r="DL24" s="1423"/>
      <c r="DM24" s="1423"/>
      <c r="DN24" s="1423">
        <v>0</v>
      </c>
      <c r="DO24" s="1423"/>
      <c r="DP24" s="1423"/>
      <c r="DQ24" s="1423">
        <v>63362616.530096211</v>
      </c>
      <c r="DR24" s="1423">
        <v>1958259.5967122975</v>
      </c>
      <c r="DS24" s="1423">
        <v>61404356.933383912</v>
      </c>
      <c r="DT24" s="1423"/>
      <c r="DU24" s="1423"/>
      <c r="DV24" s="1423">
        <v>0</v>
      </c>
      <c r="DW24" s="1423"/>
      <c r="DX24" s="1423"/>
      <c r="DY24" s="1423"/>
      <c r="DZ24" s="1423">
        <v>0</v>
      </c>
      <c r="EA24" s="1423">
        <v>0</v>
      </c>
      <c r="EB24" s="1423"/>
      <c r="EC24" s="1423"/>
      <c r="ED24" s="1423">
        <v>0</v>
      </c>
      <c r="EE24" s="1423"/>
      <c r="EF24" s="1423"/>
      <c r="EG24" s="1423">
        <v>0</v>
      </c>
      <c r="EH24" s="1423"/>
      <c r="EI24" s="1423"/>
      <c r="EJ24" s="1423"/>
      <c r="EK24" s="1423">
        <v>0</v>
      </c>
      <c r="EL24" s="1423"/>
      <c r="EM24" s="1423">
        <v>0</v>
      </c>
      <c r="EN24" s="1423"/>
      <c r="EO24" s="1423"/>
      <c r="EP24" s="1423"/>
      <c r="EQ24" s="1423">
        <v>0</v>
      </c>
      <c r="ER24" s="1423"/>
      <c r="ES24" s="1423"/>
      <c r="ET24" s="1423"/>
      <c r="EU24" s="1423">
        <v>0</v>
      </c>
      <c r="EV24" s="1423"/>
      <c r="EW24" s="1423"/>
      <c r="EX24" s="1423"/>
      <c r="EY24" s="1423"/>
      <c r="EZ24" s="1423">
        <v>0</v>
      </c>
      <c r="FA24" s="1423"/>
      <c r="FB24" s="1423">
        <v>0</v>
      </c>
      <c r="FC24" s="1423"/>
      <c r="FD24" s="1423"/>
      <c r="FE24" s="1423"/>
      <c r="FF24" s="1423">
        <v>0</v>
      </c>
      <c r="FG24" s="1423"/>
      <c r="FH24" s="1423"/>
      <c r="FI24" s="1423"/>
      <c r="FJ24" s="1423">
        <v>0</v>
      </c>
      <c r="FK24" s="1423"/>
      <c r="FL24" s="1423"/>
      <c r="FM24" s="1423"/>
      <c r="FN24" s="1423"/>
      <c r="FO24" s="1423">
        <v>0</v>
      </c>
      <c r="FP24" s="1423"/>
      <c r="FQ24" s="1423"/>
      <c r="FR24" s="1423"/>
      <c r="FS24" s="1423"/>
      <c r="FT24" s="1423"/>
      <c r="FU24" s="1423"/>
      <c r="FV24" s="1423"/>
      <c r="FW24" s="1423">
        <v>19838131.039999988</v>
      </c>
      <c r="FX24" s="1423">
        <v>15963584.440000001</v>
      </c>
      <c r="FY24" s="1423">
        <v>3827310.9499999885</v>
      </c>
      <c r="FZ24" s="1423">
        <v>47235.649999999558</v>
      </c>
      <c r="GA24" s="1423"/>
      <c r="GB24" s="1423">
        <v>9207647.2509499975</v>
      </c>
      <c r="GC24" s="1423"/>
      <c r="GD24" s="1423"/>
      <c r="GE24" s="1423"/>
      <c r="GF24" s="1423">
        <v>95107168.641046196</v>
      </c>
    </row>
    <row r="25" spans="2:189">
      <c r="B25" s="1223">
        <v>42583</v>
      </c>
      <c r="C25" s="1423"/>
      <c r="D25" s="1423"/>
      <c r="E25" s="1423">
        <v>1742703</v>
      </c>
      <c r="F25" s="1423"/>
      <c r="G25" s="1423">
        <v>1742703</v>
      </c>
      <c r="H25" s="1423"/>
      <c r="I25" s="1423"/>
      <c r="J25" s="1423">
        <v>600000</v>
      </c>
      <c r="K25" s="1423">
        <v>600000</v>
      </c>
      <c r="L25" s="1423">
        <v>600000</v>
      </c>
      <c r="M25" s="1423"/>
      <c r="N25" s="1423">
        <v>0</v>
      </c>
      <c r="O25" s="1423"/>
      <c r="P25" s="1423"/>
      <c r="Q25" s="1423">
        <v>0</v>
      </c>
      <c r="R25" s="1423"/>
      <c r="S25" s="1423"/>
      <c r="T25" s="1423"/>
      <c r="U25" s="1423">
        <v>0</v>
      </c>
      <c r="V25" s="1423">
        <v>0</v>
      </c>
      <c r="W25" s="1423">
        <v>0</v>
      </c>
      <c r="X25" s="1423"/>
      <c r="Y25" s="1423"/>
      <c r="Z25" s="1423">
        <v>0</v>
      </c>
      <c r="AA25" s="1423"/>
      <c r="AB25" s="1423"/>
      <c r="AC25" s="1423">
        <v>0</v>
      </c>
      <c r="AD25" s="1423"/>
      <c r="AE25" s="1423"/>
      <c r="AF25" s="1423"/>
      <c r="AG25" s="1423">
        <v>0</v>
      </c>
      <c r="AH25" s="1423"/>
      <c r="AI25" s="1423"/>
      <c r="AJ25" s="1423"/>
      <c r="AK25" s="1423"/>
      <c r="AL25" s="1423">
        <v>0</v>
      </c>
      <c r="AM25" s="1423"/>
      <c r="AN25" s="1423"/>
      <c r="AO25" s="1423"/>
      <c r="AP25" s="1423"/>
      <c r="AQ25" s="1423">
        <v>78119</v>
      </c>
      <c r="AR25" s="1423">
        <v>77645</v>
      </c>
      <c r="AS25" s="1423">
        <v>474</v>
      </c>
      <c r="AT25" s="1423">
        <v>474</v>
      </c>
      <c r="AU25" s="1423"/>
      <c r="AV25" s="1423"/>
      <c r="AW25" s="1423"/>
      <c r="AX25" s="1423"/>
      <c r="AY25" s="1423">
        <v>191391.25</v>
      </c>
      <c r="AZ25" s="1423">
        <v>191391.25</v>
      </c>
      <c r="BA25" s="1423">
        <v>191391.25</v>
      </c>
      <c r="BB25" s="1423"/>
      <c r="BC25" s="1423"/>
      <c r="BD25" s="1423"/>
      <c r="BE25" s="1423">
        <v>0</v>
      </c>
      <c r="BF25" s="1423"/>
      <c r="BG25" s="1423"/>
      <c r="BH25" s="1423"/>
      <c r="BI25" s="1423"/>
      <c r="BJ25" s="1423"/>
      <c r="BK25" s="1423"/>
      <c r="BL25" s="1423">
        <v>0</v>
      </c>
      <c r="BM25" s="1423">
        <v>0</v>
      </c>
      <c r="BN25" s="1423"/>
      <c r="BO25" s="1423"/>
      <c r="BP25" s="1423"/>
      <c r="BQ25" s="1423"/>
      <c r="BR25" s="1423"/>
      <c r="BS25" s="1423"/>
      <c r="BT25" s="1423">
        <v>0</v>
      </c>
      <c r="BU25" s="1423">
        <v>0</v>
      </c>
      <c r="BV25" s="1423"/>
      <c r="BW25" s="1423"/>
      <c r="BX25" s="1423"/>
      <c r="BY25" s="1423"/>
      <c r="BZ25" s="1423">
        <v>0</v>
      </c>
      <c r="CA25" s="1423"/>
      <c r="CB25" s="1423"/>
      <c r="CC25" s="1423"/>
      <c r="CD25" s="1423"/>
      <c r="CE25" s="1423"/>
      <c r="CF25" s="1423"/>
      <c r="CG25" s="1423"/>
      <c r="CH25" s="1423"/>
      <c r="CI25" s="1423"/>
      <c r="CJ25" s="1423"/>
      <c r="CK25" s="1423"/>
      <c r="CL25" s="1423"/>
      <c r="CM25" s="1423"/>
      <c r="CN25" s="1423">
        <v>0</v>
      </c>
      <c r="CO25" s="1423">
        <v>0</v>
      </c>
      <c r="CP25" s="1423"/>
      <c r="CQ25" s="1423"/>
      <c r="CR25" s="1423"/>
      <c r="CS25" s="1423"/>
      <c r="CT25" s="1423"/>
      <c r="CU25" s="1423">
        <v>0</v>
      </c>
      <c r="CV25" s="1423"/>
      <c r="CW25" s="1423"/>
      <c r="CX25" s="1423"/>
      <c r="CY25" s="1423"/>
      <c r="CZ25" s="1423"/>
      <c r="DA25" s="1423"/>
      <c r="DB25" s="1423">
        <v>0</v>
      </c>
      <c r="DC25" s="1423"/>
      <c r="DD25" s="1423"/>
      <c r="DE25" s="1423"/>
      <c r="DF25" s="1423">
        <v>63567872</v>
      </c>
      <c r="DG25" s="1423">
        <v>0</v>
      </c>
      <c r="DH25" s="1423">
        <v>0</v>
      </c>
      <c r="DI25" s="1423"/>
      <c r="DJ25" s="1423"/>
      <c r="DK25" s="1423">
        <v>0</v>
      </c>
      <c r="DL25" s="1423"/>
      <c r="DM25" s="1423"/>
      <c r="DN25" s="1423">
        <v>0</v>
      </c>
      <c r="DO25" s="1423"/>
      <c r="DP25" s="1423"/>
      <c r="DQ25" s="1423">
        <v>63567872</v>
      </c>
      <c r="DR25" s="1423">
        <v>1964584</v>
      </c>
      <c r="DS25" s="1423">
        <v>61603288</v>
      </c>
      <c r="DT25" s="1423"/>
      <c r="DU25" s="1423"/>
      <c r="DV25" s="1423">
        <v>0</v>
      </c>
      <c r="DW25" s="1423"/>
      <c r="DX25" s="1423"/>
      <c r="DY25" s="1423"/>
      <c r="DZ25" s="1423">
        <v>0</v>
      </c>
      <c r="EA25" s="1423">
        <v>0</v>
      </c>
      <c r="EB25" s="1423"/>
      <c r="EC25" s="1423"/>
      <c r="ED25" s="1423">
        <v>0</v>
      </c>
      <c r="EE25" s="1423"/>
      <c r="EF25" s="1423"/>
      <c r="EG25" s="1423">
        <v>0</v>
      </c>
      <c r="EH25" s="1423"/>
      <c r="EI25" s="1423"/>
      <c r="EJ25" s="1423"/>
      <c r="EK25" s="1423">
        <v>0</v>
      </c>
      <c r="EL25" s="1423"/>
      <c r="EM25" s="1423">
        <v>0</v>
      </c>
      <c r="EN25" s="1423"/>
      <c r="EO25" s="1423"/>
      <c r="EP25" s="1423"/>
      <c r="EQ25" s="1423">
        <v>0</v>
      </c>
      <c r="ER25" s="1423"/>
      <c r="ES25" s="1423"/>
      <c r="ET25" s="1423"/>
      <c r="EU25" s="1423">
        <v>0</v>
      </c>
      <c r="EV25" s="1423"/>
      <c r="EW25" s="1423"/>
      <c r="EX25" s="1423"/>
      <c r="EY25" s="1423"/>
      <c r="EZ25" s="1423">
        <v>0</v>
      </c>
      <c r="FA25" s="1423"/>
      <c r="FB25" s="1423">
        <v>0</v>
      </c>
      <c r="FC25" s="1423"/>
      <c r="FD25" s="1423"/>
      <c r="FE25" s="1423"/>
      <c r="FF25" s="1423">
        <v>0</v>
      </c>
      <c r="FG25" s="1423"/>
      <c r="FH25" s="1423"/>
      <c r="FI25" s="1423"/>
      <c r="FJ25" s="1423">
        <v>0</v>
      </c>
      <c r="FK25" s="1423"/>
      <c r="FL25" s="1423"/>
      <c r="FM25" s="1423"/>
      <c r="FN25" s="1423"/>
      <c r="FO25" s="1423">
        <v>0</v>
      </c>
      <c r="FP25" s="1423"/>
      <c r="FQ25" s="1423"/>
      <c r="FR25" s="1423"/>
      <c r="FS25" s="1423"/>
      <c r="FT25" s="1423"/>
      <c r="FU25" s="1423"/>
      <c r="FV25" s="1423"/>
      <c r="FW25" s="1423">
        <v>19705571</v>
      </c>
      <c r="FX25" s="1423">
        <v>15958807</v>
      </c>
      <c r="FY25" s="1423">
        <v>3707600</v>
      </c>
      <c r="FZ25" s="1423">
        <v>39164</v>
      </c>
      <c r="GA25" s="1423"/>
      <c r="GB25" s="1423">
        <v>9286482</v>
      </c>
      <c r="GC25" s="1423"/>
      <c r="GD25" s="1423"/>
      <c r="GE25" s="1423"/>
      <c r="GF25" s="1423">
        <v>95172138.25</v>
      </c>
    </row>
    <row r="26" spans="2:189">
      <c r="B26" s="1223">
        <v>42614</v>
      </c>
      <c r="C26" s="1423"/>
      <c r="D26" s="1423"/>
      <c r="E26" s="1423">
        <v>1719678</v>
      </c>
      <c r="F26" s="1423"/>
      <c r="G26" s="1423">
        <v>1719678</v>
      </c>
      <c r="H26" s="1423"/>
      <c r="I26" s="1423"/>
      <c r="J26" s="1423">
        <v>600000</v>
      </c>
      <c r="K26" s="1423">
        <v>600000</v>
      </c>
      <c r="L26" s="1423">
        <v>600000</v>
      </c>
      <c r="M26" s="1423"/>
      <c r="N26" s="1423">
        <v>0</v>
      </c>
      <c r="O26" s="1423"/>
      <c r="P26" s="1423"/>
      <c r="Q26" s="1423">
        <v>0</v>
      </c>
      <c r="R26" s="1423"/>
      <c r="S26" s="1423"/>
      <c r="T26" s="1423"/>
      <c r="U26" s="1423">
        <v>0</v>
      </c>
      <c r="V26" s="1423">
        <v>0</v>
      </c>
      <c r="W26" s="1423">
        <v>0</v>
      </c>
      <c r="X26" s="1423"/>
      <c r="Y26" s="1423"/>
      <c r="Z26" s="1423">
        <v>0</v>
      </c>
      <c r="AA26" s="1423"/>
      <c r="AB26" s="1423"/>
      <c r="AC26" s="1423">
        <v>0</v>
      </c>
      <c r="AD26" s="1423"/>
      <c r="AE26" s="1423"/>
      <c r="AF26" s="1423"/>
      <c r="AG26" s="1423">
        <v>0</v>
      </c>
      <c r="AH26" s="1423"/>
      <c r="AI26" s="1423"/>
      <c r="AJ26" s="1423"/>
      <c r="AK26" s="1423"/>
      <c r="AL26" s="1423">
        <v>0</v>
      </c>
      <c r="AM26" s="1423"/>
      <c r="AN26" s="1423"/>
      <c r="AO26" s="1423"/>
      <c r="AP26" s="1423"/>
      <c r="AQ26" s="1423">
        <v>54780</v>
      </c>
      <c r="AR26" s="1423">
        <v>54306</v>
      </c>
      <c r="AS26" s="1423">
        <v>474</v>
      </c>
      <c r="AT26" s="1423">
        <v>474</v>
      </c>
      <c r="AU26" s="1423"/>
      <c r="AV26" s="1423"/>
      <c r="AW26" s="1423"/>
      <c r="AX26" s="1423"/>
      <c r="AY26" s="1423">
        <v>191391.25</v>
      </c>
      <c r="AZ26" s="1423">
        <v>191391.25</v>
      </c>
      <c r="BA26" s="1423">
        <v>191391.25</v>
      </c>
      <c r="BB26" s="1423"/>
      <c r="BC26" s="1423"/>
      <c r="BD26" s="1423"/>
      <c r="BE26" s="1423">
        <v>0</v>
      </c>
      <c r="BF26" s="1423"/>
      <c r="BG26" s="1423"/>
      <c r="BH26" s="1423"/>
      <c r="BI26" s="1423"/>
      <c r="BJ26" s="1423"/>
      <c r="BK26" s="1423"/>
      <c r="BL26" s="1423">
        <v>0</v>
      </c>
      <c r="BM26" s="1423">
        <v>0</v>
      </c>
      <c r="BN26" s="1423"/>
      <c r="BO26" s="1423"/>
      <c r="BP26" s="1423"/>
      <c r="BQ26" s="1423"/>
      <c r="BR26" s="1423"/>
      <c r="BS26" s="1423"/>
      <c r="BT26" s="1423">
        <v>0</v>
      </c>
      <c r="BU26" s="1423">
        <v>0</v>
      </c>
      <c r="BV26" s="1423"/>
      <c r="BW26" s="1423"/>
      <c r="BX26" s="1423"/>
      <c r="BY26" s="1423"/>
      <c r="BZ26" s="1423">
        <v>0</v>
      </c>
      <c r="CA26" s="1423"/>
      <c r="CB26" s="1423"/>
      <c r="CC26" s="1423"/>
      <c r="CD26" s="1423"/>
      <c r="CE26" s="1423"/>
      <c r="CF26" s="1423"/>
      <c r="CG26" s="1423"/>
      <c r="CH26" s="1423"/>
      <c r="CI26" s="1423"/>
      <c r="CJ26" s="1423"/>
      <c r="CK26" s="1423"/>
      <c r="CL26" s="1423"/>
      <c r="CM26" s="1423"/>
      <c r="CN26" s="1423">
        <v>0</v>
      </c>
      <c r="CO26" s="1423">
        <v>0</v>
      </c>
      <c r="CP26" s="1423"/>
      <c r="CQ26" s="1423"/>
      <c r="CR26" s="1423"/>
      <c r="CS26" s="1423"/>
      <c r="CT26" s="1423"/>
      <c r="CU26" s="1423">
        <v>0</v>
      </c>
      <c r="CV26" s="1423"/>
      <c r="CW26" s="1423"/>
      <c r="CX26" s="1423"/>
      <c r="CY26" s="1423"/>
      <c r="CZ26" s="1423"/>
      <c r="DA26" s="1423"/>
      <c r="DB26" s="1423">
        <v>0</v>
      </c>
      <c r="DC26" s="1423"/>
      <c r="DD26" s="1423"/>
      <c r="DE26" s="1423"/>
      <c r="DF26" s="1423">
        <v>63934962</v>
      </c>
      <c r="DG26" s="1423">
        <v>0</v>
      </c>
      <c r="DH26" s="1423">
        <v>0</v>
      </c>
      <c r="DI26" s="1423"/>
      <c r="DJ26" s="1423"/>
      <c r="DK26" s="1423">
        <v>0</v>
      </c>
      <c r="DL26" s="1423"/>
      <c r="DM26" s="1423"/>
      <c r="DN26" s="1423">
        <v>0</v>
      </c>
      <c r="DO26" s="1423"/>
      <c r="DP26" s="1423"/>
      <c r="DQ26" s="1423">
        <v>63934962</v>
      </c>
      <c r="DR26" s="1423">
        <v>1994383</v>
      </c>
      <c r="DS26" s="1423">
        <v>61940579</v>
      </c>
      <c r="DT26" s="1423"/>
      <c r="DU26" s="1423"/>
      <c r="DV26" s="1423">
        <v>0</v>
      </c>
      <c r="DW26" s="1423"/>
      <c r="DX26" s="1423"/>
      <c r="DY26" s="1423"/>
      <c r="DZ26" s="1423">
        <v>0</v>
      </c>
      <c r="EA26" s="1423">
        <v>0</v>
      </c>
      <c r="EB26" s="1423"/>
      <c r="EC26" s="1423"/>
      <c r="ED26" s="1423">
        <v>0</v>
      </c>
      <c r="EE26" s="1423"/>
      <c r="EF26" s="1423"/>
      <c r="EG26" s="1423">
        <v>0</v>
      </c>
      <c r="EH26" s="1423"/>
      <c r="EI26" s="1423"/>
      <c r="EJ26" s="1423"/>
      <c r="EK26" s="1423">
        <v>0</v>
      </c>
      <c r="EL26" s="1423"/>
      <c r="EM26" s="1423">
        <v>0</v>
      </c>
      <c r="EN26" s="1423"/>
      <c r="EO26" s="1423"/>
      <c r="EP26" s="1423"/>
      <c r="EQ26" s="1423">
        <v>0</v>
      </c>
      <c r="ER26" s="1423"/>
      <c r="ES26" s="1423"/>
      <c r="ET26" s="1423"/>
      <c r="EU26" s="1423">
        <v>0</v>
      </c>
      <c r="EV26" s="1423"/>
      <c r="EW26" s="1423"/>
      <c r="EX26" s="1423"/>
      <c r="EY26" s="1423"/>
      <c r="EZ26" s="1423">
        <v>0</v>
      </c>
      <c r="FA26" s="1423"/>
      <c r="FB26" s="1423">
        <v>0</v>
      </c>
      <c r="FC26" s="1423"/>
      <c r="FD26" s="1423"/>
      <c r="FE26" s="1423"/>
      <c r="FF26" s="1423">
        <v>0</v>
      </c>
      <c r="FG26" s="1423"/>
      <c r="FH26" s="1423"/>
      <c r="FI26" s="1423"/>
      <c r="FJ26" s="1423">
        <v>0</v>
      </c>
      <c r="FK26" s="1423"/>
      <c r="FL26" s="1423"/>
      <c r="FM26" s="1423"/>
      <c r="FN26" s="1423"/>
      <c r="FO26" s="1423">
        <v>0</v>
      </c>
      <c r="FP26" s="1423"/>
      <c r="FQ26" s="1423"/>
      <c r="FR26" s="1423"/>
      <c r="FS26" s="1423"/>
      <c r="FT26" s="1423"/>
      <c r="FU26" s="1423"/>
      <c r="FV26" s="1423"/>
      <c r="FW26" s="1423">
        <v>19573009</v>
      </c>
      <c r="FX26" s="1423">
        <v>15954029</v>
      </c>
      <c r="FY26" s="1423">
        <v>3587888</v>
      </c>
      <c r="FZ26" s="1423">
        <v>31092</v>
      </c>
      <c r="GA26" s="1423"/>
      <c r="GB26" s="1423">
        <v>9433357</v>
      </c>
      <c r="GC26" s="1423"/>
      <c r="GD26" s="1423"/>
      <c r="GE26" s="1423"/>
      <c r="GF26" s="1423">
        <v>95507177.25</v>
      </c>
    </row>
    <row r="27" spans="2:189">
      <c r="B27" s="1223">
        <v>42644</v>
      </c>
      <c r="C27" s="1423"/>
      <c r="D27" s="1423"/>
      <c r="E27" s="1423">
        <v>1119678</v>
      </c>
      <c r="F27" s="1423"/>
      <c r="G27" s="1423">
        <v>1119678</v>
      </c>
      <c r="H27" s="1423"/>
      <c r="I27" s="1423"/>
      <c r="J27" s="1423">
        <v>600000</v>
      </c>
      <c r="K27" s="1423">
        <v>600000</v>
      </c>
      <c r="L27" s="1423">
        <v>600000</v>
      </c>
      <c r="M27" s="1423"/>
      <c r="N27" s="1423">
        <v>0</v>
      </c>
      <c r="O27" s="1423"/>
      <c r="P27" s="1423"/>
      <c r="Q27" s="1423">
        <v>0</v>
      </c>
      <c r="R27" s="1423"/>
      <c r="S27" s="1423"/>
      <c r="T27" s="1423"/>
      <c r="U27" s="1423">
        <v>0</v>
      </c>
      <c r="V27" s="1423">
        <v>0</v>
      </c>
      <c r="W27" s="1423">
        <v>0</v>
      </c>
      <c r="X27" s="1423"/>
      <c r="Y27" s="1423"/>
      <c r="Z27" s="1423">
        <v>0</v>
      </c>
      <c r="AA27" s="1423"/>
      <c r="AB27" s="1423"/>
      <c r="AC27" s="1423">
        <v>0</v>
      </c>
      <c r="AD27" s="1423"/>
      <c r="AE27" s="1423"/>
      <c r="AF27" s="1423"/>
      <c r="AG27" s="1423">
        <v>0</v>
      </c>
      <c r="AH27" s="1423"/>
      <c r="AI27" s="1423"/>
      <c r="AJ27" s="1423"/>
      <c r="AK27" s="1423"/>
      <c r="AL27" s="1423">
        <v>0</v>
      </c>
      <c r="AM27" s="1423"/>
      <c r="AN27" s="1423"/>
      <c r="AO27" s="1423"/>
      <c r="AP27" s="1423"/>
      <c r="AQ27" s="1423">
        <v>54780</v>
      </c>
      <c r="AR27" s="1423">
        <v>54306</v>
      </c>
      <c r="AS27" s="1423">
        <v>474</v>
      </c>
      <c r="AT27" s="1423">
        <v>474</v>
      </c>
      <c r="AU27" s="1423"/>
      <c r="AV27" s="1423"/>
      <c r="AW27" s="1423"/>
      <c r="AX27" s="1423"/>
      <c r="AY27" s="1423">
        <v>191391.25</v>
      </c>
      <c r="AZ27" s="1423">
        <v>191391.25</v>
      </c>
      <c r="BA27" s="1423">
        <v>191391.25</v>
      </c>
      <c r="BB27" s="1423"/>
      <c r="BC27" s="1423"/>
      <c r="BD27" s="1423"/>
      <c r="BE27" s="1423">
        <v>0</v>
      </c>
      <c r="BF27" s="1423"/>
      <c r="BG27" s="1423"/>
      <c r="BH27" s="1423"/>
      <c r="BI27" s="1423"/>
      <c r="BJ27" s="1423"/>
      <c r="BK27" s="1423"/>
      <c r="BL27" s="1423">
        <v>0</v>
      </c>
      <c r="BM27" s="1423">
        <v>0</v>
      </c>
      <c r="BN27" s="1423"/>
      <c r="BO27" s="1423"/>
      <c r="BP27" s="1423"/>
      <c r="BQ27" s="1423"/>
      <c r="BR27" s="1423"/>
      <c r="BS27" s="1423"/>
      <c r="BT27" s="1423">
        <v>0</v>
      </c>
      <c r="BU27" s="1423">
        <v>0</v>
      </c>
      <c r="BV27" s="1423"/>
      <c r="BW27" s="1423"/>
      <c r="BX27" s="1423"/>
      <c r="BY27" s="1423"/>
      <c r="BZ27" s="1423">
        <v>0</v>
      </c>
      <c r="CA27" s="1423"/>
      <c r="CB27" s="1423"/>
      <c r="CC27" s="1423"/>
      <c r="CD27" s="1423"/>
      <c r="CE27" s="1423"/>
      <c r="CF27" s="1423"/>
      <c r="CG27" s="1423"/>
      <c r="CH27" s="1423"/>
      <c r="CI27" s="1423"/>
      <c r="CJ27" s="1423"/>
      <c r="CK27" s="1423"/>
      <c r="CL27" s="1423"/>
      <c r="CM27" s="1423"/>
      <c r="CN27" s="1423">
        <v>0</v>
      </c>
      <c r="CO27" s="1423">
        <v>0</v>
      </c>
      <c r="CP27" s="1423"/>
      <c r="CQ27" s="1423"/>
      <c r="CR27" s="1423"/>
      <c r="CS27" s="1423"/>
      <c r="CT27" s="1423"/>
      <c r="CU27" s="1423">
        <v>0</v>
      </c>
      <c r="CV27" s="1423"/>
      <c r="CW27" s="1423"/>
      <c r="CX27" s="1423"/>
      <c r="CY27" s="1423"/>
      <c r="CZ27" s="1423"/>
      <c r="DA27" s="1423"/>
      <c r="DB27" s="1423">
        <v>0</v>
      </c>
      <c r="DC27" s="1423"/>
      <c r="DD27" s="1423"/>
      <c r="DE27" s="1423"/>
      <c r="DF27" s="1423">
        <v>64534962</v>
      </c>
      <c r="DG27" s="1423">
        <v>0</v>
      </c>
      <c r="DH27" s="1423">
        <v>0</v>
      </c>
      <c r="DI27" s="1423"/>
      <c r="DJ27" s="1423"/>
      <c r="DK27" s="1423">
        <v>0</v>
      </c>
      <c r="DL27" s="1423"/>
      <c r="DM27" s="1423"/>
      <c r="DN27" s="1423">
        <v>0</v>
      </c>
      <c r="DO27" s="1423"/>
      <c r="DP27" s="1423"/>
      <c r="DQ27" s="1423">
        <v>64534962</v>
      </c>
      <c r="DR27" s="1423">
        <v>1994383</v>
      </c>
      <c r="DS27" s="1423">
        <v>62540579</v>
      </c>
      <c r="DT27" s="1423"/>
      <c r="DU27" s="1423"/>
      <c r="DV27" s="1423">
        <v>0</v>
      </c>
      <c r="DW27" s="1423"/>
      <c r="DX27" s="1423"/>
      <c r="DY27" s="1423"/>
      <c r="DZ27" s="1423">
        <v>0</v>
      </c>
      <c r="EA27" s="1423">
        <v>0</v>
      </c>
      <c r="EB27" s="1423"/>
      <c r="EC27" s="1423"/>
      <c r="ED27" s="1423">
        <v>0</v>
      </c>
      <c r="EE27" s="1423"/>
      <c r="EF27" s="1423"/>
      <c r="EG27" s="1423">
        <v>0</v>
      </c>
      <c r="EH27" s="1423"/>
      <c r="EI27" s="1423"/>
      <c r="EJ27" s="1423"/>
      <c r="EK27" s="1423">
        <v>0</v>
      </c>
      <c r="EL27" s="1423"/>
      <c r="EM27" s="1423">
        <v>0</v>
      </c>
      <c r="EN27" s="1423"/>
      <c r="EO27" s="1423"/>
      <c r="EP27" s="1423"/>
      <c r="EQ27" s="1423">
        <v>0</v>
      </c>
      <c r="ER27" s="1423"/>
      <c r="ES27" s="1423"/>
      <c r="ET27" s="1423"/>
      <c r="EU27" s="1423">
        <v>0</v>
      </c>
      <c r="EV27" s="1423"/>
      <c r="EW27" s="1423"/>
      <c r="EX27" s="1423"/>
      <c r="EY27" s="1423"/>
      <c r="EZ27" s="1423">
        <v>0</v>
      </c>
      <c r="FA27" s="1423"/>
      <c r="FB27" s="1423">
        <v>0</v>
      </c>
      <c r="FC27" s="1423"/>
      <c r="FD27" s="1423"/>
      <c r="FE27" s="1423"/>
      <c r="FF27" s="1423">
        <v>0</v>
      </c>
      <c r="FG27" s="1423"/>
      <c r="FH27" s="1423"/>
      <c r="FI27" s="1423"/>
      <c r="FJ27" s="1423">
        <v>0</v>
      </c>
      <c r="FK27" s="1423"/>
      <c r="FL27" s="1423"/>
      <c r="FM27" s="1423"/>
      <c r="FN27" s="1423"/>
      <c r="FO27" s="1423">
        <v>0</v>
      </c>
      <c r="FP27" s="1423"/>
      <c r="FQ27" s="1423"/>
      <c r="FR27" s="1423"/>
      <c r="FS27" s="1423"/>
      <c r="FT27" s="1423"/>
      <c r="FU27" s="1423"/>
      <c r="FV27" s="1423"/>
      <c r="FW27" s="1423">
        <v>19573009</v>
      </c>
      <c r="FX27" s="1423">
        <v>15954029</v>
      </c>
      <c r="FY27" s="1423">
        <v>3587888</v>
      </c>
      <c r="FZ27" s="1423">
        <v>31092</v>
      </c>
      <c r="GA27" s="1423"/>
      <c r="GB27" s="1423">
        <v>9433357</v>
      </c>
      <c r="GC27" s="1423"/>
      <c r="GD27" s="1423"/>
      <c r="GE27" s="1423"/>
      <c r="GF27" s="1423">
        <v>95507177.25</v>
      </c>
    </row>
    <row r="28" spans="2:189">
      <c r="B28" s="1223">
        <v>42675</v>
      </c>
      <c r="C28" s="1423"/>
      <c r="D28" s="1423"/>
      <c r="E28" s="1423">
        <v>1719678.39</v>
      </c>
      <c r="F28" s="1423"/>
      <c r="G28" s="1423">
        <v>1719678.39</v>
      </c>
      <c r="H28" s="1423"/>
      <c r="I28" s="1423"/>
      <c r="J28" s="1423">
        <v>652786.14</v>
      </c>
      <c r="K28" s="1423">
        <v>652786.14</v>
      </c>
      <c r="L28" s="1423">
        <v>652786.14</v>
      </c>
      <c r="M28" s="1423"/>
      <c r="N28" s="1423">
        <v>0</v>
      </c>
      <c r="O28" s="1423"/>
      <c r="P28" s="1423"/>
      <c r="Q28" s="1423">
        <v>0</v>
      </c>
      <c r="R28" s="1423"/>
      <c r="S28" s="1423"/>
      <c r="T28" s="1423"/>
      <c r="U28" s="1423">
        <v>0</v>
      </c>
      <c r="V28" s="1423">
        <v>0</v>
      </c>
      <c r="W28" s="1423">
        <v>0</v>
      </c>
      <c r="X28" s="1423"/>
      <c r="Y28" s="1423"/>
      <c r="Z28" s="1423">
        <v>0</v>
      </c>
      <c r="AA28" s="1423"/>
      <c r="AB28" s="1423"/>
      <c r="AC28" s="1423">
        <v>0</v>
      </c>
      <c r="AD28" s="1423"/>
      <c r="AE28" s="1423"/>
      <c r="AF28" s="1423"/>
      <c r="AG28" s="1423">
        <v>0</v>
      </c>
      <c r="AH28" s="1423"/>
      <c r="AI28" s="1423"/>
      <c r="AJ28" s="1423"/>
      <c r="AK28" s="1423"/>
      <c r="AL28" s="1423">
        <v>0</v>
      </c>
      <c r="AM28" s="1423"/>
      <c r="AN28" s="1423"/>
      <c r="AO28" s="1423"/>
      <c r="AP28" s="1423"/>
      <c r="AQ28" s="1423">
        <v>1994</v>
      </c>
      <c r="AR28" s="1423">
        <v>1520</v>
      </c>
      <c r="AS28" s="1423">
        <v>474</v>
      </c>
      <c r="AT28" s="1423">
        <v>474</v>
      </c>
      <c r="AU28" s="1423"/>
      <c r="AV28" s="1423"/>
      <c r="AW28" s="1423"/>
      <c r="AX28" s="1423"/>
      <c r="AY28" s="1423">
        <v>191391.25</v>
      </c>
      <c r="AZ28" s="1423">
        <v>191391.25</v>
      </c>
      <c r="BA28" s="1423">
        <v>191391.25</v>
      </c>
      <c r="BB28" s="1423"/>
      <c r="BC28" s="1423"/>
      <c r="BD28" s="1423"/>
      <c r="BE28" s="1423">
        <v>0</v>
      </c>
      <c r="BF28" s="1423"/>
      <c r="BG28" s="1423"/>
      <c r="BH28" s="1423"/>
      <c r="BI28" s="1423"/>
      <c r="BJ28" s="1423"/>
      <c r="BK28" s="1423"/>
      <c r="BL28" s="1423">
        <v>0</v>
      </c>
      <c r="BM28" s="1423">
        <v>0</v>
      </c>
      <c r="BN28" s="1423"/>
      <c r="BO28" s="1423"/>
      <c r="BP28" s="1423"/>
      <c r="BQ28" s="1423"/>
      <c r="BR28" s="1423"/>
      <c r="BS28" s="1423"/>
      <c r="BT28" s="1423">
        <v>0</v>
      </c>
      <c r="BU28" s="1423">
        <v>0</v>
      </c>
      <c r="BV28" s="1423"/>
      <c r="BW28" s="1423"/>
      <c r="BX28" s="1423"/>
      <c r="BY28" s="1423"/>
      <c r="BZ28" s="1423">
        <v>0</v>
      </c>
      <c r="CA28" s="1423"/>
      <c r="CB28" s="1423"/>
      <c r="CC28" s="1423"/>
      <c r="CD28" s="1423"/>
      <c r="CE28" s="1423"/>
      <c r="CF28" s="1423"/>
      <c r="CG28" s="1423"/>
      <c r="CH28" s="1423"/>
      <c r="CI28" s="1423"/>
      <c r="CJ28" s="1423"/>
      <c r="CK28" s="1423"/>
      <c r="CL28" s="1423"/>
      <c r="CM28" s="1423"/>
      <c r="CN28" s="1423">
        <v>0</v>
      </c>
      <c r="CO28" s="1423">
        <v>0</v>
      </c>
      <c r="CP28" s="1423"/>
      <c r="CQ28" s="1423"/>
      <c r="CR28" s="1423"/>
      <c r="CS28" s="1423"/>
      <c r="CT28" s="1423"/>
      <c r="CU28" s="1423">
        <v>0</v>
      </c>
      <c r="CV28" s="1423"/>
      <c r="CW28" s="1423"/>
      <c r="CX28" s="1423"/>
      <c r="CY28" s="1423"/>
      <c r="CZ28" s="1423"/>
      <c r="DA28" s="1423"/>
      <c r="DB28" s="1423">
        <v>0</v>
      </c>
      <c r="DC28" s="1423"/>
      <c r="DD28" s="1423"/>
      <c r="DE28" s="1423"/>
      <c r="DF28" s="1423">
        <v>63934961.590096213</v>
      </c>
      <c r="DG28" s="1423">
        <v>0</v>
      </c>
      <c r="DH28" s="1423">
        <v>0</v>
      </c>
      <c r="DI28" s="1423"/>
      <c r="DJ28" s="1423"/>
      <c r="DK28" s="1423">
        <v>0</v>
      </c>
      <c r="DL28" s="1423"/>
      <c r="DM28" s="1423"/>
      <c r="DN28" s="1423">
        <v>0</v>
      </c>
      <c r="DO28" s="1423"/>
      <c r="DP28" s="1423"/>
      <c r="DQ28" s="1423">
        <v>63934961.590096213</v>
      </c>
      <c r="DR28" s="1423">
        <v>1994382.5108225583</v>
      </c>
      <c r="DS28" s="1423">
        <v>61940579.079273656</v>
      </c>
      <c r="DT28" s="1423"/>
      <c r="DU28" s="1423"/>
      <c r="DV28" s="1423">
        <v>0</v>
      </c>
      <c r="DW28" s="1423"/>
      <c r="DX28" s="1423"/>
      <c r="DY28" s="1423"/>
      <c r="DZ28" s="1423">
        <v>0</v>
      </c>
      <c r="EA28" s="1423">
        <v>0</v>
      </c>
      <c r="EB28" s="1423"/>
      <c r="EC28" s="1423"/>
      <c r="ED28" s="1423">
        <v>0</v>
      </c>
      <c r="EE28" s="1423"/>
      <c r="EF28" s="1423"/>
      <c r="EG28" s="1423">
        <v>0</v>
      </c>
      <c r="EH28" s="1423"/>
      <c r="EI28" s="1423"/>
      <c r="EJ28" s="1423"/>
      <c r="EK28" s="1423">
        <v>0</v>
      </c>
      <c r="EL28" s="1423"/>
      <c r="EM28" s="1423">
        <v>0</v>
      </c>
      <c r="EN28" s="1423"/>
      <c r="EO28" s="1423"/>
      <c r="EP28" s="1423"/>
      <c r="EQ28" s="1423">
        <v>0</v>
      </c>
      <c r="ER28" s="1423"/>
      <c r="ES28" s="1423"/>
      <c r="ET28" s="1423"/>
      <c r="EU28" s="1423">
        <v>0</v>
      </c>
      <c r="EV28" s="1423"/>
      <c r="EW28" s="1423"/>
      <c r="EX28" s="1423"/>
      <c r="EY28" s="1423"/>
      <c r="EZ28" s="1423">
        <v>0</v>
      </c>
      <c r="FA28" s="1423"/>
      <c r="FB28" s="1423">
        <v>0</v>
      </c>
      <c r="FC28" s="1423"/>
      <c r="FD28" s="1423"/>
      <c r="FE28" s="1423"/>
      <c r="FF28" s="1423">
        <v>0</v>
      </c>
      <c r="FG28" s="1423"/>
      <c r="FH28" s="1423"/>
      <c r="FI28" s="1423"/>
      <c r="FJ28" s="1423">
        <v>0</v>
      </c>
      <c r="FK28" s="1423"/>
      <c r="FL28" s="1423"/>
      <c r="FM28" s="1423"/>
      <c r="FN28" s="1423"/>
      <c r="FO28" s="1423">
        <v>0</v>
      </c>
      <c r="FP28" s="1423"/>
      <c r="FQ28" s="1423"/>
      <c r="FR28" s="1423"/>
      <c r="FS28" s="1423"/>
      <c r="FT28" s="1423"/>
      <c r="FU28" s="1423"/>
      <c r="FV28" s="1423"/>
      <c r="FW28" s="1423">
        <v>19573008.679999989</v>
      </c>
      <c r="FX28" s="1423">
        <v>15954028.560000001</v>
      </c>
      <c r="FY28" s="1423">
        <v>3587888.0699999863</v>
      </c>
      <c r="FZ28" s="1423">
        <v>31092.049999999464</v>
      </c>
      <c r="GA28" s="1423"/>
      <c r="GB28" s="1423">
        <v>9505645.2414500006</v>
      </c>
      <c r="GC28" s="1423"/>
      <c r="GD28" s="1423"/>
      <c r="GE28" s="1423"/>
      <c r="GF28" s="1423">
        <v>95579465.291546196</v>
      </c>
    </row>
    <row r="29" spans="2:189">
      <c r="B29" s="1223">
        <v>42705</v>
      </c>
      <c r="C29" s="1423"/>
      <c r="D29" s="1423"/>
      <c r="E29" s="1423">
        <v>1591234.04</v>
      </c>
      <c r="F29" s="1423"/>
      <c r="G29" s="1423">
        <v>1591234.04</v>
      </c>
      <c r="H29" s="1423"/>
      <c r="I29" s="1423"/>
      <c r="J29" s="1423">
        <v>0</v>
      </c>
      <c r="K29" s="1423">
        <v>0</v>
      </c>
      <c r="L29" s="1423">
        <v>0</v>
      </c>
      <c r="M29" s="1423"/>
      <c r="N29" s="1423">
        <v>0</v>
      </c>
      <c r="O29" s="1423"/>
      <c r="P29" s="1423"/>
      <c r="Q29" s="1423">
        <v>0</v>
      </c>
      <c r="R29" s="1423"/>
      <c r="S29" s="1423"/>
      <c r="T29" s="1423"/>
      <c r="U29" s="1423">
        <v>0</v>
      </c>
      <c r="V29" s="1423">
        <v>0</v>
      </c>
      <c r="W29" s="1423">
        <v>0</v>
      </c>
      <c r="X29" s="1423"/>
      <c r="Y29" s="1423"/>
      <c r="Z29" s="1423">
        <v>0</v>
      </c>
      <c r="AA29" s="1423"/>
      <c r="AB29" s="1423"/>
      <c r="AC29" s="1423">
        <v>0</v>
      </c>
      <c r="AD29" s="1423"/>
      <c r="AE29" s="1423"/>
      <c r="AF29" s="1423"/>
      <c r="AG29" s="1423">
        <v>0</v>
      </c>
      <c r="AH29" s="1423"/>
      <c r="AI29" s="1423"/>
      <c r="AJ29" s="1423"/>
      <c r="AK29" s="1423"/>
      <c r="AL29" s="1423">
        <v>0</v>
      </c>
      <c r="AM29" s="1423"/>
      <c r="AN29" s="1423"/>
      <c r="AO29" s="1423"/>
      <c r="AP29" s="1423"/>
      <c r="AQ29" s="1423">
        <v>131972.23000000001</v>
      </c>
      <c r="AR29" s="1423">
        <v>110726.37000000001</v>
      </c>
      <c r="AS29" s="1423">
        <v>21245.859999999997</v>
      </c>
      <c r="AT29" s="1423">
        <v>21245.859999999997</v>
      </c>
      <c r="AU29" s="1423"/>
      <c r="AV29" s="1423"/>
      <c r="AW29" s="1423"/>
      <c r="AX29" s="1423"/>
      <c r="AY29" s="1423">
        <v>191391.25</v>
      </c>
      <c r="AZ29" s="1423">
        <v>191391.25</v>
      </c>
      <c r="BA29" s="1423">
        <v>191391.25</v>
      </c>
      <c r="BB29" s="1423"/>
      <c r="BC29" s="1423"/>
      <c r="BD29" s="1423"/>
      <c r="BE29" s="1423">
        <v>0</v>
      </c>
      <c r="BF29" s="1423"/>
      <c r="BG29" s="1423"/>
      <c r="BH29" s="1423"/>
      <c r="BI29" s="1423"/>
      <c r="BJ29" s="1423"/>
      <c r="BK29" s="1423"/>
      <c r="BL29" s="1423">
        <v>0</v>
      </c>
      <c r="BM29" s="1423">
        <v>0</v>
      </c>
      <c r="BN29" s="1423"/>
      <c r="BO29" s="1423"/>
      <c r="BP29" s="1423"/>
      <c r="BQ29" s="1423"/>
      <c r="BR29" s="1423"/>
      <c r="BS29" s="1423"/>
      <c r="BT29" s="1423">
        <v>0</v>
      </c>
      <c r="BU29" s="1423">
        <v>0</v>
      </c>
      <c r="BV29" s="1423"/>
      <c r="BW29" s="1423"/>
      <c r="BX29" s="1423"/>
      <c r="BY29" s="1423"/>
      <c r="BZ29" s="1423">
        <v>0</v>
      </c>
      <c r="CA29" s="1423"/>
      <c r="CB29" s="1423"/>
      <c r="CC29" s="1423"/>
      <c r="CD29" s="1423"/>
      <c r="CE29" s="1423"/>
      <c r="CF29" s="1423"/>
      <c r="CG29" s="1423"/>
      <c r="CH29" s="1423"/>
      <c r="CI29" s="1423"/>
      <c r="CJ29" s="1423"/>
      <c r="CK29" s="1423"/>
      <c r="CL29" s="1423"/>
      <c r="CM29" s="1423"/>
      <c r="CN29" s="1423">
        <v>0</v>
      </c>
      <c r="CO29" s="1423">
        <v>0</v>
      </c>
      <c r="CP29" s="1423"/>
      <c r="CQ29" s="1423"/>
      <c r="CR29" s="1423"/>
      <c r="CS29" s="1423"/>
      <c r="CT29" s="1423"/>
      <c r="CU29" s="1423">
        <v>0</v>
      </c>
      <c r="CV29" s="1423"/>
      <c r="CW29" s="1423"/>
      <c r="CX29" s="1423"/>
      <c r="CY29" s="1423"/>
      <c r="CZ29" s="1423"/>
      <c r="DA29" s="1423"/>
      <c r="DB29" s="1423">
        <v>0</v>
      </c>
      <c r="DC29" s="1423"/>
      <c r="DD29" s="1423"/>
      <c r="DE29" s="1423"/>
      <c r="DF29" s="1423">
        <v>59829207.695590526</v>
      </c>
      <c r="DG29" s="1423">
        <v>0</v>
      </c>
      <c r="DH29" s="1423">
        <v>0</v>
      </c>
      <c r="DI29" s="1423"/>
      <c r="DJ29" s="1423"/>
      <c r="DK29" s="1423">
        <v>0</v>
      </c>
      <c r="DL29" s="1423"/>
      <c r="DM29" s="1423"/>
      <c r="DN29" s="1423">
        <v>0</v>
      </c>
      <c r="DO29" s="1423"/>
      <c r="DP29" s="1423"/>
      <c r="DQ29" s="1423">
        <v>59829207.695590526</v>
      </c>
      <c r="DR29" s="1423">
        <v>1849386.3407058406</v>
      </c>
      <c r="DS29" s="1423">
        <v>57979821.354884684</v>
      </c>
      <c r="DT29" s="1423"/>
      <c r="DU29" s="1423"/>
      <c r="DV29" s="1423">
        <v>0</v>
      </c>
      <c r="DW29" s="1423"/>
      <c r="DX29" s="1423"/>
      <c r="DY29" s="1423"/>
      <c r="DZ29" s="1423">
        <v>0</v>
      </c>
      <c r="EA29" s="1423">
        <v>0</v>
      </c>
      <c r="EB29" s="1423"/>
      <c r="EC29" s="1423"/>
      <c r="ED29" s="1423">
        <v>0</v>
      </c>
      <c r="EE29" s="1423"/>
      <c r="EF29" s="1423"/>
      <c r="EG29" s="1423">
        <v>0</v>
      </c>
      <c r="EH29" s="1423"/>
      <c r="EI29" s="1423"/>
      <c r="EJ29" s="1423"/>
      <c r="EK29" s="1423">
        <v>0</v>
      </c>
      <c r="EL29" s="1423"/>
      <c r="EM29" s="1423">
        <v>0</v>
      </c>
      <c r="EN29" s="1423"/>
      <c r="EO29" s="1423"/>
      <c r="EP29" s="1423"/>
      <c r="EQ29" s="1423">
        <v>0</v>
      </c>
      <c r="ER29" s="1423"/>
      <c r="ES29" s="1423"/>
      <c r="ET29" s="1423"/>
      <c r="EU29" s="1423">
        <v>0</v>
      </c>
      <c r="EV29" s="1423"/>
      <c r="EW29" s="1423"/>
      <c r="EX29" s="1423"/>
      <c r="EY29" s="1423"/>
      <c r="EZ29" s="1423">
        <v>0</v>
      </c>
      <c r="FA29" s="1423"/>
      <c r="FB29" s="1423">
        <v>0</v>
      </c>
      <c r="FC29" s="1423"/>
      <c r="FD29" s="1423"/>
      <c r="FE29" s="1423"/>
      <c r="FF29" s="1423">
        <v>0</v>
      </c>
      <c r="FG29" s="1423"/>
      <c r="FH29" s="1423"/>
      <c r="FI29" s="1423"/>
      <c r="FJ29" s="1423">
        <v>0</v>
      </c>
      <c r="FK29" s="1423"/>
      <c r="FL29" s="1423"/>
      <c r="FM29" s="1423"/>
      <c r="FN29" s="1423"/>
      <c r="FO29" s="1423">
        <v>0</v>
      </c>
      <c r="FP29" s="1423"/>
      <c r="FQ29" s="1423"/>
      <c r="FR29" s="1423"/>
      <c r="FS29" s="1423"/>
      <c r="FT29" s="1423"/>
      <c r="FU29" s="1423"/>
      <c r="FV29" s="1423"/>
      <c r="FW29" s="1423">
        <v>20462059.299999997</v>
      </c>
      <c r="FX29" s="1423">
        <v>15693030.02</v>
      </c>
      <c r="FY29" s="1423">
        <v>4665291.0299999965</v>
      </c>
      <c r="FZ29" s="1423">
        <v>103738.24999999983</v>
      </c>
      <c r="GA29" s="1423"/>
      <c r="GB29" s="1423">
        <v>9358866.4334999993</v>
      </c>
      <c r="GC29" s="1423"/>
      <c r="GD29" s="1423"/>
      <c r="GE29" s="1423"/>
      <c r="GF29" s="1423">
        <v>91564730.949090511</v>
      </c>
    </row>
    <row r="30" spans="2:189">
      <c r="C30" s="1424"/>
      <c r="D30" s="1424"/>
      <c r="E30" s="1424"/>
      <c r="F30" s="1424"/>
      <c r="G30" s="1424"/>
      <c r="H30" s="1424"/>
      <c r="I30" s="1424"/>
      <c r="J30" s="1424"/>
      <c r="K30" s="1424"/>
      <c r="L30" s="1424"/>
      <c r="M30" s="1424"/>
      <c r="N30" s="1424"/>
      <c r="O30" s="1424"/>
      <c r="P30" s="1424"/>
      <c r="Q30" s="1424"/>
      <c r="R30" s="1424"/>
      <c r="S30" s="1424"/>
      <c r="T30" s="1424"/>
      <c r="U30" s="1424"/>
      <c r="V30" s="1424"/>
      <c r="W30" s="1424"/>
      <c r="X30" s="1424"/>
      <c r="Y30" s="1424"/>
      <c r="Z30" s="1424"/>
      <c r="AA30" s="1424"/>
      <c r="AB30" s="1424"/>
      <c r="AC30" s="1424"/>
      <c r="AD30" s="1424"/>
      <c r="AE30" s="1424"/>
      <c r="AF30" s="1424"/>
      <c r="AG30" s="1424"/>
      <c r="AH30" s="1424"/>
      <c r="AI30" s="1424"/>
      <c r="AJ30" s="1424"/>
      <c r="AK30" s="1424"/>
      <c r="AL30" s="1424"/>
      <c r="AM30" s="1424"/>
      <c r="AN30" s="1424"/>
      <c r="AO30" s="1424"/>
      <c r="AP30" s="1424"/>
      <c r="AQ30" s="1424"/>
      <c r="AR30" s="1424"/>
      <c r="AS30" s="1424"/>
      <c r="AT30" s="1424"/>
      <c r="AU30" s="1424"/>
      <c r="AV30" s="1424"/>
      <c r="AW30" s="1424"/>
      <c r="AX30" s="1424"/>
      <c r="AY30" s="1424"/>
      <c r="AZ30" s="1424"/>
      <c r="BA30" s="1424"/>
      <c r="BB30" s="1424"/>
      <c r="BC30" s="1424"/>
      <c r="BD30" s="1424"/>
      <c r="BE30" s="1424"/>
      <c r="BF30" s="1424"/>
      <c r="BG30" s="1424"/>
      <c r="BH30" s="1424"/>
      <c r="BI30" s="1424"/>
      <c r="BJ30" s="1424"/>
      <c r="BK30" s="1424"/>
      <c r="BL30" s="1424"/>
      <c r="BM30" s="1424"/>
      <c r="BN30" s="1424"/>
      <c r="BO30" s="1424"/>
      <c r="BP30" s="1424"/>
      <c r="BQ30" s="1424"/>
      <c r="BR30" s="1424"/>
      <c r="BS30" s="1424"/>
      <c r="BT30" s="1424"/>
      <c r="BU30" s="1424"/>
      <c r="BV30" s="1424"/>
      <c r="BW30" s="1424"/>
      <c r="BX30" s="1424"/>
      <c r="BY30" s="1424"/>
      <c r="BZ30" s="1424"/>
      <c r="CA30" s="1424"/>
      <c r="CB30" s="1424"/>
      <c r="CC30" s="1424"/>
      <c r="CD30" s="1424"/>
      <c r="CE30" s="1424"/>
      <c r="CF30" s="1424"/>
      <c r="CG30" s="1424"/>
      <c r="CH30" s="1424"/>
      <c r="CI30" s="1424"/>
      <c r="CJ30" s="1424"/>
      <c r="CK30" s="1424"/>
      <c r="CL30" s="1424"/>
      <c r="CM30" s="1424"/>
      <c r="CN30" s="1424"/>
      <c r="CO30" s="1424"/>
      <c r="CP30" s="1424"/>
      <c r="CQ30" s="1424"/>
      <c r="CR30" s="1424"/>
      <c r="CS30" s="1424"/>
      <c r="CT30" s="1424"/>
      <c r="CU30" s="1424"/>
      <c r="CV30" s="1424"/>
      <c r="CW30" s="1424"/>
      <c r="CX30" s="1424"/>
      <c r="CY30" s="1424"/>
      <c r="CZ30" s="1424"/>
      <c r="DA30" s="1424"/>
      <c r="DB30" s="1424"/>
      <c r="DC30" s="1424"/>
      <c r="DD30" s="1424"/>
      <c r="DE30" s="1424"/>
      <c r="DF30" s="1424"/>
      <c r="DG30" s="1424"/>
      <c r="DH30" s="1424"/>
      <c r="DI30" s="1424"/>
      <c r="DJ30" s="1424"/>
      <c r="DK30" s="1424"/>
      <c r="DL30" s="1424"/>
      <c r="DM30" s="1424"/>
      <c r="DN30" s="1424"/>
      <c r="DO30" s="1424"/>
      <c r="DP30" s="1424"/>
      <c r="DQ30" s="1424"/>
      <c r="DR30" s="1424"/>
      <c r="DS30" s="1424"/>
      <c r="DT30" s="1424"/>
      <c r="DU30" s="1424"/>
      <c r="DV30" s="1424"/>
      <c r="DW30" s="1424"/>
      <c r="DX30" s="1424"/>
      <c r="DY30" s="1424"/>
      <c r="DZ30" s="1424"/>
      <c r="EA30" s="1424"/>
      <c r="EB30" s="1424"/>
      <c r="EC30" s="1424"/>
      <c r="ED30" s="1424"/>
      <c r="EE30" s="1424"/>
      <c r="EF30" s="1424"/>
      <c r="EG30" s="1424"/>
      <c r="EH30" s="1424"/>
      <c r="EI30" s="1424"/>
      <c r="EJ30" s="1424"/>
      <c r="EK30" s="1424"/>
      <c r="EL30" s="1424"/>
      <c r="EM30" s="1424"/>
      <c r="EN30" s="1424"/>
      <c r="EO30" s="1424"/>
      <c r="EP30" s="1424"/>
      <c r="EQ30" s="1424"/>
      <c r="ER30" s="1424"/>
      <c r="ES30" s="1424"/>
      <c r="ET30" s="1424"/>
      <c r="EU30" s="1424"/>
      <c r="EV30" s="1424"/>
      <c r="EW30" s="1424"/>
      <c r="EX30" s="1424"/>
      <c r="EY30" s="1424"/>
      <c r="EZ30" s="1424"/>
      <c r="FA30" s="1424"/>
      <c r="FB30" s="1424"/>
      <c r="FC30" s="1424"/>
      <c r="FD30" s="1424"/>
      <c r="FE30" s="1424"/>
      <c r="FF30" s="1424"/>
      <c r="FG30" s="1424"/>
      <c r="FH30" s="1424"/>
      <c r="FI30" s="1424"/>
      <c r="FJ30" s="1424"/>
      <c r="FK30" s="1424"/>
      <c r="FL30" s="1424"/>
      <c r="FM30" s="1424"/>
      <c r="FN30" s="1424"/>
      <c r="FO30" s="1424"/>
      <c r="FP30" s="1424"/>
      <c r="FQ30" s="1424"/>
      <c r="FR30" s="1424"/>
      <c r="FS30" s="1424"/>
      <c r="FT30" s="1424"/>
      <c r="FU30" s="1424"/>
      <c r="FV30" s="1424"/>
      <c r="FW30" s="1424"/>
      <c r="FX30" s="1424"/>
      <c r="FY30" s="1424"/>
      <c r="FZ30" s="1424"/>
      <c r="GA30" s="1424"/>
      <c r="GB30" s="1424"/>
      <c r="GC30" s="1424"/>
      <c r="GD30" s="1424"/>
      <c r="GE30" s="1424"/>
      <c r="GF30" s="1424"/>
    </row>
    <row r="31" spans="2:189">
      <c r="C31" s="1424"/>
      <c r="D31" s="1424"/>
      <c r="E31" s="1424"/>
      <c r="F31" s="1424"/>
      <c r="G31" s="1424"/>
      <c r="H31" s="1424"/>
      <c r="I31" s="1424"/>
      <c r="J31" s="1424"/>
      <c r="K31" s="1424"/>
      <c r="L31" s="1424"/>
      <c r="M31" s="1424"/>
      <c r="N31" s="1424"/>
      <c r="O31" s="1424"/>
      <c r="P31" s="1424"/>
      <c r="Q31" s="1424"/>
      <c r="R31" s="1424"/>
      <c r="S31" s="1424"/>
      <c r="T31" s="1424"/>
      <c r="U31" s="1424"/>
      <c r="V31" s="1424"/>
      <c r="W31" s="1424"/>
      <c r="X31" s="1424"/>
      <c r="Y31" s="1424"/>
      <c r="Z31" s="1424"/>
      <c r="AA31" s="1424"/>
      <c r="AB31" s="1424"/>
      <c r="AC31" s="1424"/>
      <c r="AD31" s="1424"/>
      <c r="AE31" s="1424"/>
      <c r="AF31" s="1424"/>
      <c r="AG31" s="1424"/>
      <c r="AH31" s="1424"/>
      <c r="AI31" s="1424"/>
      <c r="AJ31" s="1424"/>
      <c r="AK31" s="1424"/>
      <c r="AL31" s="1424"/>
      <c r="AM31" s="1424"/>
      <c r="AN31" s="1424"/>
      <c r="AO31" s="1424"/>
      <c r="AP31" s="1424"/>
      <c r="AQ31" s="1424"/>
      <c r="AR31" s="1424"/>
      <c r="AS31" s="1424"/>
      <c r="AT31" s="1424"/>
      <c r="AU31" s="1424"/>
      <c r="AV31" s="1424"/>
      <c r="AW31" s="1424"/>
      <c r="AX31" s="1424"/>
      <c r="AY31" s="1424"/>
      <c r="AZ31" s="1424"/>
      <c r="BA31" s="1424"/>
      <c r="BB31" s="1424"/>
      <c r="BC31" s="1424"/>
      <c r="BD31" s="1424"/>
      <c r="BE31" s="1424"/>
      <c r="BF31" s="1424"/>
      <c r="BG31" s="1424"/>
      <c r="BH31" s="1424"/>
      <c r="BI31" s="1424"/>
      <c r="BJ31" s="1424"/>
      <c r="BK31" s="1424"/>
      <c r="BL31" s="1424"/>
      <c r="BM31" s="1424"/>
      <c r="BN31" s="1424"/>
      <c r="BO31" s="1424"/>
      <c r="BP31" s="1424"/>
      <c r="BQ31" s="1424"/>
      <c r="BR31" s="1424"/>
      <c r="BS31" s="1424"/>
      <c r="BT31" s="1424"/>
      <c r="BU31" s="1424"/>
      <c r="BV31" s="1424"/>
      <c r="BW31" s="1424"/>
      <c r="BX31" s="1424"/>
      <c r="BY31" s="1424"/>
      <c r="BZ31" s="1424"/>
      <c r="CA31" s="1424"/>
      <c r="CB31" s="1424"/>
      <c r="CC31" s="1424"/>
      <c r="CD31" s="1424"/>
      <c r="CE31" s="1424"/>
      <c r="CF31" s="1424"/>
      <c r="CG31" s="1424"/>
      <c r="CH31" s="1424"/>
      <c r="CI31" s="1424"/>
      <c r="CJ31" s="1424"/>
      <c r="CK31" s="1424"/>
      <c r="CL31" s="1424"/>
      <c r="CM31" s="1424"/>
      <c r="CN31" s="1424"/>
      <c r="CO31" s="1424"/>
      <c r="CP31" s="1424"/>
      <c r="CQ31" s="1424"/>
      <c r="CR31" s="1424"/>
      <c r="CS31" s="1424"/>
      <c r="CT31" s="1424"/>
      <c r="CU31" s="1424"/>
      <c r="CV31" s="1424"/>
      <c r="CW31" s="1424"/>
      <c r="CX31" s="1424"/>
      <c r="CY31" s="1424"/>
      <c r="CZ31" s="1424"/>
      <c r="DA31" s="1424"/>
      <c r="DB31" s="1424"/>
      <c r="DC31" s="1424"/>
      <c r="DD31" s="1424"/>
      <c r="DE31" s="1424"/>
      <c r="DF31" s="1424"/>
      <c r="DG31" s="1424"/>
      <c r="DH31" s="1424"/>
      <c r="DI31" s="1424"/>
      <c r="DJ31" s="1424"/>
      <c r="DK31" s="1424"/>
      <c r="DL31" s="1424"/>
      <c r="DM31" s="1424"/>
      <c r="DN31" s="1424"/>
      <c r="DO31" s="1424"/>
      <c r="DP31" s="1424"/>
      <c r="DQ31" s="1424"/>
      <c r="DR31" s="1424"/>
      <c r="DS31" s="1424"/>
      <c r="DT31" s="1424"/>
      <c r="DU31" s="1424"/>
      <c r="DV31" s="1424"/>
      <c r="DW31" s="1424"/>
      <c r="DX31" s="1424"/>
      <c r="DY31" s="1424"/>
      <c r="DZ31" s="1424"/>
      <c r="EA31" s="1424"/>
      <c r="EB31" s="1424"/>
      <c r="EC31" s="1424"/>
      <c r="ED31" s="1424"/>
      <c r="EE31" s="1424"/>
      <c r="EF31" s="1424"/>
      <c r="EG31" s="1424"/>
      <c r="EH31" s="1424"/>
      <c r="EI31" s="1424"/>
      <c r="EJ31" s="1424"/>
      <c r="EK31" s="1424"/>
      <c r="EL31" s="1424"/>
      <c r="EM31" s="1424"/>
      <c r="EN31" s="1424"/>
      <c r="EO31" s="1424"/>
      <c r="EP31" s="1424"/>
      <c r="EQ31" s="1424"/>
      <c r="ER31" s="1424"/>
      <c r="ES31" s="1424"/>
      <c r="ET31" s="1424"/>
      <c r="EU31" s="1424"/>
      <c r="EV31" s="1424"/>
      <c r="EW31" s="1424"/>
      <c r="EX31" s="1424"/>
      <c r="EY31" s="1424"/>
      <c r="EZ31" s="1424"/>
      <c r="FA31" s="1424"/>
      <c r="FB31" s="1424"/>
      <c r="FC31" s="1424"/>
      <c r="FD31" s="1424"/>
      <c r="FE31" s="1424"/>
      <c r="FF31" s="1424"/>
      <c r="FG31" s="1424"/>
      <c r="FH31" s="1424"/>
      <c r="FI31" s="1424"/>
      <c r="FJ31" s="1424"/>
      <c r="FK31" s="1424"/>
      <c r="FL31" s="1424"/>
      <c r="FM31" s="1424"/>
      <c r="FN31" s="1424"/>
      <c r="FO31" s="1424"/>
      <c r="FP31" s="1424"/>
      <c r="FQ31" s="1424"/>
      <c r="FR31" s="1424"/>
      <c r="FS31" s="1424"/>
      <c r="FT31" s="1424"/>
      <c r="FU31" s="1424"/>
      <c r="FV31" s="1424"/>
      <c r="FW31" s="1424"/>
      <c r="FX31" s="1424"/>
      <c r="FY31" s="1424"/>
      <c r="FZ31" s="1424"/>
      <c r="GA31" s="1424"/>
      <c r="GB31" s="1424"/>
      <c r="GC31" s="1424"/>
      <c r="GD31" s="1424"/>
      <c r="GE31" s="1424"/>
      <c r="GF31" s="1424"/>
    </row>
    <row r="32" spans="2:189" s="1" customFormat="1" ht="15.75">
      <c r="B32" s="1223">
        <v>42736</v>
      </c>
      <c r="C32" s="1423"/>
      <c r="D32" s="1423"/>
      <c r="E32" s="1423">
        <v>2127928.73</v>
      </c>
      <c r="F32" s="1423"/>
      <c r="G32" s="1423">
        <v>2127928.73</v>
      </c>
      <c r="H32" s="1423"/>
      <c r="I32" s="1423"/>
      <c r="J32" s="1423">
        <v>53024</v>
      </c>
      <c r="K32" s="1423">
        <v>53024</v>
      </c>
      <c r="L32" s="1423">
        <v>53024</v>
      </c>
      <c r="M32" s="1423"/>
      <c r="N32" s="1423">
        <v>0</v>
      </c>
      <c r="O32" s="1423"/>
      <c r="P32" s="1423"/>
      <c r="Q32" s="1423">
        <v>0</v>
      </c>
      <c r="R32" s="1423"/>
      <c r="S32" s="1423"/>
      <c r="T32" s="1423"/>
      <c r="U32" s="1423">
        <v>0</v>
      </c>
      <c r="V32" s="1423">
        <v>0</v>
      </c>
      <c r="W32" s="1423">
        <v>0</v>
      </c>
      <c r="X32" s="1423"/>
      <c r="Y32" s="1423"/>
      <c r="Z32" s="1423">
        <v>0</v>
      </c>
      <c r="AA32" s="1423"/>
      <c r="AB32" s="1423"/>
      <c r="AC32" s="1423">
        <v>0</v>
      </c>
      <c r="AD32" s="1423"/>
      <c r="AE32" s="1423"/>
      <c r="AF32" s="1423"/>
      <c r="AG32" s="1423">
        <v>0</v>
      </c>
      <c r="AH32" s="1423"/>
      <c r="AI32" s="1423"/>
      <c r="AJ32" s="1423"/>
      <c r="AK32" s="1423"/>
      <c r="AL32" s="1423">
        <v>0</v>
      </c>
      <c r="AM32" s="1423"/>
      <c r="AN32" s="1423"/>
      <c r="AO32" s="1423"/>
      <c r="AP32" s="1423"/>
      <c r="AQ32" s="1423">
        <v>1756.3599999999922</v>
      </c>
      <c r="AR32" s="1423">
        <v>1282.1399999999921</v>
      </c>
      <c r="AS32" s="1423">
        <v>474.22</v>
      </c>
      <c r="AT32" s="1423">
        <v>474.22</v>
      </c>
      <c r="AU32" s="1423"/>
      <c r="AV32" s="1423"/>
      <c r="AW32" s="1423"/>
      <c r="AX32" s="1423"/>
      <c r="AY32" s="1423">
        <v>191391.25</v>
      </c>
      <c r="AZ32" s="1423">
        <v>191391.25</v>
      </c>
      <c r="BA32" s="1423">
        <v>191391.25</v>
      </c>
      <c r="BB32" s="1423"/>
      <c r="BC32" s="1423"/>
      <c r="BD32" s="1423"/>
      <c r="BE32" s="1423">
        <v>0</v>
      </c>
      <c r="BF32" s="1423"/>
      <c r="BG32" s="1423"/>
      <c r="BH32" s="1423"/>
      <c r="BI32" s="1423"/>
      <c r="BJ32" s="1423"/>
      <c r="BK32" s="1423"/>
      <c r="BL32" s="1423">
        <v>0</v>
      </c>
      <c r="BM32" s="1423">
        <v>0</v>
      </c>
      <c r="BN32" s="1423"/>
      <c r="BO32" s="1423"/>
      <c r="BP32" s="1423"/>
      <c r="BQ32" s="1423"/>
      <c r="BR32" s="1423"/>
      <c r="BS32" s="1423"/>
      <c r="BT32" s="1423">
        <v>0</v>
      </c>
      <c r="BU32" s="1423">
        <v>0</v>
      </c>
      <c r="BV32" s="1423"/>
      <c r="BW32" s="1423"/>
      <c r="BX32" s="1423"/>
      <c r="BY32" s="1423"/>
      <c r="BZ32" s="1423">
        <v>0</v>
      </c>
      <c r="CA32" s="1423"/>
      <c r="CB32" s="1423"/>
      <c r="CC32" s="1423"/>
      <c r="CD32" s="1423"/>
      <c r="CE32" s="1423"/>
      <c r="CF32" s="1423"/>
      <c r="CG32" s="1423"/>
      <c r="CH32" s="1423"/>
      <c r="CI32" s="1423"/>
      <c r="CJ32" s="1423"/>
      <c r="CK32" s="1423"/>
      <c r="CL32" s="1423"/>
      <c r="CM32" s="1423"/>
      <c r="CN32" s="1423">
        <v>0</v>
      </c>
      <c r="CO32" s="1423">
        <v>0</v>
      </c>
      <c r="CP32" s="1423"/>
      <c r="CQ32" s="1423"/>
      <c r="CR32" s="1423"/>
      <c r="CS32" s="1423"/>
      <c r="CT32" s="1423"/>
      <c r="CU32" s="1423">
        <v>0</v>
      </c>
      <c r="CV32" s="1423"/>
      <c r="CW32" s="1423"/>
      <c r="CX32" s="1423"/>
      <c r="CY32" s="1423"/>
      <c r="CZ32" s="1423"/>
      <c r="DA32" s="1423"/>
      <c r="DB32" s="1423">
        <v>0</v>
      </c>
      <c r="DC32" s="1423"/>
      <c r="DD32" s="1423"/>
      <c r="DE32" s="1423"/>
      <c r="DF32" s="1423">
        <v>64534961.590096213</v>
      </c>
      <c r="DG32" s="1423">
        <v>0</v>
      </c>
      <c r="DH32" s="1423">
        <v>0</v>
      </c>
      <c r="DI32" s="1423"/>
      <c r="DJ32" s="1423"/>
      <c r="DK32" s="1423">
        <v>0</v>
      </c>
      <c r="DL32" s="1423"/>
      <c r="DM32" s="1423"/>
      <c r="DN32" s="1423">
        <v>0</v>
      </c>
      <c r="DO32" s="1423"/>
      <c r="DP32" s="1423"/>
      <c r="DQ32" s="1423">
        <v>64534961.590096213</v>
      </c>
      <c r="DR32" s="1423">
        <v>1994382.5108225583</v>
      </c>
      <c r="DS32" s="1423">
        <v>62540579.079273656</v>
      </c>
      <c r="DT32" s="1423"/>
      <c r="DU32" s="1423"/>
      <c r="DV32" s="1423">
        <v>0</v>
      </c>
      <c r="DW32" s="1423"/>
      <c r="DX32" s="1423"/>
      <c r="DY32" s="1423"/>
      <c r="DZ32" s="1423">
        <v>0</v>
      </c>
      <c r="EA32" s="1423">
        <v>0</v>
      </c>
      <c r="EB32" s="1423"/>
      <c r="EC32" s="1423"/>
      <c r="ED32" s="1423">
        <v>0</v>
      </c>
      <c r="EE32" s="1423"/>
      <c r="EF32" s="1423"/>
      <c r="EG32" s="1423">
        <v>0</v>
      </c>
      <c r="EH32" s="1423"/>
      <c r="EI32" s="1423"/>
      <c r="EJ32" s="1423"/>
      <c r="EK32" s="1423">
        <v>0</v>
      </c>
      <c r="EL32" s="1423"/>
      <c r="EM32" s="1423">
        <v>0</v>
      </c>
      <c r="EN32" s="1423"/>
      <c r="EO32" s="1423"/>
      <c r="EP32" s="1423"/>
      <c r="EQ32" s="1423">
        <v>0</v>
      </c>
      <c r="ER32" s="1423"/>
      <c r="ES32" s="1423"/>
      <c r="ET32" s="1423"/>
      <c r="EU32" s="1423">
        <v>0</v>
      </c>
      <c r="EV32" s="1423"/>
      <c r="EW32" s="1423"/>
      <c r="EX32" s="1423"/>
      <c r="EY32" s="1423"/>
      <c r="EZ32" s="1423">
        <v>0</v>
      </c>
      <c r="FA32" s="1423"/>
      <c r="FB32" s="1423">
        <v>0</v>
      </c>
      <c r="FC32" s="1423"/>
      <c r="FD32" s="1423"/>
      <c r="FE32" s="1423"/>
      <c r="FF32" s="1423">
        <v>0</v>
      </c>
      <c r="FG32" s="1423"/>
      <c r="FH32" s="1423"/>
      <c r="FI32" s="1423"/>
      <c r="FJ32" s="1423">
        <v>0</v>
      </c>
      <c r="FK32" s="1423"/>
      <c r="FL32" s="1423"/>
      <c r="FM32" s="1423"/>
      <c r="FN32" s="1423"/>
      <c r="FO32" s="1423">
        <v>0</v>
      </c>
      <c r="FP32" s="1423"/>
      <c r="FQ32" s="1423"/>
      <c r="FR32" s="1423"/>
      <c r="FS32" s="1423"/>
      <c r="FT32" s="1423"/>
      <c r="FU32" s="1423"/>
      <c r="FV32" s="1423"/>
      <c r="FW32" s="1423">
        <v>19048502.119999971</v>
      </c>
      <c r="FX32" s="1423">
        <v>15896693.280000001</v>
      </c>
      <c r="FY32" s="1423">
        <v>3120716.7899999702</v>
      </c>
      <c r="FZ32" s="1423">
        <v>31092.049999999464</v>
      </c>
      <c r="GA32" s="1423"/>
      <c r="GB32" s="1423">
        <v>9881986.2414500006</v>
      </c>
      <c r="GC32" s="1423"/>
      <c r="GD32" s="1423"/>
      <c r="GE32" s="1423"/>
      <c r="GF32" s="1423">
        <v>95839550.291546181</v>
      </c>
      <c r="GG32" s="1210"/>
    </row>
    <row r="33" spans="2:189" s="1" customFormat="1" ht="15.75">
      <c r="B33" s="1223">
        <v>42767</v>
      </c>
      <c r="C33" s="1423"/>
      <c r="D33" s="1423"/>
      <c r="E33" s="1423">
        <v>2041234</v>
      </c>
      <c r="F33" s="1423"/>
      <c r="G33" s="1423">
        <v>2041234</v>
      </c>
      <c r="H33" s="1423"/>
      <c r="I33" s="1423"/>
      <c r="J33" s="1423">
        <v>53024</v>
      </c>
      <c r="K33" s="1423">
        <v>53024</v>
      </c>
      <c r="L33" s="1423">
        <v>53024</v>
      </c>
      <c r="M33" s="1423"/>
      <c r="N33" s="1423">
        <v>0</v>
      </c>
      <c r="O33" s="1423"/>
      <c r="P33" s="1423"/>
      <c r="Q33" s="1423">
        <v>0</v>
      </c>
      <c r="R33" s="1423"/>
      <c r="S33" s="1423"/>
      <c r="T33" s="1423"/>
      <c r="U33" s="1423">
        <v>0</v>
      </c>
      <c r="V33" s="1423">
        <v>0</v>
      </c>
      <c r="W33" s="1423">
        <v>0</v>
      </c>
      <c r="X33" s="1423"/>
      <c r="Y33" s="1423"/>
      <c r="Z33" s="1423">
        <v>0</v>
      </c>
      <c r="AA33" s="1423"/>
      <c r="AB33" s="1423"/>
      <c r="AC33" s="1423">
        <v>0</v>
      </c>
      <c r="AD33" s="1423"/>
      <c r="AE33" s="1423"/>
      <c r="AF33" s="1423"/>
      <c r="AG33" s="1423">
        <v>0</v>
      </c>
      <c r="AH33" s="1423"/>
      <c r="AI33" s="1423"/>
      <c r="AJ33" s="1423"/>
      <c r="AK33" s="1423"/>
      <c r="AL33" s="1423">
        <v>0</v>
      </c>
      <c r="AM33" s="1423"/>
      <c r="AN33" s="1423"/>
      <c r="AO33" s="1423"/>
      <c r="AP33" s="1423"/>
      <c r="AQ33" s="1423">
        <v>1756.3599999999922</v>
      </c>
      <c r="AR33" s="1423">
        <v>1282.1399999999921</v>
      </c>
      <c r="AS33" s="1423">
        <v>474.22</v>
      </c>
      <c r="AT33" s="1423">
        <v>474.22</v>
      </c>
      <c r="AU33" s="1423"/>
      <c r="AV33" s="1423"/>
      <c r="AW33" s="1423"/>
      <c r="AX33" s="1423"/>
      <c r="AY33" s="1423">
        <v>191391.25</v>
      </c>
      <c r="AZ33" s="1423">
        <v>191391.25</v>
      </c>
      <c r="BA33" s="1423">
        <v>191391.25</v>
      </c>
      <c r="BB33" s="1423"/>
      <c r="BC33" s="1423"/>
      <c r="BD33" s="1423"/>
      <c r="BE33" s="1423">
        <v>0</v>
      </c>
      <c r="BF33" s="1423"/>
      <c r="BG33" s="1423"/>
      <c r="BH33" s="1423"/>
      <c r="BI33" s="1423"/>
      <c r="BJ33" s="1423"/>
      <c r="BK33" s="1423"/>
      <c r="BL33" s="1423">
        <v>0</v>
      </c>
      <c r="BM33" s="1423">
        <v>0</v>
      </c>
      <c r="BN33" s="1423"/>
      <c r="BO33" s="1423"/>
      <c r="BP33" s="1423"/>
      <c r="BQ33" s="1423"/>
      <c r="BR33" s="1423"/>
      <c r="BS33" s="1423"/>
      <c r="BT33" s="1423">
        <v>0</v>
      </c>
      <c r="BU33" s="1423">
        <v>0</v>
      </c>
      <c r="BV33" s="1423"/>
      <c r="BW33" s="1423"/>
      <c r="BX33" s="1423"/>
      <c r="BY33" s="1423"/>
      <c r="BZ33" s="1423">
        <v>0</v>
      </c>
      <c r="CA33" s="1423"/>
      <c r="CB33" s="1423"/>
      <c r="CC33" s="1423"/>
      <c r="CD33" s="1423"/>
      <c r="CE33" s="1423"/>
      <c r="CF33" s="1423"/>
      <c r="CG33" s="1423"/>
      <c r="CH33" s="1423"/>
      <c r="CI33" s="1423"/>
      <c r="CJ33" s="1423"/>
      <c r="CK33" s="1423"/>
      <c r="CL33" s="1423"/>
      <c r="CM33" s="1423"/>
      <c r="CN33" s="1423">
        <v>0</v>
      </c>
      <c r="CO33" s="1423">
        <v>0</v>
      </c>
      <c r="CP33" s="1423"/>
      <c r="CQ33" s="1423"/>
      <c r="CR33" s="1423"/>
      <c r="CS33" s="1423"/>
      <c r="CT33" s="1423"/>
      <c r="CU33" s="1423">
        <v>0</v>
      </c>
      <c r="CV33" s="1423"/>
      <c r="CW33" s="1423"/>
      <c r="CX33" s="1423"/>
      <c r="CY33" s="1423"/>
      <c r="CZ33" s="1423"/>
      <c r="DA33" s="1423"/>
      <c r="DB33" s="1423">
        <v>0</v>
      </c>
      <c r="DC33" s="1423"/>
      <c r="DD33" s="1423"/>
      <c r="DE33" s="1423"/>
      <c r="DF33" s="1423">
        <v>64534961.590096213</v>
      </c>
      <c r="DG33" s="1423">
        <v>0</v>
      </c>
      <c r="DH33" s="1423">
        <v>0</v>
      </c>
      <c r="DI33" s="1423"/>
      <c r="DJ33" s="1423"/>
      <c r="DK33" s="1423">
        <v>0</v>
      </c>
      <c r="DL33" s="1423"/>
      <c r="DM33" s="1423"/>
      <c r="DN33" s="1423">
        <v>0</v>
      </c>
      <c r="DO33" s="1423"/>
      <c r="DP33" s="1423"/>
      <c r="DQ33" s="1423">
        <v>64534961.590096213</v>
      </c>
      <c r="DR33" s="1423">
        <v>1994382.5108225583</v>
      </c>
      <c r="DS33" s="1423">
        <v>62540579.079273656</v>
      </c>
      <c r="DT33" s="1423"/>
      <c r="DU33" s="1423"/>
      <c r="DV33" s="1423">
        <v>0</v>
      </c>
      <c r="DW33" s="1423"/>
      <c r="DX33" s="1423"/>
      <c r="DY33" s="1423"/>
      <c r="DZ33" s="1423">
        <v>0</v>
      </c>
      <c r="EA33" s="1423">
        <v>0</v>
      </c>
      <c r="EB33" s="1423"/>
      <c r="EC33" s="1423"/>
      <c r="ED33" s="1423">
        <v>0</v>
      </c>
      <c r="EE33" s="1423"/>
      <c r="EF33" s="1423"/>
      <c r="EG33" s="1423">
        <v>0</v>
      </c>
      <c r="EH33" s="1423"/>
      <c r="EI33" s="1423"/>
      <c r="EJ33" s="1423"/>
      <c r="EK33" s="1423">
        <v>0</v>
      </c>
      <c r="EL33" s="1423"/>
      <c r="EM33" s="1423">
        <v>0</v>
      </c>
      <c r="EN33" s="1423"/>
      <c r="EO33" s="1423"/>
      <c r="EP33" s="1423"/>
      <c r="EQ33" s="1423">
        <v>0</v>
      </c>
      <c r="ER33" s="1423"/>
      <c r="ES33" s="1423"/>
      <c r="ET33" s="1423"/>
      <c r="EU33" s="1423">
        <v>0</v>
      </c>
      <c r="EV33" s="1423"/>
      <c r="EW33" s="1423"/>
      <c r="EX33" s="1423"/>
      <c r="EY33" s="1423"/>
      <c r="EZ33" s="1423">
        <v>0</v>
      </c>
      <c r="FA33" s="1423"/>
      <c r="FB33" s="1423">
        <v>0</v>
      </c>
      <c r="FC33" s="1423"/>
      <c r="FD33" s="1423"/>
      <c r="FE33" s="1423"/>
      <c r="FF33" s="1423">
        <v>0</v>
      </c>
      <c r="FG33" s="1423"/>
      <c r="FH33" s="1423"/>
      <c r="FI33" s="1423"/>
      <c r="FJ33" s="1423">
        <v>0</v>
      </c>
      <c r="FK33" s="1423"/>
      <c r="FL33" s="1423"/>
      <c r="FM33" s="1423"/>
      <c r="FN33" s="1423"/>
      <c r="FO33" s="1423">
        <v>0</v>
      </c>
      <c r="FP33" s="1423"/>
      <c r="FQ33" s="1423"/>
      <c r="FR33" s="1423"/>
      <c r="FS33" s="1423"/>
      <c r="FT33" s="1423"/>
      <c r="FU33" s="1423"/>
      <c r="FV33" s="1423"/>
      <c r="FW33" s="1423">
        <v>19048502.119999971</v>
      </c>
      <c r="FX33" s="1423">
        <v>15896693.280000001</v>
      </c>
      <c r="FY33" s="1423">
        <v>3120716.7899999702</v>
      </c>
      <c r="FZ33" s="1423">
        <v>31092.049999999464</v>
      </c>
      <c r="GA33" s="1423"/>
      <c r="GB33" s="1423">
        <v>9881986.2414500006</v>
      </c>
      <c r="GC33" s="1423"/>
      <c r="GD33" s="1423"/>
      <c r="GE33" s="1423"/>
      <c r="GF33" s="1423">
        <v>95752855.561546177</v>
      </c>
      <c r="GG33" s="1210"/>
    </row>
    <row r="34" spans="2:189" s="1" customFormat="1" ht="15.75">
      <c r="B34" s="1223">
        <v>42795</v>
      </c>
      <c r="C34" s="1423"/>
      <c r="D34" s="1423"/>
      <c r="E34" s="1423">
        <v>1939929.73</v>
      </c>
      <c r="F34" s="1423"/>
      <c r="G34" s="1423">
        <v>1939929.73</v>
      </c>
      <c r="H34" s="1423"/>
      <c r="I34" s="1423"/>
      <c r="J34" s="1423">
        <v>53024</v>
      </c>
      <c r="K34" s="1423">
        <v>53024</v>
      </c>
      <c r="L34" s="1423">
        <v>53024</v>
      </c>
      <c r="M34" s="1423"/>
      <c r="N34" s="1423">
        <v>0</v>
      </c>
      <c r="O34" s="1423"/>
      <c r="P34" s="1423"/>
      <c r="Q34" s="1423">
        <v>0</v>
      </c>
      <c r="R34" s="1423"/>
      <c r="S34" s="1423"/>
      <c r="T34" s="1423"/>
      <c r="U34" s="1423">
        <v>0</v>
      </c>
      <c r="V34" s="1423">
        <v>0</v>
      </c>
      <c r="W34" s="1423">
        <v>0</v>
      </c>
      <c r="X34" s="1423"/>
      <c r="Y34" s="1423"/>
      <c r="Z34" s="1423">
        <v>0</v>
      </c>
      <c r="AA34" s="1423"/>
      <c r="AB34" s="1423"/>
      <c r="AC34" s="1423">
        <v>0</v>
      </c>
      <c r="AD34" s="1423"/>
      <c r="AE34" s="1423"/>
      <c r="AF34" s="1423"/>
      <c r="AG34" s="1423">
        <v>0</v>
      </c>
      <c r="AH34" s="1423"/>
      <c r="AI34" s="1423"/>
      <c r="AJ34" s="1423"/>
      <c r="AK34" s="1423"/>
      <c r="AL34" s="1423">
        <v>0</v>
      </c>
      <c r="AM34" s="1423"/>
      <c r="AN34" s="1423"/>
      <c r="AO34" s="1423"/>
      <c r="AP34" s="1423"/>
      <c r="AQ34" s="1423">
        <v>1756.3599999999922</v>
      </c>
      <c r="AR34" s="1423">
        <v>1282.1399999999921</v>
      </c>
      <c r="AS34" s="1423">
        <v>474.22</v>
      </c>
      <c r="AT34" s="1423">
        <v>474.22</v>
      </c>
      <c r="AU34" s="1423"/>
      <c r="AV34" s="1423"/>
      <c r="AW34" s="1423"/>
      <c r="AX34" s="1423"/>
      <c r="AY34" s="1423">
        <v>191391.25</v>
      </c>
      <c r="AZ34" s="1423">
        <v>191391.25</v>
      </c>
      <c r="BA34" s="1423">
        <v>191391.25</v>
      </c>
      <c r="BB34" s="1423"/>
      <c r="BC34" s="1423"/>
      <c r="BD34" s="1423"/>
      <c r="BE34" s="1423">
        <v>0</v>
      </c>
      <c r="BF34" s="1423"/>
      <c r="BG34" s="1423"/>
      <c r="BH34" s="1423"/>
      <c r="BI34" s="1423"/>
      <c r="BJ34" s="1423"/>
      <c r="BK34" s="1423"/>
      <c r="BL34" s="1423">
        <v>0</v>
      </c>
      <c r="BM34" s="1423">
        <v>0</v>
      </c>
      <c r="BN34" s="1423"/>
      <c r="BO34" s="1423"/>
      <c r="BP34" s="1423"/>
      <c r="BQ34" s="1423"/>
      <c r="BR34" s="1423"/>
      <c r="BS34" s="1423"/>
      <c r="BT34" s="1423">
        <v>0</v>
      </c>
      <c r="BU34" s="1423">
        <v>0</v>
      </c>
      <c r="BV34" s="1423"/>
      <c r="BW34" s="1423"/>
      <c r="BX34" s="1423"/>
      <c r="BY34" s="1423"/>
      <c r="BZ34" s="1423">
        <v>0</v>
      </c>
      <c r="CA34" s="1423"/>
      <c r="CB34" s="1423"/>
      <c r="CC34" s="1423"/>
      <c r="CD34" s="1423"/>
      <c r="CE34" s="1423"/>
      <c r="CF34" s="1423"/>
      <c r="CG34" s="1423"/>
      <c r="CH34" s="1423"/>
      <c r="CI34" s="1423"/>
      <c r="CJ34" s="1423"/>
      <c r="CK34" s="1423"/>
      <c r="CL34" s="1423"/>
      <c r="CM34" s="1423"/>
      <c r="CN34" s="1423">
        <v>0</v>
      </c>
      <c r="CO34" s="1423">
        <v>0</v>
      </c>
      <c r="CP34" s="1423"/>
      <c r="CQ34" s="1423"/>
      <c r="CR34" s="1423"/>
      <c r="CS34" s="1423"/>
      <c r="CT34" s="1423"/>
      <c r="CU34" s="1423">
        <v>0</v>
      </c>
      <c r="CV34" s="1423"/>
      <c r="CW34" s="1423"/>
      <c r="CX34" s="1423"/>
      <c r="CY34" s="1423"/>
      <c r="CZ34" s="1423"/>
      <c r="DA34" s="1423"/>
      <c r="DB34" s="1423">
        <v>0</v>
      </c>
      <c r="DC34" s="1423"/>
      <c r="DD34" s="1423"/>
      <c r="DE34" s="1423"/>
      <c r="DF34" s="1423">
        <v>64534961.590096213</v>
      </c>
      <c r="DG34" s="1423">
        <v>0</v>
      </c>
      <c r="DH34" s="1423">
        <v>0</v>
      </c>
      <c r="DI34" s="1423"/>
      <c r="DJ34" s="1423"/>
      <c r="DK34" s="1423">
        <v>0</v>
      </c>
      <c r="DL34" s="1423"/>
      <c r="DM34" s="1423"/>
      <c r="DN34" s="1423">
        <v>0</v>
      </c>
      <c r="DO34" s="1423"/>
      <c r="DP34" s="1423"/>
      <c r="DQ34" s="1423">
        <v>64534961.590096213</v>
      </c>
      <c r="DR34" s="1423">
        <v>1994382.5108225583</v>
      </c>
      <c r="DS34" s="1423">
        <v>62540579.079273656</v>
      </c>
      <c r="DT34" s="1423"/>
      <c r="DU34" s="1423"/>
      <c r="DV34" s="1423">
        <v>0</v>
      </c>
      <c r="DW34" s="1423"/>
      <c r="DX34" s="1423"/>
      <c r="DY34" s="1423"/>
      <c r="DZ34" s="1423">
        <v>0</v>
      </c>
      <c r="EA34" s="1423">
        <v>0</v>
      </c>
      <c r="EB34" s="1423"/>
      <c r="EC34" s="1423"/>
      <c r="ED34" s="1423">
        <v>0</v>
      </c>
      <c r="EE34" s="1423"/>
      <c r="EF34" s="1423"/>
      <c r="EG34" s="1423">
        <v>0</v>
      </c>
      <c r="EH34" s="1423"/>
      <c r="EI34" s="1423"/>
      <c r="EJ34" s="1423"/>
      <c r="EK34" s="1423">
        <v>0</v>
      </c>
      <c r="EL34" s="1423"/>
      <c r="EM34" s="1423">
        <v>0</v>
      </c>
      <c r="EN34" s="1423"/>
      <c r="EO34" s="1423"/>
      <c r="EP34" s="1423"/>
      <c r="EQ34" s="1423">
        <v>0</v>
      </c>
      <c r="ER34" s="1423"/>
      <c r="ES34" s="1423"/>
      <c r="ET34" s="1423"/>
      <c r="EU34" s="1423">
        <v>0</v>
      </c>
      <c r="EV34" s="1423"/>
      <c r="EW34" s="1423"/>
      <c r="EX34" s="1423"/>
      <c r="EY34" s="1423"/>
      <c r="EZ34" s="1423">
        <v>0</v>
      </c>
      <c r="FA34" s="1423"/>
      <c r="FB34" s="1423">
        <v>0</v>
      </c>
      <c r="FC34" s="1423"/>
      <c r="FD34" s="1423"/>
      <c r="FE34" s="1423"/>
      <c r="FF34" s="1423">
        <v>0</v>
      </c>
      <c r="FG34" s="1423"/>
      <c r="FH34" s="1423"/>
      <c r="FI34" s="1423"/>
      <c r="FJ34" s="1423">
        <v>0</v>
      </c>
      <c r="FK34" s="1423"/>
      <c r="FL34" s="1423"/>
      <c r="FM34" s="1423"/>
      <c r="FN34" s="1423"/>
      <c r="FO34" s="1423">
        <v>0</v>
      </c>
      <c r="FP34" s="1423"/>
      <c r="FQ34" s="1423"/>
      <c r="FR34" s="1423"/>
      <c r="FS34" s="1423"/>
      <c r="FT34" s="1423"/>
      <c r="FU34" s="1423"/>
      <c r="FV34" s="1423"/>
      <c r="FW34" s="1423">
        <v>19048502.119999971</v>
      </c>
      <c r="FX34" s="1423">
        <v>15896693.280000001</v>
      </c>
      <c r="FY34" s="1423">
        <v>3120716.7899999702</v>
      </c>
      <c r="FZ34" s="1423">
        <v>31092.049999999464</v>
      </c>
      <c r="GA34" s="1423"/>
      <c r="GB34" s="1423">
        <v>9997696.2414500006</v>
      </c>
      <c r="GC34" s="1423"/>
      <c r="GD34" s="1423"/>
      <c r="GE34" s="1423"/>
      <c r="GF34" s="1423">
        <v>95767261.291546181</v>
      </c>
      <c r="GG34" s="1210"/>
    </row>
    <row r="35" spans="2:189" s="1" customFormat="1" ht="15.75">
      <c r="B35" s="1223">
        <v>42826</v>
      </c>
      <c r="C35" s="1423"/>
      <c r="D35" s="1423"/>
      <c r="E35" s="1423">
        <v>1853235</v>
      </c>
      <c r="F35" s="1423"/>
      <c r="G35" s="1423">
        <v>1853235</v>
      </c>
      <c r="H35" s="1423"/>
      <c r="I35" s="1423"/>
      <c r="J35" s="1423">
        <v>53024</v>
      </c>
      <c r="K35" s="1423">
        <v>53024</v>
      </c>
      <c r="L35" s="1423">
        <v>53024</v>
      </c>
      <c r="M35" s="1423"/>
      <c r="N35" s="1423">
        <v>0</v>
      </c>
      <c r="O35" s="1423"/>
      <c r="P35" s="1423"/>
      <c r="Q35" s="1423">
        <v>0</v>
      </c>
      <c r="R35" s="1423"/>
      <c r="S35" s="1423"/>
      <c r="T35" s="1423"/>
      <c r="U35" s="1423">
        <v>0</v>
      </c>
      <c r="V35" s="1423">
        <v>0</v>
      </c>
      <c r="W35" s="1423">
        <v>0</v>
      </c>
      <c r="X35" s="1423"/>
      <c r="Y35" s="1423"/>
      <c r="Z35" s="1423">
        <v>0</v>
      </c>
      <c r="AA35" s="1423"/>
      <c r="AB35" s="1423"/>
      <c r="AC35" s="1423">
        <v>0</v>
      </c>
      <c r="AD35" s="1423"/>
      <c r="AE35" s="1423"/>
      <c r="AF35" s="1423"/>
      <c r="AG35" s="1423">
        <v>0</v>
      </c>
      <c r="AH35" s="1423"/>
      <c r="AI35" s="1423"/>
      <c r="AJ35" s="1423"/>
      <c r="AK35" s="1423"/>
      <c r="AL35" s="1423">
        <v>0</v>
      </c>
      <c r="AM35" s="1423"/>
      <c r="AN35" s="1423"/>
      <c r="AO35" s="1423"/>
      <c r="AP35" s="1423"/>
      <c r="AQ35" s="1423">
        <v>1756.3599999999922</v>
      </c>
      <c r="AR35" s="1423">
        <v>1282.1399999999921</v>
      </c>
      <c r="AS35" s="1423">
        <v>474.22</v>
      </c>
      <c r="AT35" s="1423">
        <v>474.22</v>
      </c>
      <c r="AU35" s="1423"/>
      <c r="AV35" s="1423"/>
      <c r="AW35" s="1423"/>
      <c r="AX35" s="1423"/>
      <c r="AY35" s="1423">
        <v>191391.25</v>
      </c>
      <c r="AZ35" s="1423">
        <v>191391.25</v>
      </c>
      <c r="BA35" s="1423">
        <v>191391.25</v>
      </c>
      <c r="BB35" s="1423"/>
      <c r="BC35" s="1423"/>
      <c r="BD35" s="1423"/>
      <c r="BE35" s="1423">
        <v>0</v>
      </c>
      <c r="BF35" s="1423"/>
      <c r="BG35" s="1423"/>
      <c r="BH35" s="1423"/>
      <c r="BI35" s="1423"/>
      <c r="BJ35" s="1423"/>
      <c r="BK35" s="1423"/>
      <c r="BL35" s="1423">
        <v>0</v>
      </c>
      <c r="BM35" s="1423">
        <v>0</v>
      </c>
      <c r="BN35" s="1423"/>
      <c r="BO35" s="1423"/>
      <c r="BP35" s="1423"/>
      <c r="BQ35" s="1423"/>
      <c r="BR35" s="1423"/>
      <c r="BS35" s="1423"/>
      <c r="BT35" s="1423">
        <v>0</v>
      </c>
      <c r="BU35" s="1423">
        <v>0</v>
      </c>
      <c r="BV35" s="1423"/>
      <c r="BW35" s="1423"/>
      <c r="BX35" s="1423"/>
      <c r="BY35" s="1423"/>
      <c r="BZ35" s="1423">
        <v>0</v>
      </c>
      <c r="CA35" s="1423"/>
      <c r="CB35" s="1423"/>
      <c r="CC35" s="1423"/>
      <c r="CD35" s="1423"/>
      <c r="CE35" s="1423"/>
      <c r="CF35" s="1423"/>
      <c r="CG35" s="1423"/>
      <c r="CH35" s="1423"/>
      <c r="CI35" s="1423"/>
      <c r="CJ35" s="1423"/>
      <c r="CK35" s="1423"/>
      <c r="CL35" s="1423"/>
      <c r="CM35" s="1423"/>
      <c r="CN35" s="1423">
        <v>0</v>
      </c>
      <c r="CO35" s="1423">
        <v>0</v>
      </c>
      <c r="CP35" s="1423"/>
      <c r="CQ35" s="1423"/>
      <c r="CR35" s="1423"/>
      <c r="CS35" s="1423"/>
      <c r="CT35" s="1423"/>
      <c r="CU35" s="1423">
        <v>0</v>
      </c>
      <c r="CV35" s="1423"/>
      <c r="CW35" s="1423"/>
      <c r="CX35" s="1423"/>
      <c r="CY35" s="1423"/>
      <c r="CZ35" s="1423"/>
      <c r="DA35" s="1423"/>
      <c r="DB35" s="1423">
        <v>0</v>
      </c>
      <c r="DC35" s="1423"/>
      <c r="DD35" s="1423"/>
      <c r="DE35" s="1423"/>
      <c r="DF35" s="1423">
        <v>64534961.590096213</v>
      </c>
      <c r="DG35" s="1423">
        <v>0</v>
      </c>
      <c r="DH35" s="1423">
        <v>0</v>
      </c>
      <c r="DI35" s="1423"/>
      <c r="DJ35" s="1423"/>
      <c r="DK35" s="1423">
        <v>0</v>
      </c>
      <c r="DL35" s="1423"/>
      <c r="DM35" s="1423"/>
      <c r="DN35" s="1423">
        <v>0</v>
      </c>
      <c r="DO35" s="1423"/>
      <c r="DP35" s="1423"/>
      <c r="DQ35" s="1423">
        <v>64534961.590096213</v>
      </c>
      <c r="DR35" s="1423">
        <v>1994382.5108225583</v>
      </c>
      <c r="DS35" s="1423">
        <v>62540579.079273656</v>
      </c>
      <c r="DT35" s="1423"/>
      <c r="DU35" s="1423"/>
      <c r="DV35" s="1423">
        <v>0</v>
      </c>
      <c r="DW35" s="1423"/>
      <c r="DX35" s="1423"/>
      <c r="DY35" s="1423"/>
      <c r="DZ35" s="1423">
        <v>0</v>
      </c>
      <c r="EA35" s="1423">
        <v>0</v>
      </c>
      <c r="EB35" s="1423"/>
      <c r="EC35" s="1423"/>
      <c r="ED35" s="1423">
        <v>0</v>
      </c>
      <c r="EE35" s="1423"/>
      <c r="EF35" s="1423"/>
      <c r="EG35" s="1423">
        <v>0</v>
      </c>
      <c r="EH35" s="1423"/>
      <c r="EI35" s="1423"/>
      <c r="EJ35" s="1423"/>
      <c r="EK35" s="1423">
        <v>0</v>
      </c>
      <c r="EL35" s="1423"/>
      <c r="EM35" s="1423">
        <v>0</v>
      </c>
      <c r="EN35" s="1423"/>
      <c r="EO35" s="1423"/>
      <c r="EP35" s="1423"/>
      <c r="EQ35" s="1423">
        <v>0</v>
      </c>
      <c r="ER35" s="1423"/>
      <c r="ES35" s="1423"/>
      <c r="ET35" s="1423"/>
      <c r="EU35" s="1423">
        <v>0</v>
      </c>
      <c r="EV35" s="1423"/>
      <c r="EW35" s="1423"/>
      <c r="EX35" s="1423"/>
      <c r="EY35" s="1423"/>
      <c r="EZ35" s="1423">
        <v>0</v>
      </c>
      <c r="FA35" s="1423"/>
      <c r="FB35" s="1423">
        <v>0</v>
      </c>
      <c r="FC35" s="1423"/>
      <c r="FD35" s="1423"/>
      <c r="FE35" s="1423"/>
      <c r="FF35" s="1423">
        <v>0</v>
      </c>
      <c r="FG35" s="1423"/>
      <c r="FH35" s="1423"/>
      <c r="FI35" s="1423"/>
      <c r="FJ35" s="1423">
        <v>0</v>
      </c>
      <c r="FK35" s="1423"/>
      <c r="FL35" s="1423"/>
      <c r="FM35" s="1423"/>
      <c r="FN35" s="1423"/>
      <c r="FO35" s="1423">
        <v>0</v>
      </c>
      <c r="FP35" s="1423"/>
      <c r="FQ35" s="1423"/>
      <c r="FR35" s="1423"/>
      <c r="FS35" s="1423"/>
      <c r="FT35" s="1423"/>
      <c r="FU35" s="1423"/>
      <c r="FV35" s="1423"/>
      <c r="FW35" s="1423">
        <v>19048502.119999971</v>
      </c>
      <c r="FX35" s="1423">
        <v>15896693.280000001</v>
      </c>
      <c r="FY35" s="1423">
        <v>3120716.7899999702</v>
      </c>
      <c r="FZ35" s="1423">
        <v>31092.049999999464</v>
      </c>
      <c r="GA35" s="1423"/>
      <c r="GB35" s="1423">
        <v>10171086</v>
      </c>
      <c r="GC35" s="1423"/>
      <c r="GD35" s="1423"/>
      <c r="GE35" s="1423"/>
      <c r="GF35" s="1423">
        <v>95853956.32009618</v>
      </c>
      <c r="GG35" s="1210"/>
    </row>
    <row r="36" spans="2:189" s="1" customFormat="1" ht="15.75">
      <c r="B36" s="1223">
        <v>42856</v>
      </c>
      <c r="C36" s="1423"/>
      <c r="D36" s="1423"/>
      <c r="E36" s="1423">
        <v>735188.73</v>
      </c>
      <c r="F36" s="1423"/>
      <c r="G36" s="1423">
        <v>735188.73</v>
      </c>
      <c r="H36" s="1423"/>
      <c r="I36" s="1423"/>
      <c r="J36" s="1423">
        <v>53024</v>
      </c>
      <c r="K36" s="1423">
        <v>53024</v>
      </c>
      <c r="L36" s="1423">
        <v>53024</v>
      </c>
      <c r="M36" s="1423"/>
      <c r="N36" s="1423">
        <v>0</v>
      </c>
      <c r="O36" s="1423"/>
      <c r="P36" s="1423"/>
      <c r="Q36" s="1423">
        <v>0</v>
      </c>
      <c r="R36" s="1423"/>
      <c r="S36" s="1423"/>
      <c r="T36" s="1423"/>
      <c r="U36" s="1423">
        <v>0</v>
      </c>
      <c r="V36" s="1423">
        <v>0</v>
      </c>
      <c r="W36" s="1423">
        <v>0</v>
      </c>
      <c r="X36" s="1423"/>
      <c r="Y36" s="1423"/>
      <c r="Z36" s="1423">
        <v>0</v>
      </c>
      <c r="AA36" s="1423"/>
      <c r="AB36" s="1423"/>
      <c r="AC36" s="1423">
        <v>0</v>
      </c>
      <c r="AD36" s="1423"/>
      <c r="AE36" s="1423"/>
      <c r="AF36" s="1423"/>
      <c r="AG36" s="1423">
        <v>0</v>
      </c>
      <c r="AH36" s="1423"/>
      <c r="AI36" s="1423"/>
      <c r="AJ36" s="1423"/>
      <c r="AK36" s="1423"/>
      <c r="AL36" s="1423">
        <v>0</v>
      </c>
      <c r="AM36" s="1423"/>
      <c r="AN36" s="1423"/>
      <c r="AO36" s="1423"/>
      <c r="AP36" s="1423"/>
      <c r="AQ36" s="1423">
        <v>1756.3599999999922</v>
      </c>
      <c r="AR36" s="1423">
        <v>1282.1399999999921</v>
      </c>
      <c r="AS36" s="1423">
        <v>474.22</v>
      </c>
      <c r="AT36" s="1423">
        <v>474.22</v>
      </c>
      <c r="AU36" s="1423"/>
      <c r="AV36" s="1423"/>
      <c r="AW36" s="1423"/>
      <c r="AX36" s="1423"/>
      <c r="AY36" s="1423">
        <v>6579757.9700000007</v>
      </c>
      <c r="AZ36" s="1423">
        <v>191391.25</v>
      </c>
      <c r="BA36" s="1423">
        <v>191391.25</v>
      </c>
      <c r="BB36" s="1423"/>
      <c r="BC36" s="1423"/>
      <c r="BD36" s="1423">
        <v>6388366.7200000007</v>
      </c>
      <c r="BE36" s="1423">
        <v>0</v>
      </c>
      <c r="BF36" s="1423"/>
      <c r="BG36" s="1423"/>
      <c r="BH36" s="1423"/>
      <c r="BI36" s="1423"/>
      <c r="BJ36" s="1423"/>
      <c r="BK36" s="1423"/>
      <c r="BL36" s="1423">
        <v>0</v>
      </c>
      <c r="BM36" s="1423">
        <v>0</v>
      </c>
      <c r="BN36" s="1423"/>
      <c r="BO36" s="1423"/>
      <c r="BP36" s="1423"/>
      <c r="BQ36" s="1423"/>
      <c r="BR36" s="1423"/>
      <c r="BS36" s="1423"/>
      <c r="BT36" s="1423">
        <v>0</v>
      </c>
      <c r="BU36" s="1423">
        <v>0</v>
      </c>
      <c r="BV36" s="1423"/>
      <c r="BW36" s="1423"/>
      <c r="BX36" s="1423"/>
      <c r="BY36" s="1423"/>
      <c r="BZ36" s="1423">
        <v>0</v>
      </c>
      <c r="CA36" s="1423"/>
      <c r="CB36" s="1423"/>
      <c r="CC36" s="1423"/>
      <c r="CD36" s="1423"/>
      <c r="CE36" s="1423"/>
      <c r="CF36" s="1423"/>
      <c r="CG36" s="1423"/>
      <c r="CH36" s="1423"/>
      <c r="CI36" s="1423"/>
      <c r="CJ36" s="1423"/>
      <c r="CK36" s="1423"/>
      <c r="CL36" s="1423"/>
      <c r="CM36" s="1423"/>
      <c r="CN36" s="1423">
        <v>0</v>
      </c>
      <c r="CO36" s="1423">
        <v>0</v>
      </c>
      <c r="CP36" s="1423"/>
      <c r="CQ36" s="1423"/>
      <c r="CR36" s="1423"/>
      <c r="CS36" s="1423"/>
      <c r="CT36" s="1423"/>
      <c r="CU36" s="1423">
        <v>0</v>
      </c>
      <c r="CV36" s="1423"/>
      <c r="CW36" s="1423"/>
      <c r="CX36" s="1423"/>
      <c r="CY36" s="1423"/>
      <c r="CZ36" s="1423"/>
      <c r="DA36" s="1423"/>
      <c r="DB36" s="1423">
        <v>0</v>
      </c>
      <c r="DC36" s="1423"/>
      <c r="DD36" s="1423"/>
      <c r="DE36" s="1423"/>
      <c r="DF36" s="1423">
        <v>60146594.870096207</v>
      </c>
      <c r="DG36" s="1423">
        <v>0</v>
      </c>
      <c r="DH36" s="1423">
        <v>0</v>
      </c>
      <c r="DI36" s="1423"/>
      <c r="DJ36" s="1423"/>
      <c r="DK36" s="1423">
        <v>0</v>
      </c>
      <c r="DL36" s="1423"/>
      <c r="DM36" s="1423"/>
      <c r="DN36" s="1423">
        <v>0</v>
      </c>
      <c r="DO36" s="1423"/>
      <c r="DP36" s="1423"/>
      <c r="DQ36" s="1423">
        <v>60146594.870096207</v>
      </c>
      <c r="DR36" s="1423">
        <v>1859165.8416698033</v>
      </c>
      <c r="DS36" s="1423">
        <v>58287429.028426401</v>
      </c>
      <c r="DT36" s="1423"/>
      <c r="DU36" s="1423"/>
      <c r="DV36" s="1423">
        <v>0</v>
      </c>
      <c r="DW36" s="1423"/>
      <c r="DX36" s="1423"/>
      <c r="DY36" s="1423"/>
      <c r="DZ36" s="1423">
        <v>0</v>
      </c>
      <c r="EA36" s="1423">
        <v>0</v>
      </c>
      <c r="EB36" s="1423"/>
      <c r="EC36" s="1423"/>
      <c r="ED36" s="1423">
        <v>0</v>
      </c>
      <c r="EE36" s="1423"/>
      <c r="EF36" s="1423"/>
      <c r="EG36" s="1423">
        <v>0</v>
      </c>
      <c r="EH36" s="1423"/>
      <c r="EI36" s="1423"/>
      <c r="EJ36" s="1423"/>
      <c r="EK36" s="1423">
        <v>0</v>
      </c>
      <c r="EL36" s="1423"/>
      <c r="EM36" s="1423">
        <v>0</v>
      </c>
      <c r="EN36" s="1423"/>
      <c r="EO36" s="1423"/>
      <c r="EP36" s="1423"/>
      <c r="EQ36" s="1423">
        <v>0</v>
      </c>
      <c r="ER36" s="1423"/>
      <c r="ES36" s="1423"/>
      <c r="ET36" s="1423"/>
      <c r="EU36" s="1423">
        <v>0</v>
      </c>
      <c r="EV36" s="1423"/>
      <c r="EW36" s="1423"/>
      <c r="EX36" s="1423"/>
      <c r="EY36" s="1423"/>
      <c r="EZ36" s="1423">
        <v>0</v>
      </c>
      <c r="FA36" s="1423"/>
      <c r="FB36" s="1423">
        <v>0</v>
      </c>
      <c r="FC36" s="1423"/>
      <c r="FD36" s="1423"/>
      <c r="FE36" s="1423"/>
      <c r="FF36" s="1423">
        <v>0</v>
      </c>
      <c r="FG36" s="1423"/>
      <c r="FH36" s="1423"/>
      <c r="FI36" s="1423"/>
      <c r="FJ36" s="1423">
        <v>0</v>
      </c>
      <c r="FK36" s="1423"/>
      <c r="FL36" s="1423"/>
      <c r="FM36" s="1423"/>
      <c r="FN36" s="1423"/>
      <c r="FO36" s="1423">
        <v>0</v>
      </c>
      <c r="FP36" s="1423"/>
      <c r="FQ36" s="1423"/>
      <c r="FR36" s="1423"/>
      <c r="FS36" s="1423"/>
      <c r="FT36" s="1423"/>
      <c r="FU36" s="1423"/>
      <c r="FV36" s="1423"/>
      <c r="FW36" s="1423">
        <v>18329743.615782265</v>
      </c>
      <c r="FX36" s="1423">
        <v>15896693.280000001</v>
      </c>
      <c r="FY36" s="1423">
        <v>2413727.5241506575</v>
      </c>
      <c r="FZ36" s="1423">
        <v>19322.811631605331</v>
      </c>
      <c r="GA36" s="1423"/>
      <c r="GB36" s="1423">
        <v>10171241.241450001</v>
      </c>
      <c r="GC36" s="1423"/>
      <c r="GD36" s="1423"/>
      <c r="GE36" s="1423"/>
      <c r="GF36" s="1423">
        <v>96017306.787328467</v>
      </c>
      <c r="GG36" s="1210"/>
    </row>
    <row r="37" spans="2:189" s="947" customFormat="1" ht="15.75">
      <c r="B37" s="1223">
        <v>42887</v>
      </c>
      <c r="C37" s="1423"/>
      <c r="D37" s="1423"/>
      <c r="E37" s="1423">
        <v>763439.73</v>
      </c>
      <c r="F37" s="1423"/>
      <c r="G37" s="1423">
        <v>763439.73</v>
      </c>
      <c r="H37" s="1423"/>
      <c r="I37" s="1423"/>
      <c r="J37" s="1423">
        <v>53024</v>
      </c>
      <c r="K37" s="1423">
        <v>53024</v>
      </c>
      <c r="L37" s="1423">
        <v>53024</v>
      </c>
      <c r="M37" s="1423"/>
      <c r="N37" s="1423">
        <v>0</v>
      </c>
      <c r="O37" s="1423"/>
      <c r="P37" s="1423"/>
      <c r="Q37" s="1423">
        <v>0</v>
      </c>
      <c r="R37" s="1423"/>
      <c r="S37" s="1423"/>
      <c r="T37" s="1423"/>
      <c r="U37" s="1423">
        <v>0</v>
      </c>
      <c r="V37" s="1423">
        <v>0</v>
      </c>
      <c r="W37" s="1423">
        <v>0</v>
      </c>
      <c r="X37" s="1423"/>
      <c r="Y37" s="1423"/>
      <c r="Z37" s="1423">
        <v>0</v>
      </c>
      <c r="AA37" s="1423"/>
      <c r="AB37" s="1423"/>
      <c r="AC37" s="1423">
        <v>0</v>
      </c>
      <c r="AD37" s="1423"/>
      <c r="AE37" s="1423"/>
      <c r="AF37" s="1423"/>
      <c r="AG37" s="1423">
        <v>0</v>
      </c>
      <c r="AH37" s="1423"/>
      <c r="AI37" s="1423"/>
      <c r="AJ37" s="1423"/>
      <c r="AK37" s="1423"/>
      <c r="AL37" s="1423">
        <v>0</v>
      </c>
      <c r="AM37" s="1423"/>
      <c r="AN37" s="1423"/>
      <c r="AO37" s="1423"/>
      <c r="AP37" s="1423"/>
      <c r="AQ37" s="1423">
        <v>1756.3599999999922</v>
      </c>
      <c r="AR37" s="1423">
        <v>1282.1399999999921</v>
      </c>
      <c r="AS37" s="1423">
        <v>474.22</v>
      </c>
      <c r="AT37" s="1423">
        <v>474.22</v>
      </c>
      <c r="AU37" s="1423"/>
      <c r="AV37" s="1423"/>
      <c r="AW37" s="1423"/>
      <c r="AX37" s="1423"/>
      <c r="AY37" s="1423">
        <v>6579757.9700000007</v>
      </c>
      <c r="AZ37" s="1423">
        <v>191391.25</v>
      </c>
      <c r="BA37" s="1423">
        <v>191391.25</v>
      </c>
      <c r="BB37" s="1423"/>
      <c r="BC37" s="1423"/>
      <c r="BD37" s="1423">
        <v>6388366.7200000007</v>
      </c>
      <c r="BE37" s="1423">
        <v>0</v>
      </c>
      <c r="BF37" s="1423"/>
      <c r="BG37" s="1423"/>
      <c r="BH37" s="1423"/>
      <c r="BI37" s="1423"/>
      <c r="BJ37" s="1423"/>
      <c r="BK37" s="1423"/>
      <c r="BL37" s="1423">
        <v>0</v>
      </c>
      <c r="BM37" s="1423">
        <v>0</v>
      </c>
      <c r="BN37" s="1423"/>
      <c r="BO37" s="1423"/>
      <c r="BP37" s="1423"/>
      <c r="BQ37" s="1423"/>
      <c r="BR37" s="1423"/>
      <c r="BS37" s="1423"/>
      <c r="BT37" s="1423">
        <v>0</v>
      </c>
      <c r="BU37" s="1423">
        <v>0</v>
      </c>
      <c r="BV37" s="1423"/>
      <c r="BW37" s="1423"/>
      <c r="BX37" s="1423"/>
      <c r="BY37" s="1423"/>
      <c r="BZ37" s="1423">
        <v>0</v>
      </c>
      <c r="CA37" s="1423"/>
      <c r="CB37" s="1423"/>
      <c r="CC37" s="1423"/>
      <c r="CD37" s="1423"/>
      <c r="CE37" s="1423"/>
      <c r="CF37" s="1423"/>
      <c r="CG37" s="1423"/>
      <c r="CH37" s="1423"/>
      <c r="CI37" s="1423"/>
      <c r="CJ37" s="1423"/>
      <c r="CK37" s="1423"/>
      <c r="CL37" s="1423"/>
      <c r="CM37" s="1423"/>
      <c r="CN37" s="1423">
        <v>0</v>
      </c>
      <c r="CO37" s="1423">
        <v>0</v>
      </c>
      <c r="CP37" s="1423"/>
      <c r="CQ37" s="1423"/>
      <c r="CR37" s="1423"/>
      <c r="CS37" s="1423"/>
      <c r="CT37" s="1423"/>
      <c r="CU37" s="1423">
        <v>0</v>
      </c>
      <c r="CV37" s="1423"/>
      <c r="CW37" s="1423"/>
      <c r="CX37" s="1423"/>
      <c r="CY37" s="1423"/>
      <c r="CZ37" s="1423"/>
      <c r="DA37" s="1423"/>
      <c r="DB37" s="1423">
        <v>0</v>
      </c>
      <c r="DC37" s="1423"/>
      <c r="DD37" s="1423"/>
      <c r="DE37" s="1423"/>
      <c r="DF37" s="1423">
        <v>60146594.870096207</v>
      </c>
      <c r="DG37" s="1423">
        <v>0</v>
      </c>
      <c r="DH37" s="1423">
        <v>0</v>
      </c>
      <c r="DI37" s="1423"/>
      <c r="DJ37" s="1423"/>
      <c r="DK37" s="1423">
        <v>0</v>
      </c>
      <c r="DL37" s="1423"/>
      <c r="DM37" s="1423"/>
      <c r="DN37" s="1423">
        <v>0</v>
      </c>
      <c r="DO37" s="1423"/>
      <c r="DP37" s="1423"/>
      <c r="DQ37" s="1423">
        <v>60146594.870096207</v>
      </c>
      <c r="DR37" s="1423">
        <v>1859165.8416698033</v>
      </c>
      <c r="DS37" s="1423">
        <v>58287429.028426401</v>
      </c>
      <c r="DT37" s="1423"/>
      <c r="DU37" s="1423"/>
      <c r="DV37" s="1423">
        <v>0</v>
      </c>
      <c r="DW37" s="1423"/>
      <c r="DX37" s="1423"/>
      <c r="DY37" s="1423"/>
      <c r="DZ37" s="1423">
        <v>0</v>
      </c>
      <c r="EA37" s="1423">
        <v>0</v>
      </c>
      <c r="EB37" s="1423"/>
      <c r="EC37" s="1423"/>
      <c r="ED37" s="1423">
        <v>0</v>
      </c>
      <c r="EE37" s="1423"/>
      <c r="EF37" s="1423"/>
      <c r="EG37" s="1423">
        <v>0</v>
      </c>
      <c r="EH37" s="1423"/>
      <c r="EI37" s="1423"/>
      <c r="EJ37" s="1423"/>
      <c r="EK37" s="1423">
        <v>0</v>
      </c>
      <c r="EL37" s="1423"/>
      <c r="EM37" s="1423">
        <v>0</v>
      </c>
      <c r="EN37" s="1423"/>
      <c r="EO37" s="1423"/>
      <c r="EP37" s="1423"/>
      <c r="EQ37" s="1423">
        <v>0</v>
      </c>
      <c r="ER37" s="1423"/>
      <c r="ES37" s="1423"/>
      <c r="ET37" s="1423"/>
      <c r="EU37" s="1423">
        <v>0</v>
      </c>
      <c r="EV37" s="1423"/>
      <c r="EW37" s="1423"/>
      <c r="EX37" s="1423"/>
      <c r="EY37" s="1423"/>
      <c r="EZ37" s="1423">
        <v>0</v>
      </c>
      <c r="FA37" s="1423"/>
      <c r="FB37" s="1423">
        <v>0</v>
      </c>
      <c r="FC37" s="1423"/>
      <c r="FD37" s="1423"/>
      <c r="FE37" s="1423"/>
      <c r="FF37" s="1423">
        <v>0</v>
      </c>
      <c r="FG37" s="1423"/>
      <c r="FH37" s="1423"/>
      <c r="FI37" s="1423"/>
      <c r="FJ37" s="1423">
        <v>0</v>
      </c>
      <c r="FK37" s="1423"/>
      <c r="FL37" s="1423"/>
      <c r="FM37" s="1423"/>
      <c r="FN37" s="1423"/>
      <c r="FO37" s="1423">
        <v>0</v>
      </c>
      <c r="FP37" s="1423"/>
      <c r="FQ37" s="1423"/>
      <c r="FR37" s="1423"/>
      <c r="FS37" s="1423"/>
      <c r="FT37" s="1423"/>
      <c r="FU37" s="1423"/>
      <c r="FV37" s="1423"/>
      <c r="FW37" s="1423">
        <v>18329743.615782265</v>
      </c>
      <c r="FX37" s="1423">
        <v>15896693.280000001</v>
      </c>
      <c r="FY37" s="1423">
        <v>2413727.5241506575</v>
      </c>
      <c r="FZ37" s="1423">
        <v>19322.811631605331</v>
      </c>
      <c r="GA37" s="1423"/>
      <c r="GB37" s="1423">
        <v>10171241.241450001</v>
      </c>
      <c r="GC37" s="1423"/>
      <c r="GD37" s="1423"/>
      <c r="GE37" s="1423"/>
      <c r="GF37" s="1423">
        <v>96045557.787328467</v>
      </c>
    </row>
    <row r="38" spans="2:189" s="947" customFormat="1" ht="15.75">
      <c r="B38" s="1223">
        <v>42917</v>
      </c>
      <c r="C38" s="1423"/>
      <c r="D38" s="1423"/>
      <c r="E38" s="1423">
        <v>763439.73</v>
      </c>
      <c r="F38" s="1423"/>
      <c r="G38" s="1423">
        <v>763439.73</v>
      </c>
      <c r="H38" s="1423"/>
      <c r="I38" s="1423"/>
      <c r="J38" s="1423">
        <v>53024</v>
      </c>
      <c r="K38" s="1423">
        <v>53024</v>
      </c>
      <c r="L38" s="1423">
        <v>53024</v>
      </c>
      <c r="M38" s="1423"/>
      <c r="N38" s="1423">
        <v>0</v>
      </c>
      <c r="O38" s="1423"/>
      <c r="P38" s="1423"/>
      <c r="Q38" s="1423">
        <v>0</v>
      </c>
      <c r="R38" s="1423"/>
      <c r="S38" s="1423"/>
      <c r="T38" s="1423"/>
      <c r="U38" s="1423">
        <v>0</v>
      </c>
      <c r="V38" s="1423">
        <v>0</v>
      </c>
      <c r="W38" s="1423">
        <v>0</v>
      </c>
      <c r="X38" s="1423"/>
      <c r="Y38" s="1423"/>
      <c r="Z38" s="1423">
        <v>0</v>
      </c>
      <c r="AA38" s="1423"/>
      <c r="AB38" s="1423"/>
      <c r="AC38" s="1423">
        <v>0</v>
      </c>
      <c r="AD38" s="1423"/>
      <c r="AE38" s="1423"/>
      <c r="AF38" s="1423"/>
      <c r="AG38" s="1423">
        <v>0</v>
      </c>
      <c r="AH38" s="1423"/>
      <c r="AI38" s="1423"/>
      <c r="AJ38" s="1423"/>
      <c r="AK38" s="1423"/>
      <c r="AL38" s="1423">
        <v>0</v>
      </c>
      <c r="AM38" s="1423"/>
      <c r="AN38" s="1423"/>
      <c r="AO38" s="1423"/>
      <c r="AP38" s="1423"/>
      <c r="AQ38" s="1423">
        <v>1756.3599999999922</v>
      </c>
      <c r="AR38" s="1423">
        <v>1282.1399999999921</v>
      </c>
      <c r="AS38" s="1423">
        <v>474.22</v>
      </c>
      <c r="AT38" s="1423">
        <v>474.22</v>
      </c>
      <c r="AU38" s="1423"/>
      <c r="AV38" s="1423"/>
      <c r="AW38" s="1423"/>
      <c r="AX38" s="1423"/>
      <c r="AY38" s="1423">
        <v>6579757.9700000007</v>
      </c>
      <c r="AZ38" s="1423">
        <v>191391.25</v>
      </c>
      <c r="BA38" s="1423">
        <v>191391.25</v>
      </c>
      <c r="BB38" s="1423"/>
      <c r="BC38" s="1423"/>
      <c r="BD38" s="1423">
        <v>6388366.7200000007</v>
      </c>
      <c r="BE38" s="1423">
        <v>0</v>
      </c>
      <c r="BF38" s="1423"/>
      <c r="BG38" s="1423"/>
      <c r="BH38" s="1423"/>
      <c r="BI38" s="1423"/>
      <c r="BJ38" s="1423"/>
      <c r="BK38" s="1423"/>
      <c r="BL38" s="1423">
        <v>0</v>
      </c>
      <c r="BM38" s="1423">
        <v>0</v>
      </c>
      <c r="BN38" s="1423"/>
      <c r="BO38" s="1423"/>
      <c r="BP38" s="1423"/>
      <c r="BQ38" s="1423"/>
      <c r="BR38" s="1423"/>
      <c r="BS38" s="1423"/>
      <c r="BT38" s="1423">
        <v>0</v>
      </c>
      <c r="BU38" s="1423">
        <v>0</v>
      </c>
      <c r="BV38" s="1423"/>
      <c r="BW38" s="1423"/>
      <c r="BX38" s="1423"/>
      <c r="BY38" s="1423"/>
      <c r="BZ38" s="1423">
        <v>0</v>
      </c>
      <c r="CA38" s="1423"/>
      <c r="CB38" s="1423"/>
      <c r="CC38" s="1423"/>
      <c r="CD38" s="1423"/>
      <c r="CE38" s="1423"/>
      <c r="CF38" s="1423"/>
      <c r="CG38" s="1423"/>
      <c r="CH38" s="1423"/>
      <c r="CI38" s="1423"/>
      <c r="CJ38" s="1423"/>
      <c r="CK38" s="1423"/>
      <c r="CL38" s="1423"/>
      <c r="CM38" s="1423"/>
      <c r="CN38" s="1423">
        <v>0</v>
      </c>
      <c r="CO38" s="1423">
        <v>0</v>
      </c>
      <c r="CP38" s="1423"/>
      <c r="CQ38" s="1423"/>
      <c r="CR38" s="1423"/>
      <c r="CS38" s="1423"/>
      <c r="CT38" s="1423"/>
      <c r="CU38" s="1423">
        <v>0</v>
      </c>
      <c r="CV38" s="1423"/>
      <c r="CW38" s="1423"/>
      <c r="CX38" s="1423"/>
      <c r="CY38" s="1423"/>
      <c r="CZ38" s="1423"/>
      <c r="DA38" s="1423"/>
      <c r="DB38" s="1423">
        <v>0</v>
      </c>
      <c r="DC38" s="1423"/>
      <c r="DD38" s="1423"/>
      <c r="DE38" s="1423"/>
      <c r="DF38" s="1423">
        <v>60146594.870096207</v>
      </c>
      <c r="DG38" s="1423">
        <v>0</v>
      </c>
      <c r="DH38" s="1423">
        <v>0</v>
      </c>
      <c r="DI38" s="1423"/>
      <c r="DJ38" s="1423"/>
      <c r="DK38" s="1423">
        <v>0</v>
      </c>
      <c r="DL38" s="1423"/>
      <c r="DM38" s="1423"/>
      <c r="DN38" s="1423">
        <v>0</v>
      </c>
      <c r="DO38" s="1423"/>
      <c r="DP38" s="1423"/>
      <c r="DQ38" s="1423">
        <v>60146594.870096207</v>
      </c>
      <c r="DR38" s="1423">
        <v>1859165.8416698033</v>
      </c>
      <c r="DS38" s="1423">
        <v>58287429.028426401</v>
      </c>
      <c r="DT38" s="1423"/>
      <c r="DU38" s="1423"/>
      <c r="DV38" s="1423">
        <v>0</v>
      </c>
      <c r="DW38" s="1423"/>
      <c r="DX38" s="1423"/>
      <c r="DY38" s="1423"/>
      <c r="DZ38" s="1423">
        <v>0</v>
      </c>
      <c r="EA38" s="1423">
        <v>0</v>
      </c>
      <c r="EB38" s="1423"/>
      <c r="EC38" s="1423"/>
      <c r="ED38" s="1423">
        <v>0</v>
      </c>
      <c r="EE38" s="1423"/>
      <c r="EF38" s="1423"/>
      <c r="EG38" s="1423">
        <v>0</v>
      </c>
      <c r="EH38" s="1423"/>
      <c r="EI38" s="1423"/>
      <c r="EJ38" s="1423"/>
      <c r="EK38" s="1423">
        <v>0</v>
      </c>
      <c r="EL38" s="1423"/>
      <c r="EM38" s="1423">
        <v>0</v>
      </c>
      <c r="EN38" s="1423"/>
      <c r="EO38" s="1423"/>
      <c r="EP38" s="1423"/>
      <c r="EQ38" s="1423">
        <v>0</v>
      </c>
      <c r="ER38" s="1423"/>
      <c r="ES38" s="1423"/>
      <c r="ET38" s="1423"/>
      <c r="EU38" s="1423">
        <v>0</v>
      </c>
      <c r="EV38" s="1423"/>
      <c r="EW38" s="1423"/>
      <c r="EX38" s="1423"/>
      <c r="EY38" s="1423"/>
      <c r="EZ38" s="1423">
        <v>0</v>
      </c>
      <c r="FA38" s="1423"/>
      <c r="FB38" s="1423">
        <v>0</v>
      </c>
      <c r="FC38" s="1423"/>
      <c r="FD38" s="1423"/>
      <c r="FE38" s="1423"/>
      <c r="FF38" s="1423">
        <v>0</v>
      </c>
      <c r="FG38" s="1423"/>
      <c r="FH38" s="1423"/>
      <c r="FI38" s="1423"/>
      <c r="FJ38" s="1423">
        <v>0</v>
      </c>
      <c r="FK38" s="1423"/>
      <c r="FL38" s="1423"/>
      <c r="FM38" s="1423"/>
      <c r="FN38" s="1423"/>
      <c r="FO38" s="1423">
        <v>0</v>
      </c>
      <c r="FP38" s="1423"/>
      <c r="FQ38" s="1423"/>
      <c r="FR38" s="1423"/>
      <c r="FS38" s="1423"/>
      <c r="FT38" s="1423"/>
      <c r="FU38" s="1423"/>
      <c r="FV38" s="1423"/>
      <c r="FW38" s="1423">
        <v>18329743.615782265</v>
      </c>
      <c r="FX38" s="1423">
        <v>15896693.280000001</v>
      </c>
      <c r="FY38" s="1423">
        <v>2413727.5241506575</v>
      </c>
      <c r="FZ38" s="1423">
        <v>19322.811631605331</v>
      </c>
      <c r="GA38" s="1423"/>
      <c r="GB38" s="1423">
        <v>10171241.241450001</v>
      </c>
      <c r="GC38" s="1423"/>
      <c r="GD38" s="1423"/>
      <c r="GE38" s="1423"/>
      <c r="GF38" s="1423">
        <v>96045557.787328467</v>
      </c>
    </row>
    <row r="39" spans="2:189">
      <c r="B39" s="1223">
        <v>42948</v>
      </c>
      <c r="C39" s="1423"/>
      <c r="D39" s="1423"/>
      <c r="E39" s="1423">
        <v>644879.73</v>
      </c>
      <c r="F39" s="1423"/>
      <c r="G39" s="1423">
        <v>644879.73</v>
      </c>
      <c r="H39" s="1423"/>
      <c r="I39" s="1423"/>
      <c r="J39" s="1423">
        <v>53024</v>
      </c>
      <c r="K39" s="1423">
        <v>53024</v>
      </c>
      <c r="L39" s="1423">
        <v>53024</v>
      </c>
      <c r="M39" s="1423"/>
      <c r="N39" s="1423">
        <v>0</v>
      </c>
      <c r="O39" s="1423"/>
      <c r="P39" s="1423"/>
      <c r="Q39" s="1423">
        <v>0</v>
      </c>
      <c r="R39" s="1423"/>
      <c r="S39" s="1423"/>
      <c r="T39" s="1423"/>
      <c r="U39" s="1423">
        <v>0</v>
      </c>
      <c r="V39" s="1423">
        <v>0</v>
      </c>
      <c r="W39" s="1423">
        <v>0</v>
      </c>
      <c r="X39" s="1423"/>
      <c r="Y39" s="1423"/>
      <c r="Z39" s="1423">
        <v>0</v>
      </c>
      <c r="AA39" s="1423"/>
      <c r="AB39" s="1423"/>
      <c r="AC39" s="1423">
        <v>0</v>
      </c>
      <c r="AD39" s="1423"/>
      <c r="AE39" s="1423"/>
      <c r="AF39" s="1423"/>
      <c r="AG39" s="1423">
        <v>0</v>
      </c>
      <c r="AH39" s="1423"/>
      <c r="AI39" s="1423"/>
      <c r="AJ39" s="1423"/>
      <c r="AK39" s="1423"/>
      <c r="AL39" s="1423">
        <v>0</v>
      </c>
      <c r="AM39" s="1423"/>
      <c r="AN39" s="1423"/>
      <c r="AO39" s="1423"/>
      <c r="AP39" s="1423"/>
      <c r="AQ39" s="1423">
        <v>1756.3599999999922</v>
      </c>
      <c r="AR39" s="1423">
        <v>1282.1399999999921</v>
      </c>
      <c r="AS39" s="1423">
        <v>474.22</v>
      </c>
      <c r="AT39" s="1423">
        <v>474.22</v>
      </c>
      <c r="AU39" s="1423"/>
      <c r="AV39" s="1423"/>
      <c r="AW39" s="1423"/>
      <c r="AX39" s="1423"/>
      <c r="AY39" s="1423">
        <v>6579757.9699999997</v>
      </c>
      <c r="AZ39" s="1423">
        <v>0</v>
      </c>
      <c r="BA39" s="1423">
        <v>0</v>
      </c>
      <c r="BB39" s="1423"/>
      <c r="BC39" s="1423">
        <v>191391.25</v>
      </c>
      <c r="BD39" s="1423">
        <v>6388366.7199999997</v>
      </c>
      <c r="BE39" s="1423">
        <v>0</v>
      </c>
      <c r="BF39" s="1423"/>
      <c r="BG39" s="1423"/>
      <c r="BH39" s="1423"/>
      <c r="BI39" s="1423"/>
      <c r="BJ39" s="1423"/>
      <c r="BK39" s="1423"/>
      <c r="BL39" s="1423">
        <v>0</v>
      </c>
      <c r="BM39" s="1423">
        <v>0</v>
      </c>
      <c r="BN39" s="1423"/>
      <c r="BO39" s="1423"/>
      <c r="BP39" s="1423"/>
      <c r="BQ39" s="1423"/>
      <c r="BR39" s="1423"/>
      <c r="BS39" s="1423"/>
      <c r="BT39" s="1423">
        <v>0</v>
      </c>
      <c r="BU39" s="1423">
        <v>0</v>
      </c>
      <c r="BV39" s="1423"/>
      <c r="BW39" s="1423"/>
      <c r="BX39" s="1423"/>
      <c r="BY39" s="1423"/>
      <c r="BZ39" s="1423">
        <v>0</v>
      </c>
      <c r="CA39" s="1423"/>
      <c r="CB39" s="1423"/>
      <c r="CC39" s="1423"/>
      <c r="CD39" s="1423"/>
      <c r="CE39" s="1423"/>
      <c r="CF39" s="1423"/>
      <c r="CG39" s="1423"/>
      <c r="CH39" s="1423"/>
      <c r="CI39" s="1423"/>
      <c r="CJ39" s="1423"/>
      <c r="CK39" s="1423"/>
      <c r="CL39" s="1423"/>
      <c r="CM39" s="1423"/>
      <c r="CN39" s="1423">
        <v>0</v>
      </c>
      <c r="CO39" s="1423">
        <v>0</v>
      </c>
      <c r="CP39" s="1423"/>
      <c r="CQ39" s="1423"/>
      <c r="CR39" s="1423"/>
      <c r="CS39" s="1423"/>
      <c r="CT39" s="1423"/>
      <c r="CU39" s="1423">
        <v>0</v>
      </c>
      <c r="CV39" s="1423"/>
      <c r="CW39" s="1423"/>
      <c r="CX39" s="1423"/>
      <c r="CY39" s="1423"/>
      <c r="CZ39" s="1423"/>
      <c r="DA39" s="1423"/>
      <c r="DB39" s="1423">
        <v>0</v>
      </c>
      <c r="DC39" s="1423"/>
      <c r="DD39" s="1423"/>
      <c r="DE39" s="1423"/>
      <c r="DF39" s="1423">
        <v>60146594.870096207</v>
      </c>
      <c r="DG39" s="1423">
        <v>0</v>
      </c>
      <c r="DH39" s="1423">
        <v>0</v>
      </c>
      <c r="DI39" s="1423"/>
      <c r="DJ39" s="1423"/>
      <c r="DK39" s="1423">
        <v>0</v>
      </c>
      <c r="DL39" s="1423"/>
      <c r="DM39" s="1423"/>
      <c r="DN39" s="1423">
        <v>0</v>
      </c>
      <c r="DO39" s="1423"/>
      <c r="DP39" s="1423"/>
      <c r="DQ39" s="1423">
        <v>60146594.870096207</v>
      </c>
      <c r="DR39" s="1423">
        <v>1859165.8416698033</v>
      </c>
      <c r="DS39" s="1423">
        <v>58287429.028426401</v>
      </c>
      <c r="DT39" s="1423"/>
      <c r="DU39" s="1423"/>
      <c r="DV39" s="1423">
        <v>0</v>
      </c>
      <c r="DW39" s="1423"/>
      <c r="DX39" s="1423"/>
      <c r="DY39" s="1423"/>
      <c r="DZ39" s="1423">
        <v>0</v>
      </c>
      <c r="EA39" s="1423">
        <v>0</v>
      </c>
      <c r="EB39" s="1423"/>
      <c r="EC39" s="1423"/>
      <c r="ED39" s="1423">
        <v>0</v>
      </c>
      <c r="EE39" s="1423"/>
      <c r="EF39" s="1423"/>
      <c r="EG39" s="1423">
        <v>0</v>
      </c>
      <c r="EH39" s="1423"/>
      <c r="EI39" s="1423"/>
      <c r="EJ39" s="1423"/>
      <c r="EK39" s="1423">
        <v>0</v>
      </c>
      <c r="EL39" s="1423"/>
      <c r="EM39" s="1423">
        <v>0</v>
      </c>
      <c r="EN39" s="1423"/>
      <c r="EO39" s="1423"/>
      <c r="EP39" s="1423"/>
      <c r="EQ39" s="1423">
        <v>0</v>
      </c>
      <c r="ER39" s="1423"/>
      <c r="ES39" s="1423"/>
      <c r="ET39" s="1423"/>
      <c r="EU39" s="1423">
        <v>0</v>
      </c>
      <c r="EV39" s="1423"/>
      <c r="EW39" s="1423"/>
      <c r="EX39" s="1423"/>
      <c r="EY39" s="1423"/>
      <c r="EZ39" s="1423">
        <v>0</v>
      </c>
      <c r="FA39" s="1423"/>
      <c r="FB39" s="1423">
        <v>0</v>
      </c>
      <c r="FC39" s="1423"/>
      <c r="FD39" s="1423"/>
      <c r="FE39" s="1423"/>
      <c r="FF39" s="1423">
        <v>0</v>
      </c>
      <c r="FG39" s="1423"/>
      <c r="FH39" s="1423"/>
      <c r="FI39" s="1423"/>
      <c r="FJ39" s="1423">
        <v>0</v>
      </c>
      <c r="FK39" s="1423"/>
      <c r="FL39" s="1423"/>
      <c r="FM39" s="1423"/>
      <c r="FN39" s="1423"/>
      <c r="FO39" s="1423">
        <v>0</v>
      </c>
      <c r="FP39" s="1423"/>
      <c r="FQ39" s="1423"/>
      <c r="FR39" s="1423"/>
      <c r="FS39" s="1423"/>
      <c r="FT39" s="1423"/>
      <c r="FU39" s="1423"/>
      <c r="FV39" s="1423"/>
      <c r="FW39" s="1423">
        <v>18329743.615782265</v>
      </c>
      <c r="FX39" s="1423">
        <v>15896693.280000001</v>
      </c>
      <c r="FY39" s="1423">
        <v>2413727.5241506575</v>
      </c>
      <c r="FZ39" s="1423">
        <v>19322.811631605331</v>
      </c>
      <c r="GA39" s="1423"/>
      <c r="GB39" s="1423">
        <v>10302057.241450001</v>
      </c>
      <c r="GC39" s="1423"/>
      <c r="GD39" s="1423"/>
      <c r="GE39" s="1423"/>
      <c r="GF39" s="1423">
        <v>96057813.787328467</v>
      </c>
    </row>
    <row r="40" spans="2:189">
      <c r="B40" s="1223">
        <v>42979</v>
      </c>
      <c r="C40" s="1424"/>
      <c r="D40" s="1424"/>
      <c r="E40" s="1424">
        <v>2518466.2000000002</v>
      </c>
      <c r="F40" s="1424"/>
      <c r="G40" s="1424">
        <v>2518466.2000000002</v>
      </c>
      <c r="H40" s="1424"/>
      <c r="I40" s="1424"/>
      <c r="J40" s="1424">
        <v>53024</v>
      </c>
      <c r="K40" s="1424">
        <v>53024</v>
      </c>
      <c r="L40" s="1424">
        <v>53024</v>
      </c>
      <c r="M40" s="1424"/>
      <c r="N40" s="1424">
        <v>0</v>
      </c>
      <c r="O40" s="1424"/>
      <c r="P40" s="1424"/>
      <c r="Q40" s="1424">
        <v>0</v>
      </c>
      <c r="R40" s="1424"/>
      <c r="S40" s="1424"/>
      <c r="T40" s="1424"/>
      <c r="U40" s="1424">
        <v>0</v>
      </c>
      <c r="V40" s="1424">
        <v>0</v>
      </c>
      <c r="W40" s="1424">
        <v>0</v>
      </c>
      <c r="X40" s="1424"/>
      <c r="Y40" s="1424"/>
      <c r="Z40" s="1424">
        <v>0</v>
      </c>
      <c r="AA40" s="1424"/>
      <c r="AB40" s="1424"/>
      <c r="AC40" s="1424">
        <v>0</v>
      </c>
      <c r="AD40" s="1424"/>
      <c r="AE40" s="1424"/>
      <c r="AF40" s="1424"/>
      <c r="AG40" s="1424">
        <v>0</v>
      </c>
      <c r="AH40" s="1424"/>
      <c r="AI40" s="1424"/>
      <c r="AJ40" s="1424"/>
      <c r="AK40" s="1424"/>
      <c r="AL40" s="1424">
        <v>0</v>
      </c>
      <c r="AM40" s="1424"/>
      <c r="AN40" s="1424"/>
      <c r="AO40" s="1424"/>
      <c r="AP40" s="1424"/>
      <c r="AQ40" s="1424">
        <v>167637.85999999996</v>
      </c>
      <c r="AR40" s="1424">
        <v>167163.63999999996</v>
      </c>
      <c r="AS40" s="1424">
        <v>474.22</v>
      </c>
      <c r="AT40" s="1424">
        <v>474.22</v>
      </c>
      <c r="AU40" s="1424"/>
      <c r="AV40" s="1424"/>
      <c r="AW40" s="1424"/>
      <c r="AX40" s="1424"/>
      <c r="AY40" s="1424">
        <v>6579757.9699999997</v>
      </c>
      <c r="AZ40" s="1424">
        <v>0</v>
      </c>
      <c r="BA40" s="1424">
        <v>0</v>
      </c>
      <c r="BB40" s="1424"/>
      <c r="BC40" s="1424">
        <v>191391.25</v>
      </c>
      <c r="BD40" s="1424">
        <v>6388366.7199999997</v>
      </c>
      <c r="BE40" s="1424">
        <v>0</v>
      </c>
      <c r="BF40" s="1424"/>
      <c r="BG40" s="1424"/>
      <c r="BH40" s="1424"/>
      <c r="BI40" s="1424"/>
      <c r="BJ40" s="1424"/>
      <c r="BK40" s="1424"/>
      <c r="BL40" s="1424">
        <v>0</v>
      </c>
      <c r="BM40" s="1424">
        <v>0</v>
      </c>
      <c r="BN40" s="1424"/>
      <c r="BO40" s="1424"/>
      <c r="BP40" s="1424"/>
      <c r="BQ40" s="1424"/>
      <c r="BR40" s="1424"/>
      <c r="BS40" s="1424"/>
      <c r="BT40" s="1424">
        <v>0</v>
      </c>
      <c r="BU40" s="1424">
        <v>0</v>
      </c>
      <c r="BV40" s="1424"/>
      <c r="BW40" s="1424"/>
      <c r="BX40" s="1424"/>
      <c r="BY40" s="1424"/>
      <c r="BZ40" s="1424">
        <v>0</v>
      </c>
      <c r="CA40" s="1424"/>
      <c r="CB40" s="1424"/>
      <c r="CC40" s="1424"/>
      <c r="CD40" s="1424"/>
      <c r="CE40" s="1424"/>
      <c r="CF40" s="1424"/>
      <c r="CG40" s="1424"/>
      <c r="CH40" s="1424"/>
      <c r="CI40" s="1424"/>
      <c r="CJ40" s="1424"/>
      <c r="CK40" s="1424"/>
      <c r="CL40" s="1424"/>
      <c r="CM40" s="1424"/>
      <c r="CN40" s="1424">
        <v>0</v>
      </c>
      <c r="CO40" s="1424">
        <v>0</v>
      </c>
      <c r="CP40" s="1424"/>
      <c r="CQ40" s="1424"/>
      <c r="CR40" s="1424"/>
      <c r="CS40" s="1424"/>
      <c r="CT40" s="1424"/>
      <c r="CU40" s="1424">
        <v>0</v>
      </c>
      <c r="CV40" s="1424"/>
      <c r="CW40" s="1424"/>
      <c r="CX40" s="1424"/>
      <c r="CY40" s="1424"/>
      <c r="CZ40" s="1424"/>
      <c r="DA40" s="1424"/>
      <c r="DB40" s="1424">
        <v>0</v>
      </c>
      <c r="DC40" s="1424"/>
      <c r="DD40" s="1424"/>
      <c r="DE40" s="1424"/>
      <c r="DF40" s="1424">
        <v>52426284.279999994</v>
      </c>
      <c r="DG40" s="1424">
        <v>0</v>
      </c>
      <c r="DH40" s="1424">
        <v>0</v>
      </c>
      <c r="DI40" s="1424"/>
      <c r="DJ40" s="1424"/>
      <c r="DK40" s="1424">
        <v>0</v>
      </c>
      <c r="DL40" s="1424"/>
      <c r="DM40" s="1424"/>
      <c r="DN40" s="1424">
        <v>0</v>
      </c>
      <c r="DO40" s="1424"/>
      <c r="DP40" s="1424"/>
      <c r="DQ40" s="1424">
        <v>52426284.279999994</v>
      </c>
      <c r="DR40" s="1424">
        <v>1621283.561216827</v>
      </c>
      <c r="DS40" s="1424">
        <v>50805000.71878317</v>
      </c>
      <c r="DT40" s="1424"/>
      <c r="DU40" s="1424"/>
      <c r="DV40" s="1424">
        <v>0</v>
      </c>
      <c r="DW40" s="1424"/>
      <c r="DX40" s="1424"/>
      <c r="DY40" s="1424"/>
      <c r="DZ40" s="1424">
        <v>0</v>
      </c>
      <c r="EA40" s="1424">
        <v>0</v>
      </c>
      <c r="EB40" s="1424"/>
      <c r="EC40" s="1424"/>
      <c r="ED40" s="1424">
        <v>0</v>
      </c>
      <c r="EE40" s="1424"/>
      <c r="EF40" s="1424"/>
      <c r="EG40" s="1424">
        <v>0</v>
      </c>
      <c r="EH40" s="1424"/>
      <c r="EI40" s="1424"/>
      <c r="EJ40" s="1424"/>
      <c r="EK40" s="1424">
        <v>0</v>
      </c>
      <c r="EL40" s="1424"/>
      <c r="EM40" s="1424">
        <v>0</v>
      </c>
      <c r="EN40" s="1424"/>
      <c r="EO40" s="1424"/>
      <c r="EP40" s="1424"/>
      <c r="EQ40" s="1424">
        <v>0</v>
      </c>
      <c r="ER40" s="1424"/>
      <c r="ES40" s="1424"/>
      <c r="ET40" s="1424"/>
      <c r="EU40" s="1424">
        <v>0</v>
      </c>
      <c r="EV40" s="1424"/>
      <c r="EW40" s="1424"/>
      <c r="EX40" s="1424"/>
      <c r="EY40" s="1424"/>
      <c r="EZ40" s="1424">
        <v>0</v>
      </c>
      <c r="FA40" s="1424"/>
      <c r="FB40" s="1424">
        <v>0</v>
      </c>
      <c r="FC40" s="1424"/>
      <c r="FD40" s="1424"/>
      <c r="FE40" s="1424"/>
      <c r="FF40" s="1424">
        <v>0</v>
      </c>
      <c r="FG40" s="1424"/>
      <c r="FH40" s="1424"/>
      <c r="FI40" s="1424"/>
      <c r="FJ40" s="1424">
        <v>0</v>
      </c>
      <c r="FK40" s="1424"/>
      <c r="FL40" s="1424"/>
      <c r="FM40" s="1424"/>
      <c r="FN40" s="1424"/>
      <c r="FO40" s="1424">
        <v>0</v>
      </c>
      <c r="FP40" s="1424"/>
      <c r="FQ40" s="1424"/>
      <c r="FR40" s="1424"/>
      <c r="FS40" s="1424"/>
      <c r="FT40" s="1424"/>
      <c r="FU40" s="1424"/>
      <c r="FV40" s="1424"/>
      <c r="FW40" s="1424">
        <v>29240612.77</v>
      </c>
      <c r="FX40" s="1424">
        <v>26986518.400000002</v>
      </c>
      <c r="FY40" s="1424">
        <v>2159270.7200000002</v>
      </c>
      <c r="FZ40" s="1424">
        <v>94823.650000000023</v>
      </c>
      <c r="GA40" s="1424"/>
      <c r="GB40" s="1424">
        <v>4287963.0600000136</v>
      </c>
      <c r="GC40" s="1424"/>
      <c r="GD40" s="1424"/>
      <c r="GE40" s="1424"/>
      <c r="GF40" s="1424">
        <v>95273746.140000015</v>
      </c>
    </row>
    <row r="41" spans="2:189">
      <c r="B41" s="1226">
        <v>43009</v>
      </c>
      <c r="C41" s="1425"/>
      <c r="D41" s="1425"/>
      <c r="E41" s="1425">
        <v>2253881.4900000002</v>
      </c>
      <c r="F41" s="1425"/>
      <c r="G41" s="1425">
        <v>2253881.4900000002</v>
      </c>
      <c r="H41" s="1425"/>
      <c r="I41" s="1425"/>
      <c r="J41" s="1425">
        <v>128233.88999999998</v>
      </c>
      <c r="K41" s="1425">
        <v>128233.88999999998</v>
      </c>
      <c r="L41" s="1425">
        <v>128233.88999999998</v>
      </c>
      <c r="M41" s="1425"/>
      <c r="N41" s="1425">
        <v>0</v>
      </c>
      <c r="O41" s="1425"/>
      <c r="P41" s="1425"/>
      <c r="Q41" s="1425">
        <v>0</v>
      </c>
      <c r="R41" s="1425"/>
      <c r="S41" s="1425"/>
      <c r="T41" s="1425"/>
      <c r="U41" s="1425">
        <v>0</v>
      </c>
      <c r="V41" s="1425">
        <v>0</v>
      </c>
      <c r="W41" s="1425">
        <v>0</v>
      </c>
      <c r="X41" s="1425"/>
      <c r="Y41" s="1425"/>
      <c r="Z41" s="1425">
        <v>0</v>
      </c>
      <c r="AA41" s="1425"/>
      <c r="AB41" s="1425"/>
      <c r="AC41" s="1425">
        <v>0</v>
      </c>
      <c r="AD41" s="1425"/>
      <c r="AE41" s="1425"/>
      <c r="AF41" s="1425"/>
      <c r="AG41" s="1425">
        <v>0</v>
      </c>
      <c r="AH41" s="1425"/>
      <c r="AI41" s="1425"/>
      <c r="AJ41" s="1425"/>
      <c r="AK41" s="1425"/>
      <c r="AL41" s="1425">
        <v>0</v>
      </c>
      <c r="AM41" s="1425"/>
      <c r="AN41" s="1425"/>
      <c r="AO41" s="1425"/>
      <c r="AP41" s="1425"/>
      <c r="AQ41" s="1425">
        <v>0</v>
      </c>
      <c r="AR41" s="1425">
        <v>0</v>
      </c>
      <c r="AS41" s="1425">
        <v>0</v>
      </c>
      <c r="AT41" s="1425">
        <v>0</v>
      </c>
      <c r="AU41" s="1425"/>
      <c r="AV41" s="1425"/>
      <c r="AW41" s="1425"/>
      <c r="AX41" s="1425"/>
      <c r="AY41" s="1425">
        <v>6579757.9699999997</v>
      </c>
      <c r="AZ41" s="1425">
        <v>0</v>
      </c>
      <c r="BA41" s="1425">
        <v>0</v>
      </c>
      <c r="BB41" s="1425"/>
      <c r="BC41" s="1425">
        <v>191391.25</v>
      </c>
      <c r="BD41" s="1425">
        <v>6388366.7199999997</v>
      </c>
      <c r="BE41" s="1425">
        <v>0</v>
      </c>
      <c r="BF41" s="1425"/>
      <c r="BG41" s="1425"/>
      <c r="BH41" s="1425"/>
      <c r="BI41" s="1425"/>
      <c r="BJ41" s="1425"/>
      <c r="BK41" s="1425"/>
      <c r="BL41" s="1425">
        <v>0</v>
      </c>
      <c r="BM41" s="1425">
        <v>0</v>
      </c>
      <c r="BN41" s="1425"/>
      <c r="BO41" s="1425"/>
      <c r="BP41" s="1425"/>
      <c r="BQ41" s="1425"/>
      <c r="BR41" s="1425"/>
      <c r="BS41" s="1425"/>
      <c r="BT41" s="1425">
        <v>0</v>
      </c>
      <c r="BU41" s="1425">
        <v>0</v>
      </c>
      <c r="BV41" s="1425"/>
      <c r="BW41" s="1425"/>
      <c r="BX41" s="1425"/>
      <c r="BY41" s="1425"/>
      <c r="BZ41" s="1425">
        <v>0</v>
      </c>
      <c r="CA41" s="1425"/>
      <c r="CB41" s="1425"/>
      <c r="CC41" s="1425"/>
      <c r="CD41" s="1425"/>
      <c r="CE41" s="1425"/>
      <c r="CF41" s="1425"/>
      <c r="CG41" s="1425"/>
      <c r="CH41" s="1425"/>
      <c r="CI41" s="1425"/>
      <c r="CJ41" s="1425"/>
      <c r="CK41" s="1425"/>
      <c r="CL41" s="1425"/>
      <c r="CM41" s="1425"/>
      <c r="CN41" s="1425">
        <v>0</v>
      </c>
      <c r="CO41" s="1425">
        <v>0</v>
      </c>
      <c r="CP41" s="1425"/>
      <c r="CQ41" s="1425"/>
      <c r="CR41" s="1425"/>
      <c r="CS41" s="1425"/>
      <c r="CT41" s="1425"/>
      <c r="CU41" s="1425">
        <v>0</v>
      </c>
      <c r="CV41" s="1425"/>
      <c r="CW41" s="1425"/>
      <c r="CX41" s="1425"/>
      <c r="CY41" s="1425"/>
      <c r="CZ41" s="1425"/>
      <c r="DA41" s="1425"/>
      <c r="DB41" s="1425">
        <v>0</v>
      </c>
      <c r="DC41" s="1425"/>
      <c r="DD41" s="1425"/>
      <c r="DE41" s="1425"/>
      <c r="DF41" s="1425">
        <v>48296889.82</v>
      </c>
      <c r="DG41" s="1425">
        <v>0</v>
      </c>
      <c r="DH41" s="1425">
        <v>0</v>
      </c>
      <c r="DI41" s="1425"/>
      <c r="DJ41" s="1425"/>
      <c r="DK41" s="1425">
        <v>0</v>
      </c>
      <c r="DL41" s="1425"/>
      <c r="DM41" s="1425"/>
      <c r="DN41" s="1425">
        <v>0</v>
      </c>
      <c r="DO41" s="1425"/>
      <c r="DP41" s="1425"/>
      <c r="DQ41" s="1425">
        <v>48296889.82</v>
      </c>
      <c r="DR41" s="1425">
        <v>1494046.4818828928</v>
      </c>
      <c r="DS41" s="1425">
        <v>46802843.338117108</v>
      </c>
      <c r="DT41" s="1425"/>
      <c r="DU41" s="1425"/>
      <c r="DV41" s="1425">
        <v>0</v>
      </c>
      <c r="DW41" s="1425"/>
      <c r="DX41" s="1425"/>
      <c r="DY41" s="1425"/>
      <c r="DZ41" s="1425">
        <v>0</v>
      </c>
      <c r="EA41" s="1425">
        <v>0</v>
      </c>
      <c r="EB41" s="1425"/>
      <c r="EC41" s="1425"/>
      <c r="ED41" s="1425">
        <v>0</v>
      </c>
      <c r="EE41" s="1425"/>
      <c r="EF41" s="1425"/>
      <c r="EG41" s="1425">
        <v>0</v>
      </c>
      <c r="EH41" s="1425"/>
      <c r="EI41" s="1425"/>
      <c r="EJ41" s="1425"/>
      <c r="EK41" s="1425">
        <v>0</v>
      </c>
      <c r="EL41" s="1425"/>
      <c r="EM41" s="1425">
        <v>0</v>
      </c>
      <c r="EN41" s="1425"/>
      <c r="EO41" s="1425"/>
      <c r="EP41" s="1425"/>
      <c r="EQ41" s="1425">
        <v>0</v>
      </c>
      <c r="ER41" s="1425"/>
      <c r="ES41" s="1425"/>
      <c r="ET41" s="1425"/>
      <c r="EU41" s="1425">
        <v>0</v>
      </c>
      <c r="EV41" s="1425"/>
      <c r="EW41" s="1425"/>
      <c r="EX41" s="1425"/>
      <c r="EY41" s="1425"/>
      <c r="EZ41" s="1425">
        <v>0</v>
      </c>
      <c r="FA41" s="1425"/>
      <c r="FB41" s="1425">
        <v>0</v>
      </c>
      <c r="FC41" s="1425"/>
      <c r="FD41" s="1425"/>
      <c r="FE41" s="1425"/>
      <c r="FF41" s="1425">
        <v>0</v>
      </c>
      <c r="FG41" s="1425"/>
      <c r="FH41" s="1425"/>
      <c r="FI41" s="1425"/>
      <c r="FJ41" s="1425">
        <v>0</v>
      </c>
      <c r="FK41" s="1425"/>
      <c r="FL41" s="1425"/>
      <c r="FM41" s="1425"/>
      <c r="FN41" s="1425"/>
      <c r="FO41" s="1425">
        <v>0</v>
      </c>
      <c r="FP41" s="1425"/>
      <c r="FQ41" s="1425"/>
      <c r="FR41" s="1425"/>
      <c r="FS41" s="1425"/>
      <c r="FT41" s="1425"/>
      <c r="FU41" s="1425"/>
      <c r="FV41" s="1425"/>
      <c r="FW41" s="1425">
        <v>19985003.77</v>
      </c>
      <c r="FX41" s="1425">
        <v>17730909.400000002</v>
      </c>
      <c r="FY41" s="1425">
        <v>2159270.7200000002</v>
      </c>
      <c r="FZ41" s="1425">
        <v>94823.650000000023</v>
      </c>
      <c r="GA41" s="1425"/>
      <c r="GB41" s="1425">
        <v>4225977.4900000142</v>
      </c>
      <c r="GC41" s="1425"/>
      <c r="GD41" s="1425"/>
      <c r="GE41" s="1425"/>
      <c r="GF41" s="1425">
        <v>81469744.430000007</v>
      </c>
    </row>
    <row r="42" spans="2:189">
      <c r="B42" s="1226">
        <v>43040</v>
      </c>
      <c r="C42" s="1424"/>
      <c r="D42" s="1424"/>
      <c r="E42" s="1424">
        <v>921090.27</v>
      </c>
      <c r="F42" s="1424"/>
      <c r="G42" s="1424">
        <v>921090.27</v>
      </c>
      <c r="H42" s="1424"/>
      <c r="I42" s="1424"/>
      <c r="J42" s="1424">
        <v>128233.88999999998</v>
      </c>
      <c r="K42" s="1424">
        <v>128233.88999999998</v>
      </c>
      <c r="L42" s="1424">
        <v>128233.88999999998</v>
      </c>
      <c r="M42" s="1424"/>
      <c r="N42" s="1424">
        <v>0</v>
      </c>
      <c r="O42" s="1424"/>
      <c r="P42" s="1424"/>
      <c r="Q42" s="1424">
        <v>0</v>
      </c>
      <c r="R42" s="1424"/>
      <c r="S42" s="1424"/>
      <c r="T42" s="1424"/>
      <c r="U42" s="1424">
        <v>0</v>
      </c>
      <c r="V42" s="1424">
        <v>0</v>
      </c>
      <c r="W42" s="1424">
        <v>0</v>
      </c>
      <c r="X42" s="1424"/>
      <c r="Y42" s="1424"/>
      <c r="Z42" s="1424">
        <v>0</v>
      </c>
      <c r="AA42" s="1424"/>
      <c r="AB42" s="1424"/>
      <c r="AC42" s="1424">
        <v>0</v>
      </c>
      <c r="AD42" s="1424"/>
      <c r="AE42" s="1424"/>
      <c r="AF42" s="1424"/>
      <c r="AG42" s="1424">
        <v>0</v>
      </c>
      <c r="AH42" s="1424"/>
      <c r="AI42" s="1424"/>
      <c r="AJ42" s="1424"/>
      <c r="AK42" s="1424"/>
      <c r="AL42" s="1424">
        <v>0</v>
      </c>
      <c r="AM42" s="1424"/>
      <c r="AN42" s="1424"/>
      <c r="AO42" s="1424"/>
      <c r="AP42" s="1424"/>
      <c r="AQ42" s="1424">
        <v>0</v>
      </c>
      <c r="AR42" s="1424">
        <v>0</v>
      </c>
      <c r="AS42" s="1424">
        <v>0</v>
      </c>
      <c r="AT42" s="1424">
        <v>0</v>
      </c>
      <c r="AU42" s="1424"/>
      <c r="AV42" s="1424"/>
      <c r="AW42" s="1424"/>
      <c r="AX42" s="1424"/>
      <c r="AY42" s="1424">
        <v>6579757.9699999997</v>
      </c>
      <c r="AZ42" s="1424">
        <v>0</v>
      </c>
      <c r="BA42" s="1424">
        <v>0</v>
      </c>
      <c r="BB42" s="1424"/>
      <c r="BC42" s="1424">
        <v>191391.25</v>
      </c>
      <c r="BD42" s="1424">
        <v>6388366.7199999997</v>
      </c>
      <c r="BE42" s="1424">
        <v>0</v>
      </c>
      <c r="BF42" s="1424"/>
      <c r="BG42" s="1424"/>
      <c r="BH42" s="1424"/>
      <c r="BI42" s="1424"/>
      <c r="BJ42" s="1424"/>
      <c r="BK42" s="1424"/>
      <c r="BL42" s="1424">
        <v>0</v>
      </c>
      <c r="BM42" s="1424">
        <v>0</v>
      </c>
      <c r="BN42" s="1424"/>
      <c r="BO42" s="1424"/>
      <c r="BP42" s="1424"/>
      <c r="BQ42" s="1424"/>
      <c r="BR42" s="1424"/>
      <c r="BS42" s="1424"/>
      <c r="BT42" s="1424">
        <v>0</v>
      </c>
      <c r="BU42" s="1424">
        <v>0</v>
      </c>
      <c r="BV42" s="1424"/>
      <c r="BW42" s="1424"/>
      <c r="BX42" s="1424"/>
      <c r="BY42" s="1424"/>
      <c r="BZ42" s="1424">
        <v>0</v>
      </c>
      <c r="CA42" s="1424"/>
      <c r="CB42" s="1424"/>
      <c r="CC42" s="1424"/>
      <c r="CD42" s="1424"/>
      <c r="CE42" s="1424"/>
      <c r="CF42" s="1424"/>
      <c r="CG42" s="1424"/>
      <c r="CH42" s="1424"/>
      <c r="CI42" s="1424"/>
      <c r="CJ42" s="1424"/>
      <c r="CK42" s="1424"/>
      <c r="CL42" s="1424"/>
      <c r="CM42" s="1424"/>
      <c r="CN42" s="1424">
        <v>0</v>
      </c>
      <c r="CO42" s="1424">
        <v>0</v>
      </c>
      <c r="CP42" s="1424"/>
      <c r="CQ42" s="1424"/>
      <c r="CR42" s="1424"/>
      <c r="CS42" s="1424"/>
      <c r="CT42" s="1424"/>
      <c r="CU42" s="1424">
        <v>0</v>
      </c>
      <c r="CV42" s="1424"/>
      <c r="CW42" s="1424"/>
      <c r="CX42" s="1424"/>
      <c r="CY42" s="1424"/>
      <c r="CZ42" s="1424"/>
      <c r="DA42" s="1424"/>
      <c r="DB42" s="1424">
        <v>0</v>
      </c>
      <c r="DC42" s="1424"/>
      <c r="DD42" s="1424"/>
      <c r="DE42" s="1424"/>
      <c r="DF42" s="1424">
        <v>48296889.82</v>
      </c>
      <c r="DG42" s="1424">
        <v>0</v>
      </c>
      <c r="DH42" s="1424">
        <v>0</v>
      </c>
      <c r="DI42" s="1424"/>
      <c r="DJ42" s="1424"/>
      <c r="DK42" s="1424">
        <v>0</v>
      </c>
      <c r="DL42" s="1424"/>
      <c r="DM42" s="1424"/>
      <c r="DN42" s="1424">
        <v>0</v>
      </c>
      <c r="DO42" s="1424"/>
      <c r="DP42" s="1424"/>
      <c r="DQ42" s="1424">
        <v>48296889.82</v>
      </c>
      <c r="DR42" s="1424">
        <v>1494046.4818828928</v>
      </c>
      <c r="DS42" s="1424">
        <v>46802843.338117108</v>
      </c>
      <c r="DT42" s="1424"/>
      <c r="DU42" s="1424"/>
      <c r="DV42" s="1424">
        <v>0</v>
      </c>
      <c r="DW42" s="1424"/>
      <c r="DX42" s="1424"/>
      <c r="DY42" s="1424"/>
      <c r="DZ42" s="1424">
        <v>0</v>
      </c>
      <c r="EA42" s="1424">
        <v>0</v>
      </c>
      <c r="EB42" s="1424"/>
      <c r="EC42" s="1424"/>
      <c r="ED42" s="1424">
        <v>0</v>
      </c>
      <c r="EE42" s="1424"/>
      <c r="EF42" s="1424"/>
      <c r="EG42" s="1424">
        <v>0</v>
      </c>
      <c r="EH42" s="1424"/>
      <c r="EI42" s="1424"/>
      <c r="EJ42" s="1424"/>
      <c r="EK42" s="1424">
        <v>0</v>
      </c>
      <c r="EL42" s="1424"/>
      <c r="EM42" s="1424">
        <v>0</v>
      </c>
      <c r="EN42" s="1424"/>
      <c r="EO42" s="1424"/>
      <c r="EP42" s="1424"/>
      <c r="EQ42" s="1424">
        <v>0</v>
      </c>
      <c r="ER42" s="1424"/>
      <c r="ES42" s="1424"/>
      <c r="ET42" s="1424"/>
      <c r="EU42" s="1424">
        <v>0</v>
      </c>
      <c r="EV42" s="1424"/>
      <c r="EW42" s="1424"/>
      <c r="EX42" s="1424"/>
      <c r="EY42" s="1424"/>
      <c r="EZ42" s="1424">
        <v>0</v>
      </c>
      <c r="FA42" s="1424"/>
      <c r="FB42" s="1424">
        <v>0</v>
      </c>
      <c r="FC42" s="1424"/>
      <c r="FD42" s="1424"/>
      <c r="FE42" s="1424"/>
      <c r="FF42" s="1424">
        <v>0</v>
      </c>
      <c r="FG42" s="1424"/>
      <c r="FH42" s="1424"/>
      <c r="FI42" s="1424"/>
      <c r="FJ42" s="1424">
        <v>0</v>
      </c>
      <c r="FK42" s="1424"/>
      <c r="FL42" s="1424"/>
      <c r="FM42" s="1424"/>
      <c r="FN42" s="1424"/>
      <c r="FO42" s="1424">
        <v>0</v>
      </c>
      <c r="FP42" s="1424"/>
      <c r="FQ42" s="1424"/>
      <c r="FR42" s="1424"/>
      <c r="FS42" s="1424"/>
      <c r="FT42" s="1424"/>
      <c r="FU42" s="1424"/>
      <c r="FV42" s="1424"/>
      <c r="FW42" s="1424">
        <v>19985003.77</v>
      </c>
      <c r="FX42" s="1424">
        <v>17730909.400000002</v>
      </c>
      <c r="FY42" s="1424">
        <v>2159270.7200000002</v>
      </c>
      <c r="FZ42" s="1424">
        <v>94823.650000000023</v>
      </c>
      <c r="GA42" s="1424"/>
      <c r="GB42" s="1424">
        <v>4225977.4900000133</v>
      </c>
      <c r="GC42" s="1424"/>
      <c r="GD42" s="1424"/>
      <c r="GE42" s="1424"/>
      <c r="GF42" s="1424">
        <v>80136953.210000008</v>
      </c>
    </row>
    <row r="43" spans="2:189" s="1373" customFormat="1">
      <c r="B43" s="1378">
        <v>43070</v>
      </c>
      <c r="C43" s="1420"/>
      <c r="D43" s="1420"/>
      <c r="E43" s="1420">
        <v>921090.27</v>
      </c>
      <c r="F43" s="1420"/>
      <c r="G43" s="1420">
        <v>921090.27</v>
      </c>
      <c r="H43" s="1420"/>
      <c r="I43" s="1420"/>
      <c r="J43" s="1420">
        <v>136958.56</v>
      </c>
      <c r="K43" s="1420">
        <v>136958.56</v>
      </c>
      <c r="L43" s="1420">
        <v>136958.56</v>
      </c>
      <c r="M43" s="1420"/>
      <c r="N43" s="1420">
        <v>0</v>
      </c>
      <c r="O43" s="1420"/>
      <c r="P43" s="1420"/>
      <c r="Q43" s="1420">
        <v>0</v>
      </c>
      <c r="R43" s="1420"/>
      <c r="S43" s="1420"/>
      <c r="T43" s="1420"/>
      <c r="U43" s="1420">
        <v>0</v>
      </c>
      <c r="V43" s="1420">
        <v>0</v>
      </c>
      <c r="W43" s="1420">
        <v>0</v>
      </c>
      <c r="X43" s="1420"/>
      <c r="Y43" s="1420"/>
      <c r="Z43" s="1420">
        <v>0</v>
      </c>
      <c r="AA43" s="1420"/>
      <c r="AB43" s="1420"/>
      <c r="AC43" s="1420">
        <v>0</v>
      </c>
      <c r="AD43" s="1420"/>
      <c r="AE43" s="1420"/>
      <c r="AF43" s="1420"/>
      <c r="AG43" s="1420">
        <v>0</v>
      </c>
      <c r="AH43" s="1420"/>
      <c r="AI43" s="1420"/>
      <c r="AJ43" s="1420"/>
      <c r="AK43" s="1420"/>
      <c r="AL43" s="1420">
        <v>0</v>
      </c>
      <c r="AM43" s="1420"/>
      <c r="AN43" s="1420"/>
      <c r="AO43" s="1420"/>
      <c r="AP43" s="1420"/>
      <c r="AQ43" s="1420">
        <v>0</v>
      </c>
      <c r="AR43" s="1420">
        <v>0</v>
      </c>
      <c r="AS43" s="1420">
        <v>0</v>
      </c>
      <c r="AT43" s="1420">
        <v>0</v>
      </c>
      <c r="AU43" s="1420"/>
      <c r="AV43" s="1420"/>
      <c r="AW43" s="1420"/>
      <c r="AX43" s="1420"/>
      <c r="AY43" s="1420">
        <v>5979757.9699999997</v>
      </c>
      <c r="AZ43" s="1420">
        <v>0</v>
      </c>
      <c r="BA43" s="1420">
        <v>0</v>
      </c>
      <c r="BB43" s="1420"/>
      <c r="BC43" s="1420">
        <v>191391.25</v>
      </c>
      <c r="BD43" s="1420">
        <v>5788366.7199999997</v>
      </c>
      <c r="BE43" s="1420">
        <v>0</v>
      </c>
      <c r="BF43" s="1420"/>
      <c r="BG43" s="1420"/>
      <c r="BH43" s="1420"/>
      <c r="BI43" s="1420"/>
      <c r="BJ43" s="1420"/>
      <c r="BK43" s="1420"/>
      <c r="BL43" s="1420">
        <v>0</v>
      </c>
      <c r="BM43" s="1420">
        <v>0</v>
      </c>
      <c r="BN43" s="1420"/>
      <c r="BO43" s="1420"/>
      <c r="BP43" s="1420"/>
      <c r="BQ43" s="1420"/>
      <c r="BR43" s="1420"/>
      <c r="BS43" s="1420"/>
      <c r="BT43" s="1420">
        <v>0</v>
      </c>
      <c r="BU43" s="1420">
        <v>0</v>
      </c>
      <c r="BV43" s="1420"/>
      <c r="BW43" s="1420"/>
      <c r="BX43" s="1420"/>
      <c r="BY43" s="1420"/>
      <c r="BZ43" s="1420">
        <v>0</v>
      </c>
      <c r="CA43" s="1420"/>
      <c r="CB43" s="1420"/>
      <c r="CC43" s="1420"/>
      <c r="CD43" s="1420"/>
      <c r="CE43" s="1420"/>
      <c r="CF43" s="1420"/>
      <c r="CG43" s="1420"/>
      <c r="CH43" s="1420"/>
      <c r="CI43" s="1420"/>
      <c r="CJ43" s="1420"/>
      <c r="CK43" s="1420"/>
      <c r="CL43" s="1420"/>
      <c r="CM43" s="1420"/>
      <c r="CN43" s="1420">
        <v>0</v>
      </c>
      <c r="CO43" s="1420">
        <v>0</v>
      </c>
      <c r="CP43" s="1420"/>
      <c r="CQ43" s="1420"/>
      <c r="CR43" s="1420"/>
      <c r="CS43" s="1420"/>
      <c r="CT43" s="1420"/>
      <c r="CU43" s="1420">
        <v>0</v>
      </c>
      <c r="CV43" s="1420"/>
      <c r="CW43" s="1420"/>
      <c r="CX43" s="1420"/>
      <c r="CY43" s="1420"/>
      <c r="CZ43" s="1420"/>
      <c r="DA43" s="1420"/>
      <c r="DB43" s="1420">
        <v>0</v>
      </c>
      <c r="DC43" s="1420"/>
      <c r="DD43" s="1420"/>
      <c r="DE43" s="1420"/>
      <c r="DF43" s="1420">
        <v>48629945.550000012</v>
      </c>
      <c r="DG43" s="1420">
        <v>0</v>
      </c>
      <c r="DH43" s="1420">
        <v>0</v>
      </c>
      <c r="DI43" s="1420"/>
      <c r="DJ43" s="1420"/>
      <c r="DK43" s="1420">
        <v>0</v>
      </c>
      <c r="DL43" s="1420"/>
      <c r="DM43" s="1420"/>
      <c r="DN43" s="1420">
        <v>0</v>
      </c>
      <c r="DO43" s="1420"/>
      <c r="DP43" s="1420"/>
      <c r="DQ43" s="1420">
        <v>48629945.550000012</v>
      </c>
      <c r="DR43" s="1420">
        <v>1504308.7706400272</v>
      </c>
      <c r="DS43" s="1420">
        <v>47125636.779359981</v>
      </c>
      <c r="DT43" s="1420"/>
      <c r="DU43" s="1420"/>
      <c r="DV43" s="1420">
        <v>0</v>
      </c>
      <c r="DW43" s="1420"/>
      <c r="DX43" s="1420"/>
      <c r="DY43" s="1420"/>
      <c r="DZ43" s="1420">
        <v>0</v>
      </c>
      <c r="EA43" s="1420">
        <v>0</v>
      </c>
      <c r="EB43" s="1420"/>
      <c r="EC43" s="1420"/>
      <c r="ED43" s="1420">
        <v>0</v>
      </c>
      <c r="EE43" s="1420"/>
      <c r="EF43" s="1420"/>
      <c r="EG43" s="1420">
        <v>0</v>
      </c>
      <c r="EH43" s="1420"/>
      <c r="EI43" s="1420"/>
      <c r="EJ43" s="1420"/>
      <c r="EK43" s="1420">
        <v>0</v>
      </c>
      <c r="EL43" s="1420"/>
      <c r="EM43" s="1420">
        <v>0</v>
      </c>
      <c r="EN43" s="1420"/>
      <c r="EO43" s="1420"/>
      <c r="EP43" s="1420"/>
      <c r="EQ43" s="1420">
        <v>0</v>
      </c>
      <c r="ER43" s="1420"/>
      <c r="ES43" s="1420"/>
      <c r="ET43" s="1420"/>
      <c r="EU43" s="1420">
        <v>0</v>
      </c>
      <c r="EV43" s="1420"/>
      <c r="EW43" s="1420"/>
      <c r="EX43" s="1420"/>
      <c r="EY43" s="1420"/>
      <c r="EZ43" s="1420">
        <v>0</v>
      </c>
      <c r="FA43" s="1420"/>
      <c r="FB43" s="1420">
        <v>0</v>
      </c>
      <c r="FC43" s="1420"/>
      <c r="FD43" s="1420"/>
      <c r="FE43" s="1420"/>
      <c r="FF43" s="1420">
        <v>0</v>
      </c>
      <c r="FG43" s="1420"/>
      <c r="FH43" s="1420"/>
      <c r="FI43" s="1420"/>
      <c r="FJ43" s="1420">
        <v>0</v>
      </c>
      <c r="FK43" s="1420"/>
      <c r="FL43" s="1420"/>
      <c r="FM43" s="1420"/>
      <c r="FN43" s="1420"/>
      <c r="FO43" s="1420">
        <v>0</v>
      </c>
      <c r="FP43" s="1420"/>
      <c r="FQ43" s="1420"/>
      <c r="FR43" s="1420"/>
      <c r="FS43" s="1420"/>
      <c r="FT43" s="1420"/>
      <c r="FU43" s="1420"/>
      <c r="FV43" s="1420"/>
      <c r="FW43" s="1420">
        <v>16555978.619666668</v>
      </c>
      <c r="FX43" s="1420">
        <v>16485469.4</v>
      </c>
      <c r="FY43" s="1420">
        <v>52299.58966666687</v>
      </c>
      <c r="FZ43" s="1420">
        <v>18209.630000000005</v>
      </c>
      <c r="GA43" s="1420"/>
      <c r="GB43" s="1420">
        <v>3669407.6886100001</v>
      </c>
      <c r="GC43" s="1420"/>
      <c r="GD43" s="1420"/>
      <c r="GE43" s="1420"/>
      <c r="GF43" s="1420">
        <v>75893138.658276677</v>
      </c>
    </row>
    <row r="44" spans="2:189">
      <c r="C44" s="1424"/>
      <c r="D44" s="1424"/>
      <c r="E44" s="1424"/>
      <c r="F44" s="1424"/>
      <c r="G44" s="1424"/>
      <c r="H44" s="1424"/>
      <c r="I44" s="1424"/>
      <c r="J44" s="1424"/>
      <c r="K44" s="1424"/>
      <c r="L44" s="1424"/>
      <c r="M44" s="1424"/>
      <c r="N44" s="1424"/>
      <c r="O44" s="1424"/>
      <c r="P44" s="1424"/>
      <c r="Q44" s="1424"/>
      <c r="R44" s="1424"/>
      <c r="S44" s="1424"/>
      <c r="T44" s="1424"/>
      <c r="U44" s="1424"/>
      <c r="V44" s="1424"/>
      <c r="W44" s="1424"/>
      <c r="X44" s="1424"/>
      <c r="Y44" s="1424"/>
      <c r="Z44" s="1424"/>
      <c r="AA44" s="1424"/>
      <c r="AB44" s="1424"/>
      <c r="AC44" s="1424"/>
      <c r="AD44" s="1424"/>
      <c r="AE44" s="1424"/>
      <c r="AF44" s="1424"/>
      <c r="AG44" s="1424"/>
      <c r="AH44" s="1424"/>
      <c r="AI44" s="1424"/>
      <c r="AJ44" s="1424"/>
      <c r="AK44" s="1424"/>
      <c r="AL44" s="1424"/>
      <c r="AM44" s="1424"/>
      <c r="AN44" s="1424"/>
      <c r="AO44" s="1424"/>
      <c r="AP44" s="1424"/>
      <c r="AQ44" s="1424"/>
      <c r="AR44" s="1424"/>
      <c r="AS44" s="1424"/>
      <c r="AT44" s="1424"/>
      <c r="AU44" s="1424"/>
      <c r="AV44" s="1424"/>
      <c r="AW44" s="1424"/>
      <c r="AX44" s="1424"/>
      <c r="AY44" s="1424"/>
      <c r="AZ44" s="1424"/>
      <c r="BA44" s="1424"/>
      <c r="BB44" s="1424"/>
      <c r="BC44" s="1424"/>
      <c r="BD44" s="1424"/>
      <c r="BE44" s="1424"/>
      <c r="BF44" s="1424"/>
      <c r="BG44" s="1424"/>
      <c r="BH44" s="1424"/>
      <c r="BI44" s="1424"/>
      <c r="BJ44" s="1424"/>
      <c r="BK44" s="1424"/>
      <c r="BL44" s="1424"/>
      <c r="BM44" s="1424"/>
      <c r="BN44" s="1424"/>
      <c r="BO44" s="1424"/>
      <c r="BP44" s="1424"/>
      <c r="BQ44" s="1424"/>
      <c r="BR44" s="1424"/>
      <c r="BS44" s="1424"/>
      <c r="BT44" s="1424"/>
      <c r="BU44" s="1424"/>
      <c r="BV44" s="1424"/>
      <c r="BW44" s="1424"/>
      <c r="BX44" s="1424"/>
      <c r="BY44" s="1424"/>
      <c r="BZ44" s="1424"/>
      <c r="CA44" s="1424"/>
      <c r="CB44" s="1424"/>
      <c r="CC44" s="1424"/>
      <c r="CD44" s="1424"/>
      <c r="CE44" s="1424"/>
      <c r="CF44" s="1424"/>
      <c r="CG44" s="1424"/>
      <c r="CH44" s="1424"/>
      <c r="CI44" s="1424"/>
      <c r="CJ44" s="1424"/>
      <c r="CK44" s="1424"/>
      <c r="CL44" s="1424"/>
      <c r="CM44" s="1424"/>
      <c r="CN44" s="1424"/>
      <c r="CO44" s="1424"/>
      <c r="CP44" s="1424"/>
      <c r="CQ44" s="1424"/>
      <c r="CR44" s="1424"/>
      <c r="CS44" s="1424"/>
      <c r="CT44" s="1424"/>
      <c r="CU44" s="1424"/>
      <c r="CV44" s="1424"/>
      <c r="CW44" s="1424"/>
      <c r="CX44" s="1424"/>
      <c r="CY44" s="1424"/>
      <c r="CZ44" s="1424"/>
      <c r="DA44" s="1424"/>
      <c r="DB44" s="1424"/>
      <c r="DC44" s="1424"/>
      <c r="DD44" s="1424"/>
      <c r="DE44" s="1424"/>
      <c r="DF44" s="1424"/>
      <c r="DG44" s="1424"/>
      <c r="DH44" s="1424"/>
      <c r="DI44" s="1424"/>
      <c r="DJ44" s="1424"/>
      <c r="DK44" s="1424"/>
      <c r="DL44" s="1424"/>
      <c r="DM44" s="1424"/>
      <c r="DN44" s="1424"/>
      <c r="DO44" s="1424"/>
      <c r="DP44" s="1424"/>
      <c r="DQ44" s="1424"/>
      <c r="DR44" s="1424"/>
      <c r="DS44" s="1424"/>
      <c r="DT44" s="1424"/>
      <c r="DU44" s="1424"/>
      <c r="DV44" s="1424"/>
      <c r="DW44" s="1424"/>
      <c r="DX44" s="1424"/>
      <c r="DY44" s="1424"/>
      <c r="DZ44" s="1424"/>
      <c r="EA44" s="1424"/>
      <c r="EB44" s="1424"/>
      <c r="EC44" s="1424"/>
      <c r="ED44" s="1424"/>
      <c r="EE44" s="1424"/>
      <c r="EF44" s="1424"/>
      <c r="EG44" s="1424"/>
      <c r="EH44" s="1424"/>
      <c r="EI44" s="1424"/>
      <c r="EJ44" s="1424"/>
      <c r="EK44" s="1424"/>
      <c r="EL44" s="1424"/>
      <c r="EM44" s="1424"/>
      <c r="EN44" s="1424"/>
      <c r="EO44" s="1424"/>
      <c r="EP44" s="1424"/>
      <c r="EQ44" s="1424"/>
      <c r="ER44" s="1424"/>
      <c r="ES44" s="1424"/>
      <c r="ET44" s="1424"/>
      <c r="EU44" s="1424"/>
      <c r="EV44" s="1424"/>
      <c r="EW44" s="1424"/>
      <c r="EX44" s="1424"/>
      <c r="EY44" s="1424"/>
      <c r="EZ44" s="1424"/>
      <c r="FA44" s="1424"/>
      <c r="FB44" s="1424"/>
      <c r="FC44" s="1424"/>
      <c r="FD44" s="1424"/>
      <c r="FE44" s="1424"/>
      <c r="FF44" s="1424"/>
      <c r="FG44" s="1424"/>
      <c r="FH44" s="1424"/>
      <c r="FI44" s="1424"/>
      <c r="FJ44" s="1424"/>
      <c r="FK44" s="1424"/>
      <c r="FL44" s="1424"/>
      <c r="FM44" s="1424"/>
      <c r="FN44" s="1424"/>
      <c r="FO44" s="1424"/>
      <c r="FP44" s="1424"/>
      <c r="FQ44" s="1424"/>
      <c r="FR44" s="1424"/>
      <c r="FS44" s="1424"/>
      <c r="FT44" s="1424"/>
      <c r="FU44" s="1424"/>
      <c r="FV44" s="1424"/>
      <c r="FW44" s="1424"/>
      <c r="FX44" s="1424"/>
      <c r="FY44" s="1424"/>
      <c r="FZ44" s="1424"/>
      <c r="GA44" s="1424"/>
      <c r="GB44" s="1424"/>
      <c r="GC44" s="1424"/>
      <c r="GD44" s="1424"/>
      <c r="GE44" s="1424"/>
      <c r="GF44" s="1424"/>
    </row>
    <row r="45" spans="2:189">
      <c r="C45" s="1424"/>
      <c r="D45" s="1424"/>
      <c r="E45" s="1424"/>
      <c r="F45" s="1424"/>
      <c r="G45" s="1424"/>
      <c r="H45" s="1424"/>
      <c r="I45" s="1424"/>
      <c r="J45" s="1424"/>
      <c r="K45" s="1424"/>
      <c r="L45" s="1424"/>
      <c r="M45" s="1424"/>
      <c r="N45" s="1424"/>
      <c r="O45" s="1424"/>
      <c r="P45" s="1424"/>
      <c r="Q45" s="1424"/>
      <c r="R45" s="1424"/>
      <c r="S45" s="1424"/>
      <c r="T45" s="1424"/>
      <c r="U45" s="1424"/>
      <c r="V45" s="1424"/>
      <c r="W45" s="1424"/>
      <c r="X45" s="1424"/>
      <c r="Y45" s="1424"/>
      <c r="Z45" s="1424"/>
      <c r="AA45" s="1424"/>
      <c r="AB45" s="1424"/>
      <c r="AC45" s="1424"/>
      <c r="AD45" s="1424"/>
      <c r="AE45" s="1424"/>
      <c r="AF45" s="1424"/>
      <c r="AG45" s="1424"/>
      <c r="AH45" s="1424"/>
      <c r="AI45" s="1424"/>
      <c r="AJ45" s="1424"/>
      <c r="AK45" s="1424"/>
      <c r="AL45" s="1424"/>
      <c r="AM45" s="1424"/>
      <c r="AN45" s="1424"/>
      <c r="AO45" s="1424"/>
      <c r="AP45" s="1424"/>
      <c r="AQ45" s="1424"/>
      <c r="AR45" s="1424"/>
      <c r="AS45" s="1424"/>
      <c r="AT45" s="1424"/>
      <c r="AU45" s="1424"/>
      <c r="AV45" s="1424"/>
      <c r="AW45" s="1424"/>
      <c r="AX45" s="1424"/>
      <c r="AY45" s="1424"/>
      <c r="AZ45" s="1424"/>
      <c r="BA45" s="1424"/>
      <c r="BB45" s="1424"/>
      <c r="BC45" s="1424"/>
      <c r="BD45" s="1424"/>
      <c r="BE45" s="1424"/>
      <c r="BF45" s="1424"/>
      <c r="BG45" s="1424"/>
      <c r="BH45" s="1424"/>
      <c r="BI45" s="1424"/>
      <c r="BJ45" s="1424"/>
      <c r="BK45" s="1424"/>
      <c r="BL45" s="1424"/>
      <c r="BM45" s="1424"/>
      <c r="BN45" s="1424"/>
      <c r="BO45" s="1424"/>
      <c r="BP45" s="1424"/>
      <c r="BQ45" s="1424"/>
      <c r="BR45" s="1424"/>
      <c r="BS45" s="1424"/>
      <c r="BT45" s="1424"/>
      <c r="BU45" s="1424"/>
      <c r="BV45" s="1424"/>
      <c r="BW45" s="1424"/>
      <c r="BX45" s="1424"/>
      <c r="BY45" s="1424"/>
      <c r="BZ45" s="1424"/>
      <c r="CA45" s="1424"/>
      <c r="CB45" s="1424"/>
      <c r="CC45" s="1424"/>
      <c r="CD45" s="1424"/>
      <c r="CE45" s="1424"/>
      <c r="CF45" s="1424"/>
      <c r="CG45" s="1424"/>
      <c r="CH45" s="1424"/>
      <c r="CI45" s="1424"/>
      <c r="CJ45" s="1424"/>
      <c r="CK45" s="1424"/>
      <c r="CL45" s="1424"/>
      <c r="CM45" s="1424"/>
      <c r="CN45" s="1424"/>
      <c r="CO45" s="1424"/>
      <c r="CP45" s="1424"/>
      <c r="CQ45" s="1424"/>
      <c r="CR45" s="1424"/>
      <c r="CS45" s="1424"/>
      <c r="CT45" s="1424"/>
      <c r="CU45" s="1424"/>
      <c r="CV45" s="1424"/>
      <c r="CW45" s="1424"/>
      <c r="CX45" s="1424"/>
      <c r="CY45" s="1424"/>
      <c r="CZ45" s="1424"/>
      <c r="DA45" s="1424"/>
      <c r="DB45" s="1424"/>
      <c r="DC45" s="1424"/>
      <c r="DD45" s="1424"/>
      <c r="DE45" s="1424"/>
      <c r="DF45" s="1424"/>
      <c r="DG45" s="1424"/>
      <c r="DH45" s="1424"/>
      <c r="DI45" s="1424"/>
      <c r="DJ45" s="1424"/>
      <c r="DK45" s="1424"/>
      <c r="DL45" s="1424"/>
      <c r="DM45" s="1424"/>
      <c r="DN45" s="1424"/>
      <c r="DO45" s="1424"/>
      <c r="DP45" s="1424"/>
      <c r="DQ45" s="1424"/>
      <c r="DR45" s="1424"/>
      <c r="DS45" s="1424"/>
      <c r="DT45" s="1424"/>
      <c r="DU45" s="1424"/>
      <c r="DV45" s="1424"/>
      <c r="DW45" s="1424"/>
      <c r="DX45" s="1424"/>
      <c r="DY45" s="1424"/>
      <c r="DZ45" s="1424"/>
      <c r="EA45" s="1424"/>
      <c r="EB45" s="1424"/>
      <c r="EC45" s="1424"/>
      <c r="ED45" s="1424"/>
      <c r="EE45" s="1424"/>
      <c r="EF45" s="1424"/>
      <c r="EG45" s="1424"/>
      <c r="EH45" s="1424"/>
      <c r="EI45" s="1424"/>
      <c r="EJ45" s="1424"/>
      <c r="EK45" s="1424"/>
      <c r="EL45" s="1424"/>
      <c r="EM45" s="1424"/>
      <c r="EN45" s="1424"/>
      <c r="EO45" s="1424"/>
      <c r="EP45" s="1424"/>
      <c r="EQ45" s="1424"/>
      <c r="ER45" s="1424"/>
      <c r="ES45" s="1424"/>
      <c r="ET45" s="1424"/>
      <c r="EU45" s="1424"/>
      <c r="EV45" s="1424"/>
      <c r="EW45" s="1424"/>
      <c r="EX45" s="1424"/>
      <c r="EY45" s="1424"/>
      <c r="EZ45" s="1424"/>
      <c r="FA45" s="1424"/>
      <c r="FB45" s="1424"/>
      <c r="FC45" s="1424"/>
      <c r="FD45" s="1424"/>
      <c r="FE45" s="1424"/>
      <c r="FF45" s="1424"/>
      <c r="FG45" s="1424"/>
      <c r="FH45" s="1424"/>
      <c r="FI45" s="1424"/>
      <c r="FJ45" s="1424"/>
      <c r="FK45" s="1424"/>
      <c r="FL45" s="1424"/>
      <c r="FM45" s="1424"/>
      <c r="FN45" s="1424"/>
      <c r="FO45" s="1424"/>
      <c r="FP45" s="1424"/>
      <c r="FQ45" s="1424"/>
      <c r="FR45" s="1424"/>
      <c r="FS45" s="1424"/>
      <c r="FT45" s="1424"/>
      <c r="FU45" s="1424"/>
      <c r="FV45" s="1424"/>
      <c r="FW45" s="1424"/>
      <c r="FX45" s="1424"/>
      <c r="FY45" s="1424"/>
      <c r="FZ45" s="1424"/>
      <c r="GA45" s="1424"/>
      <c r="GB45" s="1424"/>
      <c r="GC45" s="1424"/>
      <c r="GD45" s="1424"/>
      <c r="GE45" s="1424"/>
      <c r="GF45" s="1424"/>
    </row>
    <row r="46" spans="2:189" s="1368" customFormat="1">
      <c r="B46" s="1372">
        <v>43101</v>
      </c>
      <c r="C46" s="1422"/>
      <c r="D46" s="1422"/>
      <c r="E46" s="1422">
        <v>544779.59</v>
      </c>
      <c r="F46" s="1422"/>
      <c r="G46" s="1422">
        <v>544779.59</v>
      </c>
      <c r="H46" s="1422"/>
      <c r="I46" s="1422"/>
      <c r="J46" s="1422">
        <v>205129.38999999998</v>
      </c>
      <c r="K46" s="1422">
        <v>205129.38999999998</v>
      </c>
      <c r="L46" s="1422">
        <v>205129.38999999998</v>
      </c>
      <c r="M46" s="1422"/>
      <c r="N46" s="1422">
        <v>0</v>
      </c>
      <c r="O46" s="1422"/>
      <c r="P46" s="1422"/>
      <c r="Q46" s="1422">
        <v>0</v>
      </c>
      <c r="R46" s="1422"/>
      <c r="S46" s="1422"/>
      <c r="T46" s="1422"/>
      <c r="U46" s="1422">
        <v>0</v>
      </c>
      <c r="V46" s="1422">
        <v>0</v>
      </c>
      <c r="W46" s="1422">
        <v>0</v>
      </c>
      <c r="X46" s="1422"/>
      <c r="Y46" s="1422"/>
      <c r="Z46" s="1422">
        <v>0</v>
      </c>
      <c r="AA46" s="1422"/>
      <c r="AB46" s="1422"/>
      <c r="AC46" s="1422">
        <v>0</v>
      </c>
      <c r="AD46" s="1422"/>
      <c r="AE46" s="1422"/>
      <c r="AF46" s="1422"/>
      <c r="AG46" s="1422">
        <v>0</v>
      </c>
      <c r="AH46" s="1422"/>
      <c r="AI46" s="1422"/>
      <c r="AJ46" s="1422"/>
      <c r="AK46" s="1422"/>
      <c r="AL46" s="1422">
        <v>0</v>
      </c>
      <c r="AM46" s="1422"/>
      <c r="AN46" s="1422"/>
      <c r="AO46" s="1422"/>
      <c r="AP46" s="1422"/>
      <c r="AQ46" s="1422">
        <v>0</v>
      </c>
      <c r="AR46" s="1422">
        <v>0</v>
      </c>
      <c r="AS46" s="1422">
        <v>0</v>
      </c>
      <c r="AT46" s="1422">
        <v>0</v>
      </c>
      <c r="AU46" s="1422"/>
      <c r="AV46" s="1422"/>
      <c r="AW46" s="1422"/>
      <c r="AX46" s="1422"/>
      <c r="AY46" s="1422">
        <v>5379757.9699999997</v>
      </c>
      <c r="AZ46" s="1422">
        <v>0</v>
      </c>
      <c r="BA46" s="1422">
        <v>0</v>
      </c>
      <c r="BB46" s="1422"/>
      <c r="BC46" s="1422">
        <v>191391.25</v>
      </c>
      <c r="BD46" s="1422">
        <v>5188366.72</v>
      </c>
      <c r="BE46" s="1422">
        <v>0</v>
      </c>
      <c r="BF46" s="1422"/>
      <c r="BG46" s="1422"/>
      <c r="BH46" s="1422"/>
      <c r="BI46" s="1422"/>
      <c r="BJ46" s="1422"/>
      <c r="BK46" s="1422"/>
      <c r="BL46" s="1422">
        <v>0</v>
      </c>
      <c r="BM46" s="1422">
        <v>0</v>
      </c>
      <c r="BN46" s="1422"/>
      <c r="BO46" s="1422"/>
      <c r="BP46" s="1422"/>
      <c r="BQ46" s="1422"/>
      <c r="BR46" s="1422"/>
      <c r="BS46" s="1422"/>
      <c r="BT46" s="1422">
        <v>0</v>
      </c>
      <c r="BU46" s="1422">
        <v>0</v>
      </c>
      <c r="BV46" s="1422"/>
      <c r="BW46" s="1422"/>
      <c r="BX46" s="1422"/>
      <c r="BY46" s="1422"/>
      <c r="BZ46" s="1422">
        <v>0</v>
      </c>
      <c r="CA46" s="1422"/>
      <c r="CB46" s="1422"/>
      <c r="CC46" s="1422"/>
      <c r="CD46" s="1422"/>
      <c r="CE46" s="1422"/>
      <c r="CF46" s="1422"/>
      <c r="CG46" s="1422"/>
      <c r="CH46" s="1422"/>
      <c r="CI46" s="1422"/>
      <c r="CJ46" s="1422"/>
      <c r="CK46" s="1422"/>
      <c r="CL46" s="1422"/>
      <c r="CM46" s="1422"/>
      <c r="CN46" s="1422">
        <v>0</v>
      </c>
      <c r="CO46" s="1422">
        <v>0</v>
      </c>
      <c r="CP46" s="1422"/>
      <c r="CQ46" s="1422"/>
      <c r="CR46" s="1422"/>
      <c r="CS46" s="1422"/>
      <c r="CT46" s="1422"/>
      <c r="CU46" s="1422">
        <v>0</v>
      </c>
      <c r="CV46" s="1422"/>
      <c r="CW46" s="1422"/>
      <c r="CX46" s="1422"/>
      <c r="CY46" s="1422"/>
      <c r="CZ46" s="1422"/>
      <c r="DA46" s="1422"/>
      <c r="DB46" s="1422">
        <v>0</v>
      </c>
      <c r="DC46" s="1422"/>
      <c r="DD46" s="1422"/>
      <c r="DE46" s="1422"/>
      <c r="DF46" s="1422">
        <v>47251443.900000006</v>
      </c>
      <c r="DG46" s="1422">
        <v>0</v>
      </c>
      <c r="DH46" s="1422">
        <v>0</v>
      </c>
      <c r="DI46" s="1422"/>
      <c r="DJ46" s="1422"/>
      <c r="DK46" s="1422">
        <v>0</v>
      </c>
      <c r="DL46" s="1422"/>
      <c r="DM46" s="1422"/>
      <c r="DN46" s="1422">
        <v>0</v>
      </c>
      <c r="DO46" s="1422"/>
      <c r="DP46" s="1422"/>
      <c r="DQ46" s="1422">
        <v>47251443.900000006</v>
      </c>
      <c r="DR46" s="1422">
        <v>1461833.6509821659</v>
      </c>
      <c r="DS46" s="1422">
        <v>45789610.249017842</v>
      </c>
      <c r="DT46" s="1422"/>
      <c r="DU46" s="1422"/>
      <c r="DV46" s="1422">
        <v>0</v>
      </c>
      <c r="DW46" s="1422"/>
      <c r="DX46" s="1422"/>
      <c r="DY46" s="1422"/>
      <c r="DZ46" s="1422">
        <v>0</v>
      </c>
      <c r="EA46" s="1422">
        <v>0</v>
      </c>
      <c r="EB46" s="1422"/>
      <c r="EC46" s="1422"/>
      <c r="ED46" s="1422">
        <v>0</v>
      </c>
      <c r="EE46" s="1422"/>
      <c r="EF46" s="1422"/>
      <c r="EG46" s="1422">
        <v>0</v>
      </c>
      <c r="EH46" s="1422"/>
      <c r="EI46" s="1422"/>
      <c r="EJ46" s="1422"/>
      <c r="EK46" s="1422">
        <v>0</v>
      </c>
      <c r="EL46" s="1422"/>
      <c r="EM46" s="1422">
        <v>0</v>
      </c>
      <c r="EN46" s="1422"/>
      <c r="EO46" s="1422"/>
      <c r="EP46" s="1422"/>
      <c r="EQ46" s="1422">
        <v>0</v>
      </c>
      <c r="ER46" s="1422"/>
      <c r="ES46" s="1422"/>
      <c r="ET46" s="1422"/>
      <c r="EU46" s="1422">
        <v>0</v>
      </c>
      <c r="EV46" s="1422"/>
      <c r="EW46" s="1422"/>
      <c r="EX46" s="1422"/>
      <c r="EY46" s="1422"/>
      <c r="EZ46" s="1422">
        <v>0</v>
      </c>
      <c r="FA46" s="1422"/>
      <c r="FB46" s="1422">
        <v>0</v>
      </c>
      <c r="FC46" s="1422"/>
      <c r="FD46" s="1422"/>
      <c r="FE46" s="1422"/>
      <c r="FF46" s="1422">
        <v>0</v>
      </c>
      <c r="FG46" s="1422"/>
      <c r="FH46" s="1422"/>
      <c r="FI46" s="1422"/>
      <c r="FJ46" s="1422">
        <v>0</v>
      </c>
      <c r="FK46" s="1422"/>
      <c r="FL46" s="1422"/>
      <c r="FM46" s="1422"/>
      <c r="FN46" s="1422"/>
      <c r="FO46" s="1422">
        <v>0</v>
      </c>
      <c r="FP46" s="1422"/>
      <c r="FQ46" s="1422"/>
      <c r="FR46" s="1422"/>
      <c r="FS46" s="1422"/>
      <c r="FT46" s="1422"/>
      <c r="FU46" s="1422"/>
      <c r="FV46" s="1422"/>
      <c r="FW46" s="1422">
        <v>17786437.041444447</v>
      </c>
      <c r="FX46" s="1422">
        <v>17725469.400000002</v>
      </c>
      <c r="FY46" s="1422">
        <v>48501.011444444535</v>
      </c>
      <c r="FZ46" s="1422">
        <v>12466.630000000005</v>
      </c>
      <c r="GA46" s="1422"/>
      <c r="GB46" s="1422">
        <v>3680677.857915001</v>
      </c>
      <c r="GC46" s="1422"/>
      <c r="GD46" s="1422"/>
      <c r="GE46" s="1422"/>
      <c r="GF46" s="1422">
        <v>74848225.749359459</v>
      </c>
    </row>
    <row r="47" spans="2:189" s="1368" customFormat="1">
      <c r="B47" s="1372">
        <v>43132</v>
      </c>
      <c r="C47" s="1422"/>
      <c r="D47" s="1422"/>
      <c r="E47" s="1422">
        <v>542113.59</v>
      </c>
      <c r="F47" s="1422"/>
      <c r="G47" s="1422">
        <v>542113.59</v>
      </c>
      <c r="H47" s="1422"/>
      <c r="I47" s="1422"/>
      <c r="J47" s="1422">
        <v>205129.38999999998</v>
      </c>
      <c r="K47" s="1422">
        <v>205129.38999999998</v>
      </c>
      <c r="L47" s="1422">
        <v>205129.38999999998</v>
      </c>
      <c r="M47" s="1422"/>
      <c r="N47" s="1422">
        <v>0</v>
      </c>
      <c r="O47" s="1422"/>
      <c r="P47" s="1422"/>
      <c r="Q47" s="1422">
        <v>0</v>
      </c>
      <c r="R47" s="1422"/>
      <c r="S47" s="1422"/>
      <c r="T47" s="1422"/>
      <c r="U47" s="1422">
        <v>0</v>
      </c>
      <c r="V47" s="1422">
        <v>0</v>
      </c>
      <c r="W47" s="1422">
        <v>0</v>
      </c>
      <c r="X47" s="1422"/>
      <c r="Y47" s="1422"/>
      <c r="Z47" s="1422">
        <v>0</v>
      </c>
      <c r="AA47" s="1422"/>
      <c r="AB47" s="1422"/>
      <c r="AC47" s="1422">
        <v>0</v>
      </c>
      <c r="AD47" s="1422"/>
      <c r="AE47" s="1422"/>
      <c r="AF47" s="1422"/>
      <c r="AG47" s="1422">
        <v>0</v>
      </c>
      <c r="AH47" s="1422"/>
      <c r="AI47" s="1422"/>
      <c r="AJ47" s="1422"/>
      <c r="AK47" s="1422"/>
      <c r="AL47" s="1422">
        <v>0</v>
      </c>
      <c r="AM47" s="1422"/>
      <c r="AN47" s="1422"/>
      <c r="AO47" s="1422"/>
      <c r="AP47" s="1422"/>
      <c r="AQ47" s="1422">
        <v>0</v>
      </c>
      <c r="AR47" s="1422">
        <v>0</v>
      </c>
      <c r="AS47" s="1422">
        <v>0</v>
      </c>
      <c r="AT47" s="1422">
        <v>0</v>
      </c>
      <c r="AU47" s="1422"/>
      <c r="AV47" s="1422"/>
      <c r="AW47" s="1422"/>
      <c r="AX47" s="1422"/>
      <c r="AY47" s="1422">
        <v>5188366.72</v>
      </c>
      <c r="AZ47" s="1422">
        <v>0</v>
      </c>
      <c r="BA47" s="1422">
        <v>0</v>
      </c>
      <c r="BB47" s="1422"/>
      <c r="BC47" s="1422">
        <v>0</v>
      </c>
      <c r="BD47" s="1422">
        <v>5188366.72</v>
      </c>
      <c r="BE47" s="1422">
        <v>0</v>
      </c>
      <c r="BF47" s="1422"/>
      <c r="BG47" s="1422"/>
      <c r="BH47" s="1422"/>
      <c r="BI47" s="1422"/>
      <c r="BJ47" s="1422"/>
      <c r="BK47" s="1422"/>
      <c r="BL47" s="1422">
        <v>0</v>
      </c>
      <c r="BM47" s="1422">
        <v>0</v>
      </c>
      <c r="BN47" s="1422"/>
      <c r="BO47" s="1422"/>
      <c r="BP47" s="1422"/>
      <c r="BQ47" s="1422"/>
      <c r="BR47" s="1422"/>
      <c r="BS47" s="1422"/>
      <c r="BT47" s="1422">
        <v>0</v>
      </c>
      <c r="BU47" s="1422">
        <v>0</v>
      </c>
      <c r="BV47" s="1422"/>
      <c r="BW47" s="1422"/>
      <c r="BX47" s="1422"/>
      <c r="BY47" s="1422"/>
      <c r="BZ47" s="1422">
        <v>0</v>
      </c>
      <c r="CA47" s="1422"/>
      <c r="CB47" s="1422"/>
      <c r="CC47" s="1422"/>
      <c r="CD47" s="1422"/>
      <c r="CE47" s="1422"/>
      <c r="CF47" s="1422"/>
      <c r="CG47" s="1422"/>
      <c r="CH47" s="1422"/>
      <c r="CI47" s="1422"/>
      <c r="CJ47" s="1422"/>
      <c r="CK47" s="1422"/>
      <c r="CL47" s="1422"/>
      <c r="CM47" s="1422"/>
      <c r="CN47" s="1422">
        <v>0</v>
      </c>
      <c r="CO47" s="1422">
        <v>0</v>
      </c>
      <c r="CP47" s="1422"/>
      <c r="CQ47" s="1422"/>
      <c r="CR47" s="1422"/>
      <c r="CS47" s="1422"/>
      <c r="CT47" s="1422"/>
      <c r="CU47" s="1422">
        <v>0</v>
      </c>
      <c r="CV47" s="1422"/>
      <c r="CW47" s="1422"/>
      <c r="CX47" s="1422"/>
      <c r="CY47" s="1422"/>
      <c r="CZ47" s="1422"/>
      <c r="DA47" s="1422"/>
      <c r="DB47" s="1422">
        <v>0</v>
      </c>
      <c r="DC47" s="1422"/>
      <c r="DD47" s="1422"/>
      <c r="DE47" s="1422"/>
      <c r="DF47" s="1422">
        <v>47442835.150000006</v>
      </c>
      <c r="DG47" s="1422">
        <v>0</v>
      </c>
      <c r="DH47" s="1422">
        <v>0</v>
      </c>
      <c r="DI47" s="1422"/>
      <c r="DJ47" s="1422"/>
      <c r="DK47" s="1422">
        <v>0</v>
      </c>
      <c r="DL47" s="1422"/>
      <c r="DM47" s="1422"/>
      <c r="DN47" s="1422">
        <v>0</v>
      </c>
      <c r="DO47" s="1422"/>
      <c r="DP47" s="1422"/>
      <c r="DQ47" s="1422">
        <v>47442835.150000006</v>
      </c>
      <c r="DR47" s="1422">
        <v>1461833.6509821659</v>
      </c>
      <c r="DS47" s="1422">
        <v>45981001.499017842</v>
      </c>
      <c r="DT47" s="1422"/>
      <c r="DU47" s="1422"/>
      <c r="DV47" s="1422">
        <v>0</v>
      </c>
      <c r="DW47" s="1422"/>
      <c r="DX47" s="1422"/>
      <c r="DY47" s="1422"/>
      <c r="DZ47" s="1422">
        <v>0</v>
      </c>
      <c r="EA47" s="1422">
        <v>0</v>
      </c>
      <c r="EB47" s="1422"/>
      <c r="EC47" s="1422"/>
      <c r="ED47" s="1422">
        <v>0</v>
      </c>
      <c r="EE47" s="1422"/>
      <c r="EF47" s="1422"/>
      <c r="EG47" s="1422">
        <v>0</v>
      </c>
      <c r="EH47" s="1422"/>
      <c r="EI47" s="1422"/>
      <c r="EJ47" s="1422"/>
      <c r="EK47" s="1422">
        <v>0</v>
      </c>
      <c r="EL47" s="1422"/>
      <c r="EM47" s="1422">
        <v>0</v>
      </c>
      <c r="EN47" s="1422"/>
      <c r="EO47" s="1422"/>
      <c r="EP47" s="1422"/>
      <c r="EQ47" s="1422">
        <v>0</v>
      </c>
      <c r="ER47" s="1422"/>
      <c r="ES47" s="1422"/>
      <c r="ET47" s="1422"/>
      <c r="EU47" s="1422">
        <v>0</v>
      </c>
      <c r="EV47" s="1422"/>
      <c r="EW47" s="1422"/>
      <c r="EX47" s="1422"/>
      <c r="EY47" s="1422"/>
      <c r="EZ47" s="1422">
        <v>0</v>
      </c>
      <c r="FA47" s="1422"/>
      <c r="FB47" s="1422">
        <v>0</v>
      </c>
      <c r="FC47" s="1422"/>
      <c r="FD47" s="1422"/>
      <c r="FE47" s="1422"/>
      <c r="FF47" s="1422">
        <v>0</v>
      </c>
      <c r="FG47" s="1422"/>
      <c r="FH47" s="1422"/>
      <c r="FI47" s="1422"/>
      <c r="FJ47" s="1422">
        <v>0</v>
      </c>
      <c r="FK47" s="1422"/>
      <c r="FL47" s="1422"/>
      <c r="FM47" s="1422"/>
      <c r="FN47" s="1422"/>
      <c r="FO47" s="1422">
        <v>0</v>
      </c>
      <c r="FP47" s="1422"/>
      <c r="FQ47" s="1422"/>
      <c r="FR47" s="1422"/>
      <c r="FS47" s="1422"/>
      <c r="FT47" s="1422"/>
      <c r="FU47" s="1422"/>
      <c r="FV47" s="1422"/>
      <c r="FW47" s="1422">
        <v>17786437.041444447</v>
      </c>
      <c r="FX47" s="1422">
        <v>17725469.400000002</v>
      </c>
      <c r="FY47" s="1422">
        <v>48501.011444444535</v>
      </c>
      <c r="FZ47" s="1422">
        <v>12466.630000000005</v>
      </c>
      <c r="GA47" s="1422"/>
      <c r="GB47" s="1422">
        <v>3873826.857915001</v>
      </c>
      <c r="GC47" s="1422"/>
      <c r="GD47" s="1422"/>
      <c r="GE47" s="1422"/>
      <c r="GF47" s="1422">
        <v>75038708.749359459</v>
      </c>
    </row>
    <row r="48" spans="2:189" s="1368" customFormat="1">
      <c r="B48" s="1372">
        <v>43160</v>
      </c>
      <c r="C48" s="1422">
        <v>71768.390000000014</v>
      </c>
      <c r="D48" s="1422"/>
      <c r="E48" s="1422">
        <v>635486.38</v>
      </c>
      <c r="F48" s="1422"/>
      <c r="G48" s="1422">
        <v>635486.38</v>
      </c>
      <c r="H48" s="1422"/>
      <c r="I48" s="1422"/>
      <c r="J48" s="1422">
        <v>0</v>
      </c>
      <c r="K48" s="1422">
        <v>0</v>
      </c>
      <c r="L48" s="1422">
        <v>0</v>
      </c>
      <c r="M48" s="1422"/>
      <c r="N48" s="1422">
        <v>0</v>
      </c>
      <c r="O48" s="1422"/>
      <c r="P48" s="1422"/>
      <c r="Q48" s="1422">
        <v>0</v>
      </c>
      <c r="R48" s="1422"/>
      <c r="S48" s="1422"/>
      <c r="T48" s="1422"/>
      <c r="U48" s="1422">
        <v>0</v>
      </c>
      <c r="V48" s="1422">
        <v>0</v>
      </c>
      <c r="W48" s="1422">
        <v>0</v>
      </c>
      <c r="X48" s="1422"/>
      <c r="Y48" s="1422"/>
      <c r="Z48" s="1422">
        <v>0</v>
      </c>
      <c r="AA48" s="1422"/>
      <c r="AB48" s="1422"/>
      <c r="AC48" s="1422">
        <v>0</v>
      </c>
      <c r="AD48" s="1422"/>
      <c r="AE48" s="1422"/>
      <c r="AF48" s="1422"/>
      <c r="AG48" s="1422">
        <v>0</v>
      </c>
      <c r="AH48" s="1422"/>
      <c r="AI48" s="1422"/>
      <c r="AJ48" s="1422"/>
      <c r="AK48" s="1422"/>
      <c r="AL48" s="1422">
        <v>0</v>
      </c>
      <c r="AM48" s="1422"/>
      <c r="AN48" s="1422"/>
      <c r="AO48" s="1422"/>
      <c r="AP48" s="1422"/>
      <c r="AQ48" s="1422">
        <v>3361</v>
      </c>
      <c r="AR48" s="1422">
        <v>0</v>
      </c>
      <c r="AS48" s="1422">
        <v>3361</v>
      </c>
      <c r="AT48" s="1422">
        <v>3361</v>
      </c>
      <c r="AU48" s="1422"/>
      <c r="AV48" s="1422"/>
      <c r="AW48" s="1422"/>
      <c r="AX48" s="1422"/>
      <c r="AY48" s="1422">
        <v>5188366.72</v>
      </c>
      <c r="AZ48" s="1422">
        <v>0</v>
      </c>
      <c r="BA48" s="1422">
        <v>0</v>
      </c>
      <c r="BB48" s="1422"/>
      <c r="BC48" s="1422">
        <v>0</v>
      </c>
      <c r="BD48" s="1422">
        <v>5188366.72</v>
      </c>
      <c r="BE48" s="1422">
        <v>0</v>
      </c>
      <c r="BF48" s="1422"/>
      <c r="BG48" s="1422"/>
      <c r="BH48" s="1422"/>
      <c r="BI48" s="1422"/>
      <c r="BJ48" s="1422"/>
      <c r="BK48" s="1422"/>
      <c r="BL48" s="1422">
        <v>0</v>
      </c>
      <c r="BM48" s="1422">
        <v>0</v>
      </c>
      <c r="BN48" s="1422"/>
      <c r="BO48" s="1422"/>
      <c r="BP48" s="1422"/>
      <c r="BQ48" s="1422"/>
      <c r="BR48" s="1422"/>
      <c r="BS48" s="1422"/>
      <c r="BT48" s="1422">
        <v>0</v>
      </c>
      <c r="BU48" s="1422">
        <v>0</v>
      </c>
      <c r="BV48" s="1422"/>
      <c r="BW48" s="1422"/>
      <c r="BX48" s="1422"/>
      <c r="BY48" s="1422"/>
      <c r="BZ48" s="1422">
        <v>0</v>
      </c>
      <c r="CA48" s="1422"/>
      <c r="CB48" s="1422"/>
      <c r="CC48" s="1422"/>
      <c r="CD48" s="1422"/>
      <c r="CE48" s="1422"/>
      <c r="CF48" s="1422"/>
      <c r="CG48" s="1422"/>
      <c r="CH48" s="1422"/>
      <c r="CI48" s="1422"/>
      <c r="CJ48" s="1422"/>
      <c r="CK48" s="1422"/>
      <c r="CL48" s="1422"/>
      <c r="CM48" s="1422"/>
      <c r="CN48" s="1422">
        <v>0</v>
      </c>
      <c r="CO48" s="1422">
        <v>0</v>
      </c>
      <c r="CP48" s="1422"/>
      <c r="CQ48" s="1422"/>
      <c r="CR48" s="1422"/>
      <c r="CS48" s="1422"/>
      <c r="CT48" s="1422"/>
      <c r="CU48" s="1422">
        <v>0</v>
      </c>
      <c r="CV48" s="1422"/>
      <c r="CW48" s="1422"/>
      <c r="CX48" s="1422"/>
      <c r="CY48" s="1422"/>
      <c r="CZ48" s="1422"/>
      <c r="DA48" s="1422"/>
      <c r="DB48" s="1422">
        <v>0</v>
      </c>
      <c r="DC48" s="1422"/>
      <c r="DD48" s="1422"/>
      <c r="DE48" s="1422"/>
      <c r="DF48" s="1422">
        <v>47442835.150000006</v>
      </c>
      <c r="DG48" s="1422">
        <v>0</v>
      </c>
      <c r="DH48" s="1422">
        <v>0</v>
      </c>
      <c r="DI48" s="1422"/>
      <c r="DJ48" s="1422"/>
      <c r="DK48" s="1422">
        <v>0</v>
      </c>
      <c r="DL48" s="1422"/>
      <c r="DM48" s="1422"/>
      <c r="DN48" s="1422">
        <v>0</v>
      </c>
      <c r="DO48" s="1422"/>
      <c r="DP48" s="1422"/>
      <c r="DQ48" s="1422">
        <v>47442835.150000006</v>
      </c>
      <c r="DR48" s="1422">
        <v>1461833.6509821659</v>
      </c>
      <c r="DS48" s="1422">
        <v>45981001.499017842</v>
      </c>
      <c r="DT48" s="1422"/>
      <c r="DU48" s="1422"/>
      <c r="DV48" s="1422">
        <v>0</v>
      </c>
      <c r="DW48" s="1422"/>
      <c r="DX48" s="1422"/>
      <c r="DY48" s="1422"/>
      <c r="DZ48" s="1422">
        <v>0</v>
      </c>
      <c r="EA48" s="1422">
        <v>0</v>
      </c>
      <c r="EB48" s="1422"/>
      <c r="EC48" s="1422"/>
      <c r="ED48" s="1422">
        <v>0</v>
      </c>
      <c r="EE48" s="1422"/>
      <c r="EF48" s="1422"/>
      <c r="EG48" s="1422">
        <v>0</v>
      </c>
      <c r="EH48" s="1422"/>
      <c r="EI48" s="1422"/>
      <c r="EJ48" s="1422"/>
      <c r="EK48" s="1422">
        <v>0</v>
      </c>
      <c r="EL48" s="1422"/>
      <c r="EM48" s="1422">
        <v>0</v>
      </c>
      <c r="EN48" s="1422"/>
      <c r="EO48" s="1422"/>
      <c r="EP48" s="1422"/>
      <c r="EQ48" s="1422">
        <v>0</v>
      </c>
      <c r="ER48" s="1422"/>
      <c r="ES48" s="1422"/>
      <c r="ET48" s="1422"/>
      <c r="EU48" s="1422">
        <v>0</v>
      </c>
      <c r="EV48" s="1422"/>
      <c r="EW48" s="1422"/>
      <c r="EX48" s="1422"/>
      <c r="EY48" s="1422"/>
      <c r="EZ48" s="1422">
        <v>0</v>
      </c>
      <c r="FA48" s="1422"/>
      <c r="FB48" s="1422">
        <v>0</v>
      </c>
      <c r="FC48" s="1422"/>
      <c r="FD48" s="1422"/>
      <c r="FE48" s="1422"/>
      <c r="FF48" s="1422">
        <v>0</v>
      </c>
      <c r="FG48" s="1422"/>
      <c r="FH48" s="1422"/>
      <c r="FI48" s="1422"/>
      <c r="FJ48" s="1422">
        <v>0</v>
      </c>
      <c r="FK48" s="1422"/>
      <c r="FL48" s="1422"/>
      <c r="FM48" s="1422"/>
      <c r="FN48" s="1422"/>
      <c r="FO48" s="1422">
        <v>0</v>
      </c>
      <c r="FP48" s="1422"/>
      <c r="FQ48" s="1422"/>
      <c r="FR48" s="1422"/>
      <c r="FS48" s="1422"/>
      <c r="FT48" s="1422"/>
      <c r="FU48" s="1422"/>
      <c r="FV48" s="1422"/>
      <c r="FW48" s="1422">
        <v>17786437.041444447</v>
      </c>
      <c r="FX48" s="1422">
        <v>17725469.400000002</v>
      </c>
      <c r="FY48" s="1422">
        <v>48501.011444444535</v>
      </c>
      <c r="FZ48" s="1422">
        <v>12466.630000000005</v>
      </c>
      <c r="GA48" s="1422"/>
      <c r="GB48" s="1422">
        <v>3800538.857915001</v>
      </c>
      <c r="GC48" s="1422"/>
      <c r="GD48" s="1422"/>
      <c r="GE48" s="1422"/>
      <c r="GF48" s="1422">
        <v>74928793.53935945</v>
      </c>
    </row>
    <row r="49" spans="2:190" s="1368" customFormat="1">
      <c r="B49" s="1372">
        <v>43191</v>
      </c>
      <c r="C49" s="1422">
        <v>71768.390000000014</v>
      </c>
      <c r="D49" s="1422"/>
      <c r="E49" s="1422">
        <v>823496.99</v>
      </c>
      <c r="F49" s="1422"/>
      <c r="G49" s="1422">
        <v>823496.99</v>
      </c>
      <c r="H49" s="1422"/>
      <c r="I49" s="1422"/>
      <c r="J49" s="1422">
        <v>0</v>
      </c>
      <c r="K49" s="1422">
        <v>0</v>
      </c>
      <c r="L49" s="1422">
        <v>0</v>
      </c>
      <c r="M49" s="1422"/>
      <c r="N49" s="1422">
        <v>0</v>
      </c>
      <c r="O49" s="1422"/>
      <c r="P49" s="1422"/>
      <c r="Q49" s="1422">
        <v>0</v>
      </c>
      <c r="R49" s="1422"/>
      <c r="S49" s="1422"/>
      <c r="T49" s="1422"/>
      <c r="U49" s="1422">
        <v>0</v>
      </c>
      <c r="V49" s="1422">
        <v>0</v>
      </c>
      <c r="W49" s="1422">
        <v>0</v>
      </c>
      <c r="X49" s="1422"/>
      <c r="Y49" s="1422"/>
      <c r="Z49" s="1422">
        <v>0</v>
      </c>
      <c r="AA49" s="1422"/>
      <c r="AB49" s="1422"/>
      <c r="AC49" s="1422">
        <v>0</v>
      </c>
      <c r="AD49" s="1422"/>
      <c r="AE49" s="1422"/>
      <c r="AF49" s="1422"/>
      <c r="AG49" s="1422">
        <v>0</v>
      </c>
      <c r="AH49" s="1422"/>
      <c r="AI49" s="1422"/>
      <c r="AJ49" s="1422"/>
      <c r="AK49" s="1422"/>
      <c r="AL49" s="1422">
        <v>0</v>
      </c>
      <c r="AM49" s="1422"/>
      <c r="AN49" s="1422"/>
      <c r="AO49" s="1422"/>
      <c r="AP49" s="1422"/>
      <c r="AQ49" s="1422">
        <v>3361</v>
      </c>
      <c r="AR49" s="1422">
        <v>0</v>
      </c>
      <c r="AS49" s="1422">
        <v>3361</v>
      </c>
      <c r="AT49" s="1422">
        <v>3361</v>
      </c>
      <c r="AU49" s="1422"/>
      <c r="AV49" s="1422"/>
      <c r="AW49" s="1422"/>
      <c r="AX49" s="1422"/>
      <c r="AY49" s="1422">
        <v>5188366.72</v>
      </c>
      <c r="AZ49" s="1422">
        <v>0</v>
      </c>
      <c r="BA49" s="1422">
        <v>0</v>
      </c>
      <c r="BB49" s="1422"/>
      <c r="BC49" s="1422">
        <v>0</v>
      </c>
      <c r="BD49" s="1422">
        <v>5188366.72</v>
      </c>
      <c r="BE49" s="1422">
        <v>0</v>
      </c>
      <c r="BF49" s="1422"/>
      <c r="BG49" s="1422"/>
      <c r="BH49" s="1422"/>
      <c r="BI49" s="1422"/>
      <c r="BJ49" s="1422"/>
      <c r="BK49" s="1422"/>
      <c r="BL49" s="1422">
        <v>0</v>
      </c>
      <c r="BM49" s="1422">
        <v>0</v>
      </c>
      <c r="BN49" s="1422"/>
      <c r="BO49" s="1422"/>
      <c r="BP49" s="1422"/>
      <c r="BQ49" s="1422"/>
      <c r="BR49" s="1422"/>
      <c r="BS49" s="1422"/>
      <c r="BT49" s="1422">
        <v>0</v>
      </c>
      <c r="BU49" s="1422">
        <v>0</v>
      </c>
      <c r="BV49" s="1422"/>
      <c r="BW49" s="1422"/>
      <c r="BX49" s="1422"/>
      <c r="BY49" s="1422"/>
      <c r="BZ49" s="1422">
        <v>0</v>
      </c>
      <c r="CA49" s="1422"/>
      <c r="CB49" s="1422"/>
      <c r="CC49" s="1422"/>
      <c r="CD49" s="1422"/>
      <c r="CE49" s="1422"/>
      <c r="CF49" s="1422"/>
      <c r="CG49" s="1422"/>
      <c r="CH49" s="1422"/>
      <c r="CI49" s="1422"/>
      <c r="CJ49" s="1422"/>
      <c r="CK49" s="1422"/>
      <c r="CL49" s="1422"/>
      <c r="CM49" s="1422"/>
      <c r="CN49" s="1422">
        <v>0</v>
      </c>
      <c r="CO49" s="1422">
        <v>0</v>
      </c>
      <c r="CP49" s="1422"/>
      <c r="CQ49" s="1422"/>
      <c r="CR49" s="1422"/>
      <c r="CS49" s="1422"/>
      <c r="CT49" s="1422"/>
      <c r="CU49" s="1422">
        <v>0</v>
      </c>
      <c r="CV49" s="1422"/>
      <c r="CW49" s="1422"/>
      <c r="CX49" s="1422"/>
      <c r="CY49" s="1422"/>
      <c r="CZ49" s="1422"/>
      <c r="DA49" s="1422"/>
      <c r="DB49" s="1422">
        <v>0</v>
      </c>
      <c r="DC49" s="1422"/>
      <c r="DD49" s="1422"/>
      <c r="DE49" s="1422"/>
      <c r="DF49" s="1422">
        <v>47442835.150000006</v>
      </c>
      <c r="DG49" s="1422">
        <v>0</v>
      </c>
      <c r="DH49" s="1422">
        <v>0</v>
      </c>
      <c r="DI49" s="1422"/>
      <c r="DJ49" s="1422"/>
      <c r="DK49" s="1422">
        <v>0</v>
      </c>
      <c r="DL49" s="1422"/>
      <c r="DM49" s="1422"/>
      <c r="DN49" s="1422">
        <v>0</v>
      </c>
      <c r="DO49" s="1422"/>
      <c r="DP49" s="1422"/>
      <c r="DQ49" s="1422">
        <v>47442835.150000006</v>
      </c>
      <c r="DR49" s="1422">
        <v>1461833.6509821659</v>
      </c>
      <c r="DS49" s="1422">
        <v>45981001.499017842</v>
      </c>
      <c r="DT49" s="1422"/>
      <c r="DU49" s="1422"/>
      <c r="DV49" s="1422">
        <v>0</v>
      </c>
      <c r="DW49" s="1422"/>
      <c r="DX49" s="1422"/>
      <c r="DY49" s="1422"/>
      <c r="DZ49" s="1422">
        <v>0</v>
      </c>
      <c r="EA49" s="1422">
        <v>0</v>
      </c>
      <c r="EB49" s="1422"/>
      <c r="EC49" s="1422"/>
      <c r="ED49" s="1422">
        <v>0</v>
      </c>
      <c r="EE49" s="1422"/>
      <c r="EF49" s="1422"/>
      <c r="EG49" s="1422">
        <v>0</v>
      </c>
      <c r="EH49" s="1422"/>
      <c r="EI49" s="1422"/>
      <c r="EJ49" s="1422"/>
      <c r="EK49" s="1422">
        <v>0</v>
      </c>
      <c r="EL49" s="1422"/>
      <c r="EM49" s="1422">
        <v>0</v>
      </c>
      <c r="EN49" s="1422"/>
      <c r="EO49" s="1422"/>
      <c r="EP49" s="1422"/>
      <c r="EQ49" s="1422">
        <v>0</v>
      </c>
      <c r="ER49" s="1422"/>
      <c r="ES49" s="1422"/>
      <c r="ET49" s="1422"/>
      <c r="EU49" s="1422">
        <v>0</v>
      </c>
      <c r="EV49" s="1422"/>
      <c r="EW49" s="1422"/>
      <c r="EX49" s="1422"/>
      <c r="EY49" s="1422"/>
      <c r="EZ49" s="1422">
        <v>0</v>
      </c>
      <c r="FA49" s="1422"/>
      <c r="FB49" s="1422">
        <v>0</v>
      </c>
      <c r="FC49" s="1422"/>
      <c r="FD49" s="1422"/>
      <c r="FE49" s="1422"/>
      <c r="FF49" s="1422">
        <v>0</v>
      </c>
      <c r="FG49" s="1422"/>
      <c r="FH49" s="1422"/>
      <c r="FI49" s="1422"/>
      <c r="FJ49" s="1422">
        <v>0</v>
      </c>
      <c r="FK49" s="1422"/>
      <c r="FL49" s="1422"/>
      <c r="FM49" s="1422"/>
      <c r="FN49" s="1422"/>
      <c r="FO49" s="1422">
        <v>0</v>
      </c>
      <c r="FP49" s="1422"/>
      <c r="FQ49" s="1422"/>
      <c r="FR49" s="1422"/>
      <c r="FS49" s="1422"/>
      <c r="FT49" s="1422"/>
      <c r="FU49" s="1422"/>
      <c r="FV49" s="1422"/>
      <c r="FW49" s="1422">
        <v>17778142.481444445</v>
      </c>
      <c r="FX49" s="1422">
        <v>17725469.400000002</v>
      </c>
      <c r="FY49" s="1422">
        <v>45949.451444444494</v>
      </c>
      <c r="FZ49" s="1422">
        <v>6723.6299999999992</v>
      </c>
      <c r="GA49" s="1422"/>
      <c r="GB49" s="1422">
        <v>3653828.857915001</v>
      </c>
      <c r="GC49" s="1422"/>
      <c r="GD49" s="1422"/>
      <c r="GE49" s="1422"/>
      <c r="GF49" s="1422">
        <v>74961799.589359447</v>
      </c>
    </row>
    <row r="50" spans="2:190" s="1368" customFormat="1">
      <c r="B50" s="1372">
        <v>43221</v>
      </c>
      <c r="C50" s="1420">
        <v>0</v>
      </c>
      <c r="D50" s="1420"/>
      <c r="E50" s="1420">
        <v>3443502.54</v>
      </c>
      <c r="F50" s="1420"/>
      <c r="G50" s="1420">
        <v>3443502.54</v>
      </c>
      <c r="H50" s="1420"/>
      <c r="I50" s="1420"/>
      <c r="J50" s="1420">
        <v>73740.390000000014</v>
      </c>
      <c r="K50" s="1420">
        <v>73740.390000000014</v>
      </c>
      <c r="L50" s="1420">
        <v>73740.390000000014</v>
      </c>
      <c r="M50" s="1420"/>
      <c r="N50" s="1420">
        <v>0</v>
      </c>
      <c r="O50" s="1420"/>
      <c r="P50" s="1420"/>
      <c r="Q50" s="1420">
        <v>0</v>
      </c>
      <c r="R50" s="1420"/>
      <c r="S50" s="1420"/>
      <c r="T50" s="1420"/>
      <c r="U50" s="1420">
        <v>0</v>
      </c>
      <c r="V50" s="1420">
        <v>0</v>
      </c>
      <c r="W50" s="1420">
        <v>0</v>
      </c>
      <c r="X50" s="1420"/>
      <c r="Y50" s="1420"/>
      <c r="Z50" s="1420">
        <v>0</v>
      </c>
      <c r="AA50" s="1420"/>
      <c r="AB50" s="1420"/>
      <c r="AC50" s="1420">
        <v>0</v>
      </c>
      <c r="AD50" s="1420"/>
      <c r="AE50" s="1420"/>
      <c r="AF50" s="1420"/>
      <c r="AG50" s="1420">
        <v>0</v>
      </c>
      <c r="AH50" s="1420"/>
      <c r="AI50" s="1420"/>
      <c r="AJ50" s="1420"/>
      <c r="AK50" s="1420"/>
      <c r="AL50" s="1420">
        <v>0</v>
      </c>
      <c r="AM50" s="1420"/>
      <c r="AN50" s="1420"/>
      <c r="AO50" s="1420"/>
      <c r="AP50" s="1420"/>
      <c r="AQ50" s="1420">
        <v>1389</v>
      </c>
      <c r="AR50" s="1420">
        <v>0</v>
      </c>
      <c r="AS50" s="1420">
        <v>1389</v>
      </c>
      <c r="AT50" s="1420">
        <v>1389</v>
      </c>
      <c r="AU50" s="1420"/>
      <c r="AV50" s="1420"/>
      <c r="AW50" s="1420"/>
      <c r="AX50" s="1420"/>
      <c r="AY50" s="1420">
        <v>5188366.72</v>
      </c>
      <c r="AZ50" s="1420">
        <v>0</v>
      </c>
      <c r="BA50" s="1420">
        <v>0</v>
      </c>
      <c r="BB50" s="1420"/>
      <c r="BC50" s="1420">
        <v>0</v>
      </c>
      <c r="BD50" s="1420">
        <v>5188366.72</v>
      </c>
      <c r="BE50" s="1420">
        <v>0</v>
      </c>
      <c r="BF50" s="1420"/>
      <c r="BG50" s="1420"/>
      <c r="BH50" s="1420"/>
      <c r="BI50" s="1420"/>
      <c r="BJ50" s="1420"/>
      <c r="BK50" s="1420"/>
      <c r="BL50" s="1420">
        <v>0</v>
      </c>
      <c r="BM50" s="1420">
        <v>0</v>
      </c>
      <c r="BN50" s="1420"/>
      <c r="BO50" s="1420"/>
      <c r="BP50" s="1420"/>
      <c r="BQ50" s="1420"/>
      <c r="BR50" s="1420"/>
      <c r="BS50" s="1420"/>
      <c r="BT50" s="1420">
        <v>0</v>
      </c>
      <c r="BU50" s="1420">
        <v>0</v>
      </c>
      <c r="BV50" s="1420"/>
      <c r="BW50" s="1420"/>
      <c r="BX50" s="1420"/>
      <c r="BY50" s="1420"/>
      <c r="BZ50" s="1420">
        <v>0</v>
      </c>
      <c r="CA50" s="1420"/>
      <c r="CB50" s="1420"/>
      <c r="CC50" s="1420"/>
      <c r="CD50" s="1420"/>
      <c r="CE50" s="1420"/>
      <c r="CF50" s="1420"/>
      <c r="CG50" s="1420"/>
      <c r="CH50" s="1420"/>
      <c r="CI50" s="1420"/>
      <c r="CJ50" s="1420"/>
      <c r="CK50" s="1420"/>
      <c r="CL50" s="1420"/>
      <c r="CM50" s="1420"/>
      <c r="CN50" s="1420">
        <v>0</v>
      </c>
      <c r="CO50" s="1420">
        <v>0</v>
      </c>
      <c r="CP50" s="1420"/>
      <c r="CQ50" s="1420"/>
      <c r="CR50" s="1420"/>
      <c r="CS50" s="1420"/>
      <c r="CT50" s="1420"/>
      <c r="CU50" s="1420">
        <v>0</v>
      </c>
      <c r="CV50" s="1420"/>
      <c r="CW50" s="1420"/>
      <c r="CX50" s="1420"/>
      <c r="CY50" s="1420"/>
      <c r="CZ50" s="1420"/>
      <c r="DA50" s="1420"/>
      <c r="DB50" s="1420">
        <v>0</v>
      </c>
      <c r="DC50" s="1420"/>
      <c r="DD50" s="1420"/>
      <c r="DE50" s="1420"/>
      <c r="DF50" s="1420">
        <v>44760817.609999999</v>
      </c>
      <c r="DG50" s="1420">
        <v>0</v>
      </c>
      <c r="DH50" s="1420">
        <v>0</v>
      </c>
      <c r="DI50" s="1420"/>
      <c r="DJ50" s="1420"/>
      <c r="DK50" s="1420">
        <v>0</v>
      </c>
      <c r="DL50" s="1420"/>
      <c r="DM50" s="1420"/>
      <c r="DN50" s="1420">
        <v>0</v>
      </c>
      <c r="DO50" s="1420"/>
      <c r="DP50" s="1420"/>
      <c r="DQ50" s="1420">
        <v>44760817.609999999</v>
      </c>
      <c r="DR50" s="1420">
        <v>1379193.9124399719</v>
      </c>
      <c r="DS50" s="1420">
        <v>43381623.697560027</v>
      </c>
      <c r="DT50" s="1420"/>
      <c r="DU50" s="1420"/>
      <c r="DV50" s="1420">
        <v>0</v>
      </c>
      <c r="DW50" s="1420"/>
      <c r="DX50" s="1420"/>
      <c r="DY50" s="1420"/>
      <c r="DZ50" s="1420">
        <v>0</v>
      </c>
      <c r="EA50" s="1420">
        <v>0</v>
      </c>
      <c r="EB50" s="1420"/>
      <c r="EC50" s="1420"/>
      <c r="ED50" s="1420">
        <v>0</v>
      </c>
      <c r="EE50" s="1420"/>
      <c r="EF50" s="1420"/>
      <c r="EG50" s="1420">
        <v>0</v>
      </c>
      <c r="EH50" s="1420"/>
      <c r="EI50" s="1420"/>
      <c r="EJ50" s="1420"/>
      <c r="EK50" s="1420">
        <v>0</v>
      </c>
      <c r="EL50" s="1420"/>
      <c r="EM50" s="1420">
        <v>0</v>
      </c>
      <c r="EN50" s="1420"/>
      <c r="EO50" s="1420"/>
      <c r="EP50" s="1420"/>
      <c r="EQ50" s="1420">
        <v>0</v>
      </c>
      <c r="ER50" s="1420"/>
      <c r="ES50" s="1420"/>
      <c r="ET50" s="1420"/>
      <c r="EU50" s="1420">
        <v>0</v>
      </c>
      <c r="EV50" s="1420"/>
      <c r="EW50" s="1420"/>
      <c r="EX50" s="1420"/>
      <c r="EY50" s="1420"/>
      <c r="EZ50" s="1420">
        <v>0</v>
      </c>
      <c r="FA50" s="1420"/>
      <c r="FB50" s="1420">
        <v>0</v>
      </c>
      <c r="FC50" s="1420"/>
      <c r="FD50" s="1420"/>
      <c r="FE50" s="1420"/>
      <c r="FF50" s="1420">
        <v>0</v>
      </c>
      <c r="FG50" s="1420"/>
      <c r="FH50" s="1420"/>
      <c r="FI50" s="1420"/>
      <c r="FJ50" s="1420">
        <v>0</v>
      </c>
      <c r="FK50" s="1420"/>
      <c r="FL50" s="1420"/>
      <c r="FM50" s="1420"/>
      <c r="FN50" s="1420"/>
      <c r="FO50" s="1420">
        <v>0</v>
      </c>
      <c r="FP50" s="1420"/>
      <c r="FQ50" s="1420"/>
      <c r="FR50" s="1420"/>
      <c r="FS50" s="1420"/>
      <c r="FT50" s="1420"/>
      <c r="FU50" s="1420"/>
      <c r="FV50" s="1420"/>
      <c r="FW50" s="1420">
        <v>17774894.855333336</v>
      </c>
      <c r="FX50" s="1420">
        <v>17725469.400000002</v>
      </c>
      <c r="FY50" s="1420">
        <v>45573.825333332847</v>
      </c>
      <c r="FZ50" s="1420">
        <v>3851.63</v>
      </c>
      <c r="GA50" s="1420"/>
      <c r="GB50" s="1420">
        <v>3800538.857915001</v>
      </c>
      <c r="GC50" s="1420"/>
      <c r="GD50" s="1420"/>
      <c r="GE50" s="1420"/>
      <c r="GF50" s="1420">
        <v>75043249.973248333</v>
      </c>
    </row>
    <row r="51" spans="2:190">
      <c r="B51" s="1372">
        <v>43252</v>
      </c>
      <c r="C51" s="1424">
        <v>0</v>
      </c>
      <c r="D51" s="1424"/>
      <c r="E51" s="1424">
        <v>3443502.54</v>
      </c>
      <c r="F51" s="1424"/>
      <c r="G51" s="1424">
        <v>3443502.54</v>
      </c>
      <c r="H51" s="1424"/>
      <c r="I51" s="1424"/>
      <c r="J51" s="1424">
        <v>73740.390000000014</v>
      </c>
      <c r="K51" s="1424">
        <v>73740.390000000014</v>
      </c>
      <c r="L51" s="1424">
        <v>73740.390000000014</v>
      </c>
      <c r="M51" s="1424"/>
      <c r="N51" s="1424">
        <v>0</v>
      </c>
      <c r="O51" s="1424"/>
      <c r="P51" s="1424"/>
      <c r="Q51" s="1424">
        <v>0</v>
      </c>
      <c r="R51" s="1424"/>
      <c r="S51" s="1424"/>
      <c r="T51" s="1424"/>
      <c r="U51" s="1424">
        <v>0</v>
      </c>
      <c r="V51" s="1424">
        <v>0</v>
      </c>
      <c r="W51" s="1424">
        <v>0</v>
      </c>
      <c r="X51" s="1424"/>
      <c r="Y51" s="1424"/>
      <c r="Z51" s="1424">
        <v>0</v>
      </c>
      <c r="AA51" s="1424"/>
      <c r="AB51" s="1424"/>
      <c r="AC51" s="1424">
        <v>0</v>
      </c>
      <c r="AD51" s="1424"/>
      <c r="AE51" s="1424"/>
      <c r="AF51" s="1424"/>
      <c r="AG51" s="1424">
        <v>0</v>
      </c>
      <c r="AH51" s="1424"/>
      <c r="AI51" s="1424"/>
      <c r="AJ51" s="1424"/>
      <c r="AK51" s="1424"/>
      <c r="AL51" s="1424">
        <v>0</v>
      </c>
      <c r="AM51" s="1424"/>
      <c r="AN51" s="1424"/>
      <c r="AO51" s="1424"/>
      <c r="AP51" s="1424"/>
      <c r="AQ51" s="1424">
        <v>1389</v>
      </c>
      <c r="AR51" s="1424">
        <v>0</v>
      </c>
      <c r="AS51" s="1424">
        <v>1389</v>
      </c>
      <c r="AT51" s="1424">
        <v>1389</v>
      </c>
      <c r="AU51" s="1424"/>
      <c r="AV51" s="1424"/>
      <c r="AW51" s="1424"/>
      <c r="AX51" s="1424"/>
      <c r="AY51" s="1424">
        <v>3895358.71</v>
      </c>
      <c r="AZ51" s="1424">
        <v>0</v>
      </c>
      <c r="BA51" s="1424">
        <v>0</v>
      </c>
      <c r="BB51" s="1424"/>
      <c r="BC51" s="1424">
        <v>0</v>
      </c>
      <c r="BD51" s="1424">
        <v>3895358.71</v>
      </c>
      <c r="BE51" s="1424">
        <v>0</v>
      </c>
      <c r="BF51" s="1424"/>
      <c r="BG51" s="1424"/>
      <c r="BH51" s="1424"/>
      <c r="BI51" s="1424"/>
      <c r="BJ51" s="1424"/>
      <c r="BK51" s="1424"/>
      <c r="BL51" s="1424">
        <v>0</v>
      </c>
      <c r="BM51" s="1424">
        <v>0</v>
      </c>
      <c r="BN51" s="1424"/>
      <c r="BO51" s="1424"/>
      <c r="BP51" s="1424"/>
      <c r="BQ51" s="1424"/>
      <c r="BR51" s="1424"/>
      <c r="BS51" s="1424"/>
      <c r="BT51" s="1424">
        <v>0</v>
      </c>
      <c r="BU51" s="1424">
        <v>0</v>
      </c>
      <c r="BV51" s="1424"/>
      <c r="BW51" s="1424"/>
      <c r="BX51" s="1424"/>
      <c r="BY51" s="1424"/>
      <c r="BZ51" s="1424">
        <v>0</v>
      </c>
      <c r="CA51" s="1424"/>
      <c r="CB51" s="1424"/>
      <c r="CC51" s="1424"/>
      <c r="CD51" s="1424"/>
      <c r="CE51" s="1424"/>
      <c r="CF51" s="1424"/>
      <c r="CG51" s="1424"/>
      <c r="CH51" s="1424"/>
      <c r="CI51" s="1424"/>
      <c r="CJ51" s="1424"/>
      <c r="CK51" s="1424"/>
      <c r="CL51" s="1424"/>
      <c r="CM51" s="1424"/>
      <c r="CN51" s="1424">
        <v>0</v>
      </c>
      <c r="CO51" s="1424">
        <v>0</v>
      </c>
      <c r="CP51" s="1424"/>
      <c r="CQ51" s="1424"/>
      <c r="CR51" s="1424"/>
      <c r="CS51" s="1424"/>
      <c r="CT51" s="1424"/>
      <c r="CU51" s="1424">
        <v>0</v>
      </c>
      <c r="CV51" s="1424"/>
      <c r="CW51" s="1424"/>
      <c r="CX51" s="1424"/>
      <c r="CY51" s="1424"/>
      <c r="CZ51" s="1424"/>
      <c r="DA51" s="1424"/>
      <c r="DB51" s="1424">
        <v>0</v>
      </c>
      <c r="DC51" s="1424"/>
      <c r="DD51" s="1424"/>
      <c r="DE51" s="1424"/>
      <c r="DF51" s="1424">
        <v>44760817.609999999</v>
      </c>
      <c r="DG51" s="1424">
        <v>0</v>
      </c>
      <c r="DH51" s="1424">
        <v>0</v>
      </c>
      <c r="DI51" s="1424"/>
      <c r="DJ51" s="1424"/>
      <c r="DK51" s="1424">
        <v>0</v>
      </c>
      <c r="DL51" s="1424"/>
      <c r="DM51" s="1424"/>
      <c r="DN51" s="1424">
        <v>0</v>
      </c>
      <c r="DO51" s="1424"/>
      <c r="DP51" s="1424"/>
      <c r="DQ51" s="1424">
        <v>44760817.609999999</v>
      </c>
      <c r="DR51" s="1424">
        <v>1379193.9124399719</v>
      </c>
      <c r="DS51" s="1424">
        <v>43381623.697560027</v>
      </c>
      <c r="DT51" s="1424"/>
      <c r="DU51" s="1424"/>
      <c r="DV51" s="1424">
        <v>0</v>
      </c>
      <c r="DW51" s="1424"/>
      <c r="DX51" s="1424"/>
      <c r="DY51" s="1424"/>
      <c r="DZ51" s="1424">
        <v>0</v>
      </c>
      <c r="EA51" s="1424">
        <v>0</v>
      </c>
      <c r="EB51" s="1424"/>
      <c r="EC51" s="1424"/>
      <c r="ED51" s="1424">
        <v>0</v>
      </c>
      <c r="EE51" s="1424"/>
      <c r="EF51" s="1424"/>
      <c r="EG51" s="1424">
        <v>0</v>
      </c>
      <c r="EH51" s="1424"/>
      <c r="EI51" s="1424"/>
      <c r="EJ51" s="1424"/>
      <c r="EK51" s="1424">
        <v>0</v>
      </c>
      <c r="EL51" s="1424"/>
      <c r="EM51" s="1424">
        <v>0</v>
      </c>
      <c r="EN51" s="1424"/>
      <c r="EO51" s="1424"/>
      <c r="EP51" s="1424"/>
      <c r="EQ51" s="1424">
        <v>0</v>
      </c>
      <c r="ER51" s="1424"/>
      <c r="ES51" s="1424"/>
      <c r="ET51" s="1424"/>
      <c r="EU51" s="1424">
        <v>0</v>
      </c>
      <c r="EV51" s="1424"/>
      <c r="EW51" s="1424"/>
      <c r="EX51" s="1424"/>
      <c r="EY51" s="1424"/>
      <c r="EZ51" s="1424">
        <v>0</v>
      </c>
      <c r="FA51" s="1424"/>
      <c r="FB51" s="1424">
        <v>0</v>
      </c>
      <c r="FC51" s="1424"/>
      <c r="FD51" s="1424"/>
      <c r="FE51" s="1424"/>
      <c r="FF51" s="1424">
        <v>0</v>
      </c>
      <c r="FG51" s="1424"/>
      <c r="FH51" s="1424"/>
      <c r="FI51" s="1424"/>
      <c r="FJ51" s="1424">
        <v>0</v>
      </c>
      <c r="FK51" s="1424"/>
      <c r="FL51" s="1424"/>
      <c r="FM51" s="1424"/>
      <c r="FN51" s="1424"/>
      <c r="FO51" s="1424">
        <v>0</v>
      </c>
      <c r="FP51" s="1424"/>
      <c r="FQ51" s="1424"/>
      <c r="FR51" s="1424"/>
      <c r="FS51" s="1424"/>
      <c r="FT51" s="1424"/>
      <c r="FU51" s="1424"/>
      <c r="FV51" s="1424"/>
      <c r="FW51" s="1424">
        <v>17774894.855333336</v>
      </c>
      <c r="FX51" s="1424">
        <v>17725469.400000002</v>
      </c>
      <c r="FY51" s="1424">
        <v>45573.825333332847</v>
      </c>
      <c r="FZ51" s="1424">
        <v>3851.63</v>
      </c>
      <c r="GA51" s="1424"/>
      <c r="GB51" s="1424">
        <v>3800538.857915001</v>
      </c>
      <c r="GC51" s="1424"/>
      <c r="GD51" s="1424"/>
      <c r="GE51" s="1424"/>
      <c r="GF51" s="1424">
        <v>73750241.963248327</v>
      </c>
    </row>
    <row r="52" spans="2:190">
      <c r="B52" s="1372">
        <v>43282</v>
      </c>
      <c r="C52" s="1220">
        <v>0</v>
      </c>
      <c r="D52" s="1220"/>
      <c r="E52" s="1220">
        <v>3009843</v>
      </c>
      <c r="F52" s="1220"/>
      <c r="G52" s="1220">
        <v>3009843</v>
      </c>
      <c r="H52" s="1220"/>
      <c r="I52" s="1220"/>
      <c r="J52" s="1220">
        <v>73740.390000000014</v>
      </c>
      <c r="K52" s="1220">
        <v>73740.390000000014</v>
      </c>
      <c r="L52" s="1220">
        <v>73740.390000000014</v>
      </c>
      <c r="M52" s="1220"/>
      <c r="N52" s="1220">
        <v>0</v>
      </c>
      <c r="O52" s="1220"/>
      <c r="P52" s="1220"/>
      <c r="Q52" s="1220">
        <v>0</v>
      </c>
      <c r="R52" s="1220"/>
      <c r="S52" s="1220"/>
      <c r="T52" s="1220"/>
      <c r="U52" s="1220">
        <v>0</v>
      </c>
      <c r="V52" s="1220">
        <v>0</v>
      </c>
      <c r="W52" s="1220">
        <v>0</v>
      </c>
      <c r="X52" s="1220"/>
      <c r="Y52" s="1220"/>
      <c r="Z52" s="1220">
        <v>0</v>
      </c>
      <c r="AA52" s="1220"/>
      <c r="AB52" s="1220"/>
      <c r="AC52" s="1220">
        <v>0</v>
      </c>
      <c r="AD52" s="1220"/>
      <c r="AE52" s="1220"/>
      <c r="AF52" s="1220"/>
      <c r="AG52" s="1220">
        <v>0</v>
      </c>
      <c r="AH52" s="1220"/>
      <c r="AI52" s="1220"/>
      <c r="AJ52" s="1220"/>
      <c r="AK52" s="1220"/>
      <c r="AL52" s="1220">
        <v>0</v>
      </c>
      <c r="AM52" s="1220"/>
      <c r="AN52" s="1220"/>
      <c r="AO52" s="1220"/>
      <c r="AP52" s="1220"/>
      <c r="AQ52" s="1220">
        <v>1389</v>
      </c>
      <c r="AR52" s="1220">
        <v>0</v>
      </c>
      <c r="AS52" s="1220">
        <v>1389</v>
      </c>
      <c r="AT52" s="1220">
        <v>1389</v>
      </c>
      <c r="AU52" s="1220"/>
      <c r="AV52" s="1220"/>
      <c r="AW52" s="1220"/>
      <c r="AX52" s="1220"/>
      <c r="AY52" s="1220">
        <v>3895358.71</v>
      </c>
      <c r="AZ52" s="1220">
        <v>0</v>
      </c>
      <c r="BA52" s="1220">
        <v>0</v>
      </c>
      <c r="BB52" s="1220"/>
      <c r="BC52" s="1220">
        <v>0</v>
      </c>
      <c r="BD52" s="1220">
        <v>3895358.71</v>
      </c>
      <c r="BE52" s="1220">
        <v>0</v>
      </c>
      <c r="BF52" s="1220"/>
      <c r="BG52" s="1220"/>
      <c r="BH52" s="1220"/>
      <c r="BI52" s="1220"/>
      <c r="BJ52" s="1220"/>
      <c r="BK52" s="1220"/>
      <c r="BL52" s="1220">
        <v>0</v>
      </c>
      <c r="BM52" s="1220">
        <v>0</v>
      </c>
      <c r="BN52" s="1220"/>
      <c r="BO52" s="1220"/>
      <c r="BP52" s="1220"/>
      <c r="BQ52" s="1220"/>
      <c r="BR52" s="1220"/>
      <c r="BS52" s="1220"/>
      <c r="BT52" s="1220">
        <v>0</v>
      </c>
      <c r="BU52" s="1220">
        <v>0</v>
      </c>
      <c r="BV52" s="1220"/>
      <c r="BW52" s="1220"/>
      <c r="BX52" s="1220"/>
      <c r="BY52" s="1220"/>
      <c r="BZ52" s="1220">
        <v>0</v>
      </c>
      <c r="CA52" s="1220"/>
      <c r="CB52" s="1220"/>
      <c r="CC52" s="1220"/>
      <c r="CD52" s="1220"/>
      <c r="CE52" s="1220"/>
      <c r="CF52" s="1220"/>
      <c r="CG52" s="1220"/>
      <c r="CH52" s="1220"/>
      <c r="CI52" s="1220"/>
      <c r="CJ52" s="1220"/>
      <c r="CK52" s="1220"/>
      <c r="CL52" s="1220"/>
      <c r="CM52" s="1220"/>
      <c r="CN52" s="1220">
        <v>0</v>
      </c>
      <c r="CO52" s="1220">
        <v>0</v>
      </c>
      <c r="CP52" s="1220"/>
      <c r="CQ52" s="1220"/>
      <c r="CR52" s="1220"/>
      <c r="CS52" s="1220"/>
      <c r="CT52" s="1220"/>
      <c r="CU52" s="1220">
        <v>0</v>
      </c>
      <c r="CV52" s="1220"/>
      <c r="CW52" s="1220"/>
      <c r="CX52" s="1220"/>
      <c r="CY52" s="1220"/>
      <c r="CZ52" s="1220"/>
      <c r="DA52" s="1220"/>
      <c r="DB52" s="1220">
        <v>0</v>
      </c>
      <c r="DC52" s="1220"/>
      <c r="DD52" s="1220"/>
      <c r="DE52" s="1220"/>
      <c r="DF52" s="1220">
        <v>45443338</v>
      </c>
      <c r="DG52" s="1220">
        <v>0</v>
      </c>
      <c r="DH52" s="1220">
        <v>0</v>
      </c>
      <c r="DI52" s="1220"/>
      <c r="DJ52" s="1220"/>
      <c r="DK52" s="1220">
        <v>0</v>
      </c>
      <c r="DL52" s="1220"/>
      <c r="DM52" s="1220"/>
      <c r="DN52" s="1220">
        <v>0</v>
      </c>
      <c r="DO52" s="1220"/>
      <c r="DP52" s="1220"/>
      <c r="DQ52" s="1220">
        <v>45443338</v>
      </c>
      <c r="DR52" s="1220">
        <v>1400224</v>
      </c>
      <c r="DS52" s="1220">
        <v>44043114</v>
      </c>
      <c r="DT52" s="1220"/>
      <c r="DU52" s="1220"/>
      <c r="DV52" s="1220">
        <v>0</v>
      </c>
      <c r="DW52" s="1220"/>
      <c r="DX52" s="1220"/>
      <c r="DY52" s="1220"/>
      <c r="DZ52" s="1220">
        <v>0</v>
      </c>
      <c r="EA52" s="1220">
        <v>0</v>
      </c>
      <c r="EB52" s="1220"/>
      <c r="EC52" s="1220"/>
      <c r="ED52" s="1220">
        <v>0</v>
      </c>
      <c r="EE52" s="1220"/>
      <c r="EF52" s="1220"/>
      <c r="EG52" s="1220">
        <v>0</v>
      </c>
      <c r="EH52" s="1220"/>
      <c r="EI52" s="1220"/>
      <c r="EJ52" s="1220"/>
      <c r="EK52" s="1220">
        <v>0</v>
      </c>
      <c r="EL52" s="1220"/>
      <c r="EM52" s="1220">
        <v>0</v>
      </c>
      <c r="EN52" s="1220"/>
      <c r="EO52" s="1220"/>
      <c r="EP52" s="1220"/>
      <c r="EQ52" s="1220">
        <v>0</v>
      </c>
      <c r="ER52" s="1220"/>
      <c r="ES52" s="1220"/>
      <c r="ET52" s="1220"/>
      <c r="EU52" s="1220">
        <v>0</v>
      </c>
      <c r="EV52" s="1220"/>
      <c r="EW52" s="1220"/>
      <c r="EX52" s="1220"/>
      <c r="EY52" s="1220"/>
      <c r="EZ52" s="1220">
        <v>0</v>
      </c>
      <c r="FA52" s="1220"/>
      <c r="FB52" s="1220">
        <v>0</v>
      </c>
      <c r="FC52" s="1220"/>
      <c r="FD52" s="1220"/>
      <c r="FE52" s="1220"/>
      <c r="FF52" s="1220">
        <v>0</v>
      </c>
      <c r="FG52" s="1220"/>
      <c r="FH52" s="1220"/>
      <c r="FI52" s="1220"/>
      <c r="FJ52" s="1220">
        <v>0</v>
      </c>
      <c r="FK52" s="1220"/>
      <c r="FL52" s="1220"/>
      <c r="FM52" s="1220"/>
      <c r="FN52" s="1220"/>
      <c r="FO52" s="1220">
        <v>0</v>
      </c>
      <c r="FP52" s="1220"/>
      <c r="FQ52" s="1220"/>
      <c r="FR52" s="1220"/>
      <c r="FS52" s="1220"/>
      <c r="FT52" s="1220"/>
      <c r="FU52" s="1220"/>
      <c r="FV52" s="1220"/>
      <c r="FW52" s="1220">
        <v>17774894.855333336</v>
      </c>
      <c r="FX52" s="1220">
        <v>17725469.400000002</v>
      </c>
      <c r="FY52" s="1220">
        <v>45573.825333332847</v>
      </c>
      <c r="FZ52" s="1220">
        <v>3851.63</v>
      </c>
      <c r="GA52" s="1220"/>
      <c r="GB52" s="1220">
        <v>3800538.857915001</v>
      </c>
      <c r="GC52" s="1220"/>
      <c r="GD52" s="1220"/>
      <c r="GE52" s="1220"/>
      <c r="GF52" s="1220">
        <v>73999102.813248336</v>
      </c>
    </row>
    <row r="53" spans="2:190">
      <c r="B53" s="1372">
        <v>43313</v>
      </c>
      <c r="C53" s="1220">
        <v>0</v>
      </c>
      <c r="D53" s="1220"/>
      <c r="E53" s="1220">
        <v>3069724</v>
      </c>
      <c r="F53" s="1220"/>
      <c r="G53" s="1220">
        <v>3069724</v>
      </c>
      <c r="H53" s="1220"/>
      <c r="I53" s="1220"/>
      <c r="J53" s="1220">
        <v>73740.390000000014</v>
      </c>
      <c r="K53" s="1220">
        <v>73740.390000000014</v>
      </c>
      <c r="L53" s="1220">
        <v>73740.390000000014</v>
      </c>
      <c r="M53" s="1220"/>
      <c r="N53" s="1220">
        <v>0</v>
      </c>
      <c r="O53" s="1220"/>
      <c r="P53" s="1220"/>
      <c r="Q53" s="1220">
        <v>0</v>
      </c>
      <c r="R53" s="1220"/>
      <c r="S53" s="1220"/>
      <c r="T53" s="1220"/>
      <c r="U53" s="1220">
        <v>0</v>
      </c>
      <c r="V53" s="1220">
        <v>0</v>
      </c>
      <c r="W53" s="1220">
        <v>0</v>
      </c>
      <c r="X53" s="1220"/>
      <c r="Y53" s="1220"/>
      <c r="Z53" s="1220">
        <v>0</v>
      </c>
      <c r="AA53" s="1220"/>
      <c r="AB53" s="1220"/>
      <c r="AC53" s="1220">
        <v>0</v>
      </c>
      <c r="AD53" s="1220"/>
      <c r="AE53" s="1220"/>
      <c r="AF53" s="1220"/>
      <c r="AG53" s="1220">
        <v>0</v>
      </c>
      <c r="AH53" s="1220"/>
      <c r="AI53" s="1220"/>
      <c r="AJ53" s="1220"/>
      <c r="AK53" s="1220"/>
      <c r="AL53" s="1220">
        <v>0</v>
      </c>
      <c r="AM53" s="1220"/>
      <c r="AN53" s="1220"/>
      <c r="AO53" s="1220"/>
      <c r="AP53" s="1220"/>
      <c r="AQ53" s="1220">
        <v>1389</v>
      </c>
      <c r="AR53" s="1220">
        <v>0</v>
      </c>
      <c r="AS53" s="1220">
        <v>1389</v>
      </c>
      <c r="AT53" s="1220">
        <v>1389</v>
      </c>
      <c r="AU53" s="1220"/>
      <c r="AV53" s="1220"/>
      <c r="AW53" s="1220"/>
      <c r="AX53" s="1220"/>
      <c r="AY53" s="1220">
        <v>3895358.71</v>
      </c>
      <c r="AZ53" s="1220">
        <v>0</v>
      </c>
      <c r="BA53" s="1220">
        <v>0</v>
      </c>
      <c r="BB53" s="1220"/>
      <c r="BC53" s="1220">
        <v>0</v>
      </c>
      <c r="BD53" s="1220">
        <v>3895358.71</v>
      </c>
      <c r="BE53" s="1220">
        <v>0</v>
      </c>
      <c r="BF53" s="1220"/>
      <c r="BG53" s="1220"/>
      <c r="BH53" s="1220"/>
      <c r="BI53" s="1220"/>
      <c r="BJ53" s="1220"/>
      <c r="BK53" s="1220"/>
      <c r="BL53" s="1220">
        <v>0</v>
      </c>
      <c r="BM53" s="1220">
        <v>0</v>
      </c>
      <c r="BN53" s="1220"/>
      <c r="BO53" s="1220"/>
      <c r="BP53" s="1220"/>
      <c r="BQ53" s="1220"/>
      <c r="BR53" s="1220"/>
      <c r="BS53" s="1220"/>
      <c r="BT53" s="1220">
        <v>0</v>
      </c>
      <c r="BU53" s="1220">
        <v>0</v>
      </c>
      <c r="BV53" s="1220"/>
      <c r="BW53" s="1220"/>
      <c r="BX53" s="1220"/>
      <c r="BY53" s="1220"/>
      <c r="BZ53" s="1220">
        <v>0</v>
      </c>
      <c r="CA53" s="1220"/>
      <c r="CB53" s="1220"/>
      <c r="CC53" s="1220"/>
      <c r="CD53" s="1220"/>
      <c r="CE53" s="1220"/>
      <c r="CF53" s="1220"/>
      <c r="CG53" s="1220"/>
      <c r="CH53" s="1220"/>
      <c r="CI53" s="1220"/>
      <c r="CJ53" s="1220"/>
      <c r="CK53" s="1220"/>
      <c r="CL53" s="1220"/>
      <c r="CM53" s="1220"/>
      <c r="CN53" s="1220">
        <v>0</v>
      </c>
      <c r="CO53" s="1220">
        <v>0</v>
      </c>
      <c r="CP53" s="1220"/>
      <c r="CQ53" s="1220"/>
      <c r="CR53" s="1220"/>
      <c r="CS53" s="1220"/>
      <c r="CT53" s="1220"/>
      <c r="CU53" s="1220">
        <v>0</v>
      </c>
      <c r="CV53" s="1220"/>
      <c r="CW53" s="1220"/>
      <c r="CX53" s="1220"/>
      <c r="CY53" s="1220"/>
      <c r="CZ53" s="1220"/>
      <c r="DA53" s="1220"/>
      <c r="DB53" s="1220">
        <v>0</v>
      </c>
      <c r="DC53" s="1220"/>
      <c r="DD53" s="1220"/>
      <c r="DE53" s="1220"/>
      <c r="DF53" s="1220">
        <v>45681287</v>
      </c>
      <c r="DG53" s="1220">
        <v>0</v>
      </c>
      <c r="DH53" s="1220">
        <v>0</v>
      </c>
      <c r="DI53" s="1220"/>
      <c r="DJ53" s="1220"/>
      <c r="DK53" s="1220">
        <v>0</v>
      </c>
      <c r="DL53" s="1220"/>
      <c r="DM53" s="1220"/>
      <c r="DN53" s="1220">
        <v>0</v>
      </c>
      <c r="DO53" s="1220"/>
      <c r="DP53" s="1220"/>
      <c r="DQ53" s="1220">
        <v>45681287</v>
      </c>
      <c r="DR53" s="1220">
        <v>1407556</v>
      </c>
      <c r="DS53" s="1220">
        <v>44273731</v>
      </c>
      <c r="DT53" s="1220"/>
      <c r="DU53" s="1220"/>
      <c r="DV53" s="1220">
        <v>0</v>
      </c>
      <c r="DW53" s="1220"/>
      <c r="DX53" s="1220"/>
      <c r="DY53" s="1220"/>
      <c r="DZ53" s="1220">
        <v>0</v>
      </c>
      <c r="EA53" s="1220">
        <v>0</v>
      </c>
      <c r="EB53" s="1220"/>
      <c r="EC53" s="1220"/>
      <c r="ED53" s="1220">
        <v>0</v>
      </c>
      <c r="EE53" s="1220"/>
      <c r="EF53" s="1220"/>
      <c r="EG53" s="1220">
        <v>0</v>
      </c>
      <c r="EH53" s="1220"/>
      <c r="EI53" s="1220"/>
      <c r="EJ53" s="1220"/>
      <c r="EK53" s="1220">
        <v>0</v>
      </c>
      <c r="EL53" s="1220"/>
      <c r="EM53" s="1220">
        <v>0</v>
      </c>
      <c r="EN53" s="1220"/>
      <c r="EO53" s="1220"/>
      <c r="EP53" s="1220"/>
      <c r="EQ53" s="1220">
        <v>0</v>
      </c>
      <c r="ER53" s="1220"/>
      <c r="ES53" s="1220"/>
      <c r="ET53" s="1220"/>
      <c r="EU53" s="1220">
        <v>0</v>
      </c>
      <c r="EV53" s="1220"/>
      <c r="EW53" s="1220"/>
      <c r="EX53" s="1220"/>
      <c r="EY53" s="1220"/>
      <c r="EZ53" s="1220">
        <v>0</v>
      </c>
      <c r="FA53" s="1220"/>
      <c r="FB53" s="1220">
        <v>0</v>
      </c>
      <c r="FC53" s="1220"/>
      <c r="FD53" s="1220"/>
      <c r="FE53" s="1220"/>
      <c r="FF53" s="1220">
        <v>0</v>
      </c>
      <c r="FG53" s="1220"/>
      <c r="FH53" s="1220"/>
      <c r="FI53" s="1220"/>
      <c r="FJ53" s="1220">
        <v>0</v>
      </c>
      <c r="FK53" s="1220"/>
      <c r="FL53" s="1220"/>
      <c r="FM53" s="1220"/>
      <c r="FN53" s="1220"/>
      <c r="FO53" s="1220">
        <v>0</v>
      </c>
      <c r="FP53" s="1220"/>
      <c r="FQ53" s="1220"/>
      <c r="FR53" s="1220"/>
      <c r="FS53" s="1220"/>
      <c r="FT53" s="1220"/>
      <c r="FU53" s="1220"/>
      <c r="FV53" s="1220"/>
      <c r="FW53" s="1220">
        <v>17770895.400000002</v>
      </c>
      <c r="FX53" s="1220">
        <v>17725469.400000002</v>
      </c>
      <c r="FY53" s="1220">
        <v>44446</v>
      </c>
      <c r="FZ53" s="1220">
        <v>980</v>
      </c>
      <c r="GA53" s="1220"/>
      <c r="GB53" s="1220">
        <v>3492802</v>
      </c>
      <c r="GC53" s="1220"/>
      <c r="GD53" s="1220"/>
      <c r="GE53" s="1220"/>
      <c r="GF53" s="1220">
        <v>73985196.5</v>
      </c>
    </row>
    <row r="54" spans="2:190">
      <c r="B54" s="1372">
        <v>43344</v>
      </c>
      <c r="C54" s="1220">
        <v>0</v>
      </c>
      <c r="D54" s="1220"/>
      <c r="E54" s="1220">
        <v>3103726.06</v>
      </c>
      <c r="F54" s="1220"/>
      <c r="G54" s="1220">
        <v>3103726.06</v>
      </c>
      <c r="H54" s="1220"/>
      <c r="I54" s="1220"/>
      <c r="J54" s="1220">
        <v>73740.390000000014</v>
      </c>
      <c r="K54" s="1220">
        <v>73740.390000000014</v>
      </c>
      <c r="L54" s="1220">
        <v>73740.390000000014</v>
      </c>
      <c r="M54" s="1220"/>
      <c r="N54" s="1220">
        <v>0</v>
      </c>
      <c r="O54" s="1220"/>
      <c r="P54" s="1220"/>
      <c r="Q54" s="1220">
        <v>0</v>
      </c>
      <c r="R54" s="1220"/>
      <c r="S54" s="1220"/>
      <c r="T54" s="1220"/>
      <c r="U54" s="1220">
        <v>0</v>
      </c>
      <c r="V54" s="1220">
        <v>0</v>
      </c>
      <c r="W54" s="1220">
        <v>0</v>
      </c>
      <c r="X54" s="1220"/>
      <c r="Y54" s="1220"/>
      <c r="Z54" s="1220">
        <v>0</v>
      </c>
      <c r="AA54" s="1220"/>
      <c r="AB54" s="1220"/>
      <c r="AC54" s="1220">
        <v>0</v>
      </c>
      <c r="AD54" s="1220"/>
      <c r="AE54" s="1220"/>
      <c r="AF54" s="1220"/>
      <c r="AG54" s="1220">
        <v>0</v>
      </c>
      <c r="AH54" s="1220"/>
      <c r="AI54" s="1220"/>
      <c r="AJ54" s="1220"/>
      <c r="AK54" s="1220"/>
      <c r="AL54" s="1220">
        <v>0</v>
      </c>
      <c r="AM54" s="1220"/>
      <c r="AN54" s="1220"/>
      <c r="AO54" s="1220"/>
      <c r="AP54" s="1220"/>
      <c r="AQ54" s="1220">
        <v>1389</v>
      </c>
      <c r="AR54" s="1220">
        <v>0</v>
      </c>
      <c r="AS54" s="1220">
        <v>1389</v>
      </c>
      <c r="AT54" s="1220">
        <v>1389</v>
      </c>
      <c r="AU54" s="1220"/>
      <c r="AV54" s="1220"/>
      <c r="AW54" s="1220"/>
      <c r="AX54" s="1220"/>
      <c r="AY54" s="1220">
        <v>3895358.71</v>
      </c>
      <c r="AZ54" s="1220">
        <v>0</v>
      </c>
      <c r="BA54" s="1220">
        <v>0</v>
      </c>
      <c r="BB54" s="1220"/>
      <c r="BC54" s="1220">
        <v>0</v>
      </c>
      <c r="BD54" s="1220">
        <v>3895358.71</v>
      </c>
      <c r="BE54" s="1220">
        <v>0</v>
      </c>
      <c r="BF54" s="1220"/>
      <c r="BG54" s="1220"/>
      <c r="BH54" s="1220"/>
      <c r="BI54" s="1220"/>
      <c r="BJ54" s="1220"/>
      <c r="BK54" s="1220"/>
      <c r="BL54" s="1220">
        <v>0</v>
      </c>
      <c r="BM54" s="1220">
        <v>0</v>
      </c>
      <c r="BN54" s="1220"/>
      <c r="BO54" s="1220"/>
      <c r="BP54" s="1220"/>
      <c r="BQ54" s="1220"/>
      <c r="BR54" s="1220"/>
      <c r="BS54" s="1220"/>
      <c r="BT54" s="1220">
        <v>0</v>
      </c>
      <c r="BU54" s="1220">
        <v>0</v>
      </c>
      <c r="BV54" s="1220"/>
      <c r="BW54" s="1220"/>
      <c r="BX54" s="1220"/>
      <c r="BY54" s="1220"/>
      <c r="BZ54" s="1220">
        <v>0</v>
      </c>
      <c r="CA54" s="1220"/>
      <c r="CB54" s="1220"/>
      <c r="CC54" s="1220"/>
      <c r="CD54" s="1220"/>
      <c r="CE54" s="1220"/>
      <c r="CF54" s="1220"/>
      <c r="CG54" s="1220"/>
      <c r="CH54" s="1220"/>
      <c r="CI54" s="1220"/>
      <c r="CJ54" s="1220"/>
      <c r="CK54" s="1220"/>
      <c r="CL54" s="1220"/>
      <c r="CM54" s="1220"/>
      <c r="CN54" s="1220">
        <v>0</v>
      </c>
      <c r="CO54" s="1220">
        <v>0</v>
      </c>
      <c r="CP54" s="1220"/>
      <c r="CQ54" s="1220"/>
      <c r="CR54" s="1220"/>
      <c r="CS54" s="1220"/>
      <c r="CT54" s="1220"/>
      <c r="CU54" s="1220">
        <v>0</v>
      </c>
      <c r="CV54" s="1220"/>
      <c r="CW54" s="1220"/>
      <c r="CX54" s="1220"/>
      <c r="CY54" s="1220"/>
      <c r="CZ54" s="1220"/>
      <c r="DA54" s="1220"/>
      <c r="DB54" s="1220">
        <v>0</v>
      </c>
      <c r="DC54" s="1220"/>
      <c r="DD54" s="1220"/>
      <c r="DE54" s="1220"/>
      <c r="DF54" s="1220">
        <v>45804864.610000007</v>
      </c>
      <c r="DG54" s="1220">
        <v>0</v>
      </c>
      <c r="DH54" s="1220">
        <v>0</v>
      </c>
      <c r="DI54" s="1220"/>
      <c r="DJ54" s="1220"/>
      <c r="DK54" s="1220">
        <v>0</v>
      </c>
      <c r="DL54" s="1220"/>
      <c r="DM54" s="1220"/>
      <c r="DN54" s="1220">
        <v>0</v>
      </c>
      <c r="DO54" s="1220"/>
      <c r="DP54" s="1220"/>
      <c r="DQ54" s="1220">
        <v>45804864.610000007</v>
      </c>
      <c r="DR54" s="1220">
        <v>1411363.6390800751</v>
      </c>
      <c r="DS54" s="1220">
        <v>44393500.970919929</v>
      </c>
      <c r="DT54" s="1220"/>
      <c r="DU54" s="1220"/>
      <c r="DV54" s="1220">
        <v>0</v>
      </c>
      <c r="DW54" s="1220"/>
      <c r="DX54" s="1220"/>
      <c r="DY54" s="1220"/>
      <c r="DZ54" s="1220">
        <v>0</v>
      </c>
      <c r="EA54" s="1220">
        <v>0</v>
      </c>
      <c r="EB54" s="1220"/>
      <c r="EC54" s="1220"/>
      <c r="ED54" s="1220">
        <v>0</v>
      </c>
      <c r="EE54" s="1220"/>
      <c r="EF54" s="1220"/>
      <c r="EG54" s="1220">
        <v>0</v>
      </c>
      <c r="EH54" s="1220"/>
      <c r="EI54" s="1220"/>
      <c r="EJ54" s="1220"/>
      <c r="EK54" s="1220">
        <v>0</v>
      </c>
      <c r="EL54" s="1220"/>
      <c r="EM54" s="1220">
        <v>0</v>
      </c>
      <c r="EN54" s="1220"/>
      <c r="EO54" s="1220"/>
      <c r="EP54" s="1220"/>
      <c r="EQ54" s="1220">
        <v>0</v>
      </c>
      <c r="ER54" s="1220"/>
      <c r="ES54" s="1220"/>
      <c r="ET54" s="1220"/>
      <c r="EU54" s="1220">
        <v>0</v>
      </c>
      <c r="EV54" s="1220"/>
      <c r="EW54" s="1220"/>
      <c r="EX54" s="1220"/>
      <c r="EY54" s="1220"/>
      <c r="EZ54" s="1220">
        <v>0</v>
      </c>
      <c r="FA54" s="1220"/>
      <c r="FB54" s="1220">
        <v>0</v>
      </c>
      <c r="FC54" s="1220"/>
      <c r="FD54" s="1220"/>
      <c r="FE54" s="1220"/>
      <c r="FF54" s="1220">
        <v>0</v>
      </c>
      <c r="FG54" s="1220"/>
      <c r="FH54" s="1220"/>
      <c r="FI54" s="1220"/>
      <c r="FJ54" s="1220">
        <v>0</v>
      </c>
      <c r="FK54" s="1220"/>
      <c r="FL54" s="1220"/>
      <c r="FM54" s="1220"/>
      <c r="FN54" s="1220"/>
      <c r="FO54" s="1220">
        <v>0</v>
      </c>
      <c r="FP54" s="1220"/>
      <c r="FQ54" s="1220"/>
      <c r="FR54" s="1220"/>
      <c r="FS54" s="1220"/>
      <c r="FT54" s="1220"/>
      <c r="FU54" s="1220"/>
      <c r="FV54" s="1220"/>
      <c r="FW54" s="1220">
        <v>17725468.400000002</v>
      </c>
      <c r="FX54" s="1220">
        <v>17725469.400000002</v>
      </c>
      <c r="FY54" s="1220">
        <v>-1</v>
      </c>
      <c r="FZ54" s="1220">
        <v>0</v>
      </c>
      <c r="GA54" s="1220"/>
      <c r="GB54" s="1220">
        <v>3492801.8579150005</v>
      </c>
      <c r="GC54" s="1220"/>
      <c r="GD54" s="1220"/>
      <c r="GE54" s="1220"/>
      <c r="GF54" s="1220">
        <v>74097349.027915016</v>
      </c>
    </row>
    <row r="55" spans="2:190" s="1" customFormat="1">
      <c r="B55" s="1419">
        <v>43374</v>
      </c>
      <c r="C55" s="947">
        <v>0</v>
      </c>
      <c r="D55" s="947"/>
      <c r="E55" s="947">
        <v>3063599.92</v>
      </c>
      <c r="F55" s="947"/>
      <c r="G55" s="947">
        <v>3063599.92</v>
      </c>
      <c r="H55" s="947"/>
      <c r="I55" s="947"/>
      <c r="J55" s="947">
        <v>184761.79</v>
      </c>
      <c r="K55" s="947">
        <v>184761.79</v>
      </c>
      <c r="L55" s="947">
        <v>184761.79</v>
      </c>
      <c r="M55" s="947"/>
      <c r="N55" s="947">
        <v>0</v>
      </c>
      <c r="O55" s="947"/>
      <c r="P55" s="947"/>
      <c r="Q55" s="947">
        <v>0</v>
      </c>
      <c r="R55" s="947"/>
      <c r="S55" s="947"/>
      <c r="T55" s="947"/>
      <c r="U55" s="947">
        <v>0</v>
      </c>
      <c r="V55" s="947">
        <v>0</v>
      </c>
      <c r="W55" s="947">
        <v>0</v>
      </c>
      <c r="X55" s="947"/>
      <c r="Y55" s="947"/>
      <c r="Z55" s="947">
        <v>0</v>
      </c>
      <c r="AA55" s="947"/>
      <c r="AB55" s="947"/>
      <c r="AC55" s="947">
        <v>0</v>
      </c>
      <c r="AD55" s="947"/>
      <c r="AE55" s="947"/>
      <c r="AF55" s="947"/>
      <c r="AG55" s="947">
        <v>0</v>
      </c>
      <c r="AH55" s="947"/>
      <c r="AI55" s="947"/>
      <c r="AJ55" s="947"/>
      <c r="AK55" s="947"/>
      <c r="AL55" s="947">
        <v>0</v>
      </c>
      <c r="AM55" s="947"/>
      <c r="AN55" s="947"/>
      <c r="AO55" s="947"/>
      <c r="AP55" s="947"/>
      <c r="AQ55" s="947">
        <v>1389</v>
      </c>
      <c r="AR55" s="947">
        <v>0</v>
      </c>
      <c r="AS55" s="947">
        <v>1389</v>
      </c>
      <c r="AT55" s="947">
        <v>1389</v>
      </c>
      <c r="AU55" s="947"/>
      <c r="AV55" s="947"/>
      <c r="AW55" s="947"/>
      <c r="AX55" s="947"/>
      <c r="AY55" s="947">
        <v>3895358.7</v>
      </c>
      <c r="AZ55" s="947">
        <v>0</v>
      </c>
      <c r="BA55" s="947">
        <v>0</v>
      </c>
      <c r="BB55" s="947"/>
      <c r="BC55" s="947">
        <v>0</v>
      </c>
      <c r="BD55" s="947">
        <v>3895358.7</v>
      </c>
      <c r="BE55" s="947">
        <v>0</v>
      </c>
      <c r="BF55" s="947"/>
      <c r="BG55" s="947"/>
      <c r="BH55" s="947"/>
      <c r="BI55" s="947"/>
      <c r="BJ55" s="947"/>
      <c r="BK55" s="947"/>
      <c r="BL55" s="947">
        <v>0</v>
      </c>
      <c r="BM55" s="947">
        <v>0</v>
      </c>
      <c r="BN55" s="947"/>
      <c r="BO55" s="947"/>
      <c r="BP55" s="947"/>
      <c r="BQ55" s="947"/>
      <c r="BR55" s="947"/>
      <c r="BS55" s="947"/>
      <c r="BT55" s="947">
        <v>0</v>
      </c>
      <c r="BU55" s="947">
        <v>0</v>
      </c>
      <c r="BV55" s="947"/>
      <c r="BW55" s="947"/>
      <c r="BX55" s="947"/>
      <c r="BY55" s="947"/>
      <c r="BZ55" s="947">
        <v>0</v>
      </c>
      <c r="CA55" s="947"/>
      <c r="CB55" s="947"/>
      <c r="CC55" s="947"/>
      <c r="CD55" s="947"/>
      <c r="CE55" s="947"/>
      <c r="CF55" s="947"/>
      <c r="CG55" s="947"/>
      <c r="CH55" s="947"/>
      <c r="CI55" s="947"/>
      <c r="CJ55" s="947"/>
      <c r="CK55" s="947"/>
      <c r="CL55" s="947"/>
      <c r="CM55" s="947"/>
      <c r="CN55" s="947">
        <v>0</v>
      </c>
      <c r="CO55" s="947">
        <v>0</v>
      </c>
      <c r="CP55" s="947"/>
      <c r="CQ55" s="947"/>
      <c r="CR55" s="947"/>
      <c r="CS55" s="947"/>
      <c r="CT55" s="947"/>
      <c r="CU55" s="947">
        <v>0</v>
      </c>
      <c r="CV55" s="947"/>
      <c r="CW55" s="947"/>
      <c r="CX55" s="947"/>
      <c r="CY55" s="947"/>
      <c r="CZ55" s="947"/>
      <c r="DA55" s="947"/>
      <c r="DB55" s="947">
        <v>0</v>
      </c>
      <c r="DC55" s="947"/>
      <c r="DD55" s="947"/>
      <c r="DE55" s="947"/>
      <c r="DF55" s="947">
        <v>47749138.900000013</v>
      </c>
      <c r="DG55" s="947">
        <v>0</v>
      </c>
      <c r="DH55" s="947">
        <v>0</v>
      </c>
      <c r="DI55" s="947"/>
      <c r="DJ55" s="947"/>
      <c r="DK55" s="947">
        <v>0</v>
      </c>
      <c r="DL55" s="947"/>
      <c r="DM55" s="947"/>
      <c r="DN55" s="947">
        <v>0</v>
      </c>
      <c r="DO55" s="947"/>
      <c r="DP55" s="947"/>
      <c r="DQ55" s="947">
        <v>47749138.900000013</v>
      </c>
      <c r="DR55" s="947">
        <v>1471271.6436264997</v>
      </c>
      <c r="DS55" s="947">
        <v>46277867.256373517</v>
      </c>
      <c r="DT55" s="947"/>
      <c r="DU55" s="947"/>
      <c r="DV55" s="947">
        <v>0</v>
      </c>
      <c r="DW55" s="947"/>
      <c r="DX55" s="947"/>
      <c r="DY55" s="947"/>
      <c r="DZ55" s="947">
        <v>0</v>
      </c>
      <c r="EA55" s="947">
        <v>0</v>
      </c>
      <c r="EB55" s="947"/>
      <c r="EC55" s="947"/>
      <c r="ED55" s="947">
        <v>0</v>
      </c>
      <c r="EE55" s="947"/>
      <c r="EF55" s="947"/>
      <c r="EG55" s="947">
        <v>0</v>
      </c>
      <c r="EH55" s="947"/>
      <c r="EI55" s="947"/>
      <c r="EJ55" s="947"/>
      <c r="EK55" s="947">
        <v>0</v>
      </c>
      <c r="EL55" s="947"/>
      <c r="EM55" s="947">
        <v>0</v>
      </c>
      <c r="EN55" s="947"/>
      <c r="EO55" s="947"/>
      <c r="EP55" s="947"/>
      <c r="EQ55" s="947">
        <v>0</v>
      </c>
      <c r="ER55" s="947"/>
      <c r="ES55" s="947"/>
      <c r="ET55" s="947"/>
      <c r="EU55" s="947">
        <v>0</v>
      </c>
      <c r="EV55" s="947"/>
      <c r="EW55" s="947"/>
      <c r="EX55" s="947"/>
      <c r="EY55" s="947"/>
      <c r="EZ55" s="947">
        <v>0</v>
      </c>
      <c r="FA55" s="947"/>
      <c r="FB55" s="947">
        <v>0</v>
      </c>
      <c r="FC55" s="947"/>
      <c r="FD55" s="947"/>
      <c r="FE55" s="947"/>
      <c r="FF55" s="947">
        <v>0</v>
      </c>
      <c r="FG55" s="947"/>
      <c r="FH55" s="947"/>
      <c r="FI55" s="947"/>
      <c r="FJ55" s="947">
        <v>0</v>
      </c>
      <c r="FK55" s="947"/>
      <c r="FL55" s="947"/>
      <c r="FM55" s="947"/>
      <c r="FN55" s="947"/>
      <c r="FO55" s="947">
        <v>0</v>
      </c>
      <c r="FP55" s="947"/>
      <c r="FQ55" s="947"/>
      <c r="FR55" s="947"/>
      <c r="FS55" s="947"/>
      <c r="FT55" s="947"/>
      <c r="FU55" s="947"/>
      <c r="FV55" s="947"/>
      <c r="FW55" s="947">
        <v>18212852.990000002</v>
      </c>
      <c r="FX55" s="947">
        <v>18212859.400000002</v>
      </c>
      <c r="FY55" s="947">
        <v>-5.6900000004097819</v>
      </c>
      <c r="FZ55" s="947">
        <v>-0.72000000003026798</v>
      </c>
      <c r="GA55" s="947"/>
      <c r="GB55" s="947">
        <v>12268577.4385</v>
      </c>
      <c r="GC55" s="947"/>
      <c r="GD55" s="947"/>
      <c r="GE55" s="947"/>
      <c r="GF55" s="947">
        <v>85375678.738500014</v>
      </c>
    </row>
    <row r="56" spans="2:190" s="1" customFormat="1">
      <c r="B56" s="1419">
        <v>43405</v>
      </c>
      <c r="C56" s="1">
        <v>0</v>
      </c>
      <c r="E56" s="1">
        <v>3021328.15</v>
      </c>
      <c r="G56" s="1">
        <v>3021328.15</v>
      </c>
      <c r="J56" s="1">
        <v>195571.09999999995</v>
      </c>
      <c r="K56" s="1">
        <v>195571.09999999995</v>
      </c>
      <c r="L56" s="1">
        <v>195571.09999999995</v>
      </c>
      <c r="N56" s="1">
        <v>0</v>
      </c>
      <c r="Q56" s="1">
        <v>0</v>
      </c>
      <c r="U56" s="1">
        <v>0</v>
      </c>
      <c r="V56" s="1">
        <v>0</v>
      </c>
      <c r="W56" s="1">
        <v>0</v>
      </c>
      <c r="Z56" s="1">
        <v>0</v>
      </c>
      <c r="AC56" s="1">
        <v>0</v>
      </c>
      <c r="AG56" s="1">
        <v>0</v>
      </c>
      <c r="AL56" s="1">
        <v>0</v>
      </c>
      <c r="AQ56" s="1">
        <v>1389</v>
      </c>
      <c r="AR56" s="1">
        <v>0</v>
      </c>
      <c r="AS56" s="1">
        <v>1389</v>
      </c>
      <c r="AT56" s="1">
        <v>1389</v>
      </c>
      <c r="AY56" s="1">
        <v>3895358.7</v>
      </c>
      <c r="AZ56" s="1">
        <v>0</v>
      </c>
      <c r="BA56" s="1">
        <v>0</v>
      </c>
      <c r="BC56" s="1">
        <v>0</v>
      </c>
      <c r="BD56" s="1">
        <v>3895358.7</v>
      </c>
      <c r="BE56" s="1">
        <v>0</v>
      </c>
      <c r="BL56" s="1">
        <v>0</v>
      </c>
      <c r="BM56" s="1">
        <v>0</v>
      </c>
      <c r="BT56" s="1">
        <v>0</v>
      </c>
      <c r="BU56" s="1">
        <v>0</v>
      </c>
      <c r="BZ56" s="1">
        <v>0</v>
      </c>
      <c r="CN56" s="1">
        <v>0</v>
      </c>
      <c r="CO56" s="1">
        <v>0</v>
      </c>
      <c r="CU56" s="1">
        <v>0</v>
      </c>
      <c r="DB56" s="1">
        <v>0</v>
      </c>
      <c r="DF56" s="1">
        <v>47985468.079999998</v>
      </c>
      <c r="DG56" s="1">
        <v>0</v>
      </c>
      <c r="DH56" s="1">
        <v>0</v>
      </c>
      <c r="DK56" s="1">
        <v>0</v>
      </c>
      <c r="DN56" s="1">
        <v>0</v>
      </c>
      <c r="DQ56" s="1">
        <v>47985468.079999998</v>
      </c>
      <c r="DR56" s="1">
        <v>1478553.5429257452</v>
      </c>
      <c r="DS56" s="1">
        <v>46506914.537074253</v>
      </c>
      <c r="DV56" s="1">
        <v>0</v>
      </c>
      <c r="DZ56" s="1">
        <v>0</v>
      </c>
      <c r="EA56" s="1">
        <v>0</v>
      </c>
      <c r="ED56" s="1">
        <v>0</v>
      </c>
      <c r="EG56" s="1">
        <v>0</v>
      </c>
      <c r="EK56" s="1">
        <v>0</v>
      </c>
      <c r="EM56" s="1">
        <v>0</v>
      </c>
      <c r="EQ56" s="1">
        <v>0</v>
      </c>
      <c r="EU56" s="1">
        <v>0</v>
      </c>
      <c r="EZ56" s="1">
        <v>0</v>
      </c>
      <c r="FB56" s="1">
        <v>0</v>
      </c>
      <c r="FF56" s="1">
        <v>0</v>
      </c>
      <c r="FJ56" s="1">
        <v>0</v>
      </c>
      <c r="FO56" s="1">
        <v>0</v>
      </c>
      <c r="FW56" s="1">
        <v>18212852.990000002</v>
      </c>
      <c r="FX56" s="1">
        <v>18212859.400000002</v>
      </c>
      <c r="FY56" s="1">
        <v>-5.6900000004097819</v>
      </c>
      <c r="FZ56" s="1">
        <v>-0.72000000003026798</v>
      </c>
      <c r="GB56" s="1">
        <v>10060508.622499999</v>
      </c>
      <c r="GF56" s="1">
        <v>83372476.642500013</v>
      </c>
    </row>
    <row r="57" spans="2:190" s="1" customFormat="1">
      <c r="B57" s="1419">
        <v>43435</v>
      </c>
      <c r="C57" s="1">
        <v>0</v>
      </c>
      <c r="E57" s="1">
        <v>2538880.39</v>
      </c>
      <c r="G57" s="1">
        <v>2538880.39</v>
      </c>
      <c r="J57" s="1">
        <v>95772.540000000008</v>
      </c>
      <c r="K57" s="1">
        <v>95772.540000000008</v>
      </c>
      <c r="L57" s="1">
        <v>95772.540000000008</v>
      </c>
      <c r="N57" s="1">
        <v>0</v>
      </c>
      <c r="Q57" s="1">
        <v>0</v>
      </c>
      <c r="U57" s="1">
        <v>0</v>
      </c>
      <c r="V57" s="1">
        <v>0</v>
      </c>
      <c r="W57" s="1">
        <v>0</v>
      </c>
      <c r="Z57" s="1">
        <v>0</v>
      </c>
      <c r="AC57" s="1">
        <v>0</v>
      </c>
      <c r="AG57" s="1">
        <v>0</v>
      </c>
      <c r="AL57" s="1">
        <v>0</v>
      </c>
      <c r="AQ57" s="1">
        <v>1389</v>
      </c>
      <c r="AR57" s="1">
        <v>0</v>
      </c>
      <c r="AS57" s="1">
        <v>1389</v>
      </c>
      <c r="AT57" s="1">
        <v>1389</v>
      </c>
      <c r="AY57" s="1">
        <v>3895358.7</v>
      </c>
      <c r="AZ57" s="1">
        <v>0</v>
      </c>
      <c r="BA57" s="1">
        <v>0</v>
      </c>
      <c r="BC57" s="1">
        <v>0</v>
      </c>
      <c r="BD57" s="1">
        <v>3895358.7</v>
      </c>
      <c r="BE57" s="1">
        <v>0</v>
      </c>
      <c r="BL57" s="1">
        <v>0</v>
      </c>
      <c r="BM57" s="1">
        <v>0</v>
      </c>
      <c r="BT57" s="1">
        <v>0</v>
      </c>
      <c r="BU57" s="1">
        <v>0</v>
      </c>
      <c r="BZ57" s="1">
        <v>0</v>
      </c>
      <c r="CN57" s="1">
        <v>0</v>
      </c>
      <c r="CO57" s="1">
        <v>0</v>
      </c>
      <c r="CU57" s="1">
        <v>0</v>
      </c>
      <c r="DB57" s="1">
        <v>0</v>
      </c>
      <c r="DF57" s="1">
        <v>48172674.459999993</v>
      </c>
      <c r="DG57" s="1">
        <v>0</v>
      </c>
      <c r="DH57" s="1">
        <v>0</v>
      </c>
      <c r="DK57" s="1">
        <v>0</v>
      </c>
      <c r="DN57" s="1">
        <v>0</v>
      </c>
      <c r="DQ57" s="1">
        <v>48172674.459999993</v>
      </c>
      <c r="DR57" s="1">
        <v>1484321.8446112853</v>
      </c>
      <c r="DS57" s="1">
        <v>46688352.615388706</v>
      </c>
      <c r="DV57" s="1">
        <v>0</v>
      </c>
      <c r="DZ57" s="1">
        <v>0</v>
      </c>
      <c r="EA57" s="1">
        <v>0</v>
      </c>
      <c r="ED57" s="1">
        <v>0</v>
      </c>
      <c r="EG57" s="1">
        <v>0</v>
      </c>
      <c r="EK57" s="1">
        <v>0</v>
      </c>
      <c r="EM57" s="1">
        <v>0</v>
      </c>
      <c r="EQ57" s="1">
        <v>0</v>
      </c>
      <c r="EU57" s="1">
        <v>0</v>
      </c>
      <c r="EZ57" s="1">
        <v>0</v>
      </c>
      <c r="FB57" s="1">
        <v>0</v>
      </c>
      <c r="FF57" s="1">
        <v>0</v>
      </c>
      <c r="FJ57" s="1">
        <v>0</v>
      </c>
      <c r="FO57" s="1">
        <v>0</v>
      </c>
      <c r="FW57" s="1">
        <v>18212852.990000002</v>
      </c>
      <c r="FX57" s="1">
        <v>18212859.400000002</v>
      </c>
      <c r="FY57" s="1">
        <v>-5.6900000004097819</v>
      </c>
      <c r="FZ57" s="1">
        <v>-0.72000000003026798</v>
      </c>
      <c r="GB57" s="1">
        <v>8499318.5299999993</v>
      </c>
      <c r="GF57" s="1">
        <v>81416246.609999999</v>
      </c>
    </row>
    <row r="60" spans="2:190" ht="15.75">
      <c r="B60" s="1419">
        <v>43466</v>
      </c>
      <c r="C60" s="1375">
        <v>0</v>
      </c>
      <c r="D60" s="1375"/>
      <c r="E60" s="1375">
        <v>2776259.45</v>
      </c>
      <c r="F60" s="1375"/>
      <c r="G60" s="1375">
        <v>2776259.45</v>
      </c>
      <c r="H60" s="1375"/>
      <c r="I60" s="1375"/>
      <c r="J60" s="1375">
        <v>80412.850000000006</v>
      </c>
      <c r="K60" s="1375">
        <v>80412.850000000006</v>
      </c>
      <c r="L60" s="1375">
        <v>80412.850000000006</v>
      </c>
      <c r="M60" s="1375"/>
      <c r="N60" s="1375">
        <v>0</v>
      </c>
      <c r="O60" s="1375"/>
      <c r="P60" s="1375"/>
      <c r="Q60" s="1375">
        <v>0</v>
      </c>
      <c r="R60" s="1375"/>
      <c r="S60" s="1375"/>
      <c r="T60" s="1375"/>
      <c r="U60" s="1375">
        <v>0</v>
      </c>
      <c r="V60" s="1375">
        <v>0</v>
      </c>
      <c r="W60" s="1375">
        <v>0</v>
      </c>
      <c r="X60" s="1375"/>
      <c r="Y60" s="1375"/>
      <c r="Z60" s="1375">
        <v>0</v>
      </c>
      <c r="AA60" s="1375"/>
      <c r="AB60" s="1375"/>
      <c r="AC60" s="1375">
        <v>0</v>
      </c>
      <c r="AD60" s="1375"/>
      <c r="AE60" s="1375"/>
      <c r="AF60" s="1375"/>
      <c r="AG60" s="1375">
        <v>0</v>
      </c>
      <c r="AH60" s="1375"/>
      <c r="AI60" s="1375"/>
      <c r="AJ60" s="1375"/>
      <c r="AK60" s="1375"/>
      <c r="AL60" s="1375">
        <v>0</v>
      </c>
      <c r="AM60" s="1375"/>
      <c r="AN60" s="1375"/>
      <c r="AO60" s="1375"/>
      <c r="AP60" s="1375"/>
      <c r="AQ60" s="1375">
        <v>1389</v>
      </c>
      <c r="AR60" s="1375">
        <v>0</v>
      </c>
      <c r="AS60" s="1375">
        <v>1389</v>
      </c>
      <c r="AT60" s="1375">
        <v>1389</v>
      </c>
      <c r="AU60" s="1375"/>
      <c r="AV60" s="1375"/>
      <c r="AW60" s="1375"/>
      <c r="AX60" s="1375"/>
      <c r="AY60" s="1375">
        <v>3895358.7</v>
      </c>
      <c r="AZ60" s="1375">
        <v>0</v>
      </c>
      <c r="BA60" s="1375">
        <v>0</v>
      </c>
      <c r="BB60" s="1375"/>
      <c r="BC60" s="1375">
        <v>0</v>
      </c>
      <c r="BD60" s="1375">
        <v>3895358.7</v>
      </c>
      <c r="BE60" s="1375">
        <v>0</v>
      </c>
      <c r="BF60" s="1375"/>
      <c r="BG60" s="1375"/>
      <c r="BH60" s="1375"/>
      <c r="BI60" s="1375"/>
      <c r="BJ60" s="1375"/>
      <c r="BK60" s="1375"/>
      <c r="BL60" s="1375">
        <v>0</v>
      </c>
      <c r="BM60" s="1375">
        <v>0</v>
      </c>
      <c r="BN60" s="1375"/>
      <c r="BO60" s="1375"/>
      <c r="BP60" s="1375"/>
      <c r="BQ60" s="1375"/>
      <c r="BR60" s="1375"/>
      <c r="BS60" s="1375"/>
      <c r="BT60" s="1375">
        <v>0</v>
      </c>
      <c r="BU60" s="1375">
        <v>0</v>
      </c>
      <c r="BV60" s="1375"/>
      <c r="BW60" s="1375"/>
      <c r="BX60" s="1375"/>
      <c r="BY60" s="1375"/>
      <c r="BZ60" s="1375">
        <v>0</v>
      </c>
      <c r="CA60" s="1375"/>
      <c r="CB60" s="1375"/>
      <c r="CC60" s="1375"/>
      <c r="CD60" s="1375"/>
      <c r="CE60" s="1375"/>
      <c r="CF60" s="1375"/>
      <c r="CG60" s="1375"/>
      <c r="CH60" s="1375"/>
      <c r="CI60" s="1375"/>
      <c r="CJ60" s="1375"/>
      <c r="CK60" s="1375"/>
      <c r="CL60" s="1375"/>
      <c r="CM60" s="1375"/>
      <c r="CN60" s="1375">
        <v>0</v>
      </c>
      <c r="CO60" s="1375">
        <v>0</v>
      </c>
      <c r="CP60" s="1375"/>
      <c r="CQ60" s="1375"/>
      <c r="CR60" s="1375"/>
      <c r="CS60" s="1375"/>
      <c r="CT60" s="1375"/>
      <c r="CU60" s="1375">
        <v>0</v>
      </c>
      <c r="CV60" s="1375"/>
      <c r="CW60" s="1375"/>
      <c r="CX60" s="1375"/>
      <c r="CY60" s="1375"/>
      <c r="CZ60" s="1375"/>
      <c r="DA60" s="1375"/>
      <c r="DB60" s="1375">
        <v>0</v>
      </c>
      <c r="DC60" s="1375"/>
      <c r="DD60" s="1375"/>
      <c r="DE60" s="1375"/>
      <c r="DF60" s="1375">
        <v>48687285.489999995</v>
      </c>
      <c r="DG60" s="1375">
        <v>0</v>
      </c>
      <c r="DH60" s="1375">
        <v>0</v>
      </c>
      <c r="DI60" s="1375"/>
      <c r="DJ60" s="1375"/>
      <c r="DK60" s="1375">
        <v>0</v>
      </c>
      <c r="DL60" s="1375"/>
      <c r="DM60" s="1375"/>
      <c r="DN60" s="1375">
        <v>0</v>
      </c>
      <c r="DO60" s="1375"/>
      <c r="DP60" s="1375"/>
      <c r="DQ60" s="1375">
        <v>48687285.489999995</v>
      </c>
      <c r="DR60" s="1375">
        <v>1500178.3109974556</v>
      </c>
      <c r="DS60" s="1375">
        <v>47187107.179002538</v>
      </c>
      <c r="DT60" s="1375"/>
      <c r="DU60" s="1375"/>
      <c r="DV60" s="1375">
        <v>0</v>
      </c>
      <c r="DW60" s="1375"/>
      <c r="DX60" s="1375"/>
      <c r="DY60" s="1375"/>
      <c r="DZ60" s="1375">
        <v>0</v>
      </c>
      <c r="EA60" s="1375">
        <v>0</v>
      </c>
      <c r="EB60" s="1375"/>
      <c r="EC60" s="1375"/>
      <c r="ED60" s="1375">
        <v>0</v>
      </c>
      <c r="EE60" s="1375"/>
      <c r="EF60" s="1375"/>
      <c r="EG60" s="1375">
        <v>0</v>
      </c>
      <c r="EH60" s="1375"/>
      <c r="EI60" s="1375"/>
      <c r="EJ60" s="1375"/>
      <c r="EK60" s="1375">
        <v>0</v>
      </c>
      <c r="EL60" s="1375"/>
      <c r="EM60" s="1375">
        <v>0</v>
      </c>
      <c r="EN60" s="1375"/>
      <c r="EO60" s="1375"/>
      <c r="EP60" s="1375"/>
      <c r="EQ60" s="1375">
        <v>0</v>
      </c>
      <c r="ER60" s="1375"/>
      <c r="ES60" s="1375"/>
      <c r="ET60" s="1375"/>
      <c r="EU60" s="1375">
        <v>0</v>
      </c>
      <c r="EV60" s="1375"/>
      <c r="EW60" s="1375"/>
      <c r="EX60" s="1375"/>
      <c r="EY60" s="1375"/>
      <c r="EZ60" s="1375">
        <v>0</v>
      </c>
      <c r="FA60" s="1375"/>
      <c r="FB60" s="1375">
        <v>0</v>
      </c>
      <c r="FC60" s="1375"/>
      <c r="FD60" s="1375"/>
      <c r="FE60" s="1375"/>
      <c r="FF60" s="1375">
        <v>0</v>
      </c>
      <c r="FG60" s="1375"/>
      <c r="FH60" s="1375"/>
      <c r="FI60" s="1375"/>
      <c r="FJ60" s="1375">
        <v>0</v>
      </c>
      <c r="FK60" s="1375"/>
      <c r="FL60" s="1375"/>
      <c r="FM60" s="1375"/>
      <c r="FN60" s="1375"/>
      <c r="FO60" s="1375">
        <v>0</v>
      </c>
      <c r="FP60" s="1375"/>
      <c r="FQ60" s="1375"/>
      <c r="FR60" s="1375"/>
      <c r="FS60" s="1375"/>
      <c r="FT60" s="1375"/>
      <c r="FU60" s="1375"/>
      <c r="FV60" s="1375"/>
      <c r="FW60" s="1375">
        <v>18212852.990000002</v>
      </c>
      <c r="FX60" s="1375">
        <v>18212859.400000002</v>
      </c>
      <c r="FY60" s="1375">
        <v>-5.6900000004097819</v>
      </c>
      <c r="FZ60" s="1375">
        <v>-0.72000000003026798</v>
      </c>
      <c r="GA60" s="1375"/>
      <c r="GB60" s="1375">
        <v>8679306.4299999997</v>
      </c>
      <c r="GC60" s="1375"/>
      <c r="GD60" s="1375"/>
      <c r="GE60" s="1375"/>
      <c r="GF60" s="1375">
        <v>82332864.909999996</v>
      </c>
      <c r="GG60" s="1375"/>
      <c r="GH60" s="1375"/>
    </row>
    <row r="61" spans="2:190" ht="15.75">
      <c r="B61" s="1419">
        <v>43497</v>
      </c>
      <c r="C61" s="1026">
        <v>0</v>
      </c>
      <c r="E61" s="1026">
        <v>2714659.45</v>
      </c>
      <c r="G61" s="1026">
        <v>2714659.45</v>
      </c>
      <c r="J61" s="1026">
        <v>81223.63</v>
      </c>
      <c r="K61" s="1026">
        <v>81223.63</v>
      </c>
      <c r="L61" s="1026">
        <v>81223.63</v>
      </c>
      <c r="N61" s="1026">
        <v>0</v>
      </c>
      <c r="Q61" s="1026">
        <v>0</v>
      </c>
      <c r="U61" s="1026">
        <v>0</v>
      </c>
      <c r="V61" s="1026">
        <v>0</v>
      </c>
      <c r="W61" s="1026">
        <v>0</v>
      </c>
      <c r="Z61" s="1026">
        <v>0</v>
      </c>
      <c r="AC61" s="1026">
        <v>0</v>
      </c>
      <c r="AG61" s="1026">
        <v>0</v>
      </c>
      <c r="AL61" s="1026">
        <v>0</v>
      </c>
      <c r="AQ61" s="1026">
        <v>578</v>
      </c>
      <c r="AR61" s="1026">
        <v>0</v>
      </c>
      <c r="AS61" s="1026">
        <v>578</v>
      </c>
      <c r="AT61" s="1026">
        <v>578</v>
      </c>
      <c r="AY61" s="1026">
        <v>3895358.7</v>
      </c>
      <c r="AZ61" s="1026">
        <v>0</v>
      </c>
      <c r="BA61" s="1026">
        <v>0</v>
      </c>
      <c r="BC61" s="1026">
        <v>0</v>
      </c>
      <c r="BD61" s="1026">
        <v>3895358.7</v>
      </c>
      <c r="BE61" s="1026">
        <v>0</v>
      </c>
      <c r="BL61" s="1026">
        <v>0</v>
      </c>
      <c r="BM61" s="1026">
        <v>0</v>
      </c>
      <c r="BT61" s="1026">
        <v>0</v>
      </c>
      <c r="BU61" s="1026">
        <v>0</v>
      </c>
      <c r="BZ61" s="1026">
        <v>0</v>
      </c>
      <c r="CN61" s="1026">
        <v>0</v>
      </c>
      <c r="CO61" s="1026">
        <v>0</v>
      </c>
      <c r="CU61" s="1026">
        <v>0</v>
      </c>
      <c r="DB61" s="1026">
        <v>0</v>
      </c>
      <c r="DF61" s="1026">
        <v>48952655.489999995</v>
      </c>
      <c r="DG61" s="1026">
        <v>0</v>
      </c>
      <c r="DH61" s="1026">
        <v>0</v>
      </c>
      <c r="DK61" s="1026">
        <v>0</v>
      </c>
      <c r="DN61" s="1026">
        <v>0</v>
      </c>
      <c r="DQ61" s="1026">
        <v>48952655.489999995</v>
      </c>
      <c r="DR61" s="1026">
        <v>1508355.0313543784</v>
      </c>
      <c r="DS61" s="1026">
        <v>47444300.458645619</v>
      </c>
      <c r="DV61" s="1026">
        <v>0</v>
      </c>
      <c r="DZ61" s="1026">
        <v>0</v>
      </c>
      <c r="EA61" s="1026">
        <v>0</v>
      </c>
      <c r="ED61" s="1026">
        <v>0</v>
      </c>
      <c r="EG61" s="1026">
        <v>0</v>
      </c>
      <c r="EK61" s="1026">
        <v>0</v>
      </c>
      <c r="EM61" s="1026">
        <v>0</v>
      </c>
      <c r="EQ61" s="1026">
        <v>0</v>
      </c>
      <c r="EU61" s="1026">
        <v>0</v>
      </c>
      <c r="EZ61" s="1026">
        <v>0</v>
      </c>
      <c r="FB61" s="1026">
        <v>0</v>
      </c>
      <c r="FF61" s="1026">
        <v>0</v>
      </c>
      <c r="FJ61" s="1026">
        <v>0</v>
      </c>
      <c r="FO61" s="1026">
        <v>0</v>
      </c>
      <c r="FW61" s="1026">
        <v>18212852.990000002</v>
      </c>
      <c r="FX61" s="1026">
        <v>18212859.400000002</v>
      </c>
      <c r="FY61" s="1026">
        <v>-5.6900000004097819</v>
      </c>
      <c r="FZ61" s="1026">
        <v>-0.72000000003026798</v>
      </c>
      <c r="GB61" s="1026">
        <v>8590654.4299999997</v>
      </c>
      <c r="GF61" s="1026">
        <v>82447982.689999998</v>
      </c>
    </row>
    <row r="62" spans="2:190" ht="15.75">
      <c r="B62" s="1419">
        <v>43525</v>
      </c>
      <c r="C62" s="1026">
        <v>0</v>
      </c>
      <c r="E62" s="1026">
        <v>2991851.45</v>
      </c>
      <c r="G62" s="1026">
        <v>2991851.45</v>
      </c>
      <c r="J62" s="1026">
        <v>81223.63</v>
      </c>
      <c r="K62" s="1026">
        <v>81223.63</v>
      </c>
      <c r="L62" s="1026">
        <v>81223.63</v>
      </c>
      <c r="N62" s="1026">
        <v>0</v>
      </c>
      <c r="Q62" s="1026">
        <v>0</v>
      </c>
      <c r="U62" s="1026">
        <v>0</v>
      </c>
      <c r="V62" s="1026">
        <v>0</v>
      </c>
      <c r="W62" s="1026">
        <v>0</v>
      </c>
      <c r="Z62" s="1026">
        <v>0</v>
      </c>
      <c r="AC62" s="1026">
        <v>0</v>
      </c>
      <c r="AG62" s="1026">
        <v>0</v>
      </c>
      <c r="AL62" s="1026">
        <v>0</v>
      </c>
      <c r="AQ62" s="1026">
        <v>578</v>
      </c>
      <c r="AR62" s="1026">
        <v>0</v>
      </c>
      <c r="AS62" s="1026">
        <v>578</v>
      </c>
      <c r="AT62" s="1026">
        <v>578</v>
      </c>
      <c r="AY62" s="1026">
        <v>3895358.7</v>
      </c>
      <c r="AZ62" s="1026">
        <v>0</v>
      </c>
      <c r="BA62" s="1026">
        <v>0</v>
      </c>
      <c r="BC62" s="1026">
        <v>0</v>
      </c>
      <c r="BD62" s="1026">
        <v>3895358.7</v>
      </c>
      <c r="BE62" s="1026">
        <v>0</v>
      </c>
      <c r="BL62" s="1026">
        <v>0</v>
      </c>
      <c r="BM62" s="1026">
        <v>0</v>
      </c>
      <c r="BT62" s="1026">
        <v>0</v>
      </c>
      <c r="BU62" s="1026">
        <v>0</v>
      </c>
      <c r="BZ62" s="1026">
        <v>0</v>
      </c>
      <c r="CN62" s="1026">
        <v>0</v>
      </c>
      <c r="CO62" s="1026">
        <v>0</v>
      </c>
      <c r="CU62" s="1026">
        <v>0</v>
      </c>
      <c r="DB62" s="1026">
        <v>0</v>
      </c>
      <c r="DF62" s="1026">
        <v>49184835.489999995</v>
      </c>
      <c r="DG62" s="1026">
        <v>0</v>
      </c>
      <c r="DH62" s="1026">
        <v>0</v>
      </c>
      <c r="DK62" s="1026">
        <v>0</v>
      </c>
      <c r="DN62" s="1026">
        <v>0</v>
      </c>
      <c r="DQ62" s="1026">
        <v>49184835.489999995</v>
      </c>
      <c r="DR62" s="1026">
        <v>1515509.0839318</v>
      </c>
      <c r="DS62" s="1026">
        <v>47669326.406068198</v>
      </c>
      <c r="DV62" s="1026">
        <v>0</v>
      </c>
      <c r="DZ62" s="1026">
        <v>0</v>
      </c>
      <c r="EA62" s="1026">
        <v>0</v>
      </c>
      <c r="ED62" s="1026">
        <v>0</v>
      </c>
      <c r="EG62" s="1026">
        <v>0</v>
      </c>
      <c r="EK62" s="1026">
        <v>0</v>
      </c>
      <c r="EM62" s="1026">
        <v>0</v>
      </c>
      <c r="EQ62" s="1026">
        <v>0</v>
      </c>
      <c r="EU62" s="1026">
        <v>0</v>
      </c>
      <c r="EZ62" s="1026">
        <v>0</v>
      </c>
      <c r="FB62" s="1026">
        <v>0</v>
      </c>
      <c r="FF62" s="1026">
        <v>0</v>
      </c>
      <c r="FJ62" s="1026">
        <v>0</v>
      </c>
      <c r="FO62" s="1026">
        <v>0</v>
      </c>
      <c r="FW62" s="1026">
        <v>18212852.990000002</v>
      </c>
      <c r="FX62" s="1026">
        <v>18212859.400000002</v>
      </c>
      <c r="FY62" s="1026">
        <v>-5.6900000004097819</v>
      </c>
      <c r="FZ62" s="1026">
        <v>-0.72000000003026798</v>
      </c>
      <c r="GB62" s="1026">
        <v>8232490.4299999988</v>
      </c>
      <c r="GF62" s="1026">
        <v>82599190.689999983</v>
      </c>
    </row>
    <row r="63" spans="2:190" ht="15.75">
      <c r="B63" s="1419">
        <v>43556</v>
      </c>
      <c r="C63" s="1026">
        <v>0</v>
      </c>
      <c r="E63" s="1026">
        <v>3163491.8</v>
      </c>
      <c r="G63" s="1026">
        <v>3163491.8</v>
      </c>
      <c r="J63" s="1026">
        <v>81801.850000000006</v>
      </c>
      <c r="K63" s="1026">
        <v>81801.850000000006</v>
      </c>
      <c r="L63" s="1026">
        <v>81801.850000000006</v>
      </c>
      <c r="N63" s="1026">
        <v>0</v>
      </c>
      <c r="Q63" s="1026">
        <v>0</v>
      </c>
      <c r="U63" s="1026">
        <v>0</v>
      </c>
      <c r="V63" s="1026">
        <v>0</v>
      </c>
      <c r="W63" s="1026">
        <v>0</v>
      </c>
      <c r="Z63" s="1026">
        <v>0</v>
      </c>
      <c r="AC63" s="1026">
        <v>0</v>
      </c>
      <c r="AG63" s="1026">
        <v>0</v>
      </c>
      <c r="AL63" s="1026">
        <v>0</v>
      </c>
      <c r="AQ63" s="1026">
        <v>0</v>
      </c>
      <c r="AR63" s="1026">
        <v>0</v>
      </c>
      <c r="AS63" s="1026">
        <v>0</v>
      </c>
      <c r="AT63" s="1026">
        <v>0</v>
      </c>
      <c r="AY63" s="1026">
        <v>3895358.7</v>
      </c>
      <c r="AZ63" s="1026">
        <v>0</v>
      </c>
      <c r="BA63" s="1026">
        <v>0</v>
      </c>
      <c r="BC63" s="1026">
        <v>0</v>
      </c>
      <c r="BD63" s="1026">
        <v>3895358.7</v>
      </c>
      <c r="BE63" s="1026">
        <v>0</v>
      </c>
      <c r="BL63" s="1026">
        <v>0</v>
      </c>
      <c r="BM63" s="1026">
        <v>0</v>
      </c>
      <c r="BT63" s="1026">
        <v>0</v>
      </c>
      <c r="BU63" s="1026">
        <v>0</v>
      </c>
      <c r="BZ63" s="1026">
        <v>0</v>
      </c>
      <c r="CN63" s="1026">
        <v>0</v>
      </c>
      <c r="CO63" s="1026">
        <v>0</v>
      </c>
      <c r="CU63" s="1026">
        <v>0</v>
      </c>
      <c r="DB63" s="1026">
        <v>0</v>
      </c>
      <c r="DF63" s="1026">
        <v>49263770.339999996</v>
      </c>
      <c r="DG63" s="1026">
        <v>0</v>
      </c>
      <c r="DH63" s="1026">
        <v>0</v>
      </c>
      <c r="DK63" s="1026">
        <v>0</v>
      </c>
      <c r="DN63" s="1026">
        <v>0</v>
      </c>
      <c r="DQ63" s="1026">
        <v>49263770.339999996</v>
      </c>
      <c r="DR63" s="1026">
        <v>1517941.2661485751</v>
      </c>
      <c r="DS63" s="1026">
        <v>47745829.073851421</v>
      </c>
      <c r="DV63" s="1026">
        <v>0</v>
      </c>
      <c r="DZ63" s="1026">
        <v>0</v>
      </c>
      <c r="EA63" s="1026">
        <v>0</v>
      </c>
      <c r="ED63" s="1026">
        <v>0</v>
      </c>
      <c r="EG63" s="1026">
        <v>0</v>
      </c>
      <c r="EK63" s="1026">
        <v>0</v>
      </c>
      <c r="EM63" s="1026">
        <v>0</v>
      </c>
      <c r="EQ63" s="1026">
        <v>0</v>
      </c>
      <c r="EU63" s="1026">
        <v>0</v>
      </c>
      <c r="EZ63" s="1026">
        <v>0</v>
      </c>
      <c r="FB63" s="1026">
        <v>0</v>
      </c>
      <c r="FF63" s="1026">
        <v>0</v>
      </c>
      <c r="FJ63" s="1026">
        <v>0</v>
      </c>
      <c r="FO63" s="1026">
        <v>0</v>
      </c>
      <c r="FW63" s="1026">
        <v>18212852.990000002</v>
      </c>
      <c r="FX63" s="1026">
        <v>18212859.400000002</v>
      </c>
      <c r="FY63" s="1026">
        <v>-5.6900000004097819</v>
      </c>
      <c r="FZ63" s="1026">
        <v>-0.72000000003026798</v>
      </c>
      <c r="GB63" s="1026">
        <v>8682284.9499999993</v>
      </c>
      <c r="GF63" s="1026">
        <v>83299560.63000001</v>
      </c>
    </row>
    <row r="64" spans="2:190" ht="15.75">
      <c r="B64" s="1419">
        <v>43586</v>
      </c>
      <c r="C64" s="1026">
        <v>0</v>
      </c>
      <c r="E64" s="1026">
        <v>2514659.85</v>
      </c>
      <c r="G64" s="1026">
        <v>2514659.85</v>
      </c>
      <c r="J64" s="1026">
        <v>236760.84999999998</v>
      </c>
      <c r="K64" s="1026">
        <v>236760.84999999998</v>
      </c>
      <c r="L64" s="1026">
        <v>236760.84999999998</v>
      </c>
      <c r="N64" s="1026">
        <v>0</v>
      </c>
      <c r="Q64" s="1026">
        <v>0</v>
      </c>
      <c r="U64" s="1026">
        <v>0</v>
      </c>
      <c r="V64" s="1026">
        <v>0</v>
      </c>
      <c r="W64" s="1026">
        <v>0</v>
      </c>
      <c r="Z64" s="1026">
        <v>0</v>
      </c>
      <c r="AC64" s="1026">
        <v>0</v>
      </c>
      <c r="AG64" s="1026">
        <v>0</v>
      </c>
      <c r="AL64" s="1026">
        <v>0</v>
      </c>
      <c r="AQ64" s="1026">
        <v>0</v>
      </c>
      <c r="AR64" s="1026">
        <v>0</v>
      </c>
      <c r="AS64" s="1026">
        <v>0</v>
      </c>
      <c r="AT64" s="1026">
        <v>0</v>
      </c>
      <c r="AY64" s="1026">
        <v>3895358.7</v>
      </c>
      <c r="AZ64" s="1026">
        <v>0</v>
      </c>
      <c r="BA64" s="1026">
        <v>0</v>
      </c>
      <c r="BC64" s="1026">
        <v>0</v>
      </c>
      <c r="BD64" s="1026">
        <v>3895358.7</v>
      </c>
      <c r="BE64" s="1026">
        <v>0</v>
      </c>
      <c r="BL64" s="1026">
        <v>0</v>
      </c>
      <c r="BM64" s="1026">
        <v>0</v>
      </c>
      <c r="BT64" s="1026">
        <v>0</v>
      </c>
      <c r="BU64" s="1026">
        <v>0</v>
      </c>
      <c r="BZ64" s="1026">
        <v>0</v>
      </c>
      <c r="CN64" s="1026">
        <v>0</v>
      </c>
      <c r="CO64" s="1026">
        <v>0</v>
      </c>
      <c r="CU64" s="1026">
        <v>0</v>
      </c>
      <c r="DB64" s="1026">
        <v>0</v>
      </c>
      <c r="DF64" s="1026">
        <v>48164921.130000003</v>
      </c>
      <c r="DG64" s="1026">
        <v>0</v>
      </c>
      <c r="DH64" s="1026">
        <v>0</v>
      </c>
      <c r="DK64" s="1026">
        <v>0</v>
      </c>
      <c r="DN64" s="1026">
        <v>0</v>
      </c>
      <c r="DQ64" s="1026">
        <v>48164921.130000003</v>
      </c>
      <c r="DR64" s="1026">
        <v>1484082.9449193652</v>
      </c>
      <c r="DS64" s="1026">
        <v>46680838.18508064</v>
      </c>
      <c r="DV64" s="1026">
        <v>0</v>
      </c>
      <c r="DZ64" s="1026">
        <v>0</v>
      </c>
      <c r="EA64" s="1026">
        <v>0</v>
      </c>
      <c r="ED64" s="1026">
        <v>0</v>
      </c>
      <c r="EG64" s="1026">
        <v>0</v>
      </c>
      <c r="EK64" s="1026">
        <v>0</v>
      </c>
      <c r="EM64" s="1026">
        <v>0</v>
      </c>
      <c r="EQ64" s="1026">
        <v>0</v>
      </c>
      <c r="EU64" s="1026">
        <v>0</v>
      </c>
      <c r="EZ64" s="1026">
        <v>0</v>
      </c>
      <c r="FB64" s="1026">
        <v>0</v>
      </c>
      <c r="FF64" s="1026">
        <v>0</v>
      </c>
      <c r="FJ64" s="1026">
        <v>0</v>
      </c>
      <c r="FO64" s="1026">
        <v>0</v>
      </c>
      <c r="FW64" s="1026">
        <v>18212852.990000002</v>
      </c>
      <c r="FX64" s="1026">
        <v>18212859.400000002</v>
      </c>
      <c r="FY64" s="1026">
        <v>-5.6900000004097819</v>
      </c>
      <c r="FZ64" s="1026">
        <v>-0.72000000003026798</v>
      </c>
      <c r="GB64" s="1026">
        <v>8639032.5800000001</v>
      </c>
      <c r="GF64" s="1026">
        <v>81663586.100000009</v>
      </c>
    </row>
    <row r="65" spans="2:188" ht="15.75">
      <c r="B65" s="1419">
        <v>43617</v>
      </c>
      <c r="C65" s="1026">
        <v>0</v>
      </c>
      <c r="E65" s="1026">
        <v>1896671.34</v>
      </c>
      <c r="G65" s="1026">
        <v>1896671.34</v>
      </c>
      <c r="J65" s="1026">
        <v>236760.84999999998</v>
      </c>
      <c r="K65" s="1026">
        <v>236760.84999999998</v>
      </c>
      <c r="L65" s="1026">
        <v>236760.84999999998</v>
      </c>
      <c r="N65" s="1026">
        <v>0</v>
      </c>
      <c r="Q65" s="1026">
        <v>0</v>
      </c>
      <c r="U65" s="1026">
        <v>0</v>
      </c>
      <c r="V65" s="1026">
        <v>0</v>
      </c>
      <c r="W65" s="1026">
        <v>0</v>
      </c>
      <c r="Z65" s="1026">
        <v>0</v>
      </c>
      <c r="AC65" s="1026">
        <v>0</v>
      </c>
      <c r="AG65" s="1026">
        <v>0</v>
      </c>
      <c r="AL65" s="1026">
        <v>0</v>
      </c>
      <c r="AQ65" s="1026">
        <v>0</v>
      </c>
      <c r="AR65" s="1026">
        <v>0</v>
      </c>
      <c r="AS65" s="1026">
        <v>0</v>
      </c>
      <c r="AT65" s="1026">
        <v>0</v>
      </c>
      <c r="AY65" s="1026">
        <v>3895358.7</v>
      </c>
      <c r="AZ65" s="1026">
        <v>0</v>
      </c>
      <c r="BA65" s="1026">
        <v>0</v>
      </c>
      <c r="BC65" s="1026">
        <v>0</v>
      </c>
      <c r="BD65" s="1026">
        <v>3895358.7</v>
      </c>
      <c r="BE65" s="1026">
        <v>0</v>
      </c>
      <c r="BL65" s="1026">
        <v>0</v>
      </c>
      <c r="BM65" s="1026">
        <v>0</v>
      </c>
      <c r="BT65" s="1026">
        <v>0</v>
      </c>
      <c r="BU65" s="1026">
        <v>0</v>
      </c>
      <c r="BZ65" s="1026">
        <v>0</v>
      </c>
      <c r="CN65" s="1026">
        <v>0</v>
      </c>
      <c r="CO65" s="1026">
        <v>0</v>
      </c>
      <c r="CU65" s="1026">
        <v>0</v>
      </c>
      <c r="DB65" s="1026">
        <v>0</v>
      </c>
      <c r="DF65" s="1026">
        <v>48549614.279999994</v>
      </c>
      <c r="DG65" s="1026">
        <v>0</v>
      </c>
      <c r="DH65" s="1026">
        <v>0</v>
      </c>
      <c r="DK65" s="1026">
        <v>0</v>
      </c>
      <c r="DN65" s="1026">
        <v>0</v>
      </c>
      <c r="DQ65" s="1026">
        <v>48549614.279999994</v>
      </c>
      <c r="DR65" s="1026">
        <v>1495936.3130874839</v>
      </c>
      <c r="DS65" s="1026">
        <v>47053677.966912508</v>
      </c>
      <c r="DV65" s="1026">
        <v>0</v>
      </c>
      <c r="DZ65" s="1026">
        <v>0</v>
      </c>
      <c r="EA65" s="1026">
        <v>0</v>
      </c>
      <c r="ED65" s="1026">
        <v>0</v>
      </c>
      <c r="EG65" s="1026">
        <v>0</v>
      </c>
      <c r="EK65" s="1026">
        <v>0</v>
      </c>
      <c r="EM65" s="1026">
        <v>0</v>
      </c>
      <c r="EQ65" s="1026">
        <v>0</v>
      </c>
      <c r="EU65" s="1026">
        <v>0</v>
      </c>
      <c r="EZ65" s="1026">
        <v>0</v>
      </c>
      <c r="FB65" s="1026">
        <v>0</v>
      </c>
      <c r="FF65" s="1026">
        <v>0</v>
      </c>
      <c r="FJ65" s="1026">
        <v>0</v>
      </c>
      <c r="FO65" s="1026">
        <v>0</v>
      </c>
      <c r="FW65" s="1026">
        <v>18212852.990000002</v>
      </c>
      <c r="FX65" s="1026">
        <v>18212859.400000002</v>
      </c>
      <c r="FY65" s="1026">
        <v>-5.6900000004097819</v>
      </c>
      <c r="FZ65" s="1026">
        <v>-0.72000000003026798</v>
      </c>
      <c r="GB65" s="1026">
        <v>11814582.464999998</v>
      </c>
      <c r="GF65" s="1026">
        <v>84605840.625</v>
      </c>
    </row>
    <row r="66" spans="2:188" ht="15.75">
      <c r="B66" s="1419">
        <v>43647</v>
      </c>
      <c r="C66" s="1026">
        <v>0</v>
      </c>
      <c r="E66" s="1026">
        <v>1646924.7</v>
      </c>
      <c r="G66" s="1026">
        <v>1646924.7</v>
      </c>
      <c r="J66" s="1026">
        <v>1662666</v>
      </c>
      <c r="K66" s="1026">
        <v>1662666</v>
      </c>
      <c r="L66" s="1026">
        <v>1662666</v>
      </c>
      <c r="N66" s="1026">
        <v>0</v>
      </c>
      <c r="Q66" s="1026">
        <v>0</v>
      </c>
      <c r="U66" s="1026">
        <v>0</v>
      </c>
      <c r="V66" s="1026">
        <v>0</v>
      </c>
      <c r="W66" s="1026">
        <v>0</v>
      </c>
      <c r="Z66" s="1026">
        <v>0</v>
      </c>
      <c r="AC66" s="1026">
        <v>0</v>
      </c>
      <c r="AG66" s="1026">
        <v>0</v>
      </c>
      <c r="AL66" s="1026">
        <v>0</v>
      </c>
      <c r="AQ66" s="1026">
        <v>0</v>
      </c>
      <c r="AR66" s="1026">
        <v>0</v>
      </c>
      <c r="AS66" s="1026">
        <v>0</v>
      </c>
      <c r="AT66" s="1026">
        <v>0</v>
      </c>
      <c r="AY66" s="1026">
        <v>2337216</v>
      </c>
      <c r="AZ66" s="1026">
        <v>0</v>
      </c>
      <c r="BA66" s="1026">
        <v>0</v>
      </c>
      <c r="BC66" s="1026">
        <v>0</v>
      </c>
      <c r="BD66" s="1026">
        <v>2337216</v>
      </c>
      <c r="BE66" s="1026">
        <v>0</v>
      </c>
      <c r="BL66" s="1026">
        <v>0</v>
      </c>
      <c r="BM66" s="1026">
        <v>0</v>
      </c>
      <c r="BT66" s="1026">
        <v>0</v>
      </c>
      <c r="BU66" s="1026">
        <v>0</v>
      </c>
      <c r="BZ66" s="1026">
        <v>0</v>
      </c>
      <c r="CN66" s="1026">
        <v>0</v>
      </c>
      <c r="CO66" s="1026">
        <v>0</v>
      </c>
      <c r="CU66" s="1026">
        <v>0</v>
      </c>
      <c r="DB66" s="1026">
        <v>0</v>
      </c>
      <c r="DF66" s="1026">
        <v>41864989</v>
      </c>
      <c r="DG66" s="1026">
        <v>0</v>
      </c>
      <c r="DH66" s="1026">
        <v>0</v>
      </c>
      <c r="DK66" s="1026">
        <v>0</v>
      </c>
      <c r="DN66" s="1026">
        <v>0</v>
      </c>
      <c r="DQ66" s="1026">
        <v>41864989</v>
      </c>
      <c r="DR66" s="1026">
        <v>1289966</v>
      </c>
      <c r="DS66" s="1026">
        <v>40575023</v>
      </c>
      <c r="DV66" s="1026">
        <v>0</v>
      </c>
      <c r="DZ66" s="1026">
        <v>0</v>
      </c>
      <c r="EA66" s="1026">
        <v>0</v>
      </c>
      <c r="ED66" s="1026">
        <v>0</v>
      </c>
      <c r="EG66" s="1026">
        <v>0</v>
      </c>
      <c r="EK66" s="1026">
        <v>0</v>
      </c>
      <c r="EM66" s="1026">
        <v>0</v>
      </c>
      <c r="EQ66" s="1026">
        <v>0</v>
      </c>
      <c r="EU66" s="1026">
        <v>0</v>
      </c>
      <c r="EZ66" s="1026">
        <v>0</v>
      </c>
      <c r="FB66" s="1026">
        <v>0</v>
      </c>
      <c r="FF66" s="1026">
        <v>0</v>
      </c>
      <c r="FJ66" s="1026">
        <v>0</v>
      </c>
      <c r="FO66" s="1026">
        <v>0</v>
      </c>
      <c r="FW66" s="1026">
        <v>18212852.990000002</v>
      </c>
      <c r="FX66" s="1026">
        <v>18212859.400000002</v>
      </c>
      <c r="FY66" s="1026">
        <v>-5.6900000004097819</v>
      </c>
      <c r="FZ66" s="1026">
        <v>-0.72000000003026798</v>
      </c>
      <c r="GB66" s="1026">
        <v>14158018</v>
      </c>
      <c r="GF66" s="1026">
        <v>79882666.689999998</v>
      </c>
    </row>
    <row r="67" spans="2:188" ht="15.75">
      <c r="B67" s="1419">
        <v>43678</v>
      </c>
      <c r="C67" s="1026">
        <v>0</v>
      </c>
      <c r="D67" s="1026">
        <v>0</v>
      </c>
      <c r="E67" s="1026">
        <v>13883866.699999999</v>
      </c>
      <c r="F67" s="1026">
        <v>2.35190491</v>
      </c>
      <c r="G67" s="1026">
        <v>0</v>
      </c>
      <c r="H67" s="1026">
        <v>0</v>
      </c>
      <c r="I67" s="1026">
        <v>2.3372160000000002</v>
      </c>
      <c r="J67" s="1026">
        <v>0</v>
      </c>
      <c r="K67" s="1026">
        <v>0</v>
      </c>
      <c r="L67" s="1026">
        <v>0</v>
      </c>
      <c r="M67" s="1026">
        <v>0</v>
      </c>
      <c r="N67" s="1026">
        <v>0</v>
      </c>
      <c r="O67" s="1026">
        <v>0</v>
      </c>
      <c r="P67" s="1026">
        <v>40.657953540000008</v>
      </c>
      <c r="Q67" s="1026">
        <v>0</v>
      </c>
      <c r="R67" s="1026">
        <v>14.195060840000002</v>
      </c>
      <c r="S67" s="1026">
        <v>18.212852990000002</v>
      </c>
      <c r="T67" s="1026">
        <v>79.143374950000009</v>
      </c>
    </row>
    <row r="68" spans="2:188" ht="15.75">
      <c r="B68" s="1419">
        <v>43709</v>
      </c>
      <c r="C68" s="1026">
        <v>0</v>
      </c>
      <c r="E68" s="1026">
        <v>1052158.67</v>
      </c>
      <c r="G68" s="1026">
        <v>1052158.67</v>
      </c>
      <c r="J68" s="1026">
        <v>2351904.91</v>
      </c>
      <c r="K68" s="1026">
        <v>2351904.91</v>
      </c>
      <c r="L68" s="1026">
        <v>2351904.91</v>
      </c>
      <c r="N68" s="1026">
        <v>0</v>
      </c>
      <c r="Q68" s="1026">
        <v>0</v>
      </c>
      <c r="U68" s="1026">
        <v>0</v>
      </c>
      <c r="V68" s="1026">
        <v>0</v>
      </c>
      <c r="W68" s="1026">
        <v>0</v>
      </c>
      <c r="Z68" s="1026">
        <v>0</v>
      </c>
      <c r="AC68" s="1026">
        <v>0</v>
      </c>
      <c r="AG68" s="1026">
        <v>0</v>
      </c>
      <c r="AL68" s="1026">
        <v>0</v>
      </c>
      <c r="AQ68" s="1026">
        <v>0</v>
      </c>
      <c r="AR68" s="1026">
        <v>0</v>
      </c>
      <c r="AS68" s="1026">
        <v>0</v>
      </c>
      <c r="AT68" s="1026">
        <v>0</v>
      </c>
      <c r="AY68" s="1026">
        <v>2337216</v>
      </c>
      <c r="AZ68" s="1026">
        <v>0</v>
      </c>
      <c r="BA68" s="1026">
        <v>0</v>
      </c>
      <c r="BC68" s="1026">
        <v>0</v>
      </c>
      <c r="BD68" s="1026">
        <v>2337216</v>
      </c>
      <c r="BE68" s="1026">
        <v>0</v>
      </c>
      <c r="BL68" s="1026">
        <v>0</v>
      </c>
      <c r="BM68" s="1026">
        <v>0</v>
      </c>
      <c r="BT68" s="1026">
        <v>0</v>
      </c>
      <c r="BU68" s="1026">
        <v>0</v>
      </c>
      <c r="BZ68" s="1026">
        <v>0</v>
      </c>
      <c r="CN68" s="1026">
        <v>0</v>
      </c>
      <c r="CO68" s="1026">
        <v>0</v>
      </c>
      <c r="CU68" s="1026">
        <v>0</v>
      </c>
      <c r="DB68" s="1026">
        <v>0</v>
      </c>
      <c r="DF68" s="1026">
        <v>42352349.800000004</v>
      </c>
      <c r="DG68" s="1026">
        <v>0</v>
      </c>
      <c r="DH68" s="1026">
        <v>0</v>
      </c>
      <c r="DK68" s="1026">
        <v>0</v>
      </c>
      <c r="DN68" s="1026">
        <v>0</v>
      </c>
      <c r="DQ68" s="1026">
        <v>42352349.800000004</v>
      </c>
      <c r="DR68" s="1026">
        <v>1304982.9324082418</v>
      </c>
      <c r="DS68" s="1026">
        <v>41047366.867591761</v>
      </c>
      <c r="DV68" s="1026">
        <v>0</v>
      </c>
      <c r="DZ68" s="1026">
        <v>0</v>
      </c>
      <c r="EA68" s="1026">
        <v>0</v>
      </c>
      <c r="ED68" s="1026">
        <v>0</v>
      </c>
      <c r="EG68" s="1026">
        <v>0</v>
      </c>
      <c r="EK68" s="1026">
        <v>0</v>
      </c>
      <c r="EM68" s="1026">
        <v>0</v>
      </c>
      <c r="EQ68" s="1026">
        <v>0</v>
      </c>
      <c r="EU68" s="1026">
        <v>0</v>
      </c>
      <c r="EZ68" s="1026">
        <v>0</v>
      </c>
      <c r="FB68" s="1026">
        <v>0</v>
      </c>
      <c r="FF68" s="1026">
        <v>0</v>
      </c>
      <c r="FJ68" s="1026">
        <v>0</v>
      </c>
      <c r="FO68" s="1026">
        <v>0</v>
      </c>
      <c r="FW68" s="1026">
        <v>18212852.990000002</v>
      </c>
      <c r="FX68" s="1026">
        <v>18212859.400000002</v>
      </c>
      <c r="FY68" s="1026">
        <v>-5.6900000004097819</v>
      </c>
      <c r="FZ68" s="1026">
        <v>-0.72000000003026798</v>
      </c>
      <c r="GB68" s="1026">
        <v>14552045.840000002</v>
      </c>
      <c r="GF68" s="1026">
        <v>80858528.210000008</v>
      </c>
    </row>
    <row r="69" spans="2:188" ht="15.75">
      <c r="B69" s="1419">
        <v>43739</v>
      </c>
      <c r="C69" s="1026">
        <v>0</v>
      </c>
      <c r="E69" s="1026">
        <v>970330.15</v>
      </c>
      <c r="G69" s="1026">
        <v>970330.15</v>
      </c>
      <c r="J69" s="1026">
        <v>2351904.91</v>
      </c>
      <c r="K69" s="1026">
        <v>2351904.91</v>
      </c>
      <c r="L69" s="1026">
        <v>2351904.91</v>
      </c>
      <c r="N69" s="1026">
        <v>0</v>
      </c>
      <c r="Q69" s="1026">
        <v>0</v>
      </c>
      <c r="U69" s="1026">
        <v>0</v>
      </c>
      <c r="V69" s="1026">
        <v>0</v>
      </c>
      <c r="W69" s="1026">
        <v>0</v>
      </c>
      <c r="Z69" s="1026">
        <v>0</v>
      </c>
      <c r="AC69" s="1026">
        <v>0</v>
      </c>
      <c r="AG69" s="1026">
        <v>0</v>
      </c>
      <c r="AL69" s="1026">
        <v>0</v>
      </c>
      <c r="AQ69" s="1026">
        <v>0</v>
      </c>
      <c r="AR69" s="1026">
        <v>0</v>
      </c>
      <c r="AS69" s="1026">
        <v>0</v>
      </c>
      <c r="AT69" s="1026">
        <v>0</v>
      </c>
      <c r="AY69" s="1026">
        <v>2337216</v>
      </c>
      <c r="AZ69" s="1026">
        <v>0</v>
      </c>
      <c r="BA69" s="1026">
        <v>0</v>
      </c>
      <c r="BC69" s="1026">
        <v>0</v>
      </c>
      <c r="BD69" s="1026">
        <v>2337216</v>
      </c>
      <c r="BE69" s="1026">
        <v>0</v>
      </c>
      <c r="BL69" s="1026">
        <v>0</v>
      </c>
      <c r="BM69" s="1026">
        <v>0</v>
      </c>
      <c r="BT69" s="1026">
        <v>0</v>
      </c>
      <c r="BU69" s="1026">
        <v>0</v>
      </c>
      <c r="BZ69" s="1026">
        <v>0</v>
      </c>
      <c r="CN69" s="1026">
        <v>0</v>
      </c>
      <c r="CO69" s="1026">
        <v>0</v>
      </c>
      <c r="CU69" s="1026">
        <v>0</v>
      </c>
      <c r="DB69" s="1026">
        <v>0</v>
      </c>
      <c r="DF69" s="1026">
        <v>40793953.539999999</v>
      </c>
      <c r="DG69" s="1026">
        <v>0</v>
      </c>
      <c r="DH69" s="1026">
        <v>0</v>
      </c>
      <c r="DK69" s="1026">
        <v>0</v>
      </c>
      <c r="DN69" s="1026">
        <v>0</v>
      </c>
      <c r="DQ69" s="1026">
        <v>40793953.539999999</v>
      </c>
      <c r="DR69" s="1026">
        <v>1256964.8051772271</v>
      </c>
      <c r="DS69" s="1026">
        <v>39536988.734822772</v>
      </c>
      <c r="DV69" s="1026">
        <v>0</v>
      </c>
      <c r="DZ69" s="1026">
        <v>0</v>
      </c>
      <c r="EA69" s="1026">
        <v>0</v>
      </c>
      <c r="ED69" s="1026">
        <v>0</v>
      </c>
      <c r="EG69" s="1026">
        <v>0</v>
      </c>
      <c r="EK69" s="1026">
        <v>0</v>
      </c>
      <c r="EM69" s="1026">
        <v>0</v>
      </c>
      <c r="EQ69" s="1026">
        <v>0</v>
      </c>
      <c r="EU69" s="1026">
        <v>0</v>
      </c>
      <c r="EZ69" s="1026">
        <v>0</v>
      </c>
      <c r="FB69" s="1026">
        <v>0</v>
      </c>
      <c r="FF69" s="1026">
        <v>0</v>
      </c>
      <c r="FJ69" s="1026">
        <v>0</v>
      </c>
      <c r="FO69" s="1026">
        <v>0</v>
      </c>
      <c r="FW69" s="1026">
        <v>18212852.990000002</v>
      </c>
      <c r="FX69" s="1026">
        <v>18212859.400000002</v>
      </c>
      <c r="FY69" s="1026">
        <v>-5.6900000004097819</v>
      </c>
      <c r="FZ69" s="1026">
        <v>-0.72000000003026798</v>
      </c>
      <c r="GB69" s="1026">
        <v>14602117.840000005</v>
      </c>
      <c r="GF69" s="1026">
        <v>79268375.430000007</v>
      </c>
    </row>
    <row r="70" spans="2:188" ht="15.75">
      <c r="B70" s="1419">
        <v>43770</v>
      </c>
      <c r="C70" s="1026">
        <v>0</v>
      </c>
      <c r="E70" s="1026">
        <v>1002387.22</v>
      </c>
      <c r="G70" s="1026">
        <v>1002387.22</v>
      </c>
      <c r="J70" s="1026">
        <v>2369047.91</v>
      </c>
      <c r="K70" s="1026">
        <v>2369047.91</v>
      </c>
      <c r="L70" s="1026">
        <v>2369047.91</v>
      </c>
      <c r="N70" s="1026">
        <v>0</v>
      </c>
      <c r="Q70" s="1026">
        <v>0</v>
      </c>
      <c r="U70" s="1026">
        <v>0</v>
      </c>
      <c r="V70" s="1026">
        <v>0</v>
      </c>
      <c r="W70" s="1026">
        <v>0</v>
      </c>
      <c r="Z70" s="1026">
        <v>0</v>
      </c>
      <c r="AC70" s="1026">
        <v>0</v>
      </c>
      <c r="AG70" s="1026">
        <v>0</v>
      </c>
      <c r="AL70" s="1026">
        <v>0</v>
      </c>
      <c r="AQ70" s="1026">
        <v>0</v>
      </c>
      <c r="AR70" s="1026">
        <v>0</v>
      </c>
      <c r="AS70" s="1026">
        <v>0</v>
      </c>
      <c r="AT70" s="1026">
        <v>0</v>
      </c>
      <c r="AY70" s="1026">
        <v>2337216</v>
      </c>
      <c r="AZ70" s="1026">
        <v>0</v>
      </c>
      <c r="BA70" s="1026">
        <v>0</v>
      </c>
      <c r="BC70" s="1026">
        <v>0</v>
      </c>
      <c r="BD70" s="1026">
        <v>2337216</v>
      </c>
      <c r="BE70" s="1026">
        <v>0</v>
      </c>
      <c r="BL70" s="1026">
        <v>0</v>
      </c>
      <c r="BM70" s="1026">
        <v>0</v>
      </c>
      <c r="BT70" s="1026">
        <v>0</v>
      </c>
      <c r="BU70" s="1026">
        <v>0</v>
      </c>
      <c r="BZ70" s="1026">
        <v>0</v>
      </c>
      <c r="CN70" s="1026">
        <v>0</v>
      </c>
      <c r="CO70" s="1026">
        <v>0</v>
      </c>
      <c r="CU70" s="1026">
        <v>0</v>
      </c>
      <c r="DB70" s="1026">
        <v>0</v>
      </c>
      <c r="DF70" s="1026">
        <v>41030753.539999999</v>
      </c>
      <c r="DG70" s="1026">
        <v>0</v>
      </c>
      <c r="DH70" s="1026">
        <v>0</v>
      </c>
      <c r="DK70" s="1026">
        <v>0</v>
      </c>
      <c r="DN70" s="1026">
        <v>0</v>
      </c>
      <c r="DQ70" s="1026">
        <v>41030753.539999999</v>
      </c>
      <c r="DR70" s="1026">
        <v>1264261.2116305537</v>
      </c>
      <c r="DS70" s="1026">
        <v>39766492.328369446</v>
      </c>
      <c r="DV70" s="1026">
        <v>0</v>
      </c>
      <c r="DZ70" s="1026">
        <v>0</v>
      </c>
      <c r="EA70" s="1026">
        <v>0</v>
      </c>
      <c r="ED70" s="1026">
        <v>0</v>
      </c>
      <c r="EG70" s="1026">
        <v>0</v>
      </c>
      <c r="EK70" s="1026">
        <v>0</v>
      </c>
      <c r="EM70" s="1026">
        <v>0</v>
      </c>
      <c r="EQ70" s="1026">
        <v>0</v>
      </c>
      <c r="EU70" s="1026">
        <v>0</v>
      </c>
      <c r="EZ70" s="1026">
        <v>0</v>
      </c>
      <c r="FB70" s="1026">
        <v>0</v>
      </c>
      <c r="FF70" s="1026">
        <v>0</v>
      </c>
      <c r="FJ70" s="1026">
        <v>0</v>
      </c>
      <c r="FO70" s="1026">
        <v>0</v>
      </c>
      <c r="FW70" s="1026">
        <v>18212852.990000002</v>
      </c>
      <c r="FX70" s="1026">
        <v>18212859.400000002</v>
      </c>
      <c r="FY70" s="1026">
        <v>-5.6900000004097819</v>
      </c>
      <c r="FZ70" s="1026">
        <v>-0.72000000003026798</v>
      </c>
      <c r="GB70" s="1026">
        <v>14602117.840000005</v>
      </c>
      <c r="GF70" s="1026">
        <v>79554375.500000015</v>
      </c>
    </row>
    <row r="71" spans="2:188" ht="15.75">
      <c r="B71" s="1419">
        <v>43800</v>
      </c>
      <c r="C71" s="1026">
        <v>0</v>
      </c>
      <c r="E71" s="1026">
        <v>1052158.8299999998</v>
      </c>
      <c r="G71" s="1026">
        <v>1052158.8299999998</v>
      </c>
      <c r="J71" s="1026">
        <v>2351904.91</v>
      </c>
      <c r="K71" s="1026">
        <v>2351904.91</v>
      </c>
      <c r="L71" s="1026">
        <v>2351904.91</v>
      </c>
      <c r="N71" s="1026">
        <v>0</v>
      </c>
      <c r="Q71" s="1026">
        <v>0</v>
      </c>
      <c r="U71" s="1026">
        <v>0</v>
      </c>
      <c r="V71" s="1026">
        <v>0</v>
      </c>
      <c r="W71" s="1026">
        <v>0</v>
      </c>
      <c r="Z71" s="1026">
        <v>0</v>
      </c>
      <c r="AC71" s="1026">
        <v>0</v>
      </c>
      <c r="AG71" s="1026">
        <v>0</v>
      </c>
      <c r="AL71" s="1026">
        <v>0</v>
      </c>
      <c r="AQ71" s="1026">
        <v>0</v>
      </c>
      <c r="AR71" s="1026">
        <v>0</v>
      </c>
      <c r="AS71" s="1026">
        <v>0</v>
      </c>
      <c r="AT71" s="1026">
        <v>0</v>
      </c>
      <c r="AY71" s="1026">
        <v>2337216</v>
      </c>
      <c r="AZ71" s="1026">
        <v>0</v>
      </c>
      <c r="BA71" s="1026">
        <v>0</v>
      </c>
      <c r="BC71" s="1026">
        <v>0</v>
      </c>
      <c r="BD71" s="1026">
        <v>2337216</v>
      </c>
      <c r="BE71" s="1026">
        <v>0</v>
      </c>
      <c r="BL71" s="1026">
        <v>0</v>
      </c>
      <c r="BM71" s="1026">
        <v>0</v>
      </c>
      <c r="BT71" s="1026">
        <v>0</v>
      </c>
      <c r="BU71" s="1026">
        <v>0</v>
      </c>
      <c r="BZ71" s="1026">
        <v>0</v>
      </c>
      <c r="CN71" s="1026">
        <v>0</v>
      </c>
      <c r="CO71" s="1026">
        <v>0</v>
      </c>
      <c r="CU71" s="1026">
        <v>0</v>
      </c>
      <c r="DB71" s="1026">
        <v>0</v>
      </c>
      <c r="DF71" s="1026">
        <v>42625520.360000007</v>
      </c>
      <c r="DG71" s="1026">
        <v>0</v>
      </c>
      <c r="DH71" s="1026">
        <v>0</v>
      </c>
      <c r="DK71" s="1026">
        <v>0</v>
      </c>
      <c r="DN71" s="1026">
        <v>0</v>
      </c>
      <c r="DQ71" s="1026">
        <v>42625520.360000007</v>
      </c>
      <c r="DR71" s="1026">
        <v>1313400.0077327474</v>
      </c>
      <c r="DS71" s="1026">
        <v>41312120.352267258</v>
      </c>
      <c r="DV71" s="1026">
        <v>0</v>
      </c>
      <c r="DZ71" s="1026">
        <v>0</v>
      </c>
      <c r="EA71" s="1026">
        <v>0</v>
      </c>
      <c r="ED71" s="1026">
        <v>0</v>
      </c>
      <c r="EG71" s="1026">
        <v>0</v>
      </c>
      <c r="EK71" s="1026">
        <v>0</v>
      </c>
      <c r="EM71" s="1026">
        <v>0</v>
      </c>
      <c r="EQ71" s="1026">
        <v>0</v>
      </c>
      <c r="EU71" s="1026">
        <v>0</v>
      </c>
      <c r="EZ71" s="1026">
        <v>0</v>
      </c>
      <c r="FB71" s="1026">
        <v>0</v>
      </c>
      <c r="FF71" s="1026">
        <v>0</v>
      </c>
      <c r="FJ71" s="1026">
        <v>0</v>
      </c>
      <c r="FO71" s="1026">
        <v>0</v>
      </c>
      <c r="FW71" s="1026">
        <v>18275252.990000002</v>
      </c>
      <c r="FX71" s="1026">
        <v>18212859.400000002</v>
      </c>
      <c r="FY71" s="1026">
        <v>62394.30999999959</v>
      </c>
      <c r="FZ71" s="1026">
        <v>-0.72000000003026798</v>
      </c>
      <c r="GB71" s="1026">
        <v>15740105.548800001</v>
      </c>
      <c r="GF71" s="1026">
        <v>82382158.63880001</v>
      </c>
    </row>
    <row r="74" spans="2:188" ht="15.75">
      <c r="B74" s="1419">
        <v>43831</v>
      </c>
      <c r="C74" s="1026">
        <v>0</v>
      </c>
      <c r="E74" s="1026">
        <f>+F74+G74+H74</f>
        <v>304117.26</v>
      </c>
      <c r="G74" s="1026">
        <v>304117.26</v>
      </c>
      <c r="J74" s="1026">
        <f>+K74+N74+Q74</f>
        <v>1621778.6700000002</v>
      </c>
      <c r="K74" s="1026">
        <f>+L74+M74</f>
        <v>1621778.6700000002</v>
      </c>
      <c r="L74" s="1026">
        <v>1621778.6700000002</v>
      </c>
      <c r="N74" s="1026">
        <f>+O74+P74</f>
        <v>0</v>
      </c>
      <c r="Q74" s="1026">
        <f>+R74+S74</f>
        <v>0</v>
      </c>
      <c r="U74" s="1026">
        <f>+V74+Z74+AC74</f>
        <v>0</v>
      </c>
      <c r="V74" s="1026">
        <f>+W74+X74</f>
        <v>0</v>
      </c>
      <c r="W74" s="1026">
        <v>0</v>
      </c>
      <c r="Z74" s="1026">
        <f>+AA74+AB74</f>
        <v>0</v>
      </c>
      <c r="AC74" s="1026">
        <f>+AD74+AE74</f>
        <v>0</v>
      </c>
      <c r="AG74" s="1026">
        <f>+AH74+AI74+AJ74</f>
        <v>0</v>
      </c>
      <c r="AL74" s="1026">
        <f>+AM74+AN74+AO74</f>
        <v>0</v>
      </c>
      <c r="AQ74" s="1026">
        <f>+AR74+AS74+AV74+AW74</f>
        <v>0</v>
      </c>
      <c r="AR74" s="1026">
        <v>0</v>
      </c>
      <c r="AS74" s="1026">
        <f>+AT74+AU74</f>
        <v>0</v>
      </c>
      <c r="AT74" s="1026">
        <v>0</v>
      </c>
      <c r="AY74" s="1026">
        <f>+AZ74+BC74+BD74+BE74+BJ74</f>
        <v>945826.33999999985</v>
      </c>
      <c r="AZ74" s="1026">
        <f>+BA74+BB74</f>
        <v>0</v>
      </c>
      <c r="BA74" s="1026">
        <v>0</v>
      </c>
      <c r="BC74" s="1026">
        <v>0</v>
      </c>
      <c r="BD74" s="1026">
        <v>945826.33999999985</v>
      </c>
      <c r="BE74" s="1026">
        <f>+BF74+BG74+BH74+BI74</f>
        <v>0</v>
      </c>
      <c r="BL74" s="1026">
        <f>+BM74+BQ74+BR74</f>
        <v>0</v>
      </c>
      <c r="BM74" s="1026">
        <f>+BN74+BO74+BP74</f>
        <v>0</v>
      </c>
      <c r="BT74" s="1026">
        <f>+BU74+BY74+BZ74+CJ74+CK74+CL74</f>
        <v>0</v>
      </c>
      <c r="BU74" s="1026">
        <f>+BV74+BW74+BX74</f>
        <v>0</v>
      </c>
      <c r="BZ74" s="1026">
        <f>+CA74+CB74+CC74+CD74+CE74+CF74+CG74+CH74+CI74</f>
        <v>0</v>
      </c>
      <c r="CN74" s="1026">
        <f>+CO74+CU74</f>
        <v>0</v>
      </c>
      <c r="CO74" s="1026">
        <f>+CP74+CQ74+CS74+CT74</f>
        <v>0</v>
      </c>
      <c r="CU74" s="1026">
        <f>+CV74+CW74+CX74+CY74+CZ74</f>
        <v>0</v>
      </c>
      <c r="DB74" s="1026">
        <f>+DC74+DD74</f>
        <v>0</v>
      </c>
      <c r="DF74" s="1026">
        <f>+DG74+DQ74+DU74+DV74</f>
        <v>42625520.360000007</v>
      </c>
      <c r="DG74" s="1026">
        <f>+DH74+DK74+DN74</f>
        <v>0</v>
      </c>
      <c r="DH74" s="1026">
        <f>+DI74+DK74</f>
        <v>0</v>
      </c>
      <c r="DK74" s="1026">
        <f>+DL74+DN74</f>
        <v>0</v>
      </c>
      <c r="DN74" s="1026">
        <f>+DO74+DP74</f>
        <v>0</v>
      </c>
      <c r="DQ74" s="1026">
        <f>+DR74+DS74</f>
        <v>42625520.360000007</v>
      </c>
      <c r="DR74" s="1026">
        <v>1313400.0077327474</v>
      </c>
      <c r="DS74" s="1026">
        <v>41312120.352267258</v>
      </c>
      <c r="DV74" s="1026">
        <f>+DW74+DY74</f>
        <v>0</v>
      </c>
      <c r="DZ74" s="1026">
        <f>+EA74+ED74+EG74</f>
        <v>0</v>
      </c>
      <c r="EA74" s="1026">
        <f>+EB74+EC74</f>
        <v>0</v>
      </c>
      <c r="ED74" s="1026">
        <f>+EE74+EF74</f>
        <v>0</v>
      </c>
      <c r="EG74" s="1026">
        <f>+EH74+EI74</f>
        <v>0</v>
      </c>
      <c r="EK74" s="1026">
        <f>+EM74+EQ74+EU74</f>
        <v>0</v>
      </c>
      <c r="EM74" s="1026">
        <f>+EN74+EO74+EP74</f>
        <v>0</v>
      </c>
      <c r="EQ74" s="1026">
        <f>+ER74+ES74+ET74</f>
        <v>0</v>
      </c>
      <c r="EU74" s="1026">
        <f>+EV74+EW74+EX74</f>
        <v>0</v>
      </c>
      <c r="EZ74" s="1026">
        <f>+FB74+FF74+FJ74</f>
        <v>0</v>
      </c>
      <c r="FB74" s="1026">
        <f>+FC74+FD74+FE74</f>
        <v>0</v>
      </c>
      <c r="FF74" s="1026">
        <f>+FG74+FH74+FI74</f>
        <v>0</v>
      </c>
      <c r="FJ74" s="1026">
        <f>+FK74+FL74+FM74</f>
        <v>0</v>
      </c>
      <c r="FO74" s="1026">
        <f>+FQ74+FR74+FS74+FT74+FU74</f>
        <v>0</v>
      </c>
      <c r="FW74" s="1026">
        <f>+FX74+FY74+FZ74</f>
        <v>18275252.990000002</v>
      </c>
      <c r="FX74" s="1026">
        <v>18212859.400000002</v>
      </c>
      <c r="FY74" s="1026">
        <v>62394.30999999959</v>
      </c>
      <c r="FZ74" s="1026">
        <v>-0.72000000003026798</v>
      </c>
      <c r="GB74" s="1026">
        <v>13793728.930834781</v>
      </c>
      <c r="GF74" s="1026">
        <f>+C74+E74+J74+U74+AG74+AL74+AQ74+AY74+BL74+BT74+CN74+DB74+DF74+DZ74+EK74+EZ74+FO74+FW74+GB74</f>
        <v>77566224.55083479</v>
      </c>
    </row>
    <row r="75" spans="2:188" ht="15.75">
      <c r="B75" s="1419">
        <v>43862</v>
      </c>
      <c r="C75" s="1026">
        <v>0</v>
      </c>
      <c r="E75" s="1026">
        <f>+F75+G75+H75</f>
        <v>3297483</v>
      </c>
      <c r="G75" s="1026">
        <v>3297483</v>
      </c>
      <c r="J75" s="1026">
        <f>+K75+N75+Q75</f>
        <v>1621778.6700000002</v>
      </c>
      <c r="K75" s="1026">
        <f>+L75+M75</f>
        <v>1621778.6700000002</v>
      </c>
      <c r="L75" s="1026">
        <v>1621778.6700000002</v>
      </c>
      <c r="N75" s="1026">
        <f>+O75+P75</f>
        <v>0</v>
      </c>
      <c r="Q75" s="1026">
        <f>+R75+S75</f>
        <v>0</v>
      </c>
      <c r="U75" s="1026">
        <f>+V75+Z75+AC75</f>
        <v>0</v>
      </c>
      <c r="V75" s="1026">
        <f>+W75+X75</f>
        <v>0</v>
      </c>
      <c r="W75" s="1026">
        <v>0</v>
      </c>
      <c r="Z75" s="1026">
        <f>+AA75+AB75</f>
        <v>0</v>
      </c>
      <c r="AC75" s="1026">
        <f>+AD75+AE75</f>
        <v>0</v>
      </c>
      <c r="AG75" s="1026">
        <f>+AH75+AI75+AJ75</f>
        <v>0</v>
      </c>
      <c r="AL75" s="1026">
        <f>+AM75+AN75+AO75</f>
        <v>0</v>
      </c>
      <c r="AQ75" s="1026">
        <f>+AR75+AS75+AV75+AW75</f>
        <v>0</v>
      </c>
      <c r="AR75" s="1026">
        <v>0</v>
      </c>
      <c r="AS75" s="1026">
        <f>+AT75+AU75</f>
        <v>0</v>
      </c>
      <c r="AT75" s="1026">
        <v>0</v>
      </c>
      <c r="AY75" s="1026">
        <f>+AZ75+BC75+BD75+BE75+BJ75</f>
        <v>945826.33999999985</v>
      </c>
      <c r="AZ75" s="1026">
        <f>+BA75+BB75</f>
        <v>0</v>
      </c>
      <c r="BA75" s="1026">
        <v>0</v>
      </c>
      <c r="BC75" s="1026">
        <v>0</v>
      </c>
      <c r="BD75" s="1026">
        <v>945826.33999999985</v>
      </c>
      <c r="BE75" s="1026">
        <f>+BF75+BG75+BH75+BI75</f>
        <v>0</v>
      </c>
      <c r="BL75" s="1026">
        <f>+BM75+BQ75+BR75</f>
        <v>0</v>
      </c>
      <c r="BM75" s="1026">
        <f>+BN75+BO75+BP75</f>
        <v>0</v>
      </c>
      <c r="BT75" s="1026">
        <f>+BU75+BY75+BZ75+CJ75+CK75+CL75</f>
        <v>0</v>
      </c>
      <c r="BU75" s="1026">
        <f>+BV75+BW75+BX75</f>
        <v>0</v>
      </c>
      <c r="BZ75" s="1026">
        <f>+CA75+CB75+CC75+CD75+CE75+CF75+CG75+CH75+CI75</f>
        <v>0</v>
      </c>
      <c r="CN75" s="1026">
        <f>+CO75+CU75</f>
        <v>0</v>
      </c>
      <c r="CO75" s="1026">
        <f>+CP75+CQ75+CS75+CT75</f>
        <v>0</v>
      </c>
      <c r="CU75" s="1026">
        <f>+CV75+CW75+CX75+CY75+CZ75</f>
        <v>0</v>
      </c>
      <c r="DB75" s="1026">
        <f>+DC75+DD75</f>
        <v>0</v>
      </c>
      <c r="DF75" s="1026">
        <f>+DG75+DQ75+DU75+DV75</f>
        <v>42625520.360000007</v>
      </c>
      <c r="DG75" s="1026">
        <f>+DH75+DK75+DN75</f>
        <v>0</v>
      </c>
      <c r="DH75" s="1026">
        <f>+DI75+DK75</f>
        <v>0</v>
      </c>
      <c r="DK75" s="1026">
        <f>+DL75+DN75</f>
        <v>0</v>
      </c>
      <c r="DN75" s="1026">
        <f>+DO75+DP75</f>
        <v>0</v>
      </c>
      <c r="DQ75" s="1026">
        <f>+DR75+DS75</f>
        <v>42625520.360000007</v>
      </c>
      <c r="DR75" s="1026">
        <v>1313400.0077327474</v>
      </c>
      <c r="DS75" s="1026">
        <v>41312120.352267258</v>
      </c>
      <c r="DV75" s="1026">
        <f>+DW75+DY75</f>
        <v>0</v>
      </c>
      <c r="DZ75" s="1026">
        <f>+EA75+ED75+EG75</f>
        <v>0</v>
      </c>
      <c r="EA75" s="1026">
        <f>+EB75+EC75</f>
        <v>0</v>
      </c>
      <c r="ED75" s="1026">
        <f>+EE75+EF75</f>
        <v>0</v>
      </c>
      <c r="EG75" s="1026">
        <f>+EH75+EI75</f>
        <v>0</v>
      </c>
      <c r="EK75" s="1026">
        <f>+EM75+EQ75+EU75</f>
        <v>0</v>
      </c>
      <c r="EM75" s="1026">
        <f>+EN75+EO75+EP75</f>
        <v>0</v>
      </c>
      <c r="EQ75" s="1026">
        <f>+ER75+ES75+ET75</f>
        <v>0</v>
      </c>
      <c r="EU75" s="1026">
        <f>+EV75+EW75+EX75</f>
        <v>0</v>
      </c>
      <c r="EZ75" s="1026">
        <f>+FB75+FF75+FJ75</f>
        <v>0</v>
      </c>
      <c r="FB75" s="1026">
        <f>+FC75+FD75+FE75</f>
        <v>0</v>
      </c>
      <c r="FF75" s="1026">
        <f>+FG75+FH75+FI75</f>
        <v>0</v>
      </c>
      <c r="FJ75" s="1026">
        <f>+FK75+FL75+FM75</f>
        <v>0</v>
      </c>
      <c r="FO75" s="1026">
        <f>+FQ75+FR75+FS75+FT75+FU75</f>
        <v>0</v>
      </c>
      <c r="FW75" s="1026">
        <f>+FX75+FY75+FZ75</f>
        <v>18275252.990000002</v>
      </c>
      <c r="FX75" s="1026">
        <v>18212859.400000002</v>
      </c>
      <c r="FY75" s="1026">
        <v>62394.30999999959</v>
      </c>
      <c r="FZ75" s="1026">
        <v>-0.72000000003026798</v>
      </c>
      <c r="GB75" s="1026">
        <v>18941839</v>
      </c>
      <c r="GF75" s="1026">
        <f>+C75+E75+J75+U75+AG75+AL75+AQ75+AY75+BL75+BT75+CN75+DB75+DF75+DZ75+EK75+EZ75+FO75+FW75+GB75</f>
        <v>85707700.360000014</v>
      </c>
    </row>
    <row r="76" spans="2:188" ht="15.75">
      <c r="B76" s="1419">
        <v>43891</v>
      </c>
      <c r="C76" s="1026">
        <v>0</v>
      </c>
      <c r="E76" s="1026">
        <v>1127741</v>
      </c>
      <c r="G76" s="1026">
        <v>1127741</v>
      </c>
      <c r="J76" s="1026">
        <v>2351905</v>
      </c>
      <c r="K76" s="1026">
        <v>2351905</v>
      </c>
      <c r="L76" s="1026">
        <v>2351905</v>
      </c>
      <c r="N76" s="1026">
        <v>0</v>
      </c>
      <c r="Q76" s="1026">
        <v>0</v>
      </c>
      <c r="U76" s="1026">
        <v>0</v>
      </c>
      <c r="V76" s="1026">
        <v>0</v>
      </c>
      <c r="W76" s="1026">
        <v>0</v>
      </c>
      <c r="Z76" s="1026">
        <v>0</v>
      </c>
      <c r="AC76" s="1026">
        <v>0</v>
      </c>
      <c r="AG76" s="1026">
        <v>0</v>
      </c>
      <c r="AL76" s="1026">
        <v>0</v>
      </c>
      <c r="AQ76" s="1026">
        <v>0</v>
      </c>
      <c r="AR76" s="1026">
        <v>0</v>
      </c>
      <c r="AS76" s="1026">
        <v>0</v>
      </c>
      <c r="AT76" s="1026">
        <v>0</v>
      </c>
      <c r="AY76" s="1026">
        <v>2337216</v>
      </c>
      <c r="AZ76" s="1026">
        <v>0</v>
      </c>
      <c r="BA76" s="1026">
        <v>0</v>
      </c>
      <c r="BC76" s="1026">
        <v>0</v>
      </c>
      <c r="BD76" s="1026">
        <v>2337216</v>
      </c>
      <c r="BE76" s="1026">
        <v>0</v>
      </c>
      <c r="BL76" s="1026">
        <v>0</v>
      </c>
      <c r="BM76" s="1026">
        <v>0</v>
      </c>
      <c r="BT76" s="1026">
        <v>0</v>
      </c>
      <c r="BU76" s="1026">
        <v>0</v>
      </c>
      <c r="BZ76" s="1026">
        <v>0</v>
      </c>
      <c r="CN76" s="1026">
        <v>0</v>
      </c>
      <c r="CO76" s="1026">
        <v>0</v>
      </c>
      <c r="CU76" s="1026">
        <v>0</v>
      </c>
      <c r="DB76" s="1026">
        <v>0</v>
      </c>
      <c r="DF76" s="1026">
        <v>42625520.360000007</v>
      </c>
      <c r="DG76" s="1026">
        <v>0</v>
      </c>
      <c r="DH76" s="1026">
        <v>0</v>
      </c>
      <c r="DK76" s="1026">
        <v>0</v>
      </c>
      <c r="DN76" s="1026">
        <v>0</v>
      </c>
      <c r="DQ76" s="1026">
        <v>42625520.360000007</v>
      </c>
      <c r="DR76" s="1026">
        <v>1313400.0077327474</v>
      </c>
      <c r="DS76" s="1026">
        <v>41312120.352267258</v>
      </c>
      <c r="DV76" s="1026">
        <v>0</v>
      </c>
      <c r="DZ76" s="1026">
        <v>0</v>
      </c>
      <c r="EA76" s="1026">
        <v>0</v>
      </c>
      <c r="ED76" s="1026">
        <v>0</v>
      </c>
      <c r="EG76" s="1026">
        <v>0</v>
      </c>
      <c r="EK76" s="1026">
        <v>0</v>
      </c>
      <c r="EM76" s="1026">
        <v>0</v>
      </c>
      <c r="EQ76" s="1026">
        <v>0</v>
      </c>
      <c r="EU76" s="1026">
        <v>0</v>
      </c>
      <c r="EZ76" s="1026">
        <v>0</v>
      </c>
      <c r="FB76" s="1026">
        <v>0</v>
      </c>
      <c r="FF76" s="1026">
        <v>0</v>
      </c>
      <c r="FJ76" s="1026">
        <v>0</v>
      </c>
      <c r="FO76" s="1026">
        <v>0</v>
      </c>
      <c r="FW76" s="1026">
        <v>18275252.990000002</v>
      </c>
      <c r="FX76" s="1026">
        <v>18212859.400000002</v>
      </c>
      <c r="FY76" s="1026">
        <v>62394.30999999959</v>
      </c>
      <c r="FZ76" s="1026">
        <v>-0.72000000003026798</v>
      </c>
      <c r="GB76" s="1026">
        <v>16367917</v>
      </c>
      <c r="GF76" s="1026">
        <v>83085552.350000009</v>
      </c>
    </row>
    <row r="77" spans="2:188" ht="15.75">
      <c r="B77" s="1419">
        <v>43922</v>
      </c>
      <c r="C77" s="1026">
        <v>0</v>
      </c>
      <c r="E77" s="1026">
        <v>1127741</v>
      </c>
      <c r="G77" s="1026">
        <v>1127741</v>
      </c>
      <c r="J77" s="1026">
        <v>2351905</v>
      </c>
      <c r="K77" s="1026">
        <v>2351905</v>
      </c>
      <c r="L77" s="1026">
        <v>2351905</v>
      </c>
      <c r="N77" s="1026">
        <v>0</v>
      </c>
      <c r="Q77" s="1026">
        <v>0</v>
      </c>
      <c r="U77" s="1026">
        <v>0</v>
      </c>
      <c r="V77" s="1026">
        <v>0</v>
      </c>
      <c r="W77" s="1026">
        <v>0</v>
      </c>
      <c r="Z77" s="1026">
        <v>0</v>
      </c>
      <c r="AC77" s="1026">
        <v>0</v>
      </c>
      <c r="AG77" s="1026">
        <v>0</v>
      </c>
      <c r="AL77" s="1026">
        <v>0</v>
      </c>
      <c r="AQ77" s="1026">
        <v>0</v>
      </c>
      <c r="AR77" s="1026">
        <v>0</v>
      </c>
      <c r="AS77" s="1026">
        <v>0</v>
      </c>
      <c r="AT77" s="1026">
        <v>0</v>
      </c>
      <c r="AY77" s="1026">
        <v>2337216</v>
      </c>
      <c r="AZ77" s="1026">
        <v>0</v>
      </c>
      <c r="BA77" s="1026">
        <v>0</v>
      </c>
      <c r="BC77" s="1026">
        <v>0</v>
      </c>
      <c r="BD77" s="1026">
        <v>2337216</v>
      </c>
      <c r="BE77" s="1026">
        <v>0</v>
      </c>
      <c r="BL77" s="1026">
        <v>0</v>
      </c>
      <c r="BM77" s="1026">
        <v>0</v>
      </c>
      <c r="BT77" s="1026">
        <v>0</v>
      </c>
      <c r="BU77" s="1026">
        <v>0</v>
      </c>
      <c r="BZ77" s="1026">
        <v>0</v>
      </c>
      <c r="CN77" s="1026">
        <v>0</v>
      </c>
      <c r="CO77" s="1026">
        <v>0</v>
      </c>
      <c r="CU77" s="1026">
        <v>0</v>
      </c>
      <c r="DB77" s="1026">
        <v>0</v>
      </c>
      <c r="DF77" s="1026">
        <v>42625520.360000007</v>
      </c>
      <c r="DG77" s="1026">
        <v>0</v>
      </c>
      <c r="DH77" s="1026">
        <v>0</v>
      </c>
      <c r="DK77" s="1026">
        <v>0</v>
      </c>
      <c r="DN77" s="1026">
        <v>0</v>
      </c>
      <c r="DQ77" s="1026">
        <v>42625520.360000007</v>
      </c>
      <c r="DR77" s="1026">
        <v>1313400.0077327474</v>
      </c>
      <c r="DS77" s="1026">
        <v>41312120.352267258</v>
      </c>
      <c r="DV77" s="1026">
        <v>0</v>
      </c>
      <c r="DZ77" s="1026">
        <v>0</v>
      </c>
      <c r="EA77" s="1026">
        <v>0</v>
      </c>
      <c r="ED77" s="1026">
        <v>0</v>
      </c>
      <c r="EG77" s="1026">
        <v>0</v>
      </c>
      <c r="EK77" s="1026">
        <v>0</v>
      </c>
      <c r="EM77" s="1026">
        <v>0</v>
      </c>
      <c r="EQ77" s="1026">
        <v>0</v>
      </c>
      <c r="EU77" s="1026">
        <v>0</v>
      </c>
      <c r="EZ77" s="1026">
        <v>0</v>
      </c>
      <c r="FB77" s="1026">
        <v>0</v>
      </c>
      <c r="FF77" s="1026">
        <v>0</v>
      </c>
      <c r="FJ77" s="1026">
        <v>0</v>
      </c>
      <c r="FO77" s="1026">
        <v>0</v>
      </c>
      <c r="FW77" s="1026">
        <v>18275252.990000002</v>
      </c>
      <c r="FX77" s="1026">
        <v>18212859.400000002</v>
      </c>
      <c r="FY77" s="1026">
        <v>62394.30999999959</v>
      </c>
      <c r="FZ77" s="1026">
        <v>-0.72000000003026798</v>
      </c>
      <c r="GB77" s="1026">
        <v>16367917</v>
      </c>
      <c r="GF77" s="1026">
        <v>83085552.350000009</v>
      </c>
    </row>
    <row r="78" spans="2:188" ht="15.75">
      <c r="B78" s="1419">
        <v>43952</v>
      </c>
      <c r="C78" s="1026">
        <v>0</v>
      </c>
      <c r="E78" s="1026">
        <v>325135</v>
      </c>
      <c r="G78" s="1026">
        <v>325135</v>
      </c>
      <c r="J78" s="1026">
        <v>2170493.73</v>
      </c>
      <c r="K78" s="1026">
        <v>2170493.73</v>
      </c>
      <c r="L78" s="1026">
        <v>2170493.73</v>
      </c>
      <c r="N78" s="1026">
        <v>0</v>
      </c>
      <c r="Q78" s="1026">
        <v>0</v>
      </c>
      <c r="U78" s="1026">
        <v>0</v>
      </c>
      <c r="V78" s="1026">
        <v>0</v>
      </c>
      <c r="W78" s="1026">
        <v>0</v>
      </c>
      <c r="Z78" s="1026">
        <v>0</v>
      </c>
      <c r="AC78" s="1026">
        <v>0</v>
      </c>
      <c r="AG78" s="1026">
        <v>0</v>
      </c>
      <c r="AL78" s="1026">
        <v>0</v>
      </c>
      <c r="AQ78" s="1026">
        <v>0</v>
      </c>
      <c r="AR78" s="1026">
        <v>0</v>
      </c>
      <c r="AS78" s="1026">
        <v>0</v>
      </c>
      <c r="AT78" s="1026">
        <v>0</v>
      </c>
      <c r="AY78" s="1026">
        <v>945826.33999999985</v>
      </c>
      <c r="AZ78" s="1026">
        <v>0</v>
      </c>
      <c r="BA78" s="1026">
        <v>0</v>
      </c>
      <c r="BC78" s="1026">
        <v>0</v>
      </c>
      <c r="BD78" s="1026">
        <v>945826.33999999985</v>
      </c>
      <c r="BE78" s="1026">
        <v>0</v>
      </c>
      <c r="BL78" s="1026">
        <v>0</v>
      </c>
      <c r="BM78" s="1026">
        <v>0</v>
      </c>
      <c r="BT78" s="1026">
        <v>0</v>
      </c>
      <c r="BU78" s="1026">
        <v>0</v>
      </c>
      <c r="BZ78" s="1026">
        <v>0</v>
      </c>
      <c r="CN78" s="1026">
        <v>0</v>
      </c>
      <c r="CO78" s="1026">
        <v>0</v>
      </c>
      <c r="CU78" s="1026">
        <v>0</v>
      </c>
      <c r="DB78" s="1026">
        <v>0</v>
      </c>
      <c r="DF78" s="1026">
        <v>39974171.710000008</v>
      </c>
      <c r="DG78" s="1026">
        <v>0</v>
      </c>
      <c r="DH78" s="1026">
        <v>0</v>
      </c>
      <c r="DK78" s="1026">
        <v>0</v>
      </c>
      <c r="DN78" s="1026">
        <v>0</v>
      </c>
      <c r="DQ78" s="1026">
        <v>39974171.710000008</v>
      </c>
      <c r="DR78" s="1026">
        <v>1231705.2551994736</v>
      </c>
      <c r="DS78" s="1026">
        <v>38742466.454800531</v>
      </c>
      <c r="DV78" s="1026">
        <v>0</v>
      </c>
      <c r="DZ78" s="1026">
        <v>0</v>
      </c>
      <c r="EA78" s="1026">
        <v>0</v>
      </c>
      <c r="ED78" s="1026">
        <v>0</v>
      </c>
      <c r="EG78" s="1026">
        <v>0</v>
      </c>
      <c r="EK78" s="1026">
        <v>0</v>
      </c>
      <c r="EM78" s="1026">
        <v>0</v>
      </c>
      <c r="EQ78" s="1026">
        <v>0</v>
      </c>
      <c r="EU78" s="1026">
        <v>0</v>
      </c>
      <c r="EZ78" s="1026">
        <v>0</v>
      </c>
      <c r="FB78" s="1026">
        <v>0</v>
      </c>
      <c r="FF78" s="1026">
        <v>0</v>
      </c>
      <c r="FJ78" s="1026">
        <v>0</v>
      </c>
      <c r="FO78" s="1026">
        <v>0</v>
      </c>
      <c r="FW78" s="1026">
        <v>18275252.990000002</v>
      </c>
      <c r="FX78" s="1026">
        <v>18212859.400000002</v>
      </c>
      <c r="FY78" s="1026">
        <v>62394.30999999959</v>
      </c>
      <c r="FZ78" s="1026">
        <v>-0.72000000003026798</v>
      </c>
      <c r="GB78" s="1026">
        <v>16563390.070834782</v>
      </c>
      <c r="GF78" s="1026">
        <v>78254269.840834796</v>
      </c>
    </row>
    <row r="79" spans="2:188" ht="15.75">
      <c r="B79" s="1419">
        <v>43983</v>
      </c>
      <c r="C79" s="1026">
        <v>0</v>
      </c>
      <c r="E79" s="1026">
        <v>1117831.8500000001</v>
      </c>
      <c r="G79" s="1026">
        <v>1117831.8500000001</v>
      </c>
      <c r="J79" s="1026">
        <v>2378199.9</v>
      </c>
      <c r="K79" s="1026">
        <v>2378199.9</v>
      </c>
      <c r="L79" s="1026">
        <v>2378199.9</v>
      </c>
      <c r="N79" s="1026">
        <v>0</v>
      </c>
      <c r="Q79" s="1026">
        <v>0</v>
      </c>
      <c r="U79" s="1026">
        <v>0</v>
      </c>
      <c r="V79" s="1026">
        <v>0</v>
      </c>
      <c r="W79" s="1026">
        <v>0</v>
      </c>
      <c r="Z79" s="1026">
        <v>0</v>
      </c>
      <c r="AC79" s="1026">
        <v>0</v>
      </c>
      <c r="AG79" s="1026">
        <v>0</v>
      </c>
      <c r="AL79" s="1026">
        <v>0</v>
      </c>
      <c r="AQ79" s="1026">
        <v>0</v>
      </c>
      <c r="AR79" s="1026">
        <v>0</v>
      </c>
      <c r="AS79" s="1026">
        <v>0</v>
      </c>
      <c r="AT79" s="1026">
        <v>0</v>
      </c>
      <c r="AY79" s="1026">
        <v>945826.33999999985</v>
      </c>
      <c r="AZ79" s="1026">
        <v>0</v>
      </c>
      <c r="BA79" s="1026">
        <v>0</v>
      </c>
      <c r="BC79" s="1026">
        <v>0</v>
      </c>
      <c r="BD79" s="1026">
        <v>945826.33999999985</v>
      </c>
      <c r="BE79" s="1026">
        <v>0</v>
      </c>
      <c r="BL79" s="1026">
        <v>0</v>
      </c>
      <c r="BM79" s="1026">
        <v>0</v>
      </c>
      <c r="BT79" s="1026">
        <v>0</v>
      </c>
      <c r="BU79" s="1026">
        <v>0</v>
      </c>
      <c r="BZ79" s="1026">
        <v>0</v>
      </c>
      <c r="CN79" s="1026">
        <v>0</v>
      </c>
      <c r="CO79" s="1026">
        <v>0</v>
      </c>
      <c r="CU79" s="1026">
        <v>0</v>
      </c>
      <c r="DB79" s="1026">
        <v>0</v>
      </c>
      <c r="DF79" s="1026">
        <v>38222454.280000009</v>
      </c>
      <c r="DG79" s="1026">
        <v>0</v>
      </c>
      <c r="DH79" s="1026">
        <v>0</v>
      </c>
      <c r="DK79" s="1026">
        <v>0</v>
      </c>
      <c r="DN79" s="1026">
        <v>0</v>
      </c>
      <c r="DQ79" s="1026">
        <v>38222454.280000009</v>
      </c>
      <c r="DR79" s="1026">
        <v>1177730.4141494024</v>
      </c>
      <c r="DS79" s="1026">
        <v>37044723.865850605</v>
      </c>
      <c r="DV79" s="1026">
        <v>0</v>
      </c>
      <c r="DZ79" s="1026">
        <v>0</v>
      </c>
      <c r="EA79" s="1026">
        <v>0</v>
      </c>
      <c r="ED79" s="1026">
        <v>0</v>
      </c>
      <c r="EG79" s="1026">
        <v>0</v>
      </c>
      <c r="EK79" s="1026">
        <v>0</v>
      </c>
      <c r="EM79" s="1026">
        <v>0</v>
      </c>
      <c r="EQ79" s="1026">
        <v>0</v>
      </c>
      <c r="EU79" s="1026">
        <v>0</v>
      </c>
      <c r="EZ79" s="1026">
        <v>0</v>
      </c>
      <c r="FB79" s="1026">
        <v>0</v>
      </c>
      <c r="FF79" s="1026">
        <v>0</v>
      </c>
      <c r="FJ79" s="1026">
        <v>0</v>
      </c>
      <c r="FO79" s="1026">
        <v>0</v>
      </c>
      <c r="FW79" s="1026">
        <v>18275252.990000002</v>
      </c>
      <c r="FX79" s="1026">
        <v>18212859.400000002</v>
      </c>
      <c r="FY79" s="1026">
        <v>62394.30999999959</v>
      </c>
      <c r="FZ79" s="1026">
        <v>-0.72000000003026798</v>
      </c>
      <c r="GB79" s="1026">
        <v>17002943.290834788</v>
      </c>
      <c r="GF79" s="1026">
        <v>77942508.650834799</v>
      </c>
    </row>
    <row r="80" spans="2:188" ht="15.75">
      <c r="B80" s="1419">
        <v>44013</v>
      </c>
      <c r="C80" s="1026">
        <v>0</v>
      </c>
      <c r="E80" s="1026">
        <v>818011</v>
      </c>
      <c r="G80" s="1026">
        <v>818011</v>
      </c>
      <c r="J80" s="1026">
        <v>10977817</v>
      </c>
      <c r="K80" s="1026">
        <v>10977817</v>
      </c>
      <c r="L80" s="1026">
        <v>10977817</v>
      </c>
      <c r="N80" s="1026">
        <v>0</v>
      </c>
      <c r="Q80" s="1026">
        <v>0</v>
      </c>
      <c r="U80" s="1026">
        <v>0</v>
      </c>
      <c r="V80" s="1026">
        <v>0</v>
      </c>
      <c r="W80" s="1026">
        <v>0</v>
      </c>
      <c r="Z80" s="1026">
        <v>0</v>
      </c>
      <c r="AC80" s="1026">
        <v>0</v>
      </c>
      <c r="AG80" s="1026">
        <v>0</v>
      </c>
      <c r="AL80" s="1026">
        <v>0</v>
      </c>
      <c r="AQ80" s="1026">
        <v>0</v>
      </c>
      <c r="AR80" s="1026">
        <v>0</v>
      </c>
      <c r="AS80" s="1026">
        <v>0</v>
      </c>
      <c r="AT80" s="1026">
        <v>0</v>
      </c>
      <c r="AY80" s="1026">
        <v>945826</v>
      </c>
      <c r="AZ80" s="1026">
        <v>0</v>
      </c>
      <c r="BA80" s="1026">
        <v>0</v>
      </c>
      <c r="BC80" s="1026">
        <v>0</v>
      </c>
      <c r="BD80" s="1026">
        <v>945826</v>
      </c>
      <c r="BE80" s="1026">
        <v>0</v>
      </c>
      <c r="BL80" s="1026">
        <v>0</v>
      </c>
      <c r="BM80" s="1026">
        <v>0</v>
      </c>
      <c r="BT80" s="1026">
        <v>0</v>
      </c>
      <c r="BU80" s="1026">
        <v>0</v>
      </c>
      <c r="BZ80" s="1026">
        <v>0</v>
      </c>
      <c r="CN80" s="1026">
        <v>0</v>
      </c>
      <c r="CO80" s="1026">
        <v>0</v>
      </c>
      <c r="CU80" s="1026">
        <v>0</v>
      </c>
      <c r="DB80" s="1026">
        <v>0</v>
      </c>
      <c r="DF80" s="1026">
        <v>34972714</v>
      </c>
      <c r="DG80" s="1026">
        <v>0</v>
      </c>
      <c r="DH80" s="1026">
        <v>0</v>
      </c>
      <c r="DK80" s="1026">
        <v>0</v>
      </c>
      <c r="DN80" s="1026">
        <v>0</v>
      </c>
      <c r="DQ80" s="1026">
        <v>34972714</v>
      </c>
      <c r="DR80" s="1026">
        <v>1077598</v>
      </c>
      <c r="DS80" s="1026">
        <v>33895116</v>
      </c>
      <c r="DV80" s="1026">
        <v>0</v>
      </c>
      <c r="DZ80" s="1026">
        <v>0</v>
      </c>
      <c r="EA80" s="1026">
        <v>0</v>
      </c>
      <c r="ED80" s="1026">
        <v>0</v>
      </c>
      <c r="EG80" s="1026">
        <v>0</v>
      </c>
      <c r="EK80" s="1026">
        <v>0</v>
      </c>
      <c r="EM80" s="1026">
        <v>0</v>
      </c>
      <c r="EQ80" s="1026">
        <v>0</v>
      </c>
      <c r="EU80" s="1026">
        <v>0</v>
      </c>
      <c r="EZ80" s="1026">
        <v>0</v>
      </c>
      <c r="FB80" s="1026">
        <v>0</v>
      </c>
      <c r="FF80" s="1026">
        <v>0</v>
      </c>
      <c r="FJ80" s="1026">
        <v>0</v>
      </c>
      <c r="FO80" s="1026">
        <v>0</v>
      </c>
      <c r="FW80" s="1026">
        <v>18203773</v>
      </c>
      <c r="FX80" s="1026">
        <v>18141379</v>
      </c>
      <c r="FY80" s="1026">
        <v>62394</v>
      </c>
      <c r="FZ80" s="1026">
        <v>0</v>
      </c>
      <c r="GB80" s="1026">
        <v>48669121</v>
      </c>
      <c r="GF80" s="1026">
        <v>114587262</v>
      </c>
    </row>
    <row r="81" spans="2:188" ht="15.75">
      <c r="B81" s="1419">
        <v>44044</v>
      </c>
      <c r="C81" s="1026">
        <v>0</v>
      </c>
      <c r="E81" s="1026">
        <f>+F81+G81+H81</f>
        <v>176863</v>
      </c>
      <c r="G81" s="1026">
        <v>176863</v>
      </c>
      <c r="J81" s="1026">
        <f>+K81+N81+Q81</f>
        <v>10977816.900000002</v>
      </c>
      <c r="K81" s="1026">
        <f>+L81+M81</f>
        <v>10977816.900000002</v>
      </c>
      <c r="L81" s="1026">
        <v>10977816.900000002</v>
      </c>
      <c r="N81" s="1026">
        <f>+O81+P81</f>
        <v>0</v>
      </c>
      <c r="Q81" s="1026">
        <f>+R81+S81</f>
        <v>0</v>
      </c>
      <c r="U81" s="1026">
        <f>+V81+Z81+AC81</f>
        <v>0</v>
      </c>
      <c r="V81" s="1026">
        <f>+W81+X81</f>
        <v>0</v>
      </c>
      <c r="W81" s="1026">
        <v>0</v>
      </c>
      <c r="Z81" s="1026">
        <f>+AA81+AB81</f>
        <v>0</v>
      </c>
      <c r="AC81" s="1026">
        <f>+AD81+AE81</f>
        <v>0</v>
      </c>
      <c r="AG81" s="1026">
        <f>+AH81+AI81+AJ81</f>
        <v>0</v>
      </c>
      <c r="AL81" s="1026">
        <f>+AM81+AN81+AO81</f>
        <v>0</v>
      </c>
      <c r="AQ81" s="1026">
        <f>+AR81+AS81+AV81+AW81</f>
        <v>0</v>
      </c>
      <c r="AR81" s="1026">
        <v>0</v>
      </c>
      <c r="AS81" s="1026">
        <f>+AT81+AU81</f>
        <v>0</v>
      </c>
      <c r="AT81" s="1026">
        <v>0</v>
      </c>
      <c r="AY81" s="1026">
        <f>+AZ81+BC81+BD81+BE81+BJ81</f>
        <v>945826.33999999985</v>
      </c>
      <c r="AZ81" s="1026">
        <f>+BA81+BB81</f>
        <v>0</v>
      </c>
      <c r="BA81" s="1026">
        <v>0</v>
      </c>
      <c r="BC81" s="1026">
        <v>0</v>
      </c>
      <c r="BD81" s="1026">
        <v>945826.33999999985</v>
      </c>
      <c r="BE81" s="1026">
        <f>+BF81+BG81+BH81+BI81</f>
        <v>0</v>
      </c>
      <c r="BL81" s="1026">
        <f>+BM81+BQ81+BR81</f>
        <v>0</v>
      </c>
      <c r="BM81" s="1026">
        <f>+BN81+BO81+BP81</f>
        <v>0</v>
      </c>
      <c r="BT81" s="1026">
        <f>+BU81+BY81+BZ81+CJ81+CK81+CL81</f>
        <v>0</v>
      </c>
      <c r="BU81" s="1026">
        <f>+BV81+BW81+BX81</f>
        <v>0</v>
      </c>
      <c r="BZ81" s="1026">
        <f>+CA81+CB81+CC81+CD81+CE81+CF81+CG81+CH81+CI81</f>
        <v>0</v>
      </c>
      <c r="CN81" s="1026">
        <f>+CO81+CU81</f>
        <v>0</v>
      </c>
      <c r="CO81" s="1026">
        <f>+CP81+CQ81+CS81+CT81</f>
        <v>0</v>
      </c>
      <c r="CU81" s="1026">
        <f>+CV81+CW81+CX81+CY81+CZ81</f>
        <v>0</v>
      </c>
      <c r="DB81" s="1026">
        <f>+DC81+DD81</f>
        <v>0</v>
      </c>
      <c r="DF81" s="1026">
        <f>+DG81+DQ81+DU81+DV81</f>
        <v>34722713.539999999</v>
      </c>
      <c r="DG81" s="1026">
        <f>+DH81+DK81+DN81</f>
        <v>0</v>
      </c>
      <c r="DH81" s="1026">
        <f>+DI81+DK81</f>
        <v>0</v>
      </c>
      <c r="DK81" s="1026">
        <f>+DL81+DN81</f>
        <v>0</v>
      </c>
      <c r="DN81" s="1026">
        <f>+DO81+DP81</f>
        <v>0</v>
      </c>
      <c r="DQ81" s="1026">
        <f>+DR81+DS81</f>
        <v>34722713.539999999</v>
      </c>
      <c r="DR81" s="1026">
        <v>1069894.5572224322</v>
      </c>
      <c r="DS81" s="1026">
        <v>33652818.982777566</v>
      </c>
      <c r="DV81" s="1026">
        <f>+DW81+DY81</f>
        <v>0</v>
      </c>
      <c r="DZ81" s="1026">
        <f>+EA81+ED81+EG81</f>
        <v>0</v>
      </c>
      <c r="EA81" s="1026">
        <f>+EB81+EC81</f>
        <v>0</v>
      </c>
      <c r="ED81" s="1026">
        <f>+EE81+EF81</f>
        <v>0</v>
      </c>
      <c r="EG81" s="1026">
        <f>+EH81+EI81</f>
        <v>0</v>
      </c>
      <c r="EK81" s="1026">
        <f>+EM81+EQ81+EU81</f>
        <v>0</v>
      </c>
      <c r="EM81" s="1026">
        <f>+EN81+EO81+EP81</f>
        <v>0</v>
      </c>
      <c r="EQ81" s="1026">
        <f>+ER81+ES81+ET81</f>
        <v>0</v>
      </c>
      <c r="EU81" s="1026">
        <f>+EV81+EW81+EX81</f>
        <v>0</v>
      </c>
      <c r="EZ81" s="1026">
        <f>+FB81+FF81+FJ81</f>
        <v>0</v>
      </c>
      <c r="FB81" s="1026">
        <f>+FC81+FD81+FE81</f>
        <v>0</v>
      </c>
      <c r="FF81" s="1026">
        <f>+FG81+FH81+FI81</f>
        <v>0</v>
      </c>
      <c r="FJ81" s="1026">
        <f>+FK81+FL81+FM81</f>
        <v>0</v>
      </c>
      <c r="FO81" s="1026">
        <f>+FQ81+FR81+FS81+FT81+FU81</f>
        <v>0</v>
      </c>
      <c r="FW81" s="1026">
        <f>+FX81+FY81+FZ81</f>
        <v>18203772.940000001</v>
      </c>
      <c r="FX81" s="1026">
        <v>18141379.350000001</v>
      </c>
      <c r="FY81" s="1026">
        <v>62393.58999999956</v>
      </c>
      <c r="FZ81" s="1026">
        <v>0</v>
      </c>
      <c r="GB81" s="1026">
        <v>49560268.820834786</v>
      </c>
      <c r="GF81" s="1026">
        <f>+C81+E81+J81+U81+AG81+AL81+AQ81+AY81+BL81+BT81+CN81+DB81+DF81+DZ81+EK81+EZ81+FO81+FW81+GB81</f>
        <v>114587261.54083478</v>
      </c>
    </row>
    <row r="82" spans="2:188" ht="15.75">
      <c r="B82" s="1419">
        <v>44075</v>
      </c>
      <c r="C82" s="1026">
        <v>0</v>
      </c>
      <c r="E82" s="1026">
        <v>48463</v>
      </c>
      <c r="G82" s="1026">
        <v>48463</v>
      </c>
      <c r="J82" s="1026">
        <v>12043188</v>
      </c>
      <c r="K82" s="1026">
        <v>12043188</v>
      </c>
      <c r="L82" s="1026">
        <v>12043188</v>
      </c>
      <c r="N82" s="1026">
        <v>0</v>
      </c>
      <c r="Q82" s="1026">
        <v>0</v>
      </c>
      <c r="U82" s="1026">
        <v>0</v>
      </c>
      <c r="V82" s="1026">
        <v>0</v>
      </c>
      <c r="W82" s="1026">
        <v>0</v>
      </c>
      <c r="Z82" s="1026">
        <v>0</v>
      </c>
      <c r="AC82" s="1026">
        <v>0</v>
      </c>
      <c r="AG82" s="1026">
        <v>0</v>
      </c>
      <c r="AL82" s="1026">
        <v>0</v>
      </c>
      <c r="AQ82" s="1026">
        <v>0</v>
      </c>
      <c r="AR82" s="1026">
        <v>0</v>
      </c>
      <c r="AS82" s="1026">
        <v>0</v>
      </c>
      <c r="AT82" s="1026">
        <v>0</v>
      </c>
      <c r="AY82" s="1026">
        <v>479114</v>
      </c>
      <c r="AZ82" s="1026">
        <v>0</v>
      </c>
      <c r="BA82" s="1026">
        <v>0</v>
      </c>
      <c r="BC82" s="1026">
        <v>0</v>
      </c>
      <c r="BD82" s="1026">
        <v>479114</v>
      </c>
      <c r="BE82" s="1026">
        <v>0</v>
      </c>
      <c r="BL82" s="1026">
        <v>0</v>
      </c>
      <c r="BM82" s="1026">
        <v>0</v>
      </c>
      <c r="BT82" s="1026">
        <v>0</v>
      </c>
      <c r="BU82" s="1026">
        <v>0</v>
      </c>
      <c r="BZ82" s="1026">
        <v>0</v>
      </c>
      <c r="CN82" s="1026">
        <v>0</v>
      </c>
      <c r="CO82" s="1026">
        <v>0</v>
      </c>
      <c r="CU82" s="1026">
        <v>0</v>
      </c>
      <c r="DB82" s="1026">
        <v>0</v>
      </c>
      <c r="DF82" s="1026">
        <v>34972713.540000007</v>
      </c>
      <c r="DG82" s="1026">
        <v>0</v>
      </c>
      <c r="DH82" s="1026">
        <v>0</v>
      </c>
      <c r="DK82" s="1026">
        <v>0</v>
      </c>
      <c r="DN82" s="1026">
        <v>0</v>
      </c>
      <c r="DQ82" s="1026">
        <v>34972713.540000007</v>
      </c>
      <c r="DR82" s="1026">
        <v>1077597.6890354885</v>
      </c>
      <c r="DS82" s="1026">
        <v>33895115.850964516</v>
      </c>
      <c r="DV82" s="1026">
        <v>0</v>
      </c>
      <c r="DZ82" s="1026">
        <v>0</v>
      </c>
      <c r="EA82" s="1026">
        <v>0</v>
      </c>
      <c r="ED82" s="1026">
        <v>0</v>
      </c>
      <c r="EG82" s="1026">
        <v>0</v>
      </c>
      <c r="EK82" s="1026">
        <v>0</v>
      </c>
      <c r="EM82" s="1026">
        <v>0</v>
      </c>
      <c r="EQ82" s="1026">
        <v>0</v>
      </c>
      <c r="EU82" s="1026">
        <v>0</v>
      </c>
      <c r="EZ82" s="1026">
        <v>0</v>
      </c>
      <c r="FB82" s="1026">
        <v>0</v>
      </c>
      <c r="FF82" s="1026">
        <v>0</v>
      </c>
      <c r="FJ82" s="1026">
        <v>0</v>
      </c>
      <c r="FO82" s="1026">
        <v>0</v>
      </c>
      <c r="FW82" s="1026">
        <v>874592532.95000005</v>
      </c>
      <c r="FX82" s="1026">
        <v>874530133.33000004</v>
      </c>
      <c r="FY82" s="1026">
        <v>62399.620000000112</v>
      </c>
      <c r="FZ82" s="1026">
        <v>0</v>
      </c>
      <c r="GB82" s="1026">
        <v>47985367.049999997</v>
      </c>
      <c r="GF82" s="1026">
        <v>970121378.53999996</v>
      </c>
    </row>
    <row r="83" spans="2:188" ht="15.75">
      <c r="B83" s="1419">
        <v>44105</v>
      </c>
      <c r="C83" s="1026">
        <v>0</v>
      </c>
      <c r="E83" s="1026">
        <v>48463</v>
      </c>
      <c r="G83" s="1026">
        <v>48463</v>
      </c>
      <c r="J83" s="1026">
        <v>12043188</v>
      </c>
      <c r="K83" s="1026">
        <v>12043188</v>
      </c>
      <c r="L83" s="1026">
        <v>12043188</v>
      </c>
      <c r="N83" s="1026">
        <v>0</v>
      </c>
      <c r="Q83" s="1026">
        <v>0</v>
      </c>
      <c r="U83" s="1026">
        <v>0</v>
      </c>
      <c r="V83" s="1026">
        <v>0</v>
      </c>
      <c r="W83" s="1026">
        <v>0</v>
      </c>
      <c r="Z83" s="1026">
        <v>0</v>
      </c>
      <c r="AC83" s="1026">
        <v>0</v>
      </c>
      <c r="AG83" s="1026">
        <v>0</v>
      </c>
      <c r="AL83" s="1026">
        <v>0</v>
      </c>
      <c r="AQ83" s="1026">
        <v>0</v>
      </c>
      <c r="AR83" s="1026">
        <v>0</v>
      </c>
      <c r="AS83" s="1026">
        <v>0</v>
      </c>
      <c r="AT83" s="1026">
        <v>0</v>
      </c>
      <c r="AY83" s="1026">
        <v>479114</v>
      </c>
      <c r="AZ83" s="1026">
        <v>0</v>
      </c>
      <c r="BA83" s="1026">
        <v>0</v>
      </c>
      <c r="BC83" s="1026">
        <v>0</v>
      </c>
      <c r="BD83" s="1026">
        <v>479114</v>
      </c>
      <c r="BE83" s="1026">
        <v>0</v>
      </c>
      <c r="BL83" s="1026">
        <v>0</v>
      </c>
      <c r="BM83" s="1026">
        <v>0</v>
      </c>
      <c r="BT83" s="1026">
        <v>0</v>
      </c>
      <c r="BU83" s="1026">
        <v>0</v>
      </c>
      <c r="BZ83" s="1026">
        <v>0</v>
      </c>
      <c r="CN83" s="1026">
        <v>0</v>
      </c>
      <c r="CO83" s="1026">
        <v>0</v>
      </c>
      <c r="CU83" s="1026">
        <v>0</v>
      </c>
      <c r="DB83" s="1026">
        <v>0</v>
      </c>
      <c r="DF83" s="1026">
        <v>34972713.540000007</v>
      </c>
      <c r="DG83" s="1026">
        <v>0</v>
      </c>
      <c r="DH83" s="1026">
        <v>0</v>
      </c>
      <c r="DK83" s="1026">
        <v>0</v>
      </c>
      <c r="DN83" s="1026">
        <v>0</v>
      </c>
      <c r="DQ83" s="1026">
        <v>34972713.540000007</v>
      </c>
      <c r="DR83" s="1026">
        <v>1077597.6890354885</v>
      </c>
      <c r="DS83" s="1026">
        <v>33895115.850964516</v>
      </c>
      <c r="DV83" s="1026">
        <v>0</v>
      </c>
      <c r="DZ83" s="1026">
        <v>0</v>
      </c>
      <c r="EA83" s="1026">
        <v>0</v>
      </c>
      <c r="ED83" s="1026">
        <v>0</v>
      </c>
      <c r="EG83" s="1026">
        <v>0</v>
      </c>
      <c r="EK83" s="1026">
        <v>0</v>
      </c>
      <c r="EM83" s="1026">
        <v>0</v>
      </c>
      <c r="EQ83" s="1026">
        <v>0</v>
      </c>
      <c r="EU83" s="1026">
        <v>0</v>
      </c>
      <c r="EZ83" s="1026">
        <v>0</v>
      </c>
      <c r="FB83" s="1026">
        <v>0</v>
      </c>
      <c r="FF83" s="1026">
        <v>0</v>
      </c>
      <c r="FJ83" s="1026">
        <v>0</v>
      </c>
      <c r="FO83" s="1026">
        <v>0</v>
      </c>
      <c r="FW83" s="1026">
        <v>874592532.95000005</v>
      </c>
      <c r="FX83" s="1026">
        <v>874530133.33000004</v>
      </c>
      <c r="FY83" s="1026">
        <v>62399.620000000112</v>
      </c>
      <c r="FZ83" s="1026">
        <v>0</v>
      </c>
      <c r="GB83" s="1026">
        <v>47985367.049999997</v>
      </c>
      <c r="GF83" s="1026">
        <v>970121378.53999996</v>
      </c>
    </row>
    <row r="84" spans="2:188" ht="15.75">
      <c r="B84" s="1419">
        <v>44136</v>
      </c>
      <c r="C84" s="1026">
        <v>0</v>
      </c>
      <c r="E84" s="1026">
        <v>445513.81</v>
      </c>
      <c r="G84" s="1026">
        <v>445513.81</v>
      </c>
      <c r="J84" s="1026">
        <v>15505947.720000001</v>
      </c>
      <c r="K84" s="1026">
        <v>15505947.720000001</v>
      </c>
      <c r="L84" s="1026">
        <v>15505947.720000001</v>
      </c>
      <c r="N84" s="1026">
        <v>0</v>
      </c>
      <c r="Q84" s="1026">
        <v>0</v>
      </c>
      <c r="U84" s="1026">
        <v>0</v>
      </c>
      <c r="V84" s="1026">
        <v>0</v>
      </c>
      <c r="W84" s="1026">
        <v>0</v>
      </c>
      <c r="Z84" s="1026">
        <v>0</v>
      </c>
      <c r="AC84" s="1026">
        <v>0</v>
      </c>
      <c r="AG84" s="1026">
        <v>0</v>
      </c>
      <c r="AL84" s="1026">
        <v>0</v>
      </c>
      <c r="AQ84" s="1026">
        <v>0</v>
      </c>
      <c r="AR84" s="1026">
        <v>0</v>
      </c>
      <c r="AS84" s="1026">
        <v>0</v>
      </c>
      <c r="AT84" s="1026">
        <v>0</v>
      </c>
      <c r="AY84" s="1026">
        <v>479114</v>
      </c>
      <c r="AZ84" s="1026">
        <v>0</v>
      </c>
      <c r="BA84" s="1026">
        <v>0</v>
      </c>
      <c r="BC84" s="1026">
        <v>0</v>
      </c>
      <c r="BD84" s="1026">
        <v>479114</v>
      </c>
      <c r="BE84" s="1026">
        <v>0</v>
      </c>
      <c r="BL84" s="1026">
        <v>0</v>
      </c>
      <c r="BM84" s="1026">
        <v>0</v>
      </c>
      <c r="BT84" s="1026">
        <v>0</v>
      </c>
      <c r="BU84" s="1026">
        <v>0</v>
      </c>
      <c r="BZ84" s="1026">
        <v>0</v>
      </c>
      <c r="CN84" s="1026">
        <v>0</v>
      </c>
      <c r="CO84" s="1026">
        <v>0</v>
      </c>
      <c r="CU84" s="1026">
        <v>0</v>
      </c>
      <c r="DB84" s="1026">
        <v>0</v>
      </c>
      <c r="DF84" s="1026">
        <v>34472713.539999999</v>
      </c>
      <c r="DG84" s="1026">
        <v>0</v>
      </c>
      <c r="DH84" s="1026">
        <v>0</v>
      </c>
      <c r="DK84" s="1026">
        <v>0</v>
      </c>
      <c r="DN84" s="1026">
        <v>0</v>
      </c>
      <c r="DQ84" s="1026">
        <v>34472713.539999999</v>
      </c>
      <c r="DR84" s="1026">
        <v>1062191.4254093764</v>
      </c>
      <c r="DS84" s="1026">
        <v>33410522.114590626</v>
      </c>
      <c r="DV84" s="1026">
        <v>0</v>
      </c>
      <c r="DZ84" s="1026">
        <v>0</v>
      </c>
      <c r="EA84" s="1026">
        <v>0</v>
      </c>
      <c r="ED84" s="1026">
        <v>0</v>
      </c>
      <c r="EG84" s="1026">
        <v>0</v>
      </c>
      <c r="EK84" s="1026">
        <v>0</v>
      </c>
      <c r="EM84" s="1026">
        <v>0</v>
      </c>
      <c r="EQ84" s="1026">
        <v>0</v>
      </c>
      <c r="EU84" s="1026">
        <v>0</v>
      </c>
      <c r="EZ84" s="1026">
        <v>0</v>
      </c>
      <c r="FB84" s="1026">
        <v>0</v>
      </c>
      <c r="FF84" s="1026">
        <v>0</v>
      </c>
      <c r="FJ84" s="1026">
        <v>0</v>
      </c>
      <c r="FO84" s="1026">
        <v>0</v>
      </c>
      <c r="FW84" s="1026">
        <v>874592532.95000005</v>
      </c>
      <c r="FX84" s="1026">
        <v>874530133.33000004</v>
      </c>
      <c r="FY84" s="1026">
        <v>62399.620000000112</v>
      </c>
      <c r="FZ84" s="1026">
        <v>0</v>
      </c>
      <c r="GB84" s="1026">
        <v>47673367.049999997</v>
      </c>
      <c r="GF84" s="1026">
        <v>973169189.07000005</v>
      </c>
    </row>
    <row r="85" spans="2:188" ht="15.75">
      <c r="B85" s="1419">
        <v>44166</v>
      </c>
      <c r="C85" s="1026">
        <v>0</v>
      </c>
      <c r="E85" s="1026">
        <v>171693.62999999998</v>
      </c>
      <c r="G85" s="1026">
        <v>171693.62999999998</v>
      </c>
      <c r="J85" s="1026">
        <v>12946666.940000001</v>
      </c>
      <c r="K85" s="1026">
        <v>12946666.940000001</v>
      </c>
      <c r="L85" s="1026">
        <v>12946666.940000001</v>
      </c>
      <c r="N85" s="1026">
        <v>0</v>
      </c>
      <c r="Q85" s="1026">
        <v>0</v>
      </c>
      <c r="U85" s="1026">
        <v>0</v>
      </c>
      <c r="V85" s="1026">
        <v>0</v>
      </c>
      <c r="W85" s="1026">
        <v>0</v>
      </c>
      <c r="Z85" s="1026">
        <v>0</v>
      </c>
      <c r="AC85" s="1026">
        <v>0</v>
      </c>
      <c r="AG85" s="1026">
        <v>0</v>
      </c>
      <c r="AL85" s="1026">
        <v>0</v>
      </c>
      <c r="AQ85" s="1026">
        <v>0</v>
      </c>
      <c r="AR85" s="1026">
        <v>0</v>
      </c>
      <c r="AS85" s="1026">
        <v>0</v>
      </c>
      <c r="AT85" s="1026">
        <v>0</v>
      </c>
      <c r="AY85" s="1026">
        <v>1022793.2200000002</v>
      </c>
      <c r="AZ85" s="1026">
        <v>0</v>
      </c>
      <c r="BA85" s="1026">
        <v>0</v>
      </c>
      <c r="BC85" s="1026">
        <v>0</v>
      </c>
      <c r="BD85" s="1026">
        <v>1022793.2200000002</v>
      </c>
      <c r="BE85" s="1026">
        <v>0</v>
      </c>
      <c r="BL85" s="1026">
        <v>0</v>
      </c>
      <c r="BM85" s="1026">
        <v>0</v>
      </c>
      <c r="BT85" s="1026">
        <v>0</v>
      </c>
      <c r="BU85" s="1026">
        <v>0</v>
      </c>
      <c r="BZ85" s="1026">
        <v>0</v>
      </c>
      <c r="CN85" s="1026">
        <v>0</v>
      </c>
      <c r="CO85" s="1026">
        <v>0</v>
      </c>
      <c r="CU85" s="1026">
        <v>0</v>
      </c>
      <c r="DB85" s="1026">
        <v>0</v>
      </c>
      <c r="DF85" s="1026">
        <v>32007078.229999989</v>
      </c>
      <c r="DG85" s="1026">
        <v>0</v>
      </c>
      <c r="DH85" s="1026">
        <v>0</v>
      </c>
      <c r="DK85" s="1026">
        <v>0</v>
      </c>
      <c r="DN85" s="1026">
        <v>0</v>
      </c>
      <c r="DQ85" s="1026">
        <v>32007078.229999989</v>
      </c>
      <c r="DR85" s="1026">
        <v>986218.97022595408</v>
      </c>
      <c r="DS85" s="1026">
        <v>31020859.259774037</v>
      </c>
      <c r="DV85" s="1026">
        <v>0</v>
      </c>
      <c r="DZ85" s="1026">
        <v>0</v>
      </c>
      <c r="EA85" s="1026">
        <v>0</v>
      </c>
      <c r="ED85" s="1026">
        <v>0</v>
      </c>
      <c r="EG85" s="1026">
        <v>0</v>
      </c>
      <c r="EK85" s="1026">
        <v>0</v>
      </c>
      <c r="EM85" s="1026">
        <v>0</v>
      </c>
      <c r="EQ85" s="1026">
        <v>0</v>
      </c>
      <c r="EU85" s="1026">
        <v>0</v>
      </c>
      <c r="EZ85" s="1026">
        <v>0</v>
      </c>
      <c r="FB85" s="1026">
        <v>0</v>
      </c>
      <c r="FF85" s="1026">
        <v>0</v>
      </c>
      <c r="FJ85" s="1026">
        <v>0</v>
      </c>
      <c r="FO85" s="1026">
        <v>0</v>
      </c>
      <c r="FW85" s="1026">
        <v>874911297.93999994</v>
      </c>
      <c r="FX85" s="1026">
        <v>867641439.3499999</v>
      </c>
      <c r="FY85" s="1026">
        <v>7269858.5899999989</v>
      </c>
      <c r="FZ85" s="1026">
        <v>0</v>
      </c>
      <c r="GB85" s="1026">
        <v>65332324.219999999</v>
      </c>
      <c r="GF85" s="1026">
        <v>986391854.17999995</v>
      </c>
    </row>
    <row r="86" spans="2:188" ht="15.75">
      <c r="B86" s="1419">
        <v>44197</v>
      </c>
      <c r="C86" s="1026">
        <v>0</v>
      </c>
      <c r="E86" s="1026">
        <v>3858341.7277999991</v>
      </c>
      <c r="G86" s="1026">
        <v>3858341.7277999991</v>
      </c>
      <c r="J86" s="1026">
        <v>13867625.435999999</v>
      </c>
      <c r="K86" s="1026">
        <v>13867625.435999999</v>
      </c>
      <c r="L86" s="1026">
        <v>13867625.435999999</v>
      </c>
      <c r="N86" s="1026">
        <v>0</v>
      </c>
      <c r="Q86" s="1026">
        <v>0</v>
      </c>
      <c r="U86" s="1026">
        <v>0</v>
      </c>
      <c r="V86" s="1026">
        <v>0</v>
      </c>
      <c r="W86" s="1026">
        <v>0</v>
      </c>
      <c r="Z86" s="1026">
        <v>0</v>
      </c>
      <c r="AC86" s="1026">
        <v>0</v>
      </c>
      <c r="AG86" s="1026">
        <v>0</v>
      </c>
      <c r="AL86" s="1026">
        <v>0</v>
      </c>
      <c r="AQ86" s="1026">
        <v>0</v>
      </c>
      <c r="AR86" s="1026">
        <v>0</v>
      </c>
      <c r="AS86" s="1026">
        <v>0</v>
      </c>
      <c r="AT86" s="1026">
        <v>0</v>
      </c>
      <c r="AY86" s="1026">
        <v>479113.73</v>
      </c>
      <c r="AZ86" s="1026">
        <v>0</v>
      </c>
      <c r="BA86" s="1026">
        <v>0</v>
      </c>
      <c r="BC86" s="1026">
        <v>0</v>
      </c>
      <c r="BD86" s="1026">
        <v>479113.73</v>
      </c>
      <c r="BE86" s="1026">
        <v>0</v>
      </c>
      <c r="BL86" s="1026">
        <v>0</v>
      </c>
      <c r="BM86" s="1026">
        <v>0</v>
      </c>
      <c r="BT86" s="1026">
        <v>0</v>
      </c>
      <c r="BU86" s="1026">
        <v>0</v>
      </c>
      <c r="BZ86" s="1026">
        <v>0</v>
      </c>
      <c r="CN86" s="1026">
        <v>0</v>
      </c>
      <c r="CO86" s="1026">
        <v>0</v>
      </c>
      <c r="CU86" s="1026">
        <v>0</v>
      </c>
      <c r="DB86" s="1026">
        <v>0</v>
      </c>
      <c r="DF86" s="1026">
        <v>28332682.229999993</v>
      </c>
      <c r="DG86" s="1026">
        <v>0</v>
      </c>
      <c r="DH86" s="1026">
        <v>0</v>
      </c>
      <c r="DK86" s="1026">
        <v>0</v>
      </c>
      <c r="DN86" s="1026">
        <v>0</v>
      </c>
      <c r="DQ86" s="1026">
        <v>28332682.229999993</v>
      </c>
      <c r="DR86" s="1026">
        <v>873001.54334048973</v>
      </c>
      <c r="DS86" s="1026">
        <v>27459680.686659504</v>
      </c>
      <c r="DV86" s="1026">
        <v>0</v>
      </c>
      <c r="DZ86" s="1026">
        <v>0</v>
      </c>
      <c r="EA86" s="1026">
        <v>0</v>
      </c>
      <c r="ED86" s="1026">
        <v>0</v>
      </c>
      <c r="EG86" s="1026">
        <v>0</v>
      </c>
      <c r="EK86" s="1026">
        <v>0</v>
      </c>
      <c r="EM86" s="1026">
        <v>0</v>
      </c>
      <c r="EQ86" s="1026">
        <v>0</v>
      </c>
      <c r="EU86" s="1026">
        <v>0</v>
      </c>
      <c r="EZ86" s="1026">
        <v>0</v>
      </c>
      <c r="FB86" s="1026">
        <v>0</v>
      </c>
      <c r="FF86" s="1026">
        <v>0</v>
      </c>
      <c r="FJ86" s="1026">
        <v>0</v>
      </c>
      <c r="FO86" s="1026">
        <v>0</v>
      </c>
      <c r="FW86" s="1026">
        <v>875374157.13999987</v>
      </c>
      <c r="FX86" s="1026">
        <v>867641439.3499999</v>
      </c>
      <c r="FY86" s="1026">
        <v>7732717.7899999991</v>
      </c>
      <c r="FZ86" s="1026">
        <v>0</v>
      </c>
      <c r="GB86" s="1026">
        <v>79935424.977800012</v>
      </c>
      <c r="GF86" s="1026">
        <v>1001847345.2415999</v>
      </c>
    </row>
    <row r="87" spans="2:188" ht="15.75">
      <c r="B87" s="1419">
        <v>44228</v>
      </c>
      <c r="C87" s="1026">
        <v>0</v>
      </c>
      <c r="E87" s="1026">
        <v>272169.02</v>
      </c>
      <c r="G87" s="1026">
        <v>272169.02</v>
      </c>
      <c r="J87" s="1026">
        <v>11364563.436000001</v>
      </c>
      <c r="K87" s="1026">
        <v>11364563.436000001</v>
      </c>
      <c r="L87" s="1026">
        <v>11364563.436000001</v>
      </c>
      <c r="N87" s="1026">
        <v>0</v>
      </c>
      <c r="Q87" s="1026">
        <v>0</v>
      </c>
      <c r="U87" s="1026">
        <v>0</v>
      </c>
      <c r="V87" s="1026">
        <v>0</v>
      </c>
      <c r="W87" s="1026">
        <v>0</v>
      </c>
      <c r="Z87" s="1026">
        <v>0</v>
      </c>
      <c r="AC87" s="1026">
        <v>0</v>
      </c>
      <c r="AG87" s="1026">
        <v>0</v>
      </c>
      <c r="AL87" s="1026">
        <v>0</v>
      </c>
      <c r="AQ87" s="1026">
        <v>0</v>
      </c>
      <c r="AR87" s="1026">
        <v>0</v>
      </c>
      <c r="AS87" s="1026">
        <v>0</v>
      </c>
      <c r="AT87" s="1026">
        <v>0</v>
      </c>
      <c r="AY87" s="1026">
        <v>479113.73</v>
      </c>
      <c r="AZ87" s="1026">
        <v>0</v>
      </c>
      <c r="BA87" s="1026">
        <v>0</v>
      </c>
      <c r="BC87" s="1026">
        <v>0</v>
      </c>
      <c r="BD87" s="1026">
        <v>479113.73</v>
      </c>
      <c r="BE87" s="1026">
        <v>0</v>
      </c>
      <c r="BL87" s="1026">
        <v>0</v>
      </c>
      <c r="BM87" s="1026">
        <v>0</v>
      </c>
      <c r="BT87" s="1026">
        <v>0</v>
      </c>
      <c r="BU87" s="1026">
        <v>0</v>
      </c>
      <c r="BZ87" s="1026">
        <v>0</v>
      </c>
      <c r="CN87" s="1026">
        <v>0</v>
      </c>
      <c r="CO87" s="1026">
        <v>0</v>
      </c>
      <c r="CU87" s="1026">
        <v>0</v>
      </c>
      <c r="DB87" s="1026">
        <v>0</v>
      </c>
      <c r="DF87" s="1026">
        <v>29398855.229999997</v>
      </c>
      <c r="DG87" s="1026">
        <v>0</v>
      </c>
      <c r="DH87" s="1026">
        <v>0</v>
      </c>
      <c r="DK87" s="1026">
        <v>0</v>
      </c>
      <c r="DN87" s="1026">
        <v>0</v>
      </c>
      <c r="DQ87" s="1026">
        <v>29398855.229999997</v>
      </c>
      <c r="DR87" s="1026">
        <v>905853.02795857575</v>
      </c>
      <c r="DS87" s="1026">
        <v>28493002.202041421</v>
      </c>
      <c r="DV87" s="1026">
        <v>0</v>
      </c>
      <c r="DZ87" s="1026">
        <v>0</v>
      </c>
      <c r="EA87" s="1026">
        <v>0</v>
      </c>
      <c r="ED87" s="1026">
        <v>0</v>
      </c>
      <c r="EG87" s="1026">
        <v>0</v>
      </c>
      <c r="EK87" s="1026">
        <v>0</v>
      </c>
      <c r="EM87" s="1026">
        <v>0</v>
      </c>
      <c r="EQ87" s="1026">
        <v>0</v>
      </c>
      <c r="EU87" s="1026">
        <v>0</v>
      </c>
      <c r="EZ87" s="1026">
        <v>0</v>
      </c>
      <c r="FB87" s="1026">
        <v>0</v>
      </c>
      <c r="FF87" s="1026">
        <v>0</v>
      </c>
      <c r="FJ87" s="1026">
        <v>0</v>
      </c>
      <c r="FO87" s="1026">
        <v>0</v>
      </c>
      <c r="FW87" s="1026">
        <v>875374157.13999987</v>
      </c>
      <c r="FX87" s="1026">
        <v>867641439.3499999</v>
      </c>
      <c r="FY87" s="1026">
        <v>7732717.7899999991</v>
      </c>
      <c r="FZ87" s="1026">
        <v>0</v>
      </c>
      <c r="GB87" s="1026">
        <v>95191069.977800012</v>
      </c>
      <c r="GF87" s="1026">
        <v>1012079928.5337999</v>
      </c>
    </row>
    <row r="88" spans="2:188" ht="15.75">
      <c r="B88" s="1419">
        <v>44256</v>
      </c>
      <c r="C88" s="1026">
        <v>0</v>
      </c>
      <c r="E88" s="1026">
        <v>156671.22</v>
      </c>
      <c r="G88" s="1026">
        <v>156671.22</v>
      </c>
      <c r="J88" s="1026">
        <v>10381580.436000001</v>
      </c>
      <c r="K88" s="1026">
        <v>10381580.436000001</v>
      </c>
      <c r="L88" s="1026">
        <v>10381580.436000001</v>
      </c>
      <c r="N88" s="1026">
        <v>0</v>
      </c>
      <c r="Q88" s="1026">
        <v>0</v>
      </c>
      <c r="U88" s="1026">
        <v>0</v>
      </c>
      <c r="V88" s="1026">
        <v>0</v>
      </c>
      <c r="W88" s="1026">
        <v>0</v>
      </c>
      <c r="Z88" s="1026">
        <v>0</v>
      </c>
      <c r="AC88" s="1026">
        <v>0</v>
      </c>
      <c r="AG88" s="1026">
        <v>0</v>
      </c>
      <c r="AL88" s="1026">
        <v>0</v>
      </c>
      <c r="AQ88" s="1026">
        <v>0</v>
      </c>
      <c r="AR88" s="1026">
        <v>0</v>
      </c>
      <c r="AS88" s="1026">
        <v>0</v>
      </c>
      <c r="AT88" s="1026">
        <v>0</v>
      </c>
      <c r="AY88" s="1026">
        <v>479113.73</v>
      </c>
      <c r="AZ88" s="1026">
        <v>0</v>
      </c>
      <c r="BA88" s="1026">
        <v>0</v>
      </c>
      <c r="BC88" s="1026">
        <v>0</v>
      </c>
      <c r="BD88" s="1026">
        <v>479113.73</v>
      </c>
      <c r="BE88" s="1026">
        <v>0</v>
      </c>
      <c r="BL88" s="1026">
        <v>0</v>
      </c>
      <c r="BM88" s="1026">
        <v>0</v>
      </c>
      <c r="BT88" s="1026">
        <v>0</v>
      </c>
      <c r="BU88" s="1026">
        <v>0</v>
      </c>
      <c r="BZ88" s="1026">
        <v>0</v>
      </c>
      <c r="CN88" s="1026">
        <v>0</v>
      </c>
      <c r="CO88" s="1026">
        <v>0</v>
      </c>
      <c r="CU88" s="1026">
        <v>0</v>
      </c>
      <c r="DB88" s="1026">
        <v>0</v>
      </c>
      <c r="DF88" s="1026">
        <v>28332682.229999993</v>
      </c>
      <c r="DG88" s="1026">
        <v>0</v>
      </c>
      <c r="DH88" s="1026">
        <v>0</v>
      </c>
      <c r="DK88" s="1026">
        <v>0</v>
      </c>
      <c r="DN88" s="1026">
        <v>0</v>
      </c>
      <c r="DQ88" s="1026">
        <v>28332682.229999993</v>
      </c>
      <c r="DR88" s="1026">
        <v>873001.54334048973</v>
      </c>
      <c r="DS88" s="1026">
        <v>27459680.686659504</v>
      </c>
      <c r="DV88" s="1026">
        <v>0</v>
      </c>
      <c r="DZ88" s="1026">
        <v>0</v>
      </c>
      <c r="EA88" s="1026">
        <v>0</v>
      </c>
      <c r="ED88" s="1026">
        <v>0</v>
      </c>
      <c r="EG88" s="1026">
        <v>0</v>
      </c>
      <c r="EK88" s="1026">
        <v>0</v>
      </c>
      <c r="EM88" s="1026">
        <v>0</v>
      </c>
      <c r="EQ88" s="1026">
        <v>0</v>
      </c>
      <c r="EU88" s="1026">
        <v>0</v>
      </c>
      <c r="EZ88" s="1026">
        <v>0</v>
      </c>
      <c r="FB88" s="1026">
        <v>0</v>
      </c>
      <c r="FF88" s="1026">
        <v>0</v>
      </c>
      <c r="FJ88" s="1026">
        <v>0</v>
      </c>
      <c r="FO88" s="1026">
        <v>0</v>
      </c>
      <c r="FW88" s="1026">
        <v>875374157.13999987</v>
      </c>
      <c r="FX88" s="1026">
        <v>867641439.3499999</v>
      </c>
      <c r="FY88" s="1026">
        <v>7732717.7899999991</v>
      </c>
      <c r="FZ88" s="1026">
        <v>0</v>
      </c>
      <c r="GB88" s="1026">
        <v>83179032.777800009</v>
      </c>
      <c r="GF88" s="1026">
        <v>997903237.53379977</v>
      </c>
    </row>
    <row r="89" spans="2:188" ht="15.75">
      <c r="B89" s="1419">
        <v>44287</v>
      </c>
      <c r="C89" s="1026">
        <v>0</v>
      </c>
      <c r="E89" s="1026">
        <v>194454.19</v>
      </c>
      <c r="G89" s="1026">
        <v>194454.19</v>
      </c>
      <c r="J89" s="1026">
        <v>13663924.640000001</v>
      </c>
      <c r="K89" s="1026">
        <v>13663924.640000001</v>
      </c>
      <c r="L89" s="1026">
        <v>13663924.640000001</v>
      </c>
      <c r="N89" s="1026">
        <v>0</v>
      </c>
      <c r="Q89" s="1026">
        <v>0</v>
      </c>
      <c r="U89" s="1026">
        <v>0</v>
      </c>
      <c r="V89" s="1026">
        <v>0</v>
      </c>
      <c r="W89" s="1026">
        <v>0</v>
      </c>
      <c r="Z89" s="1026">
        <v>0</v>
      </c>
      <c r="AC89" s="1026">
        <v>0</v>
      </c>
      <c r="AG89" s="1026">
        <v>0</v>
      </c>
      <c r="AL89" s="1026">
        <v>0</v>
      </c>
      <c r="AQ89" s="1026">
        <v>0</v>
      </c>
      <c r="AR89" s="1026">
        <v>0</v>
      </c>
      <c r="AS89" s="1026">
        <v>0</v>
      </c>
      <c r="AT89" s="1026">
        <v>0</v>
      </c>
      <c r="AY89" s="1026">
        <v>479113.73</v>
      </c>
      <c r="AZ89" s="1026">
        <v>0</v>
      </c>
      <c r="BA89" s="1026">
        <v>0</v>
      </c>
      <c r="BC89" s="1026">
        <v>0</v>
      </c>
      <c r="BD89" s="1026">
        <v>479113.73</v>
      </c>
      <c r="BE89" s="1026">
        <v>0</v>
      </c>
      <c r="BL89" s="1026">
        <v>0</v>
      </c>
      <c r="BM89" s="1026">
        <v>0</v>
      </c>
      <c r="BT89" s="1026">
        <v>0</v>
      </c>
      <c r="BU89" s="1026">
        <v>0</v>
      </c>
      <c r="BZ89" s="1026">
        <v>0</v>
      </c>
      <c r="CN89" s="1026">
        <v>0</v>
      </c>
      <c r="CO89" s="1026">
        <v>0</v>
      </c>
      <c r="CU89" s="1026">
        <v>0</v>
      </c>
      <c r="DB89" s="1026">
        <v>0</v>
      </c>
      <c r="DF89" s="1026">
        <v>27886682.229999997</v>
      </c>
      <c r="DG89" s="1026">
        <v>0</v>
      </c>
      <c r="DH89" s="1026">
        <v>0</v>
      </c>
      <c r="DK89" s="1026">
        <v>0</v>
      </c>
      <c r="DN89" s="1026">
        <v>0</v>
      </c>
      <c r="DQ89" s="1026">
        <v>27886682.229999997</v>
      </c>
      <c r="DR89" s="1026">
        <v>859259.15618599765</v>
      </c>
      <c r="DS89" s="1026">
        <v>27027423.073813997</v>
      </c>
      <c r="DV89" s="1026">
        <v>0</v>
      </c>
      <c r="DZ89" s="1026">
        <v>0</v>
      </c>
      <c r="EA89" s="1026">
        <v>0</v>
      </c>
      <c r="ED89" s="1026">
        <v>0</v>
      </c>
      <c r="EG89" s="1026">
        <v>0</v>
      </c>
      <c r="EK89" s="1026">
        <v>0</v>
      </c>
      <c r="EM89" s="1026">
        <v>0</v>
      </c>
      <c r="EQ89" s="1026">
        <v>0</v>
      </c>
      <c r="EU89" s="1026">
        <v>0</v>
      </c>
      <c r="EZ89" s="1026">
        <v>0</v>
      </c>
      <c r="FB89" s="1026">
        <v>0</v>
      </c>
      <c r="FF89" s="1026">
        <v>0</v>
      </c>
      <c r="FJ89" s="1026">
        <v>0</v>
      </c>
      <c r="FO89" s="1026">
        <v>0</v>
      </c>
      <c r="FW89" s="1026">
        <v>875569965.13999987</v>
      </c>
      <c r="FX89" s="1026">
        <v>867641439.3499999</v>
      </c>
      <c r="FY89" s="1026">
        <v>7928525.7899999991</v>
      </c>
      <c r="FZ89" s="1026">
        <v>0</v>
      </c>
      <c r="GB89" s="1026">
        <v>82805556.993600011</v>
      </c>
      <c r="GF89" s="1026">
        <v>1000599696.9235998</v>
      </c>
    </row>
    <row r="90" spans="2:188" ht="15.75">
      <c r="B90" s="1419">
        <v>44317</v>
      </c>
      <c r="C90" s="1026">
        <v>0</v>
      </c>
      <c r="E90" s="1026">
        <v>110399.73</v>
      </c>
      <c r="G90" s="1026">
        <v>110399.73</v>
      </c>
      <c r="J90" s="1026">
        <v>13363924.640000001</v>
      </c>
      <c r="K90" s="1026">
        <v>13363924.640000001</v>
      </c>
      <c r="L90" s="1026">
        <v>13363924.640000001</v>
      </c>
      <c r="N90" s="1026">
        <v>0</v>
      </c>
      <c r="Q90" s="1026">
        <v>0</v>
      </c>
      <c r="U90" s="1026">
        <v>0</v>
      </c>
      <c r="V90" s="1026">
        <v>0</v>
      </c>
      <c r="W90" s="1026">
        <v>0</v>
      </c>
      <c r="Z90" s="1026">
        <v>0</v>
      </c>
      <c r="AC90" s="1026">
        <v>0</v>
      </c>
      <c r="AG90" s="1026">
        <v>0</v>
      </c>
      <c r="AL90" s="1026">
        <v>0</v>
      </c>
      <c r="AQ90" s="1026">
        <v>0</v>
      </c>
      <c r="AR90" s="1026">
        <v>0</v>
      </c>
      <c r="AS90" s="1026">
        <v>0</v>
      </c>
      <c r="AT90" s="1026">
        <v>0</v>
      </c>
      <c r="AY90" s="1026">
        <v>479113.73</v>
      </c>
      <c r="AZ90" s="1026">
        <v>0</v>
      </c>
      <c r="BA90" s="1026">
        <v>0</v>
      </c>
      <c r="BC90" s="1026">
        <v>0</v>
      </c>
      <c r="BD90" s="1026">
        <v>479113.73</v>
      </c>
      <c r="BE90" s="1026">
        <v>0</v>
      </c>
      <c r="BL90" s="1026">
        <v>0</v>
      </c>
      <c r="BM90" s="1026">
        <v>0</v>
      </c>
      <c r="BT90" s="1026">
        <v>0</v>
      </c>
      <c r="BU90" s="1026">
        <v>0</v>
      </c>
      <c r="BZ90" s="1026">
        <v>0</v>
      </c>
      <c r="CN90" s="1026">
        <v>0</v>
      </c>
      <c r="CO90" s="1026">
        <v>0</v>
      </c>
      <c r="CU90" s="1026">
        <v>0</v>
      </c>
      <c r="DB90" s="1026">
        <v>0</v>
      </c>
      <c r="DF90" s="1026">
        <v>27886682.229999997</v>
      </c>
      <c r="DG90" s="1026">
        <v>0</v>
      </c>
      <c r="DH90" s="1026">
        <v>0</v>
      </c>
      <c r="DK90" s="1026">
        <v>0</v>
      </c>
      <c r="DN90" s="1026">
        <v>0</v>
      </c>
      <c r="DQ90" s="1026">
        <v>27886682.229999997</v>
      </c>
      <c r="DR90" s="1026">
        <v>859259.15618599765</v>
      </c>
      <c r="DS90" s="1026">
        <v>27027423.073813997</v>
      </c>
      <c r="DV90" s="1026">
        <v>0</v>
      </c>
      <c r="DZ90" s="1026">
        <v>0</v>
      </c>
      <c r="EA90" s="1026">
        <v>0</v>
      </c>
      <c r="ED90" s="1026">
        <v>0</v>
      </c>
      <c r="EG90" s="1026">
        <v>0</v>
      </c>
      <c r="EK90" s="1026">
        <v>0</v>
      </c>
      <c r="EM90" s="1026">
        <v>0</v>
      </c>
      <c r="EQ90" s="1026">
        <v>0</v>
      </c>
      <c r="EU90" s="1026">
        <v>0</v>
      </c>
      <c r="EZ90" s="1026">
        <v>0</v>
      </c>
      <c r="FB90" s="1026">
        <v>0</v>
      </c>
      <c r="FF90" s="1026">
        <v>0</v>
      </c>
      <c r="FJ90" s="1026">
        <v>0</v>
      </c>
      <c r="FO90" s="1026">
        <v>0</v>
      </c>
      <c r="FW90" s="1026">
        <v>875569965.13999987</v>
      </c>
      <c r="FX90" s="1026">
        <v>867641439.3499999</v>
      </c>
      <c r="FY90" s="1026">
        <v>7928525.7899999991</v>
      </c>
      <c r="FZ90" s="1026">
        <v>0</v>
      </c>
      <c r="GB90" s="1026">
        <v>82805556.993600011</v>
      </c>
      <c r="GF90" s="1026">
        <v>1000215642.4635999</v>
      </c>
    </row>
    <row r="91" spans="2:188" ht="15.75">
      <c r="B91" s="1419">
        <v>44348</v>
      </c>
      <c r="C91" s="1026">
        <v>0</v>
      </c>
      <c r="E91" s="1026">
        <v>1399541.26</v>
      </c>
      <c r="G91" s="1026">
        <v>1399541.26</v>
      </c>
      <c r="J91" s="1026">
        <v>13549618.74443</v>
      </c>
      <c r="K91" s="1026">
        <v>13549618.74443</v>
      </c>
      <c r="L91" s="1026">
        <v>13549618.74443</v>
      </c>
      <c r="N91" s="1026">
        <v>0</v>
      </c>
      <c r="Q91" s="1026">
        <v>0</v>
      </c>
      <c r="U91" s="1026">
        <v>0</v>
      </c>
      <c r="V91" s="1026">
        <v>0</v>
      </c>
      <c r="W91" s="1026">
        <v>0</v>
      </c>
      <c r="Z91" s="1026">
        <v>0</v>
      </c>
      <c r="AC91" s="1026">
        <v>0</v>
      </c>
      <c r="AG91" s="1026">
        <v>0</v>
      </c>
      <c r="AL91" s="1026">
        <v>0</v>
      </c>
      <c r="AQ91" s="1026">
        <v>0</v>
      </c>
      <c r="AR91" s="1026">
        <v>0</v>
      </c>
      <c r="AS91" s="1026">
        <v>0</v>
      </c>
      <c r="AT91" s="1026">
        <v>0</v>
      </c>
      <c r="AY91" s="1026">
        <v>479113.73</v>
      </c>
      <c r="AZ91" s="1026">
        <v>0</v>
      </c>
      <c r="BA91" s="1026">
        <v>0</v>
      </c>
      <c r="BC91" s="1026">
        <v>0</v>
      </c>
      <c r="BD91" s="1026">
        <v>479113.73</v>
      </c>
      <c r="BE91" s="1026">
        <v>0</v>
      </c>
      <c r="BL91" s="1026">
        <v>0</v>
      </c>
      <c r="BM91" s="1026">
        <v>0</v>
      </c>
      <c r="BT91" s="1026">
        <v>0</v>
      </c>
      <c r="BU91" s="1026">
        <v>0</v>
      </c>
      <c r="BZ91" s="1026">
        <v>0</v>
      </c>
      <c r="CN91" s="1026">
        <v>0</v>
      </c>
      <c r="CO91" s="1026">
        <v>0</v>
      </c>
      <c r="CU91" s="1026">
        <v>0</v>
      </c>
      <c r="DB91" s="1026">
        <v>0</v>
      </c>
      <c r="DF91" s="1026">
        <v>27886682.229999997</v>
      </c>
      <c r="DG91" s="1026">
        <v>0</v>
      </c>
      <c r="DH91" s="1026">
        <v>0</v>
      </c>
      <c r="DK91" s="1026">
        <v>0</v>
      </c>
      <c r="DN91" s="1026">
        <v>0</v>
      </c>
      <c r="DQ91" s="1026">
        <v>27886682.229999997</v>
      </c>
      <c r="DR91" s="1026">
        <v>859259.15618599765</v>
      </c>
      <c r="DS91" s="1026">
        <v>27027423.073813997</v>
      </c>
      <c r="DV91" s="1026">
        <v>0</v>
      </c>
      <c r="DZ91" s="1026">
        <v>0</v>
      </c>
      <c r="EA91" s="1026">
        <v>0</v>
      </c>
      <c r="ED91" s="1026">
        <v>0</v>
      </c>
      <c r="EG91" s="1026">
        <v>0</v>
      </c>
      <c r="EK91" s="1026">
        <v>0</v>
      </c>
      <c r="EM91" s="1026">
        <v>0</v>
      </c>
      <c r="EQ91" s="1026">
        <v>0</v>
      </c>
      <c r="EU91" s="1026">
        <v>0</v>
      </c>
      <c r="EZ91" s="1026">
        <v>0</v>
      </c>
      <c r="FB91" s="1026">
        <v>0</v>
      </c>
      <c r="FF91" s="1026">
        <v>0</v>
      </c>
      <c r="FJ91" s="1026">
        <v>0</v>
      </c>
      <c r="FO91" s="1026">
        <v>0</v>
      </c>
      <c r="FW91" s="1026">
        <v>875569965.13999987</v>
      </c>
      <c r="FX91" s="1026">
        <v>867641439.3499999</v>
      </c>
      <c r="FY91" s="1026">
        <v>7928525.7899999991</v>
      </c>
      <c r="FZ91" s="1026">
        <v>0</v>
      </c>
      <c r="GB91" s="1026">
        <v>82805556.993600011</v>
      </c>
      <c r="GF91" s="1026">
        <v>1001690478.0980299</v>
      </c>
    </row>
    <row r="92" spans="2:188" ht="15.75">
      <c r="B92" s="1419">
        <v>44378</v>
      </c>
      <c r="C92" s="1026">
        <v>0</v>
      </c>
      <c r="E92" s="1026">
        <v>1150510.4599999981</v>
      </c>
      <c r="G92" s="1026">
        <v>1150510.4599999981</v>
      </c>
      <c r="J92" s="1026">
        <v>13051812.2325</v>
      </c>
      <c r="K92" s="1026">
        <v>13051812.2325</v>
      </c>
      <c r="L92" s="1026">
        <v>13051812.2325</v>
      </c>
      <c r="N92" s="1026">
        <v>0</v>
      </c>
      <c r="Q92" s="1026">
        <v>0</v>
      </c>
      <c r="U92" s="1026">
        <v>0</v>
      </c>
      <c r="V92" s="1026">
        <v>0</v>
      </c>
      <c r="W92" s="1026">
        <v>0</v>
      </c>
      <c r="Z92" s="1026">
        <v>0</v>
      </c>
      <c r="AC92" s="1026">
        <v>0</v>
      </c>
      <c r="AG92" s="1026">
        <v>0</v>
      </c>
      <c r="AL92" s="1026">
        <v>0</v>
      </c>
      <c r="AQ92" s="1026">
        <v>0</v>
      </c>
      <c r="AR92" s="1026">
        <v>0</v>
      </c>
      <c r="AS92" s="1026">
        <v>0</v>
      </c>
      <c r="AT92" s="1026">
        <v>0</v>
      </c>
      <c r="AY92" s="1026">
        <v>479113.73</v>
      </c>
      <c r="AZ92" s="1026">
        <v>0</v>
      </c>
      <c r="BA92" s="1026">
        <v>0</v>
      </c>
      <c r="BC92" s="1026">
        <v>0</v>
      </c>
      <c r="BD92" s="1026">
        <v>479113.73</v>
      </c>
      <c r="BE92" s="1026">
        <v>0</v>
      </c>
      <c r="BL92" s="1026">
        <v>0</v>
      </c>
      <c r="BM92" s="1026">
        <v>0</v>
      </c>
      <c r="BT92" s="1026">
        <v>0</v>
      </c>
      <c r="BU92" s="1026">
        <v>0</v>
      </c>
      <c r="BZ92" s="1026">
        <v>0</v>
      </c>
      <c r="CN92" s="1026">
        <v>0</v>
      </c>
      <c r="CO92" s="1026">
        <v>0</v>
      </c>
      <c r="CU92" s="1026">
        <v>0</v>
      </c>
      <c r="DB92" s="1026">
        <v>0</v>
      </c>
      <c r="DF92" s="1026">
        <v>27886682.229999997</v>
      </c>
      <c r="DG92" s="1026">
        <v>0</v>
      </c>
      <c r="DH92" s="1026">
        <v>0</v>
      </c>
      <c r="DK92" s="1026">
        <v>0</v>
      </c>
      <c r="DN92" s="1026">
        <v>0</v>
      </c>
      <c r="DQ92" s="1026">
        <v>27886682.229999997</v>
      </c>
      <c r="DR92" s="1026">
        <v>859259.15618599765</v>
      </c>
      <c r="DS92" s="1026">
        <v>27027423.073813997</v>
      </c>
      <c r="DV92" s="1026">
        <v>0</v>
      </c>
      <c r="DZ92" s="1026">
        <v>0</v>
      </c>
      <c r="EA92" s="1026">
        <v>0</v>
      </c>
      <c r="ED92" s="1026">
        <v>0</v>
      </c>
      <c r="EG92" s="1026">
        <v>0</v>
      </c>
      <c r="EK92" s="1026">
        <v>0</v>
      </c>
      <c r="EM92" s="1026">
        <v>0</v>
      </c>
      <c r="EQ92" s="1026">
        <v>0</v>
      </c>
      <c r="EU92" s="1026">
        <v>0</v>
      </c>
      <c r="EZ92" s="1026">
        <v>0</v>
      </c>
      <c r="FB92" s="1026">
        <v>0</v>
      </c>
      <c r="FF92" s="1026">
        <v>0</v>
      </c>
      <c r="FJ92" s="1026">
        <v>0</v>
      </c>
      <c r="FO92" s="1026">
        <v>0</v>
      </c>
      <c r="FW92" s="1026">
        <v>875670788.96099985</v>
      </c>
      <c r="FX92" s="1026">
        <v>867641439.3499999</v>
      </c>
      <c r="FY92" s="1026">
        <v>8029349.6109999996</v>
      </c>
      <c r="FZ92" s="1026">
        <v>0</v>
      </c>
      <c r="GB92" s="1026">
        <v>104595848.97198801</v>
      </c>
      <c r="GF92" s="1026">
        <v>1022834756.5854878</v>
      </c>
    </row>
    <row r="93" spans="2:188" ht="15.75">
      <c r="B93" s="1419">
        <v>44409</v>
      </c>
      <c r="C93" s="1026">
        <v>0</v>
      </c>
      <c r="E93" s="1026">
        <v>1442033.85</v>
      </c>
      <c r="G93" s="1026">
        <v>1442033.85</v>
      </c>
      <c r="J93" s="1026">
        <v>13352003.913847499</v>
      </c>
      <c r="K93" s="1026">
        <v>13352003.913847499</v>
      </c>
      <c r="L93" s="1026">
        <v>13352003.913847499</v>
      </c>
      <c r="N93" s="1026">
        <v>0</v>
      </c>
      <c r="Q93" s="1026">
        <v>0</v>
      </c>
      <c r="U93" s="1026">
        <v>0</v>
      </c>
      <c r="V93" s="1026">
        <v>0</v>
      </c>
      <c r="W93" s="1026">
        <v>0</v>
      </c>
      <c r="Z93" s="1026">
        <v>0</v>
      </c>
      <c r="AC93" s="1026">
        <v>0</v>
      </c>
      <c r="AG93" s="1026">
        <v>0</v>
      </c>
      <c r="AL93" s="1026">
        <v>0</v>
      </c>
      <c r="AQ93" s="1026">
        <v>0</v>
      </c>
      <c r="AR93" s="1026">
        <v>0</v>
      </c>
      <c r="AS93" s="1026">
        <v>0</v>
      </c>
      <c r="AT93" s="1026">
        <v>0</v>
      </c>
      <c r="AY93" s="1026">
        <v>479113.73</v>
      </c>
      <c r="AZ93" s="1026">
        <v>0</v>
      </c>
      <c r="BA93" s="1026">
        <v>0</v>
      </c>
      <c r="BC93" s="1026">
        <v>0</v>
      </c>
      <c r="BD93" s="1026">
        <v>479113.73</v>
      </c>
      <c r="BE93" s="1026">
        <v>0</v>
      </c>
      <c r="BL93" s="1026">
        <v>0</v>
      </c>
      <c r="BM93" s="1026">
        <v>0</v>
      </c>
      <c r="BT93" s="1026">
        <v>0</v>
      </c>
      <c r="BU93" s="1026">
        <v>0</v>
      </c>
      <c r="BZ93" s="1026">
        <v>0</v>
      </c>
      <c r="CN93" s="1026">
        <v>0</v>
      </c>
      <c r="CO93" s="1026">
        <v>0</v>
      </c>
      <c r="CU93" s="1026">
        <v>0</v>
      </c>
      <c r="DB93" s="1026">
        <v>0</v>
      </c>
      <c r="DF93" s="1026">
        <v>27886682.229999997</v>
      </c>
      <c r="DG93" s="1026">
        <v>0</v>
      </c>
      <c r="DH93" s="1026">
        <v>0</v>
      </c>
      <c r="DK93" s="1026">
        <v>0</v>
      </c>
      <c r="DN93" s="1026">
        <v>0</v>
      </c>
      <c r="DQ93" s="1026">
        <v>27886682.229999997</v>
      </c>
      <c r="DR93" s="1026">
        <v>859259.15618599765</v>
      </c>
      <c r="DS93" s="1026">
        <v>27027423.073813997</v>
      </c>
      <c r="DV93" s="1026">
        <v>0</v>
      </c>
      <c r="DZ93" s="1026">
        <v>0</v>
      </c>
      <c r="EA93" s="1026">
        <v>0</v>
      </c>
      <c r="ED93" s="1026">
        <v>0</v>
      </c>
      <c r="EG93" s="1026">
        <v>0</v>
      </c>
      <c r="EK93" s="1026">
        <v>0</v>
      </c>
      <c r="EM93" s="1026">
        <v>0</v>
      </c>
      <c r="EQ93" s="1026">
        <v>0</v>
      </c>
      <c r="EU93" s="1026">
        <v>0</v>
      </c>
      <c r="EZ93" s="1026">
        <v>0</v>
      </c>
      <c r="FB93" s="1026">
        <v>0</v>
      </c>
      <c r="FF93" s="1026">
        <v>0</v>
      </c>
      <c r="FJ93" s="1026">
        <v>0</v>
      </c>
      <c r="FO93" s="1026">
        <v>0</v>
      </c>
      <c r="FW93" s="1026">
        <v>875670788.96099985</v>
      </c>
      <c r="FX93" s="1026">
        <v>867641439.3499999</v>
      </c>
      <c r="FY93" s="1026">
        <v>8029349.6109999996</v>
      </c>
      <c r="FZ93" s="1026">
        <v>0</v>
      </c>
      <c r="GB93" s="1026">
        <v>146602422.97198796</v>
      </c>
      <c r="GF93" s="1026">
        <v>1065433045.6568353</v>
      </c>
    </row>
    <row r="94" spans="2:188" ht="15.75">
      <c r="B94" s="1419">
        <v>44440</v>
      </c>
      <c r="C94" s="1026">
        <v>0</v>
      </c>
      <c r="E94" s="1026">
        <v>1716908.8400000003</v>
      </c>
      <c r="G94" s="1026">
        <v>1716908.8400000003</v>
      </c>
      <c r="J94" s="1026">
        <v>16149413.433699997</v>
      </c>
      <c r="K94" s="1026">
        <v>16149413.433699997</v>
      </c>
      <c r="L94" s="1026">
        <v>16149413.433699997</v>
      </c>
      <c r="N94" s="1026">
        <v>0</v>
      </c>
      <c r="Q94" s="1026">
        <v>0</v>
      </c>
      <c r="U94" s="1026">
        <v>0</v>
      </c>
      <c r="V94" s="1026">
        <v>0</v>
      </c>
      <c r="W94" s="1026">
        <v>0</v>
      </c>
      <c r="Z94" s="1026">
        <v>0</v>
      </c>
      <c r="AC94" s="1026">
        <v>0</v>
      </c>
      <c r="AG94" s="1026">
        <v>0</v>
      </c>
      <c r="AL94" s="1026">
        <v>0</v>
      </c>
      <c r="AQ94" s="1026">
        <v>0</v>
      </c>
      <c r="AR94" s="1026">
        <v>0</v>
      </c>
      <c r="AS94" s="1026">
        <v>0</v>
      </c>
      <c r="AT94" s="1026">
        <v>0</v>
      </c>
      <c r="AY94" s="1026">
        <v>479113.73</v>
      </c>
      <c r="AZ94" s="1026">
        <v>0</v>
      </c>
      <c r="BA94" s="1026">
        <v>0</v>
      </c>
      <c r="BC94" s="1026">
        <v>0</v>
      </c>
      <c r="BD94" s="1026">
        <v>479113.73</v>
      </c>
      <c r="BE94" s="1026">
        <v>0</v>
      </c>
      <c r="BL94" s="1026">
        <v>0</v>
      </c>
      <c r="BM94" s="1026">
        <v>0</v>
      </c>
      <c r="BT94" s="1026">
        <v>0</v>
      </c>
      <c r="BU94" s="1026">
        <v>0</v>
      </c>
      <c r="BZ94" s="1026">
        <v>0</v>
      </c>
      <c r="CN94" s="1026">
        <v>0</v>
      </c>
      <c r="CO94" s="1026">
        <v>0</v>
      </c>
      <c r="CU94" s="1026">
        <v>0</v>
      </c>
      <c r="DB94" s="1026">
        <v>0</v>
      </c>
      <c r="DF94" s="1026">
        <v>27886682.229999997</v>
      </c>
      <c r="DG94" s="1026">
        <v>0</v>
      </c>
      <c r="DH94" s="1026">
        <v>0</v>
      </c>
      <c r="DK94" s="1026">
        <v>0</v>
      </c>
      <c r="DN94" s="1026">
        <v>0</v>
      </c>
      <c r="DQ94" s="1026">
        <v>27886682.229999997</v>
      </c>
      <c r="DR94" s="1026">
        <v>859259.15618599765</v>
      </c>
      <c r="DS94" s="1026">
        <v>27027423.073813997</v>
      </c>
      <c r="DV94" s="1026">
        <v>0</v>
      </c>
      <c r="DZ94" s="1026">
        <v>0</v>
      </c>
      <c r="EA94" s="1026">
        <v>0</v>
      </c>
      <c r="ED94" s="1026">
        <v>0</v>
      </c>
      <c r="EG94" s="1026">
        <v>0</v>
      </c>
      <c r="EK94" s="1026">
        <v>0</v>
      </c>
      <c r="EM94" s="1026">
        <v>0</v>
      </c>
      <c r="EQ94" s="1026">
        <v>0</v>
      </c>
      <c r="EU94" s="1026">
        <v>0</v>
      </c>
      <c r="EZ94" s="1026">
        <v>0</v>
      </c>
      <c r="FB94" s="1026">
        <v>0</v>
      </c>
      <c r="FF94" s="1026">
        <v>0</v>
      </c>
      <c r="FJ94" s="1026">
        <v>0</v>
      </c>
      <c r="FO94" s="1026">
        <v>0</v>
      </c>
      <c r="FW94" s="1026">
        <v>875670788.96099985</v>
      </c>
      <c r="FX94" s="1026">
        <v>867641439.3499999</v>
      </c>
      <c r="FY94" s="1026">
        <v>8029349.6109999996</v>
      </c>
      <c r="FZ94" s="1026">
        <v>0</v>
      </c>
      <c r="GB94" s="1026">
        <v>191346517.00928798</v>
      </c>
      <c r="GF94" s="1026">
        <v>1113249424.2039878</v>
      </c>
    </row>
    <row r="95" spans="2:188" ht="15.75">
      <c r="B95" s="1419">
        <v>44470</v>
      </c>
      <c r="C95" s="1026">
        <v>0</v>
      </c>
      <c r="E95" s="1026">
        <v>1229285.44</v>
      </c>
      <c r="G95" s="1026">
        <v>1229285.44</v>
      </c>
      <c r="J95" s="1026">
        <v>15899617.8837</v>
      </c>
      <c r="K95" s="1026">
        <v>15899617.8837</v>
      </c>
      <c r="L95" s="1026">
        <v>15899617.8837</v>
      </c>
      <c r="N95" s="1026">
        <v>0</v>
      </c>
      <c r="Q95" s="1026">
        <v>0</v>
      </c>
      <c r="U95" s="1026">
        <v>0</v>
      </c>
      <c r="V95" s="1026">
        <v>0</v>
      </c>
      <c r="W95" s="1026">
        <v>0</v>
      </c>
      <c r="Z95" s="1026">
        <v>0</v>
      </c>
      <c r="AC95" s="1026">
        <v>0</v>
      </c>
      <c r="AG95" s="1026">
        <v>0</v>
      </c>
      <c r="AL95" s="1026">
        <v>0</v>
      </c>
      <c r="AQ95" s="1026">
        <v>0</v>
      </c>
      <c r="AR95" s="1026">
        <v>0</v>
      </c>
      <c r="AS95" s="1026">
        <v>0</v>
      </c>
      <c r="AT95" s="1026">
        <v>0</v>
      </c>
      <c r="AY95" s="1026">
        <v>479113.73</v>
      </c>
      <c r="AZ95" s="1026">
        <v>0</v>
      </c>
      <c r="BA95" s="1026">
        <v>0</v>
      </c>
      <c r="BC95" s="1026">
        <v>0</v>
      </c>
      <c r="BD95" s="1026">
        <v>479113.73</v>
      </c>
      <c r="BE95" s="1026">
        <v>0</v>
      </c>
      <c r="BL95" s="1026">
        <v>0</v>
      </c>
      <c r="BM95" s="1026">
        <v>0</v>
      </c>
      <c r="BT95" s="1026">
        <v>0</v>
      </c>
      <c r="BU95" s="1026">
        <v>0</v>
      </c>
      <c r="BZ95" s="1026">
        <v>0</v>
      </c>
      <c r="CN95" s="1026">
        <v>0</v>
      </c>
      <c r="CO95" s="1026">
        <v>0</v>
      </c>
      <c r="CU95" s="1026">
        <v>0</v>
      </c>
      <c r="DB95" s="1026">
        <v>0</v>
      </c>
      <c r="DF95" s="1026">
        <v>27886682.229999997</v>
      </c>
      <c r="DG95" s="1026">
        <v>0</v>
      </c>
      <c r="DH95" s="1026">
        <v>0</v>
      </c>
      <c r="DK95" s="1026">
        <v>0</v>
      </c>
      <c r="DN95" s="1026">
        <v>0</v>
      </c>
      <c r="DQ95" s="1026">
        <v>27886682.229999997</v>
      </c>
      <c r="DR95" s="1026">
        <v>859259.15618599765</v>
      </c>
      <c r="DS95" s="1026">
        <v>27027423.073813997</v>
      </c>
      <c r="DV95" s="1026">
        <v>0</v>
      </c>
      <c r="DZ95" s="1026">
        <v>0</v>
      </c>
      <c r="EA95" s="1026">
        <v>0</v>
      </c>
      <c r="ED95" s="1026">
        <v>0</v>
      </c>
      <c r="EG95" s="1026">
        <v>0</v>
      </c>
      <c r="EK95" s="1026">
        <v>0</v>
      </c>
      <c r="EM95" s="1026">
        <v>0</v>
      </c>
      <c r="EQ95" s="1026">
        <v>0</v>
      </c>
      <c r="EU95" s="1026">
        <v>0</v>
      </c>
      <c r="EZ95" s="1026">
        <v>0</v>
      </c>
      <c r="FB95" s="1026">
        <v>0</v>
      </c>
      <c r="FF95" s="1026">
        <v>0</v>
      </c>
      <c r="FJ95" s="1026">
        <v>0</v>
      </c>
      <c r="FO95" s="1026">
        <v>0</v>
      </c>
      <c r="FW95" s="1026">
        <v>875670788.96099985</v>
      </c>
      <c r="FX95" s="1026">
        <v>867641439.3499999</v>
      </c>
      <c r="FY95" s="1026">
        <v>8029349.6109999996</v>
      </c>
      <c r="FZ95" s="1026">
        <v>0</v>
      </c>
      <c r="GB95" s="1026">
        <v>203602586.39928797</v>
      </c>
      <c r="GF95" s="1026">
        <v>1124768074.6439879</v>
      </c>
    </row>
    <row r="96" spans="2:188" ht="15.75">
      <c r="B96" s="1419">
        <v>44501</v>
      </c>
      <c r="C96" s="1026">
        <v>0</v>
      </c>
      <c r="E96" s="1026">
        <v>192349</v>
      </c>
      <c r="G96" s="1026">
        <v>192349</v>
      </c>
      <c r="J96" s="1026">
        <v>16924791</v>
      </c>
      <c r="K96" s="1026">
        <v>16924791</v>
      </c>
      <c r="L96" s="1026">
        <v>16924791</v>
      </c>
      <c r="N96" s="1026">
        <v>0</v>
      </c>
      <c r="Q96" s="1026">
        <v>0</v>
      </c>
      <c r="U96" s="1026">
        <v>0</v>
      </c>
      <c r="V96" s="1026">
        <v>0</v>
      </c>
      <c r="W96" s="1026">
        <v>0</v>
      </c>
      <c r="Z96" s="1026">
        <v>0</v>
      </c>
      <c r="AC96" s="1026">
        <v>0</v>
      </c>
      <c r="AG96" s="1026">
        <v>0</v>
      </c>
      <c r="AL96" s="1026">
        <v>0</v>
      </c>
      <c r="AQ96" s="1026">
        <v>0</v>
      </c>
      <c r="AR96" s="1026">
        <v>0</v>
      </c>
      <c r="AS96" s="1026">
        <v>0</v>
      </c>
      <c r="AT96" s="1026">
        <v>0</v>
      </c>
      <c r="AY96" s="1026">
        <v>479113.73</v>
      </c>
      <c r="AZ96" s="1026">
        <v>0</v>
      </c>
      <c r="BA96" s="1026">
        <v>0</v>
      </c>
      <c r="BC96" s="1026">
        <v>0</v>
      </c>
      <c r="BD96" s="1026">
        <v>479113.73</v>
      </c>
      <c r="BE96" s="1026">
        <v>0</v>
      </c>
      <c r="BL96" s="1026">
        <v>0</v>
      </c>
      <c r="BM96" s="1026">
        <v>0</v>
      </c>
      <c r="BT96" s="1026">
        <v>0</v>
      </c>
      <c r="BU96" s="1026">
        <v>0</v>
      </c>
      <c r="BZ96" s="1026">
        <v>0</v>
      </c>
      <c r="CN96" s="1026">
        <v>0</v>
      </c>
      <c r="CO96" s="1026">
        <v>0</v>
      </c>
      <c r="CU96" s="1026">
        <v>0</v>
      </c>
      <c r="DB96" s="1026">
        <v>0</v>
      </c>
      <c r="DF96" s="1026">
        <v>27886682.229999997</v>
      </c>
      <c r="DG96" s="1026">
        <v>0</v>
      </c>
      <c r="DH96" s="1026">
        <v>0</v>
      </c>
      <c r="DK96" s="1026">
        <v>0</v>
      </c>
      <c r="DN96" s="1026">
        <v>0</v>
      </c>
      <c r="DQ96" s="1026">
        <v>27886682.229999997</v>
      </c>
      <c r="DR96" s="1026">
        <v>859259.15618599765</v>
      </c>
      <c r="DS96" s="1026">
        <v>27027423.073813997</v>
      </c>
      <c r="DV96" s="1026">
        <v>0</v>
      </c>
      <c r="DZ96" s="1026">
        <v>0</v>
      </c>
      <c r="EA96" s="1026">
        <v>0</v>
      </c>
      <c r="ED96" s="1026">
        <v>0</v>
      </c>
      <c r="EG96" s="1026">
        <v>0</v>
      </c>
      <c r="EK96" s="1026">
        <v>0</v>
      </c>
      <c r="EM96" s="1026">
        <v>0</v>
      </c>
      <c r="EQ96" s="1026">
        <v>0</v>
      </c>
      <c r="EU96" s="1026">
        <v>0</v>
      </c>
      <c r="EZ96" s="1026">
        <v>0</v>
      </c>
      <c r="FB96" s="1026">
        <v>0</v>
      </c>
      <c r="FF96" s="1026">
        <v>0</v>
      </c>
      <c r="FJ96" s="1026">
        <v>0</v>
      </c>
      <c r="FO96" s="1026">
        <v>0</v>
      </c>
      <c r="FW96" s="1026">
        <v>875670788.96099985</v>
      </c>
      <c r="FX96" s="1026">
        <v>867641439.3499999</v>
      </c>
      <c r="FY96" s="1026">
        <v>8029349.6109999996</v>
      </c>
      <c r="FZ96" s="1026">
        <v>0</v>
      </c>
      <c r="GB96" s="1026">
        <v>237415618</v>
      </c>
      <c r="GF96" s="1026">
        <v>1158569342.921</v>
      </c>
    </row>
    <row r="97" spans="2:188" ht="15.75">
      <c r="B97" s="1419">
        <v>44531</v>
      </c>
      <c r="C97" s="1026">
        <v>0</v>
      </c>
      <c r="E97" s="1026">
        <v>1053709.02</v>
      </c>
      <c r="G97" s="1026">
        <v>1053709.02</v>
      </c>
      <c r="J97" s="1026">
        <v>17432016.7337</v>
      </c>
      <c r="K97" s="1026">
        <v>17432016.7337</v>
      </c>
      <c r="L97" s="1026">
        <v>17432016.7337</v>
      </c>
      <c r="N97" s="1026">
        <v>0</v>
      </c>
      <c r="Q97" s="1026">
        <v>0</v>
      </c>
      <c r="U97" s="1026">
        <v>0</v>
      </c>
      <c r="V97" s="1026">
        <v>0</v>
      </c>
      <c r="W97" s="1026">
        <v>0</v>
      </c>
      <c r="Z97" s="1026">
        <v>0</v>
      </c>
      <c r="AC97" s="1026">
        <v>0</v>
      </c>
      <c r="AG97" s="1026">
        <v>0</v>
      </c>
      <c r="AL97" s="1026">
        <v>0</v>
      </c>
      <c r="AQ97" s="1026">
        <v>0</v>
      </c>
      <c r="AR97" s="1026">
        <v>0</v>
      </c>
      <c r="AS97" s="1026">
        <v>0</v>
      </c>
      <c r="AT97" s="1026">
        <v>0</v>
      </c>
      <c r="AY97" s="1026">
        <v>479113.73</v>
      </c>
      <c r="AZ97" s="1026">
        <v>0</v>
      </c>
      <c r="BA97" s="1026">
        <v>0</v>
      </c>
      <c r="BC97" s="1026">
        <v>0</v>
      </c>
      <c r="BD97" s="1026">
        <v>479113.73</v>
      </c>
      <c r="BE97" s="1026">
        <v>0</v>
      </c>
      <c r="BL97" s="1026">
        <v>0</v>
      </c>
      <c r="BM97" s="1026">
        <v>0</v>
      </c>
      <c r="BT97" s="1026">
        <v>0</v>
      </c>
      <c r="BU97" s="1026">
        <v>0</v>
      </c>
      <c r="BZ97" s="1026">
        <v>0</v>
      </c>
      <c r="CN97" s="1026">
        <v>0</v>
      </c>
      <c r="CO97" s="1026">
        <v>0</v>
      </c>
      <c r="CU97" s="1026">
        <v>0</v>
      </c>
      <c r="DB97" s="1026">
        <v>0</v>
      </c>
      <c r="DF97" s="1026">
        <v>26518097.23</v>
      </c>
      <c r="DG97" s="1026">
        <v>0</v>
      </c>
      <c r="DH97" s="1026">
        <v>0</v>
      </c>
      <c r="DK97" s="1026">
        <v>0</v>
      </c>
      <c r="DN97" s="1026">
        <v>0</v>
      </c>
      <c r="DQ97" s="1026">
        <v>26518097.23</v>
      </c>
      <c r="DR97" s="1026">
        <v>817089.59357651218</v>
      </c>
      <c r="DS97" s="1026">
        <v>25701007.636423487</v>
      </c>
      <c r="DV97" s="1026">
        <v>0</v>
      </c>
      <c r="DZ97" s="1026">
        <v>0</v>
      </c>
      <c r="EA97" s="1026">
        <v>0</v>
      </c>
      <c r="ED97" s="1026">
        <v>0</v>
      </c>
      <c r="EG97" s="1026">
        <v>0</v>
      </c>
      <c r="EK97" s="1026">
        <v>0</v>
      </c>
      <c r="EM97" s="1026">
        <v>0</v>
      </c>
      <c r="EQ97" s="1026">
        <v>0</v>
      </c>
      <c r="EU97" s="1026">
        <v>0</v>
      </c>
      <c r="EZ97" s="1026">
        <v>0</v>
      </c>
      <c r="FB97" s="1026">
        <v>0</v>
      </c>
      <c r="FF97" s="1026">
        <v>0</v>
      </c>
      <c r="FJ97" s="1026">
        <v>0</v>
      </c>
      <c r="FO97" s="1026">
        <v>0</v>
      </c>
      <c r="FW97" s="1026">
        <v>875670788.96099985</v>
      </c>
      <c r="FX97" s="1026">
        <v>867641439.3499999</v>
      </c>
      <c r="FY97" s="1026">
        <v>8029349.6109999996</v>
      </c>
      <c r="FZ97" s="1026">
        <v>0</v>
      </c>
      <c r="GB97" s="1026">
        <v>225155968.934288</v>
      </c>
      <c r="GF97" s="1026">
        <v>1146309694.6089878</v>
      </c>
    </row>
    <row r="98" spans="2:188" ht="15.75">
      <c r="B98" s="1419">
        <v>44562</v>
      </c>
      <c r="C98" s="1026">
        <v>0</v>
      </c>
      <c r="E98" s="1026">
        <v>3558.89</v>
      </c>
      <c r="G98" s="1026">
        <v>3558.89</v>
      </c>
      <c r="J98" s="1026">
        <v>21090510.7337</v>
      </c>
      <c r="K98" s="1026">
        <v>21090510.7337</v>
      </c>
      <c r="L98" s="1026">
        <v>21090510.7337</v>
      </c>
      <c r="N98" s="1026">
        <v>0</v>
      </c>
      <c r="Q98" s="1026">
        <v>0</v>
      </c>
      <c r="U98" s="1026">
        <v>0</v>
      </c>
      <c r="V98" s="1026">
        <v>0</v>
      </c>
      <c r="W98" s="1026">
        <v>0</v>
      </c>
      <c r="Z98" s="1026">
        <v>0</v>
      </c>
      <c r="AC98" s="1026">
        <v>0</v>
      </c>
      <c r="AG98" s="1026">
        <v>0</v>
      </c>
      <c r="AL98" s="1026">
        <v>0</v>
      </c>
      <c r="AQ98" s="1026">
        <v>0</v>
      </c>
      <c r="AR98" s="1026">
        <v>0</v>
      </c>
      <c r="AS98" s="1026">
        <v>0</v>
      </c>
      <c r="AT98" s="1026">
        <v>0</v>
      </c>
      <c r="AY98" s="1026">
        <v>479113.73</v>
      </c>
      <c r="AZ98" s="1026">
        <v>0</v>
      </c>
      <c r="BA98" s="1026">
        <v>0</v>
      </c>
      <c r="BC98" s="1026">
        <v>0</v>
      </c>
      <c r="BD98" s="1026">
        <v>479113.73</v>
      </c>
      <c r="BE98" s="1026">
        <v>0</v>
      </c>
      <c r="BL98" s="1026">
        <v>0</v>
      </c>
      <c r="BM98" s="1026">
        <v>0</v>
      </c>
      <c r="BT98" s="1026">
        <v>0</v>
      </c>
      <c r="BU98" s="1026">
        <v>0</v>
      </c>
      <c r="BZ98" s="1026">
        <v>0</v>
      </c>
      <c r="CN98" s="1026">
        <v>0</v>
      </c>
      <c r="CO98" s="1026">
        <v>0</v>
      </c>
      <c r="CU98" s="1026">
        <v>0</v>
      </c>
      <c r="DB98" s="1026">
        <v>0</v>
      </c>
      <c r="DF98" s="1026">
        <v>26518097.23</v>
      </c>
      <c r="DG98" s="1026">
        <v>0</v>
      </c>
      <c r="DH98" s="1026">
        <v>0</v>
      </c>
      <c r="DK98" s="1026">
        <v>0</v>
      </c>
      <c r="DN98" s="1026">
        <v>0</v>
      </c>
      <c r="DQ98" s="1026">
        <v>26518097.23</v>
      </c>
      <c r="DR98" s="1026">
        <v>817089.59357651218</v>
      </c>
      <c r="DS98" s="1026">
        <v>25701007.636423487</v>
      </c>
      <c r="DV98" s="1026">
        <v>0</v>
      </c>
      <c r="DZ98" s="1026">
        <v>0</v>
      </c>
      <c r="EA98" s="1026">
        <v>0</v>
      </c>
      <c r="ED98" s="1026">
        <v>0</v>
      </c>
      <c r="EG98" s="1026">
        <v>0</v>
      </c>
      <c r="EK98" s="1026">
        <v>0</v>
      </c>
      <c r="EM98" s="1026">
        <v>0</v>
      </c>
      <c r="EQ98" s="1026">
        <v>0</v>
      </c>
      <c r="EU98" s="1026">
        <v>0</v>
      </c>
      <c r="EZ98" s="1026">
        <v>0</v>
      </c>
      <c r="FB98" s="1026">
        <v>0</v>
      </c>
      <c r="FF98" s="1026">
        <v>0</v>
      </c>
      <c r="FJ98" s="1026">
        <v>0</v>
      </c>
      <c r="FO98" s="1026">
        <v>0</v>
      </c>
      <c r="FW98" s="1026">
        <v>875670788.96099985</v>
      </c>
      <c r="FX98" s="1026">
        <v>867641439.3499999</v>
      </c>
      <c r="FY98" s="1026">
        <v>8029349.6109999996</v>
      </c>
      <c r="FZ98" s="1026">
        <v>0</v>
      </c>
      <c r="GB98" s="1026">
        <v>205371218.13428798</v>
      </c>
      <c r="GF98" s="1026">
        <v>1129133287.678988</v>
      </c>
    </row>
    <row r="99" spans="2:188" ht="15.75">
      <c r="B99" s="1419">
        <v>44593</v>
      </c>
      <c r="C99" s="1026">
        <v>0</v>
      </c>
      <c r="E99" s="1026">
        <v>8032644.0300000003</v>
      </c>
      <c r="G99" s="1026">
        <v>8032644.0300000003</v>
      </c>
      <c r="J99" s="1026">
        <v>19166510.7337</v>
      </c>
      <c r="K99" s="1026">
        <v>19166510.7337</v>
      </c>
      <c r="L99" s="1026">
        <v>19166510.7337</v>
      </c>
      <c r="N99" s="1026">
        <v>0</v>
      </c>
      <c r="Q99" s="1026">
        <v>0</v>
      </c>
      <c r="U99" s="1026">
        <v>0</v>
      </c>
      <c r="V99" s="1026">
        <v>0</v>
      </c>
      <c r="W99" s="1026">
        <v>0</v>
      </c>
      <c r="Z99" s="1026">
        <v>0</v>
      </c>
      <c r="AC99" s="1026">
        <v>0</v>
      </c>
      <c r="AG99" s="1026">
        <v>0</v>
      </c>
      <c r="AL99" s="1026">
        <v>0</v>
      </c>
      <c r="AQ99" s="1026">
        <v>0</v>
      </c>
      <c r="AR99" s="1026">
        <v>0</v>
      </c>
      <c r="AS99" s="1026">
        <v>0</v>
      </c>
      <c r="AT99" s="1026">
        <v>0</v>
      </c>
      <c r="AY99" s="1026">
        <v>479113.73</v>
      </c>
      <c r="AZ99" s="1026">
        <v>0</v>
      </c>
      <c r="BA99" s="1026">
        <v>0</v>
      </c>
      <c r="BC99" s="1026">
        <v>0</v>
      </c>
      <c r="BD99" s="1026">
        <v>479113.73</v>
      </c>
      <c r="BE99" s="1026">
        <v>0</v>
      </c>
      <c r="BL99" s="1026">
        <v>0</v>
      </c>
      <c r="BM99" s="1026">
        <v>0</v>
      </c>
      <c r="BT99" s="1026">
        <v>0</v>
      </c>
      <c r="BU99" s="1026">
        <v>0</v>
      </c>
      <c r="BZ99" s="1026">
        <v>0</v>
      </c>
      <c r="CN99" s="1026">
        <v>0</v>
      </c>
      <c r="CO99" s="1026">
        <v>0</v>
      </c>
      <c r="CU99" s="1026">
        <v>0</v>
      </c>
      <c r="DB99" s="1026">
        <v>0</v>
      </c>
      <c r="DF99" s="1026">
        <v>26518097.23</v>
      </c>
      <c r="DG99" s="1026">
        <v>0</v>
      </c>
      <c r="DH99" s="1026">
        <v>0</v>
      </c>
      <c r="DK99" s="1026">
        <v>0</v>
      </c>
      <c r="DN99" s="1026">
        <v>0</v>
      </c>
      <c r="DQ99" s="1026">
        <v>26518097.23</v>
      </c>
      <c r="DR99" s="1026">
        <v>817089.59357651218</v>
      </c>
      <c r="DS99" s="1026">
        <v>25701007.636423487</v>
      </c>
      <c r="DV99" s="1026">
        <v>0</v>
      </c>
      <c r="DZ99" s="1026">
        <v>0</v>
      </c>
      <c r="EA99" s="1026">
        <v>0</v>
      </c>
      <c r="ED99" s="1026">
        <v>0</v>
      </c>
      <c r="EG99" s="1026">
        <v>0</v>
      </c>
      <c r="EK99" s="1026">
        <v>0</v>
      </c>
      <c r="EM99" s="1026">
        <v>0</v>
      </c>
      <c r="EQ99" s="1026">
        <v>0</v>
      </c>
      <c r="EU99" s="1026">
        <v>0</v>
      </c>
      <c r="EZ99" s="1026">
        <v>0</v>
      </c>
      <c r="FB99" s="1026">
        <v>0</v>
      </c>
      <c r="FF99" s="1026">
        <v>0</v>
      </c>
      <c r="FJ99" s="1026">
        <v>0</v>
      </c>
      <c r="FO99" s="1026">
        <v>0</v>
      </c>
      <c r="FW99" s="1026">
        <v>875670788.96099985</v>
      </c>
      <c r="FX99" s="1026">
        <v>867641439.3499999</v>
      </c>
      <c r="FY99" s="1026">
        <v>8029349.6109999996</v>
      </c>
      <c r="FZ99" s="1026">
        <v>0</v>
      </c>
      <c r="GB99" s="1026">
        <v>191229611.13428798</v>
      </c>
      <c r="GF99" s="1026">
        <v>1121096765.8189878</v>
      </c>
    </row>
    <row r="100" spans="2:188" ht="15.75">
      <c r="B100" s="1419">
        <v>44621</v>
      </c>
      <c r="C100" s="1026">
        <v>0</v>
      </c>
      <c r="E100" s="1026">
        <v>3380618.01</v>
      </c>
      <c r="G100" s="1026">
        <v>3380618.01</v>
      </c>
      <c r="J100" s="1026">
        <v>20021398.7337</v>
      </c>
      <c r="K100" s="1026">
        <v>20021398.7337</v>
      </c>
      <c r="L100" s="1026">
        <v>20021398.7337</v>
      </c>
      <c r="N100" s="1026">
        <v>0</v>
      </c>
      <c r="Q100" s="1026">
        <v>0</v>
      </c>
      <c r="U100" s="1026">
        <v>0</v>
      </c>
      <c r="V100" s="1026">
        <v>0</v>
      </c>
      <c r="W100" s="1026">
        <v>0</v>
      </c>
      <c r="Z100" s="1026">
        <v>0</v>
      </c>
      <c r="AC100" s="1026">
        <v>0</v>
      </c>
      <c r="AG100" s="1026">
        <v>0</v>
      </c>
      <c r="AL100" s="1026">
        <v>0</v>
      </c>
      <c r="AQ100" s="1026">
        <v>0</v>
      </c>
      <c r="AR100" s="1026">
        <v>0</v>
      </c>
      <c r="AS100" s="1026">
        <v>0</v>
      </c>
      <c r="AT100" s="1026">
        <v>0</v>
      </c>
      <c r="AY100" s="1026">
        <v>479113.73</v>
      </c>
      <c r="AZ100" s="1026">
        <v>0</v>
      </c>
      <c r="BA100" s="1026">
        <v>0</v>
      </c>
      <c r="BC100" s="1026">
        <v>0</v>
      </c>
      <c r="BD100" s="1026">
        <v>479113.73</v>
      </c>
      <c r="BE100" s="1026">
        <v>0</v>
      </c>
      <c r="BL100" s="1026">
        <v>0</v>
      </c>
      <c r="BM100" s="1026">
        <v>0</v>
      </c>
      <c r="BT100" s="1026">
        <v>0</v>
      </c>
      <c r="BU100" s="1026">
        <v>0</v>
      </c>
      <c r="BZ100" s="1026">
        <v>0</v>
      </c>
      <c r="CN100" s="1026">
        <v>0</v>
      </c>
      <c r="CO100" s="1026">
        <v>0</v>
      </c>
      <c r="CU100" s="1026">
        <v>0</v>
      </c>
      <c r="DB100" s="1026">
        <v>0</v>
      </c>
      <c r="DF100" s="1026">
        <v>26518097.23</v>
      </c>
      <c r="DG100" s="1026">
        <v>0</v>
      </c>
      <c r="DH100" s="1026">
        <v>0</v>
      </c>
      <c r="DK100" s="1026">
        <v>0</v>
      </c>
      <c r="DN100" s="1026">
        <v>0</v>
      </c>
      <c r="DQ100" s="1026">
        <v>26518097.23</v>
      </c>
      <c r="DR100" s="1026">
        <v>817089.59357651218</v>
      </c>
      <c r="DS100" s="1026">
        <v>25701007.636423487</v>
      </c>
      <c r="DV100" s="1026">
        <v>0</v>
      </c>
      <c r="DZ100" s="1026">
        <v>0</v>
      </c>
      <c r="EA100" s="1026">
        <v>0</v>
      </c>
      <c r="ED100" s="1026">
        <v>0</v>
      </c>
      <c r="EG100" s="1026">
        <v>0</v>
      </c>
      <c r="EK100" s="1026">
        <v>0</v>
      </c>
      <c r="EM100" s="1026">
        <v>0</v>
      </c>
      <c r="EQ100" s="1026">
        <v>0</v>
      </c>
      <c r="EU100" s="1026">
        <v>0</v>
      </c>
      <c r="EZ100" s="1026">
        <v>0</v>
      </c>
      <c r="FB100" s="1026">
        <v>0</v>
      </c>
      <c r="FF100" s="1026">
        <v>0</v>
      </c>
      <c r="FJ100" s="1026">
        <v>0</v>
      </c>
      <c r="FO100" s="1026">
        <v>0</v>
      </c>
      <c r="FW100" s="1026">
        <v>875670788.96099985</v>
      </c>
      <c r="FX100" s="1026">
        <v>867641439.3499999</v>
      </c>
      <c r="FY100" s="1026">
        <v>8029349.6109999996</v>
      </c>
      <c r="FZ100" s="1026">
        <v>0</v>
      </c>
      <c r="GB100" s="1026">
        <v>188805741.69448796</v>
      </c>
      <c r="GF100" s="1026">
        <v>1114875758.3591878</v>
      </c>
    </row>
    <row r="101" spans="2:188" ht="15.75">
      <c r="B101" s="1419">
        <v>44652</v>
      </c>
      <c r="C101" s="1026">
        <v>0</v>
      </c>
      <c r="E101" s="1026">
        <v>5756675.1900000004</v>
      </c>
      <c r="G101" s="1026">
        <v>5756675.1900000004</v>
      </c>
      <c r="J101" s="1026">
        <v>18471591.7337</v>
      </c>
      <c r="K101" s="1026">
        <v>18471591.7337</v>
      </c>
      <c r="L101" s="1026">
        <v>18471591.7337</v>
      </c>
      <c r="N101" s="1026">
        <v>0</v>
      </c>
      <c r="Q101" s="1026">
        <v>0</v>
      </c>
      <c r="U101" s="1026">
        <v>0</v>
      </c>
      <c r="V101" s="1026">
        <v>0</v>
      </c>
      <c r="W101" s="1026">
        <v>0</v>
      </c>
      <c r="Z101" s="1026">
        <v>0</v>
      </c>
      <c r="AC101" s="1026">
        <v>0</v>
      </c>
      <c r="AG101" s="1026">
        <v>0</v>
      </c>
      <c r="AL101" s="1026">
        <v>0</v>
      </c>
      <c r="AQ101" s="1026">
        <v>0</v>
      </c>
      <c r="AR101" s="1026">
        <v>0</v>
      </c>
      <c r="AS101" s="1026">
        <v>0</v>
      </c>
      <c r="AT101" s="1026">
        <v>0</v>
      </c>
      <c r="AY101" s="1026">
        <v>479113.73</v>
      </c>
      <c r="AZ101" s="1026">
        <v>0</v>
      </c>
      <c r="BA101" s="1026">
        <v>0</v>
      </c>
      <c r="BC101" s="1026">
        <v>0</v>
      </c>
      <c r="BD101" s="1026">
        <v>479113.73</v>
      </c>
      <c r="BE101" s="1026">
        <v>0</v>
      </c>
      <c r="BL101" s="1026">
        <v>0</v>
      </c>
      <c r="BM101" s="1026">
        <v>0</v>
      </c>
      <c r="BT101" s="1026">
        <v>0</v>
      </c>
      <c r="BU101" s="1026">
        <v>0</v>
      </c>
      <c r="BZ101" s="1026">
        <v>0</v>
      </c>
      <c r="CN101" s="1026">
        <v>0</v>
      </c>
      <c r="CO101" s="1026">
        <v>0</v>
      </c>
      <c r="CU101" s="1026">
        <v>0</v>
      </c>
      <c r="DB101" s="1026">
        <v>0</v>
      </c>
      <c r="DF101" s="1026">
        <v>26518097.23</v>
      </c>
      <c r="DG101" s="1026">
        <v>0</v>
      </c>
      <c r="DH101" s="1026">
        <v>0</v>
      </c>
      <c r="DK101" s="1026">
        <v>0</v>
      </c>
      <c r="DN101" s="1026">
        <v>0</v>
      </c>
      <c r="DQ101" s="1026">
        <v>26518097.23</v>
      </c>
      <c r="DR101" s="1026">
        <v>817089.59357651218</v>
      </c>
      <c r="DS101" s="1026">
        <v>25701007.636423487</v>
      </c>
      <c r="DV101" s="1026">
        <v>0</v>
      </c>
      <c r="DZ101" s="1026">
        <v>0</v>
      </c>
      <c r="EA101" s="1026">
        <v>0</v>
      </c>
      <c r="ED101" s="1026">
        <v>0</v>
      </c>
      <c r="EG101" s="1026">
        <v>0</v>
      </c>
      <c r="EK101" s="1026">
        <v>0</v>
      </c>
      <c r="EM101" s="1026">
        <v>0</v>
      </c>
      <c r="EQ101" s="1026">
        <v>0</v>
      </c>
      <c r="EU101" s="1026">
        <v>0</v>
      </c>
      <c r="EZ101" s="1026">
        <v>0</v>
      </c>
      <c r="FB101" s="1026">
        <v>0</v>
      </c>
      <c r="FF101" s="1026">
        <v>0</v>
      </c>
      <c r="FJ101" s="1026">
        <v>0</v>
      </c>
      <c r="FO101" s="1026">
        <v>0</v>
      </c>
      <c r="FW101" s="1026">
        <v>875670788.96099985</v>
      </c>
      <c r="FX101" s="1026">
        <v>867641439.3499999</v>
      </c>
      <c r="FY101" s="1026">
        <v>8029349.6109999996</v>
      </c>
      <c r="FZ101" s="1026">
        <v>0</v>
      </c>
      <c r="GB101" s="1026">
        <v>233654432.69448799</v>
      </c>
      <c r="GF101" s="1026">
        <v>1160550699.5391879</v>
      </c>
    </row>
    <row r="102" spans="2:188" ht="15.75">
      <c r="B102" s="1419">
        <v>44682</v>
      </c>
      <c r="C102" s="1026">
        <v>0</v>
      </c>
      <c r="E102" s="1026">
        <v>3379018.0099999928</v>
      </c>
      <c r="G102" s="1026">
        <v>3379018.0099999928</v>
      </c>
      <c r="J102" s="1026">
        <v>20933657.766800001</v>
      </c>
      <c r="K102" s="1026">
        <v>20933657.766800001</v>
      </c>
      <c r="L102" s="1026">
        <v>20933657.766800001</v>
      </c>
      <c r="N102" s="1026">
        <v>0</v>
      </c>
      <c r="Q102" s="1026">
        <v>0</v>
      </c>
      <c r="U102" s="1026">
        <v>0</v>
      </c>
      <c r="V102" s="1026">
        <v>0</v>
      </c>
      <c r="W102" s="1026">
        <v>0</v>
      </c>
      <c r="Z102" s="1026">
        <v>0</v>
      </c>
      <c r="AC102" s="1026">
        <v>0</v>
      </c>
      <c r="AG102" s="1026">
        <v>0</v>
      </c>
      <c r="AL102" s="1026">
        <v>0</v>
      </c>
      <c r="AQ102" s="1026">
        <v>0</v>
      </c>
      <c r="AR102" s="1026">
        <v>0</v>
      </c>
      <c r="AS102" s="1026">
        <v>0</v>
      </c>
      <c r="AT102" s="1026">
        <v>0</v>
      </c>
      <c r="AY102" s="1026">
        <v>479113.73</v>
      </c>
      <c r="AZ102" s="1026">
        <v>0</v>
      </c>
      <c r="BA102" s="1026">
        <v>0</v>
      </c>
      <c r="BC102" s="1026">
        <v>0</v>
      </c>
      <c r="BD102" s="1026">
        <v>479113.73</v>
      </c>
      <c r="BE102" s="1026">
        <v>0</v>
      </c>
      <c r="BL102" s="1026">
        <v>0</v>
      </c>
      <c r="BM102" s="1026">
        <v>0</v>
      </c>
      <c r="BT102" s="1026">
        <v>0</v>
      </c>
      <c r="BU102" s="1026">
        <v>0</v>
      </c>
      <c r="BZ102" s="1026">
        <v>0</v>
      </c>
      <c r="CN102" s="1026">
        <v>0</v>
      </c>
      <c r="CO102" s="1026">
        <v>0</v>
      </c>
      <c r="CU102" s="1026">
        <v>0</v>
      </c>
      <c r="DB102" s="1026">
        <v>0</v>
      </c>
      <c r="DF102" s="1026">
        <v>26818421.77</v>
      </c>
      <c r="DG102" s="1026">
        <v>0</v>
      </c>
      <c r="DH102" s="1026">
        <v>0</v>
      </c>
      <c r="DK102" s="1026">
        <v>0</v>
      </c>
      <c r="DN102" s="1026">
        <v>0</v>
      </c>
      <c r="DQ102" s="1026">
        <v>26818421.77</v>
      </c>
      <c r="DR102" s="1026">
        <v>826343.35164977412</v>
      </c>
      <c r="DS102" s="1026">
        <v>25992078.418350227</v>
      </c>
      <c r="DV102" s="1026">
        <v>0</v>
      </c>
      <c r="DZ102" s="1026">
        <v>0</v>
      </c>
      <c r="EA102" s="1026">
        <v>0</v>
      </c>
      <c r="ED102" s="1026">
        <v>0</v>
      </c>
      <c r="EG102" s="1026">
        <v>0</v>
      </c>
      <c r="EK102" s="1026">
        <v>0</v>
      </c>
      <c r="EM102" s="1026">
        <v>0</v>
      </c>
      <c r="EQ102" s="1026">
        <v>0</v>
      </c>
      <c r="EU102" s="1026">
        <v>0</v>
      </c>
      <c r="EZ102" s="1026">
        <v>0</v>
      </c>
      <c r="FB102" s="1026">
        <v>0</v>
      </c>
      <c r="FF102" s="1026">
        <v>0</v>
      </c>
      <c r="FJ102" s="1026">
        <v>0</v>
      </c>
      <c r="FO102" s="1026">
        <v>0</v>
      </c>
      <c r="FW102" s="1026">
        <v>875670788.96099985</v>
      </c>
      <c r="FX102" s="1026">
        <v>867641439.3499999</v>
      </c>
      <c r="FY102" s="1026">
        <v>8029349.6109999996</v>
      </c>
      <c r="FZ102" s="1026">
        <v>0</v>
      </c>
      <c r="GB102" s="1026">
        <v>202269185.48049608</v>
      </c>
      <c r="GF102" s="1026">
        <v>1129550185.7182961</v>
      </c>
    </row>
    <row r="103" spans="2:188" ht="15.75">
      <c r="B103" s="1419">
        <v>44713</v>
      </c>
      <c r="C103" s="1026">
        <v>0</v>
      </c>
      <c r="E103" s="1026">
        <v>178.46</v>
      </c>
      <c r="G103" s="1026">
        <v>178.46</v>
      </c>
      <c r="J103" s="1026">
        <v>23933657.766800001</v>
      </c>
      <c r="K103" s="1026">
        <v>23933657.766800001</v>
      </c>
      <c r="L103" s="1026">
        <v>23933657.766800001</v>
      </c>
      <c r="N103" s="1026">
        <v>0</v>
      </c>
      <c r="Q103" s="1026">
        <v>0</v>
      </c>
      <c r="U103" s="1026">
        <v>0</v>
      </c>
      <c r="V103" s="1026">
        <v>0</v>
      </c>
      <c r="W103" s="1026">
        <v>0</v>
      </c>
      <c r="Z103" s="1026">
        <v>0</v>
      </c>
      <c r="AC103" s="1026">
        <v>0</v>
      </c>
      <c r="AG103" s="1026">
        <v>0</v>
      </c>
      <c r="AL103" s="1026">
        <v>0</v>
      </c>
      <c r="AQ103" s="1026">
        <v>0</v>
      </c>
      <c r="AR103" s="1026">
        <v>0</v>
      </c>
      <c r="AS103" s="1026">
        <v>0</v>
      </c>
      <c r="AT103" s="1026">
        <v>0</v>
      </c>
      <c r="AY103" s="1026">
        <v>479113.73</v>
      </c>
      <c r="AZ103" s="1026">
        <v>0</v>
      </c>
      <c r="BA103" s="1026">
        <v>0</v>
      </c>
      <c r="BC103" s="1026">
        <v>0</v>
      </c>
      <c r="BD103" s="1026">
        <v>479113.73</v>
      </c>
      <c r="BE103" s="1026">
        <v>0</v>
      </c>
      <c r="BL103" s="1026">
        <v>0</v>
      </c>
      <c r="BM103" s="1026">
        <v>0</v>
      </c>
      <c r="BT103" s="1026">
        <v>0</v>
      </c>
      <c r="BU103" s="1026">
        <v>0</v>
      </c>
      <c r="BZ103" s="1026">
        <v>0</v>
      </c>
      <c r="CN103" s="1026">
        <v>0</v>
      </c>
      <c r="CO103" s="1026">
        <v>0</v>
      </c>
      <c r="CU103" s="1026">
        <v>0</v>
      </c>
      <c r="DB103" s="1026">
        <v>0</v>
      </c>
      <c r="DF103" s="1026">
        <v>26818421.77</v>
      </c>
      <c r="DG103" s="1026">
        <v>0</v>
      </c>
      <c r="DH103" s="1026">
        <v>0</v>
      </c>
      <c r="DK103" s="1026">
        <v>0</v>
      </c>
      <c r="DN103" s="1026">
        <v>0</v>
      </c>
      <c r="DQ103" s="1026">
        <v>26818421.77</v>
      </c>
      <c r="DR103" s="1026">
        <v>826343.35164977412</v>
      </c>
      <c r="DS103" s="1026">
        <v>25992078.418350227</v>
      </c>
      <c r="DV103" s="1026">
        <v>0</v>
      </c>
      <c r="DZ103" s="1026">
        <v>0</v>
      </c>
      <c r="EA103" s="1026">
        <v>0</v>
      </c>
      <c r="ED103" s="1026">
        <v>0</v>
      </c>
      <c r="EG103" s="1026">
        <v>0</v>
      </c>
      <c r="EK103" s="1026">
        <v>0</v>
      </c>
      <c r="EM103" s="1026">
        <v>0</v>
      </c>
      <c r="EQ103" s="1026">
        <v>0</v>
      </c>
      <c r="EU103" s="1026">
        <v>0</v>
      </c>
      <c r="EZ103" s="1026">
        <v>0</v>
      </c>
      <c r="FB103" s="1026">
        <v>0</v>
      </c>
      <c r="FF103" s="1026">
        <v>0</v>
      </c>
      <c r="FJ103" s="1026">
        <v>0</v>
      </c>
      <c r="FO103" s="1026">
        <v>0</v>
      </c>
      <c r="FW103" s="1026">
        <v>875670788.96099985</v>
      </c>
      <c r="FX103" s="1026">
        <v>867641439.3499999</v>
      </c>
      <c r="FY103" s="1026">
        <v>8029349.6109999996</v>
      </c>
      <c r="FZ103" s="1026">
        <v>0</v>
      </c>
      <c r="GB103" s="1026">
        <v>203589079.22549608</v>
      </c>
      <c r="GF103" s="1026">
        <v>1130491239.913296</v>
      </c>
    </row>
    <row r="104" spans="2:188" ht="15.75">
      <c r="B104" s="1419">
        <v>44743</v>
      </c>
      <c r="C104" s="1026">
        <v>0</v>
      </c>
      <c r="E104" s="1026">
        <v>0</v>
      </c>
      <c r="G104" s="1026">
        <v>0</v>
      </c>
      <c r="J104" s="1026">
        <v>28262293.766800001</v>
      </c>
      <c r="K104" s="1026">
        <v>28262293.766800001</v>
      </c>
      <c r="L104" s="1026">
        <v>28262293.766800001</v>
      </c>
      <c r="N104" s="1026">
        <v>0</v>
      </c>
      <c r="Q104" s="1026">
        <v>0</v>
      </c>
      <c r="U104" s="1026">
        <v>0</v>
      </c>
      <c r="V104" s="1026">
        <v>0</v>
      </c>
      <c r="W104" s="1026">
        <v>0</v>
      </c>
      <c r="Z104" s="1026">
        <v>0</v>
      </c>
      <c r="AC104" s="1026">
        <v>0</v>
      </c>
      <c r="AG104" s="1026">
        <v>0</v>
      </c>
      <c r="AL104" s="1026">
        <v>0</v>
      </c>
      <c r="AQ104" s="1026">
        <v>0</v>
      </c>
      <c r="AR104" s="1026">
        <v>0</v>
      </c>
      <c r="AS104" s="1026">
        <v>0</v>
      </c>
      <c r="AT104" s="1026">
        <v>0</v>
      </c>
      <c r="AY104" s="1026">
        <v>479113.73</v>
      </c>
      <c r="AZ104" s="1026">
        <v>0</v>
      </c>
      <c r="BA104" s="1026">
        <v>0</v>
      </c>
      <c r="BC104" s="1026">
        <v>0</v>
      </c>
      <c r="BD104" s="1026">
        <v>479113.73</v>
      </c>
      <c r="BE104" s="1026">
        <v>0</v>
      </c>
      <c r="BL104" s="1026">
        <v>0</v>
      </c>
      <c r="BM104" s="1026">
        <v>0</v>
      </c>
      <c r="BT104" s="1026">
        <v>0</v>
      </c>
      <c r="BU104" s="1026">
        <v>0</v>
      </c>
      <c r="BZ104" s="1026">
        <v>0</v>
      </c>
      <c r="CN104" s="1026">
        <v>0</v>
      </c>
      <c r="CO104" s="1026">
        <v>0</v>
      </c>
      <c r="CU104" s="1026">
        <v>0</v>
      </c>
      <c r="DB104" s="1026">
        <v>0</v>
      </c>
      <c r="DF104" s="1026">
        <v>26818421.77</v>
      </c>
      <c r="DG104" s="1026">
        <v>0</v>
      </c>
      <c r="DH104" s="1026">
        <v>0</v>
      </c>
      <c r="DK104" s="1026">
        <v>0</v>
      </c>
      <c r="DN104" s="1026">
        <v>0</v>
      </c>
      <c r="DQ104" s="1026">
        <v>26818421.77</v>
      </c>
      <c r="DR104" s="1026">
        <v>826343.35164977412</v>
      </c>
      <c r="DS104" s="1026">
        <v>25992078.418350227</v>
      </c>
      <c r="DV104" s="1026">
        <v>0</v>
      </c>
      <c r="DZ104" s="1026">
        <v>0</v>
      </c>
      <c r="EA104" s="1026">
        <v>0</v>
      </c>
      <c r="ED104" s="1026">
        <v>0</v>
      </c>
      <c r="EG104" s="1026">
        <v>0</v>
      </c>
      <c r="EK104" s="1026">
        <v>0</v>
      </c>
      <c r="EM104" s="1026">
        <v>0</v>
      </c>
      <c r="EQ104" s="1026">
        <v>0</v>
      </c>
      <c r="EU104" s="1026">
        <v>0</v>
      </c>
      <c r="EZ104" s="1026">
        <v>0</v>
      </c>
      <c r="FB104" s="1026">
        <v>0</v>
      </c>
      <c r="FF104" s="1026">
        <v>0</v>
      </c>
      <c r="FJ104" s="1026">
        <v>0</v>
      </c>
      <c r="FO104" s="1026">
        <v>0</v>
      </c>
      <c r="FW104" s="1026">
        <v>875670788.96099985</v>
      </c>
      <c r="FX104" s="1026">
        <v>867641439.3499999</v>
      </c>
      <c r="FY104" s="1026">
        <v>8029349.6109999996</v>
      </c>
      <c r="FZ104" s="1026">
        <v>0</v>
      </c>
      <c r="GB104" s="1026">
        <v>183907277.22549608</v>
      </c>
      <c r="GF104" s="1026">
        <v>1115137895.4532959</v>
      </c>
    </row>
    <row r="105" spans="2:188" ht="15.75">
      <c r="B105" s="1419">
        <v>44774</v>
      </c>
      <c r="C105" s="1026">
        <v>0</v>
      </c>
      <c r="E105" s="1026">
        <v>0</v>
      </c>
      <c r="G105" s="1026">
        <v>0</v>
      </c>
      <c r="J105" s="1026">
        <v>33354813.636800002</v>
      </c>
      <c r="K105" s="1026">
        <v>33354813.636800002</v>
      </c>
      <c r="L105" s="1026">
        <v>33354813.636800002</v>
      </c>
      <c r="N105" s="1026">
        <v>0</v>
      </c>
      <c r="Q105" s="1026">
        <v>0</v>
      </c>
      <c r="U105" s="1026">
        <v>0</v>
      </c>
      <c r="V105" s="1026">
        <v>0</v>
      </c>
      <c r="W105" s="1026">
        <v>0</v>
      </c>
      <c r="Z105" s="1026">
        <v>0</v>
      </c>
      <c r="AC105" s="1026">
        <v>0</v>
      </c>
      <c r="AG105" s="1026">
        <v>0</v>
      </c>
      <c r="AL105" s="1026">
        <v>0</v>
      </c>
      <c r="AQ105" s="1026">
        <v>0</v>
      </c>
      <c r="AR105" s="1026">
        <v>0</v>
      </c>
      <c r="AS105" s="1026">
        <v>0</v>
      </c>
      <c r="AT105" s="1026">
        <v>0</v>
      </c>
      <c r="AY105" s="1026">
        <v>479113.73</v>
      </c>
      <c r="AZ105" s="1026">
        <v>0</v>
      </c>
      <c r="BA105" s="1026">
        <v>0</v>
      </c>
      <c r="BC105" s="1026">
        <v>0</v>
      </c>
      <c r="BD105" s="1026">
        <v>479113.73</v>
      </c>
      <c r="BE105" s="1026">
        <v>0</v>
      </c>
      <c r="BL105" s="1026">
        <v>0</v>
      </c>
      <c r="BM105" s="1026">
        <v>0</v>
      </c>
      <c r="BT105" s="1026">
        <v>0</v>
      </c>
      <c r="BU105" s="1026">
        <v>0</v>
      </c>
      <c r="BZ105" s="1026">
        <v>0</v>
      </c>
      <c r="CN105" s="1026">
        <v>0</v>
      </c>
      <c r="CO105" s="1026">
        <v>0</v>
      </c>
      <c r="CU105" s="1026">
        <v>0</v>
      </c>
      <c r="DB105" s="1026">
        <v>0</v>
      </c>
      <c r="DF105" s="1026">
        <v>26818421.77</v>
      </c>
      <c r="DG105" s="1026">
        <v>0</v>
      </c>
      <c r="DH105" s="1026">
        <v>0</v>
      </c>
      <c r="DK105" s="1026">
        <v>0</v>
      </c>
      <c r="DN105" s="1026">
        <v>0</v>
      </c>
      <c r="DQ105" s="1026">
        <v>26818421.77</v>
      </c>
      <c r="DR105" s="1026">
        <v>826343.35164977412</v>
      </c>
      <c r="DS105" s="1026">
        <v>25992078.418350227</v>
      </c>
      <c r="DV105" s="1026">
        <v>0</v>
      </c>
      <c r="DZ105" s="1026">
        <v>0</v>
      </c>
      <c r="EA105" s="1026">
        <v>0</v>
      </c>
      <c r="ED105" s="1026">
        <v>0</v>
      </c>
      <c r="EG105" s="1026">
        <v>0</v>
      </c>
      <c r="EK105" s="1026">
        <v>0</v>
      </c>
      <c r="EM105" s="1026">
        <v>0</v>
      </c>
      <c r="EQ105" s="1026">
        <v>0</v>
      </c>
      <c r="EU105" s="1026">
        <v>0</v>
      </c>
      <c r="EZ105" s="1026">
        <v>0</v>
      </c>
      <c r="FB105" s="1026">
        <v>0</v>
      </c>
      <c r="FF105" s="1026">
        <v>0</v>
      </c>
      <c r="FJ105" s="1026">
        <v>0</v>
      </c>
      <c r="FO105" s="1026">
        <v>0</v>
      </c>
      <c r="FW105" s="1026">
        <v>875670788.96099985</v>
      </c>
      <c r="FX105" s="1026">
        <v>867641439.3499999</v>
      </c>
      <c r="FY105" s="1026">
        <v>8029349.6109999996</v>
      </c>
      <c r="FZ105" s="1026">
        <v>0</v>
      </c>
      <c r="GB105" s="1026">
        <v>163860414.22549608</v>
      </c>
      <c r="GF105" s="1026">
        <v>1100183552.3232961</v>
      </c>
    </row>
    <row r="106" spans="2:188" ht="15.75">
      <c r="B106" s="1419">
        <v>44805</v>
      </c>
      <c r="C106" s="1026">
        <v>0</v>
      </c>
      <c r="E106" s="1026">
        <v>0</v>
      </c>
      <c r="G106" s="1026">
        <v>0</v>
      </c>
      <c r="J106" s="1026">
        <v>26744606.366800003</v>
      </c>
      <c r="K106" s="1026">
        <v>26744606.366800003</v>
      </c>
      <c r="L106" s="1026">
        <v>26744606.366800003</v>
      </c>
      <c r="N106" s="1026">
        <v>0</v>
      </c>
      <c r="Q106" s="1026">
        <v>0</v>
      </c>
      <c r="U106" s="1026">
        <v>0</v>
      </c>
      <c r="V106" s="1026">
        <v>0</v>
      </c>
      <c r="W106" s="1026">
        <v>0</v>
      </c>
      <c r="Z106" s="1026">
        <v>0</v>
      </c>
      <c r="AC106" s="1026">
        <v>0</v>
      </c>
      <c r="AG106" s="1026">
        <v>0</v>
      </c>
      <c r="AL106" s="1026">
        <v>0</v>
      </c>
      <c r="AQ106" s="1026">
        <v>0</v>
      </c>
      <c r="AR106" s="1026">
        <v>0</v>
      </c>
      <c r="AS106" s="1026">
        <v>0</v>
      </c>
      <c r="AT106" s="1026">
        <v>0</v>
      </c>
      <c r="AY106" s="1026">
        <v>479113.73</v>
      </c>
      <c r="AZ106" s="1026">
        <v>0</v>
      </c>
      <c r="BA106" s="1026">
        <v>0</v>
      </c>
      <c r="BC106" s="1026">
        <v>0</v>
      </c>
      <c r="BD106" s="1026">
        <v>479113.73</v>
      </c>
      <c r="BE106" s="1026">
        <v>0</v>
      </c>
      <c r="BL106" s="1026">
        <v>0</v>
      </c>
      <c r="BM106" s="1026">
        <v>0</v>
      </c>
      <c r="BT106" s="1026">
        <v>0</v>
      </c>
      <c r="BU106" s="1026">
        <v>0</v>
      </c>
      <c r="BZ106" s="1026">
        <v>0</v>
      </c>
      <c r="CN106" s="1026">
        <v>0</v>
      </c>
      <c r="CO106" s="1026">
        <v>0</v>
      </c>
      <c r="CU106" s="1026">
        <v>0</v>
      </c>
      <c r="DB106" s="1026">
        <v>0</v>
      </c>
      <c r="DF106" s="1026">
        <v>26818421.77</v>
      </c>
      <c r="DG106" s="1026">
        <v>0</v>
      </c>
      <c r="DH106" s="1026">
        <v>0</v>
      </c>
      <c r="DK106" s="1026">
        <v>0</v>
      </c>
      <c r="DN106" s="1026">
        <v>0</v>
      </c>
      <c r="DQ106" s="1026">
        <v>26818421.77</v>
      </c>
      <c r="DR106" s="1026">
        <v>826343.35164977412</v>
      </c>
      <c r="DS106" s="1026">
        <v>25992078.418350227</v>
      </c>
      <c r="DV106" s="1026">
        <v>0</v>
      </c>
      <c r="DZ106" s="1026">
        <v>0</v>
      </c>
      <c r="EA106" s="1026">
        <v>0</v>
      </c>
      <c r="ED106" s="1026">
        <v>0</v>
      </c>
      <c r="EG106" s="1026">
        <v>0</v>
      </c>
      <c r="EK106" s="1026">
        <v>0</v>
      </c>
      <c r="EM106" s="1026">
        <v>0</v>
      </c>
      <c r="EQ106" s="1026">
        <v>0</v>
      </c>
      <c r="EU106" s="1026">
        <v>0</v>
      </c>
      <c r="EZ106" s="1026">
        <v>0</v>
      </c>
      <c r="FB106" s="1026">
        <v>0</v>
      </c>
      <c r="FF106" s="1026">
        <v>0</v>
      </c>
      <c r="FJ106" s="1026">
        <v>0</v>
      </c>
      <c r="FO106" s="1026">
        <v>0</v>
      </c>
      <c r="FW106" s="1026">
        <v>875670788.96099985</v>
      </c>
      <c r="FX106" s="1026">
        <v>867641439.3499999</v>
      </c>
      <c r="FY106" s="1026">
        <v>8029349.6109999996</v>
      </c>
      <c r="FZ106" s="1026">
        <v>0</v>
      </c>
      <c r="GB106" s="1026">
        <v>138144363.09549609</v>
      </c>
      <c r="GF106" s="1026">
        <v>1067857293.9232959</v>
      </c>
    </row>
    <row r="107" spans="2:188" ht="15.75">
      <c r="B107" s="1419">
        <v>44835</v>
      </c>
      <c r="C107" s="1026">
        <v>0</v>
      </c>
      <c r="E107" s="1026">
        <v>0</v>
      </c>
      <c r="G107" s="1026">
        <v>0</v>
      </c>
      <c r="J107" s="1026">
        <v>26744606.366800003</v>
      </c>
      <c r="K107" s="1026">
        <v>26744606.366800003</v>
      </c>
      <c r="L107" s="1026">
        <v>26744606.366800003</v>
      </c>
      <c r="N107" s="1026">
        <v>0</v>
      </c>
      <c r="Q107" s="1026">
        <v>0</v>
      </c>
      <c r="U107" s="1026">
        <v>0</v>
      </c>
      <c r="V107" s="1026">
        <v>0</v>
      </c>
      <c r="W107" s="1026">
        <v>0</v>
      </c>
      <c r="Z107" s="1026">
        <v>0</v>
      </c>
      <c r="AC107" s="1026">
        <v>0</v>
      </c>
      <c r="AG107" s="1026">
        <v>0</v>
      </c>
      <c r="AL107" s="1026">
        <v>0</v>
      </c>
      <c r="AQ107" s="1026">
        <v>0</v>
      </c>
      <c r="AR107" s="1026">
        <v>0</v>
      </c>
      <c r="AS107" s="1026">
        <v>0</v>
      </c>
      <c r="AT107" s="1026">
        <v>0</v>
      </c>
      <c r="AY107" s="1026">
        <v>479113.73</v>
      </c>
      <c r="AZ107" s="1026">
        <v>0</v>
      </c>
      <c r="BA107" s="1026">
        <v>0</v>
      </c>
      <c r="BC107" s="1026">
        <v>0</v>
      </c>
      <c r="BD107" s="1026">
        <v>479113.73</v>
      </c>
      <c r="BE107" s="1026">
        <v>0</v>
      </c>
      <c r="BL107" s="1026">
        <v>0</v>
      </c>
      <c r="BM107" s="1026">
        <v>0</v>
      </c>
      <c r="BT107" s="1026">
        <v>0</v>
      </c>
      <c r="BU107" s="1026">
        <v>0</v>
      </c>
      <c r="BZ107" s="1026">
        <v>0</v>
      </c>
      <c r="CN107" s="1026">
        <v>0</v>
      </c>
      <c r="CO107" s="1026">
        <v>0</v>
      </c>
      <c r="CU107" s="1026">
        <v>0</v>
      </c>
      <c r="DB107" s="1026">
        <v>0</v>
      </c>
      <c r="DF107" s="1026">
        <v>26818421.77</v>
      </c>
      <c r="DG107" s="1026">
        <v>0</v>
      </c>
      <c r="DH107" s="1026">
        <v>0</v>
      </c>
      <c r="DK107" s="1026">
        <v>0</v>
      </c>
      <c r="DN107" s="1026">
        <v>0</v>
      </c>
      <c r="DQ107" s="1026">
        <v>26818421.77</v>
      </c>
      <c r="DR107" s="1026">
        <v>826343.35164977412</v>
      </c>
      <c r="DS107" s="1026">
        <v>25992078.418350227</v>
      </c>
      <c r="DV107" s="1026">
        <v>0</v>
      </c>
      <c r="DZ107" s="1026">
        <v>0</v>
      </c>
      <c r="EA107" s="1026">
        <v>0</v>
      </c>
      <c r="ED107" s="1026">
        <v>0</v>
      </c>
      <c r="EG107" s="1026">
        <v>0</v>
      </c>
      <c r="EK107" s="1026">
        <v>0</v>
      </c>
      <c r="EM107" s="1026">
        <v>0</v>
      </c>
      <c r="EQ107" s="1026">
        <v>0</v>
      </c>
      <c r="EU107" s="1026">
        <v>0</v>
      </c>
      <c r="EZ107" s="1026">
        <v>0</v>
      </c>
      <c r="FB107" s="1026">
        <v>0</v>
      </c>
      <c r="FF107" s="1026">
        <v>0</v>
      </c>
      <c r="FJ107" s="1026">
        <v>0</v>
      </c>
      <c r="FO107" s="1026">
        <v>0</v>
      </c>
      <c r="FW107" s="1026">
        <v>875670788.96099985</v>
      </c>
      <c r="FX107" s="1026">
        <v>867641439.3499999</v>
      </c>
      <c r="FY107" s="1026">
        <v>8029349.6109999996</v>
      </c>
      <c r="FZ107" s="1026">
        <v>0</v>
      </c>
      <c r="GB107" s="1026">
        <v>138144363.09549609</v>
      </c>
      <c r="GF107" s="1026">
        <v>1067857293.9232959</v>
      </c>
    </row>
    <row r="108" spans="2:188" ht="15.75">
      <c r="B108" s="1419">
        <v>44866</v>
      </c>
      <c r="C108" s="1026">
        <v>0</v>
      </c>
      <c r="E108" s="1026">
        <v>0</v>
      </c>
      <c r="G108" s="1026">
        <v>0</v>
      </c>
      <c r="J108" s="1026">
        <v>26744606.366800003</v>
      </c>
      <c r="K108" s="1026">
        <v>26744606.366800003</v>
      </c>
      <c r="L108" s="1026">
        <v>26744606.366800003</v>
      </c>
      <c r="N108" s="1026">
        <v>0</v>
      </c>
      <c r="Q108" s="1026">
        <v>0</v>
      </c>
      <c r="U108" s="1026">
        <v>0</v>
      </c>
      <c r="V108" s="1026">
        <v>0</v>
      </c>
      <c r="W108" s="1026">
        <v>0</v>
      </c>
      <c r="Z108" s="1026">
        <v>0</v>
      </c>
      <c r="AC108" s="1026">
        <v>0</v>
      </c>
      <c r="AG108" s="1026">
        <v>0</v>
      </c>
      <c r="AL108" s="1026">
        <v>0</v>
      </c>
      <c r="AQ108" s="1026">
        <v>0</v>
      </c>
      <c r="AR108" s="1026">
        <v>0</v>
      </c>
      <c r="AS108" s="1026">
        <v>0</v>
      </c>
      <c r="AT108" s="1026">
        <v>0</v>
      </c>
      <c r="AY108" s="1026">
        <v>479113.73</v>
      </c>
      <c r="AZ108" s="1026">
        <v>0</v>
      </c>
      <c r="BA108" s="1026">
        <v>0</v>
      </c>
      <c r="BC108" s="1026">
        <v>0</v>
      </c>
      <c r="BD108" s="1026">
        <v>479113.73</v>
      </c>
      <c r="BE108" s="1026">
        <v>0</v>
      </c>
      <c r="BL108" s="1026">
        <v>0</v>
      </c>
      <c r="BM108" s="1026">
        <v>0</v>
      </c>
      <c r="BT108" s="1026">
        <v>0</v>
      </c>
      <c r="BU108" s="1026">
        <v>0</v>
      </c>
      <c r="BZ108" s="1026">
        <v>0</v>
      </c>
      <c r="CN108" s="1026">
        <v>0</v>
      </c>
      <c r="CO108" s="1026">
        <v>0</v>
      </c>
      <c r="CU108" s="1026">
        <v>0</v>
      </c>
      <c r="DB108" s="1026">
        <v>0</v>
      </c>
      <c r="DF108" s="1026">
        <v>26818421.77</v>
      </c>
      <c r="DG108" s="1026">
        <v>0</v>
      </c>
      <c r="DH108" s="1026">
        <v>0</v>
      </c>
      <c r="DK108" s="1026">
        <v>0</v>
      </c>
      <c r="DN108" s="1026">
        <v>0</v>
      </c>
      <c r="DQ108" s="1026">
        <v>26818421.77</v>
      </c>
      <c r="DR108" s="1026">
        <v>826343.35164977412</v>
      </c>
      <c r="DS108" s="1026">
        <v>25992078.418350227</v>
      </c>
      <c r="DV108" s="1026">
        <v>0</v>
      </c>
      <c r="DZ108" s="1026">
        <v>0</v>
      </c>
      <c r="EA108" s="1026">
        <v>0</v>
      </c>
      <c r="ED108" s="1026">
        <v>0</v>
      </c>
      <c r="EG108" s="1026">
        <v>0</v>
      </c>
      <c r="EK108" s="1026">
        <v>0</v>
      </c>
      <c r="EM108" s="1026">
        <v>0</v>
      </c>
      <c r="EQ108" s="1026">
        <v>0</v>
      </c>
      <c r="EU108" s="1026">
        <v>0</v>
      </c>
      <c r="EZ108" s="1026">
        <v>0</v>
      </c>
      <c r="FB108" s="1026">
        <v>0</v>
      </c>
      <c r="FF108" s="1026">
        <v>0</v>
      </c>
      <c r="FJ108" s="1026">
        <v>0</v>
      </c>
      <c r="FO108" s="1026">
        <v>0</v>
      </c>
      <c r="FW108" s="1026">
        <v>875670788.96099985</v>
      </c>
      <c r="FX108" s="1026">
        <v>867641439.3499999</v>
      </c>
      <c r="FY108" s="1026">
        <v>8029349.6109999996</v>
      </c>
      <c r="FZ108" s="1026">
        <v>0</v>
      </c>
      <c r="GB108" s="1026">
        <v>138144363.09549609</v>
      </c>
      <c r="GF108" s="1026">
        <v>1067857293.9232959</v>
      </c>
    </row>
    <row r="109" spans="2:188" ht="15.75">
      <c r="B109" s="1419">
        <v>44896</v>
      </c>
      <c r="C109" s="1026">
        <v>0</v>
      </c>
      <c r="E109" s="1026">
        <v>0</v>
      </c>
      <c r="G109" s="1026">
        <v>0</v>
      </c>
      <c r="J109" s="1026">
        <v>27739799.366799999</v>
      </c>
      <c r="K109" s="1026">
        <v>27739799.366799999</v>
      </c>
      <c r="L109" s="1026">
        <v>27739799.366799999</v>
      </c>
      <c r="N109" s="1026">
        <v>0</v>
      </c>
      <c r="Q109" s="1026">
        <v>0</v>
      </c>
      <c r="U109" s="1026">
        <v>0</v>
      </c>
      <c r="V109" s="1026">
        <v>0</v>
      </c>
      <c r="W109" s="1026">
        <v>0</v>
      </c>
      <c r="Z109" s="1026">
        <v>0</v>
      </c>
      <c r="AC109" s="1026">
        <v>0</v>
      </c>
      <c r="AG109" s="1026">
        <v>0</v>
      </c>
      <c r="AL109" s="1026">
        <v>0</v>
      </c>
      <c r="AQ109" s="1026">
        <v>0</v>
      </c>
      <c r="AR109" s="1026">
        <v>0</v>
      </c>
      <c r="AS109" s="1026">
        <v>0</v>
      </c>
      <c r="AT109" s="1026">
        <v>0</v>
      </c>
      <c r="AY109" s="1026">
        <v>479113.73</v>
      </c>
      <c r="AZ109" s="1026">
        <v>0</v>
      </c>
      <c r="BA109" s="1026">
        <v>0</v>
      </c>
      <c r="BC109" s="1026">
        <v>0</v>
      </c>
      <c r="BD109" s="1026">
        <v>479113.73</v>
      </c>
      <c r="BE109" s="1026">
        <v>0</v>
      </c>
      <c r="BL109" s="1026">
        <v>0</v>
      </c>
      <c r="BM109" s="1026">
        <v>0</v>
      </c>
      <c r="BT109" s="1026">
        <v>0</v>
      </c>
      <c r="BU109" s="1026">
        <v>0</v>
      </c>
      <c r="BZ109" s="1026">
        <v>0</v>
      </c>
      <c r="CN109" s="1026">
        <v>0</v>
      </c>
      <c r="CO109" s="1026">
        <v>0</v>
      </c>
      <c r="CU109" s="1026">
        <v>0</v>
      </c>
      <c r="DB109" s="1026">
        <v>0</v>
      </c>
      <c r="DF109" s="1026">
        <v>26818421.77</v>
      </c>
      <c r="DG109" s="1026">
        <v>0</v>
      </c>
      <c r="DH109" s="1026">
        <v>0</v>
      </c>
      <c r="DK109" s="1026">
        <v>0</v>
      </c>
      <c r="DN109" s="1026">
        <v>0</v>
      </c>
      <c r="DQ109" s="1026">
        <v>26818421.77</v>
      </c>
      <c r="DR109" s="1026">
        <v>826343.35164977412</v>
      </c>
      <c r="DS109" s="1026">
        <v>25992078.418350227</v>
      </c>
      <c r="DV109" s="1026">
        <v>0</v>
      </c>
      <c r="DZ109" s="1026">
        <v>0</v>
      </c>
      <c r="EA109" s="1026">
        <v>0</v>
      </c>
      <c r="ED109" s="1026">
        <v>0</v>
      </c>
      <c r="EG109" s="1026">
        <v>0</v>
      </c>
      <c r="EK109" s="1026">
        <v>0</v>
      </c>
      <c r="EM109" s="1026">
        <v>0</v>
      </c>
      <c r="EQ109" s="1026">
        <v>0</v>
      </c>
      <c r="EU109" s="1026">
        <v>0</v>
      </c>
      <c r="EZ109" s="1026">
        <v>0</v>
      </c>
      <c r="FB109" s="1026">
        <v>0</v>
      </c>
      <c r="FF109" s="1026">
        <v>0</v>
      </c>
      <c r="FJ109" s="1026">
        <v>0</v>
      </c>
      <c r="FO109" s="1026">
        <v>0</v>
      </c>
      <c r="FW109" s="1026">
        <v>875670788.96099985</v>
      </c>
      <c r="FX109" s="1026">
        <v>867641439.3499999</v>
      </c>
      <c r="FY109" s="1026">
        <v>8029349.6109999996</v>
      </c>
      <c r="FZ109" s="1026">
        <v>0</v>
      </c>
      <c r="GB109" s="1026">
        <v>154762497.56549609</v>
      </c>
      <c r="GF109" s="1026">
        <v>1085470621.3932958</v>
      </c>
    </row>
    <row r="111" spans="2:188" ht="15.75">
      <c r="B111" s="1419">
        <v>44927</v>
      </c>
    </row>
  </sheetData>
  <customSheetViews>
    <customSheetView guid="{705E0D18-9A83-42CA-8732-90923BE2EC7D}" topLeftCell="A34">
      <selection activeCell="C50" sqref="C50"/>
      <pageMargins left="0.7" right="0.7" top="0.75" bottom="0.75" header="0.3" footer="0.3"/>
      <pageSetup paperSize="9" orientation="portrait" r:id="rId1"/>
    </customSheetView>
    <customSheetView guid="{D45E5F9E-4EA6-40A2-8A1D-3AC67FB8CE54}" topLeftCell="A34">
      <selection activeCell="B50" sqref="B50:GF50"/>
      <pageMargins left="0.7" right="0.7" top="0.75" bottom="0.75" header="0.3" footer="0.3"/>
    </customSheetView>
    <customSheetView guid="{89CA84C2-78F5-4B05-8F1D-B7C5F97BCB4E}" topLeftCell="A33">
      <selection activeCell="B41" sqref="B41:B43"/>
      <pageMargins left="0.7" right="0.7" top="0.75" bottom="0.75" header="0.3" footer="0.3"/>
    </customSheetView>
  </customSheetViews>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sheetPr>
  <dimension ref="A3:GF109"/>
  <sheetViews>
    <sheetView workbookViewId="0">
      <pane xSplit="2" ySplit="4" topLeftCell="C5" activePane="bottomRight" state="frozen"/>
      <selection pane="topRight" activeCell="C1" sqref="C1"/>
      <selection pane="bottomLeft" activeCell="A5" sqref="A5"/>
      <selection pane="bottomRight" activeCell="E114" sqref="E114"/>
    </sheetView>
  </sheetViews>
  <sheetFormatPr defaultColWidth="8.77734375" defaultRowHeight="15"/>
  <cols>
    <col min="1" max="1" width="8.77734375" style="1026"/>
    <col min="2" max="2" width="9" style="1026" bestFit="1" customWidth="1"/>
    <col min="3" max="6" width="11.5546875" style="1026" bestFit="1" customWidth="1"/>
    <col min="7" max="16" width="8.77734375" style="1026"/>
    <col min="17" max="19" width="9.109375" style="1026" bestFit="1" customWidth="1"/>
    <col min="20" max="22" width="8.77734375" style="1026"/>
    <col min="23" max="23" width="9.109375" style="1026" bestFit="1" customWidth="1"/>
    <col min="24" max="26" width="8.77734375" style="1026"/>
    <col min="27" max="27" width="9.109375" style="1026" bestFit="1" customWidth="1"/>
    <col min="28" max="30" width="8.77734375" style="1026"/>
    <col min="31" max="31" width="9.109375" style="1026" bestFit="1" customWidth="1"/>
    <col min="32" max="34" width="8.77734375" style="1026"/>
    <col min="35" max="35" width="9.109375" style="1026" bestFit="1" customWidth="1"/>
    <col min="36" max="38" width="8.77734375" style="1026"/>
    <col min="39" max="39" width="9.109375" style="1026" bestFit="1" customWidth="1"/>
    <col min="40" max="42" width="8.77734375" style="1026"/>
    <col min="43" max="43" width="14.21875" style="1026" customWidth="1"/>
    <col min="44" max="46" width="8.77734375" style="1026"/>
    <col min="47" max="47" width="9.109375" style="1026" bestFit="1" customWidth="1"/>
    <col min="48" max="50" width="8.77734375" style="1026"/>
    <col min="51" max="51" width="9.109375" style="1026" bestFit="1" customWidth="1"/>
    <col min="52" max="54" width="8.77734375" style="1026"/>
    <col min="55" max="55" width="9.109375" style="1026" bestFit="1" customWidth="1"/>
    <col min="56" max="58" width="8.77734375" style="1026"/>
    <col min="59" max="59" width="9.109375" style="1026" bestFit="1" customWidth="1"/>
    <col min="60" max="63" width="8.77734375" style="1026"/>
    <col min="64" max="65" width="9.109375" style="1026" bestFit="1" customWidth="1"/>
    <col min="66" max="66" width="8.77734375" style="1026"/>
    <col min="67" max="67" width="9.109375" style="1026" bestFit="1" customWidth="1"/>
    <col min="68" max="71" width="8.77734375" style="1026"/>
    <col min="72" max="72" width="9.109375" style="1026" bestFit="1" customWidth="1"/>
    <col min="73" max="73" width="8.77734375" style="1026"/>
    <col min="74" max="74" width="9.109375" style="1026" bestFit="1" customWidth="1"/>
    <col min="75" max="78" width="8.77734375" style="1026"/>
    <col min="79" max="79" width="9.109375" style="1026" bestFit="1" customWidth="1"/>
    <col min="80" max="80" width="8.77734375" style="1026"/>
    <col min="81" max="81" width="9.109375" style="1026" bestFit="1" customWidth="1"/>
    <col min="82" max="86" width="8.77734375" style="1026"/>
    <col min="87" max="87" width="23.5546875" style="1026" customWidth="1"/>
    <col min="88" max="92" width="8.77734375" style="1026"/>
    <col min="93" max="93" width="19.77734375" style="1026" customWidth="1"/>
    <col min="94" max="97" width="8.77734375" style="1026"/>
    <col min="98" max="98" width="13" style="1026" customWidth="1"/>
    <col min="99" max="99" width="9.109375" style="1026" bestFit="1" customWidth="1"/>
    <col min="100" max="101" width="8.77734375" style="1026"/>
    <col min="102" max="102" width="9.109375" style="1026" bestFit="1" customWidth="1"/>
    <col min="103" max="104" width="8.77734375" style="1026"/>
    <col min="105" max="105" width="9.109375" style="1026" bestFit="1" customWidth="1"/>
    <col min="106" max="108" width="8.77734375" style="1026"/>
    <col min="109" max="109" width="17.44140625" style="1026" customWidth="1"/>
    <col min="110" max="110" width="9.109375" style="1026" bestFit="1" customWidth="1"/>
    <col min="111" max="112" width="8.77734375" style="1026"/>
    <col min="113" max="113" width="9.109375" style="1026" bestFit="1" customWidth="1"/>
    <col min="114" max="115" width="8.77734375" style="1026"/>
    <col min="116" max="116" width="9.109375" style="1026" bestFit="1" customWidth="1"/>
    <col min="117" max="121" width="8.77734375" style="1026"/>
    <col min="122" max="122" width="9.109375" style="1026" bestFit="1" customWidth="1"/>
    <col min="123" max="123" width="8.77734375" style="1026"/>
    <col min="124" max="124" width="9.109375" style="1026" bestFit="1" customWidth="1"/>
    <col min="125" max="126" width="8.77734375" style="1026"/>
    <col min="127" max="127" width="9.109375" style="1026" bestFit="1" customWidth="1"/>
    <col min="128" max="131" width="8.77734375" style="1026"/>
    <col min="132" max="132" width="9.109375" style="1026" bestFit="1" customWidth="1"/>
    <col min="133" max="135" width="8.77734375" style="1026"/>
    <col min="136" max="137" width="9.109375" style="1026" bestFit="1" customWidth="1"/>
    <col min="138" max="139" width="8.77734375" style="1026"/>
    <col min="140" max="140" width="9.109375" style="1026" bestFit="1" customWidth="1"/>
    <col min="141" max="142" width="8.77734375" style="1026"/>
    <col min="143" max="143" width="9.109375" style="1026" bestFit="1" customWidth="1"/>
    <col min="144" max="148" width="8.77734375" style="1026"/>
    <col min="149" max="149" width="12.109375" style="1026" bestFit="1" customWidth="1"/>
    <col min="150" max="150" width="11.5546875" style="1026" bestFit="1" customWidth="1"/>
    <col min="151" max="151" width="10.5546875" style="1026" bestFit="1" customWidth="1"/>
    <col min="152" max="152" width="11.5546875" style="1026" bestFit="1" customWidth="1"/>
    <col min="153" max="153" width="9.109375" style="1026" bestFit="1" customWidth="1"/>
    <col min="154" max="155" width="8.77734375" style="1026"/>
    <col min="156" max="156" width="12.109375" style="1026" bestFit="1" customWidth="1"/>
    <col min="157" max="158" width="8.77734375" style="1026"/>
    <col min="159" max="159" width="12.109375" style="1026" bestFit="1" customWidth="1"/>
    <col min="160" max="160" width="11.109375" style="1026" bestFit="1" customWidth="1"/>
    <col min="161" max="161" width="8.77734375" style="1026"/>
    <col min="162" max="162" width="13.77734375" style="1026" customWidth="1"/>
    <col min="163" max="167" width="8.77734375" style="1026"/>
    <col min="168" max="168" width="11.44140625" style="1026" bestFit="1" customWidth="1"/>
    <col min="169" max="169" width="9" style="1026" bestFit="1" customWidth="1"/>
    <col min="170" max="16384" width="8.77734375" style="1026"/>
  </cols>
  <sheetData>
    <row r="3" spans="1:169">
      <c r="A3" s="1221" t="s">
        <v>1424</v>
      </c>
      <c r="B3" s="1221"/>
      <c r="C3" s="1221" t="s">
        <v>1426</v>
      </c>
      <c r="D3" s="1221" t="s">
        <v>1427</v>
      </c>
      <c r="E3" s="1221" t="s">
        <v>1568</v>
      </c>
      <c r="F3" s="1221" t="s">
        <v>1569</v>
      </c>
      <c r="G3" s="1221" t="s">
        <v>1570</v>
      </c>
      <c r="H3" s="1221" t="s">
        <v>1571</v>
      </c>
      <c r="I3" s="1221" t="s">
        <v>1429</v>
      </c>
      <c r="J3" s="1221" t="s">
        <v>1430</v>
      </c>
      <c r="K3" s="1221" t="s">
        <v>1431</v>
      </c>
      <c r="L3" s="1221" t="s">
        <v>1432</v>
      </c>
      <c r="M3" s="1221" t="s">
        <v>1433</v>
      </c>
      <c r="N3" s="1221" t="s">
        <v>1434</v>
      </c>
      <c r="O3" s="1221" t="s">
        <v>1435</v>
      </c>
      <c r="P3" s="1221"/>
      <c r="Q3" s="1221" t="s">
        <v>1572</v>
      </c>
      <c r="R3" s="1221" t="s">
        <v>1427</v>
      </c>
      <c r="S3" s="1221" t="s">
        <v>1573</v>
      </c>
      <c r="T3" s="1221" t="s">
        <v>1574</v>
      </c>
      <c r="U3" s="1221" t="s">
        <v>1575</v>
      </c>
      <c r="V3" s="1221" t="s">
        <v>1576</v>
      </c>
      <c r="W3" s="1221" t="s">
        <v>1569</v>
      </c>
      <c r="X3" s="1221" t="s">
        <v>1577</v>
      </c>
      <c r="Y3" s="1221" t="s">
        <v>1578</v>
      </c>
      <c r="Z3" s="1221" t="s">
        <v>1579</v>
      </c>
      <c r="AA3" s="1221" t="s">
        <v>1570</v>
      </c>
      <c r="AB3" s="1221" t="s">
        <v>1580</v>
      </c>
      <c r="AC3" s="1221" t="s">
        <v>1581</v>
      </c>
      <c r="AD3" s="1221" t="s">
        <v>1582</v>
      </c>
      <c r="AE3" s="1221" t="s">
        <v>1428</v>
      </c>
      <c r="AF3" s="1221" t="s">
        <v>1440</v>
      </c>
      <c r="AG3" s="1221" t="s">
        <v>1441</v>
      </c>
      <c r="AH3" s="1221" t="s">
        <v>1442</v>
      </c>
      <c r="AI3" s="1221" t="s">
        <v>1429</v>
      </c>
      <c r="AJ3" s="1221" t="s">
        <v>1555</v>
      </c>
      <c r="AK3" s="1221" t="s">
        <v>1556</v>
      </c>
      <c r="AL3" s="1221" t="s">
        <v>1557</v>
      </c>
      <c r="AM3" s="1221" t="s">
        <v>1430</v>
      </c>
      <c r="AN3" s="1221" t="s">
        <v>1555</v>
      </c>
      <c r="AO3" s="1221" t="s">
        <v>1556</v>
      </c>
      <c r="AP3" s="1221" t="s">
        <v>1557</v>
      </c>
      <c r="AQ3" s="1221" t="s">
        <v>1431</v>
      </c>
      <c r="AR3" s="1221" t="s">
        <v>1555</v>
      </c>
      <c r="AS3" s="1221" t="s">
        <v>1556</v>
      </c>
      <c r="AT3" s="1221" t="s">
        <v>1557</v>
      </c>
      <c r="AU3" s="1221" t="s">
        <v>1432</v>
      </c>
      <c r="AV3" s="1221" t="s">
        <v>1555</v>
      </c>
      <c r="AW3" s="1221" t="s">
        <v>1556</v>
      </c>
      <c r="AX3" s="1221" t="s">
        <v>1557</v>
      </c>
      <c r="AY3" s="1221" t="s">
        <v>1443</v>
      </c>
      <c r="AZ3" s="1221" t="s">
        <v>1555</v>
      </c>
      <c r="BA3" s="1221" t="s">
        <v>1556</v>
      </c>
      <c r="BB3" s="1221" t="s">
        <v>1557</v>
      </c>
      <c r="BC3" s="1221" t="s">
        <v>1444</v>
      </c>
      <c r="BD3" s="1221" t="s">
        <v>1555</v>
      </c>
      <c r="BE3" s="1221" t="s">
        <v>1556</v>
      </c>
      <c r="BF3" s="1221" t="s">
        <v>1557</v>
      </c>
      <c r="BG3" s="1221" t="s">
        <v>1445</v>
      </c>
      <c r="BH3" s="1221" t="s">
        <v>1555</v>
      </c>
      <c r="BI3" s="1221" t="s">
        <v>1556</v>
      </c>
      <c r="BJ3" s="1221" t="s">
        <v>1557</v>
      </c>
      <c r="BK3" s="1221"/>
      <c r="BL3" s="1221" t="s">
        <v>1583</v>
      </c>
      <c r="BM3" s="1221" t="s">
        <v>1436</v>
      </c>
      <c r="BN3" s="1221" t="s">
        <v>1446</v>
      </c>
      <c r="BO3" s="1221" t="s">
        <v>1365</v>
      </c>
      <c r="BP3" s="1221" t="s">
        <v>1437</v>
      </c>
      <c r="BQ3" s="1221" t="s">
        <v>1438</v>
      </c>
      <c r="BR3" s="1221" t="s">
        <v>1439</v>
      </c>
      <c r="BS3" s="1221"/>
      <c r="BT3" s="1221" t="s">
        <v>1447</v>
      </c>
      <c r="BU3" s="1221" t="s">
        <v>1446</v>
      </c>
      <c r="BV3" s="1221" t="s">
        <v>1365</v>
      </c>
      <c r="BW3" s="1221" t="s">
        <v>1437</v>
      </c>
      <c r="BX3" s="1221" t="s">
        <v>1438</v>
      </c>
      <c r="BY3" s="1221" t="s">
        <v>1439</v>
      </c>
      <c r="BZ3" s="1221"/>
      <c r="CA3" s="1221" t="s">
        <v>1448</v>
      </c>
      <c r="CB3" s="1221" t="s">
        <v>1446</v>
      </c>
      <c r="CC3" s="1221" t="s">
        <v>1365</v>
      </c>
      <c r="CD3" s="1221" t="s">
        <v>1437</v>
      </c>
      <c r="CE3" s="1221" t="s">
        <v>1438</v>
      </c>
      <c r="CF3" s="1221" t="s">
        <v>1439</v>
      </c>
      <c r="CG3" s="1221"/>
      <c r="CH3" s="1221"/>
      <c r="CI3" s="1221" t="s">
        <v>1584</v>
      </c>
      <c r="CJ3" s="1221" t="s">
        <v>1585</v>
      </c>
      <c r="CK3" s="1221" t="s">
        <v>1555</v>
      </c>
      <c r="CL3" s="1221" t="s">
        <v>1556</v>
      </c>
      <c r="CM3" s="1221" t="s">
        <v>1557</v>
      </c>
      <c r="CN3" s="1221"/>
      <c r="CO3" s="1221" t="s">
        <v>1586</v>
      </c>
      <c r="CP3" s="1221" t="s">
        <v>1587</v>
      </c>
      <c r="CQ3" s="1221" t="s">
        <v>1588</v>
      </c>
      <c r="CR3" s="1221" t="s">
        <v>1589</v>
      </c>
      <c r="CS3" s="1221"/>
      <c r="CT3" s="1221" t="s">
        <v>1590</v>
      </c>
      <c r="CU3" s="1221" t="s">
        <v>1591</v>
      </c>
      <c r="CV3" s="1221" t="s">
        <v>1364</v>
      </c>
      <c r="CW3" s="1221" t="s">
        <v>1365</v>
      </c>
      <c r="CX3" s="1221" t="s">
        <v>1366</v>
      </c>
      <c r="CY3" s="1221" t="s">
        <v>1364</v>
      </c>
      <c r="CZ3" s="1221" t="s">
        <v>1365</v>
      </c>
      <c r="DA3" s="1221" t="s">
        <v>1367</v>
      </c>
      <c r="DB3" s="1221" t="s">
        <v>1364</v>
      </c>
      <c r="DC3" s="1221" t="s">
        <v>1365</v>
      </c>
      <c r="DD3" s="1221"/>
      <c r="DE3" s="1221" t="s">
        <v>1592</v>
      </c>
      <c r="DF3" s="1221" t="s">
        <v>1593</v>
      </c>
      <c r="DG3" s="1221" t="s">
        <v>1364</v>
      </c>
      <c r="DH3" s="1221" t="s">
        <v>1365</v>
      </c>
      <c r="DI3" s="1221" t="s">
        <v>1369</v>
      </c>
      <c r="DJ3" s="1221" t="s">
        <v>1364</v>
      </c>
      <c r="DK3" s="1221" t="s">
        <v>1365</v>
      </c>
      <c r="DL3" s="1221" t="s">
        <v>1370</v>
      </c>
      <c r="DM3" s="1221" t="s">
        <v>1364</v>
      </c>
      <c r="DN3" s="1221" t="s">
        <v>1365</v>
      </c>
      <c r="DO3" s="1221"/>
      <c r="DP3" s="1221" t="s">
        <v>1594</v>
      </c>
      <c r="DQ3" s="1221"/>
      <c r="DR3" s="1221" t="s">
        <v>1595</v>
      </c>
      <c r="DS3" s="1221" t="s">
        <v>1451</v>
      </c>
      <c r="DT3" s="1221" t="s">
        <v>1452</v>
      </c>
      <c r="DU3" s="1221" t="s">
        <v>1364</v>
      </c>
      <c r="DV3" s="1221" t="s">
        <v>1365</v>
      </c>
      <c r="DW3" s="1221" t="s">
        <v>1453</v>
      </c>
      <c r="DX3" s="1221" t="s">
        <v>1364</v>
      </c>
      <c r="DY3" s="1221" t="s">
        <v>1365</v>
      </c>
      <c r="DZ3" s="1221" t="s">
        <v>1454</v>
      </c>
      <c r="EA3" s="1221" t="s">
        <v>1596</v>
      </c>
      <c r="EB3" s="1221" t="s">
        <v>1455</v>
      </c>
      <c r="EC3" s="1221" t="s">
        <v>1405</v>
      </c>
      <c r="ED3" s="1221" t="s">
        <v>1406</v>
      </c>
      <c r="EE3" s="1221"/>
      <c r="EF3" s="1221" t="s">
        <v>1597</v>
      </c>
      <c r="EG3" s="1221" t="s">
        <v>1407</v>
      </c>
      <c r="EH3" s="1221" t="s">
        <v>1405</v>
      </c>
      <c r="EI3" s="1221" t="s">
        <v>1406</v>
      </c>
      <c r="EJ3" s="1221" t="s">
        <v>1598</v>
      </c>
      <c r="EK3" s="1221" t="s">
        <v>1409</v>
      </c>
      <c r="EL3" s="1221" t="s">
        <v>1410</v>
      </c>
      <c r="EM3" s="1221" t="s">
        <v>1599</v>
      </c>
      <c r="EN3" s="1221" t="s">
        <v>1412</v>
      </c>
      <c r="EO3" s="1221" t="s">
        <v>1413</v>
      </c>
      <c r="EP3" s="1221"/>
      <c r="EQ3" s="1221" t="s">
        <v>1600</v>
      </c>
      <c r="ER3" s="1221"/>
      <c r="ES3" s="1221" t="s">
        <v>1601</v>
      </c>
      <c r="ET3" s="1221" t="s">
        <v>1602</v>
      </c>
      <c r="EU3" s="1221" t="s">
        <v>1603</v>
      </c>
      <c r="EV3" s="1221" t="s">
        <v>1604</v>
      </c>
      <c r="EW3" s="1221" t="s">
        <v>1605</v>
      </c>
      <c r="EX3" s="1221" t="s">
        <v>1603</v>
      </c>
      <c r="EY3" s="1221" t="s">
        <v>1604</v>
      </c>
      <c r="EZ3" s="1221" t="s">
        <v>1606</v>
      </c>
      <c r="FA3" s="1221" t="s">
        <v>1456</v>
      </c>
      <c r="FB3" s="1221" t="s">
        <v>1457</v>
      </c>
      <c r="FC3" s="1221" t="s">
        <v>1607</v>
      </c>
      <c r="FD3" s="1221" t="s">
        <v>1459</v>
      </c>
      <c r="FE3" s="1221"/>
      <c r="FF3" s="1221" t="s">
        <v>1608</v>
      </c>
      <c r="FG3" s="1221" t="s">
        <v>1609</v>
      </c>
      <c r="FH3" s="1221"/>
      <c r="FI3" s="1221"/>
      <c r="FJ3" s="1221"/>
      <c r="FK3" s="1221"/>
      <c r="FL3" s="1221" t="s">
        <v>1501</v>
      </c>
      <c r="FM3" s="1221" t="s">
        <v>1610</v>
      </c>
    </row>
    <row r="5" spans="1:169">
      <c r="A5" s="1221"/>
      <c r="B5" s="1223">
        <v>42005</v>
      </c>
      <c r="C5" s="1421">
        <v>39049663</v>
      </c>
      <c r="D5" s="1421">
        <v>38986232</v>
      </c>
      <c r="E5" s="1421">
        <v>12404128</v>
      </c>
      <c r="F5" s="1421">
        <v>26582104</v>
      </c>
      <c r="G5" s="1421"/>
      <c r="H5" s="1421"/>
      <c r="I5" s="1421"/>
      <c r="J5" s="1421"/>
      <c r="K5" s="1421">
        <v>133</v>
      </c>
      <c r="L5" s="1421"/>
      <c r="M5" s="1421"/>
      <c r="N5" s="1421">
        <v>63298</v>
      </c>
      <c r="O5" s="1421"/>
      <c r="P5" s="1421"/>
      <c r="Q5" s="1421">
        <v>40928157</v>
      </c>
      <c r="R5" s="1421">
        <v>29044629</v>
      </c>
      <c r="S5" s="1421">
        <v>9726204</v>
      </c>
      <c r="T5" s="1421">
        <v>9726204</v>
      </c>
      <c r="U5" s="1421"/>
      <c r="V5" s="1421"/>
      <c r="W5" s="1421">
        <v>19318425</v>
      </c>
      <c r="X5" s="1421">
        <v>19318425</v>
      </c>
      <c r="Y5" s="1421"/>
      <c r="Z5" s="1421"/>
      <c r="AA5" s="1421">
        <v>0</v>
      </c>
      <c r="AB5" s="1421"/>
      <c r="AC5" s="1421"/>
      <c r="AD5" s="1421"/>
      <c r="AE5" s="1421">
        <v>0</v>
      </c>
      <c r="AF5" s="1421"/>
      <c r="AG5" s="1421"/>
      <c r="AH5" s="1421"/>
      <c r="AI5" s="1421">
        <v>0</v>
      </c>
      <c r="AJ5" s="1421"/>
      <c r="AK5" s="1421"/>
      <c r="AL5" s="1421"/>
      <c r="AM5" s="1421">
        <v>0</v>
      </c>
      <c r="AN5" s="1421"/>
      <c r="AO5" s="1421"/>
      <c r="AP5" s="1421"/>
      <c r="AQ5" s="1421">
        <v>11883528</v>
      </c>
      <c r="AR5" s="1421">
        <v>11883528</v>
      </c>
      <c r="AS5" s="1421"/>
      <c r="AT5" s="1421"/>
      <c r="AU5" s="1421">
        <v>0</v>
      </c>
      <c r="AV5" s="1421"/>
      <c r="AW5" s="1421"/>
      <c r="AX5" s="1421"/>
      <c r="AY5" s="1421">
        <v>0</v>
      </c>
      <c r="AZ5" s="1421"/>
      <c r="BA5" s="1421"/>
      <c r="BB5" s="1421"/>
      <c r="BC5" s="1421">
        <v>0</v>
      </c>
      <c r="BD5" s="1421"/>
      <c r="BE5" s="1421"/>
      <c r="BF5" s="1421"/>
      <c r="BG5" s="1421">
        <v>0</v>
      </c>
      <c r="BH5" s="1421"/>
      <c r="BI5" s="1421"/>
      <c r="BJ5" s="1421"/>
      <c r="BK5" s="1421"/>
      <c r="BL5" s="1421">
        <v>0</v>
      </c>
      <c r="BM5" s="1421">
        <v>0</v>
      </c>
      <c r="BN5" s="1421"/>
      <c r="BO5" s="1421">
        <v>0</v>
      </c>
      <c r="BP5" s="1421"/>
      <c r="BQ5" s="1421"/>
      <c r="BR5" s="1421"/>
      <c r="BS5" s="1421"/>
      <c r="BT5" s="1421">
        <v>0</v>
      </c>
      <c r="BU5" s="1421"/>
      <c r="BV5" s="1421">
        <v>0</v>
      </c>
      <c r="BW5" s="1421"/>
      <c r="BX5" s="1421"/>
      <c r="BY5" s="1421"/>
      <c r="BZ5" s="1421"/>
      <c r="CA5" s="1421">
        <v>0</v>
      </c>
      <c r="CB5" s="1421"/>
      <c r="CC5" s="1421">
        <v>0</v>
      </c>
      <c r="CD5" s="1421"/>
      <c r="CE5" s="1421"/>
      <c r="CF5" s="1421"/>
      <c r="CG5" s="1421"/>
      <c r="CH5" s="1421"/>
      <c r="CI5" s="1421">
        <v>0</v>
      </c>
      <c r="CJ5" s="1421"/>
      <c r="CK5" s="1421"/>
      <c r="CL5" s="1421"/>
      <c r="CM5" s="1421"/>
      <c r="CN5" s="1421"/>
      <c r="CO5" s="1421">
        <v>0</v>
      </c>
      <c r="CP5" s="1421"/>
      <c r="CQ5" s="1421"/>
      <c r="CR5" s="1421"/>
      <c r="CS5" s="1421"/>
      <c r="CT5" s="1421">
        <v>0</v>
      </c>
      <c r="CU5" s="1421">
        <v>0</v>
      </c>
      <c r="CV5" s="1421"/>
      <c r="CW5" s="1421"/>
      <c r="CX5" s="1421">
        <v>0</v>
      </c>
      <c r="CY5" s="1421"/>
      <c r="CZ5" s="1421"/>
      <c r="DA5" s="1421">
        <v>0</v>
      </c>
      <c r="DB5" s="1421"/>
      <c r="DC5" s="1421"/>
      <c r="DD5" s="1421"/>
      <c r="DE5" s="1421">
        <v>0</v>
      </c>
      <c r="DF5" s="1421">
        <v>0</v>
      </c>
      <c r="DG5" s="1421"/>
      <c r="DH5" s="1421"/>
      <c r="DI5" s="1421">
        <v>0</v>
      </c>
      <c r="DJ5" s="1421"/>
      <c r="DK5" s="1421"/>
      <c r="DL5" s="1421">
        <v>0</v>
      </c>
      <c r="DM5" s="1421"/>
      <c r="DN5" s="1421"/>
      <c r="DO5" s="1421"/>
      <c r="DP5" s="1421"/>
      <c r="DQ5" s="1421"/>
      <c r="DR5" s="1421">
        <v>11698987</v>
      </c>
      <c r="DS5" s="1421"/>
      <c r="DT5" s="1421">
        <v>0</v>
      </c>
      <c r="DU5" s="1421"/>
      <c r="DV5" s="1421"/>
      <c r="DW5" s="1421">
        <v>0</v>
      </c>
      <c r="DX5" s="1421"/>
      <c r="DY5" s="1421"/>
      <c r="DZ5" s="1421"/>
      <c r="EA5" s="1421"/>
      <c r="EB5" s="1421">
        <v>11698987</v>
      </c>
      <c r="EC5" s="1421"/>
      <c r="ED5" s="1421">
        <v>11698987</v>
      </c>
      <c r="EE5" s="1421"/>
      <c r="EF5" s="1421">
        <v>8344350</v>
      </c>
      <c r="EG5" s="1421">
        <v>0</v>
      </c>
      <c r="EH5" s="1421"/>
      <c r="EI5" s="1421"/>
      <c r="EJ5" s="1421">
        <v>0</v>
      </c>
      <c r="EK5" s="1421"/>
      <c r="EL5" s="1421"/>
      <c r="EM5" s="1421">
        <v>8344350</v>
      </c>
      <c r="EN5" s="1421"/>
      <c r="EO5" s="1421">
        <v>8344350</v>
      </c>
      <c r="EP5" s="1421"/>
      <c r="EQ5" s="1421"/>
      <c r="ER5" s="1421"/>
      <c r="ES5" s="1421">
        <v>-46995024</v>
      </c>
      <c r="ET5" s="1421">
        <v>43574907</v>
      </c>
      <c r="EU5" s="1421">
        <v>6529670</v>
      </c>
      <c r="EV5" s="1421">
        <v>37045237</v>
      </c>
      <c r="EW5" s="1421">
        <v>32801755</v>
      </c>
      <c r="EX5" s="1421"/>
      <c r="EY5" s="1421">
        <v>32801755</v>
      </c>
      <c r="EZ5" s="1421">
        <v>-123371686</v>
      </c>
      <c r="FA5" s="1421"/>
      <c r="FB5" s="1421"/>
      <c r="FC5" s="1421">
        <v>-123371686</v>
      </c>
      <c r="FD5" s="1421">
        <v>0</v>
      </c>
      <c r="FE5" s="1421"/>
      <c r="FF5" s="1421">
        <v>70722080</v>
      </c>
      <c r="FG5" s="1421"/>
      <c r="FH5" s="1421"/>
      <c r="FI5" s="1421"/>
      <c r="FJ5" s="1421"/>
      <c r="FK5" s="1421"/>
      <c r="FL5" s="1421">
        <v>123748213</v>
      </c>
      <c r="FM5" s="1221">
        <v>0</v>
      </c>
    </row>
    <row r="6" spans="1:169">
      <c r="A6" s="1221"/>
      <c r="B6" s="1223">
        <v>42036</v>
      </c>
      <c r="C6" s="1421">
        <v>38382454</v>
      </c>
      <c r="D6" s="1421">
        <v>38310027</v>
      </c>
      <c r="E6" s="1421">
        <v>12166279</v>
      </c>
      <c r="F6" s="1421">
        <v>26143748</v>
      </c>
      <c r="G6" s="1421"/>
      <c r="H6" s="1421"/>
      <c r="I6" s="1421"/>
      <c r="J6" s="1421"/>
      <c r="K6" s="1421">
        <v>103</v>
      </c>
      <c r="L6" s="1421"/>
      <c r="M6" s="1421"/>
      <c r="N6" s="1421">
        <v>72324</v>
      </c>
      <c r="O6" s="1421"/>
      <c r="P6" s="1421"/>
      <c r="Q6" s="1421">
        <v>40362222</v>
      </c>
      <c r="R6" s="1421">
        <v>28468203</v>
      </c>
      <c r="S6" s="1421">
        <v>9533018</v>
      </c>
      <c r="T6" s="1421">
        <v>9533018</v>
      </c>
      <c r="U6" s="1421"/>
      <c r="V6" s="1421"/>
      <c r="W6" s="1421">
        <v>18935185</v>
      </c>
      <c r="X6" s="1421">
        <v>18935185</v>
      </c>
      <c r="Y6" s="1421"/>
      <c r="Z6" s="1421"/>
      <c r="AA6" s="1421">
        <v>0</v>
      </c>
      <c r="AB6" s="1421"/>
      <c r="AC6" s="1421"/>
      <c r="AD6" s="1421"/>
      <c r="AE6" s="1421">
        <v>0</v>
      </c>
      <c r="AF6" s="1421"/>
      <c r="AG6" s="1421"/>
      <c r="AH6" s="1421"/>
      <c r="AI6" s="1421">
        <v>0</v>
      </c>
      <c r="AJ6" s="1421"/>
      <c r="AK6" s="1421"/>
      <c r="AL6" s="1421"/>
      <c r="AM6" s="1421">
        <v>0</v>
      </c>
      <c r="AN6" s="1421"/>
      <c r="AO6" s="1421"/>
      <c r="AP6" s="1421"/>
      <c r="AQ6" s="1421">
        <v>11894019</v>
      </c>
      <c r="AR6" s="1421">
        <v>11894019</v>
      </c>
      <c r="AS6" s="1421"/>
      <c r="AT6" s="1421"/>
      <c r="AU6" s="1421">
        <v>0</v>
      </c>
      <c r="AV6" s="1421"/>
      <c r="AW6" s="1421"/>
      <c r="AX6" s="1421"/>
      <c r="AY6" s="1421">
        <v>0</v>
      </c>
      <c r="AZ6" s="1421"/>
      <c r="BA6" s="1421"/>
      <c r="BB6" s="1421"/>
      <c r="BC6" s="1421">
        <v>0</v>
      </c>
      <c r="BD6" s="1421"/>
      <c r="BE6" s="1421"/>
      <c r="BF6" s="1421"/>
      <c r="BG6" s="1421">
        <v>0</v>
      </c>
      <c r="BH6" s="1421"/>
      <c r="BI6" s="1421"/>
      <c r="BJ6" s="1421"/>
      <c r="BK6" s="1421"/>
      <c r="BL6" s="1421">
        <v>0</v>
      </c>
      <c r="BM6" s="1421">
        <v>0</v>
      </c>
      <c r="BN6" s="1421"/>
      <c r="BO6" s="1421">
        <v>0</v>
      </c>
      <c r="BP6" s="1421"/>
      <c r="BQ6" s="1421"/>
      <c r="BR6" s="1421"/>
      <c r="BS6" s="1421"/>
      <c r="BT6" s="1421">
        <v>0</v>
      </c>
      <c r="BU6" s="1421"/>
      <c r="BV6" s="1421">
        <v>0</v>
      </c>
      <c r="BW6" s="1421"/>
      <c r="BX6" s="1421"/>
      <c r="BY6" s="1421"/>
      <c r="BZ6" s="1421"/>
      <c r="CA6" s="1421">
        <v>0</v>
      </c>
      <c r="CB6" s="1421"/>
      <c r="CC6" s="1421">
        <v>0</v>
      </c>
      <c r="CD6" s="1421"/>
      <c r="CE6" s="1421"/>
      <c r="CF6" s="1421"/>
      <c r="CG6" s="1421"/>
      <c r="CH6" s="1421"/>
      <c r="CI6" s="1421">
        <v>0</v>
      </c>
      <c r="CJ6" s="1421"/>
      <c r="CK6" s="1421"/>
      <c r="CL6" s="1421"/>
      <c r="CM6" s="1421"/>
      <c r="CN6" s="1421"/>
      <c r="CO6" s="1421">
        <v>0</v>
      </c>
      <c r="CP6" s="1421"/>
      <c r="CQ6" s="1421"/>
      <c r="CR6" s="1421"/>
      <c r="CS6" s="1421"/>
      <c r="CT6" s="1421">
        <v>0</v>
      </c>
      <c r="CU6" s="1421">
        <v>0</v>
      </c>
      <c r="CV6" s="1421"/>
      <c r="CW6" s="1421"/>
      <c r="CX6" s="1421">
        <v>0</v>
      </c>
      <c r="CY6" s="1421"/>
      <c r="CZ6" s="1421"/>
      <c r="DA6" s="1421">
        <v>0</v>
      </c>
      <c r="DB6" s="1421"/>
      <c r="DC6" s="1421"/>
      <c r="DD6" s="1421"/>
      <c r="DE6" s="1421">
        <v>0</v>
      </c>
      <c r="DF6" s="1421">
        <v>0</v>
      </c>
      <c r="DG6" s="1421"/>
      <c r="DH6" s="1421"/>
      <c r="DI6" s="1421">
        <v>0</v>
      </c>
      <c r="DJ6" s="1421"/>
      <c r="DK6" s="1421"/>
      <c r="DL6" s="1421">
        <v>0</v>
      </c>
      <c r="DM6" s="1421"/>
      <c r="DN6" s="1421"/>
      <c r="DO6" s="1421"/>
      <c r="DP6" s="1421"/>
      <c r="DQ6" s="1421"/>
      <c r="DR6" s="1421">
        <v>11698987</v>
      </c>
      <c r="DS6" s="1421"/>
      <c r="DT6" s="1421">
        <v>0</v>
      </c>
      <c r="DU6" s="1421"/>
      <c r="DV6" s="1421"/>
      <c r="DW6" s="1421">
        <v>0</v>
      </c>
      <c r="DX6" s="1421"/>
      <c r="DY6" s="1421"/>
      <c r="DZ6" s="1421"/>
      <c r="EA6" s="1421"/>
      <c r="EB6" s="1421">
        <v>11698987</v>
      </c>
      <c r="EC6" s="1421"/>
      <c r="ED6" s="1421">
        <v>11698987</v>
      </c>
      <c r="EE6" s="1421"/>
      <c r="EF6" s="1421">
        <v>8346700</v>
      </c>
      <c r="EG6" s="1421">
        <v>0</v>
      </c>
      <c r="EH6" s="1421"/>
      <c r="EI6" s="1421"/>
      <c r="EJ6" s="1421">
        <v>0</v>
      </c>
      <c r="EK6" s="1421"/>
      <c r="EL6" s="1421"/>
      <c r="EM6" s="1421">
        <v>8346700</v>
      </c>
      <c r="EN6" s="1421"/>
      <c r="EO6" s="1421">
        <v>8346700</v>
      </c>
      <c r="EP6" s="1421"/>
      <c r="EQ6" s="1421"/>
      <c r="ER6" s="1421"/>
      <c r="ES6" s="1421">
        <v>-48678825</v>
      </c>
      <c r="ET6" s="1421">
        <v>43574907</v>
      </c>
      <c r="EU6" s="1421">
        <v>6529670</v>
      </c>
      <c r="EV6" s="1421">
        <v>37045237</v>
      </c>
      <c r="EW6" s="1421">
        <v>32801755</v>
      </c>
      <c r="EX6" s="1421"/>
      <c r="EY6" s="1421">
        <v>32801755</v>
      </c>
      <c r="EZ6" s="1421">
        <v>-125055487</v>
      </c>
      <c r="FA6" s="1421"/>
      <c r="FB6" s="1421"/>
      <c r="FC6" s="1421">
        <v>-125055487</v>
      </c>
      <c r="FD6" s="1421">
        <v>0</v>
      </c>
      <c r="FE6" s="1421"/>
      <c r="FF6" s="1421">
        <v>75550647</v>
      </c>
      <c r="FG6" s="1421"/>
      <c r="FH6" s="1421"/>
      <c r="FI6" s="1421"/>
      <c r="FJ6" s="1421"/>
      <c r="FK6" s="1421"/>
      <c r="FL6" s="1421">
        <v>125662185</v>
      </c>
      <c r="FM6" s="1221">
        <v>0</v>
      </c>
    </row>
    <row r="7" spans="1:169">
      <c r="A7" s="1221"/>
      <c r="B7" s="1223">
        <v>42064</v>
      </c>
      <c r="C7" s="1421">
        <v>68617290</v>
      </c>
      <c r="D7" s="1421">
        <v>68563165</v>
      </c>
      <c r="E7" s="1421">
        <v>25840116</v>
      </c>
      <c r="F7" s="1421">
        <v>42723049</v>
      </c>
      <c r="G7" s="1421"/>
      <c r="H7" s="1421"/>
      <c r="I7" s="1421"/>
      <c r="J7" s="1421">
        <v>6227</v>
      </c>
      <c r="K7" s="1421">
        <v>103</v>
      </c>
      <c r="L7" s="1421"/>
      <c r="M7" s="1421"/>
      <c r="N7" s="1421">
        <v>47795</v>
      </c>
      <c r="O7" s="1421"/>
      <c r="P7" s="1421"/>
      <c r="Q7" s="1421">
        <v>12132368</v>
      </c>
      <c r="R7" s="1421">
        <v>108620</v>
      </c>
      <c r="S7" s="1421">
        <v>5584</v>
      </c>
      <c r="T7" s="1421">
        <v>5584</v>
      </c>
      <c r="U7" s="1421"/>
      <c r="V7" s="1421"/>
      <c r="W7" s="1421">
        <v>103036</v>
      </c>
      <c r="X7" s="1421">
        <v>103036</v>
      </c>
      <c r="Y7" s="1421"/>
      <c r="Z7" s="1421"/>
      <c r="AA7" s="1421">
        <v>0</v>
      </c>
      <c r="AB7" s="1421"/>
      <c r="AC7" s="1421"/>
      <c r="AD7" s="1421"/>
      <c r="AE7" s="1421">
        <v>0</v>
      </c>
      <c r="AF7" s="1421"/>
      <c r="AG7" s="1421"/>
      <c r="AH7" s="1421"/>
      <c r="AI7" s="1421">
        <v>0</v>
      </c>
      <c r="AJ7" s="1421"/>
      <c r="AK7" s="1421"/>
      <c r="AL7" s="1421"/>
      <c r="AM7" s="1421">
        <v>0</v>
      </c>
      <c r="AN7" s="1421"/>
      <c r="AO7" s="1421"/>
      <c r="AP7" s="1421"/>
      <c r="AQ7" s="1421">
        <v>12023748</v>
      </c>
      <c r="AR7" s="1421">
        <v>12023748</v>
      </c>
      <c r="AS7" s="1421"/>
      <c r="AT7" s="1421"/>
      <c r="AU7" s="1421">
        <v>0</v>
      </c>
      <c r="AV7" s="1421"/>
      <c r="AW7" s="1421"/>
      <c r="AX7" s="1421"/>
      <c r="AY7" s="1421">
        <v>0</v>
      </c>
      <c r="AZ7" s="1421"/>
      <c r="BA7" s="1421"/>
      <c r="BB7" s="1421"/>
      <c r="BC7" s="1421">
        <v>0</v>
      </c>
      <c r="BD7" s="1421"/>
      <c r="BE7" s="1421"/>
      <c r="BF7" s="1421"/>
      <c r="BG7" s="1421">
        <v>0</v>
      </c>
      <c r="BH7" s="1421"/>
      <c r="BI7" s="1421"/>
      <c r="BJ7" s="1421"/>
      <c r="BK7" s="1421"/>
      <c r="BL7" s="1421">
        <v>0</v>
      </c>
      <c r="BM7" s="1421">
        <v>0</v>
      </c>
      <c r="BN7" s="1421"/>
      <c r="BO7" s="1421">
        <v>0</v>
      </c>
      <c r="BP7" s="1421"/>
      <c r="BQ7" s="1421"/>
      <c r="BR7" s="1421"/>
      <c r="BS7" s="1421"/>
      <c r="BT7" s="1421">
        <v>0</v>
      </c>
      <c r="BU7" s="1421"/>
      <c r="BV7" s="1421">
        <v>0</v>
      </c>
      <c r="BW7" s="1421"/>
      <c r="BX7" s="1421"/>
      <c r="BY7" s="1421"/>
      <c r="BZ7" s="1421"/>
      <c r="CA7" s="1421">
        <v>0</v>
      </c>
      <c r="CB7" s="1421"/>
      <c r="CC7" s="1421">
        <v>0</v>
      </c>
      <c r="CD7" s="1421"/>
      <c r="CE7" s="1421"/>
      <c r="CF7" s="1421"/>
      <c r="CG7" s="1421"/>
      <c r="CH7" s="1421"/>
      <c r="CI7" s="1421">
        <v>0</v>
      </c>
      <c r="CJ7" s="1421"/>
      <c r="CK7" s="1421"/>
      <c r="CL7" s="1421"/>
      <c r="CM7" s="1421"/>
      <c r="CN7" s="1421"/>
      <c r="CO7" s="1421">
        <v>0</v>
      </c>
      <c r="CP7" s="1421"/>
      <c r="CQ7" s="1421"/>
      <c r="CR7" s="1421"/>
      <c r="CS7" s="1421"/>
      <c r="CT7" s="1421">
        <v>0</v>
      </c>
      <c r="CU7" s="1421">
        <v>0</v>
      </c>
      <c r="CV7" s="1421"/>
      <c r="CW7" s="1421"/>
      <c r="CX7" s="1421">
        <v>0</v>
      </c>
      <c r="CY7" s="1421"/>
      <c r="CZ7" s="1421"/>
      <c r="DA7" s="1421">
        <v>0</v>
      </c>
      <c r="DB7" s="1421"/>
      <c r="DC7" s="1421"/>
      <c r="DD7" s="1421"/>
      <c r="DE7" s="1421">
        <v>0</v>
      </c>
      <c r="DF7" s="1421">
        <v>0</v>
      </c>
      <c r="DG7" s="1421"/>
      <c r="DH7" s="1421"/>
      <c r="DI7" s="1421">
        <v>0</v>
      </c>
      <c r="DJ7" s="1421"/>
      <c r="DK7" s="1421"/>
      <c r="DL7" s="1421">
        <v>0</v>
      </c>
      <c r="DM7" s="1421"/>
      <c r="DN7" s="1421"/>
      <c r="DO7" s="1421"/>
      <c r="DP7" s="1421"/>
      <c r="DQ7" s="1421"/>
      <c r="DR7" s="1421">
        <v>11990998</v>
      </c>
      <c r="DS7" s="1421"/>
      <c r="DT7" s="1421">
        <v>0</v>
      </c>
      <c r="DU7" s="1421"/>
      <c r="DV7" s="1421"/>
      <c r="DW7" s="1421">
        <v>0</v>
      </c>
      <c r="DX7" s="1421"/>
      <c r="DY7" s="1421"/>
      <c r="DZ7" s="1421"/>
      <c r="EA7" s="1421"/>
      <c r="EB7" s="1421">
        <v>11990998</v>
      </c>
      <c r="EC7" s="1421"/>
      <c r="ED7" s="1421">
        <v>11990998</v>
      </c>
      <c r="EE7" s="1421"/>
      <c r="EF7" s="1421">
        <v>8247150</v>
      </c>
      <c r="EG7" s="1421">
        <v>0</v>
      </c>
      <c r="EH7" s="1421"/>
      <c r="EI7" s="1421"/>
      <c r="EJ7" s="1421">
        <v>0</v>
      </c>
      <c r="EK7" s="1421"/>
      <c r="EL7" s="1421"/>
      <c r="EM7" s="1421">
        <v>8247150</v>
      </c>
      <c r="EN7" s="1421"/>
      <c r="EO7" s="1421">
        <v>8247150</v>
      </c>
      <c r="EP7" s="1421"/>
      <c r="EQ7" s="1421"/>
      <c r="ER7" s="1421"/>
      <c r="ES7" s="1421">
        <v>-50685931</v>
      </c>
      <c r="ET7" s="1421">
        <v>43574907</v>
      </c>
      <c r="EU7" s="1421">
        <v>6529670</v>
      </c>
      <c r="EV7" s="1421">
        <v>37045237</v>
      </c>
      <c r="EW7" s="1421">
        <v>32801755</v>
      </c>
      <c r="EX7" s="1421"/>
      <c r="EY7" s="1421">
        <v>32801755</v>
      </c>
      <c r="EZ7" s="1421">
        <v>-127062593</v>
      </c>
      <c r="FA7" s="1421"/>
      <c r="FB7" s="1421"/>
      <c r="FC7" s="1421">
        <v>-127062593</v>
      </c>
      <c r="FD7" s="1421">
        <v>0</v>
      </c>
      <c r="FE7" s="1421"/>
      <c r="FF7" s="1421">
        <v>75204834</v>
      </c>
      <c r="FG7" s="1421"/>
      <c r="FH7" s="1421"/>
      <c r="FI7" s="1421"/>
      <c r="FJ7" s="1421"/>
      <c r="FK7" s="1421"/>
      <c r="FL7" s="1421">
        <v>125506709</v>
      </c>
      <c r="FM7" s="1221">
        <v>0</v>
      </c>
    </row>
    <row r="8" spans="1:169">
      <c r="A8" s="1221"/>
      <c r="B8" s="1223">
        <v>42095</v>
      </c>
      <c r="C8" s="1421">
        <v>63934982.729999997</v>
      </c>
      <c r="D8" s="1421">
        <v>63934982.729999997</v>
      </c>
      <c r="E8" s="1421">
        <v>24866011.579999998</v>
      </c>
      <c r="F8" s="1421">
        <v>39068971.149999999</v>
      </c>
      <c r="G8" s="1421"/>
      <c r="H8" s="1421"/>
      <c r="I8" s="1421"/>
      <c r="J8" s="1421"/>
      <c r="K8" s="1421"/>
      <c r="L8" s="1421"/>
      <c r="M8" s="1421"/>
      <c r="N8" s="1421"/>
      <c r="O8" s="1421"/>
      <c r="P8" s="1421"/>
      <c r="Q8" s="1421">
        <v>0</v>
      </c>
      <c r="R8" s="1421">
        <v>0</v>
      </c>
      <c r="S8" s="1421">
        <v>0</v>
      </c>
      <c r="T8" s="1421"/>
      <c r="U8" s="1421"/>
      <c r="V8" s="1421"/>
      <c r="W8" s="1421">
        <v>0</v>
      </c>
      <c r="X8" s="1421"/>
      <c r="Y8" s="1421"/>
      <c r="Z8" s="1421"/>
      <c r="AA8" s="1421">
        <v>0</v>
      </c>
      <c r="AB8" s="1421"/>
      <c r="AC8" s="1421"/>
      <c r="AD8" s="1421"/>
      <c r="AE8" s="1421">
        <v>0</v>
      </c>
      <c r="AF8" s="1421"/>
      <c r="AG8" s="1421"/>
      <c r="AH8" s="1421"/>
      <c r="AI8" s="1421">
        <v>0</v>
      </c>
      <c r="AJ8" s="1421"/>
      <c r="AK8" s="1421"/>
      <c r="AL8" s="1421"/>
      <c r="AM8" s="1421">
        <v>0</v>
      </c>
      <c r="AN8" s="1421"/>
      <c r="AO8" s="1421"/>
      <c r="AP8" s="1421"/>
      <c r="AQ8" s="1421">
        <v>0</v>
      </c>
      <c r="AR8" s="1421"/>
      <c r="AS8" s="1421"/>
      <c r="AT8" s="1421"/>
      <c r="AU8" s="1421">
        <v>0</v>
      </c>
      <c r="AV8" s="1421"/>
      <c r="AW8" s="1421"/>
      <c r="AX8" s="1421"/>
      <c r="AY8" s="1421">
        <v>0</v>
      </c>
      <c r="AZ8" s="1421"/>
      <c r="BA8" s="1421"/>
      <c r="BB8" s="1421"/>
      <c r="BC8" s="1421">
        <v>0</v>
      </c>
      <c r="BD8" s="1421"/>
      <c r="BE8" s="1421"/>
      <c r="BF8" s="1421"/>
      <c r="BG8" s="1421">
        <v>0</v>
      </c>
      <c r="BH8" s="1421"/>
      <c r="BI8" s="1421"/>
      <c r="BJ8" s="1421"/>
      <c r="BK8" s="1421"/>
      <c r="BL8" s="1421">
        <v>0</v>
      </c>
      <c r="BM8" s="1421">
        <v>0</v>
      </c>
      <c r="BN8" s="1421"/>
      <c r="BO8" s="1421">
        <v>0</v>
      </c>
      <c r="BP8" s="1421"/>
      <c r="BQ8" s="1421"/>
      <c r="BR8" s="1421"/>
      <c r="BS8" s="1421"/>
      <c r="BT8" s="1421">
        <v>0</v>
      </c>
      <c r="BU8" s="1421"/>
      <c r="BV8" s="1421">
        <v>0</v>
      </c>
      <c r="BW8" s="1421"/>
      <c r="BX8" s="1421"/>
      <c r="BY8" s="1421"/>
      <c r="BZ8" s="1421"/>
      <c r="CA8" s="1421">
        <v>0</v>
      </c>
      <c r="CB8" s="1421"/>
      <c r="CC8" s="1421">
        <v>0</v>
      </c>
      <c r="CD8" s="1421"/>
      <c r="CE8" s="1421"/>
      <c r="CF8" s="1421"/>
      <c r="CG8" s="1421"/>
      <c r="CH8" s="1421"/>
      <c r="CI8" s="1421">
        <v>0</v>
      </c>
      <c r="CJ8" s="1421"/>
      <c r="CK8" s="1421"/>
      <c r="CL8" s="1421"/>
      <c r="CM8" s="1421"/>
      <c r="CN8" s="1421"/>
      <c r="CO8" s="1421">
        <v>0</v>
      </c>
      <c r="CP8" s="1421"/>
      <c r="CQ8" s="1421"/>
      <c r="CR8" s="1421"/>
      <c r="CS8" s="1421"/>
      <c r="CT8" s="1421">
        <v>0</v>
      </c>
      <c r="CU8" s="1421">
        <v>0</v>
      </c>
      <c r="CV8" s="1421"/>
      <c r="CW8" s="1421"/>
      <c r="CX8" s="1421">
        <v>0</v>
      </c>
      <c r="CY8" s="1421"/>
      <c r="CZ8" s="1421"/>
      <c r="DA8" s="1421">
        <v>0</v>
      </c>
      <c r="DB8" s="1421"/>
      <c r="DC8" s="1421"/>
      <c r="DD8" s="1421"/>
      <c r="DE8" s="1421">
        <v>0</v>
      </c>
      <c r="DF8" s="1421">
        <v>0</v>
      </c>
      <c r="DG8" s="1421"/>
      <c r="DH8" s="1421"/>
      <c r="DI8" s="1421">
        <v>0</v>
      </c>
      <c r="DJ8" s="1421"/>
      <c r="DK8" s="1421"/>
      <c r="DL8" s="1421">
        <v>0</v>
      </c>
      <c r="DM8" s="1421"/>
      <c r="DN8" s="1421"/>
      <c r="DO8" s="1421"/>
      <c r="DP8" s="1421"/>
      <c r="DQ8" s="1421"/>
      <c r="DR8" s="1421">
        <v>0</v>
      </c>
      <c r="DS8" s="1421"/>
      <c r="DT8" s="1421">
        <v>0</v>
      </c>
      <c r="DU8" s="1421"/>
      <c r="DV8" s="1421"/>
      <c r="DW8" s="1421">
        <v>0</v>
      </c>
      <c r="DX8" s="1421"/>
      <c r="DY8" s="1421"/>
      <c r="DZ8" s="1421"/>
      <c r="EA8" s="1421"/>
      <c r="EB8" s="1421">
        <v>0</v>
      </c>
      <c r="EC8" s="1421"/>
      <c r="ED8" s="1421"/>
      <c r="EE8" s="1421"/>
      <c r="EF8" s="1421">
        <v>0</v>
      </c>
      <c r="EG8" s="1421">
        <v>0</v>
      </c>
      <c r="EH8" s="1421"/>
      <c r="EI8" s="1421"/>
      <c r="EJ8" s="1421">
        <v>0</v>
      </c>
      <c r="EK8" s="1421"/>
      <c r="EL8" s="1421"/>
      <c r="EM8" s="1421">
        <v>0</v>
      </c>
      <c r="EN8" s="1421"/>
      <c r="EO8" s="1421"/>
      <c r="EP8" s="1421"/>
      <c r="EQ8" s="1421"/>
      <c r="ER8" s="1421"/>
      <c r="ES8" s="1421">
        <v>-27484719</v>
      </c>
      <c r="ET8" s="1421">
        <v>37045237</v>
      </c>
      <c r="EU8" s="1421">
        <v>2498362</v>
      </c>
      <c r="EV8" s="1421">
        <v>34546875</v>
      </c>
      <c r="EW8" s="1421">
        <v>0</v>
      </c>
      <c r="EX8" s="1421"/>
      <c r="EY8" s="1421"/>
      <c r="EZ8" s="1421">
        <v>-64529956</v>
      </c>
      <c r="FA8" s="1421"/>
      <c r="FB8" s="1421"/>
      <c r="FC8" s="1421">
        <v>-64529956</v>
      </c>
      <c r="FD8" s="1421"/>
      <c r="FE8" s="1421"/>
      <c r="FF8" s="1421">
        <v>62442950.270000011</v>
      </c>
      <c r="FG8" s="1421"/>
      <c r="FH8" s="1421"/>
      <c r="FI8" s="1421"/>
      <c r="FJ8" s="1421"/>
      <c r="FK8" s="1421"/>
      <c r="FL8" s="1421">
        <v>98893214</v>
      </c>
      <c r="FM8" s="1221">
        <v>0</v>
      </c>
    </row>
    <row r="9" spans="1:169">
      <c r="A9" s="1221"/>
      <c r="B9" s="1223">
        <v>42125</v>
      </c>
      <c r="C9" s="1421">
        <v>63899237.700000003</v>
      </c>
      <c r="D9" s="1421">
        <v>63899237.700000003</v>
      </c>
      <c r="E9" s="1421">
        <v>24852109.379999999</v>
      </c>
      <c r="F9" s="1421">
        <v>39047128.32</v>
      </c>
      <c r="G9" s="1421"/>
      <c r="H9" s="1421"/>
      <c r="I9" s="1421"/>
      <c r="J9" s="1421"/>
      <c r="K9" s="1421"/>
      <c r="L9" s="1421"/>
      <c r="M9" s="1421"/>
      <c r="N9" s="1421"/>
      <c r="O9" s="1421"/>
      <c r="P9" s="1421"/>
      <c r="Q9" s="1421">
        <v>0</v>
      </c>
      <c r="R9" s="1421">
        <v>0</v>
      </c>
      <c r="S9" s="1421">
        <v>0</v>
      </c>
      <c r="T9" s="1421"/>
      <c r="U9" s="1421"/>
      <c r="V9" s="1421"/>
      <c r="W9" s="1421">
        <v>0</v>
      </c>
      <c r="X9" s="1421"/>
      <c r="Y9" s="1421"/>
      <c r="Z9" s="1421"/>
      <c r="AA9" s="1421">
        <v>0</v>
      </c>
      <c r="AB9" s="1421"/>
      <c r="AC9" s="1421"/>
      <c r="AD9" s="1421"/>
      <c r="AE9" s="1421">
        <v>0</v>
      </c>
      <c r="AF9" s="1421"/>
      <c r="AG9" s="1421"/>
      <c r="AH9" s="1421"/>
      <c r="AI9" s="1421">
        <v>0</v>
      </c>
      <c r="AJ9" s="1421"/>
      <c r="AK9" s="1421"/>
      <c r="AL9" s="1421"/>
      <c r="AM9" s="1421">
        <v>0</v>
      </c>
      <c r="AN9" s="1421"/>
      <c r="AO9" s="1421"/>
      <c r="AP9" s="1421"/>
      <c r="AQ9" s="1421">
        <v>0</v>
      </c>
      <c r="AR9" s="1421"/>
      <c r="AS9" s="1421"/>
      <c r="AT9" s="1421"/>
      <c r="AU9" s="1421">
        <v>0</v>
      </c>
      <c r="AV9" s="1421"/>
      <c r="AW9" s="1421"/>
      <c r="AX9" s="1421"/>
      <c r="AY9" s="1421">
        <v>0</v>
      </c>
      <c r="AZ9" s="1421"/>
      <c r="BA9" s="1421"/>
      <c r="BB9" s="1421"/>
      <c r="BC9" s="1421">
        <v>0</v>
      </c>
      <c r="BD9" s="1421"/>
      <c r="BE9" s="1421"/>
      <c r="BF9" s="1421"/>
      <c r="BG9" s="1421">
        <v>0</v>
      </c>
      <c r="BH9" s="1421"/>
      <c r="BI9" s="1421"/>
      <c r="BJ9" s="1421"/>
      <c r="BK9" s="1421"/>
      <c r="BL9" s="1421">
        <v>0</v>
      </c>
      <c r="BM9" s="1421">
        <v>0</v>
      </c>
      <c r="BN9" s="1421"/>
      <c r="BO9" s="1421">
        <v>0</v>
      </c>
      <c r="BP9" s="1421"/>
      <c r="BQ9" s="1421"/>
      <c r="BR9" s="1421"/>
      <c r="BS9" s="1421"/>
      <c r="BT9" s="1421">
        <v>0</v>
      </c>
      <c r="BU9" s="1421"/>
      <c r="BV9" s="1421">
        <v>0</v>
      </c>
      <c r="BW9" s="1421"/>
      <c r="BX9" s="1421"/>
      <c r="BY9" s="1421"/>
      <c r="BZ9" s="1421"/>
      <c r="CA9" s="1421">
        <v>0</v>
      </c>
      <c r="CB9" s="1421"/>
      <c r="CC9" s="1421">
        <v>0</v>
      </c>
      <c r="CD9" s="1421"/>
      <c r="CE9" s="1421"/>
      <c r="CF9" s="1421"/>
      <c r="CG9" s="1421"/>
      <c r="CH9" s="1421"/>
      <c r="CI9" s="1421">
        <v>0</v>
      </c>
      <c r="CJ9" s="1421"/>
      <c r="CK9" s="1421"/>
      <c r="CL9" s="1421"/>
      <c r="CM9" s="1421"/>
      <c r="CN9" s="1421"/>
      <c r="CO9" s="1421">
        <v>0</v>
      </c>
      <c r="CP9" s="1421"/>
      <c r="CQ9" s="1421"/>
      <c r="CR9" s="1421"/>
      <c r="CS9" s="1421"/>
      <c r="CT9" s="1421">
        <v>0</v>
      </c>
      <c r="CU9" s="1421">
        <v>0</v>
      </c>
      <c r="CV9" s="1421"/>
      <c r="CW9" s="1421"/>
      <c r="CX9" s="1421">
        <v>0</v>
      </c>
      <c r="CY9" s="1421"/>
      <c r="CZ9" s="1421"/>
      <c r="DA9" s="1421">
        <v>0</v>
      </c>
      <c r="DB9" s="1421"/>
      <c r="DC9" s="1421"/>
      <c r="DD9" s="1421"/>
      <c r="DE9" s="1421">
        <v>0</v>
      </c>
      <c r="DF9" s="1421">
        <v>0</v>
      </c>
      <c r="DG9" s="1421"/>
      <c r="DH9" s="1421"/>
      <c r="DI9" s="1421">
        <v>0</v>
      </c>
      <c r="DJ9" s="1421"/>
      <c r="DK9" s="1421"/>
      <c r="DL9" s="1421">
        <v>0</v>
      </c>
      <c r="DM9" s="1421"/>
      <c r="DN9" s="1421"/>
      <c r="DO9" s="1421"/>
      <c r="DP9" s="1421"/>
      <c r="DQ9" s="1421"/>
      <c r="DR9" s="1421">
        <v>0</v>
      </c>
      <c r="DS9" s="1421"/>
      <c r="DT9" s="1421">
        <v>0</v>
      </c>
      <c r="DU9" s="1421"/>
      <c r="DV9" s="1421"/>
      <c r="DW9" s="1421">
        <v>0</v>
      </c>
      <c r="DX9" s="1421"/>
      <c r="DY9" s="1421"/>
      <c r="DZ9" s="1421"/>
      <c r="EA9" s="1421"/>
      <c r="EB9" s="1421">
        <v>0</v>
      </c>
      <c r="EC9" s="1421"/>
      <c r="ED9" s="1421"/>
      <c r="EE9" s="1421"/>
      <c r="EF9" s="1421">
        <v>0</v>
      </c>
      <c r="EG9" s="1421">
        <v>0</v>
      </c>
      <c r="EH9" s="1421"/>
      <c r="EI9" s="1421"/>
      <c r="EJ9" s="1421">
        <v>0</v>
      </c>
      <c r="EK9" s="1421"/>
      <c r="EL9" s="1421"/>
      <c r="EM9" s="1421">
        <v>0</v>
      </c>
      <c r="EN9" s="1421"/>
      <c r="EO9" s="1421"/>
      <c r="EP9" s="1421"/>
      <c r="EQ9" s="1421"/>
      <c r="ER9" s="1421"/>
      <c r="ES9" s="1421">
        <v>-28773379</v>
      </c>
      <c r="ET9" s="1421">
        <v>37045237</v>
      </c>
      <c r="EU9" s="1421">
        <v>2498362</v>
      </c>
      <c r="EV9" s="1421">
        <v>34546875</v>
      </c>
      <c r="EW9" s="1421">
        <v>1878565</v>
      </c>
      <c r="EX9" s="1421"/>
      <c r="EY9" s="1421">
        <v>1878565</v>
      </c>
      <c r="EZ9" s="1421">
        <v>-67697181</v>
      </c>
      <c r="FA9" s="1421"/>
      <c r="FB9" s="1421">
        <v>0</v>
      </c>
      <c r="FC9" s="1421">
        <v>-67697181</v>
      </c>
      <c r="FD9" s="1421"/>
      <c r="FE9" s="1421"/>
      <c r="FF9" s="1421">
        <v>64157557.299999997</v>
      </c>
      <c r="FG9" s="1421"/>
      <c r="FH9" s="1421"/>
      <c r="FI9" s="1421"/>
      <c r="FJ9" s="1421"/>
      <c r="FK9" s="1421"/>
      <c r="FL9" s="1421">
        <v>99283416</v>
      </c>
      <c r="FM9" s="1221">
        <v>0</v>
      </c>
    </row>
    <row r="10" spans="1:169">
      <c r="A10" s="1221"/>
      <c r="B10" s="1223">
        <v>42156</v>
      </c>
      <c r="C10" s="1421">
        <v>62949856.870000012</v>
      </c>
      <c r="D10" s="1421">
        <v>62949856.870000012</v>
      </c>
      <c r="E10" s="1421">
        <v>24482869.983765736</v>
      </c>
      <c r="F10" s="1421">
        <v>38466986.886234276</v>
      </c>
      <c r="G10" s="1421"/>
      <c r="H10" s="1421"/>
      <c r="I10" s="1421"/>
      <c r="J10" s="1421"/>
      <c r="K10" s="1421"/>
      <c r="L10" s="1421"/>
      <c r="M10" s="1421"/>
      <c r="N10" s="1421"/>
      <c r="O10" s="1421"/>
      <c r="P10" s="1421"/>
      <c r="Q10" s="1421">
        <v>0</v>
      </c>
      <c r="R10" s="1421">
        <v>0</v>
      </c>
      <c r="S10" s="1421">
        <v>0</v>
      </c>
      <c r="T10" s="1421"/>
      <c r="U10" s="1421"/>
      <c r="V10" s="1421"/>
      <c r="W10" s="1421">
        <v>0</v>
      </c>
      <c r="X10" s="1421"/>
      <c r="Y10" s="1421"/>
      <c r="Z10" s="1421"/>
      <c r="AA10" s="1421">
        <v>0</v>
      </c>
      <c r="AB10" s="1421"/>
      <c r="AC10" s="1421"/>
      <c r="AD10" s="1421"/>
      <c r="AE10" s="1421">
        <v>0</v>
      </c>
      <c r="AF10" s="1421"/>
      <c r="AG10" s="1421"/>
      <c r="AH10" s="1421"/>
      <c r="AI10" s="1421">
        <v>0</v>
      </c>
      <c r="AJ10" s="1421"/>
      <c r="AK10" s="1421"/>
      <c r="AL10" s="1421"/>
      <c r="AM10" s="1421">
        <v>0</v>
      </c>
      <c r="AN10" s="1421"/>
      <c r="AO10" s="1421"/>
      <c r="AP10" s="1421"/>
      <c r="AQ10" s="1421">
        <v>0</v>
      </c>
      <c r="AR10" s="1421"/>
      <c r="AS10" s="1421"/>
      <c r="AT10" s="1421"/>
      <c r="AU10" s="1421">
        <v>0</v>
      </c>
      <c r="AV10" s="1421"/>
      <c r="AW10" s="1421"/>
      <c r="AX10" s="1421"/>
      <c r="AY10" s="1421">
        <v>0</v>
      </c>
      <c r="AZ10" s="1421"/>
      <c r="BA10" s="1421"/>
      <c r="BB10" s="1421"/>
      <c r="BC10" s="1421">
        <v>0</v>
      </c>
      <c r="BD10" s="1421"/>
      <c r="BE10" s="1421"/>
      <c r="BF10" s="1421"/>
      <c r="BG10" s="1421">
        <v>0</v>
      </c>
      <c r="BH10" s="1421"/>
      <c r="BI10" s="1421"/>
      <c r="BJ10" s="1421"/>
      <c r="BK10" s="1421"/>
      <c r="BL10" s="1421">
        <v>0</v>
      </c>
      <c r="BM10" s="1421">
        <v>0</v>
      </c>
      <c r="BN10" s="1421"/>
      <c r="BO10" s="1421">
        <v>0</v>
      </c>
      <c r="BP10" s="1421"/>
      <c r="BQ10" s="1421"/>
      <c r="BR10" s="1421"/>
      <c r="BS10" s="1421"/>
      <c r="BT10" s="1421">
        <v>0</v>
      </c>
      <c r="BU10" s="1421"/>
      <c r="BV10" s="1421">
        <v>0</v>
      </c>
      <c r="BW10" s="1421"/>
      <c r="BX10" s="1421"/>
      <c r="BY10" s="1421"/>
      <c r="BZ10" s="1421"/>
      <c r="CA10" s="1421">
        <v>0</v>
      </c>
      <c r="CB10" s="1421"/>
      <c r="CC10" s="1421">
        <v>0</v>
      </c>
      <c r="CD10" s="1421"/>
      <c r="CE10" s="1421"/>
      <c r="CF10" s="1421"/>
      <c r="CG10" s="1421"/>
      <c r="CH10" s="1421"/>
      <c r="CI10" s="1421">
        <v>0</v>
      </c>
      <c r="CJ10" s="1421"/>
      <c r="CK10" s="1421"/>
      <c r="CL10" s="1421"/>
      <c r="CM10" s="1421"/>
      <c r="CN10" s="1421"/>
      <c r="CO10" s="1421">
        <v>0</v>
      </c>
      <c r="CP10" s="1421"/>
      <c r="CQ10" s="1421"/>
      <c r="CR10" s="1421"/>
      <c r="CS10" s="1421"/>
      <c r="CT10" s="1421">
        <v>0</v>
      </c>
      <c r="CU10" s="1421">
        <v>0</v>
      </c>
      <c r="CV10" s="1421"/>
      <c r="CW10" s="1421"/>
      <c r="CX10" s="1421">
        <v>0</v>
      </c>
      <c r="CY10" s="1421"/>
      <c r="CZ10" s="1421"/>
      <c r="DA10" s="1421">
        <v>0</v>
      </c>
      <c r="DB10" s="1421"/>
      <c r="DC10" s="1421"/>
      <c r="DD10" s="1421"/>
      <c r="DE10" s="1421">
        <v>0</v>
      </c>
      <c r="DF10" s="1421">
        <v>0</v>
      </c>
      <c r="DG10" s="1421"/>
      <c r="DH10" s="1421"/>
      <c r="DI10" s="1421">
        <v>0</v>
      </c>
      <c r="DJ10" s="1421"/>
      <c r="DK10" s="1421"/>
      <c r="DL10" s="1421">
        <v>0</v>
      </c>
      <c r="DM10" s="1421"/>
      <c r="DN10" s="1421"/>
      <c r="DO10" s="1421"/>
      <c r="DP10" s="1421"/>
      <c r="DQ10" s="1421"/>
      <c r="DR10" s="1421">
        <v>0</v>
      </c>
      <c r="DS10" s="1421"/>
      <c r="DT10" s="1421">
        <v>0</v>
      </c>
      <c r="DU10" s="1421"/>
      <c r="DV10" s="1421"/>
      <c r="DW10" s="1421">
        <v>0</v>
      </c>
      <c r="DX10" s="1421"/>
      <c r="DY10" s="1421"/>
      <c r="DZ10" s="1421"/>
      <c r="EA10" s="1421"/>
      <c r="EB10" s="1421">
        <v>0</v>
      </c>
      <c r="EC10" s="1421"/>
      <c r="ED10" s="1421"/>
      <c r="EE10" s="1421"/>
      <c r="EF10" s="1421">
        <v>0</v>
      </c>
      <c r="EG10" s="1421">
        <v>0</v>
      </c>
      <c r="EH10" s="1421"/>
      <c r="EI10" s="1421"/>
      <c r="EJ10" s="1421">
        <v>0</v>
      </c>
      <c r="EK10" s="1421"/>
      <c r="EL10" s="1421"/>
      <c r="EM10" s="1421">
        <v>0</v>
      </c>
      <c r="EN10" s="1421"/>
      <c r="EO10" s="1421"/>
      <c r="EP10" s="1421"/>
      <c r="EQ10" s="1421"/>
      <c r="ER10" s="1421"/>
      <c r="ES10" s="1421">
        <v>-28943901.291288815</v>
      </c>
      <c r="ET10" s="1421">
        <v>37045237</v>
      </c>
      <c r="EU10" s="1421">
        <v>2498362</v>
      </c>
      <c r="EV10" s="1421">
        <v>34546875</v>
      </c>
      <c r="EW10" s="1421">
        <v>1878564.9600000002</v>
      </c>
      <c r="EX10" s="1421"/>
      <c r="EY10" s="1421">
        <v>1878564.9600000002</v>
      </c>
      <c r="EZ10" s="1421">
        <v>-67867703.251288816</v>
      </c>
      <c r="FA10" s="1421"/>
      <c r="FB10" s="1421">
        <v>0</v>
      </c>
      <c r="FC10" s="1421">
        <v>-67867703.251288816</v>
      </c>
      <c r="FD10" s="1421"/>
      <c r="FE10" s="1421"/>
      <c r="FF10" s="1421">
        <v>65430767.570000015</v>
      </c>
      <c r="FG10" s="1421"/>
      <c r="FH10" s="1421"/>
      <c r="FI10" s="1421"/>
      <c r="FJ10" s="1421"/>
      <c r="FK10" s="1421"/>
      <c r="FL10" s="1421">
        <v>99436723.148711205</v>
      </c>
      <c r="FM10" s="1221">
        <v>0</v>
      </c>
    </row>
    <row r="11" spans="1:169">
      <c r="A11" s="1221"/>
      <c r="B11" s="1223">
        <v>42186</v>
      </c>
      <c r="C11" s="1421">
        <v>62949856.870000005</v>
      </c>
      <c r="D11" s="1421">
        <v>62949856.870000005</v>
      </c>
      <c r="E11" s="1421">
        <v>24482869.98</v>
      </c>
      <c r="F11" s="1421">
        <v>38466986.890000001</v>
      </c>
      <c r="G11" s="1421"/>
      <c r="H11" s="1421"/>
      <c r="I11" s="1421"/>
      <c r="J11" s="1421"/>
      <c r="K11" s="1421"/>
      <c r="L11" s="1421"/>
      <c r="M11" s="1421"/>
      <c r="N11" s="1421"/>
      <c r="O11" s="1421"/>
      <c r="P11" s="1421"/>
      <c r="Q11" s="1421">
        <v>0</v>
      </c>
      <c r="R11" s="1421">
        <v>0</v>
      </c>
      <c r="S11" s="1421">
        <v>0</v>
      </c>
      <c r="T11" s="1421"/>
      <c r="U11" s="1421"/>
      <c r="V11" s="1421"/>
      <c r="W11" s="1421">
        <v>0</v>
      </c>
      <c r="X11" s="1421"/>
      <c r="Y11" s="1421"/>
      <c r="Z11" s="1421"/>
      <c r="AA11" s="1421">
        <v>0</v>
      </c>
      <c r="AB11" s="1421"/>
      <c r="AC11" s="1421"/>
      <c r="AD11" s="1421"/>
      <c r="AE11" s="1421">
        <v>0</v>
      </c>
      <c r="AF11" s="1421"/>
      <c r="AG11" s="1421"/>
      <c r="AH11" s="1421"/>
      <c r="AI11" s="1421">
        <v>0</v>
      </c>
      <c r="AJ11" s="1421"/>
      <c r="AK11" s="1421"/>
      <c r="AL11" s="1421"/>
      <c r="AM11" s="1421">
        <v>0</v>
      </c>
      <c r="AN11" s="1421"/>
      <c r="AO11" s="1421"/>
      <c r="AP11" s="1421"/>
      <c r="AQ11" s="1421">
        <v>0</v>
      </c>
      <c r="AR11" s="1421"/>
      <c r="AS11" s="1421"/>
      <c r="AT11" s="1421"/>
      <c r="AU11" s="1421">
        <v>0</v>
      </c>
      <c r="AV11" s="1421"/>
      <c r="AW11" s="1421"/>
      <c r="AX11" s="1421"/>
      <c r="AY11" s="1421">
        <v>0</v>
      </c>
      <c r="AZ11" s="1421"/>
      <c r="BA11" s="1421"/>
      <c r="BB11" s="1421"/>
      <c r="BC11" s="1421">
        <v>0</v>
      </c>
      <c r="BD11" s="1421"/>
      <c r="BE11" s="1421"/>
      <c r="BF11" s="1421"/>
      <c r="BG11" s="1421">
        <v>0</v>
      </c>
      <c r="BH11" s="1421"/>
      <c r="BI11" s="1421"/>
      <c r="BJ11" s="1421"/>
      <c r="BK11" s="1421"/>
      <c r="BL11" s="1421">
        <v>0</v>
      </c>
      <c r="BM11" s="1421">
        <v>0</v>
      </c>
      <c r="BN11" s="1421"/>
      <c r="BO11" s="1421">
        <v>0</v>
      </c>
      <c r="BP11" s="1421"/>
      <c r="BQ11" s="1421"/>
      <c r="BR11" s="1421"/>
      <c r="BS11" s="1421"/>
      <c r="BT11" s="1421">
        <v>0</v>
      </c>
      <c r="BU11" s="1421"/>
      <c r="BV11" s="1421">
        <v>0</v>
      </c>
      <c r="BW11" s="1421"/>
      <c r="BX11" s="1421"/>
      <c r="BY11" s="1421"/>
      <c r="BZ11" s="1421"/>
      <c r="CA11" s="1421">
        <v>0</v>
      </c>
      <c r="CB11" s="1421"/>
      <c r="CC11" s="1421">
        <v>0</v>
      </c>
      <c r="CD11" s="1421"/>
      <c r="CE11" s="1421"/>
      <c r="CF11" s="1421"/>
      <c r="CG11" s="1421"/>
      <c r="CH11" s="1421"/>
      <c r="CI11" s="1421">
        <v>0</v>
      </c>
      <c r="CJ11" s="1421"/>
      <c r="CK11" s="1421"/>
      <c r="CL11" s="1421"/>
      <c r="CM11" s="1421"/>
      <c r="CN11" s="1421"/>
      <c r="CO11" s="1421">
        <v>0</v>
      </c>
      <c r="CP11" s="1421"/>
      <c r="CQ11" s="1421"/>
      <c r="CR11" s="1421"/>
      <c r="CS11" s="1421"/>
      <c r="CT11" s="1421">
        <v>0</v>
      </c>
      <c r="CU11" s="1421">
        <v>0</v>
      </c>
      <c r="CV11" s="1421"/>
      <c r="CW11" s="1421"/>
      <c r="CX11" s="1421">
        <v>0</v>
      </c>
      <c r="CY11" s="1421"/>
      <c r="CZ11" s="1421"/>
      <c r="DA11" s="1421">
        <v>0</v>
      </c>
      <c r="DB11" s="1421"/>
      <c r="DC11" s="1421"/>
      <c r="DD11" s="1421"/>
      <c r="DE11" s="1421">
        <v>0</v>
      </c>
      <c r="DF11" s="1421">
        <v>0</v>
      </c>
      <c r="DG11" s="1421"/>
      <c r="DH11" s="1421"/>
      <c r="DI11" s="1421">
        <v>0</v>
      </c>
      <c r="DJ11" s="1421"/>
      <c r="DK11" s="1421"/>
      <c r="DL11" s="1421">
        <v>0</v>
      </c>
      <c r="DM11" s="1421"/>
      <c r="DN11" s="1421"/>
      <c r="DO11" s="1421"/>
      <c r="DP11" s="1421"/>
      <c r="DQ11" s="1421"/>
      <c r="DR11" s="1421">
        <v>0</v>
      </c>
      <c r="DS11" s="1421"/>
      <c r="DT11" s="1421">
        <v>0</v>
      </c>
      <c r="DU11" s="1421"/>
      <c r="DV11" s="1421"/>
      <c r="DW11" s="1421">
        <v>0</v>
      </c>
      <c r="DX11" s="1421"/>
      <c r="DY11" s="1421"/>
      <c r="DZ11" s="1421"/>
      <c r="EA11" s="1421"/>
      <c r="EB11" s="1421">
        <v>0</v>
      </c>
      <c r="EC11" s="1421"/>
      <c r="ED11" s="1421"/>
      <c r="EE11" s="1421"/>
      <c r="EF11" s="1421">
        <v>0</v>
      </c>
      <c r="EG11" s="1421">
        <v>0</v>
      </c>
      <c r="EH11" s="1421"/>
      <c r="EI11" s="1421"/>
      <c r="EJ11" s="1421">
        <v>0</v>
      </c>
      <c r="EK11" s="1421"/>
      <c r="EL11" s="1421"/>
      <c r="EM11" s="1421">
        <v>0</v>
      </c>
      <c r="EN11" s="1421"/>
      <c r="EO11" s="1421"/>
      <c r="EP11" s="1421"/>
      <c r="EQ11" s="1421"/>
      <c r="ER11" s="1421"/>
      <c r="ES11" s="1421">
        <v>-27769396</v>
      </c>
      <c r="ET11" s="1421">
        <v>37045237</v>
      </c>
      <c r="EU11" s="1421">
        <v>2498362</v>
      </c>
      <c r="EV11" s="1421">
        <v>34546875</v>
      </c>
      <c r="EW11" s="1421">
        <v>1878564</v>
      </c>
      <c r="EX11" s="1421"/>
      <c r="EY11" s="1421">
        <v>1878564</v>
      </c>
      <c r="EZ11" s="1421">
        <v>-66693197</v>
      </c>
      <c r="FA11" s="1421"/>
      <c r="FB11" s="1421">
        <v>0</v>
      </c>
      <c r="FC11" s="1421">
        <v>-66693197</v>
      </c>
      <c r="FD11" s="1421"/>
      <c r="FE11" s="1421"/>
      <c r="FF11" s="1421">
        <v>64795022.129999995</v>
      </c>
      <c r="FG11" s="1421"/>
      <c r="FH11" s="1421"/>
      <c r="FI11" s="1421"/>
      <c r="FJ11" s="1421"/>
      <c r="FK11" s="1421"/>
      <c r="FL11" s="1421">
        <v>99975483</v>
      </c>
      <c r="FM11" s="1221">
        <v>0</v>
      </c>
    </row>
    <row r="12" spans="1:169">
      <c r="A12" s="1221"/>
      <c r="B12" s="1223">
        <v>42217</v>
      </c>
      <c r="C12" s="1421">
        <v>62949856.719999999</v>
      </c>
      <c r="D12" s="1421">
        <v>62949856.719999999</v>
      </c>
      <c r="E12" s="1421">
        <v>24482869.93</v>
      </c>
      <c r="F12" s="1421">
        <v>38466986.789999999</v>
      </c>
      <c r="G12" s="1421"/>
      <c r="H12" s="1421"/>
      <c r="I12" s="1421"/>
      <c r="J12" s="1421"/>
      <c r="K12" s="1421"/>
      <c r="L12" s="1421"/>
      <c r="M12" s="1421"/>
      <c r="N12" s="1421"/>
      <c r="O12" s="1421"/>
      <c r="P12" s="1421"/>
      <c r="Q12" s="1421">
        <v>0</v>
      </c>
      <c r="R12" s="1421">
        <v>0</v>
      </c>
      <c r="S12" s="1421">
        <v>0</v>
      </c>
      <c r="T12" s="1421"/>
      <c r="U12" s="1421"/>
      <c r="V12" s="1421"/>
      <c r="W12" s="1421">
        <v>0</v>
      </c>
      <c r="X12" s="1421"/>
      <c r="Y12" s="1421"/>
      <c r="Z12" s="1421"/>
      <c r="AA12" s="1421">
        <v>0</v>
      </c>
      <c r="AB12" s="1421"/>
      <c r="AC12" s="1421"/>
      <c r="AD12" s="1421"/>
      <c r="AE12" s="1421">
        <v>0</v>
      </c>
      <c r="AF12" s="1421"/>
      <c r="AG12" s="1421"/>
      <c r="AH12" s="1421"/>
      <c r="AI12" s="1421">
        <v>0</v>
      </c>
      <c r="AJ12" s="1421"/>
      <c r="AK12" s="1421"/>
      <c r="AL12" s="1421"/>
      <c r="AM12" s="1421">
        <v>0</v>
      </c>
      <c r="AN12" s="1421"/>
      <c r="AO12" s="1421"/>
      <c r="AP12" s="1421"/>
      <c r="AQ12" s="1421">
        <v>0</v>
      </c>
      <c r="AR12" s="1421"/>
      <c r="AS12" s="1421"/>
      <c r="AT12" s="1421"/>
      <c r="AU12" s="1421">
        <v>0</v>
      </c>
      <c r="AV12" s="1421"/>
      <c r="AW12" s="1421"/>
      <c r="AX12" s="1421"/>
      <c r="AY12" s="1421">
        <v>0</v>
      </c>
      <c r="AZ12" s="1421"/>
      <c r="BA12" s="1421"/>
      <c r="BB12" s="1421"/>
      <c r="BC12" s="1421">
        <v>0</v>
      </c>
      <c r="BD12" s="1421"/>
      <c r="BE12" s="1421"/>
      <c r="BF12" s="1421"/>
      <c r="BG12" s="1421">
        <v>0</v>
      </c>
      <c r="BH12" s="1421"/>
      <c r="BI12" s="1421"/>
      <c r="BJ12" s="1421"/>
      <c r="BK12" s="1421"/>
      <c r="BL12" s="1421">
        <v>0</v>
      </c>
      <c r="BM12" s="1421">
        <v>0</v>
      </c>
      <c r="BN12" s="1421"/>
      <c r="BO12" s="1421">
        <v>0</v>
      </c>
      <c r="BP12" s="1421"/>
      <c r="BQ12" s="1421"/>
      <c r="BR12" s="1421"/>
      <c r="BS12" s="1421"/>
      <c r="BT12" s="1421">
        <v>0</v>
      </c>
      <c r="BU12" s="1421"/>
      <c r="BV12" s="1421">
        <v>0</v>
      </c>
      <c r="BW12" s="1421"/>
      <c r="BX12" s="1421"/>
      <c r="BY12" s="1421"/>
      <c r="BZ12" s="1421"/>
      <c r="CA12" s="1421">
        <v>0</v>
      </c>
      <c r="CB12" s="1421"/>
      <c r="CC12" s="1421">
        <v>0</v>
      </c>
      <c r="CD12" s="1421"/>
      <c r="CE12" s="1421"/>
      <c r="CF12" s="1421"/>
      <c r="CG12" s="1421"/>
      <c r="CH12" s="1421"/>
      <c r="CI12" s="1421">
        <v>0</v>
      </c>
      <c r="CJ12" s="1421"/>
      <c r="CK12" s="1421"/>
      <c r="CL12" s="1421"/>
      <c r="CM12" s="1421"/>
      <c r="CN12" s="1421"/>
      <c r="CO12" s="1421">
        <v>0</v>
      </c>
      <c r="CP12" s="1421"/>
      <c r="CQ12" s="1421"/>
      <c r="CR12" s="1421"/>
      <c r="CS12" s="1421"/>
      <c r="CT12" s="1421">
        <v>0</v>
      </c>
      <c r="CU12" s="1421">
        <v>0</v>
      </c>
      <c r="CV12" s="1421"/>
      <c r="CW12" s="1421"/>
      <c r="CX12" s="1421">
        <v>0</v>
      </c>
      <c r="CY12" s="1421"/>
      <c r="CZ12" s="1421"/>
      <c r="DA12" s="1421">
        <v>0</v>
      </c>
      <c r="DB12" s="1421"/>
      <c r="DC12" s="1421"/>
      <c r="DD12" s="1421"/>
      <c r="DE12" s="1421">
        <v>0</v>
      </c>
      <c r="DF12" s="1421">
        <v>0</v>
      </c>
      <c r="DG12" s="1421"/>
      <c r="DH12" s="1421"/>
      <c r="DI12" s="1421">
        <v>0</v>
      </c>
      <c r="DJ12" s="1421"/>
      <c r="DK12" s="1421"/>
      <c r="DL12" s="1421">
        <v>0</v>
      </c>
      <c r="DM12" s="1421"/>
      <c r="DN12" s="1421"/>
      <c r="DO12" s="1421"/>
      <c r="DP12" s="1421"/>
      <c r="DQ12" s="1421"/>
      <c r="DR12" s="1421">
        <v>0</v>
      </c>
      <c r="DS12" s="1421"/>
      <c r="DT12" s="1421">
        <v>0</v>
      </c>
      <c r="DU12" s="1421"/>
      <c r="DV12" s="1421"/>
      <c r="DW12" s="1421">
        <v>0</v>
      </c>
      <c r="DX12" s="1421"/>
      <c r="DY12" s="1421"/>
      <c r="DZ12" s="1421"/>
      <c r="EA12" s="1421"/>
      <c r="EB12" s="1421">
        <v>0</v>
      </c>
      <c r="EC12" s="1421"/>
      <c r="ED12" s="1421"/>
      <c r="EE12" s="1421"/>
      <c r="EF12" s="1421">
        <v>0</v>
      </c>
      <c r="EG12" s="1421">
        <v>0</v>
      </c>
      <c r="EH12" s="1421"/>
      <c r="EI12" s="1421"/>
      <c r="EJ12" s="1421">
        <v>0</v>
      </c>
      <c r="EK12" s="1421"/>
      <c r="EL12" s="1421"/>
      <c r="EM12" s="1421">
        <v>0</v>
      </c>
      <c r="EN12" s="1421"/>
      <c r="EO12" s="1421"/>
      <c r="EP12" s="1421"/>
      <c r="EQ12" s="1421"/>
      <c r="ER12" s="1421"/>
      <c r="ES12" s="1421">
        <v>-14905779</v>
      </c>
      <c r="ET12" s="1421">
        <v>37045237</v>
      </c>
      <c r="EU12" s="1421">
        <v>2498362</v>
      </c>
      <c r="EV12" s="1421">
        <v>34546875</v>
      </c>
      <c r="EW12" s="1421">
        <v>1878564</v>
      </c>
      <c r="EX12" s="1421"/>
      <c r="EY12" s="1421">
        <v>1878564</v>
      </c>
      <c r="EZ12" s="1421">
        <v>-53829580</v>
      </c>
      <c r="FA12" s="1421"/>
      <c r="FB12" s="1421">
        <v>0</v>
      </c>
      <c r="FC12" s="1421">
        <v>-53829580</v>
      </c>
      <c r="FD12" s="1421"/>
      <c r="FE12" s="1421"/>
      <c r="FF12" s="1421">
        <v>51348892.280000001</v>
      </c>
      <c r="FG12" s="1421"/>
      <c r="FH12" s="1421"/>
      <c r="FI12" s="1421"/>
      <c r="FJ12" s="1421"/>
      <c r="FK12" s="1421"/>
      <c r="FL12" s="1421">
        <v>99392970</v>
      </c>
      <c r="FM12" s="1221">
        <v>0</v>
      </c>
    </row>
    <row r="13" spans="1:169">
      <c r="A13" s="1221"/>
      <c r="B13" s="1223">
        <v>42248</v>
      </c>
      <c r="C13" s="1421">
        <v>62157810.079999998</v>
      </c>
      <c r="D13" s="1421">
        <v>62157810.079999998</v>
      </c>
      <c r="E13" s="1421">
        <v>24174821.969999999</v>
      </c>
      <c r="F13" s="1421">
        <v>37982988.109999999</v>
      </c>
      <c r="G13" s="1421"/>
      <c r="H13" s="1421"/>
      <c r="I13" s="1421"/>
      <c r="J13" s="1421"/>
      <c r="K13" s="1421"/>
      <c r="L13" s="1421"/>
      <c r="M13" s="1421"/>
      <c r="N13" s="1421"/>
      <c r="O13" s="1421"/>
      <c r="P13" s="1421"/>
      <c r="Q13" s="1421">
        <v>0</v>
      </c>
      <c r="R13" s="1421">
        <v>0</v>
      </c>
      <c r="S13" s="1421">
        <v>0</v>
      </c>
      <c r="T13" s="1421"/>
      <c r="U13" s="1421"/>
      <c r="V13" s="1421"/>
      <c r="W13" s="1421">
        <v>0</v>
      </c>
      <c r="X13" s="1421"/>
      <c r="Y13" s="1421"/>
      <c r="Z13" s="1421"/>
      <c r="AA13" s="1421">
        <v>0</v>
      </c>
      <c r="AB13" s="1421"/>
      <c r="AC13" s="1421"/>
      <c r="AD13" s="1421"/>
      <c r="AE13" s="1421">
        <v>0</v>
      </c>
      <c r="AF13" s="1421"/>
      <c r="AG13" s="1421"/>
      <c r="AH13" s="1421"/>
      <c r="AI13" s="1421">
        <v>0</v>
      </c>
      <c r="AJ13" s="1421"/>
      <c r="AK13" s="1421"/>
      <c r="AL13" s="1421"/>
      <c r="AM13" s="1421">
        <v>0</v>
      </c>
      <c r="AN13" s="1421"/>
      <c r="AO13" s="1421"/>
      <c r="AP13" s="1421"/>
      <c r="AQ13" s="1421">
        <v>0</v>
      </c>
      <c r="AR13" s="1421"/>
      <c r="AS13" s="1421"/>
      <c r="AT13" s="1421"/>
      <c r="AU13" s="1421">
        <v>0</v>
      </c>
      <c r="AV13" s="1421"/>
      <c r="AW13" s="1421"/>
      <c r="AX13" s="1421"/>
      <c r="AY13" s="1421">
        <v>0</v>
      </c>
      <c r="AZ13" s="1421"/>
      <c r="BA13" s="1421"/>
      <c r="BB13" s="1421"/>
      <c r="BC13" s="1421">
        <v>0</v>
      </c>
      <c r="BD13" s="1421"/>
      <c r="BE13" s="1421"/>
      <c r="BF13" s="1421"/>
      <c r="BG13" s="1421">
        <v>0</v>
      </c>
      <c r="BH13" s="1421"/>
      <c r="BI13" s="1421"/>
      <c r="BJ13" s="1421"/>
      <c r="BK13" s="1421"/>
      <c r="BL13" s="1421">
        <v>0</v>
      </c>
      <c r="BM13" s="1421">
        <v>0</v>
      </c>
      <c r="BN13" s="1421"/>
      <c r="BO13" s="1421">
        <v>0</v>
      </c>
      <c r="BP13" s="1421"/>
      <c r="BQ13" s="1421"/>
      <c r="BR13" s="1421"/>
      <c r="BS13" s="1421"/>
      <c r="BT13" s="1421">
        <v>0</v>
      </c>
      <c r="BU13" s="1421"/>
      <c r="BV13" s="1421">
        <v>0</v>
      </c>
      <c r="BW13" s="1421"/>
      <c r="BX13" s="1421"/>
      <c r="BY13" s="1421"/>
      <c r="BZ13" s="1421"/>
      <c r="CA13" s="1421">
        <v>0</v>
      </c>
      <c r="CB13" s="1421"/>
      <c r="CC13" s="1421">
        <v>0</v>
      </c>
      <c r="CD13" s="1421"/>
      <c r="CE13" s="1421"/>
      <c r="CF13" s="1421"/>
      <c r="CG13" s="1421"/>
      <c r="CH13" s="1421"/>
      <c r="CI13" s="1421">
        <v>0</v>
      </c>
      <c r="CJ13" s="1421"/>
      <c r="CK13" s="1421"/>
      <c r="CL13" s="1421"/>
      <c r="CM13" s="1421"/>
      <c r="CN13" s="1421"/>
      <c r="CO13" s="1421">
        <v>0</v>
      </c>
      <c r="CP13" s="1421"/>
      <c r="CQ13" s="1421"/>
      <c r="CR13" s="1421"/>
      <c r="CS13" s="1421"/>
      <c r="CT13" s="1421">
        <v>0</v>
      </c>
      <c r="CU13" s="1421">
        <v>0</v>
      </c>
      <c r="CV13" s="1421"/>
      <c r="CW13" s="1421"/>
      <c r="CX13" s="1421">
        <v>0</v>
      </c>
      <c r="CY13" s="1421"/>
      <c r="CZ13" s="1421"/>
      <c r="DA13" s="1421">
        <v>0</v>
      </c>
      <c r="DB13" s="1421"/>
      <c r="DC13" s="1421"/>
      <c r="DD13" s="1421"/>
      <c r="DE13" s="1421">
        <v>0</v>
      </c>
      <c r="DF13" s="1421">
        <v>0</v>
      </c>
      <c r="DG13" s="1421"/>
      <c r="DH13" s="1421"/>
      <c r="DI13" s="1421">
        <v>0</v>
      </c>
      <c r="DJ13" s="1421"/>
      <c r="DK13" s="1421"/>
      <c r="DL13" s="1421">
        <v>0</v>
      </c>
      <c r="DM13" s="1421"/>
      <c r="DN13" s="1421"/>
      <c r="DO13" s="1421"/>
      <c r="DP13" s="1421"/>
      <c r="DQ13" s="1421"/>
      <c r="DR13" s="1421">
        <v>0</v>
      </c>
      <c r="DS13" s="1421"/>
      <c r="DT13" s="1421">
        <v>0</v>
      </c>
      <c r="DU13" s="1421"/>
      <c r="DV13" s="1421"/>
      <c r="DW13" s="1421">
        <v>0</v>
      </c>
      <c r="DX13" s="1421"/>
      <c r="DY13" s="1421"/>
      <c r="DZ13" s="1421"/>
      <c r="EA13" s="1421"/>
      <c r="EB13" s="1421">
        <v>0</v>
      </c>
      <c r="EC13" s="1421"/>
      <c r="ED13" s="1421"/>
      <c r="EE13" s="1421"/>
      <c r="EF13" s="1421">
        <v>0</v>
      </c>
      <c r="EG13" s="1421">
        <v>0</v>
      </c>
      <c r="EH13" s="1421"/>
      <c r="EI13" s="1421"/>
      <c r="EJ13" s="1421">
        <v>0</v>
      </c>
      <c r="EK13" s="1421"/>
      <c r="EL13" s="1421"/>
      <c r="EM13" s="1421">
        <v>0</v>
      </c>
      <c r="EN13" s="1421"/>
      <c r="EO13" s="1421"/>
      <c r="EP13" s="1421"/>
      <c r="EQ13" s="1421"/>
      <c r="ER13" s="1421"/>
      <c r="ES13" s="1421">
        <v>-15330579</v>
      </c>
      <c r="ET13" s="1421">
        <v>37045237</v>
      </c>
      <c r="EU13" s="1421">
        <v>2498362</v>
      </c>
      <c r="EV13" s="1421">
        <v>34546875</v>
      </c>
      <c r="EW13" s="1421">
        <v>1878564</v>
      </c>
      <c r="EX13" s="1421"/>
      <c r="EY13" s="1421">
        <v>1878564</v>
      </c>
      <c r="EZ13" s="1421">
        <v>-54254380</v>
      </c>
      <c r="FA13" s="1421"/>
      <c r="FB13" s="1421">
        <v>0</v>
      </c>
      <c r="FC13" s="1421">
        <v>-54254380</v>
      </c>
      <c r="FD13" s="1421"/>
      <c r="FE13" s="1421" t="s">
        <v>296</v>
      </c>
      <c r="FF13" s="1421">
        <v>52038445.920000002</v>
      </c>
      <c r="FG13" s="1421"/>
      <c r="FH13" s="1421"/>
      <c r="FI13" s="1421"/>
      <c r="FJ13" s="1421"/>
      <c r="FK13" s="1421"/>
      <c r="FL13" s="1421">
        <v>98865677</v>
      </c>
      <c r="FM13" s="1221">
        <v>0</v>
      </c>
    </row>
    <row r="14" spans="1:169">
      <c r="A14" s="1221"/>
      <c r="B14" s="1223">
        <v>42278</v>
      </c>
      <c r="C14" s="1421">
        <v>61925598.770000011</v>
      </c>
      <c r="D14" s="1421">
        <v>61925598.770000011</v>
      </c>
      <c r="E14" s="1421">
        <v>24084508.82555205</v>
      </c>
      <c r="F14" s="1421">
        <v>37841089.944447957</v>
      </c>
      <c r="G14" s="1421"/>
      <c r="H14" s="1421"/>
      <c r="I14" s="1421"/>
      <c r="J14" s="1421"/>
      <c r="K14" s="1421"/>
      <c r="L14" s="1421"/>
      <c r="M14" s="1421"/>
      <c r="N14" s="1421"/>
      <c r="O14" s="1421"/>
      <c r="P14" s="1421"/>
      <c r="Q14" s="1421">
        <v>0</v>
      </c>
      <c r="R14" s="1421">
        <v>0</v>
      </c>
      <c r="S14" s="1421">
        <v>0</v>
      </c>
      <c r="T14" s="1421"/>
      <c r="U14" s="1421"/>
      <c r="V14" s="1421"/>
      <c r="W14" s="1421">
        <v>0</v>
      </c>
      <c r="X14" s="1421"/>
      <c r="Y14" s="1421"/>
      <c r="Z14" s="1421"/>
      <c r="AA14" s="1421">
        <v>0</v>
      </c>
      <c r="AB14" s="1421"/>
      <c r="AC14" s="1421"/>
      <c r="AD14" s="1421"/>
      <c r="AE14" s="1421">
        <v>0</v>
      </c>
      <c r="AF14" s="1421"/>
      <c r="AG14" s="1421"/>
      <c r="AH14" s="1421"/>
      <c r="AI14" s="1421">
        <v>0</v>
      </c>
      <c r="AJ14" s="1421"/>
      <c r="AK14" s="1421"/>
      <c r="AL14" s="1421"/>
      <c r="AM14" s="1421">
        <v>0</v>
      </c>
      <c r="AN14" s="1421"/>
      <c r="AO14" s="1421"/>
      <c r="AP14" s="1421"/>
      <c r="AQ14" s="1421">
        <v>0</v>
      </c>
      <c r="AR14" s="1421"/>
      <c r="AS14" s="1421"/>
      <c r="AT14" s="1421"/>
      <c r="AU14" s="1421">
        <v>0</v>
      </c>
      <c r="AV14" s="1421"/>
      <c r="AW14" s="1421"/>
      <c r="AX14" s="1421"/>
      <c r="AY14" s="1421">
        <v>0</v>
      </c>
      <c r="AZ14" s="1421"/>
      <c r="BA14" s="1421"/>
      <c r="BB14" s="1421"/>
      <c r="BC14" s="1421">
        <v>0</v>
      </c>
      <c r="BD14" s="1421"/>
      <c r="BE14" s="1421"/>
      <c r="BF14" s="1421"/>
      <c r="BG14" s="1421">
        <v>0</v>
      </c>
      <c r="BH14" s="1421"/>
      <c r="BI14" s="1421"/>
      <c r="BJ14" s="1421"/>
      <c r="BK14" s="1421"/>
      <c r="BL14" s="1421">
        <v>0</v>
      </c>
      <c r="BM14" s="1421">
        <v>0</v>
      </c>
      <c r="BN14" s="1421"/>
      <c r="BO14" s="1421">
        <v>0</v>
      </c>
      <c r="BP14" s="1421"/>
      <c r="BQ14" s="1421"/>
      <c r="BR14" s="1421"/>
      <c r="BS14" s="1421"/>
      <c r="BT14" s="1421">
        <v>0</v>
      </c>
      <c r="BU14" s="1421"/>
      <c r="BV14" s="1421">
        <v>0</v>
      </c>
      <c r="BW14" s="1421"/>
      <c r="BX14" s="1421"/>
      <c r="BY14" s="1421"/>
      <c r="BZ14" s="1421"/>
      <c r="CA14" s="1421">
        <v>0</v>
      </c>
      <c r="CB14" s="1421"/>
      <c r="CC14" s="1421">
        <v>0</v>
      </c>
      <c r="CD14" s="1421"/>
      <c r="CE14" s="1421"/>
      <c r="CF14" s="1421"/>
      <c r="CG14" s="1421"/>
      <c r="CH14" s="1421"/>
      <c r="CI14" s="1421">
        <v>0</v>
      </c>
      <c r="CJ14" s="1421"/>
      <c r="CK14" s="1421"/>
      <c r="CL14" s="1421"/>
      <c r="CM14" s="1421"/>
      <c r="CN14" s="1421"/>
      <c r="CO14" s="1421">
        <v>0</v>
      </c>
      <c r="CP14" s="1421"/>
      <c r="CQ14" s="1421"/>
      <c r="CR14" s="1421"/>
      <c r="CS14" s="1421"/>
      <c r="CT14" s="1421">
        <v>0</v>
      </c>
      <c r="CU14" s="1421">
        <v>0</v>
      </c>
      <c r="CV14" s="1421"/>
      <c r="CW14" s="1421"/>
      <c r="CX14" s="1421">
        <v>0</v>
      </c>
      <c r="CY14" s="1421"/>
      <c r="CZ14" s="1421"/>
      <c r="DA14" s="1421">
        <v>0</v>
      </c>
      <c r="DB14" s="1421"/>
      <c r="DC14" s="1421"/>
      <c r="DD14" s="1421"/>
      <c r="DE14" s="1421">
        <v>0</v>
      </c>
      <c r="DF14" s="1421">
        <v>0</v>
      </c>
      <c r="DG14" s="1421"/>
      <c r="DH14" s="1421"/>
      <c r="DI14" s="1421">
        <v>0</v>
      </c>
      <c r="DJ14" s="1421"/>
      <c r="DK14" s="1421"/>
      <c r="DL14" s="1421">
        <v>0</v>
      </c>
      <c r="DM14" s="1421"/>
      <c r="DN14" s="1421"/>
      <c r="DO14" s="1421"/>
      <c r="DP14" s="1421"/>
      <c r="DQ14" s="1421"/>
      <c r="DR14" s="1421">
        <v>0</v>
      </c>
      <c r="DS14" s="1421"/>
      <c r="DT14" s="1421">
        <v>0</v>
      </c>
      <c r="DU14" s="1421"/>
      <c r="DV14" s="1421"/>
      <c r="DW14" s="1421">
        <v>0</v>
      </c>
      <c r="DX14" s="1421"/>
      <c r="DY14" s="1421"/>
      <c r="DZ14" s="1421"/>
      <c r="EA14" s="1421"/>
      <c r="EB14" s="1421">
        <v>0</v>
      </c>
      <c r="EC14" s="1421"/>
      <c r="ED14" s="1421"/>
      <c r="EE14" s="1421"/>
      <c r="EF14" s="1421">
        <v>0</v>
      </c>
      <c r="EG14" s="1421">
        <v>0</v>
      </c>
      <c r="EH14" s="1421"/>
      <c r="EI14" s="1421"/>
      <c r="EJ14" s="1421">
        <v>0</v>
      </c>
      <c r="EK14" s="1421"/>
      <c r="EL14" s="1421"/>
      <c r="EM14" s="1421">
        <v>0</v>
      </c>
      <c r="EN14" s="1421"/>
      <c r="EO14" s="1421"/>
      <c r="EP14" s="1421"/>
      <c r="EQ14" s="1421"/>
      <c r="ER14" s="1421"/>
      <c r="ES14" s="1421">
        <v>-16378511.855082531</v>
      </c>
      <c r="ET14" s="1421">
        <v>37045237</v>
      </c>
      <c r="EU14" s="1421">
        <v>2498362</v>
      </c>
      <c r="EV14" s="1421">
        <v>34546875</v>
      </c>
      <c r="EW14" s="1421">
        <v>1878564.4600000002</v>
      </c>
      <c r="EX14" s="1421"/>
      <c r="EY14" s="1421">
        <v>1878564.4600000002</v>
      </c>
      <c r="EZ14" s="1421">
        <v>-55083197.469999999</v>
      </c>
      <c r="FA14" s="1421"/>
      <c r="FB14" s="1421"/>
      <c r="FC14" s="1421">
        <v>-55083197.469999999</v>
      </c>
      <c r="FD14" s="1421">
        <v>-219115.84508253229</v>
      </c>
      <c r="FE14" s="1421"/>
      <c r="FF14" s="1421">
        <v>53206281.208875</v>
      </c>
      <c r="FG14" s="1421"/>
      <c r="FH14" s="1421"/>
      <c r="FI14" s="1421"/>
      <c r="FJ14" s="1421"/>
      <c r="FK14" s="1421"/>
      <c r="FL14" s="1421">
        <v>98753368.123792484</v>
      </c>
      <c r="FM14" s="1221">
        <v>0</v>
      </c>
    </row>
    <row r="15" spans="1:169">
      <c r="A15" s="1221"/>
      <c r="B15" s="1223">
        <v>42309</v>
      </c>
      <c r="C15" s="1421">
        <v>58750333.830000006</v>
      </c>
      <c r="D15" s="1421">
        <v>58750333.830000006</v>
      </c>
      <c r="E15" s="1421">
        <v>22849564.020982079</v>
      </c>
      <c r="F15" s="1421">
        <v>35900769.809017926</v>
      </c>
      <c r="G15" s="1421"/>
      <c r="H15" s="1421"/>
      <c r="I15" s="1421"/>
      <c r="J15" s="1421"/>
      <c r="K15" s="1421"/>
      <c r="L15" s="1421"/>
      <c r="M15" s="1421"/>
      <c r="N15" s="1421"/>
      <c r="O15" s="1421"/>
      <c r="P15" s="1421"/>
      <c r="Q15" s="1421">
        <v>0</v>
      </c>
      <c r="R15" s="1421">
        <v>0</v>
      </c>
      <c r="S15" s="1421">
        <v>0</v>
      </c>
      <c r="T15" s="1421"/>
      <c r="U15" s="1421"/>
      <c r="V15" s="1421"/>
      <c r="W15" s="1421">
        <v>0</v>
      </c>
      <c r="X15" s="1421"/>
      <c r="Y15" s="1421"/>
      <c r="Z15" s="1421"/>
      <c r="AA15" s="1421">
        <v>0</v>
      </c>
      <c r="AB15" s="1421"/>
      <c r="AC15" s="1421"/>
      <c r="AD15" s="1421"/>
      <c r="AE15" s="1421">
        <v>0</v>
      </c>
      <c r="AF15" s="1421"/>
      <c r="AG15" s="1421"/>
      <c r="AH15" s="1421"/>
      <c r="AI15" s="1421">
        <v>0</v>
      </c>
      <c r="AJ15" s="1421"/>
      <c r="AK15" s="1421"/>
      <c r="AL15" s="1421"/>
      <c r="AM15" s="1421">
        <v>0</v>
      </c>
      <c r="AN15" s="1421"/>
      <c r="AO15" s="1421"/>
      <c r="AP15" s="1421"/>
      <c r="AQ15" s="1421">
        <v>0</v>
      </c>
      <c r="AR15" s="1421"/>
      <c r="AS15" s="1421"/>
      <c r="AT15" s="1421"/>
      <c r="AU15" s="1421">
        <v>0</v>
      </c>
      <c r="AV15" s="1421"/>
      <c r="AW15" s="1421"/>
      <c r="AX15" s="1421"/>
      <c r="AY15" s="1421">
        <v>0</v>
      </c>
      <c r="AZ15" s="1421"/>
      <c r="BA15" s="1421"/>
      <c r="BB15" s="1421"/>
      <c r="BC15" s="1421">
        <v>0</v>
      </c>
      <c r="BD15" s="1421"/>
      <c r="BE15" s="1421"/>
      <c r="BF15" s="1421"/>
      <c r="BG15" s="1421">
        <v>0</v>
      </c>
      <c r="BH15" s="1421"/>
      <c r="BI15" s="1421"/>
      <c r="BJ15" s="1421"/>
      <c r="BK15" s="1421"/>
      <c r="BL15" s="1421">
        <v>0</v>
      </c>
      <c r="BM15" s="1421">
        <v>0</v>
      </c>
      <c r="BN15" s="1421"/>
      <c r="BO15" s="1421">
        <v>0</v>
      </c>
      <c r="BP15" s="1421"/>
      <c r="BQ15" s="1421"/>
      <c r="BR15" s="1421"/>
      <c r="BS15" s="1421"/>
      <c r="BT15" s="1421">
        <v>0</v>
      </c>
      <c r="BU15" s="1421"/>
      <c r="BV15" s="1421">
        <v>0</v>
      </c>
      <c r="BW15" s="1421"/>
      <c r="BX15" s="1421"/>
      <c r="BY15" s="1421"/>
      <c r="BZ15" s="1421"/>
      <c r="CA15" s="1421">
        <v>0</v>
      </c>
      <c r="CB15" s="1421"/>
      <c r="CC15" s="1421">
        <v>0</v>
      </c>
      <c r="CD15" s="1421"/>
      <c r="CE15" s="1421"/>
      <c r="CF15" s="1421"/>
      <c r="CG15" s="1421"/>
      <c r="CH15" s="1421"/>
      <c r="CI15" s="1421">
        <v>0</v>
      </c>
      <c r="CJ15" s="1421"/>
      <c r="CK15" s="1421"/>
      <c r="CL15" s="1421"/>
      <c r="CM15" s="1421"/>
      <c r="CN15" s="1421"/>
      <c r="CO15" s="1421">
        <v>0</v>
      </c>
      <c r="CP15" s="1421"/>
      <c r="CQ15" s="1421"/>
      <c r="CR15" s="1421"/>
      <c r="CS15" s="1421"/>
      <c r="CT15" s="1421">
        <v>0</v>
      </c>
      <c r="CU15" s="1421">
        <v>0</v>
      </c>
      <c r="CV15" s="1421"/>
      <c r="CW15" s="1421"/>
      <c r="CX15" s="1421">
        <v>0</v>
      </c>
      <c r="CY15" s="1421"/>
      <c r="CZ15" s="1421"/>
      <c r="DA15" s="1421">
        <v>0</v>
      </c>
      <c r="DB15" s="1421"/>
      <c r="DC15" s="1421"/>
      <c r="DD15" s="1421"/>
      <c r="DE15" s="1421">
        <v>0</v>
      </c>
      <c r="DF15" s="1421">
        <v>0</v>
      </c>
      <c r="DG15" s="1421"/>
      <c r="DH15" s="1421"/>
      <c r="DI15" s="1421">
        <v>0</v>
      </c>
      <c r="DJ15" s="1421"/>
      <c r="DK15" s="1421"/>
      <c r="DL15" s="1421">
        <v>0</v>
      </c>
      <c r="DM15" s="1421"/>
      <c r="DN15" s="1421"/>
      <c r="DO15" s="1421"/>
      <c r="DP15" s="1421"/>
      <c r="DQ15" s="1421"/>
      <c r="DR15" s="1421">
        <v>0</v>
      </c>
      <c r="DS15" s="1421"/>
      <c r="DT15" s="1421">
        <v>0</v>
      </c>
      <c r="DU15" s="1421"/>
      <c r="DV15" s="1421"/>
      <c r="DW15" s="1421">
        <v>0</v>
      </c>
      <c r="DX15" s="1421"/>
      <c r="DY15" s="1421"/>
      <c r="DZ15" s="1421"/>
      <c r="EA15" s="1421"/>
      <c r="EB15" s="1421">
        <v>0</v>
      </c>
      <c r="EC15" s="1421"/>
      <c r="ED15" s="1421"/>
      <c r="EE15" s="1421"/>
      <c r="EF15" s="1421">
        <v>0</v>
      </c>
      <c r="EG15" s="1421">
        <v>0</v>
      </c>
      <c r="EH15" s="1421"/>
      <c r="EI15" s="1421"/>
      <c r="EJ15" s="1421">
        <v>0</v>
      </c>
      <c r="EK15" s="1421"/>
      <c r="EL15" s="1421"/>
      <c r="EM15" s="1421">
        <v>0</v>
      </c>
      <c r="EN15" s="1421"/>
      <c r="EO15" s="1421"/>
      <c r="EP15" s="1421"/>
      <c r="EQ15" s="1421"/>
      <c r="ER15" s="1421"/>
      <c r="ES15" s="1421">
        <v>-20231931.178852752</v>
      </c>
      <c r="ET15" s="1421">
        <v>37045237</v>
      </c>
      <c r="EU15" s="1421">
        <v>2498362</v>
      </c>
      <c r="EV15" s="1421">
        <v>34546875</v>
      </c>
      <c r="EW15" s="1421">
        <v>0</v>
      </c>
      <c r="EX15" s="1421"/>
      <c r="EY15" s="1421"/>
      <c r="EZ15" s="1421">
        <v>-53204633.009999998</v>
      </c>
      <c r="FA15" s="1421"/>
      <c r="FB15" s="1421"/>
      <c r="FC15" s="1421">
        <v>-53204633.009999998</v>
      </c>
      <c r="FD15" s="1421">
        <v>-4072535.168852753</v>
      </c>
      <c r="FE15" s="1421"/>
      <c r="FF15" s="1421">
        <v>52484628.100150019</v>
      </c>
      <c r="FG15" s="1421"/>
      <c r="FH15" s="1421"/>
      <c r="FI15" s="1421"/>
      <c r="FJ15" s="1421"/>
      <c r="FK15" s="1421"/>
      <c r="FL15" s="1421">
        <v>91003030.751297265</v>
      </c>
      <c r="FM15" s="1221">
        <v>0</v>
      </c>
    </row>
    <row r="16" spans="1:169">
      <c r="A16" s="1221"/>
      <c r="B16" s="1223">
        <v>42339</v>
      </c>
      <c r="C16" s="1421">
        <v>58524403.74000001</v>
      </c>
      <c r="D16" s="1421">
        <v>58524403.74000001</v>
      </c>
      <c r="E16" s="1421">
        <v>22761693.812947873</v>
      </c>
      <c r="F16" s="1421">
        <v>35762709.927052133</v>
      </c>
      <c r="G16" s="1421"/>
      <c r="H16" s="1421"/>
      <c r="I16" s="1421"/>
      <c r="J16" s="1421"/>
      <c r="K16" s="1421"/>
      <c r="L16" s="1421"/>
      <c r="M16" s="1421"/>
      <c r="N16" s="1421"/>
      <c r="O16" s="1421"/>
      <c r="P16" s="1421"/>
      <c r="Q16" s="1421">
        <v>0</v>
      </c>
      <c r="R16" s="1421">
        <v>0</v>
      </c>
      <c r="S16" s="1421">
        <v>0</v>
      </c>
      <c r="T16" s="1421"/>
      <c r="U16" s="1421"/>
      <c r="V16" s="1421"/>
      <c r="W16" s="1421">
        <v>0</v>
      </c>
      <c r="X16" s="1421"/>
      <c r="Y16" s="1421"/>
      <c r="Z16" s="1421"/>
      <c r="AA16" s="1421">
        <v>0</v>
      </c>
      <c r="AB16" s="1421"/>
      <c r="AC16" s="1421"/>
      <c r="AD16" s="1421"/>
      <c r="AE16" s="1421">
        <v>0</v>
      </c>
      <c r="AF16" s="1421"/>
      <c r="AG16" s="1421"/>
      <c r="AH16" s="1421"/>
      <c r="AI16" s="1421">
        <v>0</v>
      </c>
      <c r="AJ16" s="1421"/>
      <c r="AK16" s="1421"/>
      <c r="AL16" s="1421"/>
      <c r="AM16" s="1421">
        <v>0</v>
      </c>
      <c r="AN16" s="1421"/>
      <c r="AO16" s="1421"/>
      <c r="AP16" s="1421"/>
      <c r="AQ16" s="1421">
        <v>0</v>
      </c>
      <c r="AR16" s="1421"/>
      <c r="AS16" s="1421"/>
      <c r="AT16" s="1421"/>
      <c r="AU16" s="1421">
        <v>0</v>
      </c>
      <c r="AV16" s="1421"/>
      <c r="AW16" s="1421"/>
      <c r="AX16" s="1421"/>
      <c r="AY16" s="1421">
        <v>0</v>
      </c>
      <c r="AZ16" s="1421"/>
      <c r="BA16" s="1421"/>
      <c r="BB16" s="1421"/>
      <c r="BC16" s="1421">
        <v>0</v>
      </c>
      <c r="BD16" s="1421"/>
      <c r="BE16" s="1421"/>
      <c r="BF16" s="1421"/>
      <c r="BG16" s="1421">
        <v>0</v>
      </c>
      <c r="BH16" s="1421"/>
      <c r="BI16" s="1421"/>
      <c r="BJ16" s="1421"/>
      <c r="BK16" s="1421"/>
      <c r="BL16" s="1421">
        <v>0</v>
      </c>
      <c r="BM16" s="1421">
        <v>0</v>
      </c>
      <c r="BN16" s="1421"/>
      <c r="BO16" s="1421">
        <v>0</v>
      </c>
      <c r="BP16" s="1421"/>
      <c r="BQ16" s="1421"/>
      <c r="BR16" s="1421"/>
      <c r="BS16" s="1421"/>
      <c r="BT16" s="1421">
        <v>0</v>
      </c>
      <c r="BU16" s="1421"/>
      <c r="BV16" s="1421">
        <v>0</v>
      </c>
      <c r="BW16" s="1421"/>
      <c r="BX16" s="1421"/>
      <c r="BY16" s="1421"/>
      <c r="BZ16" s="1421"/>
      <c r="CA16" s="1421">
        <v>0</v>
      </c>
      <c r="CB16" s="1421"/>
      <c r="CC16" s="1421">
        <v>0</v>
      </c>
      <c r="CD16" s="1421"/>
      <c r="CE16" s="1421"/>
      <c r="CF16" s="1421"/>
      <c r="CG16" s="1421"/>
      <c r="CH16" s="1421"/>
      <c r="CI16" s="1421">
        <v>0</v>
      </c>
      <c r="CJ16" s="1421"/>
      <c r="CK16" s="1421"/>
      <c r="CL16" s="1421"/>
      <c r="CM16" s="1421"/>
      <c r="CN16" s="1421"/>
      <c r="CO16" s="1421">
        <v>0</v>
      </c>
      <c r="CP16" s="1421"/>
      <c r="CQ16" s="1421"/>
      <c r="CR16" s="1421"/>
      <c r="CS16" s="1421"/>
      <c r="CT16" s="1421">
        <v>0</v>
      </c>
      <c r="CU16" s="1421">
        <v>0</v>
      </c>
      <c r="CV16" s="1421"/>
      <c r="CW16" s="1421"/>
      <c r="CX16" s="1421">
        <v>0</v>
      </c>
      <c r="CY16" s="1421"/>
      <c r="CZ16" s="1421"/>
      <c r="DA16" s="1421">
        <v>0</v>
      </c>
      <c r="DB16" s="1421"/>
      <c r="DC16" s="1421"/>
      <c r="DD16" s="1421"/>
      <c r="DE16" s="1421">
        <v>0</v>
      </c>
      <c r="DF16" s="1421">
        <v>0</v>
      </c>
      <c r="DG16" s="1421"/>
      <c r="DH16" s="1421"/>
      <c r="DI16" s="1421">
        <v>0</v>
      </c>
      <c r="DJ16" s="1421"/>
      <c r="DK16" s="1421"/>
      <c r="DL16" s="1421">
        <v>0</v>
      </c>
      <c r="DM16" s="1421"/>
      <c r="DN16" s="1421"/>
      <c r="DO16" s="1421"/>
      <c r="DP16" s="1421"/>
      <c r="DQ16" s="1421"/>
      <c r="DR16" s="1421">
        <v>0</v>
      </c>
      <c r="DS16" s="1421"/>
      <c r="DT16" s="1421">
        <v>0</v>
      </c>
      <c r="DU16" s="1421"/>
      <c r="DV16" s="1421"/>
      <c r="DW16" s="1421">
        <v>0</v>
      </c>
      <c r="DX16" s="1421"/>
      <c r="DY16" s="1421"/>
      <c r="DZ16" s="1421"/>
      <c r="EA16" s="1421"/>
      <c r="EB16" s="1421">
        <v>0</v>
      </c>
      <c r="EC16" s="1421"/>
      <c r="ED16" s="1421"/>
      <c r="EE16" s="1421"/>
      <c r="EF16" s="1421">
        <v>0</v>
      </c>
      <c r="EG16" s="1421">
        <v>0</v>
      </c>
      <c r="EH16" s="1421"/>
      <c r="EI16" s="1421"/>
      <c r="EJ16" s="1421">
        <v>0</v>
      </c>
      <c r="EK16" s="1421"/>
      <c r="EL16" s="1421"/>
      <c r="EM16" s="1421">
        <v>0</v>
      </c>
      <c r="EN16" s="1421"/>
      <c r="EO16" s="1421"/>
      <c r="EP16" s="1421"/>
      <c r="EQ16" s="1421"/>
      <c r="ER16" s="1421"/>
      <c r="ES16" s="1421">
        <v>-20134578.286134463</v>
      </c>
      <c r="ET16" s="1421">
        <v>37045237</v>
      </c>
      <c r="EU16" s="1421">
        <v>2498362</v>
      </c>
      <c r="EV16" s="1421">
        <v>34546875</v>
      </c>
      <c r="EW16" s="1421">
        <v>0</v>
      </c>
      <c r="EX16" s="1421"/>
      <c r="EY16" s="1421"/>
      <c r="EZ16" s="1421">
        <v>-53204633.009999998</v>
      </c>
      <c r="FA16" s="1421"/>
      <c r="FB16" s="1421"/>
      <c r="FC16" s="1421">
        <v>-53204633.009999998</v>
      </c>
      <c r="FD16" s="1421">
        <v>-3975182.2761344658</v>
      </c>
      <c r="FE16" s="1421"/>
      <c r="FF16" s="1421">
        <v>53174905.495224968</v>
      </c>
      <c r="FG16" s="1421"/>
      <c r="FH16" s="1421"/>
      <c r="FI16" s="1421"/>
      <c r="FJ16" s="1421"/>
      <c r="FK16" s="1421"/>
      <c r="FL16" s="1421">
        <v>91564730.949090511</v>
      </c>
      <c r="FM16" s="1221">
        <v>0</v>
      </c>
    </row>
    <row r="17" spans="2:169">
      <c r="B17" s="1223"/>
      <c r="C17" s="1421"/>
      <c r="D17" s="1421"/>
      <c r="E17" s="1421"/>
      <c r="F17" s="1421"/>
      <c r="G17" s="1421"/>
      <c r="H17" s="1421"/>
      <c r="I17" s="1421"/>
      <c r="J17" s="1421"/>
      <c r="K17" s="1421"/>
      <c r="L17" s="1421"/>
      <c r="M17" s="1421"/>
      <c r="N17" s="1421"/>
      <c r="O17" s="1421"/>
      <c r="P17" s="1421"/>
      <c r="Q17" s="1421"/>
      <c r="R17" s="1421"/>
      <c r="S17" s="1421"/>
      <c r="T17" s="1421"/>
      <c r="U17" s="1421"/>
      <c r="V17" s="1421"/>
      <c r="W17" s="1421"/>
      <c r="X17" s="1421"/>
      <c r="Y17" s="1421"/>
      <c r="Z17" s="1421"/>
      <c r="AA17" s="1421"/>
      <c r="AB17" s="1421"/>
      <c r="AC17" s="1421"/>
      <c r="AD17" s="1421"/>
      <c r="AE17" s="1421"/>
      <c r="AF17" s="1421"/>
      <c r="AG17" s="1421"/>
      <c r="AH17" s="1421"/>
      <c r="AI17" s="1421"/>
      <c r="AJ17" s="1421"/>
      <c r="AK17" s="1421"/>
      <c r="AL17" s="1421"/>
      <c r="AM17" s="1421"/>
      <c r="AN17" s="1421"/>
      <c r="AO17" s="1421"/>
      <c r="AP17" s="1421"/>
      <c r="AQ17" s="1421"/>
      <c r="AR17" s="1421"/>
      <c r="AS17" s="1421"/>
      <c r="AT17" s="1421"/>
      <c r="AU17" s="1421"/>
      <c r="AV17" s="1421"/>
      <c r="AW17" s="1421"/>
      <c r="AX17" s="1421"/>
      <c r="AY17" s="1421"/>
      <c r="AZ17" s="1421"/>
      <c r="BA17" s="1421"/>
      <c r="BB17" s="1421"/>
      <c r="BC17" s="1421"/>
      <c r="BD17" s="1421"/>
      <c r="BE17" s="1421"/>
      <c r="BF17" s="1421"/>
      <c r="BG17" s="1421"/>
      <c r="BH17" s="1421"/>
      <c r="BI17" s="1421"/>
      <c r="BJ17" s="1421"/>
      <c r="BK17" s="1421"/>
      <c r="BL17" s="1421"/>
      <c r="BM17" s="1421"/>
      <c r="BN17" s="1421"/>
      <c r="BO17" s="1421"/>
      <c r="BP17" s="1421"/>
      <c r="BQ17" s="1421"/>
      <c r="BR17" s="1421"/>
      <c r="BS17" s="1421"/>
      <c r="BT17" s="1421"/>
      <c r="BU17" s="1421"/>
      <c r="BV17" s="1421"/>
      <c r="BW17" s="1421"/>
      <c r="BX17" s="1421"/>
      <c r="BY17" s="1421"/>
      <c r="BZ17" s="1421"/>
      <c r="CA17" s="1421"/>
      <c r="CB17" s="1421"/>
      <c r="CC17" s="1421"/>
      <c r="CD17" s="1421"/>
      <c r="CE17" s="1421"/>
      <c r="CF17" s="1421"/>
      <c r="CG17" s="1421"/>
      <c r="CH17" s="1421"/>
      <c r="CI17" s="1421"/>
      <c r="CJ17" s="1421"/>
      <c r="CK17" s="1421"/>
      <c r="CL17" s="1421"/>
      <c r="CM17" s="1421"/>
      <c r="CN17" s="1421"/>
      <c r="CO17" s="1421"/>
      <c r="CP17" s="1421"/>
      <c r="CQ17" s="1421"/>
      <c r="CR17" s="1421"/>
      <c r="CS17" s="1421"/>
      <c r="CT17" s="1421"/>
      <c r="CU17" s="1421"/>
      <c r="CV17" s="1421"/>
      <c r="CW17" s="1421"/>
      <c r="CX17" s="1421"/>
      <c r="CY17" s="1421"/>
      <c r="CZ17" s="1421"/>
      <c r="DA17" s="1421"/>
      <c r="DB17" s="1421"/>
      <c r="DC17" s="1421"/>
      <c r="DD17" s="1421"/>
      <c r="DE17" s="1421"/>
      <c r="DF17" s="1421"/>
      <c r="DG17" s="1421"/>
      <c r="DH17" s="1421"/>
      <c r="DI17" s="1421"/>
      <c r="DJ17" s="1421"/>
      <c r="DK17" s="1421"/>
      <c r="DL17" s="1421"/>
      <c r="DM17" s="1421"/>
      <c r="DN17" s="1421"/>
      <c r="DO17" s="1421"/>
      <c r="DP17" s="1421"/>
      <c r="DQ17" s="1421"/>
      <c r="DR17" s="1421"/>
      <c r="DS17" s="1421"/>
      <c r="DT17" s="1421"/>
      <c r="DU17" s="1421"/>
      <c r="DV17" s="1421"/>
      <c r="DW17" s="1421"/>
      <c r="DX17" s="1421"/>
      <c r="DY17" s="1421"/>
      <c r="DZ17" s="1421"/>
      <c r="EA17" s="1421"/>
      <c r="EB17" s="1421"/>
      <c r="EC17" s="1421"/>
      <c r="ED17" s="1421"/>
      <c r="EE17" s="1421"/>
      <c r="EF17" s="1421"/>
      <c r="EG17" s="1421"/>
      <c r="EH17" s="1421"/>
      <c r="EI17" s="1421"/>
      <c r="EJ17" s="1421"/>
      <c r="EK17" s="1421"/>
      <c r="EL17" s="1421"/>
      <c r="EM17" s="1421"/>
      <c r="EN17" s="1421"/>
      <c r="EO17" s="1421"/>
      <c r="EP17" s="1421"/>
      <c r="EQ17" s="1421"/>
      <c r="ER17" s="1421"/>
      <c r="ES17" s="1421"/>
      <c r="ET17" s="1421"/>
      <c r="EU17" s="1421"/>
      <c r="EV17" s="1421"/>
      <c r="EW17" s="1421"/>
      <c r="EX17" s="1421"/>
      <c r="EY17" s="1421"/>
      <c r="EZ17" s="1421"/>
      <c r="FA17" s="1421"/>
      <c r="FB17" s="1421"/>
      <c r="FC17" s="1421"/>
      <c r="FD17" s="1421"/>
      <c r="FE17" s="1421"/>
      <c r="FF17" s="1421"/>
      <c r="FG17" s="1421"/>
      <c r="FH17" s="1421"/>
      <c r="FI17" s="1421"/>
      <c r="FJ17" s="1421"/>
      <c r="FK17" s="1421"/>
      <c r="FL17" s="1421"/>
      <c r="FM17" s="1221"/>
    </row>
    <row r="18" spans="2:169">
      <c r="B18" s="1223"/>
      <c r="C18" s="1421"/>
      <c r="D18" s="1421"/>
      <c r="E18" s="1421"/>
      <c r="F18" s="1421"/>
      <c r="G18" s="1421"/>
      <c r="H18" s="1421"/>
      <c r="I18" s="1421"/>
      <c r="J18" s="1421"/>
      <c r="K18" s="1421"/>
      <c r="L18" s="1421"/>
      <c r="M18" s="1421"/>
      <c r="N18" s="1421"/>
      <c r="O18" s="1421"/>
      <c r="P18" s="1421"/>
      <c r="Q18" s="1421"/>
      <c r="R18" s="1421"/>
      <c r="S18" s="1421"/>
      <c r="T18" s="1421"/>
      <c r="U18" s="1421"/>
      <c r="V18" s="1421"/>
      <c r="W18" s="1421"/>
      <c r="X18" s="1421"/>
      <c r="Y18" s="1421"/>
      <c r="Z18" s="1421"/>
      <c r="AA18" s="1421"/>
      <c r="AB18" s="1421"/>
      <c r="AC18" s="1421"/>
      <c r="AD18" s="1421"/>
      <c r="AE18" s="1421"/>
      <c r="AF18" s="1421"/>
      <c r="AG18" s="1421"/>
      <c r="AH18" s="1421"/>
      <c r="AI18" s="1421"/>
      <c r="AJ18" s="1421"/>
      <c r="AK18" s="1421"/>
      <c r="AL18" s="1421"/>
      <c r="AM18" s="1421"/>
      <c r="AN18" s="1421"/>
      <c r="AO18" s="1421"/>
      <c r="AP18" s="1421"/>
      <c r="AQ18" s="1421"/>
      <c r="AR18" s="1421"/>
      <c r="AS18" s="1421"/>
      <c r="AT18" s="1421"/>
      <c r="AU18" s="1421"/>
      <c r="AV18" s="1421"/>
      <c r="AW18" s="1421"/>
      <c r="AX18" s="1421"/>
      <c r="AY18" s="1421"/>
      <c r="AZ18" s="1421"/>
      <c r="BA18" s="1421"/>
      <c r="BB18" s="1421"/>
      <c r="BC18" s="1421"/>
      <c r="BD18" s="1421"/>
      <c r="BE18" s="1421"/>
      <c r="BF18" s="1421"/>
      <c r="BG18" s="1421"/>
      <c r="BH18" s="1421"/>
      <c r="BI18" s="1421"/>
      <c r="BJ18" s="1421"/>
      <c r="BK18" s="1421"/>
      <c r="BL18" s="1421"/>
      <c r="BM18" s="1421"/>
      <c r="BN18" s="1421"/>
      <c r="BO18" s="1421"/>
      <c r="BP18" s="1421"/>
      <c r="BQ18" s="1421"/>
      <c r="BR18" s="1421"/>
      <c r="BS18" s="1421"/>
      <c r="BT18" s="1421"/>
      <c r="BU18" s="1421"/>
      <c r="BV18" s="1421"/>
      <c r="BW18" s="1421"/>
      <c r="BX18" s="1421"/>
      <c r="BY18" s="1421"/>
      <c r="BZ18" s="1421"/>
      <c r="CA18" s="1421"/>
      <c r="CB18" s="1421"/>
      <c r="CC18" s="1421"/>
      <c r="CD18" s="1421"/>
      <c r="CE18" s="1421"/>
      <c r="CF18" s="1421"/>
      <c r="CG18" s="1421"/>
      <c r="CH18" s="1421"/>
      <c r="CI18" s="1421"/>
      <c r="CJ18" s="1421"/>
      <c r="CK18" s="1421"/>
      <c r="CL18" s="1421"/>
      <c r="CM18" s="1421"/>
      <c r="CN18" s="1421"/>
      <c r="CO18" s="1421"/>
      <c r="CP18" s="1421"/>
      <c r="CQ18" s="1421"/>
      <c r="CR18" s="1421"/>
      <c r="CS18" s="1421"/>
      <c r="CT18" s="1421"/>
      <c r="CU18" s="1421"/>
      <c r="CV18" s="1421"/>
      <c r="CW18" s="1421"/>
      <c r="CX18" s="1421"/>
      <c r="CY18" s="1421"/>
      <c r="CZ18" s="1421"/>
      <c r="DA18" s="1421"/>
      <c r="DB18" s="1421"/>
      <c r="DC18" s="1421"/>
      <c r="DD18" s="1421"/>
      <c r="DE18" s="1421"/>
      <c r="DF18" s="1421"/>
      <c r="DG18" s="1421"/>
      <c r="DH18" s="1421"/>
      <c r="DI18" s="1421"/>
      <c r="DJ18" s="1421"/>
      <c r="DK18" s="1421"/>
      <c r="DL18" s="1421"/>
      <c r="DM18" s="1421"/>
      <c r="DN18" s="1421"/>
      <c r="DO18" s="1421"/>
      <c r="DP18" s="1421"/>
      <c r="DQ18" s="1421"/>
      <c r="DR18" s="1421"/>
      <c r="DS18" s="1421"/>
      <c r="DT18" s="1421"/>
      <c r="DU18" s="1421"/>
      <c r="DV18" s="1421"/>
      <c r="DW18" s="1421"/>
      <c r="DX18" s="1421"/>
      <c r="DY18" s="1421"/>
      <c r="DZ18" s="1421"/>
      <c r="EA18" s="1421"/>
      <c r="EB18" s="1421"/>
      <c r="EC18" s="1421"/>
      <c r="ED18" s="1421"/>
      <c r="EE18" s="1421"/>
      <c r="EF18" s="1421"/>
      <c r="EG18" s="1421"/>
      <c r="EH18" s="1421"/>
      <c r="EI18" s="1421"/>
      <c r="EJ18" s="1421"/>
      <c r="EK18" s="1421"/>
      <c r="EL18" s="1421"/>
      <c r="EM18" s="1421"/>
      <c r="EN18" s="1421"/>
      <c r="EO18" s="1421"/>
      <c r="EP18" s="1421"/>
      <c r="EQ18" s="1421"/>
      <c r="ER18" s="1421"/>
      <c r="ES18" s="1421"/>
      <c r="ET18" s="1421"/>
      <c r="EU18" s="1421"/>
      <c r="EV18" s="1421"/>
      <c r="EW18" s="1421"/>
      <c r="EX18" s="1421"/>
      <c r="EY18" s="1421"/>
      <c r="EZ18" s="1421"/>
      <c r="FA18" s="1421"/>
      <c r="FB18" s="1421"/>
      <c r="FC18" s="1421"/>
      <c r="FD18" s="1421"/>
      <c r="FE18" s="1421"/>
      <c r="FF18" s="1421"/>
      <c r="FG18" s="1421"/>
      <c r="FH18" s="1421"/>
      <c r="FI18" s="1421"/>
      <c r="FJ18" s="1421"/>
      <c r="FK18" s="1421"/>
      <c r="FL18" s="1421"/>
      <c r="FM18" s="1221"/>
    </row>
    <row r="19" spans="2:169">
      <c r="B19" s="1223">
        <v>42370</v>
      </c>
      <c r="C19" s="1421">
        <v>58511732.780000001</v>
      </c>
      <c r="D19" s="1421">
        <v>58511732.780000001</v>
      </c>
      <c r="E19" s="1421">
        <v>22756765.740325082</v>
      </c>
      <c r="F19" s="1421">
        <v>35754967.039674923</v>
      </c>
      <c r="G19" s="1421"/>
      <c r="H19" s="1421"/>
      <c r="I19" s="1421"/>
      <c r="J19" s="1421"/>
      <c r="K19" s="1421"/>
      <c r="L19" s="1421"/>
      <c r="M19" s="1421"/>
      <c r="N19" s="1421"/>
      <c r="O19" s="1421"/>
      <c r="P19" s="1421"/>
      <c r="Q19" s="1421">
        <v>0</v>
      </c>
      <c r="R19" s="1421">
        <v>0</v>
      </c>
      <c r="S19" s="1421">
        <v>0</v>
      </c>
      <c r="T19" s="1421"/>
      <c r="U19" s="1421"/>
      <c r="V19" s="1421"/>
      <c r="W19" s="1421">
        <v>0</v>
      </c>
      <c r="X19" s="1421"/>
      <c r="Y19" s="1421"/>
      <c r="Z19" s="1421"/>
      <c r="AA19" s="1421">
        <v>0</v>
      </c>
      <c r="AB19" s="1421"/>
      <c r="AC19" s="1421"/>
      <c r="AD19" s="1421"/>
      <c r="AE19" s="1421">
        <v>0</v>
      </c>
      <c r="AF19" s="1421"/>
      <c r="AG19" s="1421"/>
      <c r="AH19" s="1421"/>
      <c r="AI19" s="1421">
        <v>0</v>
      </c>
      <c r="AJ19" s="1421"/>
      <c r="AK19" s="1421"/>
      <c r="AL19" s="1421"/>
      <c r="AM19" s="1421">
        <v>0</v>
      </c>
      <c r="AN19" s="1421"/>
      <c r="AO19" s="1421"/>
      <c r="AP19" s="1421"/>
      <c r="AQ19" s="1421">
        <v>0</v>
      </c>
      <c r="AR19" s="1421"/>
      <c r="AS19" s="1421"/>
      <c r="AT19" s="1421"/>
      <c r="AU19" s="1421">
        <v>0</v>
      </c>
      <c r="AV19" s="1421"/>
      <c r="AW19" s="1421"/>
      <c r="AX19" s="1421"/>
      <c r="AY19" s="1421">
        <v>0</v>
      </c>
      <c r="AZ19" s="1421"/>
      <c r="BA19" s="1421"/>
      <c r="BB19" s="1421"/>
      <c r="BC19" s="1421">
        <v>0</v>
      </c>
      <c r="BD19" s="1421"/>
      <c r="BE19" s="1421"/>
      <c r="BF19" s="1421"/>
      <c r="BG19" s="1421">
        <v>0</v>
      </c>
      <c r="BH19" s="1421"/>
      <c r="BI19" s="1421"/>
      <c r="BJ19" s="1421"/>
      <c r="BK19" s="1421"/>
      <c r="BL19" s="1421">
        <v>0</v>
      </c>
      <c r="BM19" s="1421">
        <v>0</v>
      </c>
      <c r="BN19" s="1421"/>
      <c r="BO19" s="1421">
        <v>0</v>
      </c>
      <c r="BP19" s="1421"/>
      <c r="BQ19" s="1421"/>
      <c r="BR19" s="1421"/>
      <c r="BS19" s="1421"/>
      <c r="BT19" s="1421">
        <v>0</v>
      </c>
      <c r="BU19" s="1421"/>
      <c r="BV19" s="1421">
        <v>0</v>
      </c>
      <c r="BW19" s="1421"/>
      <c r="BX19" s="1421"/>
      <c r="BY19" s="1421"/>
      <c r="BZ19" s="1421"/>
      <c r="CA19" s="1421">
        <v>0</v>
      </c>
      <c r="CB19" s="1421"/>
      <c r="CC19" s="1421">
        <v>0</v>
      </c>
      <c r="CD19" s="1421"/>
      <c r="CE19" s="1421"/>
      <c r="CF19" s="1421"/>
      <c r="CG19" s="1421"/>
      <c r="CH19" s="1421"/>
      <c r="CI19" s="1421">
        <v>0</v>
      </c>
      <c r="CJ19" s="1421"/>
      <c r="CK19" s="1421"/>
      <c r="CL19" s="1421"/>
      <c r="CM19" s="1421"/>
      <c r="CN19" s="1421"/>
      <c r="CO19" s="1421">
        <v>0</v>
      </c>
      <c r="CP19" s="1421"/>
      <c r="CQ19" s="1421"/>
      <c r="CR19" s="1421"/>
      <c r="CS19" s="1421"/>
      <c r="CT19" s="1421">
        <v>0</v>
      </c>
      <c r="CU19" s="1421">
        <v>0</v>
      </c>
      <c r="CV19" s="1421"/>
      <c r="CW19" s="1421"/>
      <c r="CX19" s="1421">
        <v>0</v>
      </c>
      <c r="CY19" s="1421"/>
      <c r="CZ19" s="1421"/>
      <c r="DA19" s="1421">
        <v>0</v>
      </c>
      <c r="DB19" s="1421"/>
      <c r="DC19" s="1421"/>
      <c r="DD19" s="1421"/>
      <c r="DE19" s="1421">
        <v>0</v>
      </c>
      <c r="DF19" s="1421">
        <v>0</v>
      </c>
      <c r="DG19" s="1421"/>
      <c r="DH19" s="1421"/>
      <c r="DI19" s="1421">
        <v>0</v>
      </c>
      <c r="DJ19" s="1421"/>
      <c r="DK19" s="1421"/>
      <c r="DL19" s="1421">
        <v>0</v>
      </c>
      <c r="DM19" s="1421"/>
      <c r="DN19" s="1421"/>
      <c r="DO19" s="1421"/>
      <c r="DP19" s="1421"/>
      <c r="DQ19" s="1421"/>
      <c r="DR19" s="1421">
        <v>0</v>
      </c>
      <c r="DS19" s="1421"/>
      <c r="DT19" s="1421">
        <v>0</v>
      </c>
      <c r="DU19" s="1421"/>
      <c r="DV19" s="1421"/>
      <c r="DW19" s="1421">
        <v>0</v>
      </c>
      <c r="DX19" s="1421"/>
      <c r="DY19" s="1421"/>
      <c r="DZ19" s="1421"/>
      <c r="EA19" s="1421"/>
      <c r="EB19" s="1421">
        <v>0</v>
      </c>
      <c r="EC19" s="1421"/>
      <c r="ED19" s="1421"/>
      <c r="EE19" s="1421"/>
      <c r="EF19" s="1421">
        <v>0</v>
      </c>
      <c r="EG19" s="1421">
        <v>0</v>
      </c>
      <c r="EH19" s="1421"/>
      <c r="EI19" s="1421"/>
      <c r="EJ19" s="1421">
        <v>0</v>
      </c>
      <c r="EK19" s="1421"/>
      <c r="EL19" s="1421"/>
      <c r="EM19" s="1421">
        <v>0</v>
      </c>
      <c r="EN19" s="1421"/>
      <c r="EO19" s="1421"/>
      <c r="EP19" s="1421"/>
      <c r="EQ19" s="1421"/>
      <c r="ER19" s="1421"/>
      <c r="ES19" s="1421">
        <v>-18844927.405179061</v>
      </c>
      <c r="ET19" s="1421">
        <v>37045237</v>
      </c>
      <c r="EU19" s="1421">
        <v>2498362</v>
      </c>
      <c r="EV19" s="1421">
        <v>34546875</v>
      </c>
      <c r="EW19" s="1421">
        <v>0</v>
      </c>
      <c r="EX19" s="1421"/>
      <c r="EY19" s="1421"/>
      <c r="EZ19" s="1421">
        <v>-53204633.009999998</v>
      </c>
      <c r="FA19" s="1421"/>
      <c r="FB19" s="1421"/>
      <c r="FC19" s="1421">
        <v>-53204633.009999998</v>
      </c>
      <c r="FD19" s="1421">
        <v>-2685531.3951790617</v>
      </c>
      <c r="FE19" s="1421"/>
      <c r="FF19" s="1421">
        <v>52867962.340325005</v>
      </c>
      <c r="FG19" s="1421"/>
      <c r="FH19" s="1421"/>
      <c r="FI19" s="1421"/>
      <c r="FJ19" s="1421"/>
      <c r="FK19" s="1421"/>
      <c r="FL19" s="1421">
        <v>92534767.715145946</v>
      </c>
      <c r="FM19" s="1221">
        <v>0</v>
      </c>
    </row>
    <row r="20" spans="2:169">
      <c r="B20" s="1223">
        <v>42401</v>
      </c>
      <c r="C20" s="1421">
        <v>58304470.800000012</v>
      </c>
      <c r="D20" s="1421">
        <v>58304470.800000012</v>
      </c>
      <c r="E20" s="1421">
        <v>22676156.055709008</v>
      </c>
      <c r="F20" s="1421">
        <v>35628314.744291</v>
      </c>
      <c r="G20" s="1421"/>
      <c r="H20" s="1421"/>
      <c r="I20" s="1421"/>
      <c r="J20" s="1421"/>
      <c r="K20" s="1421"/>
      <c r="L20" s="1421"/>
      <c r="M20" s="1421"/>
      <c r="N20" s="1421"/>
      <c r="O20" s="1421"/>
      <c r="P20" s="1421"/>
      <c r="Q20" s="1421">
        <v>0</v>
      </c>
      <c r="R20" s="1421">
        <v>0</v>
      </c>
      <c r="S20" s="1421">
        <v>0</v>
      </c>
      <c r="T20" s="1421"/>
      <c r="U20" s="1421"/>
      <c r="V20" s="1421"/>
      <c r="W20" s="1421">
        <v>0</v>
      </c>
      <c r="X20" s="1421"/>
      <c r="Y20" s="1421"/>
      <c r="Z20" s="1421"/>
      <c r="AA20" s="1421">
        <v>0</v>
      </c>
      <c r="AB20" s="1421"/>
      <c r="AC20" s="1421"/>
      <c r="AD20" s="1421"/>
      <c r="AE20" s="1421">
        <v>0</v>
      </c>
      <c r="AF20" s="1421"/>
      <c r="AG20" s="1421"/>
      <c r="AH20" s="1421"/>
      <c r="AI20" s="1421">
        <v>0</v>
      </c>
      <c r="AJ20" s="1421"/>
      <c r="AK20" s="1421"/>
      <c r="AL20" s="1421"/>
      <c r="AM20" s="1421">
        <v>0</v>
      </c>
      <c r="AN20" s="1421"/>
      <c r="AO20" s="1421"/>
      <c r="AP20" s="1421"/>
      <c r="AQ20" s="1421">
        <v>0</v>
      </c>
      <c r="AR20" s="1421"/>
      <c r="AS20" s="1421"/>
      <c r="AT20" s="1421"/>
      <c r="AU20" s="1421">
        <v>0</v>
      </c>
      <c r="AV20" s="1421"/>
      <c r="AW20" s="1421"/>
      <c r="AX20" s="1421"/>
      <c r="AY20" s="1421">
        <v>0</v>
      </c>
      <c r="AZ20" s="1421"/>
      <c r="BA20" s="1421"/>
      <c r="BB20" s="1421"/>
      <c r="BC20" s="1421">
        <v>0</v>
      </c>
      <c r="BD20" s="1421"/>
      <c r="BE20" s="1421"/>
      <c r="BF20" s="1421"/>
      <c r="BG20" s="1421">
        <v>0</v>
      </c>
      <c r="BH20" s="1421"/>
      <c r="BI20" s="1421"/>
      <c r="BJ20" s="1421"/>
      <c r="BK20" s="1421"/>
      <c r="BL20" s="1421">
        <v>0</v>
      </c>
      <c r="BM20" s="1421">
        <v>0</v>
      </c>
      <c r="BN20" s="1421"/>
      <c r="BO20" s="1421">
        <v>0</v>
      </c>
      <c r="BP20" s="1421"/>
      <c r="BQ20" s="1421"/>
      <c r="BR20" s="1421"/>
      <c r="BS20" s="1421"/>
      <c r="BT20" s="1421">
        <v>0</v>
      </c>
      <c r="BU20" s="1421"/>
      <c r="BV20" s="1421">
        <v>0</v>
      </c>
      <c r="BW20" s="1421"/>
      <c r="BX20" s="1421"/>
      <c r="BY20" s="1421"/>
      <c r="BZ20" s="1421"/>
      <c r="CA20" s="1421">
        <v>0</v>
      </c>
      <c r="CB20" s="1421"/>
      <c r="CC20" s="1421">
        <v>0</v>
      </c>
      <c r="CD20" s="1421"/>
      <c r="CE20" s="1421"/>
      <c r="CF20" s="1421"/>
      <c r="CG20" s="1421"/>
      <c r="CH20" s="1421"/>
      <c r="CI20" s="1421">
        <v>0</v>
      </c>
      <c r="CJ20" s="1421"/>
      <c r="CK20" s="1421"/>
      <c r="CL20" s="1421"/>
      <c r="CM20" s="1421"/>
      <c r="CN20" s="1421"/>
      <c r="CO20" s="1421">
        <v>0</v>
      </c>
      <c r="CP20" s="1421"/>
      <c r="CQ20" s="1421"/>
      <c r="CR20" s="1421"/>
      <c r="CS20" s="1421"/>
      <c r="CT20" s="1421">
        <v>0</v>
      </c>
      <c r="CU20" s="1421">
        <v>0</v>
      </c>
      <c r="CV20" s="1421"/>
      <c r="CW20" s="1421"/>
      <c r="CX20" s="1421">
        <v>0</v>
      </c>
      <c r="CY20" s="1421"/>
      <c r="CZ20" s="1421"/>
      <c r="DA20" s="1421">
        <v>0</v>
      </c>
      <c r="DB20" s="1421"/>
      <c r="DC20" s="1421"/>
      <c r="DD20" s="1421"/>
      <c r="DE20" s="1421">
        <v>0</v>
      </c>
      <c r="DF20" s="1421">
        <v>0</v>
      </c>
      <c r="DG20" s="1421"/>
      <c r="DH20" s="1421"/>
      <c r="DI20" s="1421">
        <v>0</v>
      </c>
      <c r="DJ20" s="1421"/>
      <c r="DK20" s="1421"/>
      <c r="DL20" s="1421">
        <v>0</v>
      </c>
      <c r="DM20" s="1421"/>
      <c r="DN20" s="1421"/>
      <c r="DO20" s="1421"/>
      <c r="DP20" s="1421"/>
      <c r="DQ20" s="1421"/>
      <c r="DR20" s="1421">
        <v>0</v>
      </c>
      <c r="DS20" s="1421"/>
      <c r="DT20" s="1421">
        <v>0</v>
      </c>
      <c r="DU20" s="1421"/>
      <c r="DV20" s="1421"/>
      <c r="DW20" s="1421">
        <v>0</v>
      </c>
      <c r="DX20" s="1421"/>
      <c r="DY20" s="1421"/>
      <c r="DZ20" s="1421"/>
      <c r="EA20" s="1421"/>
      <c r="EB20" s="1421">
        <v>0</v>
      </c>
      <c r="EC20" s="1421"/>
      <c r="ED20" s="1421"/>
      <c r="EE20" s="1421"/>
      <c r="EF20" s="1421">
        <v>0</v>
      </c>
      <c r="EG20" s="1421">
        <v>0</v>
      </c>
      <c r="EH20" s="1421"/>
      <c r="EI20" s="1421"/>
      <c r="EJ20" s="1421">
        <v>0</v>
      </c>
      <c r="EK20" s="1421"/>
      <c r="EL20" s="1421"/>
      <c r="EM20" s="1421">
        <v>0</v>
      </c>
      <c r="EN20" s="1421"/>
      <c r="EO20" s="1421"/>
      <c r="EP20" s="1421"/>
      <c r="EQ20" s="1421"/>
      <c r="ER20" s="1421"/>
      <c r="ES20" s="1421">
        <v>-19381433.393419601</v>
      </c>
      <c r="ET20" s="1421">
        <v>37045237</v>
      </c>
      <c r="EU20" s="1421">
        <v>2498362</v>
      </c>
      <c r="EV20" s="1421">
        <v>34546875</v>
      </c>
      <c r="EW20" s="1421">
        <v>0</v>
      </c>
      <c r="EX20" s="1421"/>
      <c r="EY20" s="1421"/>
      <c r="EZ20" s="1421">
        <v>-53204633.009999998</v>
      </c>
      <c r="FA20" s="1421"/>
      <c r="FB20" s="1421"/>
      <c r="FC20" s="1421">
        <v>-53204633.009999998</v>
      </c>
      <c r="FD20" s="1421">
        <v>-3222037.3834196045</v>
      </c>
      <c r="FE20" s="1421"/>
      <c r="FF20" s="1421">
        <v>54283627.27897498</v>
      </c>
      <c r="FG20" s="1421"/>
      <c r="FH20" s="1421"/>
      <c r="FI20" s="1421"/>
      <c r="FJ20" s="1421"/>
      <c r="FK20" s="1421"/>
      <c r="FL20" s="1421">
        <v>93206664.685555398</v>
      </c>
      <c r="FM20" s="1221">
        <v>0</v>
      </c>
    </row>
    <row r="21" spans="2:169">
      <c r="B21" s="1223">
        <v>42430</v>
      </c>
      <c r="C21" s="1421">
        <v>58314951.969999999</v>
      </c>
      <c r="D21" s="1421">
        <v>58314951.969999999</v>
      </c>
      <c r="E21" s="1421">
        <v>22680232.460885234</v>
      </c>
      <c r="F21" s="1421">
        <v>35634719.509114765</v>
      </c>
      <c r="G21" s="1421"/>
      <c r="H21" s="1421"/>
      <c r="I21" s="1421"/>
      <c r="J21" s="1421"/>
      <c r="K21" s="1421"/>
      <c r="L21" s="1421"/>
      <c r="M21" s="1421"/>
      <c r="N21" s="1421"/>
      <c r="O21" s="1421"/>
      <c r="P21" s="1421"/>
      <c r="Q21" s="1421">
        <v>0</v>
      </c>
      <c r="R21" s="1421">
        <v>0</v>
      </c>
      <c r="S21" s="1421">
        <v>0</v>
      </c>
      <c r="T21" s="1421"/>
      <c r="U21" s="1421"/>
      <c r="V21" s="1421"/>
      <c r="W21" s="1421">
        <v>0</v>
      </c>
      <c r="X21" s="1421"/>
      <c r="Y21" s="1421"/>
      <c r="Z21" s="1421"/>
      <c r="AA21" s="1421">
        <v>0</v>
      </c>
      <c r="AB21" s="1421"/>
      <c r="AC21" s="1421"/>
      <c r="AD21" s="1421"/>
      <c r="AE21" s="1421">
        <v>0</v>
      </c>
      <c r="AF21" s="1421"/>
      <c r="AG21" s="1421"/>
      <c r="AH21" s="1421"/>
      <c r="AI21" s="1421">
        <v>0</v>
      </c>
      <c r="AJ21" s="1421"/>
      <c r="AK21" s="1421"/>
      <c r="AL21" s="1421"/>
      <c r="AM21" s="1421">
        <v>0</v>
      </c>
      <c r="AN21" s="1421"/>
      <c r="AO21" s="1421"/>
      <c r="AP21" s="1421"/>
      <c r="AQ21" s="1421">
        <v>0</v>
      </c>
      <c r="AR21" s="1421"/>
      <c r="AS21" s="1421"/>
      <c r="AT21" s="1421"/>
      <c r="AU21" s="1421">
        <v>0</v>
      </c>
      <c r="AV21" s="1421"/>
      <c r="AW21" s="1421"/>
      <c r="AX21" s="1421"/>
      <c r="AY21" s="1421">
        <v>0</v>
      </c>
      <c r="AZ21" s="1421"/>
      <c r="BA21" s="1421"/>
      <c r="BB21" s="1421"/>
      <c r="BC21" s="1421">
        <v>0</v>
      </c>
      <c r="BD21" s="1421"/>
      <c r="BE21" s="1421"/>
      <c r="BF21" s="1421"/>
      <c r="BG21" s="1421">
        <v>0</v>
      </c>
      <c r="BH21" s="1421"/>
      <c r="BI21" s="1421"/>
      <c r="BJ21" s="1421"/>
      <c r="BK21" s="1421"/>
      <c r="BL21" s="1421">
        <v>0</v>
      </c>
      <c r="BM21" s="1421">
        <v>0</v>
      </c>
      <c r="BN21" s="1421"/>
      <c r="BO21" s="1421">
        <v>0</v>
      </c>
      <c r="BP21" s="1421"/>
      <c r="BQ21" s="1421"/>
      <c r="BR21" s="1421"/>
      <c r="BS21" s="1421"/>
      <c r="BT21" s="1421">
        <v>0</v>
      </c>
      <c r="BU21" s="1421"/>
      <c r="BV21" s="1421">
        <v>0</v>
      </c>
      <c r="BW21" s="1421"/>
      <c r="BX21" s="1421"/>
      <c r="BY21" s="1421"/>
      <c r="BZ21" s="1421"/>
      <c r="CA21" s="1421">
        <v>0</v>
      </c>
      <c r="CB21" s="1421"/>
      <c r="CC21" s="1421">
        <v>0</v>
      </c>
      <c r="CD21" s="1421"/>
      <c r="CE21" s="1421"/>
      <c r="CF21" s="1421"/>
      <c r="CG21" s="1421"/>
      <c r="CH21" s="1421"/>
      <c r="CI21" s="1421">
        <v>0</v>
      </c>
      <c r="CJ21" s="1421"/>
      <c r="CK21" s="1421"/>
      <c r="CL21" s="1421"/>
      <c r="CM21" s="1421"/>
      <c r="CN21" s="1421"/>
      <c r="CO21" s="1421">
        <v>0</v>
      </c>
      <c r="CP21" s="1421"/>
      <c r="CQ21" s="1421"/>
      <c r="CR21" s="1421"/>
      <c r="CS21" s="1421"/>
      <c r="CT21" s="1421">
        <v>0</v>
      </c>
      <c r="CU21" s="1421">
        <v>0</v>
      </c>
      <c r="CV21" s="1421"/>
      <c r="CW21" s="1421"/>
      <c r="CX21" s="1421">
        <v>0</v>
      </c>
      <c r="CY21" s="1421"/>
      <c r="CZ21" s="1421"/>
      <c r="DA21" s="1421">
        <v>0</v>
      </c>
      <c r="DB21" s="1421"/>
      <c r="DC21" s="1421"/>
      <c r="DD21" s="1421"/>
      <c r="DE21" s="1421">
        <v>0</v>
      </c>
      <c r="DF21" s="1421">
        <v>0</v>
      </c>
      <c r="DG21" s="1421"/>
      <c r="DH21" s="1421"/>
      <c r="DI21" s="1421">
        <v>0</v>
      </c>
      <c r="DJ21" s="1421"/>
      <c r="DK21" s="1421"/>
      <c r="DL21" s="1421">
        <v>0</v>
      </c>
      <c r="DM21" s="1421"/>
      <c r="DN21" s="1421"/>
      <c r="DO21" s="1421"/>
      <c r="DP21" s="1421"/>
      <c r="DQ21" s="1421"/>
      <c r="DR21" s="1421">
        <v>0</v>
      </c>
      <c r="DS21" s="1421"/>
      <c r="DT21" s="1421">
        <v>0</v>
      </c>
      <c r="DU21" s="1421"/>
      <c r="DV21" s="1421"/>
      <c r="DW21" s="1421">
        <v>0</v>
      </c>
      <c r="DX21" s="1421"/>
      <c r="DY21" s="1421"/>
      <c r="DZ21" s="1421"/>
      <c r="EA21" s="1421"/>
      <c r="EB21" s="1421">
        <v>0</v>
      </c>
      <c r="EC21" s="1421"/>
      <c r="ED21" s="1421"/>
      <c r="EE21" s="1421"/>
      <c r="EF21" s="1421">
        <v>0</v>
      </c>
      <c r="EG21" s="1421">
        <v>0</v>
      </c>
      <c r="EH21" s="1421"/>
      <c r="EI21" s="1421"/>
      <c r="EJ21" s="1421">
        <v>0</v>
      </c>
      <c r="EK21" s="1421"/>
      <c r="EL21" s="1421"/>
      <c r="EM21" s="1421">
        <v>0</v>
      </c>
      <c r="EN21" s="1421"/>
      <c r="EO21" s="1421"/>
      <c r="EP21" s="1421"/>
      <c r="EQ21" s="1421"/>
      <c r="ER21" s="1421"/>
      <c r="ES21" s="1421">
        <v>-20098516.093419604</v>
      </c>
      <c r="ET21" s="1421">
        <v>37045237</v>
      </c>
      <c r="EU21" s="1421">
        <v>2498362</v>
      </c>
      <c r="EV21" s="1421">
        <v>34546875</v>
      </c>
      <c r="EW21" s="1421">
        <v>0</v>
      </c>
      <c r="EX21" s="1421"/>
      <c r="EY21" s="1421"/>
      <c r="EZ21" s="1421">
        <v>-53204633.009999998</v>
      </c>
      <c r="FA21" s="1421"/>
      <c r="FB21" s="1421"/>
      <c r="FC21" s="1421">
        <v>-53204633.009999998</v>
      </c>
      <c r="FD21" s="1421">
        <v>-3939120.0834196056</v>
      </c>
      <c r="FE21" s="1421"/>
      <c r="FF21" s="1421">
        <v>55346966.308974996</v>
      </c>
      <c r="FG21" s="1421"/>
      <c r="FH21" s="1421"/>
      <c r="FI21" s="1421"/>
      <c r="FJ21" s="1421"/>
      <c r="FK21" s="1421"/>
      <c r="FL21" s="1421">
        <v>93563402.185555398</v>
      </c>
      <c r="FM21" s="1221">
        <v>0</v>
      </c>
    </row>
    <row r="22" spans="2:169">
      <c r="B22" s="1223">
        <v>42461</v>
      </c>
      <c r="C22" s="1421">
        <v>58346211.469999999</v>
      </c>
      <c r="D22" s="1421">
        <v>58346211.469999999</v>
      </c>
      <c r="E22" s="1421">
        <v>22692390.109999999</v>
      </c>
      <c r="F22" s="1421">
        <v>35653821.359999999</v>
      </c>
      <c r="G22" s="1421"/>
      <c r="H22" s="1421"/>
      <c r="I22" s="1421"/>
      <c r="J22" s="1421"/>
      <c r="K22" s="1421"/>
      <c r="L22" s="1421"/>
      <c r="M22" s="1421"/>
      <c r="N22" s="1421"/>
      <c r="O22" s="1421"/>
      <c r="P22" s="1421"/>
      <c r="Q22" s="1421">
        <v>0</v>
      </c>
      <c r="R22" s="1421">
        <v>0</v>
      </c>
      <c r="S22" s="1421">
        <v>0</v>
      </c>
      <c r="T22" s="1421"/>
      <c r="U22" s="1421"/>
      <c r="V22" s="1421"/>
      <c r="W22" s="1421">
        <v>0</v>
      </c>
      <c r="X22" s="1421"/>
      <c r="Y22" s="1421"/>
      <c r="Z22" s="1421"/>
      <c r="AA22" s="1421">
        <v>0</v>
      </c>
      <c r="AB22" s="1421"/>
      <c r="AC22" s="1421"/>
      <c r="AD22" s="1421"/>
      <c r="AE22" s="1421">
        <v>0</v>
      </c>
      <c r="AF22" s="1421"/>
      <c r="AG22" s="1421"/>
      <c r="AH22" s="1421"/>
      <c r="AI22" s="1421">
        <v>0</v>
      </c>
      <c r="AJ22" s="1421"/>
      <c r="AK22" s="1421"/>
      <c r="AL22" s="1421"/>
      <c r="AM22" s="1421">
        <v>0</v>
      </c>
      <c r="AN22" s="1421"/>
      <c r="AO22" s="1421"/>
      <c r="AP22" s="1421"/>
      <c r="AQ22" s="1421">
        <v>0</v>
      </c>
      <c r="AR22" s="1421"/>
      <c r="AS22" s="1421"/>
      <c r="AT22" s="1421"/>
      <c r="AU22" s="1421">
        <v>0</v>
      </c>
      <c r="AV22" s="1421"/>
      <c r="AW22" s="1421"/>
      <c r="AX22" s="1421"/>
      <c r="AY22" s="1421">
        <v>0</v>
      </c>
      <c r="AZ22" s="1421"/>
      <c r="BA22" s="1421"/>
      <c r="BB22" s="1421"/>
      <c r="BC22" s="1421">
        <v>0</v>
      </c>
      <c r="BD22" s="1421"/>
      <c r="BE22" s="1421"/>
      <c r="BF22" s="1421"/>
      <c r="BG22" s="1421">
        <v>0</v>
      </c>
      <c r="BH22" s="1421"/>
      <c r="BI22" s="1421"/>
      <c r="BJ22" s="1421"/>
      <c r="BK22" s="1421"/>
      <c r="BL22" s="1421">
        <v>0</v>
      </c>
      <c r="BM22" s="1421">
        <v>0</v>
      </c>
      <c r="BN22" s="1421"/>
      <c r="BO22" s="1421">
        <v>0</v>
      </c>
      <c r="BP22" s="1421"/>
      <c r="BQ22" s="1421"/>
      <c r="BR22" s="1421"/>
      <c r="BS22" s="1421"/>
      <c r="BT22" s="1421">
        <v>0</v>
      </c>
      <c r="BU22" s="1421"/>
      <c r="BV22" s="1421">
        <v>0</v>
      </c>
      <c r="BW22" s="1421"/>
      <c r="BX22" s="1421"/>
      <c r="BY22" s="1421"/>
      <c r="BZ22" s="1421"/>
      <c r="CA22" s="1421">
        <v>0</v>
      </c>
      <c r="CB22" s="1421"/>
      <c r="CC22" s="1421">
        <v>0</v>
      </c>
      <c r="CD22" s="1421"/>
      <c r="CE22" s="1421"/>
      <c r="CF22" s="1421"/>
      <c r="CG22" s="1421"/>
      <c r="CH22" s="1421"/>
      <c r="CI22" s="1421">
        <v>0</v>
      </c>
      <c r="CJ22" s="1421"/>
      <c r="CK22" s="1421"/>
      <c r="CL22" s="1421"/>
      <c r="CM22" s="1421"/>
      <c r="CN22" s="1421"/>
      <c r="CO22" s="1421">
        <v>0</v>
      </c>
      <c r="CP22" s="1421"/>
      <c r="CQ22" s="1421"/>
      <c r="CR22" s="1421"/>
      <c r="CS22" s="1421"/>
      <c r="CT22" s="1421">
        <v>0</v>
      </c>
      <c r="CU22" s="1421">
        <v>0</v>
      </c>
      <c r="CV22" s="1421"/>
      <c r="CW22" s="1421"/>
      <c r="CX22" s="1421">
        <v>0</v>
      </c>
      <c r="CY22" s="1421"/>
      <c r="CZ22" s="1421"/>
      <c r="DA22" s="1421">
        <v>0</v>
      </c>
      <c r="DB22" s="1421"/>
      <c r="DC22" s="1421"/>
      <c r="DD22" s="1421"/>
      <c r="DE22" s="1421">
        <v>0</v>
      </c>
      <c r="DF22" s="1421">
        <v>0</v>
      </c>
      <c r="DG22" s="1421"/>
      <c r="DH22" s="1421"/>
      <c r="DI22" s="1421">
        <v>0</v>
      </c>
      <c r="DJ22" s="1421"/>
      <c r="DK22" s="1421"/>
      <c r="DL22" s="1421">
        <v>0</v>
      </c>
      <c r="DM22" s="1421"/>
      <c r="DN22" s="1421"/>
      <c r="DO22" s="1421"/>
      <c r="DP22" s="1421"/>
      <c r="DQ22" s="1421"/>
      <c r="DR22" s="1421">
        <v>0</v>
      </c>
      <c r="DS22" s="1421"/>
      <c r="DT22" s="1421">
        <v>0</v>
      </c>
      <c r="DU22" s="1421"/>
      <c r="DV22" s="1421"/>
      <c r="DW22" s="1421">
        <v>0</v>
      </c>
      <c r="DX22" s="1421"/>
      <c r="DY22" s="1421"/>
      <c r="DZ22" s="1421"/>
      <c r="EA22" s="1421"/>
      <c r="EB22" s="1421">
        <v>0</v>
      </c>
      <c r="EC22" s="1421"/>
      <c r="ED22" s="1421"/>
      <c r="EE22" s="1421"/>
      <c r="EF22" s="1421">
        <v>0</v>
      </c>
      <c r="EG22" s="1421">
        <v>0</v>
      </c>
      <c r="EH22" s="1421"/>
      <c r="EI22" s="1421"/>
      <c r="EJ22" s="1421">
        <v>0</v>
      </c>
      <c r="EK22" s="1421"/>
      <c r="EL22" s="1421"/>
      <c r="EM22" s="1421">
        <v>0</v>
      </c>
      <c r="EN22" s="1421"/>
      <c r="EO22" s="1421"/>
      <c r="EP22" s="1421"/>
      <c r="EQ22" s="1421"/>
      <c r="ER22" s="1421"/>
      <c r="ES22" s="1421">
        <v>-19525802</v>
      </c>
      <c r="ET22" s="1421">
        <v>37045237</v>
      </c>
      <c r="EU22" s="1421">
        <v>2498362</v>
      </c>
      <c r="EV22" s="1421">
        <v>34546875</v>
      </c>
      <c r="EW22" s="1421">
        <v>0</v>
      </c>
      <c r="EX22" s="1421"/>
      <c r="EY22" s="1421"/>
      <c r="EZ22" s="1421">
        <v>-53204633</v>
      </c>
      <c r="FA22" s="1421"/>
      <c r="FB22" s="1421"/>
      <c r="FC22" s="1421">
        <v>-53204633</v>
      </c>
      <c r="FD22" s="1421">
        <v>-3366406</v>
      </c>
      <c r="FE22" s="1421"/>
      <c r="FF22" s="1421">
        <v>55012337.180000007</v>
      </c>
      <c r="FG22" s="1421"/>
      <c r="FH22" s="1421"/>
      <c r="FI22" s="1421"/>
      <c r="FJ22" s="1421"/>
      <c r="FK22" s="1421"/>
      <c r="FL22" s="1421">
        <v>93832746.650000006</v>
      </c>
      <c r="FM22" s="1221">
        <v>0</v>
      </c>
    </row>
    <row r="23" spans="2:169">
      <c r="B23" s="1223">
        <v>42491</v>
      </c>
      <c r="C23" s="1421">
        <v>58364091.150000006</v>
      </c>
      <c r="D23" s="1421">
        <v>58364091.150000006</v>
      </c>
      <c r="E23" s="1421">
        <v>22699343.992108148</v>
      </c>
      <c r="F23" s="1421">
        <v>35664747.157891855</v>
      </c>
      <c r="G23" s="1421"/>
      <c r="H23" s="1421"/>
      <c r="I23" s="1421"/>
      <c r="J23" s="1421"/>
      <c r="K23" s="1421"/>
      <c r="L23" s="1421"/>
      <c r="M23" s="1421"/>
      <c r="N23" s="1421"/>
      <c r="O23" s="1421"/>
      <c r="P23" s="1421"/>
      <c r="Q23" s="1421">
        <v>0</v>
      </c>
      <c r="R23" s="1421">
        <v>0</v>
      </c>
      <c r="S23" s="1421">
        <v>0</v>
      </c>
      <c r="T23" s="1421"/>
      <c r="U23" s="1421"/>
      <c r="V23" s="1421"/>
      <c r="W23" s="1421">
        <v>0</v>
      </c>
      <c r="X23" s="1421"/>
      <c r="Y23" s="1421"/>
      <c r="Z23" s="1421"/>
      <c r="AA23" s="1421">
        <v>0</v>
      </c>
      <c r="AB23" s="1421"/>
      <c r="AC23" s="1421"/>
      <c r="AD23" s="1421"/>
      <c r="AE23" s="1421">
        <v>0</v>
      </c>
      <c r="AF23" s="1421"/>
      <c r="AG23" s="1421"/>
      <c r="AH23" s="1421"/>
      <c r="AI23" s="1421">
        <v>0</v>
      </c>
      <c r="AJ23" s="1421"/>
      <c r="AK23" s="1421"/>
      <c r="AL23" s="1421"/>
      <c r="AM23" s="1421">
        <v>0</v>
      </c>
      <c r="AN23" s="1421"/>
      <c r="AO23" s="1421"/>
      <c r="AP23" s="1421"/>
      <c r="AQ23" s="1421">
        <v>0</v>
      </c>
      <c r="AR23" s="1421"/>
      <c r="AS23" s="1421"/>
      <c r="AT23" s="1421"/>
      <c r="AU23" s="1421">
        <v>0</v>
      </c>
      <c r="AV23" s="1421"/>
      <c r="AW23" s="1421"/>
      <c r="AX23" s="1421"/>
      <c r="AY23" s="1421">
        <v>0</v>
      </c>
      <c r="AZ23" s="1421"/>
      <c r="BA23" s="1421"/>
      <c r="BB23" s="1421"/>
      <c r="BC23" s="1421">
        <v>0</v>
      </c>
      <c r="BD23" s="1421"/>
      <c r="BE23" s="1421"/>
      <c r="BF23" s="1421"/>
      <c r="BG23" s="1421">
        <v>0</v>
      </c>
      <c r="BH23" s="1421"/>
      <c r="BI23" s="1421"/>
      <c r="BJ23" s="1421"/>
      <c r="BK23" s="1421"/>
      <c r="BL23" s="1421">
        <v>0</v>
      </c>
      <c r="BM23" s="1421">
        <v>0</v>
      </c>
      <c r="BN23" s="1421"/>
      <c r="BO23" s="1421">
        <v>0</v>
      </c>
      <c r="BP23" s="1421"/>
      <c r="BQ23" s="1421"/>
      <c r="BR23" s="1421"/>
      <c r="BS23" s="1421"/>
      <c r="BT23" s="1421">
        <v>0</v>
      </c>
      <c r="BU23" s="1421"/>
      <c r="BV23" s="1421">
        <v>0</v>
      </c>
      <c r="BW23" s="1421"/>
      <c r="BX23" s="1421"/>
      <c r="BY23" s="1421"/>
      <c r="BZ23" s="1421"/>
      <c r="CA23" s="1421">
        <v>0</v>
      </c>
      <c r="CB23" s="1421"/>
      <c r="CC23" s="1421">
        <v>0</v>
      </c>
      <c r="CD23" s="1421"/>
      <c r="CE23" s="1421"/>
      <c r="CF23" s="1421"/>
      <c r="CG23" s="1421"/>
      <c r="CH23" s="1421"/>
      <c r="CI23" s="1421">
        <v>0</v>
      </c>
      <c r="CJ23" s="1421"/>
      <c r="CK23" s="1421"/>
      <c r="CL23" s="1421"/>
      <c r="CM23" s="1421"/>
      <c r="CN23" s="1421"/>
      <c r="CO23" s="1421">
        <v>0</v>
      </c>
      <c r="CP23" s="1421"/>
      <c r="CQ23" s="1421"/>
      <c r="CR23" s="1421"/>
      <c r="CS23" s="1421"/>
      <c r="CT23" s="1421">
        <v>0</v>
      </c>
      <c r="CU23" s="1421">
        <v>0</v>
      </c>
      <c r="CV23" s="1421"/>
      <c r="CW23" s="1421"/>
      <c r="CX23" s="1421">
        <v>0</v>
      </c>
      <c r="CY23" s="1421"/>
      <c r="CZ23" s="1421"/>
      <c r="DA23" s="1421">
        <v>0</v>
      </c>
      <c r="DB23" s="1421"/>
      <c r="DC23" s="1421"/>
      <c r="DD23" s="1421"/>
      <c r="DE23" s="1421">
        <v>0</v>
      </c>
      <c r="DF23" s="1421">
        <v>0</v>
      </c>
      <c r="DG23" s="1421"/>
      <c r="DH23" s="1421"/>
      <c r="DI23" s="1421">
        <v>0</v>
      </c>
      <c r="DJ23" s="1421"/>
      <c r="DK23" s="1421"/>
      <c r="DL23" s="1421">
        <v>0</v>
      </c>
      <c r="DM23" s="1421"/>
      <c r="DN23" s="1421"/>
      <c r="DO23" s="1421"/>
      <c r="DP23" s="1421"/>
      <c r="DQ23" s="1421"/>
      <c r="DR23" s="1421">
        <v>0</v>
      </c>
      <c r="DS23" s="1421"/>
      <c r="DT23" s="1421">
        <v>0</v>
      </c>
      <c r="DU23" s="1421"/>
      <c r="DV23" s="1421"/>
      <c r="DW23" s="1421">
        <v>0</v>
      </c>
      <c r="DX23" s="1421"/>
      <c r="DY23" s="1421"/>
      <c r="DZ23" s="1421"/>
      <c r="EA23" s="1421"/>
      <c r="EB23" s="1421">
        <v>0</v>
      </c>
      <c r="EC23" s="1421"/>
      <c r="ED23" s="1421"/>
      <c r="EE23" s="1421"/>
      <c r="EF23" s="1421">
        <v>0</v>
      </c>
      <c r="EG23" s="1421">
        <v>0</v>
      </c>
      <c r="EH23" s="1421"/>
      <c r="EI23" s="1421"/>
      <c r="EJ23" s="1421">
        <v>0</v>
      </c>
      <c r="EK23" s="1421"/>
      <c r="EL23" s="1421"/>
      <c r="EM23" s="1421">
        <v>0</v>
      </c>
      <c r="EN23" s="1421"/>
      <c r="EO23" s="1421"/>
      <c r="EP23" s="1421"/>
      <c r="EQ23" s="1421"/>
      <c r="ER23" s="1421"/>
      <c r="ES23" s="1421">
        <v>-20214985.054094605</v>
      </c>
      <c r="ET23" s="1421">
        <v>37045237</v>
      </c>
      <c r="EU23" s="1421">
        <v>2498362</v>
      </c>
      <c r="EV23" s="1421">
        <v>34546875</v>
      </c>
      <c r="EW23" s="1421">
        <v>0</v>
      </c>
      <c r="EX23" s="1421"/>
      <c r="EY23" s="1421"/>
      <c r="EZ23" s="1421">
        <v>-53204633.009999998</v>
      </c>
      <c r="FA23" s="1421"/>
      <c r="FB23" s="1421"/>
      <c r="FC23" s="1421">
        <v>-53204633.009999998</v>
      </c>
      <c r="FD23" s="1421">
        <v>-4055589.0440946077</v>
      </c>
      <c r="FE23" s="1421"/>
      <c r="FF23" s="1421">
        <v>56020314.960149981</v>
      </c>
      <c r="FG23" s="1421"/>
      <c r="FH23" s="1421"/>
      <c r="FI23" s="1421"/>
      <c r="FJ23" s="1421"/>
      <c r="FK23" s="1421"/>
      <c r="FL23" s="1421">
        <v>94169421.056055382</v>
      </c>
      <c r="FM23" s="1221">
        <v>0</v>
      </c>
    </row>
    <row r="24" spans="2:169">
      <c r="B24" s="1223">
        <v>42522</v>
      </c>
      <c r="C24" s="1421">
        <v>58364091.150000006</v>
      </c>
      <c r="D24" s="1421">
        <v>58364091.150000006</v>
      </c>
      <c r="E24" s="1421">
        <v>22699343.992108148</v>
      </c>
      <c r="F24" s="1421">
        <v>35664747.157891855</v>
      </c>
      <c r="G24" s="1421"/>
      <c r="H24" s="1421"/>
      <c r="I24" s="1421"/>
      <c r="J24" s="1421"/>
      <c r="K24" s="1421"/>
      <c r="L24" s="1421"/>
      <c r="M24" s="1421"/>
      <c r="N24" s="1421"/>
      <c r="O24" s="1421"/>
      <c r="P24" s="1421"/>
      <c r="Q24" s="1421">
        <v>0</v>
      </c>
      <c r="R24" s="1421">
        <v>0</v>
      </c>
      <c r="S24" s="1421">
        <v>0</v>
      </c>
      <c r="T24" s="1421"/>
      <c r="U24" s="1421"/>
      <c r="V24" s="1421"/>
      <c r="W24" s="1421">
        <v>0</v>
      </c>
      <c r="X24" s="1421"/>
      <c r="Y24" s="1421"/>
      <c r="Z24" s="1421"/>
      <c r="AA24" s="1421">
        <v>0</v>
      </c>
      <c r="AB24" s="1421"/>
      <c r="AC24" s="1421"/>
      <c r="AD24" s="1421"/>
      <c r="AE24" s="1421">
        <v>0</v>
      </c>
      <c r="AF24" s="1421"/>
      <c r="AG24" s="1421"/>
      <c r="AH24" s="1421"/>
      <c r="AI24" s="1421">
        <v>0</v>
      </c>
      <c r="AJ24" s="1421"/>
      <c r="AK24" s="1421"/>
      <c r="AL24" s="1421"/>
      <c r="AM24" s="1421">
        <v>0</v>
      </c>
      <c r="AN24" s="1421"/>
      <c r="AO24" s="1421"/>
      <c r="AP24" s="1421"/>
      <c r="AQ24" s="1421">
        <v>0</v>
      </c>
      <c r="AR24" s="1421"/>
      <c r="AS24" s="1421"/>
      <c r="AT24" s="1421"/>
      <c r="AU24" s="1421">
        <v>0</v>
      </c>
      <c r="AV24" s="1421"/>
      <c r="AW24" s="1421"/>
      <c r="AX24" s="1421"/>
      <c r="AY24" s="1421">
        <v>0</v>
      </c>
      <c r="AZ24" s="1421"/>
      <c r="BA24" s="1421"/>
      <c r="BB24" s="1421"/>
      <c r="BC24" s="1421">
        <v>0</v>
      </c>
      <c r="BD24" s="1421"/>
      <c r="BE24" s="1421"/>
      <c r="BF24" s="1421"/>
      <c r="BG24" s="1421">
        <v>0</v>
      </c>
      <c r="BH24" s="1421"/>
      <c r="BI24" s="1421"/>
      <c r="BJ24" s="1421"/>
      <c r="BK24" s="1421"/>
      <c r="BL24" s="1421">
        <v>0</v>
      </c>
      <c r="BM24" s="1421">
        <v>0</v>
      </c>
      <c r="BN24" s="1421"/>
      <c r="BO24" s="1421">
        <v>0</v>
      </c>
      <c r="BP24" s="1421"/>
      <c r="BQ24" s="1421"/>
      <c r="BR24" s="1421"/>
      <c r="BS24" s="1421"/>
      <c r="BT24" s="1421">
        <v>0</v>
      </c>
      <c r="BU24" s="1421"/>
      <c r="BV24" s="1421">
        <v>0</v>
      </c>
      <c r="BW24" s="1421"/>
      <c r="BX24" s="1421"/>
      <c r="BY24" s="1421"/>
      <c r="BZ24" s="1421"/>
      <c r="CA24" s="1421">
        <v>0</v>
      </c>
      <c r="CB24" s="1421"/>
      <c r="CC24" s="1421">
        <v>0</v>
      </c>
      <c r="CD24" s="1421"/>
      <c r="CE24" s="1421"/>
      <c r="CF24" s="1421"/>
      <c r="CG24" s="1421"/>
      <c r="CH24" s="1421"/>
      <c r="CI24" s="1421">
        <v>0</v>
      </c>
      <c r="CJ24" s="1421"/>
      <c r="CK24" s="1421"/>
      <c r="CL24" s="1421"/>
      <c r="CM24" s="1421"/>
      <c r="CN24" s="1421"/>
      <c r="CO24" s="1421">
        <v>0</v>
      </c>
      <c r="CP24" s="1421"/>
      <c r="CQ24" s="1421"/>
      <c r="CR24" s="1421"/>
      <c r="CS24" s="1421"/>
      <c r="CT24" s="1421">
        <v>0</v>
      </c>
      <c r="CU24" s="1421">
        <v>0</v>
      </c>
      <c r="CV24" s="1421"/>
      <c r="CW24" s="1421"/>
      <c r="CX24" s="1421">
        <v>0</v>
      </c>
      <c r="CY24" s="1421"/>
      <c r="CZ24" s="1421"/>
      <c r="DA24" s="1421">
        <v>0</v>
      </c>
      <c r="DB24" s="1421"/>
      <c r="DC24" s="1421"/>
      <c r="DD24" s="1421"/>
      <c r="DE24" s="1421">
        <v>0</v>
      </c>
      <c r="DF24" s="1421">
        <v>0</v>
      </c>
      <c r="DG24" s="1421"/>
      <c r="DH24" s="1421"/>
      <c r="DI24" s="1421">
        <v>0</v>
      </c>
      <c r="DJ24" s="1421"/>
      <c r="DK24" s="1421"/>
      <c r="DL24" s="1421">
        <v>0</v>
      </c>
      <c r="DM24" s="1421"/>
      <c r="DN24" s="1421"/>
      <c r="DO24" s="1421"/>
      <c r="DP24" s="1421"/>
      <c r="DQ24" s="1421"/>
      <c r="DR24" s="1421">
        <v>0</v>
      </c>
      <c r="DS24" s="1421"/>
      <c r="DT24" s="1421">
        <v>0</v>
      </c>
      <c r="DU24" s="1421"/>
      <c r="DV24" s="1421"/>
      <c r="DW24" s="1421">
        <v>0</v>
      </c>
      <c r="DX24" s="1421"/>
      <c r="DY24" s="1421"/>
      <c r="DZ24" s="1421"/>
      <c r="EA24" s="1421"/>
      <c r="EB24" s="1421">
        <v>0</v>
      </c>
      <c r="EC24" s="1421"/>
      <c r="ED24" s="1421"/>
      <c r="EE24" s="1421"/>
      <c r="EF24" s="1421">
        <v>0</v>
      </c>
      <c r="EG24" s="1421">
        <v>0</v>
      </c>
      <c r="EH24" s="1421"/>
      <c r="EI24" s="1421"/>
      <c r="EJ24" s="1421">
        <v>0</v>
      </c>
      <c r="EK24" s="1421"/>
      <c r="EL24" s="1421"/>
      <c r="EM24" s="1421">
        <v>0</v>
      </c>
      <c r="EN24" s="1421"/>
      <c r="EO24" s="1421"/>
      <c r="EP24" s="1421"/>
      <c r="EQ24" s="1421"/>
      <c r="ER24" s="1421"/>
      <c r="ES24" s="1421">
        <v>-20214985.054094605</v>
      </c>
      <c r="ET24" s="1421">
        <v>37045237</v>
      </c>
      <c r="EU24" s="1421">
        <v>2498362</v>
      </c>
      <c r="EV24" s="1421">
        <v>34546875</v>
      </c>
      <c r="EW24" s="1421">
        <v>0</v>
      </c>
      <c r="EX24" s="1421"/>
      <c r="EY24" s="1421"/>
      <c r="EZ24" s="1421">
        <v>-53204633.009999998</v>
      </c>
      <c r="FA24" s="1421"/>
      <c r="FB24" s="1421"/>
      <c r="FC24" s="1421">
        <v>-53204633.009999998</v>
      </c>
      <c r="FD24" s="1421">
        <v>-4055589.0440946077</v>
      </c>
      <c r="FE24" s="1421"/>
      <c r="FF24" s="1421">
        <v>56020314.960149981</v>
      </c>
      <c r="FG24" s="1421"/>
      <c r="FH24" s="1421"/>
      <c r="FI24" s="1421"/>
      <c r="FJ24" s="1421"/>
      <c r="FK24" s="1421"/>
      <c r="FL24" s="1421">
        <v>94169421.056055382</v>
      </c>
      <c r="FM24" s="1221">
        <v>0</v>
      </c>
    </row>
    <row r="25" spans="2:169">
      <c r="B25" s="1223">
        <v>42552</v>
      </c>
      <c r="C25" s="1421">
        <v>58350740.960000008</v>
      </c>
      <c r="D25" s="1421">
        <v>58350740.960000008</v>
      </c>
      <c r="E25" s="1421">
        <v>22694151.748912051</v>
      </c>
      <c r="F25" s="1421">
        <v>35656589.211087957</v>
      </c>
      <c r="G25" s="1421"/>
      <c r="H25" s="1421"/>
      <c r="I25" s="1421"/>
      <c r="J25" s="1421"/>
      <c r="K25" s="1421"/>
      <c r="L25" s="1421"/>
      <c r="M25" s="1421"/>
      <c r="N25" s="1421"/>
      <c r="O25" s="1421"/>
      <c r="P25" s="1421"/>
      <c r="Q25" s="1421">
        <v>0</v>
      </c>
      <c r="R25" s="1421">
        <v>0</v>
      </c>
      <c r="S25" s="1421">
        <v>0</v>
      </c>
      <c r="T25" s="1421"/>
      <c r="U25" s="1421"/>
      <c r="V25" s="1421"/>
      <c r="W25" s="1421">
        <v>0</v>
      </c>
      <c r="X25" s="1421"/>
      <c r="Y25" s="1421"/>
      <c r="Z25" s="1421"/>
      <c r="AA25" s="1421">
        <v>0</v>
      </c>
      <c r="AB25" s="1421"/>
      <c r="AC25" s="1421"/>
      <c r="AD25" s="1421"/>
      <c r="AE25" s="1421">
        <v>0</v>
      </c>
      <c r="AF25" s="1421"/>
      <c r="AG25" s="1421"/>
      <c r="AH25" s="1421"/>
      <c r="AI25" s="1421">
        <v>0</v>
      </c>
      <c r="AJ25" s="1421"/>
      <c r="AK25" s="1421"/>
      <c r="AL25" s="1421"/>
      <c r="AM25" s="1421">
        <v>0</v>
      </c>
      <c r="AN25" s="1421"/>
      <c r="AO25" s="1421"/>
      <c r="AP25" s="1421"/>
      <c r="AQ25" s="1421">
        <v>0</v>
      </c>
      <c r="AR25" s="1421"/>
      <c r="AS25" s="1421"/>
      <c r="AT25" s="1421"/>
      <c r="AU25" s="1421">
        <v>0</v>
      </c>
      <c r="AV25" s="1421"/>
      <c r="AW25" s="1421"/>
      <c r="AX25" s="1421"/>
      <c r="AY25" s="1421">
        <v>0</v>
      </c>
      <c r="AZ25" s="1421"/>
      <c r="BA25" s="1421"/>
      <c r="BB25" s="1421"/>
      <c r="BC25" s="1421">
        <v>0</v>
      </c>
      <c r="BD25" s="1421"/>
      <c r="BE25" s="1421"/>
      <c r="BF25" s="1421"/>
      <c r="BG25" s="1421">
        <v>0</v>
      </c>
      <c r="BH25" s="1421"/>
      <c r="BI25" s="1421"/>
      <c r="BJ25" s="1421"/>
      <c r="BK25" s="1421"/>
      <c r="BL25" s="1421">
        <v>0</v>
      </c>
      <c r="BM25" s="1421">
        <v>0</v>
      </c>
      <c r="BN25" s="1421"/>
      <c r="BO25" s="1421">
        <v>0</v>
      </c>
      <c r="BP25" s="1421"/>
      <c r="BQ25" s="1421"/>
      <c r="BR25" s="1421"/>
      <c r="BS25" s="1421"/>
      <c r="BT25" s="1421">
        <v>0</v>
      </c>
      <c r="BU25" s="1421"/>
      <c r="BV25" s="1421">
        <v>0</v>
      </c>
      <c r="BW25" s="1421"/>
      <c r="BX25" s="1421"/>
      <c r="BY25" s="1421"/>
      <c r="BZ25" s="1421"/>
      <c r="CA25" s="1421">
        <v>0</v>
      </c>
      <c r="CB25" s="1421"/>
      <c r="CC25" s="1421">
        <v>0</v>
      </c>
      <c r="CD25" s="1421"/>
      <c r="CE25" s="1421"/>
      <c r="CF25" s="1421"/>
      <c r="CG25" s="1421"/>
      <c r="CH25" s="1421"/>
      <c r="CI25" s="1421">
        <v>0</v>
      </c>
      <c r="CJ25" s="1421"/>
      <c r="CK25" s="1421"/>
      <c r="CL25" s="1421"/>
      <c r="CM25" s="1421"/>
      <c r="CN25" s="1421"/>
      <c r="CO25" s="1421">
        <v>0</v>
      </c>
      <c r="CP25" s="1421"/>
      <c r="CQ25" s="1421"/>
      <c r="CR25" s="1421"/>
      <c r="CS25" s="1421"/>
      <c r="CT25" s="1421">
        <v>0</v>
      </c>
      <c r="CU25" s="1421">
        <v>0</v>
      </c>
      <c r="CV25" s="1421"/>
      <c r="CW25" s="1421"/>
      <c r="CX25" s="1421">
        <v>0</v>
      </c>
      <c r="CY25" s="1421"/>
      <c r="CZ25" s="1421"/>
      <c r="DA25" s="1421">
        <v>0</v>
      </c>
      <c r="DB25" s="1421"/>
      <c r="DC25" s="1421"/>
      <c r="DD25" s="1421"/>
      <c r="DE25" s="1421">
        <v>0</v>
      </c>
      <c r="DF25" s="1421">
        <v>0</v>
      </c>
      <c r="DG25" s="1421"/>
      <c r="DH25" s="1421"/>
      <c r="DI25" s="1421">
        <v>0</v>
      </c>
      <c r="DJ25" s="1421"/>
      <c r="DK25" s="1421"/>
      <c r="DL25" s="1421">
        <v>0</v>
      </c>
      <c r="DM25" s="1421"/>
      <c r="DN25" s="1421"/>
      <c r="DO25" s="1421"/>
      <c r="DP25" s="1421"/>
      <c r="DQ25" s="1421"/>
      <c r="DR25" s="1421">
        <v>0</v>
      </c>
      <c r="DS25" s="1421"/>
      <c r="DT25" s="1421">
        <v>0</v>
      </c>
      <c r="DU25" s="1421"/>
      <c r="DV25" s="1421"/>
      <c r="DW25" s="1421">
        <v>0</v>
      </c>
      <c r="DX25" s="1421"/>
      <c r="DY25" s="1421"/>
      <c r="DZ25" s="1421"/>
      <c r="EA25" s="1421"/>
      <c r="EB25" s="1421">
        <v>0</v>
      </c>
      <c r="EC25" s="1421"/>
      <c r="ED25" s="1421"/>
      <c r="EE25" s="1421"/>
      <c r="EF25" s="1421">
        <v>0</v>
      </c>
      <c r="EG25" s="1421">
        <v>0</v>
      </c>
      <c r="EH25" s="1421"/>
      <c r="EI25" s="1421"/>
      <c r="EJ25" s="1421">
        <v>0</v>
      </c>
      <c r="EK25" s="1421"/>
      <c r="EL25" s="1421"/>
      <c r="EM25" s="1421">
        <v>0</v>
      </c>
      <c r="EN25" s="1421"/>
      <c r="EO25" s="1421"/>
      <c r="EP25" s="1421"/>
      <c r="EQ25" s="1421"/>
      <c r="ER25" s="1421"/>
      <c r="ES25" s="1421">
        <v>-19338180.213878799</v>
      </c>
      <c r="ET25" s="1421">
        <v>37045237</v>
      </c>
      <c r="EU25" s="1421">
        <v>2498362</v>
      </c>
      <c r="EV25" s="1421">
        <v>34546875</v>
      </c>
      <c r="EW25" s="1421">
        <v>0</v>
      </c>
      <c r="EX25" s="1421"/>
      <c r="EY25" s="1421"/>
      <c r="EZ25" s="1421">
        <v>-53204633.009999998</v>
      </c>
      <c r="FA25" s="1421"/>
      <c r="FB25" s="1421"/>
      <c r="FC25" s="1421">
        <v>-53204633.009999998</v>
      </c>
      <c r="FD25" s="1421">
        <v>-3178784.2038788004</v>
      </c>
      <c r="FE25" s="1421"/>
      <c r="FF25" s="1421">
        <v>56094607.894924983</v>
      </c>
      <c r="FG25" s="1421"/>
      <c r="FH25" s="1421"/>
      <c r="FI25" s="1421"/>
      <c r="FJ25" s="1421"/>
      <c r="FK25" s="1421"/>
      <c r="FL25" s="1421">
        <v>95107168.641046196</v>
      </c>
      <c r="FM25" s="1221">
        <v>0</v>
      </c>
    </row>
    <row r="26" spans="2:169">
      <c r="B26" s="1223">
        <v>42583</v>
      </c>
      <c r="C26" s="1421">
        <v>58341817.859999999</v>
      </c>
      <c r="D26" s="1421">
        <v>58341817.859999999</v>
      </c>
      <c r="E26" s="1421">
        <v>22690681.32</v>
      </c>
      <c r="F26" s="1421">
        <v>35651136.539999999</v>
      </c>
      <c r="G26" s="1421"/>
      <c r="H26" s="1421"/>
      <c r="I26" s="1421"/>
      <c r="J26" s="1421"/>
      <c r="K26" s="1421"/>
      <c r="L26" s="1421"/>
      <c r="M26" s="1421"/>
      <c r="N26" s="1421"/>
      <c r="O26" s="1421"/>
      <c r="P26" s="1421"/>
      <c r="Q26" s="1421">
        <v>0</v>
      </c>
      <c r="R26" s="1421">
        <v>0</v>
      </c>
      <c r="S26" s="1421">
        <v>0</v>
      </c>
      <c r="T26" s="1421"/>
      <c r="U26" s="1421"/>
      <c r="V26" s="1421"/>
      <c r="W26" s="1421">
        <v>0</v>
      </c>
      <c r="X26" s="1421"/>
      <c r="Y26" s="1421"/>
      <c r="Z26" s="1421"/>
      <c r="AA26" s="1421">
        <v>0</v>
      </c>
      <c r="AB26" s="1421"/>
      <c r="AC26" s="1421"/>
      <c r="AD26" s="1421"/>
      <c r="AE26" s="1421">
        <v>0</v>
      </c>
      <c r="AF26" s="1421"/>
      <c r="AG26" s="1421"/>
      <c r="AH26" s="1421"/>
      <c r="AI26" s="1421">
        <v>0</v>
      </c>
      <c r="AJ26" s="1421"/>
      <c r="AK26" s="1421"/>
      <c r="AL26" s="1421"/>
      <c r="AM26" s="1421">
        <v>0</v>
      </c>
      <c r="AN26" s="1421"/>
      <c r="AO26" s="1421"/>
      <c r="AP26" s="1421"/>
      <c r="AQ26" s="1421">
        <v>0</v>
      </c>
      <c r="AR26" s="1421"/>
      <c r="AS26" s="1421"/>
      <c r="AT26" s="1421"/>
      <c r="AU26" s="1421">
        <v>0</v>
      </c>
      <c r="AV26" s="1421"/>
      <c r="AW26" s="1421"/>
      <c r="AX26" s="1421"/>
      <c r="AY26" s="1421">
        <v>0</v>
      </c>
      <c r="AZ26" s="1421"/>
      <c r="BA26" s="1421"/>
      <c r="BB26" s="1421"/>
      <c r="BC26" s="1421">
        <v>0</v>
      </c>
      <c r="BD26" s="1421"/>
      <c r="BE26" s="1421"/>
      <c r="BF26" s="1421"/>
      <c r="BG26" s="1421">
        <v>0</v>
      </c>
      <c r="BH26" s="1421"/>
      <c r="BI26" s="1421"/>
      <c r="BJ26" s="1421"/>
      <c r="BK26" s="1421"/>
      <c r="BL26" s="1421">
        <v>0</v>
      </c>
      <c r="BM26" s="1421">
        <v>0</v>
      </c>
      <c r="BN26" s="1421"/>
      <c r="BO26" s="1421">
        <v>0</v>
      </c>
      <c r="BP26" s="1421"/>
      <c r="BQ26" s="1421"/>
      <c r="BR26" s="1421"/>
      <c r="BS26" s="1421"/>
      <c r="BT26" s="1421">
        <v>0</v>
      </c>
      <c r="BU26" s="1421"/>
      <c r="BV26" s="1421">
        <v>0</v>
      </c>
      <c r="BW26" s="1421"/>
      <c r="BX26" s="1421"/>
      <c r="BY26" s="1421"/>
      <c r="BZ26" s="1421"/>
      <c r="CA26" s="1421">
        <v>0</v>
      </c>
      <c r="CB26" s="1421"/>
      <c r="CC26" s="1421">
        <v>0</v>
      </c>
      <c r="CD26" s="1421"/>
      <c r="CE26" s="1421"/>
      <c r="CF26" s="1421"/>
      <c r="CG26" s="1421"/>
      <c r="CH26" s="1421"/>
      <c r="CI26" s="1421">
        <v>0</v>
      </c>
      <c r="CJ26" s="1421"/>
      <c r="CK26" s="1421"/>
      <c r="CL26" s="1421"/>
      <c r="CM26" s="1421"/>
      <c r="CN26" s="1421"/>
      <c r="CO26" s="1421">
        <v>0</v>
      </c>
      <c r="CP26" s="1421"/>
      <c r="CQ26" s="1421"/>
      <c r="CR26" s="1421"/>
      <c r="CS26" s="1421"/>
      <c r="CT26" s="1421">
        <v>0</v>
      </c>
      <c r="CU26" s="1421">
        <v>0</v>
      </c>
      <c r="CV26" s="1421"/>
      <c r="CW26" s="1421"/>
      <c r="CX26" s="1421">
        <v>0</v>
      </c>
      <c r="CY26" s="1421"/>
      <c r="CZ26" s="1421"/>
      <c r="DA26" s="1421">
        <v>0</v>
      </c>
      <c r="DB26" s="1421"/>
      <c r="DC26" s="1421"/>
      <c r="DD26" s="1421"/>
      <c r="DE26" s="1421">
        <v>0</v>
      </c>
      <c r="DF26" s="1421">
        <v>0</v>
      </c>
      <c r="DG26" s="1421"/>
      <c r="DH26" s="1421"/>
      <c r="DI26" s="1421">
        <v>0</v>
      </c>
      <c r="DJ26" s="1421"/>
      <c r="DK26" s="1421"/>
      <c r="DL26" s="1421">
        <v>0</v>
      </c>
      <c r="DM26" s="1421"/>
      <c r="DN26" s="1421"/>
      <c r="DO26" s="1421"/>
      <c r="DP26" s="1421"/>
      <c r="DQ26" s="1421"/>
      <c r="DR26" s="1421">
        <v>0</v>
      </c>
      <c r="DS26" s="1421"/>
      <c r="DT26" s="1421">
        <v>0</v>
      </c>
      <c r="DU26" s="1421"/>
      <c r="DV26" s="1421"/>
      <c r="DW26" s="1421">
        <v>0</v>
      </c>
      <c r="DX26" s="1421"/>
      <c r="DY26" s="1421"/>
      <c r="DZ26" s="1421"/>
      <c r="EA26" s="1421"/>
      <c r="EB26" s="1421">
        <v>0</v>
      </c>
      <c r="EC26" s="1421"/>
      <c r="ED26" s="1421"/>
      <c r="EE26" s="1421"/>
      <c r="EF26" s="1421">
        <v>0</v>
      </c>
      <c r="EG26" s="1421">
        <v>0</v>
      </c>
      <c r="EH26" s="1421"/>
      <c r="EI26" s="1421"/>
      <c r="EJ26" s="1421">
        <v>0</v>
      </c>
      <c r="EK26" s="1421"/>
      <c r="EL26" s="1421"/>
      <c r="EM26" s="1421">
        <v>0</v>
      </c>
      <c r="EN26" s="1421"/>
      <c r="EO26" s="1421"/>
      <c r="EP26" s="1421"/>
      <c r="EQ26" s="1421"/>
      <c r="ER26" s="1421"/>
      <c r="ES26" s="1421">
        <v>-19251485</v>
      </c>
      <c r="ET26" s="1421">
        <v>37045237</v>
      </c>
      <c r="EU26" s="1421">
        <v>2498362</v>
      </c>
      <c r="EV26" s="1421">
        <v>34546875</v>
      </c>
      <c r="EW26" s="1421">
        <v>0</v>
      </c>
      <c r="EX26" s="1421"/>
      <c r="EY26" s="1421"/>
      <c r="EZ26" s="1421">
        <v>-53204633</v>
      </c>
      <c r="FA26" s="1421"/>
      <c r="FB26" s="1421"/>
      <c r="FC26" s="1421">
        <v>-53204633</v>
      </c>
      <c r="FD26" s="1421">
        <v>-3092089</v>
      </c>
      <c r="FE26" s="1421"/>
      <c r="FF26" s="1421">
        <v>56081805.390000001</v>
      </c>
      <c r="FG26" s="1421"/>
      <c r="FH26" s="1421"/>
      <c r="FI26" s="1421"/>
      <c r="FJ26" s="1421"/>
      <c r="FK26" s="1421"/>
      <c r="FL26" s="1421">
        <v>95172138.25</v>
      </c>
      <c r="FM26" s="1221">
        <v>0</v>
      </c>
    </row>
    <row r="27" spans="2:169">
      <c r="B27" s="1223">
        <v>42614</v>
      </c>
      <c r="C27" s="1421">
        <v>58880311.210000001</v>
      </c>
      <c r="D27" s="1421">
        <v>58880311.210000001</v>
      </c>
      <c r="E27" s="1421">
        <v>22900115.670000002</v>
      </c>
      <c r="F27" s="1421">
        <v>35980195.539999999</v>
      </c>
      <c r="G27" s="1421"/>
      <c r="H27" s="1421"/>
      <c r="I27" s="1421"/>
      <c r="J27" s="1421"/>
      <c r="K27" s="1421"/>
      <c r="L27" s="1421"/>
      <c r="M27" s="1421"/>
      <c r="N27" s="1421"/>
      <c r="O27" s="1421"/>
      <c r="P27" s="1421"/>
      <c r="Q27" s="1421">
        <v>0</v>
      </c>
      <c r="R27" s="1421">
        <v>0</v>
      </c>
      <c r="S27" s="1421">
        <v>0</v>
      </c>
      <c r="T27" s="1421"/>
      <c r="U27" s="1421"/>
      <c r="V27" s="1421"/>
      <c r="W27" s="1421">
        <v>0</v>
      </c>
      <c r="X27" s="1421"/>
      <c r="Y27" s="1421"/>
      <c r="Z27" s="1421"/>
      <c r="AA27" s="1421">
        <v>0</v>
      </c>
      <c r="AB27" s="1421"/>
      <c r="AC27" s="1421"/>
      <c r="AD27" s="1421"/>
      <c r="AE27" s="1421">
        <v>0</v>
      </c>
      <c r="AF27" s="1421"/>
      <c r="AG27" s="1421"/>
      <c r="AH27" s="1421"/>
      <c r="AI27" s="1421">
        <v>0</v>
      </c>
      <c r="AJ27" s="1421"/>
      <c r="AK27" s="1421"/>
      <c r="AL27" s="1421"/>
      <c r="AM27" s="1421">
        <v>0</v>
      </c>
      <c r="AN27" s="1421"/>
      <c r="AO27" s="1421"/>
      <c r="AP27" s="1421"/>
      <c r="AQ27" s="1421">
        <v>0</v>
      </c>
      <c r="AR27" s="1421"/>
      <c r="AS27" s="1421"/>
      <c r="AT27" s="1421"/>
      <c r="AU27" s="1421">
        <v>0</v>
      </c>
      <c r="AV27" s="1421"/>
      <c r="AW27" s="1421"/>
      <c r="AX27" s="1421"/>
      <c r="AY27" s="1421">
        <v>0</v>
      </c>
      <c r="AZ27" s="1421"/>
      <c r="BA27" s="1421"/>
      <c r="BB27" s="1421"/>
      <c r="BC27" s="1421">
        <v>0</v>
      </c>
      <c r="BD27" s="1421"/>
      <c r="BE27" s="1421"/>
      <c r="BF27" s="1421"/>
      <c r="BG27" s="1421">
        <v>0</v>
      </c>
      <c r="BH27" s="1421"/>
      <c r="BI27" s="1421"/>
      <c r="BJ27" s="1421"/>
      <c r="BK27" s="1421"/>
      <c r="BL27" s="1421">
        <v>0</v>
      </c>
      <c r="BM27" s="1421">
        <v>0</v>
      </c>
      <c r="BN27" s="1421"/>
      <c r="BO27" s="1421">
        <v>0</v>
      </c>
      <c r="BP27" s="1421"/>
      <c r="BQ27" s="1421"/>
      <c r="BR27" s="1421"/>
      <c r="BS27" s="1421"/>
      <c r="BT27" s="1421">
        <v>0</v>
      </c>
      <c r="BU27" s="1421"/>
      <c r="BV27" s="1421">
        <v>0</v>
      </c>
      <c r="BW27" s="1421"/>
      <c r="BX27" s="1421"/>
      <c r="BY27" s="1421"/>
      <c r="BZ27" s="1421"/>
      <c r="CA27" s="1421">
        <v>0</v>
      </c>
      <c r="CB27" s="1421"/>
      <c r="CC27" s="1421">
        <v>0</v>
      </c>
      <c r="CD27" s="1421"/>
      <c r="CE27" s="1421"/>
      <c r="CF27" s="1421"/>
      <c r="CG27" s="1421"/>
      <c r="CH27" s="1421"/>
      <c r="CI27" s="1421">
        <v>0</v>
      </c>
      <c r="CJ27" s="1421"/>
      <c r="CK27" s="1421"/>
      <c r="CL27" s="1421"/>
      <c r="CM27" s="1421"/>
      <c r="CN27" s="1421"/>
      <c r="CO27" s="1421">
        <v>0</v>
      </c>
      <c r="CP27" s="1421"/>
      <c r="CQ27" s="1421"/>
      <c r="CR27" s="1421"/>
      <c r="CS27" s="1421"/>
      <c r="CT27" s="1421">
        <v>0</v>
      </c>
      <c r="CU27" s="1421">
        <v>0</v>
      </c>
      <c r="CV27" s="1421"/>
      <c r="CW27" s="1421"/>
      <c r="CX27" s="1421">
        <v>0</v>
      </c>
      <c r="CY27" s="1421"/>
      <c r="CZ27" s="1421"/>
      <c r="DA27" s="1421">
        <v>0</v>
      </c>
      <c r="DB27" s="1421"/>
      <c r="DC27" s="1421"/>
      <c r="DD27" s="1421"/>
      <c r="DE27" s="1421">
        <v>0</v>
      </c>
      <c r="DF27" s="1421">
        <v>0</v>
      </c>
      <c r="DG27" s="1421"/>
      <c r="DH27" s="1421"/>
      <c r="DI27" s="1421">
        <v>0</v>
      </c>
      <c r="DJ27" s="1421"/>
      <c r="DK27" s="1421"/>
      <c r="DL27" s="1421">
        <v>0</v>
      </c>
      <c r="DM27" s="1421"/>
      <c r="DN27" s="1421"/>
      <c r="DO27" s="1421"/>
      <c r="DP27" s="1421"/>
      <c r="DQ27" s="1421"/>
      <c r="DR27" s="1421">
        <v>0</v>
      </c>
      <c r="DS27" s="1421"/>
      <c r="DT27" s="1421">
        <v>0</v>
      </c>
      <c r="DU27" s="1421"/>
      <c r="DV27" s="1421"/>
      <c r="DW27" s="1421">
        <v>0</v>
      </c>
      <c r="DX27" s="1421"/>
      <c r="DY27" s="1421"/>
      <c r="DZ27" s="1421"/>
      <c r="EA27" s="1421"/>
      <c r="EB27" s="1421">
        <v>0</v>
      </c>
      <c r="EC27" s="1421"/>
      <c r="ED27" s="1421"/>
      <c r="EE27" s="1421"/>
      <c r="EF27" s="1421">
        <v>0</v>
      </c>
      <c r="EG27" s="1421">
        <v>0</v>
      </c>
      <c r="EH27" s="1421"/>
      <c r="EI27" s="1421"/>
      <c r="EJ27" s="1421">
        <v>0</v>
      </c>
      <c r="EK27" s="1421"/>
      <c r="EL27" s="1421"/>
      <c r="EM27" s="1421">
        <v>0</v>
      </c>
      <c r="EN27" s="1421"/>
      <c r="EO27" s="1421"/>
      <c r="EP27" s="1421"/>
      <c r="EQ27" s="1421"/>
      <c r="ER27" s="1421"/>
      <c r="ES27" s="1421">
        <v>-19265891</v>
      </c>
      <c r="ET27" s="1421">
        <v>37045237</v>
      </c>
      <c r="EU27" s="1421">
        <v>2498362</v>
      </c>
      <c r="EV27" s="1421">
        <v>34546875</v>
      </c>
      <c r="EW27" s="1421">
        <v>0</v>
      </c>
      <c r="EX27" s="1421"/>
      <c r="EY27" s="1421"/>
      <c r="EZ27" s="1421">
        <v>-53204633</v>
      </c>
      <c r="FA27" s="1421"/>
      <c r="FB27" s="1421"/>
      <c r="FC27" s="1421">
        <v>-53204633</v>
      </c>
      <c r="FD27" s="1421">
        <v>-3106495</v>
      </c>
      <c r="FE27" s="1421"/>
      <c r="FF27" s="1421">
        <v>55892757.039999992</v>
      </c>
      <c r="FG27" s="1421"/>
      <c r="FH27" s="1421"/>
      <c r="FI27" s="1421"/>
      <c r="FJ27" s="1421"/>
      <c r="FK27" s="1421"/>
      <c r="FL27" s="1421">
        <v>95507177.25</v>
      </c>
      <c r="FM27" s="1221">
        <v>0</v>
      </c>
    </row>
    <row r="28" spans="2:169">
      <c r="B28" s="1223">
        <v>42644</v>
      </c>
      <c r="C28" s="1421">
        <v>58880311.210000001</v>
      </c>
      <c r="D28" s="1421">
        <v>58880311.210000001</v>
      </c>
      <c r="E28" s="1421">
        <v>22900115.670000002</v>
      </c>
      <c r="F28" s="1421">
        <v>35980195.539999999</v>
      </c>
      <c r="G28" s="1421"/>
      <c r="H28" s="1421"/>
      <c r="I28" s="1421"/>
      <c r="J28" s="1421"/>
      <c r="K28" s="1421"/>
      <c r="L28" s="1421"/>
      <c r="M28" s="1421"/>
      <c r="N28" s="1421"/>
      <c r="O28" s="1421"/>
      <c r="P28" s="1421"/>
      <c r="Q28" s="1421">
        <v>0</v>
      </c>
      <c r="R28" s="1421">
        <v>0</v>
      </c>
      <c r="S28" s="1421">
        <v>0</v>
      </c>
      <c r="T28" s="1421"/>
      <c r="U28" s="1421"/>
      <c r="V28" s="1421"/>
      <c r="W28" s="1421">
        <v>0</v>
      </c>
      <c r="X28" s="1421"/>
      <c r="Y28" s="1421"/>
      <c r="Z28" s="1421"/>
      <c r="AA28" s="1421">
        <v>0</v>
      </c>
      <c r="AB28" s="1421"/>
      <c r="AC28" s="1421"/>
      <c r="AD28" s="1421"/>
      <c r="AE28" s="1421">
        <v>0</v>
      </c>
      <c r="AF28" s="1421"/>
      <c r="AG28" s="1421"/>
      <c r="AH28" s="1421"/>
      <c r="AI28" s="1421">
        <v>0</v>
      </c>
      <c r="AJ28" s="1421"/>
      <c r="AK28" s="1421"/>
      <c r="AL28" s="1421"/>
      <c r="AM28" s="1421">
        <v>0</v>
      </c>
      <c r="AN28" s="1421"/>
      <c r="AO28" s="1421"/>
      <c r="AP28" s="1421"/>
      <c r="AQ28" s="1421">
        <v>0</v>
      </c>
      <c r="AR28" s="1421"/>
      <c r="AS28" s="1421"/>
      <c r="AT28" s="1421"/>
      <c r="AU28" s="1421">
        <v>0</v>
      </c>
      <c r="AV28" s="1421"/>
      <c r="AW28" s="1421"/>
      <c r="AX28" s="1421"/>
      <c r="AY28" s="1421">
        <v>0</v>
      </c>
      <c r="AZ28" s="1421"/>
      <c r="BA28" s="1421"/>
      <c r="BB28" s="1421"/>
      <c r="BC28" s="1421">
        <v>0</v>
      </c>
      <c r="BD28" s="1421"/>
      <c r="BE28" s="1421"/>
      <c r="BF28" s="1421"/>
      <c r="BG28" s="1421">
        <v>0</v>
      </c>
      <c r="BH28" s="1421"/>
      <c r="BI28" s="1421"/>
      <c r="BJ28" s="1421"/>
      <c r="BK28" s="1421"/>
      <c r="BL28" s="1421">
        <v>0</v>
      </c>
      <c r="BM28" s="1421">
        <v>0</v>
      </c>
      <c r="BN28" s="1421"/>
      <c r="BO28" s="1421">
        <v>0</v>
      </c>
      <c r="BP28" s="1421"/>
      <c r="BQ28" s="1421"/>
      <c r="BR28" s="1421"/>
      <c r="BS28" s="1421"/>
      <c r="BT28" s="1421">
        <v>0</v>
      </c>
      <c r="BU28" s="1421"/>
      <c r="BV28" s="1421">
        <v>0</v>
      </c>
      <c r="BW28" s="1421"/>
      <c r="BX28" s="1421"/>
      <c r="BY28" s="1421"/>
      <c r="BZ28" s="1421"/>
      <c r="CA28" s="1421">
        <v>0</v>
      </c>
      <c r="CB28" s="1421"/>
      <c r="CC28" s="1421">
        <v>0</v>
      </c>
      <c r="CD28" s="1421"/>
      <c r="CE28" s="1421"/>
      <c r="CF28" s="1421"/>
      <c r="CG28" s="1421"/>
      <c r="CH28" s="1421"/>
      <c r="CI28" s="1421">
        <v>0</v>
      </c>
      <c r="CJ28" s="1421"/>
      <c r="CK28" s="1421"/>
      <c r="CL28" s="1421"/>
      <c r="CM28" s="1421"/>
      <c r="CN28" s="1421"/>
      <c r="CO28" s="1421">
        <v>0</v>
      </c>
      <c r="CP28" s="1421"/>
      <c r="CQ28" s="1421"/>
      <c r="CR28" s="1421"/>
      <c r="CS28" s="1421"/>
      <c r="CT28" s="1421">
        <v>0</v>
      </c>
      <c r="CU28" s="1421">
        <v>0</v>
      </c>
      <c r="CV28" s="1421"/>
      <c r="CW28" s="1421"/>
      <c r="CX28" s="1421">
        <v>0</v>
      </c>
      <c r="CY28" s="1421"/>
      <c r="CZ28" s="1421"/>
      <c r="DA28" s="1421">
        <v>0</v>
      </c>
      <c r="DB28" s="1421"/>
      <c r="DC28" s="1421"/>
      <c r="DD28" s="1421"/>
      <c r="DE28" s="1421">
        <v>0</v>
      </c>
      <c r="DF28" s="1421">
        <v>0</v>
      </c>
      <c r="DG28" s="1421"/>
      <c r="DH28" s="1421"/>
      <c r="DI28" s="1421">
        <v>0</v>
      </c>
      <c r="DJ28" s="1421"/>
      <c r="DK28" s="1421"/>
      <c r="DL28" s="1421">
        <v>0</v>
      </c>
      <c r="DM28" s="1421"/>
      <c r="DN28" s="1421"/>
      <c r="DO28" s="1421"/>
      <c r="DP28" s="1421"/>
      <c r="DQ28" s="1421"/>
      <c r="DR28" s="1421">
        <v>0</v>
      </c>
      <c r="DS28" s="1421"/>
      <c r="DT28" s="1421">
        <v>0</v>
      </c>
      <c r="DU28" s="1421"/>
      <c r="DV28" s="1421"/>
      <c r="DW28" s="1421">
        <v>0</v>
      </c>
      <c r="DX28" s="1421"/>
      <c r="DY28" s="1421"/>
      <c r="DZ28" s="1421"/>
      <c r="EA28" s="1421"/>
      <c r="EB28" s="1421">
        <v>0</v>
      </c>
      <c r="EC28" s="1421"/>
      <c r="ED28" s="1421"/>
      <c r="EE28" s="1421"/>
      <c r="EF28" s="1421">
        <v>0</v>
      </c>
      <c r="EG28" s="1421">
        <v>0</v>
      </c>
      <c r="EH28" s="1421"/>
      <c r="EI28" s="1421"/>
      <c r="EJ28" s="1421">
        <v>0</v>
      </c>
      <c r="EK28" s="1421"/>
      <c r="EL28" s="1421"/>
      <c r="EM28" s="1421">
        <v>0</v>
      </c>
      <c r="EN28" s="1421"/>
      <c r="EO28" s="1421"/>
      <c r="EP28" s="1421"/>
      <c r="EQ28" s="1421"/>
      <c r="ER28" s="1421"/>
      <c r="ES28" s="1421">
        <v>-19265891</v>
      </c>
      <c r="ET28" s="1421">
        <v>37045237</v>
      </c>
      <c r="EU28" s="1421">
        <v>2498362</v>
      </c>
      <c r="EV28" s="1421">
        <v>34546875</v>
      </c>
      <c r="EW28" s="1421">
        <v>0</v>
      </c>
      <c r="EX28" s="1421"/>
      <c r="EY28" s="1421"/>
      <c r="EZ28" s="1421">
        <v>-53204633</v>
      </c>
      <c r="FA28" s="1421"/>
      <c r="FB28" s="1421"/>
      <c r="FC28" s="1421">
        <v>-53204633</v>
      </c>
      <c r="FD28" s="1421">
        <v>-3106495</v>
      </c>
      <c r="FE28" s="1421"/>
      <c r="FF28" s="1421">
        <v>55892757.039999992</v>
      </c>
      <c r="FG28" s="1421"/>
      <c r="FH28" s="1421"/>
      <c r="FI28" s="1421"/>
      <c r="FJ28" s="1421"/>
      <c r="FK28" s="1421"/>
      <c r="FL28" s="1421">
        <v>95507177.25</v>
      </c>
      <c r="FM28" s="1221">
        <v>0</v>
      </c>
    </row>
    <row r="29" spans="2:169" ht="14.25" customHeight="1">
      <c r="B29" s="1223">
        <v>42675</v>
      </c>
      <c r="C29" s="1421">
        <v>58880311.210000008</v>
      </c>
      <c r="D29" s="1421">
        <v>58880311.210000008</v>
      </c>
      <c r="E29" s="1421">
        <v>22900115.673576657</v>
      </c>
      <c r="F29" s="1421">
        <v>35980195.536423348</v>
      </c>
      <c r="G29" s="1421"/>
      <c r="H29" s="1421"/>
      <c r="I29" s="1421"/>
      <c r="J29" s="1421"/>
      <c r="K29" s="1421"/>
      <c r="L29" s="1421"/>
      <c r="M29" s="1421"/>
      <c r="N29" s="1421"/>
      <c r="O29" s="1421"/>
      <c r="P29" s="1421"/>
      <c r="Q29" s="1421">
        <v>0</v>
      </c>
      <c r="R29" s="1421">
        <v>0</v>
      </c>
      <c r="S29" s="1421">
        <v>0</v>
      </c>
      <c r="T29" s="1421"/>
      <c r="U29" s="1421"/>
      <c r="V29" s="1421"/>
      <c r="W29" s="1421">
        <v>0</v>
      </c>
      <c r="X29" s="1421"/>
      <c r="Y29" s="1421"/>
      <c r="Z29" s="1421"/>
      <c r="AA29" s="1421">
        <v>0</v>
      </c>
      <c r="AB29" s="1421"/>
      <c r="AC29" s="1421"/>
      <c r="AD29" s="1421"/>
      <c r="AE29" s="1421">
        <v>0</v>
      </c>
      <c r="AF29" s="1421"/>
      <c r="AG29" s="1421"/>
      <c r="AH29" s="1421"/>
      <c r="AI29" s="1421">
        <v>0</v>
      </c>
      <c r="AJ29" s="1421"/>
      <c r="AK29" s="1421"/>
      <c r="AL29" s="1421"/>
      <c r="AM29" s="1421">
        <v>0</v>
      </c>
      <c r="AN29" s="1421"/>
      <c r="AO29" s="1421"/>
      <c r="AP29" s="1421"/>
      <c r="AQ29" s="1421">
        <v>0</v>
      </c>
      <c r="AR29" s="1421"/>
      <c r="AS29" s="1421"/>
      <c r="AT29" s="1421"/>
      <c r="AU29" s="1421">
        <v>0</v>
      </c>
      <c r="AV29" s="1421"/>
      <c r="AW29" s="1421"/>
      <c r="AX29" s="1421"/>
      <c r="AY29" s="1421">
        <v>0</v>
      </c>
      <c r="AZ29" s="1421"/>
      <c r="BA29" s="1421"/>
      <c r="BB29" s="1421"/>
      <c r="BC29" s="1421">
        <v>0</v>
      </c>
      <c r="BD29" s="1421"/>
      <c r="BE29" s="1421"/>
      <c r="BF29" s="1421"/>
      <c r="BG29" s="1421">
        <v>0</v>
      </c>
      <c r="BH29" s="1421"/>
      <c r="BI29" s="1421"/>
      <c r="BJ29" s="1421"/>
      <c r="BK29" s="1421"/>
      <c r="BL29" s="1421">
        <v>0</v>
      </c>
      <c r="BM29" s="1421">
        <v>0</v>
      </c>
      <c r="BN29" s="1421"/>
      <c r="BO29" s="1421">
        <v>0</v>
      </c>
      <c r="BP29" s="1421"/>
      <c r="BQ29" s="1421"/>
      <c r="BR29" s="1421"/>
      <c r="BS29" s="1421"/>
      <c r="BT29" s="1421">
        <v>0</v>
      </c>
      <c r="BU29" s="1421"/>
      <c r="BV29" s="1421">
        <v>0</v>
      </c>
      <c r="BW29" s="1421"/>
      <c r="BX29" s="1421"/>
      <c r="BY29" s="1421"/>
      <c r="BZ29" s="1421"/>
      <c r="CA29" s="1421">
        <v>0</v>
      </c>
      <c r="CB29" s="1421"/>
      <c r="CC29" s="1421">
        <v>0</v>
      </c>
      <c r="CD29" s="1421"/>
      <c r="CE29" s="1421"/>
      <c r="CF29" s="1421"/>
      <c r="CG29" s="1421"/>
      <c r="CH29" s="1421"/>
      <c r="CI29" s="1421">
        <v>0</v>
      </c>
      <c r="CJ29" s="1421"/>
      <c r="CK29" s="1421"/>
      <c r="CL29" s="1421"/>
      <c r="CM29" s="1421"/>
      <c r="CN29" s="1421"/>
      <c r="CO29" s="1421">
        <v>0</v>
      </c>
      <c r="CP29" s="1421"/>
      <c r="CQ29" s="1421"/>
      <c r="CR29" s="1421"/>
      <c r="CS29" s="1421"/>
      <c r="CT29" s="1421">
        <v>0</v>
      </c>
      <c r="CU29" s="1421">
        <v>0</v>
      </c>
      <c r="CV29" s="1421"/>
      <c r="CW29" s="1421"/>
      <c r="CX29" s="1421">
        <v>0</v>
      </c>
      <c r="CY29" s="1421"/>
      <c r="CZ29" s="1421"/>
      <c r="DA29" s="1421">
        <v>0</v>
      </c>
      <c r="DB29" s="1421"/>
      <c r="DC29" s="1421"/>
      <c r="DD29" s="1421"/>
      <c r="DE29" s="1421">
        <v>0</v>
      </c>
      <c r="DF29" s="1421">
        <v>0</v>
      </c>
      <c r="DG29" s="1421"/>
      <c r="DH29" s="1421"/>
      <c r="DI29" s="1421">
        <v>0</v>
      </c>
      <c r="DJ29" s="1421"/>
      <c r="DK29" s="1421"/>
      <c r="DL29" s="1421">
        <v>0</v>
      </c>
      <c r="DM29" s="1421"/>
      <c r="DN29" s="1421"/>
      <c r="DO29" s="1421"/>
      <c r="DP29" s="1421"/>
      <c r="DQ29" s="1421"/>
      <c r="DR29" s="1421">
        <v>0</v>
      </c>
      <c r="DS29" s="1421"/>
      <c r="DT29" s="1421">
        <v>0</v>
      </c>
      <c r="DU29" s="1421"/>
      <c r="DV29" s="1421"/>
      <c r="DW29" s="1421">
        <v>0</v>
      </c>
      <c r="DX29" s="1421"/>
      <c r="DY29" s="1421"/>
      <c r="DZ29" s="1421"/>
      <c r="EA29" s="1421"/>
      <c r="EB29" s="1421">
        <v>0</v>
      </c>
      <c r="EC29" s="1421"/>
      <c r="ED29" s="1421"/>
      <c r="EE29" s="1421"/>
      <c r="EF29" s="1421">
        <v>0</v>
      </c>
      <c r="EG29" s="1421">
        <v>0</v>
      </c>
      <c r="EH29" s="1421"/>
      <c r="EI29" s="1421"/>
      <c r="EJ29" s="1421">
        <v>0</v>
      </c>
      <c r="EK29" s="1421"/>
      <c r="EL29" s="1421"/>
      <c r="EM29" s="1421">
        <v>0</v>
      </c>
      <c r="EN29" s="1421"/>
      <c r="EO29" s="1421"/>
      <c r="EP29" s="1421"/>
      <c r="EQ29" s="1421"/>
      <c r="ER29" s="1421"/>
      <c r="ES29" s="1421">
        <v>-19193602.568528786</v>
      </c>
      <c r="ET29" s="1421">
        <v>37045237</v>
      </c>
      <c r="EU29" s="1421">
        <v>2498362</v>
      </c>
      <c r="EV29" s="1421">
        <v>34546875</v>
      </c>
      <c r="EW29" s="1421">
        <v>0</v>
      </c>
      <c r="EX29" s="1421"/>
      <c r="EY29" s="1421"/>
      <c r="EZ29" s="1421">
        <v>-53204633</v>
      </c>
      <c r="FA29" s="1421"/>
      <c r="FB29" s="1421"/>
      <c r="FC29" s="1421">
        <v>-53204633</v>
      </c>
      <c r="FD29" s="1421">
        <v>-3034206.5685287849</v>
      </c>
      <c r="FE29" s="1421"/>
      <c r="FF29" s="1421">
        <v>55892756.649750002</v>
      </c>
      <c r="FG29" s="1421"/>
      <c r="FH29" s="1421"/>
      <c r="FI29" s="1421"/>
      <c r="FJ29" s="1421"/>
      <c r="FK29" s="1421"/>
      <c r="FL29" s="1421">
        <v>95579465.291221231</v>
      </c>
      <c r="FM29" s="1221">
        <v>3.2496452331542969E-4</v>
      </c>
    </row>
    <row r="30" spans="2:169">
      <c r="B30" s="1223">
        <v>42705</v>
      </c>
      <c r="C30" s="1421">
        <v>58524403.74000001</v>
      </c>
      <c r="D30" s="1421">
        <v>58524403.74000001</v>
      </c>
      <c r="E30" s="1421">
        <v>22761693.812947873</v>
      </c>
      <c r="F30" s="1421">
        <v>35762709.927052133</v>
      </c>
      <c r="G30" s="1421"/>
      <c r="H30" s="1421"/>
      <c r="I30" s="1421"/>
      <c r="J30" s="1421"/>
      <c r="K30" s="1421"/>
      <c r="L30" s="1421"/>
      <c r="M30" s="1421"/>
      <c r="N30" s="1421"/>
      <c r="O30" s="1421"/>
      <c r="P30" s="1421"/>
      <c r="Q30" s="1421">
        <v>0</v>
      </c>
      <c r="R30" s="1421">
        <v>0</v>
      </c>
      <c r="S30" s="1421">
        <v>0</v>
      </c>
      <c r="T30" s="1421"/>
      <c r="U30" s="1421"/>
      <c r="V30" s="1421"/>
      <c r="W30" s="1421">
        <v>0</v>
      </c>
      <c r="X30" s="1421"/>
      <c r="Y30" s="1421"/>
      <c r="Z30" s="1421"/>
      <c r="AA30" s="1421">
        <v>0</v>
      </c>
      <c r="AB30" s="1421"/>
      <c r="AC30" s="1421"/>
      <c r="AD30" s="1421"/>
      <c r="AE30" s="1421">
        <v>0</v>
      </c>
      <c r="AF30" s="1421"/>
      <c r="AG30" s="1421"/>
      <c r="AH30" s="1421"/>
      <c r="AI30" s="1421">
        <v>0</v>
      </c>
      <c r="AJ30" s="1421"/>
      <c r="AK30" s="1421"/>
      <c r="AL30" s="1421"/>
      <c r="AM30" s="1421">
        <v>0</v>
      </c>
      <c r="AN30" s="1421"/>
      <c r="AO30" s="1421"/>
      <c r="AP30" s="1421"/>
      <c r="AQ30" s="1421">
        <v>0</v>
      </c>
      <c r="AR30" s="1421"/>
      <c r="AS30" s="1421"/>
      <c r="AT30" s="1421"/>
      <c r="AU30" s="1421">
        <v>0</v>
      </c>
      <c r="AV30" s="1421"/>
      <c r="AW30" s="1421"/>
      <c r="AX30" s="1421"/>
      <c r="AY30" s="1421">
        <v>0</v>
      </c>
      <c r="AZ30" s="1421"/>
      <c r="BA30" s="1421"/>
      <c r="BB30" s="1421"/>
      <c r="BC30" s="1421">
        <v>0</v>
      </c>
      <c r="BD30" s="1421"/>
      <c r="BE30" s="1421"/>
      <c r="BF30" s="1421"/>
      <c r="BG30" s="1421">
        <v>0</v>
      </c>
      <c r="BH30" s="1421"/>
      <c r="BI30" s="1421"/>
      <c r="BJ30" s="1421"/>
      <c r="BK30" s="1421"/>
      <c r="BL30" s="1421">
        <v>0</v>
      </c>
      <c r="BM30" s="1421">
        <v>0</v>
      </c>
      <c r="BN30" s="1421"/>
      <c r="BO30" s="1421">
        <v>0</v>
      </c>
      <c r="BP30" s="1421"/>
      <c r="BQ30" s="1421"/>
      <c r="BR30" s="1421"/>
      <c r="BS30" s="1421"/>
      <c r="BT30" s="1421">
        <v>0</v>
      </c>
      <c r="BU30" s="1421"/>
      <c r="BV30" s="1421">
        <v>0</v>
      </c>
      <c r="BW30" s="1421"/>
      <c r="BX30" s="1421"/>
      <c r="BY30" s="1421"/>
      <c r="BZ30" s="1421"/>
      <c r="CA30" s="1421">
        <v>0</v>
      </c>
      <c r="CB30" s="1421"/>
      <c r="CC30" s="1421">
        <v>0</v>
      </c>
      <c r="CD30" s="1421"/>
      <c r="CE30" s="1421"/>
      <c r="CF30" s="1421"/>
      <c r="CG30" s="1421"/>
      <c r="CH30" s="1421"/>
      <c r="CI30" s="1421">
        <v>0</v>
      </c>
      <c r="CJ30" s="1421"/>
      <c r="CK30" s="1421"/>
      <c r="CL30" s="1421"/>
      <c r="CM30" s="1421"/>
      <c r="CN30" s="1421"/>
      <c r="CO30" s="1421">
        <v>0</v>
      </c>
      <c r="CP30" s="1421"/>
      <c r="CQ30" s="1421"/>
      <c r="CR30" s="1421"/>
      <c r="CS30" s="1421"/>
      <c r="CT30" s="1421">
        <v>0</v>
      </c>
      <c r="CU30" s="1421">
        <v>0</v>
      </c>
      <c r="CV30" s="1421"/>
      <c r="CW30" s="1421"/>
      <c r="CX30" s="1421">
        <v>0</v>
      </c>
      <c r="CY30" s="1421"/>
      <c r="CZ30" s="1421"/>
      <c r="DA30" s="1421">
        <v>0</v>
      </c>
      <c r="DB30" s="1421"/>
      <c r="DC30" s="1421"/>
      <c r="DD30" s="1421"/>
      <c r="DE30" s="1421">
        <v>0</v>
      </c>
      <c r="DF30" s="1421">
        <v>0</v>
      </c>
      <c r="DG30" s="1421"/>
      <c r="DH30" s="1421"/>
      <c r="DI30" s="1421">
        <v>0</v>
      </c>
      <c r="DJ30" s="1421"/>
      <c r="DK30" s="1421"/>
      <c r="DL30" s="1421">
        <v>0</v>
      </c>
      <c r="DM30" s="1421"/>
      <c r="DN30" s="1421"/>
      <c r="DO30" s="1421"/>
      <c r="DP30" s="1421"/>
      <c r="DQ30" s="1421"/>
      <c r="DR30" s="1421">
        <v>0</v>
      </c>
      <c r="DS30" s="1421"/>
      <c r="DT30" s="1421">
        <v>0</v>
      </c>
      <c r="DU30" s="1421"/>
      <c r="DV30" s="1421"/>
      <c r="DW30" s="1421">
        <v>0</v>
      </c>
      <c r="DX30" s="1421"/>
      <c r="DY30" s="1421"/>
      <c r="DZ30" s="1421"/>
      <c r="EA30" s="1421"/>
      <c r="EB30" s="1421">
        <v>0</v>
      </c>
      <c r="EC30" s="1421"/>
      <c r="ED30" s="1421"/>
      <c r="EE30" s="1421"/>
      <c r="EF30" s="1421">
        <v>0</v>
      </c>
      <c r="EG30" s="1421">
        <v>0</v>
      </c>
      <c r="EH30" s="1421"/>
      <c r="EI30" s="1421"/>
      <c r="EJ30" s="1421">
        <v>0</v>
      </c>
      <c r="EK30" s="1421"/>
      <c r="EL30" s="1421"/>
      <c r="EM30" s="1421">
        <v>0</v>
      </c>
      <c r="EN30" s="1421"/>
      <c r="EO30" s="1421"/>
      <c r="EP30" s="1421"/>
      <c r="EQ30" s="1421"/>
      <c r="ER30" s="1421"/>
      <c r="ES30" s="1421">
        <v>-20134578.286134463</v>
      </c>
      <c r="ET30" s="1421">
        <v>37045237</v>
      </c>
      <c r="EU30" s="1421">
        <v>2498362</v>
      </c>
      <c r="EV30" s="1421">
        <v>34546875</v>
      </c>
      <c r="EW30" s="1421">
        <v>0</v>
      </c>
      <c r="EX30" s="1421"/>
      <c r="EY30" s="1421"/>
      <c r="EZ30" s="1421">
        <v>-53204633.009999998</v>
      </c>
      <c r="FA30" s="1421"/>
      <c r="FB30" s="1421"/>
      <c r="FC30" s="1421">
        <v>-53204633.009999998</v>
      </c>
      <c r="FD30" s="1421">
        <v>-3975182.2761344658</v>
      </c>
      <c r="FE30" s="1421"/>
      <c r="FF30" s="1421">
        <v>53174905.495224968</v>
      </c>
      <c r="FG30" s="1421"/>
      <c r="FH30" s="1421"/>
      <c r="FI30" s="1421"/>
      <c r="FJ30" s="1421"/>
      <c r="FK30" s="1421"/>
      <c r="FL30" s="1421">
        <v>91564730.949090511</v>
      </c>
      <c r="FM30" s="1221">
        <v>0</v>
      </c>
    </row>
    <row r="31" spans="2:169">
      <c r="C31" s="1220"/>
      <c r="D31" s="1220"/>
      <c r="E31" s="1220"/>
      <c r="F31" s="1220"/>
      <c r="G31" s="1220"/>
      <c r="H31" s="1220"/>
      <c r="I31" s="1220"/>
      <c r="J31" s="1220"/>
      <c r="K31" s="1220"/>
      <c r="L31" s="1220"/>
      <c r="M31" s="1220"/>
      <c r="N31" s="1220"/>
      <c r="O31" s="1220"/>
      <c r="P31" s="1220"/>
      <c r="Q31" s="1220"/>
      <c r="R31" s="1220"/>
      <c r="S31" s="1220"/>
      <c r="T31" s="1220"/>
      <c r="U31" s="1220"/>
      <c r="V31" s="1220"/>
      <c r="W31" s="1220"/>
      <c r="X31" s="1220"/>
      <c r="Y31" s="1220"/>
      <c r="Z31" s="1220"/>
      <c r="AA31" s="1220"/>
      <c r="AB31" s="1220"/>
      <c r="AC31" s="1220"/>
      <c r="AD31" s="1220"/>
      <c r="AE31" s="1220"/>
      <c r="AF31" s="1220"/>
      <c r="AG31" s="1220"/>
      <c r="AH31" s="1220"/>
      <c r="AI31" s="1220"/>
      <c r="AJ31" s="1220"/>
      <c r="AK31" s="1220"/>
      <c r="AL31" s="1220"/>
      <c r="AM31" s="1220"/>
      <c r="AN31" s="1220"/>
      <c r="AO31" s="1220"/>
      <c r="AP31" s="1220"/>
      <c r="AQ31" s="1220"/>
      <c r="AR31" s="1220"/>
      <c r="AS31" s="1220"/>
      <c r="AT31" s="1220"/>
      <c r="AU31" s="1220"/>
      <c r="AV31" s="1220"/>
      <c r="AW31" s="1220"/>
      <c r="AX31" s="1220"/>
      <c r="AY31" s="1220"/>
      <c r="AZ31" s="1220"/>
      <c r="BA31" s="1220"/>
      <c r="BB31" s="1220"/>
      <c r="BC31" s="1220"/>
      <c r="BD31" s="1220"/>
      <c r="BE31" s="1220"/>
      <c r="BF31" s="1220"/>
      <c r="BG31" s="1220"/>
      <c r="BH31" s="1220"/>
      <c r="BI31" s="1220"/>
      <c r="BJ31" s="1220"/>
      <c r="BK31" s="1220"/>
      <c r="BL31" s="1220"/>
      <c r="BM31" s="1220"/>
      <c r="BN31" s="1220"/>
      <c r="BO31" s="1220"/>
      <c r="BP31" s="1220"/>
      <c r="BQ31" s="1220"/>
      <c r="BR31" s="1220"/>
      <c r="BS31" s="1220"/>
      <c r="BT31" s="1220"/>
      <c r="BU31" s="1220"/>
      <c r="BV31" s="1220"/>
      <c r="BW31" s="1220"/>
      <c r="BX31" s="1220"/>
      <c r="BY31" s="1220"/>
      <c r="BZ31" s="1220"/>
      <c r="CA31" s="1220"/>
      <c r="CB31" s="1220"/>
      <c r="CC31" s="1220"/>
      <c r="CD31" s="1220"/>
      <c r="CE31" s="1220"/>
      <c r="CF31" s="1220"/>
      <c r="CG31" s="1220"/>
      <c r="CH31" s="1220"/>
      <c r="CI31" s="1220"/>
      <c r="CJ31" s="1220"/>
      <c r="CK31" s="1220"/>
      <c r="CL31" s="1220"/>
      <c r="CM31" s="1220"/>
      <c r="CN31" s="1220"/>
      <c r="CO31" s="1220"/>
      <c r="CP31" s="1220"/>
      <c r="CQ31" s="1220"/>
      <c r="CR31" s="1220"/>
      <c r="CS31" s="1220"/>
      <c r="CT31" s="1220"/>
      <c r="CU31" s="1220"/>
      <c r="CV31" s="1220"/>
      <c r="CW31" s="1220"/>
      <c r="CX31" s="1220"/>
      <c r="CY31" s="1220"/>
      <c r="CZ31" s="1220"/>
      <c r="DA31" s="1220"/>
      <c r="DB31" s="1220"/>
      <c r="DC31" s="1220"/>
      <c r="DD31" s="1220"/>
      <c r="DE31" s="1220"/>
      <c r="DF31" s="1220"/>
      <c r="DG31" s="1220"/>
      <c r="DH31" s="1220"/>
      <c r="DI31" s="1220"/>
      <c r="DJ31" s="1220"/>
      <c r="DK31" s="1220"/>
      <c r="DL31" s="1220"/>
      <c r="DM31" s="1220"/>
      <c r="DN31" s="1220"/>
      <c r="DO31" s="1220"/>
      <c r="DP31" s="1220"/>
      <c r="DQ31" s="1220"/>
      <c r="DR31" s="1220"/>
      <c r="DS31" s="1220"/>
      <c r="DT31" s="1220"/>
      <c r="DU31" s="1220"/>
      <c r="DV31" s="1220"/>
      <c r="DW31" s="1220"/>
      <c r="DX31" s="1220"/>
      <c r="DY31" s="1220"/>
      <c r="DZ31" s="1220"/>
      <c r="EA31" s="1220"/>
      <c r="EB31" s="1220"/>
      <c r="EC31" s="1220"/>
      <c r="ED31" s="1220"/>
      <c r="EE31" s="1220"/>
      <c r="EF31" s="1220"/>
      <c r="EG31" s="1220"/>
      <c r="EH31" s="1220"/>
      <c r="EI31" s="1220"/>
      <c r="EJ31" s="1220"/>
      <c r="EK31" s="1220"/>
      <c r="EL31" s="1220"/>
      <c r="EM31" s="1220"/>
      <c r="EN31" s="1220"/>
      <c r="EO31" s="1220"/>
      <c r="EP31" s="1220"/>
      <c r="EQ31" s="1220"/>
      <c r="ER31" s="1220"/>
      <c r="ES31" s="1220"/>
      <c r="ET31" s="1220"/>
      <c r="EU31" s="1220"/>
      <c r="EV31" s="1220"/>
      <c r="EW31" s="1220"/>
      <c r="EX31" s="1220"/>
      <c r="EY31" s="1220"/>
      <c r="EZ31" s="1220"/>
      <c r="FA31" s="1220"/>
      <c r="FB31" s="1220"/>
      <c r="FC31" s="1220"/>
      <c r="FD31" s="1220"/>
      <c r="FE31" s="1220"/>
      <c r="FF31" s="1220"/>
      <c r="FG31" s="1220"/>
      <c r="FH31" s="1220"/>
      <c r="FI31" s="1220"/>
      <c r="FJ31" s="1220"/>
      <c r="FK31" s="1220"/>
      <c r="FL31" s="1220"/>
    </row>
    <row r="32" spans="2:169">
      <c r="C32" s="1220"/>
      <c r="D32" s="1220"/>
      <c r="E32" s="1220"/>
      <c r="F32" s="1220"/>
      <c r="G32" s="1220"/>
      <c r="H32" s="1220"/>
      <c r="I32" s="1220"/>
      <c r="J32" s="1220"/>
      <c r="K32" s="1220"/>
      <c r="L32" s="1220"/>
      <c r="M32" s="1220"/>
      <c r="N32" s="1220"/>
      <c r="O32" s="1220"/>
      <c r="P32" s="1220"/>
      <c r="Q32" s="1220"/>
      <c r="R32" s="1220"/>
      <c r="S32" s="1220"/>
      <c r="T32" s="1220"/>
      <c r="U32" s="1220"/>
      <c r="V32" s="1220"/>
      <c r="W32" s="1220"/>
      <c r="X32" s="1220"/>
      <c r="Y32" s="1220"/>
      <c r="Z32" s="1220"/>
      <c r="AA32" s="1220"/>
      <c r="AB32" s="1220"/>
      <c r="AC32" s="1220"/>
      <c r="AD32" s="1220"/>
      <c r="AE32" s="1220"/>
      <c r="AF32" s="1220"/>
      <c r="AG32" s="1220"/>
      <c r="AH32" s="1220"/>
      <c r="AI32" s="1220"/>
      <c r="AJ32" s="1220"/>
      <c r="AK32" s="1220"/>
      <c r="AL32" s="1220"/>
      <c r="AM32" s="1220"/>
      <c r="AN32" s="1220"/>
      <c r="AO32" s="1220"/>
      <c r="AP32" s="1220"/>
      <c r="AQ32" s="1220"/>
      <c r="AR32" s="1220"/>
      <c r="AS32" s="1220"/>
      <c r="AT32" s="1220"/>
      <c r="AU32" s="1220"/>
      <c r="AV32" s="1220"/>
      <c r="AW32" s="1220"/>
      <c r="AX32" s="1220"/>
      <c r="AY32" s="1220"/>
      <c r="AZ32" s="1220"/>
      <c r="BA32" s="1220"/>
      <c r="BB32" s="1220"/>
      <c r="BC32" s="1220"/>
      <c r="BD32" s="1220"/>
      <c r="BE32" s="1220"/>
      <c r="BF32" s="1220"/>
      <c r="BG32" s="1220"/>
      <c r="BH32" s="1220"/>
      <c r="BI32" s="1220"/>
      <c r="BJ32" s="1220"/>
      <c r="BK32" s="1220"/>
      <c r="BL32" s="1220"/>
      <c r="BM32" s="1220"/>
      <c r="BN32" s="1220"/>
      <c r="BO32" s="1220"/>
      <c r="BP32" s="1220"/>
      <c r="BQ32" s="1220"/>
      <c r="BR32" s="1220"/>
      <c r="BS32" s="1220"/>
      <c r="BT32" s="1220"/>
      <c r="BU32" s="1220"/>
      <c r="BV32" s="1220"/>
      <c r="BW32" s="1220"/>
      <c r="BX32" s="1220"/>
      <c r="BY32" s="1220"/>
      <c r="BZ32" s="1220"/>
      <c r="CA32" s="1220"/>
      <c r="CB32" s="1220"/>
      <c r="CC32" s="1220"/>
      <c r="CD32" s="1220"/>
      <c r="CE32" s="1220"/>
      <c r="CF32" s="1220"/>
      <c r="CG32" s="1220"/>
      <c r="CH32" s="1220"/>
      <c r="CI32" s="1220"/>
      <c r="CJ32" s="1220"/>
      <c r="CK32" s="1220"/>
      <c r="CL32" s="1220"/>
      <c r="CM32" s="1220"/>
      <c r="CN32" s="1220"/>
      <c r="CO32" s="1220"/>
      <c r="CP32" s="1220"/>
      <c r="CQ32" s="1220"/>
      <c r="CR32" s="1220"/>
      <c r="CS32" s="1220"/>
      <c r="CT32" s="1220"/>
      <c r="CU32" s="1220"/>
      <c r="CV32" s="1220"/>
      <c r="CW32" s="1220"/>
      <c r="CX32" s="1220"/>
      <c r="CY32" s="1220"/>
      <c r="CZ32" s="1220"/>
      <c r="DA32" s="1220"/>
      <c r="DB32" s="1220"/>
      <c r="DC32" s="1220"/>
      <c r="DD32" s="1220"/>
      <c r="DE32" s="1220"/>
      <c r="DF32" s="1220"/>
      <c r="DG32" s="1220"/>
      <c r="DH32" s="1220"/>
      <c r="DI32" s="1220"/>
      <c r="DJ32" s="1220"/>
      <c r="DK32" s="1220"/>
      <c r="DL32" s="1220"/>
      <c r="DM32" s="1220"/>
      <c r="DN32" s="1220"/>
      <c r="DO32" s="1220"/>
      <c r="DP32" s="1220"/>
      <c r="DQ32" s="1220"/>
      <c r="DR32" s="1220"/>
      <c r="DS32" s="1220"/>
      <c r="DT32" s="1220"/>
      <c r="DU32" s="1220"/>
      <c r="DV32" s="1220"/>
      <c r="DW32" s="1220"/>
      <c r="DX32" s="1220"/>
      <c r="DY32" s="1220"/>
      <c r="DZ32" s="1220"/>
      <c r="EA32" s="1220"/>
      <c r="EB32" s="1220"/>
      <c r="EC32" s="1220"/>
      <c r="ED32" s="1220"/>
      <c r="EE32" s="1220"/>
      <c r="EF32" s="1220"/>
      <c r="EG32" s="1220"/>
      <c r="EH32" s="1220"/>
      <c r="EI32" s="1220"/>
      <c r="EJ32" s="1220"/>
      <c r="EK32" s="1220"/>
      <c r="EL32" s="1220"/>
      <c r="EM32" s="1220"/>
      <c r="EN32" s="1220"/>
      <c r="EO32" s="1220"/>
      <c r="EP32" s="1220"/>
      <c r="EQ32" s="1220"/>
      <c r="ER32" s="1220"/>
      <c r="ES32" s="1220"/>
      <c r="ET32" s="1220"/>
      <c r="EU32" s="1220"/>
      <c r="EV32" s="1220"/>
      <c r="EW32" s="1220"/>
      <c r="EX32" s="1220"/>
      <c r="EY32" s="1220"/>
      <c r="EZ32" s="1220"/>
      <c r="FA32" s="1220"/>
      <c r="FB32" s="1220"/>
      <c r="FC32" s="1220"/>
      <c r="FD32" s="1220"/>
      <c r="FE32" s="1220"/>
      <c r="FF32" s="1220"/>
      <c r="FG32" s="1220"/>
      <c r="FH32" s="1220"/>
      <c r="FI32" s="1220"/>
      <c r="FJ32" s="1220"/>
      <c r="FK32" s="1220"/>
      <c r="FL32" s="1220"/>
    </row>
    <row r="33" spans="1:169" s="1" customFormat="1" ht="14.25" customHeight="1">
      <c r="A33" s="1210"/>
      <c r="B33" s="1223">
        <v>42736</v>
      </c>
      <c r="C33" s="1421">
        <v>58880311.210000008</v>
      </c>
      <c r="D33" s="1421">
        <v>58880311.210000008</v>
      </c>
      <c r="E33" s="1421">
        <v>22900115.673576657</v>
      </c>
      <c r="F33" s="1421">
        <v>35980195.536423348</v>
      </c>
      <c r="G33" s="1421"/>
      <c r="H33" s="1421"/>
      <c r="I33" s="1421"/>
      <c r="J33" s="1421"/>
      <c r="K33" s="1421"/>
      <c r="L33" s="1421"/>
      <c r="M33" s="1421"/>
      <c r="N33" s="1421"/>
      <c r="O33" s="1421"/>
      <c r="P33" s="1421"/>
      <c r="Q33" s="1421">
        <v>0</v>
      </c>
      <c r="R33" s="1421">
        <v>0</v>
      </c>
      <c r="S33" s="1421">
        <v>0</v>
      </c>
      <c r="T33" s="1421"/>
      <c r="U33" s="1421"/>
      <c r="V33" s="1421"/>
      <c r="W33" s="1421">
        <v>0</v>
      </c>
      <c r="X33" s="1421"/>
      <c r="Y33" s="1421"/>
      <c r="Z33" s="1421"/>
      <c r="AA33" s="1421">
        <v>0</v>
      </c>
      <c r="AB33" s="1421"/>
      <c r="AC33" s="1421"/>
      <c r="AD33" s="1421"/>
      <c r="AE33" s="1421">
        <v>0</v>
      </c>
      <c r="AF33" s="1421"/>
      <c r="AG33" s="1421"/>
      <c r="AH33" s="1421"/>
      <c r="AI33" s="1421">
        <v>0</v>
      </c>
      <c r="AJ33" s="1421"/>
      <c r="AK33" s="1421"/>
      <c r="AL33" s="1421"/>
      <c r="AM33" s="1421">
        <v>0</v>
      </c>
      <c r="AN33" s="1421"/>
      <c r="AO33" s="1421"/>
      <c r="AP33" s="1421"/>
      <c r="AQ33" s="1421">
        <v>0</v>
      </c>
      <c r="AR33" s="1421"/>
      <c r="AS33" s="1421"/>
      <c r="AT33" s="1421"/>
      <c r="AU33" s="1421">
        <v>0</v>
      </c>
      <c r="AV33" s="1421"/>
      <c r="AW33" s="1421"/>
      <c r="AX33" s="1421"/>
      <c r="AY33" s="1421">
        <v>0</v>
      </c>
      <c r="AZ33" s="1421"/>
      <c r="BA33" s="1421"/>
      <c r="BB33" s="1421"/>
      <c r="BC33" s="1421">
        <v>0</v>
      </c>
      <c r="BD33" s="1421"/>
      <c r="BE33" s="1421"/>
      <c r="BF33" s="1421"/>
      <c r="BG33" s="1421">
        <v>0</v>
      </c>
      <c r="BH33" s="1421"/>
      <c r="BI33" s="1421"/>
      <c r="BJ33" s="1421"/>
      <c r="BK33" s="1421"/>
      <c r="BL33" s="1421">
        <v>0</v>
      </c>
      <c r="BM33" s="1421">
        <v>0</v>
      </c>
      <c r="BN33" s="1421"/>
      <c r="BO33" s="1421">
        <v>0</v>
      </c>
      <c r="BP33" s="1421"/>
      <c r="BQ33" s="1421"/>
      <c r="BR33" s="1421"/>
      <c r="BS33" s="1421"/>
      <c r="BT33" s="1421">
        <v>0</v>
      </c>
      <c r="BU33" s="1421"/>
      <c r="BV33" s="1421">
        <v>0</v>
      </c>
      <c r="BW33" s="1421"/>
      <c r="BX33" s="1421"/>
      <c r="BY33" s="1421"/>
      <c r="BZ33" s="1421"/>
      <c r="CA33" s="1421">
        <v>0</v>
      </c>
      <c r="CB33" s="1421"/>
      <c r="CC33" s="1421">
        <v>0</v>
      </c>
      <c r="CD33" s="1421"/>
      <c r="CE33" s="1421"/>
      <c r="CF33" s="1421"/>
      <c r="CG33" s="1421"/>
      <c r="CH33" s="1421"/>
      <c r="CI33" s="1421">
        <v>0</v>
      </c>
      <c r="CJ33" s="1421"/>
      <c r="CK33" s="1421"/>
      <c r="CL33" s="1421"/>
      <c r="CM33" s="1421"/>
      <c r="CN33" s="1421"/>
      <c r="CO33" s="1421">
        <v>0</v>
      </c>
      <c r="CP33" s="1421"/>
      <c r="CQ33" s="1421"/>
      <c r="CR33" s="1421"/>
      <c r="CS33" s="1421"/>
      <c r="CT33" s="1421">
        <v>0</v>
      </c>
      <c r="CU33" s="1421">
        <v>0</v>
      </c>
      <c r="CV33" s="1421"/>
      <c r="CW33" s="1421"/>
      <c r="CX33" s="1421">
        <v>0</v>
      </c>
      <c r="CY33" s="1421"/>
      <c r="CZ33" s="1421"/>
      <c r="DA33" s="1421">
        <v>0</v>
      </c>
      <c r="DB33" s="1421"/>
      <c r="DC33" s="1421"/>
      <c r="DD33" s="1421"/>
      <c r="DE33" s="1421">
        <v>0</v>
      </c>
      <c r="DF33" s="1421">
        <v>0</v>
      </c>
      <c r="DG33" s="1421"/>
      <c r="DH33" s="1421"/>
      <c r="DI33" s="1421">
        <v>0</v>
      </c>
      <c r="DJ33" s="1421"/>
      <c r="DK33" s="1421"/>
      <c r="DL33" s="1421">
        <v>0</v>
      </c>
      <c r="DM33" s="1421"/>
      <c r="DN33" s="1421"/>
      <c r="DO33" s="1421"/>
      <c r="DP33" s="1421"/>
      <c r="DQ33" s="1421"/>
      <c r="DR33" s="1421">
        <v>0</v>
      </c>
      <c r="DS33" s="1421"/>
      <c r="DT33" s="1421">
        <v>0</v>
      </c>
      <c r="DU33" s="1421"/>
      <c r="DV33" s="1421"/>
      <c r="DW33" s="1421">
        <v>0</v>
      </c>
      <c r="DX33" s="1421"/>
      <c r="DY33" s="1421"/>
      <c r="DZ33" s="1421"/>
      <c r="EA33" s="1421"/>
      <c r="EB33" s="1421">
        <v>0</v>
      </c>
      <c r="EC33" s="1421"/>
      <c r="ED33" s="1421"/>
      <c r="EE33" s="1421"/>
      <c r="EF33" s="1421">
        <v>0</v>
      </c>
      <c r="EG33" s="1421">
        <v>0</v>
      </c>
      <c r="EH33" s="1421"/>
      <c r="EI33" s="1421"/>
      <c r="EJ33" s="1421">
        <v>0</v>
      </c>
      <c r="EK33" s="1421"/>
      <c r="EL33" s="1421"/>
      <c r="EM33" s="1421">
        <v>0</v>
      </c>
      <c r="EN33" s="1421"/>
      <c r="EO33" s="1421"/>
      <c r="EP33" s="1421"/>
      <c r="EQ33" s="1421"/>
      <c r="ER33" s="1421"/>
      <c r="ES33" s="1421">
        <v>-18933518.193603788</v>
      </c>
      <c r="ET33" s="1421">
        <v>37045237</v>
      </c>
      <c r="EU33" s="1421">
        <v>2498362</v>
      </c>
      <c r="EV33" s="1421">
        <v>34546875</v>
      </c>
      <c r="EW33" s="1421">
        <v>0</v>
      </c>
      <c r="EX33" s="1421"/>
      <c r="EY33" s="1421"/>
      <c r="EZ33" s="1421">
        <v>-52958954.602374993</v>
      </c>
      <c r="FA33" s="1421"/>
      <c r="FB33" s="1421"/>
      <c r="FC33" s="1421">
        <v>-52958954.602374993</v>
      </c>
      <c r="FD33" s="1421">
        <v>-3019800.5912287934</v>
      </c>
      <c r="FE33" s="1421"/>
      <c r="FF33" s="1421">
        <v>55892757.275149956</v>
      </c>
      <c r="FG33" s="1421"/>
      <c r="FH33" s="1421"/>
      <c r="FI33" s="1421"/>
      <c r="FJ33" s="1421"/>
      <c r="FK33" s="1421"/>
      <c r="FL33" s="1421">
        <v>95839550.291546181</v>
      </c>
      <c r="FM33" s="1221">
        <v>0</v>
      </c>
    </row>
    <row r="34" spans="1:169" s="1" customFormat="1" ht="15.75">
      <c r="A34" s="1210"/>
      <c r="B34" s="1223">
        <v>42767</v>
      </c>
      <c r="C34" s="1421">
        <v>58880311.210000008</v>
      </c>
      <c r="D34" s="1421">
        <v>58880311.210000008</v>
      </c>
      <c r="E34" s="1421">
        <v>22900115.673576657</v>
      </c>
      <c r="F34" s="1421">
        <v>35980195.536423348</v>
      </c>
      <c r="G34" s="1421"/>
      <c r="H34" s="1421"/>
      <c r="I34" s="1421"/>
      <c r="J34" s="1421"/>
      <c r="K34" s="1421"/>
      <c r="L34" s="1421"/>
      <c r="M34" s="1421"/>
      <c r="N34" s="1421"/>
      <c r="O34" s="1421"/>
      <c r="P34" s="1421"/>
      <c r="Q34" s="1421">
        <v>0</v>
      </c>
      <c r="R34" s="1421">
        <v>0</v>
      </c>
      <c r="S34" s="1421">
        <v>0</v>
      </c>
      <c r="T34" s="1421"/>
      <c r="U34" s="1421"/>
      <c r="V34" s="1421"/>
      <c r="W34" s="1421">
        <v>0</v>
      </c>
      <c r="X34" s="1421"/>
      <c r="Y34" s="1421"/>
      <c r="Z34" s="1421"/>
      <c r="AA34" s="1421">
        <v>0</v>
      </c>
      <c r="AB34" s="1421"/>
      <c r="AC34" s="1421"/>
      <c r="AD34" s="1421"/>
      <c r="AE34" s="1421">
        <v>0</v>
      </c>
      <c r="AF34" s="1421"/>
      <c r="AG34" s="1421"/>
      <c r="AH34" s="1421"/>
      <c r="AI34" s="1421">
        <v>0</v>
      </c>
      <c r="AJ34" s="1421"/>
      <c r="AK34" s="1421"/>
      <c r="AL34" s="1421"/>
      <c r="AM34" s="1421">
        <v>0</v>
      </c>
      <c r="AN34" s="1421"/>
      <c r="AO34" s="1421"/>
      <c r="AP34" s="1421"/>
      <c r="AQ34" s="1421">
        <v>0</v>
      </c>
      <c r="AR34" s="1421"/>
      <c r="AS34" s="1421"/>
      <c r="AT34" s="1421"/>
      <c r="AU34" s="1421">
        <v>0</v>
      </c>
      <c r="AV34" s="1421"/>
      <c r="AW34" s="1421"/>
      <c r="AX34" s="1421"/>
      <c r="AY34" s="1421">
        <v>0</v>
      </c>
      <c r="AZ34" s="1421"/>
      <c r="BA34" s="1421"/>
      <c r="BB34" s="1421"/>
      <c r="BC34" s="1421">
        <v>0</v>
      </c>
      <c r="BD34" s="1421"/>
      <c r="BE34" s="1421"/>
      <c r="BF34" s="1421"/>
      <c r="BG34" s="1421">
        <v>0</v>
      </c>
      <c r="BH34" s="1421"/>
      <c r="BI34" s="1421"/>
      <c r="BJ34" s="1421"/>
      <c r="BK34" s="1421"/>
      <c r="BL34" s="1421">
        <v>0</v>
      </c>
      <c r="BM34" s="1421">
        <v>0</v>
      </c>
      <c r="BN34" s="1421"/>
      <c r="BO34" s="1421">
        <v>0</v>
      </c>
      <c r="BP34" s="1421"/>
      <c r="BQ34" s="1421"/>
      <c r="BR34" s="1421"/>
      <c r="BS34" s="1421"/>
      <c r="BT34" s="1421">
        <v>0</v>
      </c>
      <c r="BU34" s="1421"/>
      <c r="BV34" s="1421">
        <v>0</v>
      </c>
      <c r="BW34" s="1421"/>
      <c r="BX34" s="1421"/>
      <c r="BY34" s="1421"/>
      <c r="BZ34" s="1421"/>
      <c r="CA34" s="1421">
        <v>0</v>
      </c>
      <c r="CB34" s="1421"/>
      <c r="CC34" s="1421">
        <v>0</v>
      </c>
      <c r="CD34" s="1421"/>
      <c r="CE34" s="1421"/>
      <c r="CF34" s="1421"/>
      <c r="CG34" s="1421"/>
      <c r="CH34" s="1421"/>
      <c r="CI34" s="1421">
        <v>0</v>
      </c>
      <c r="CJ34" s="1421"/>
      <c r="CK34" s="1421"/>
      <c r="CL34" s="1421"/>
      <c r="CM34" s="1421"/>
      <c r="CN34" s="1421"/>
      <c r="CO34" s="1421">
        <v>0</v>
      </c>
      <c r="CP34" s="1421"/>
      <c r="CQ34" s="1421"/>
      <c r="CR34" s="1421"/>
      <c r="CS34" s="1421"/>
      <c r="CT34" s="1421">
        <v>0</v>
      </c>
      <c r="CU34" s="1421">
        <v>0</v>
      </c>
      <c r="CV34" s="1421"/>
      <c r="CW34" s="1421"/>
      <c r="CX34" s="1421">
        <v>0</v>
      </c>
      <c r="CY34" s="1421"/>
      <c r="CZ34" s="1421"/>
      <c r="DA34" s="1421">
        <v>0</v>
      </c>
      <c r="DB34" s="1421"/>
      <c r="DC34" s="1421"/>
      <c r="DD34" s="1421"/>
      <c r="DE34" s="1421">
        <v>0</v>
      </c>
      <c r="DF34" s="1421">
        <v>0</v>
      </c>
      <c r="DG34" s="1421"/>
      <c r="DH34" s="1421"/>
      <c r="DI34" s="1421">
        <v>0</v>
      </c>
      <c r="DJ34" s="1421"/>
      <c r="DK34" s="1421"/>
      <c r="DL34" s="1421">
        <v>0</v>
      </c>
      <c r="DM34" s="1421"/>
      <c r="DN34" s="1421"/>
      <c r="DO34" s="1421"/>
      <c r="DP34" s="1421"/>
      <c r="DQ34" s="1421"/>
      <c r="DR34" s="1421">
        <v>0</v>
      </c>
      <c r="DS34" s="1421"/>
      <c r="DT34" s="1421">
        <v>0</v>
      </c>
      <c r="DU34" s="1421"/>
      <c r="DV34" s="1421"/>
      <c r="DW34" s="1421">
        <v>0</v>
      </c>
      <c r="DX34" s="1421"/>
      <c r="DY34" s="1421"/>
      <c r="DZ34" s="1421"/>
      <c r="EA34" s="1421"/>
      <c r="EB34" s="1421">
        <v>0</v>
      </c>
      <c r="EC34" s="1421"/>
      <c r="ED34" s="1421"/>
      <c r="EE34" s="1421"/>
      <c r="EF34" s="1421">
        <v>0</v>
      </c>
      <c r="EG34" s="1421">
        <v>0</v>
      </c>
      <c r="EH34" s="1421"/>
      <c r="EI34" s="1421"/>
      <c r="EJ34" s="1421">
        <v>0</v>
      </c>
      <c r="EK34" s="1421"/>
      <c r="EL34" s="1421"/>
      <c r="EM34" s="1421">
        <v>0</v>
      </c>
      <c r="EN34" s="1421"/>
      <c r="EO34" s="1421"/>
      <c r="EP34" s="1421"/>
      <c r="EQ34" s="1421"/>
      <c r="ER34" s="1421"/>
      <c r="ES34" s="1421">
        <v>-19020214</v>
      </c>
      <c r="ET34" s="1421">
        <v>37045237</v>
      </c>
      <c r="EU34" s="1421">
        <v>2498362</v>
      </c>
      <c r="EV34" s="1421">
        <v>34546875</v>
      </c>
      <c r="EW34" s="1421">
        <v>0</v>
      </c>
      <c r="EX34" s="1421"/>
      <c r="EY34" s="1421"/>
      <c r="EZ34" s="1421">
        <v>-52958955</v>
      </c>
      <c r="FA34" s="1421"/>
      <c r="FB34" s="1421"/>
      <c r="FC34" s="1421">
        <v>-52958955</v>
      </c>
      <c r="FD34" s="1421">
        <v>-3106496</v>
      </c>
      <c r="FE34" s="1421"/>
      <c r="FF34" s="1421">
        <v>55892758.351546168</v>
      </c>
      <c r="FG34" s="1421"/>
      <c r="FH34" s="1421"/>
      <c r="FI34" s="1421"/>
      <c r="FJ34" s="1421"/>
      <c r="FK34" s="1421"/>
      <c r="FL34" s="1421">
        <v>95752855.561546177</v>
      </c>
      <c r="FM34" s="1221">
        <v>0</v>
      </c>
    </row>
    <row r="35" spans="1:169" s="1" customFormat="1" ht="15.75">
      <c r="A35" s="1210"/>
      <c r="B35" s="1223">
        <v>42795</v>
      </c>
      <c r="C35" s="1421">
        <v>58880311.210000008</v>
      </c>
      <c r="D35" s="1421">
        <v>58880311.210000008</v>
      </c>
      <c r="E35" s="1421">
        <v>22900115.673576657</v>
      </c>
      <c r="F35" s="1421">
        <v>35980195.536423348</v>
      </c>
      <c r="G35" s="1421"/>
      <c r="H35" s="1421"/>
      <c r="I35" s="1421"/>
      <c r="J35" s="1421"/>
      <c r="K35" s="1421"/>
      <c r="L35" s="1421"/>
      <c r="M35" s="1421"/>
      <c r="N35" s="1421"/>
      <c r="O35" s="1421"/>
      <c r="P35" s="1421"/>
      <c r="Q35" s="1421">
        <v>0</v>
      </c>
      <c r="R35" s="1421">
        <v>0</v>
      </c>
      <c r="S35" s="1421">
        <v>0</v>
      </c>
      <c r="T35" s="1421"/>
      <c r="U35" s="1421"/>
      <c r="V35" s="1421"/>
      <c r="W35" s="1421">
        <v>0</v>
      </c>
      <c r="X35" s="1421"/>
      <c r="Y35" s="1421"/>
      <c r="Z35" s="1421"/>
      <c r="AA35" s="1421">
        <v>0</v>
      </c>
      <c r="AB35" s="1421"/>
      <c r="AC35" s="1421"/>
      <c r="AD35" s="1421"/>
      <c r="AE35" s="1421">
        <v>0</v>
      </c>
      <c r="AF35" s="1421"/>
      <c r="AG35" s="1421"/>
      <c r="AH35" s="1421"/>
      <c r="AI35" s="1421">
        <v>0</v>
      </c>
      <c r="AJ35" s="1421"/>
      <c r="AK35" s="1421"/>
      <c r="AL35" s="1421"/>
      <c r="AM35" s="1421">
        <v>0</v>
      </c>
      <c r="AN35" s="1421"/>
      <c r="AO35" s="1421"/>
      <c r="AP35" s="1421"/>
      <c r="AQ35" s="1421">
        <v>0</v>
      </c>
      <c r="AR35" s="1421"/>
      <c r="AS35" s="1421"/>
      <c r="AT35" s="1421"/>
      <c r="AU35" s="1421">
        <v>0</v>
      </c>
      <c r="AV35" s="1421"/>
      <c r="AW35" s="1421"/>
      <c r="AX35" s="1421"/>
      <c r="AY35" s="1421">
        <v>0</v>
      </c>
      <c r="AZ35" s="1421"/>
      <c r="BA35" s="1421"/>
      <c r="BB35" s="1421"/>
      <c r="BC35" s="1421">
        <v>0</v>
      </c>
      <c r="BD35" s="1421"/>
      <c r="BE35" s="1421"/>
      <c r="BF35" s="1421"/>
      <c r="BG35" s="1421">
        <v>0</v>
      </c>
      <c r="BH35" s="1421"/>
      <c r="BI35" s="1421"/>
      <c r="BJ35" s="1421"/>
      <c r="BK35" s="1421"/>
      <c r="BL35" s="1421">
        <v>0</v>
      </c>
      <c r="BM35" s="1421">
        <v>0</v>
      </c>
      <c r="BN35" s="1421"/>
      <c r="BO35" s="1421">
        <v>0</v>
      </c>
      <c r="BP35" s="1421"/>
      <c r="BQ35" s="1421"/>
      <c r="BR35" s="1421"/>
      <c r="BS35" s="1421"/>
      <c r="BT35" s="1421">
        <v>0</v>
      </c>
      <c r="BU35" s="1421"/>
      <c r="BV35" s="1421">
        <v>0</v>
      </c>
      <c r="BW35" s="1421"/>
      <c r="BX35" s="1421"/>
      <c r="BY35" s="1421"/>
      <c r="BZ35" s="1421"/>
      <c r="CA35" s="1421">
        <v>0</v>
      </c>
      <c r="CB35" s="1421"/>
      <c r="CC35" s="1421">
        <v>0</v>
      </c>
      <c r="CD35" s="1421"/>
      <c r="CE35" s="1421"/>
      <c r="CF35" s="1421"/>
      <c r="CG35" s="1421"/>
      <c r="CH35" s="1421"/>
      <c r="CI35" s="1421">
        <v>0</v>
      </c>
      <c r="CJ35" s="1421"/>
      <c r="CK35" s="1421"/>
      <c r="CL35" s="1421"/>
      <c r="CM35" s="1421"/>
      <c r="CN35" s="1421"/>
      <c r="CO35" s="1421">
        <v>0</v>
      </c>
      <c r="CP35" s="1421"/>
      <c r="CQ35" s="1421"/>
      <c r="CR35" s="1421"/>
      <c r="CS35" s="1421"/>
      <c r="CT35" s="1421">
        <v>0</v>
      </c>
      <c r="CU35" s="1421">
        <v>0</v>
      </c>
      <c r="CV35" s="1421"/>
      <c r="CW35" s="1421"/>
      <c r="CX35" s="1421">
        <v>0</v>
      </c>
      <c r="CY35" s="1421"/>
      <c r="CZ35" s="1421"/>
      <c r="DA35" s="1421">
        <v>0</v>
      </c>
      <c r="DB35" s="1421"/>
      <c r="DC35" s="1421"/>
      <c r="DD35" s="1421"/>
      <c r="DE35" s="1421">
        <v>0</v>
      </c>
      <c r="DF35" s="1421">
        <v>0</v>
      </c>
      <c r="DG35" s="1421"/>
      <c r="DH35" s="1421"/>
      <c r="DI35" s="1421">
        <v>0</v>
      </c>
      <c r="DJ35" s="1421"/>
      <c r="DK35" s="1421"/>
      <c r="DL35" s="1421">
        <v>0</v>
      </c>
      <c r="DM35" s="1421"/>
      <c r="DN35" s="1421"/>
      <c r="DO35" s="1421"/>
      <c r="DP35" s="1421"/>
      <c r="DQ35" s="1421"/>
      <c r="DR35" s="1421">
        <v>0</v>
      </c>
      <c r="DS35" s="1421"/>
      <c r="DT35" s="1421">
        <v>0</v>
      </c>
      <c r="DU35" s="1421"/>
      <c r="DV35" s="1421"/>
      <c r="DW35" s="1421">
        <v>0</v>
      </c>
      <c r="DX35" s="1421"/>
      <c r="DY35" s="1421"/>
      <c r="DZ35" s="1421"/>
      <c r="EA35" s="1421"/>
      <c r="EB35" s="1421">
        <v>0</v>
      </c>
      <c r="EC35" s="1421"/>
      <c r="ED35" s="1421"/>
      <c r="EE35" s="1421"/>
      <c r="EF35" s="1421">
        <v>0</v>
      </c>
      <c r="EG35" s="1421">
        <v>0</v>
      </c>
      <c r="EH35" s="1421"/>
      <c r="EI35" s="1421"/>
      <c r="EJ35" s="1421">
        <v>0</v>
      </c>
      <c r="EK35" s="1421"/>
      <c r="EL35" s="1421"/>
      <c r="EM35" s="1421">
        <v>0</v>
      </c>
      <c r="EN35" s="1421"/>
      <c r="EO35" s="1421"/>
      <c r="EP35" s="1421"/>
      <c r="EQ35" s="1421"/>
      <c r="ER35" s="1421"/>
      <c r="ES35" s="1421">
        <v>-19005807.216303792</v>
      </c>
      <c r="ET35" s="1421">
        <v>37045237</v>
      </c>
      <c r="EU35" s="1421">
        <v>2498362</v>
      </c>
      <c r="EV35" s="1421">
        <v>34546875</v>
      </c>
      <c r="EW35" s="1421">
        <v>0</v>
      </c>
      <c r="EX35" s="1421"/>
      <c r="EY35" s="1421"/>
      <c r="EZ35" s="1421">
        <v>-52944548.625074998</v>
      </c>
      <c r="FA35" s="1421"/>
      <c r="FB35" s="1421"/>
      <c r="FC35" s="1421">
        <v>-52944548.625074998</v>
      </c>
      <c r="FD35" s="1421">
        <v>-3106495.5912287934</v>
      </c>
      <c r="FE35" s="1421"/>
      <c r="FF35" s="1421">
        <v>55892757.297849968</v>
      </c>
      <c r="FG35" s="1421"/>
      <c r="FH35" s="1421"/>
      <c r="FI35" s="1421"/>
      <c r="FJ35" s="1421"/>
      <c r="FK35" s="1421"/>
      <c r="FL35" s="1421">
        <v>95767261.291546181</v>
      </c>
      <c r="FM35" s="1221">
        <v>0</v>
      </c>
    </row>
    <row r="36" spans="1:169" s="1" customFormat="1" ht="15.75">
      <c r="A36" s="1210"/>
      <c r="B36" s="1223">
        <v>42826</v>
      </c>
      <c r="C36" s="1421">
        <v>58880311.210000008</v>
      </c>
      <c r="D36" s="1421">
        <v>58880311.210000008</v>
      </c>
      <c r="E36" s="1421">
        <v>22900115.673576657</v>
      </c>
      <c r="F36" s="1421">
        <v>35980195.536423348</v>
      </c>
      <c r="G36" s="1421"/>
      <c r="H36" s="1421"/>
      <c r="I36" s="1421"/>
      <c r="J36" s="1421"/>
      <c r="K36" s="1421"/>
      <c r="L36" s="1421"/>
      <c r="M36" s="1421"/>
      <c r="N36" s="1421"/>
      <c r="O36" s="1421"/>
      <c r="P36" s="1421"/>
      <c r="Q36" s="1421">
        <v>0</v>
      </c>
      <c r="R36" s="1421">
        <v>0</v>
      </c>
      <c r="S36" s="1421">
        <v>0</v>
      </c>
      <c r="T36" s="1421"/>
      <c r="U36" s="1421"/>
      <c r="V36" s="1421"/>
      <c r="W36" s="1421">
        <v>0</v>
      </c>
      <c r="X36" s="1421"/>
      <c r="Y36" s="1421"/>
      <c r="Z36" s="1421"/>
      <c r="AA36" s="1421">
        <v>0</v>
      </c>
      <c r="AB36" s="1421"/>
      <c r="AC36" s="1421"/>
      <c r="AD36" s="1421"/>
      <c r="AE36" s="1421">
        <v>0</v>
      </c>
      <c r="AF36" s="1421"/>
      <c r="AG36" s="1421"/>
      <c r="AH36" s="1421"/>
      <c r="AI36" s="1421">
        <v>0</v>
      </c>
      <c r="AJ36" s="1421"/>
      <c r="AK36" s="1421"/>
      <c r="AL36" s="1421"/>
      <c r="AM36" s="1421">
        <v>0</v>
      </c>
      <c r="AN36" s="1421"/>
      <c r="AO36" s="1421"/>
      <c r="AP36" s="1421"/>
      <c r="AQ36" s="1421">
        <v>0</v>
      </c>
      <c r="AR36" s="1421"/>
      <c r="AS36" s="1421"/>
      <c r="AT36" s="1421"/>
      <c r="AU36" s="1421">
        <v>0</v>
      </c>
      <c r="AV36" s="1421"/>
      <c r="AW36" s="1421"/>
      <c r="AX36" s="1421"/>
      <c r="AY36" s="1421">
        <v>0</v>
      </c>
      <c r="AZ36" s="1421"/>
      <c r="BA36" s="1421"/>
      <c r="BB36" s="1421"/>
      <c r="BC36" s="1421">
        <v>0</v>
      </c>
      <c r="BD36" s="1421"/>
      <c r="BE36" s="1421"/>
      <c r="BF36" s="1421"/>
      <c r="BG36" s="1421">
        <v>0</v>
      </c>
      <c r="BH36" s="1421"/>
      <c r="BI36" s="1421"/>
      <c r="BJ36" s="1421"/>
      <c r="BK36" s="1421"/>
      <c r="BL36" s="1421">
        <v>0</v>
      </c>
      <c r="BM36" s="1421">
        <v>0</v>
      </c>
      <c r="BN36" s="1421"/>
      <c r="BO36" s="1421">
        <v>0</v>
      </c>
      <c r="BP36" s="1421"/>
      <c r="BQ36" s="1421"/>
      <c r="BR36" s="1421"/>
      <c r="BS36" s="1421"/>
      <c r="BT36" s="1421">
        <v>0</v>
      </c>
      <c r="BU36" s="1421"/>
      <c r="BV36" s="1421">
        <v>0</v>
      </c>
      <c r="BW36" s="1421"/>
      <c r="BX36" s="1421"/>
      <c r="BY36" s="1421"/>
      <c r="BZ36" s="1421"/>
      <c r="CA36" s="1421">
        <v>0</v>
      </c>
      <c r="CB36" s="1421"/>
      <c r="CC36" s="1421">
        <v>0</v>
      </c>
      <c r="CD36" s="1421"/>
      <c r="CE36" s="1421"/>
      <c r="CF36" s="1421"/>
      <c r="CG36" s="1421"/>
      <c r="CH36" s="1421"/>
      <c r="CI36" s="1421">
        <v>0</v>
      </c>
      <c r="CJ36" s="1421"/>
      <c r="CK36" s="1421"/>
      <c r="CL36" s="1421"/>
      <c r="CM36" s="1421"/>
      <c r="CN36" s="1421"/>
      <c r="CO36" s="1421">
        <v>0</v>
      </c>
      <c r="CP36" s="1421"/>
      <c r="CQ36" s="1421"/>
      <c r="CR36" s="1421"/>
      <c r="CS36" s="1421"/>
      <c r="CT36" s="1421">
        <v>0</v>
      </c>
      <c r="CU36" s="1421">
        <v>0</v>
      </c>
      <c r="CV36" s="1421"/>
      <c r="CW36" s="1421"/>
      <c r="CX36" s="1421">
        <v>0</v>
      </c>
      <c r="CY36" s="1421"/>
      <c r="CZ36" s="1421"/>
      <c r="DA36" s="1421">
        <v>0</v>
      </c>
      <c r="DB36" s="1421"/>
      <c r="DC36" s="1421"/>
      <c r="DD36" s="1421"/>
      <c r="DE36" s="1421">
        <v>0</v>
      </c>
      <c r="DF36" s="1421">
        <v>0</v>
      </c>
      <c r="DG36" s="1421"/>
      <c r="DH36" s="1421"/>
      <c r="DI36" s="1421">
        <v>0</v>
      </c>
      <c r="DJ36" s="1421"/>
      <c r="DK36" s="1421"/>
      <c r="DL36" s="1421">
        <v>0</v>
      </c>
      <c r="DM36" s="1421"/>
      <c r="DN36" s="1421"/>
      <c r="DO36" s="1421"/>
      <c r="DP36" s="1421"/>
      <c r="DQ36" s="1421"/>
      <c r="DR36" s="1421">
        <v>0</v>
      </c>
      <c r="DS36" s="1421"/>
      <c r="DT36" s="1421">
        <v>0</v>
      </c>
      <c r="DU36" s="1421"/>
      <c r="DV36" s="1421"/>
      <c r="DW36" s="1421">
        <v>0</v>
      </c>
      <c r="DX36" s="1421"/>
      <c r="DY36" s="1421"/>
      <c r="DZ36" s="1421"/>
      <c r="EA36" s="1421"/>
      <c r="EB36" s="1421">
        <v>0</v>
      </c>
      <c r="EC36" s="1421"/>
      <c r="ED36" s="1421"/>
      <c r="EE36" s="1421"/>
      <c r="EF36" s="1421">
        <v>0</v>
      </c>
      <c r="EG36" s="1421">
        <v>0</v>
      </c>
      <c r="EH36" s="1421"/>
      <c r="EI36" s="1421"/>
      <c r="EJ36" s="1421">
        <v>0</v>
      </c>
      <c r="EK36" s="1421"/>
      <c r="EL36" s="1421"/>
      <c r="EM36" s="1421">
        <v>0</v>
      </c>
      <c r="EN36" s="1421"/>
      <c r="EO36" s="1421"/>
      <c r="EP36" s="1421"/>
      <c r="EQ36" s="1421"/>
      <c r="ER36" s="1421"/>
      <c r="ES36" s="1421">
        <v>-18919113</v>
      </c>
      <c r="ET36" s="1421">
        <v>37045237</v>
      </c>
      <c r="EU36" s="1421">
        <v>2498362</v>
      </c>
      <c r="EV36" s="1421">
        <v>34546875</v>
      </c>
      <c r="EW36" s="1421">
        <v>0</v>
      </c>
      <c r="EX36" s="1421"/>
      <c r="EY36" s="1421"/>
      <c r="EZ36" s="1421">
        <v>-52857854</v>
      </c>
      <c r="FA36" s="1421"/>
      <c r="FB36" s="1421"/>
      <c r="FC36" s="1421">
        <v>-52857854</v>
      </c>
      <c r="FD36" s="1421">
        <v>-3106496</v>
      </c>
      <c r="FE36" s="1421"/>
      <c r="FF36" s="1421">
        <v>55892758.110096171</v>
      </c>
      <c r="FG36" s="1421"/>
      <c r="FH36" s="1421"/>
      <c r="FI36" s="1421"/>
      <c r="FJ36" s="1421"/>
      <c r="FK36" s="1421"/>
      <c r="FL36" s="1421">
        <v>95853956.32009618</v>
      </c>
      <c r="FM36" s="1221">
        <v>0</v>
      </c>
    </row>
    <row r="37" spans="1:169" s="1" customFormat="1" ht="15.75">
      <c r="A37" s="1210"/>
      <c r="B37" s="1223">
        <v>42856</v>
      </c>
      <c r="C37" s="1421">
        <v>58880311.210000008</v>
      </c>
      <c r="D37" s="1421">
        <v>58880311.210000008</v>
      </c>
      <c r="E37" s="1421">
        <v>22900115.673576657</v>
      </c>
      <c r="F37" s="1421">
        <v>35980195.536423348</v>
      </c>
      <c r="G37" s="1421"/>
      <c r="H37" s="1421"/>
      <c r="I37" s="1421"/>
      <c r="J37" s="1421"/>
      <c r="K37" s="1421"/>
      <c r="L37" s="1421"/>
      <c r="M37" s="1421"/>
      <c r="N37" s="1421"/>
      <c r="O37" s="1421"/>
      <c r="P37" s="1421"/>
      <c r="Q37" s="1421">
        <v>0</v>
      </c>
      <c r="R37" s="1421">
        <v>0</v>
      </c>
      <c r="S37" s="1421">
        <v>0</v>
      </c>
      <c r="T37" s="1421"/>
      <c r="U37" s="1421"/>
      <c r="V37" s="1421"/>
      <c r="W37" s="1421">
        <v>0</v>
      </c>
      <c r="X37" s="1421"/>
      <c r="Y37" s="1421"/>
      <c r="Z37" s="1421"/>
      <c r="AA37" s="1421">
        <v>0</v>
      </c>
      <c r="AB37" s="1421"/>
      <c r="AC37" s="1421"/>
      <c r="AD37" s="1421"/>
      <c r="AE37" s="1421">
        <v>0</v>
      </c>
      <c r="AF37" s="1421"/>
      <c r="AG37" s="1421"/>
      <c r="AH37" s="1421"/>
      <c r="AI37" s="1421">
        <v>0</v>
      </c>
      <c r="AJ37" s="1421"/>
      <c r="AK37" s="1421"/>
      <c r="AL37" s="1421"/>
      <c r="AM37" s="1421">
        <v>0</v>
      </c>
      <c r="AN37" s="1421"/>
      <c r="AO37" s="1421"/>
      <c r="AP37" s="1421"/>
      <c r="AQ37" s="1421">
        <v>0</v>
      </c>
      <c r="AR37" s="1421"/>
      <c r="AS37" s="1421"/>
      <c r="AT37" s="1421"/>
      <c r="AU37" s="1421">
        <v>0</v>
      </c>
      <c r="AV37" s="1421"/>
      <c r="AW37" s="1421"/>
      <c r="AX37" s="1421"/>
      <c r="AY37" s="1421">
        <v>0</v>
      </c>
      <c r="AZ37" s="1421"/>
      <c r="BA37" s="1421"/>
      <c r="BB37" s="1421"/>
      <c r="BC37" s="1421">
        <v>0</v>
      </c>
      <c r="BD37" s="1421"/>
      <c r="BE37" s="1421"/>
      <c r="BF37" s="1421"/>
      <c r="BG37" s="1421">
        <v>0</v>
      </c>
      <c r="BH37" s="1421"/>
      <c r="BI37" s="1421"/>
      <c r="BJ37" s="1421"/>
      <c r="BK37" s="1421"/>
      <c r="BL37" s="1421">
        <v>0</v>
      </c>
      <c r="BM37" s="1421">
        <v>0</v>
      </c>
      <c r="BN37" s="1421"/>
      <c r="BO37" s="1421">
        <v>0</v>
      </c>
      <c r="BP37" s="1421"/>
      <c r="BQ37" s="1421"/>
      <c r="BR37" s="1421"/>
      <c r="BS37" s="1421"/>
      <c r="BT37" s="1421">
        <v>0</v>
      </c>
      <c r="BU37" s="1421"/>
      <c r="BV37" s="1421">
        <v>0</v>
      </c>
      <c r="BW37" s="1421"/>
      <c r="BX37" s="1421"/>
      <c r="BY37" s="1421"/>
      <c r="BZ37" s="1421"/>
      <c r="CA37" s="1421">
        <v>0</v>
      </c>
      <c r="CB37" s="1421"/>
      <c r="CC37" s="1421">
        <v>0</v>
      </c>
      <c r="CD37" s="1421"/>
      <c r="CE37" s="1421"/>
      <c r="CF37" s="1421"/>
      <c r="CG37" s="1421"/>
      <c r="CH37" s="1421"/>
      <c r="CI37" s="1421">
        <v>0</v>
      </c>
      <c r="CJ37" s="1421"/>
      <c r="CK37" s="1421"/>
      <c r="CL37" s="1421"/>
      <c r="CM37" s="1421"/>
      <c r="CN37" s="1421"/>
      <c r="CO37" s="1421">
        <v>0</v>
      </c>
      <c r="CP37" s="1421"/>
      <c r="CQ37" s="1421"/>
      <c r="CR37" s="1421"/>
      <c r="CS37" s="1421"/>
      <c r="CT37" s="1421">
        <v>0</v>
      </c>
      <c r="CU37" s="1421">
        <v>0</v>
      </c>
      <c r="CV37" s="1421"/>
      <c r="CW37" s="1421"/>
      <c r="CX37" s="1421">
        <v>0</v>
      </c>
      <c r="CY37" s="1421"/>
      <c r="CZ37" s="1421"/>
      <c r="DA37" s="1421">
        <v>0</v>
      </c>
      <c r="DB37" s="1421"/>
      <c r="DC37" s="1421"/>
      <c r="DD37" s="1421"/>
      <c r="DE37" s="1421">
        <v>0</v>
      </c>
      <c r="DF37" s="1421">
        <v>0</v>
      </c>
      <c r="DG37" s="1421"/>
      <c r="DH37" s="1421"/>
      <c r="DI37" s="1421">
        <v>0</v>
      </c>
      <c r="DJ37" s="1421"/>
      <c r="DK37" s="1421"/>
      <c r="DL37" s="1421">
        <v>0</v>
      </c>
      <c r="DM37" s="1421"/>
      <c r="DN37" s="1421"/>
      <c r="DO37" s="1421"/>
      <c r="DP37" s="1421"/>
      <c r="DQ37" s="1421"/>
      <c r="DR37" s="1421">
        <v>0</v>
      </c>
      <c r="DS37" s="1421"/>
      <c r="DT37" s="1421">
        <v>0</v>
      </c>
      <c r="DU37" s="1421"/>
      <c r="DV37" s="1421"/>
      <c r="DW37" s="1421">
        <v>0</v>
      </c>
      <c r="DX37" s="1421"/>
      <c r="DY37" s="1421"/>
      <c r="DZ37" s="1421"/>
      <c r="EA37" s="1421"/>
      <c r="EB37" s="1421">
        <v>0</v>
      </c>
      <c r="EC37" s="1421"/>
      <c r="ED37" s="1421"/>
      <c r="EE37" s="1421"/>
      <c r="EF37" s="1421">
        <v>0</v>
      </c>
      <c r="EG37" s="1421">
        <v>0</v>
      </c>
      <c r="EH37" s="1421"/>
      <c r="EI37" s="1421"/>
      <c r="EJ37" s="1421">
        <v>0</v>
      </c>
      <c r="EK37" s="1421"/>
      <c r="EL37" s="1421"/>
      <c r="EM37" s="1421">
        <v>0</v>
      </c>
      <c r="EN37" s="1421"/>
      <c r="EO37" s="1421"/>
      <c r="EP37" s="1421"/>
      <c r="EQ37" s="1421"/>
      <c r="ER37" s="1421"/>
      <c r="ES37" s="1421">
        <v>-14755761.847034482</v>
      </c>
      <c r="ET37" s="1421">
        <v>37045237</v>
      </c>
      <c r="EU37" s="1421">
        <v>2498362</v>
      </c>
      <c r="EV37" s="1421">
        <v>34546875</v>
      </c>
      <c r="EW37" s="1421">
        <v>0</v>
      </c>
      <c r="EX37" s="1421"/>
      <c r="EY37" s="1421"/>
      <c r="EZ37" s="1421">
        <v>-52235236.218374975</v>
      </c>
      <c r="FA37" s="1421"/>
      <c r="FB37" s="1421"/>
      <c r="FC37" s="1421">
        <v>-52235236.218374975</v>
      </c>
      <c r="FD37" s="1421">
        <v>434237.37134049227</v>
      </c>
      <c r="FE37" s="1421"/>
      <c r="FF37" s="1421">
        <v>51892757.424362943</v>
      </c>
      <c r="FG37" s="1421"/>
      <c r="FH37" s="1421"/>
      <c r="FI37" s="1421"/>
      <c r="FJ37" s="1421"/>
      <c r="FK37" s="1421"/>
      <c r="FL37" s="1421">
        <v>96017306.787328467</v>
      </c>
      <c r="FM37" s="1221">
        <v>0</v>
      </c>
    </row>
    <row r="38" spans="1:169" s="947" customFormat="1" ht="15.75">
      <c r="B38" s="1223">
        <v>42887</v>
      </c>
      <c r="C38" s="1421">
        <v>58880311.210000008</v>
      </c>
      <c r="D38" s="1421">
        <v>58880311.210000008</v>
      </c>
      <c r="E38" s="1421">
        <v>22900115.673576657</v>
      </c>
      <c r="F38" s="1421">
        <v>35980195.536423348</v>
      </c>
      <c r="G38" s="1421"/>
      <c r="H38" s="1421"/>
      <c r="I38" s="1421"/>
      <c r="J38" s="1421"/>
      <c r="K38" s="1421"/>
      <c r="L38" s="1421"/>
      <c r="M38" s="1421"/>
      <c r="N38" s="1421"/>
      <c r="O38" s="1421"/>
      <c r="P38" s="1421"/>
      <c r="Q38" s="1421">
        <v>0</v>
      </c>
      <c r="R38" s="1421">
        <v>0</v>
      </c>
      <c r="S38" s="1421">
        <v>0</v>
      </c>
      <c r="T38" s="1421"/>
      <c r="U38" s="1421"/>
      <c r="V38" s="1421"/>
      <c r="W38" s="1421">
        <v>0</v>
      </c>
      <c r="X38" s="1421"/>
      <c r="Y38" s="1421"/>
      <c r="Z38" s="1421"/>
      <c r="AA38" s="1421">
        <v>0</v>
      </c>
      <c r="AB38" s="1421"/>
      <c r="AC38" s="1421"/>
      <c r="AD38" s="1421"/>
      <c r="AE38" s="1421">
        <v>0</v>
      </c>
      <c r="AF38" s="1421"/>
      <c r="AG38" s="1421"/>
      <c r="AH38" s="1421"/>
      <c r="AI38" s="1421">
        <v>0</v>
      </c>
      <c r="AJ38" s="1421"/>
      <c r="AK38" s="1421"/>
      <c r="AL38" s="1421"/>
      <c r="AM38" s="1421">
        <v>0</v>
      </c>
      <c r="AN38" s="1421"/>
      <c r="AO38" s="1421"/>
      <c r="AP38" s="1421"/>
      <c r="AQ38" s="1421">
        <v>0</v>
      </c>
      <c r="AR38" s="1421"/>
      <c r="AS38" s="1421"/>
      <c r="AT38" s="1421"/>
      <c r="AU38" s="1421">
        <v>0</v>
      </c>
      <c r="AV38" s="1421"/>
      <c r="AW38" s="1421"/>
      <c r="AX38" s="1421"/>
      <c r="AY38" s="1421">
        <v>0</v>
      </c>
      <c r="AZ38" s="1421"/>
      <c r="BA38" s="1421"/>
      <c r="BB38" s="1421"/>
      <c r="BC38" s="1421">
        <v>0</v>
      </c>
      <c r="BD38" s="1421"/>
      <c r="BE38" s="1421"/>
      <c r="BF38" s="1421"/>
      <c r="BG38" s="1421">
        <v>0</v>
      </c>
      <c r="BH38" s="1421"/>
      <c r="BI38" s="1421"/>
      <c r="BJ38" s="1421"/>
      <c r="BK38" s="1421"/>
      <c r="BL38" s="1421">
        <v>0</v>
      </c>
      <c r="BM38" s="1421">
        <v>0</v>
      </c>
      <c r="BN38" s="1421"/>
      <c r="BO38" s="1421">
        <v>0</v>
      </c>
      <c r="BP38" s="1421"/>
      <c r="BQ38" s="1421"/>
      <c r="BR38" s="1421"/>
      <c r="BS38" s="1421"/>
      <c r="BT38" s="1421">
        <v>0</v>
      </c>
      <c r="BU38" s="1421"/>
      <c r="BV38" s="1421">
        <v>0</v>
      </c>
      <c r="BW38" s="1421"/>
      <c r="BX38" s="1421"/>
      <c r="BY38" s="1421"/>
      <c r="BZ38" s="1421"/>
      <c r="CA38" s="1421">
        <v>0</v>
      </c>
      <c r="CB38" s="1421"/>
      <c r="CC38" s="1421">
        <v>0</v>
      </c>
      <c r="CD38" s="1421"/>
      <c r="CE38" s="1421"/>
      <c r="CF38" s="1421"/>
      <c r="CG38" s="1421"/>
      <c r="CH38" s="1421"/>
      <c r="CI38" s="1421">
        <v>0</v>
      </c>
      <c r="CJ38" s="1421"/>
      <c r="CK38" s="1421"/>
      <c r="CL38" s="1421"/>
      <c r="CM38" s="1421"/>
      <c r="CN38" s="1421"/>
      <c r="CO38" s="1421">
        <v>0</v>
      </c>
      <c r="CP38" s="1421"/>
      <c r="CQ38" s="1421"/>
      <c r="CR38" s="1421"/>
      <c r="CS38" s="1421"/>
      <c r="CT38" s="1421">
        <v>0</v>
      </c>
      <c r="CU38" s="1421">
        <v>0</v>
      </c>
      <c r="CV38" s="1421"/>
      <c r="CW38" s="1421"/>
      <c r="CX38" s="1421">
        <v>0</v>
      </c>
      <c r="CY38" s="1421"/>
      <c r="CZ38" s="1421"/>
      <c r="DA38" s="1421">
        <v>0</v>
      </c>
      <c r="DB38" s="1421"/>
      <c r="DC38" s="1421"/>
      <c r="DD38" s="1421"/>
      <c r="DE38" s="1421">
        <v>0</v>
      </c>
      <c r="DF38" s="1421">
        <v>0</v>
      </c>
      <c r="DG38" s="1421"/>
      <c r="DH38" s="1421"/>
      <c r="DI38" s="1421">
        <v>0</v>
      </c>
      <c r="DJ38" s="1421"/>
      <c r="DK38" s="1421"/>
      <c r="DL38" s="1421">
        <v>0</v>
      </c>
      <c r="DM38" s="1421"/>
      <c r="DN38" s="1421"/>
      <c r="DO38" s="1421"/>
      <c r="DP38" s="1421"/>
      <c r="DQ38" s="1421"/>
      <c r="DR38" s="1421">
        <v>0</v>
      </c>
      <c r="DS38" s="1421"/>
      <c r="DT38" s="1421">
        <v>0</v>
      </c>
      <c r="DU38" s="1421"/>
      <c r="DV38" s="1421"/>
      <c r="DW38" s="1421">
        <v>0</v>
      </c>
      <c r="DX38" s="1421"/>
      <c r="DY38" s="1421"/>
      <c r="DZ38" s="1421"/>
      <c r="EA38" s="1421"/>
      <c r="EB38" s="1421">
        <v>0</v>
      </c>
      <c r="EC38" s="1421"/>
      <c r="ED38" s="1421"/>
      <c r="EE38" s="1421"/>
      <c r="EF38" s="1421">
        <v>0</v>
      </c>
      <c r="EG38" s="1421">
        <v>0</v>
      </c>
      <c r="EH38" s="1421"/>
      <c r="EI38" s="1421"/>
      <c r="EJ38" s="1421">
        <v>0</v>
      </c>
      <c r="EK38" s="1421"/>
      <c r="EL38" s="1421"/>
      <c r="EM38" s="1421">
        <v>0</v>
      </c>
      <c r="EN38" s="1421"/>
      <c r="EO38" s="1421"/>
      <c r="EP38" s="1421"/>
      <c r="EQ38" s="1421"/>
      <c r="ER38" s="1421"/>
      <c r="ES38" s="1421">
        <v>-14755761.847034482</v>
      </c>
      <c r="ET38" s="1421">
        <v>37045237</v>
      </c>
      <c r="EU38" s="1421">
        <v>2498362</v>
      </c>
      <c r="EV38" s="1421">
        <v>34546875</v>
      </c>
      <c r="EW38" s="1421">
        <v>0</v>
      </c>
      <c r="EX38" s="1421"/>
      <c r="EY38" s="1421"/>
      <c r="EZ38" s="1421">
        <v>-52235236.218374975</v>
      </c>
      <c r="FA38" s="1421"/>
      <c r="FB38" s="1421"/>
      <c r="FC38" s="1421">
        <v>-52235236.218374975</v>
      </c>
      <c r="FD38" s="1421">
        <v>434237.37134049227</v>
      </c>
      <c r="FE38" s="1421"/>
      <c r="FF38" s="1421">
        <v>51921008.424362943</v>
      </c>
      <c r="FG38" s="1421"/>
      <c r="FH38" s="1421"/>
      <c r="FI38" s="1421"/>
      <c r="FJ38" s="1421"/>
      <c r="FK38" s="1421"/>
      <c r="FL38" s="1421">
        <v>96045557.787328467</v>
      </c>
      <c r="FM38" s="1221">
        <v>0</v>
      </c>
    </row>
    <row r="39" spans="1:169" s="1373" customFormat="1">
      <c r="B39" s="1379">
        <v>42917</v>
      </c>
      <c r="C39" s="1426">
        <v>58880311.210000008</v>
      </c>
      <c r="D39" s="1426">
        <v>58880311.210000008</v>
      </c>
      <c r="E39" s="1426">
        <v>22900115.673576657</v>
      </c>
      <c r="F39" s="1426">
        <v>35980195.536423348</v>
      </c>
      <c r="G39" s="1426"/>
      <c r="H39" s="1426"/>
      <c r="I39" s="1426"/>
      <c r="J39" s="1426"/>
      <c r="K39" s="1426"/>
      <c r="L39" s="1426"/>
      <c r="M39" s="1426"/>
      <c r="N39" s="1426"/>
      <c r="O39" s="1426"/>
      <c r="P39" s="1426"/>
      <c r="Q39" s="1426">
        <v>0</v>
      </c>
      <c r="R39" s="1426">
        <v>0</v>
      </c>
      <c r="S39" s="1426">
        <v>0</v>
      </c>
      <c r="T39" s="1426"/>
      <c r="U39" s="1426"/>
      <c r="V39" s="1426"/>
      <c r="W39" s="1426">
        <v>0</v>
      </c>
      <c r="X39" s="1426"/>
      <c r="Y39" s="1426"/>
      <c r="Z39" s="1426"/>
      <c r="AA39" s="1426">
        <v>0</v>
      </c>
      <c r="AB39" s="1426"/>
      <c r="AC39" s="1426"/>
      <c r="AD39" s="1426"/>
      <c r="AE39" s="1426">
        <v>0</v>
      </c>
      <c r="AF39" s="1426"/>
      <c r="AG39" s="1426"/>
      <c r="AH39" s="1426"/>
      <c r="AI39" s="1426">
        <v>0</v>
      </c>
      <c r="AJ39" s="1426"/>
      <c r="AK39" s="1426"/>
      <c r="AL39" s="1426"/>
      <c r="AM39" s="1426">
        <v>0</v>
      </c>
      <c r="AN39" s="1426"/>
      <c r="AO39" s="1426"/>
      <c r="AP39" s="1426"/>
      <c r="AQ39" s="1426">
        <v>0</v>
      </c>
      <c r="AR39" s="1426"/>
      <c r="AS39" s="1426"/>
      <c r="AT39" s="1426"/>
      <c r="AU39" s="1426">
        <v>0</v>
      </c>
      <c r="AV39" s="1426"/>
      <c r="AW39" s="1426"/>
      <c r="AX39" s="1426"/>
      <c r="AY39" s="1426">
        <v>0</v>
      </c>
      <c r="AZ39" s="1426"/>
      <c r="BA39" s="1426"/>
      <c r="BB39" s="1426"/>
      <c r="BC39" s="1426">
        <v>0</v>
      </c>
      <c r="BD39" s="1426"/>
      <c r="BE39" s="1426"/>
      <c r="BF39" s="1426"/>
      <c r="BG39" s="1426">
        <v>0</v>
      </c>
      <c r="BH39" s="1426"/>
      <c r="BI39" s="1426"/>
      <c r="BJ39" s="1426"/>
      <c r="BK39" s="1426"/>
      <c r="BL39" s="1426">
        <v>0</v>
      </c>
      <c r="BM39" s="1426">
        <v>0</v>
      </c>
      <c r="BN39" s="1426"/>
      <c r="BO39" s="1426">
        <v>0</v>
      </c>
      <c r="BP39" s="1426"/>
      <c r="BQ39" s="1426"/>
      <c r="BR39" s="1426"/>
      <c r="BS39" s="1426"/>
      <c r="BT39" s="1426">
        <v>0</v>
      </c>
      <c r="BU39" s="1426"/>
      <c r="BV39" s="1426">
        <v>0</v>
      </c>
      <c r="BW39" s="1426"/>
      <c r="BX39" s="1426"/>
      <c r="BY39" s="1426"/>
      <c r="BZ39" s="1426"/>
      <c r="CA39" s="1426">
        <v>0</v>
      </c>
      <c r="CB39" s="1426"/>
      <c r="CC39" s="1426">
        <v>0</v>
      </c>
      <c r="CD39" s="1426"/>
      <c r="CE39" s="1426"/>
      <c r="CF39" s="1426"/>
      <c r="CG39" s="1426"/>
      <c r="CH39" s="1426"/>
      <c r="CI39" s="1426">
        <v>0</v>
      </c>
      <c r="CJ39" s="1426"/>
      <c r="CK39" s="1426"/>
      <c r="CL39" s="1426"/>
      <c r="CM39" s="1426"/>
      <c r="CN39" s="1426"/>
      <c r="CO39" s="1426">
        <v>0</v>
      </c>
      <c r="CP39" s="1426"/>
      <c r="CQ39" s="1426"/>
      <c r="CR39" s="1426"/>
      <c r="CS39" s="1426"/>
      <c r="CT39" s="1426">
        <v>0</v>
      </c>
      <c r="CU39" s="1426">
        <v>0</v>
      </c>
      <c r="CV39" s="1426"/>
      <c r="CW39" s="1426"/>
      <c r="CX39" s="1426">
        <v>0</v>
      </c>
      <c r="CY39" s="1426"/>
      <c r="CZ39" s="1426"/>
      <c r="DA39" s="1426">
        <v>0</v>
      </c>
      <c r="DB39" s="1426"/>
      <c r="DC39" s="1426"/>
      <c r="DD39" s="1426"/>
      <c r="DE39" s="1426">
        <v>0</v>
      </c>
      <c r="DF39" s="1426">
        <v>0</v>
      </c>
      <c r="DG39" s="1426"/>
      <c r="DH39" s="1426"/>
      <c r="DI39" s="1426">
        <v>0</v>
      </c>
      <c r="DJ39" s="1426"/>
      <c r="DK39" s="1426"/>
      <c r="DL39" s="1426">
        <v>0</v>
      </c>
      <c r="DM39" s="1426"/>
      <c r="DN39" s="1426"/>
      <c r="DO39" s="1426"/>
      <c r="DP39" s="1426"/>
      <c r="DQ39" s="1426"/>
      <c r="DR39" s="1426">
        <v>0</v>
      </c>
      <c r="DS39" s="1426"/>
      <c r="DT39" s="1426">
        <v>0</v>
      </c>
      <c r="DU39" s="1426"/>
      <c r="DV39" s="1426"/>
      <c r="DW39" s="1426">
        <v>0</v>
      </c>
      <c r="DX39" s="1426"/>
      <c r="DY39" s="1426"/>
      <c r="DZ39" s="1426"/>
      <c r="EA39" s="1426"/>
      <c r="EB39" s="1426">
        <v>0</v>
      </c>
      <c r="EC39" s="1426"/>
      <c r="ED39" s="1426"/>
      <c r="EE39" s="1426"/>
      <c r="EF39" s="1426">
        <v>0</v>
      </c>
      <c r="EG39" s="1426">
        <v>0</v>
      </c>
      <c r="EH39" s="1426"/>
      <c r="EI39" s="1426"/>
      <c r="EJ39" s="1426">
        <v>0</v>
      </c>
      <c r="EK39" s="1426"/>
      <c r="EL39" s="1426"/>
      <c r="EM39" s="1426">
        <v>0</v>
      </c>
      <c r="EN39" s="1426"/>
      <c r="EO39" s="1426"/>
      <c r="EP39" s="1426"/>
      <c r="EQ39" s="1426"/>
      <c r="ER39" s="1426"/>
      <c r="ES39" s="1426">
        <v>-14755761.847034482</v>
      </c>
      <c r="ET39" s="1426">
        <v>37045237</v>
      </c>
      <c r="EU39" s="1426">
        <v>2498362</v>
      </c>
      <c r="EV39" s="1426">
        <v>34546875</v>
      </c>
      <c r="EW39" s="1426">
        <v>0</v>
      </c>
      <c r="EX39" s="1426"/>
      <c r="EY39" s="1426"/>
      <c r="EZ39" s="1426">
        <v>-52235236.218374975</v>
      </c>
      <c r="FA39" s="1426"/>
      <c r="FB39" s="1426"/>
      <c r="FC39" s="1426">
        <v>-52235236.218374975</v>
      </c>
      <c r="FD39" s="1426">
        <v>434237.37134049227</v>
      </c>
      <c r="FE39" s="1426"/>
      <c r="FF39" s="1426">
        <v>51921008.424362943</v>
      </c>
      <c r="FG39" s="1426"/>
      <c r="FH39" s="1426"/>
      <c r="FI39" s="1426"/>
      <c r="FJ39" s="1426"/>
      <c r="FK39" s="1426"/>
      <c r="FL39" s="1426">
        <v>96045557.787328467</v>
      </c>
      <c r="FM39" s="1380">
        <v>0</v>
      </c>
    </row>
    <row r="40" spans="1:169" s="1377" customFormat="1">
      <c r="B40" s="1379">
        <v>42948</v>
      </c>
      <c r="C40" s="1426">
        <v>58880311.210000008</v>
      </c>
      <c r="D40" s="1426">
        <v>58880311.210000008</v>
      </c>
      <c r="E40" s="1426">
        <v>22900115.673576657</v>
      </c>
      <c r="F40" s="1426">
        <v>35980195.536423348</v>
      </c>
      <c r="G40" s="1426"/>
      <c r="H40" s="1426"/>
      <c r="I40" s="1426"/>
      <c r="J40" s="1426"/>
      <c r="K40" s="1426"/>
      <c r="L40" s="1426"/>
      <c r="M40" s="1426"/>
      <c r="N40" s="1426"/>
      <c r="O40" s="1426"/>
      <c r="P40" s="1426"/>
      <c r="Q40" s="1426">
        <v>0</v>
      </c>
      <c r="R40" s="1426">
        <v>0</v>
      </c>
      <c r="S40" s="1426">
        <v>0</v>
      </c>
      <c r="T40" s="1426"/>
      <c r="U40" s="1426"/>
      <c r="V40" s="1426"/>
      <c r="W40" s="1426">
        <v>0</v>
      </c>
      <c r="X40" s="1426"/>
      <c r="Y40" s="1426"/>
      <c r="Z40" s="1426"/>
      <c r="AA40" s="1426">
        <v>0</v>
      </c>
      <c r="AB40" s="1426"/>
      <c r="AC40" s="1426"/>
      <c r="AD40" s="1426"/>
      <c r="AE40" s="1426">
        <v>0</v>
      </c>
      <c r="AF40" s="1426"/>
      <c r="AG40" s="1426"/>
      <c r="AH40" s="1426"/>
      <c r="AI40" s="1426">
        <v>0</v>
      </c>
      <c r="AJ40" s="1426"/>
      <c r="AK40" s="1426"/>
      <c r="AL40" s="1426"/>
      <c r="AM40" s="1426">
        <v>0</v>
      </c>
      <c r="AN40" s="1426"/>
      <c r="AO40" s="1426"/>
      <c r="AP40" s="1426"/>
      <c r="AQ40" s="1426">
        <v>0</v>
      </c>
      <c r="AR40" s="1426"/>
      <c r="AS40" s="1426"/>
      <c r="AT40" s="1426"/>
      <c r="AU40" s="1426">
        <v>0</v>
      </c>
      <c r="AV40" s="1426"/>
      <c r="AW40" s="1426"/>
      <c r="AX40" s="1426"/>
      <c r="AY40" s="1426">
        <v>0</v>
      </c>
      <c r="AZ40" s="1426"/>
      <c r="BA40" s="1426"/>
      <c r="BB40" s="1426"/>
      <c r="BC40" s="1426">
        <v>0</v>
      </c>
      <c r="BD40" s="1426"/>
      <c r="BE40" s="1426"/>
      <c r="BF40" s="1426"/>
      <c r="BG40" s="1426">
        <v>0</v>
      </c>
      <c r="BH40" s="1426"/>
      <c r="BI40" s="1426"/>
      <c r="BJ40" s="1426"/>
      <c r="BK40" s="1426"/>
      <c r="BL40" s="1426">
        <v>0</v>
      </c>
      <c r="BM40" s="1426">
        <v>0</v>
      </c>
      <c r="BN40" s="1426"/>
      <c r="BO40" s="1426">
        <v>0</v>
      </c>
      <c r="BP40" s="1426"/>
      <c r="BQ40" s="1426"/>
      <c r="BR40" s="1426"/>
      <c r="BS40" s="1426"/>
      <c r="BT40" s="1426">
        <v>0</v>
      </c>
      <c r="BU40" s="1426"/>
      <c r="BV40" s="1426">
        <v>0</v>
      </c>
      <c r="BW40" s="1426"/>
      <c r="BX40" s="1426"/>
      <c r="BY40" s="1426"/>
      <c r="BZ40" s="1426"/>
      <c r="CA40" s="1426">
        <v>0</v>
      </c>
      <c r="CB40" s="1426"/>
      <c r="CC40" s="1426">
        <v>0</v>
      </c>
      <c r="CD40" s="1426"/>
      <c r="CE40" s="1426"/>
      <c r="CF40" s="1426"/>
      <c r="CG40" s="1426"/>
      <c r="CH40" s="1426"/>
      <c r="CI40" s="1426">
        <v>0</v>
      </c>
      <c r="CJ40" s="1426"/>
      <c r="CK40" s="1426"/>
      <c r="CL40" s="1426"/>
      <c r="CM40" s="1426"/>
      <c r="CN40" s="1426"/>
      <c r="CO40" s="1426">
        <v>0</v>
      </c>
      <c r="CP40" s="1426"/>
      <c r="CQ40" s="1426"/>
      <c r="CR40" s="1426"/>
      <c r="CS40" s="1426"/>
      <c r="CT40" s="1426">
        <v>0</v>
      </c>
      <c r="CU40" s="1426">
        <v>0</v>
      </c>
      <c r="CV40" s="1426"/>
      <c r="CW40" s="1426"/>
      <c r="CX40" s="1426">
        <v>0</v>
      </c>
      <c r="CY40" s="1426"/>
      <c r="CZ40" s="1426"/>
      <c r="DA40" s="1426">
        <v>0</v>
      </c>
      <c r="DB40" s="1426"/>
      <c r="DC40" s="1426"/>
      <c r="DD40" s="1426"/>
      <c r="DE40" s="1426">
        <v>0</v>
      </c>
      <c r="DF40" s="1426">
        <v>0</v>
      </c>
      <c r="DG40" s="1426"/>
      <c r="DH40" s="1426"/>
      <c r="DI40" s="1426">
        <v>0</v>
      </c>
      <c r="DJ40" s="1426"/>
      <c r="DK40" s="1426"/>
      <c r="DL40" s="1426">
        <v>0</v>
      </c>
      <c r="DM40" s="1426"/>
      <c r="DN40" s="1426"/>
      <c r="DO40" s="1426"/>
      <c r="DP40" s="1426"/>
      <c r="DQ40" s="1426"/>
      <c r="DR40" s="1426">
        <v>0</v>
      </c>
      <c r="DS40" s="1426"/>
      <c r="DT40" s="1426">
        <v>0</v>
      </c>
      <c r="DU40" s="1426"/>
      <c r="DV40" s="1426"/>
      <c r="DW40" s="1426">
        <v>0</v>
      </c>
      <c r="DX40" s="1426"/>
      <c r="DY40" s="1426"/>
      <c r="DZ40" s="1426"/>
      <c r="EA40" s="1426"/>
      <c r="EB40" s="1426">
        <v>0</v>
      </c>
      <c r="EC40" s="1426"/>
      <c r="ED40" s="1426"/>
      <c r="EE40" s="1426"/>
      <c r="EF40" s="1426">
        <v>0</v>
      </c>
      <c r="EG40" s="1426">
        <v>0</v>
      </c>
      <c r="EH40" s="1426"/>
      <c r="EI40" s="1426"/>
      <c r="EJ40" s="1426">
        <v>0</v>
      </c>
      <c r="EK40" s="1426"/>
      <c r="EL40" s="1426"/>
      <c r="EM40" s="1426">
        <v>0</v>
      </c>
      <c r="EN40" s="1426"/>
      <c r="EO40" s="1426"/>
      <c r="EP40" s="1426"/>
      <c r="EQ40" s="1426"/>
      <c r="ER40" s="1426"/>
      <c r="ES40" s="1426">
        <v>-14580410.202109488</v>
      </c>
      <c r="ET40" s="1426">
        <v>37045237</v>
      </c>
      <c r="EU40" s="1426">
        <v>2498362</v>
      </c>
      <c r="EV40" s="1426">
        <v>34546875</v>
      </c>
      <c r="EW40" s="1426">
        <v>0</v>
      </c>
      <c r="EX40" s="1426"/>
      <c r="EY40" s="1426"/>
      <c r="EZ40" s="1426">
        <v>-52235236.218374975</v>
      </c>
      <c r="FA40" s="1426"/>
      <c r="FB40" s="1426"/>
      <c r="FC40" s="1426">
        <v>-52235236.218374975</v>
      </c>
      <c r="FD40" s="1426">
        <v>609589.0162654873</v>
      </c>
      <c r="FE40" s="1426"/>
      <c r="FF40" s="1426">
        <v>51757912.779749997</v>
      </c>
      <c r="FG40" s="1426"/>
      <c r="FH40" s="1426"/>
      <c r="FI40" s="1426"/>
      <c r="FJ40" s="1426"/>
      <c r="FK40" s="1426"/>
      <c r="FL40" s="1426">
        <v>96057813.787640512</v>
      </c>
      <c r="FM40" s="1380">
        <v>0</v>
      </c>
    </row>
    <row r="41" spans="1:169" s="1377" customFormat="1">
      <c r="B41" s="1379">
        <v>42979</v>
      </c>
      <c r="C41" s="1383">
        <v>60470455.88000001</v>
      </c>
      <c r="D41" s="1383">
        <v>60470455.88000001</v>
      </c>
      <c r="E41" s="1383">
        <v>23518565.137113746</v>
      </c>
      <c r="F41" s="1383">
        <v>36951890.74288626</v>
      </c>
      <c r="G41" s="1383"/>
      <c r="H41" s="1383"/>
      <c r="I41" s="1383"/>
      <c r="J41" s="1383"/>
      <c r="K41" s="1383"/>
      <c r="L41" s="1383"/>
      <c r="M41" s="1383"/>
      <c r="N41" s="1383"/>
      <c r="O41" s="1383"/>
      <c r="P41" s="1383"/>
      <c r="Q41" s="1383">
        <v>0</v>
      </c>
      <c r="R41" s="1383">
        <v>0</v>
      </c>
      <c r="S41" s="1383">
        <v>0</v>
      </c>
      <c r="T41" s="1383"/>
      <c r="U41" s="1383"/>
      <c r="V41" s="1383"/>
      <c r="W41" s="1383">
        <v>0</v>
      </c>
      <c r="X41" s="1383"/>
      <c r="Y41" s="1383"/>
      <c r="Z41" s="1383"/>
      <c r="AA41" s="1383">
        <v>0</v>
      </c>
      <c r="AB41" s="1383"/>
      <c r="AC41" s="1383"/>
      <c r="AD41" s="1383"/>
      <c r="AE41" s="1383">
        <v>0</v>
      </c>
      <c r="AF41" s="1383"/>
      <c r="AG41" s="1383"/>
      <c r="AH41" s="1383"/>
      <c r="AI41" s="1383">
        <v>0</v>
      </c>
      <c r="AJ41" s="1383"/>
      <c r="AK41" s="1383"/>
      <c r="AL41" s="1383"/>
      <c r="AM41" s="1383">
        <v>0</v>
      </c>
      <c r="AN41" s="1383"/>
      <c r="AO41" s="1383"/>
      <c r="AP41" s="1383"/>
      <c r="AQ41" s="1383">
        <v>0</v>
      </c>
      <c r="AR41" s="1383"/>
      <c r="AS41" s="1383"/>
      <c r="AT41" s="1383"/>
      <c r="AU41" s="1383">
        <v>0</v>
      </c>
      <c r="AV41" s="1383"/>
      <c r="AW41" s="1383"/>
      <c r="AX41" s="1383"/>
      <c r="AY41" s="1383">
        <v>0</v>
      </c>
      <c r="AZ41" s="1383"/>
      <c r="BA41" s="1383"/>
      <c r="BB41" s="1383"/>
      <c r="BC41" s="1383">
        <v>0</v>
      </c>
      <c r="BD41" s="1383"/>
      <c r="BE41" s="1383"/>
      <c r="BF41" s="1383"/>
      <c r="BG41" s="1383">
        <v>0</v>
      </c>
      <c r="BH41" s="1383"/>
      <c r="BI41" s="1383"/>
      <c r="BJ41" s="1383"/>
      <c r="BK41" s="1383"/>
      <c r="BL41" s="1383">
        <v>0</v>
      </c>
      <c r="BM41" s="1383">
        <v>0</v>
      </c>
      <c r="BN41" s="1383"/>
      <c r="BO41" s="1383">
        <v>0</v>
      </c>
      <c r="BP41" s="1383"/>
      <c r="BQ41" s="1383"/>
      <c r="BR41" s="1383"/>
      <c r="BS41" s="1383"/>
      <c r="BT41" s="1383">
        <v>0</v>
      </c>
      <c r="BU41" s="1383"/>
      <c r="BV41" s="1383">
        <v>0</v>
      </c>
      <c r="BW41" s="1383"/>
      <c r="BX41" s="1383"/>
      <c r="BY41" s="1383"/>
      <c r="BZ41" s="1383"/>
      <c r="CA41" s="1383">
        <v>0</v>
      </c>
      <c r="CB41" s="1383"/>
      <c r="CC41" s="1383">
        <v>0</v>
      </c>
      <c r="CD41" s="1383"/>
      <c r="CE41" s="1383"/>
      <c r="CF41" s="1383"/>
      <c r="CG41" s="1383"/>
      <c r="CH41" s="1383"/>
      <c r="CI41" s="1383">
        <v>0</v>
      </c>
      <c r="CJ41" s="1383"/>
      <c r="CK41" s="1383"/>
      <c r="CL41" s="1383"/>
      <c r="CM41" s="1383"/>
      <c r="CN41" s="1383"/>
      <c r="CO41" s="1383">
        <v>0</v>
      </c>
      <c r="CP41" s="1383"/>
      <c r="CQ41" s="1383"/>
      <c r="CR41" s="1383"/>
      <c r="CS41" s="1383"/>
      <c r="CT41" s="1383">
        <v>0</v>
      </c>
      <c r="CU41" s="1383">
        <v>0</v>
      </c>
      <c r="CV41" s="1383"/>
      <c r="CW41" s="1383"/>
      <c r="CX41" s="1383">
        <v>0</v>
      </c>
      <c r="CY41" s="1383"/>
      <c r="CZ41" s="1383"/>
      <c r="DA41" s="1383">
        <v>0</v>
      </c>
      <c r="DB41" s="1383"/>
      <c r="DC41" s="1383"/>
      <c r="DD41" s="1383"/>
      <c r="DE41" s="1383">
        <v>0</v>
      </c>
      <c r="DF41" s="1383">
        <v>0</v>
      </c>
      <c r="DG41" s="1383"/>
      <c r="DH41" s="1383"/>
      <c r="DI41" s="1383">
        <v>0</v>
      </c>
      <c r="DJ41" s="1383"/>
      <c r="DK41" s="1383"/>
      <c r="DL41" s="1383">
        <v>0</v>
      </c>
      <c r="DM41" s="1383"/>
      <c r="DN41" s="1383"/>
      <c r="DO41" s="1383"/>
      <c r="DP41" s="1383"/>
      <c r="DQ41" s="1383"/>
      <c r="DR41" s="1383">
        <v>0</v>
      </c>
      <c r="DS41" s="1383"/>
      <c r="DT41" s="1383">
        <v>0</v>
      </c>
      <c r="DU41" s="1383"/>
      <c r="DV41" s="1383"/>
      <c r="DW41" s="1383">
        <v>0</v>
      </c>
      <c r="DX41" s="1383"/>
      <c r="DY41" s="1383"/>
      <c r="DZ41" s="1383"/>
      <c r="EA41" s="1383"/>
      <c r="EB41" s="1383">
        <v>0</v>
      </c>
      <c r="EC41" s="1383"/>
      <c r="ED41" s="1383"/>
      <c r="EE41" s="1383"/>
      <c r="EF41" s="1383">
        <v>0</v>
      </c>
      <c r="EG41" s="1383">
        <v>0</v>
      </c>
      <c r="EH41" s="1383"/>
      <c r="EI41" s="1383"/>
      <c r="EJ41" s="1383">
        <v>0</v>
      </c>
      <c r="EK41" s="1383"/>
      <c r="EL41" s="1383"/>
      <c r="EM41" s="1383">
        <v>0</v>
      </c>
      <c r="EN41" s="1383"/>
      <c r="EO41" s="1383"/>
      <c r="EP41" s="1383"/>
      <c r="EQ41" s="1383"/>
      <c r="ER41" s="1383"/>
      <c r="ES41" s="1383">
        <v>-19529247.539999995</v>
      </c>
      <c r="ET41" s="1383">
        <v>37045237</v>
      </c>
      <c r="EU41" s="1383">
        <v>2498362</v>
      </c>
      <c r="EV41" s="1383">
        <v>34546875</v>
      </c>
      <c r="EW41" s="1383">
        <v>0</v>
      </c>
      <c r="EX41" s="1383"/>
      <c r="EY41" s="1383"/>
      <c r="EZ41" s="1383">
        <v>-56675125.839999996</v>
      </c>
      <c r="FA41" s="1383"/>
      <c r="FB41" s="1383"/>
      <c r="FC41" s="1383">
        <v>-56675125.839999996</v>
      </c>
      <c r="FD41" s="1383">
        <v>100641.29999999955</v>
      </c>
      <c r="FE41" s="1383"/>
      <c r="FF41" s="1383">
        <v>54332537.799999997</v>
      </c>
      <c r="FG41" s="1383"/>
      <c r="FH41" s="1383"/>
      <c r="FI41" s="1383"/>
      <c r="FJ41" s="1383"/>
      <c r="FK41" s="1383"/>
      <c r="FL41" s="1383">
        <v>95273746.140000015</v>
      </c>
    </row>
    <row r="42" spans="1:169" s="1377" customFormat="1">
      <c r="B42" s="1378">
        <v>43009</v>
      </c>
      <c r="C42" s="1427">
        <v>54204182.63000001</v>
      </c>
      <c r="D42" s="1427">
        <v>54204182.63000001</v>
      </c>
      <c r="E42" s="1427">
        <v>21081445.167495314</v>
      </c>
      <c r="F42" s="1427">
        <v>33122737.4625047</v>
      </c>
      <c r="G42" s="1427"/>
      <c r="H42" s="1427"/>
      <c r="I42" s="1427"/>
      <c r="J42" s="1427"/>
      <c r="K42" s="1427"/>
      <c r="L42" s="1427"/>
      <c r="M42" s="1427"/>
      <c r="N42" s="1427"/>
      <c r="O42" s="1427"/>
      <c r="P42" s="1427"/>
      <c r="Q42" s="1427">
        <v>0</v>
      </c>
      <c r="R42" s="1427">
        <v>0</v>
      </c>
      <c r="S42" s="1427">
        <v>0</v>
      </c>
      <c r="T42" s="1427"/>
      <c r="U42" s="1427"/>
      <c r="V42" s="1427"/>
      <c r="W42" s="1427">
        <v>0</v>
      </c>
      <c r="X42" s="1427"/>
      <c r="Y42" s="1427"/>
      <c r="Z42" s="1427"/>
      <c r="AA42" s="1427">
        <v>0</v>
      </c>
      <c r="AB42" s="1427"/>
      <c r="AC42" s="1427"/>
      <c r="AD42" s="1427"/>
      <c r="AE42" s="1427">
        <v>0</v>
      </c>
      <c r="AF42" s="1427"/>
      <c r="AG42" s="1427"/>
      <c r="AH42" s="1427"/>
      <c r="AI42" s="1427">
        <v>0</v>
      </c>
      <c r="AJ42" s="1427"/>
      <c r="AK42" s="1427"/>
      <c r="AL42" s="1427"/>
      <c r="AM42" s="1427">
        <v>0</v>
      </c>
      <c r="AN42" s="1427"/>
      <c r="AO42" s="1427"/>
      <c r="AP42" s="1427"/>
      <c r="AQ42" s="1427">
        <v>0</v>
      </c>
      <c r="AR42" s="1427"/>
      <c r="AS42" s="1427"/>
      <c r="AT42" s="1427"/>
      <c r="AU42" s="1427">
        <v>0</v>
      </c>
      <c r="AV42" s="1427"/>
      <c r="AW42" s="1427"/>
      <c r="AX42" s="1427"/>
      <c r="AY42" s="1427">
        <v>0</v>
      </c>
      <c r="AZ42" s="1427"/>
      <c r="BA42" s="1427"/>
      <c r="BB42" s="1427"/>
      <c r="BC42" s="1427">
        <v>0</v>
      </c>
      <c r="BD42" s="1427"/>
      <c r="BE42" s="1427"/>
      <c r="BF42" s="1427"/>
      <c r="BG42" s="1427">
        <v>0</v>
      </c>
      <c r="BH42" s="1427"/>
      <c r="BI42" s="1427"/>
      <c r="BJ42" s="1427"/>
      <c r="BK42" s="1427"/>
      <c r="BL42" s="1427">
        <v>0</v>
      </c>
      <c r="BM42" s="1427">
        <v>0</v>
      </c>
      <c r="BN42" s="1427"/>
      <c r="BO42" s="1427">
        <v>0</v>
      </c>
      <c r="BP42" s="1427"/>
      <c r="BQ42" s="1427"/>
      <c r="BR42" s="1427"/>
      <c r="BS42" s="1427"/>
      <c r="BT42" s="1427">
        <v>0</v>
      </c>
      <c r="BU42" s="1427"/>
      <c r="BV42" s="1427">
        <v>0</v>
      </c>
      <c r="BW42" s="1427"/>
      <c r="BX42" s="1427"/>
      <c r="BY42" s="1427"/>
      <c r="BZ42" s="1427"/>
      <c r="CA42" s="1427">
        <v>0</v>
      </c>
      <c r="CB42" s="1427"/>
      <c r="CC42" s="1427">
        <v>0</v>
      </c>
      <c r="CD42" s="1427"/>
      <c r="CE42" s="1427"/>
      <c r="CF42" s="1427"/>
      <c r="CG42" s="1427"/>
      <c r="CH42" s="1427"/>
      <c r="CI42" s="1427">
        <v>0</v>
      </c>
      <c r="CJ42" s="1427"/>
      <c r="CK42" s="1427"/>
      <c r="CL42" s="1427"/>
      <c r="CM42" s="1427"/>
      <c r="CN42" s="1427"/>
      <c r="CO42" s="1427">
        <v>0</v>
      </c>
      <c r="CP42" s="1427"/>
      <c r="CQ42" s="1427"/>
      <c r="CR42" s="1427"/>
      <c r="CS42" s="1427"/>
      <c r="CT42" s="1427">
        <v>0</v>
      </c>
      <c r="CU42" s="1427">
        <v>0</v>
      </c>
      <c r="CV42" s="1427"/>
      <c r="CW42" s="1427"/>
      <c r="CX42" s="1427">
        <v>0</v>
      </c>
      <c r="CY42" s="1427"/>
      <c r="CZ42" s="1427"/>
      <c r="DA42" s="1427">
        <v>0</v>
      </c>
      <c r="DB42" s="1427"/>
      <c r="DC42" s="1427"/>
      <c r="DD42" s="1427"/>
      <c r="DE42" s="1427">
        <v>0</v>
      </c>
      <c r="DF42" s="1427">
        <v>0</v>
      </c>
      <c r="DG42" s="1427"/>
      <c r="DH42" s="1427"/>
      <c r="DI42" s="1427">
        <v>0</v>
      </c>
      <c r="DJ42" s="1427"/>
      <c r="DK42" s="1427"/>
      <c r="DL42" s="1427">
        <v>0</v>
      </c>
      <c r="DM42" s="1427"/>
      <c r="DN42" s="1427"/>
      <c r="DO42" s="1427"/>
      <c r="DP42" s="1427"/>
      <c r="DQ42" s="1427"/>
      <c r="DR42" s="1427">
        <v>0</v>
      </c>
      <c r="DS42" s="1427"/>
      <c r="DT42" s="1427">
        <v>0</v>
      </c>
      <c r="DU42" s="1427"/>
      <c r="DV42" s="1427"/>
      <c r="DW42" s="1427">
        <v>0</v>
      </c>
      <c r="DX42" s="1427"/>
      <c r="DY42" s="1427"/>
      <c r="DZ42" s="1427"/>
      <c r="EA42" s="1427"/>
      <c r="EB42" s="1427">
        <v>0</v>
      </c>
      <c r="EC42" s="1427"/>
      <c r="ED42" s="1427"/>
      <c r="EE42" s="1427"/>
      <c r="EF42" s="1427">
        <v>0</v>
      </c>
      <c r="EG42" s="1427">
        <v>0</v>
      </c>
      <c r="EH42" s="1427"/>
      <c r="EI42" s="1427"/>
      <c r="EJ42" s="1427">
        <v>0</v>
      </c>
      <c r="EK42" s="1427"/>
      <c r="EL42" s="1427"/>
      <c r="EM42" s="1427">
        <v>0</v>
      </c>
      <c r="EN42" s="1427"/>
      <c r="EO42" s="1427"/>
      <c r="EP42" s="1427"/>
      <c r="EQ42" s="1427"/>
      <c r="ER42" s="1427"/>
      <c r="ES42" s="1427">
        <v>-21515080.303999994</v>
      </c>
      <c r="ET42" s="1427">
        <v>34546875</v>
      </c>
      <c r="EU42" s="1427">
        <v>2498362</v>
      </c>
      <c r="EV42" s="1427">
        <v>32048513</v>
      </c>
      <c r="EW42" s="1427">
        <v>0</v>
      </c>
      <c r="EX42" s="1427"/>
      <c r="EY42" s="1427"/>
      <c r="EZ42" s="1427">
        <v>-56171214.923999995</v>
      </c>
      <c r="FA42" s="1427"/>
      <c r="FB42" s="1427"/>
      <c r="FC42" s="1427">
        <v>-56171214.923999995</v>
      </c>
      <c r="FD42" s="1427">
        <v>109259.61999999986</v>
      </c>
      <c r="FE42" s="1427"/>
      <c r="FF42" s="1427">
        <v>48780642.103999987</v>
      </c>
      <c r="FG42" s="1427"/>
      <c r="FH42" s="1427"/>
      <c r="FI42" s="1427"/>
      <c r="FJ42" s="1427"/>
      <c r="FK42" s="1427"/>
      <c r="FL42" s="1427">
        <v>81469744.430000007</v>
      </c>
      <c r="FM42" s="1381"/>
    </row>
    <row r="43" spans="1:169" s="1377" customFormat="1">
      <c r="B43" s="1378">
        <v>43040</v>
      </c>
      <c r="C43" s="1383">
        <v>575927.40999998013</v>
      </c>
      <c r="D43" s="1383">
        <v>575927.40999998013</v>
      </c>
      <c r="E43" s="1383">
        <v>223993.45447656224</v>
      </c>
      <c r="F43" s="1383">
        <v>351933.95552341791</v>
      </c>
      <c r="G43" s="1383"/>
      <c r="H43" s="1383"/>
      <c r="I43" s="1383"/>
      <c r="J43" s="1383"/>
      <c r="K43" s="1383"/>
      <c r="L43" s="1383"/>
      <c r="M43" s="1383"/>
      <c r="N43" s="1383"/>
      <c r="O43" s="1383"/>
      <c r="P43" s="1383"/>
      <c r="Q43" s="1383">
        <v>0</v>
      </c>
      <c r="R43" s="1383">
        <v>0</v>
      </c>
      <c r="S43" s="1383">
        <v>0</v>
      </c>
      <c r="T43" s="1383"/>
      <c r="U43" s="1383"/>
      <c r="V43" s="1383"/>
      <c r="W43" s="1383">
        <v>0</v>
      </c>
      <c r="X43" s="1383"/>
      <c r="Y43" s="1383"/>
      <c r="Z43" s="1383"/>
      <c r="AA43" s="1383">
        <v>0</v>
      </c>
      <c r="AB43" s="1383"/>
      <c r="AC43" s="1383"/>
      <c r="AD43" s="1383"/>
      <c r="AE43" s="1383">
        <v>0</v>
      </c>
      <c r="AF43" s="1383"/>
      <c r="AG43" s="1383"/>
      <c r="AH43" s="1383"/>
      <c r="AI43" s="1383">
        <v>0</v>
      </c>
      <c r="AJ43" s="1383"/>
      <c r="AK43" s="1383"/>
      <c r="AL43" s="1383"/>
      <c r="AM43" s="1383">
        <v>0</v>
      </c>
      <c r="AN43" s="1383"/>
      <c r="AO43" s="1383"/>
      <c r="AP43" s="1383"/>
      <c r="AQ43" s="1383">
        <v>0</v>
      </c>
      <c r="AR43" s="1383"/>
      <c r="AS43" s="1383"/>
      <c r="AT43" s="1383"/>
      <c r="AU43" s="1383">
        <v>0</v>
      </c>
      <c r="AV43" s="1383"/>
      <c r="AW43" s="1383"/>
      <c r="AX43" s="1383"/>
      <c r="AY43" s="1383">
        <v>0</v>
      </c>
      <c r="AZ43" s="1383"/>
      <c r="BA43" s="1383"/>
      <c r="BB43" s="1383"/>
      <c r="BC43" s="1383">
        <v>0</v>
      </c>
      <c r="BD43" s="1383"/>
      <c r="BE43" s="1383"/>
      <c r="BF43" s="1383"/>
      <c r="BG43" s="1383">
        <v>0</v>
      </c>
      <c r="BH43" s="1383"/>
      <c r="BI43" s="1383"/>
      <c r="BJ43" s="1383"/>
      <c r="BK43" s="1383"/>
      <c r="BL43" s="1383">
        <v>0</v>
      </c>
      <c r="BM43" s="1383">
        <v>0</v>
      </c>
      <c r="BN43" s="1383"/>
      <c r="BO43" s="1383">
        <v>0</v>
      </c>
      <c r="BP43" s="1383"/>
      <c r="BQ43" s="1383"/>
      <c r="BR43" s="1383"/>
      <c r="BS43" s="1383"/>
      <c r="BT43" s="1383">
        <v>0</v>
      </c>
      <c r="BU43" s="1383"/>
      <c r="BV43" s="1383">
        <v>0</v>
      </c>
      <c r="BW43" s="1383"/>
      <c r="BX43" s="1383"/>
      <c r="BY43" s="1383"/>
      <c r="BZ43" s="1383"/>
      <c r="CA43" s="1383">
        <v>0</v>
      </c>
      <c r="CB43" s="1383"/>
      <c r="CC43" s="1383">
        <v>0</v>
      </c>
      <c r="CD43" s="1383"/>
      <c r="CE43" s="1383"/>
      <c r="CF43" s="1383"/>
      <c r="CG43" s="1383"/>
      <c r="CH43" s="1383"/>
      <c r="CI43" s="1383">
        <v>0</v>
      </c>
      <c r="CJ43" s="1383"/>
      <c r="CK43" s="1383"/>
      <c r="CL43" s="1383"/>
      <c r="CM43" s="1383"/>
      <c r="CN43" s="1383"/>
      <c r="CO43" s="1383">
        <v>0</v>
      </c>
      <c r="CP43" s="1383"/>
      <c r="CQ43" s="1383"/>
      <c r="CR43" s="1383"/>
      <c r="CS43" s="1383"/>
      <c r="CT43" s="1383">
        <v>0</v>
      </c>
      <c r="CU43" s="1383">
        <v>0</v>
      </c>
      <c r="CV43" s="1383"/>
      <c r="CW43" s="1383"/>
      <c r="CX43" s="1383">
        <v>0</v>
      </c>
      <c r="CY43" s="1383"/>
      <c r="CZ43" s="1383"/>
      <c r="DA43" s="1383">
        <v>0</v>
      </c>
      <c r="DB43" s="1383"/>
      <c r="DC43" s="1383"/>
      <c r="DD43" s="1383"/>
      <c r="DE43" s="1383">
        <v>0</v>
      </c>
      <c r="DF43" s="1383">
        <v>0</v>
      </c>
      <c r="DG43" s="1383"/>
      <c r="DH43" s="1383"/>
      <c r="DI43" s="1383">
        <v>0</v>
      </c>
      <c r="DJ43" s="1383"/>
      <c r="DK43" s="1383"/>
      <c r="DL43" s="1383">
        <v>0</v>
      </c>
      <c r="DM43" s="1383"/>
      <c r="DN43" s="1383"/>
      <c r="DO43" s="1383"/>
      <c r="DP43" s="1383"/>
      <c r="DQ43" s="1383"/>
      <c r="DR43" s="1383">
        <v>0</v>
      </c>
      <c r="DS43" s="1383"/>
      <c r="DT43" s="1383">
        <v>0</v>
      </c>
      <c r="DU43" s="1383"/>
      <c r="DV43" s="1383"/>
      <c r="DW43" s="1383">
        <v>0</v>
      </c>
      <c r="DX43" s="1383"/>
      <c r="DY43" s="1383"/>
      <c r="DZ43" s="1383"/>
      <c r="EA43" s="1383"/>
      <c r="EB43" s="1383">
        <v>0</v>
      </c>
      <c r="EC43" s="1383"/>
      <c r="ED43" s="1383"/>
      <c r="EE43" s="1383"/>
      <c r="EF43" s="1383">
        <v>0</v>
      </c>
      <c r="EG43" s="1383">
        <v>0</v>
      </c>
      <c r="EH43" s="1383"/>
      <c r="EI43" s="1383"/>
      <c r="EJ43" s="1383">
        <v>0</v>
      </c>
      <c r="EK43" s="1383"/>
      <c r="EL43" s="1383"/>
      <c r="EM43" s="1383">
        <v>0</v>
      </c>
      <c r="EN43" s="1383"/>
      <c r="EO43" s="1383"/>
      <c r="EP43" s="1383"/>
      <c r="EQ43" s="1383"/>
      <c r="ER43" s="1383"/>
      <c r="ES43" s="1383">
        <v>31294544.586000036</v>
      </c>
      <c r="ET43" s="1383">
        <v>80727203.00000003</v>
      </c>
      <c r="EU43" s="1383">
        <v>5024796.4000000004</v>
      </c>
      <c r="EV43" s="1383">
        <v>75702406.600000024</v>
      </c>
      <c r="EW43" s="1383">
        <v>0</v>
      </c>
      <c r="EX43" s="1383"/>
      <c r="EY43" s="1383"/>
      <c r="EZ43" s="1383">
        <v>-50136216.923999995</v>
      </c>
      <c r="FA43" s="1383"/>
      <c r="FB43" s="1383"/>
      <c r="FC43" s="1383">
        <v>-50136216.923999995</v>
      </c>
      <c r="FD43" s="1383">
        <v>703558.51</v>
      </c>
      <c r="FE43" s="1383"/>
      <c r="FF43" s="1383">
        <v>48266481.213999987</v>
      </c>
      <c r="FG43" s="1383"/>
      <c r="FH43" s="1383"/>
      <c r="FI43" s="1383"/>
      <c r="FJ43" s="1383"/>
      <c r="FK43" s="1383"/>
      <c r="FL43" s="1383">
        <v>80136953.210000008</v>
      </c>
    </row>
    <row r="44" spans="1:169" s="1369" customFormat="1">
      <c r="B44" s="1370">
        <v>43070</v>
      </c>
      <c r="C44" s="1373">
        <v>100883.99999996461</v>
      </c>
      <c r="D44" s="1373">
        <v>100883.99999996461</v>
      </c>
      <c r="E44" s="1373">
        <v>0</v>
      </c>
      <c r="F44" s="1373">
        <v>100883.99999996461</v>
      </c>
      <c r="G44" s="1373"/>
      <c r="H44" s="1373"/>
      <c r="I44" s="1373"/>
      <c r="J44" s="1373"/>
      <c r="K44" s="1373"/>
      <c r="L44" s="1373"/>
      <c r="M44" s="1373"/>
      <c r="N44" s="1373"/>
      <c r="O44" s="1373"/>
      <c r="P44" s="1373"/>
      <c r="Q44" s="1373">
        <v>0</v>
      </c>
      <c r="R44" s="1373">
        <v>0</v>
      </c>
      <c r="S44" s="1373">
        <v>0</v>
      </c>
      <c r="T44" s="1373"/>
      <c r="U44" s="1373"/>
      <c r="V44" s="1373"/>
      <c r="W44" s="1373">
        <v>0</v>
      </c>
      <c r="X44" s="1373"/>
      <c r="Y44" s="1373"/>
      <c r="Z44" s="1373"/>
      <c r="AA44" s="1373">
        <v>0</v>
      </c>
      <c r="AB44" s="1373"/>
      <c r="AC44" s="1373"/>
      <c r="AD44" s="1373"/>
      <c r="AE44" s="1373">
        <v>0</v>
      </c>
      <c r="AF44" s="1373"/>
      <c r="AG44" s="1373"/>
      <c r="AH44" s="1373"/>
      <c r="AI44" s="1373">
        <v>0</v>
      </c>
      <c r="AJ44" s="1373"/>
      <c r="AK44" s="1373"/>
      <c r="AL44" s="1373"/>
      <c r="AM44" s="1373">
        <v>0</v>
      </c>
      <c r="AN44" s="1373"/>
      <c r="AO44" s="1373"/>
      <c r="AP44" s="1373"/>
      <c r="AQ44" s="1373">
        <v>0</v>
      </c>
      <c r="AR44" s="1373"/>
      <c r="AS44" s="1373"/>
      <c r="AT44" s="1373"/>
      <c r="AU44" s="1373">
        <v>0</v>
      </c>
      <c r="AV44" s="1373"/>
      <c r="AW44" s="1373"/>
      <c r="AX44" s="1373"/>
      <c r="AY44" s="1373">
        <v>0</v>
      </c>
      <c r="AZ44" s="1373"/>
      <c r="BA44" s="1373"/>
      <c r="BB44" s="1373"/>
      <c r="BC44" s="1373">
        <v>0</v>
      </c>
      <c r="BD44" s="1373"/>
      <c r="BE44" s="1373"/>
      <c r="BF44" s="1373"/>
      <c r="BG44" s="1373">
        <v>0</v>
      </c>
      <c r="BH44" s="1373"/>
      <c r="BI44" s="1373"/>
      <c r="BJ44" s="1373"/>
      <c r="BK44" s="1373"/>
      <c r="BL44" s="1373">
        <v>0</v>
      </c>
      <c r="BM44" s="1373">
        <v>0</v>
      </c>
      <c r="BN44" s="1373"/>
      <c r="BO44" s="1373">
        <v>0</v>
      </c>
      <c r="BP44" s="1373"/>
      <c r="BQ44" s="1373"/>
      <c r="BR44" s="1373"/>
      <c r="BS44" s="1373"/>
      <c r="BT44" s="1373">
        <v>0</v>
      </c>
      <c r="BU44" s="1373"/>
      <c r="BV44" s="1373">
        <v>0</v>
      </c>
      <c r="BW44" s="1373"/>
      <c r="BX44" s="1373"/>
      <c r="BY44" s="1373"/>
      <c r="BZ44" s="1373"/>
      <c r="CA44" s="1373">
        <v>0</v>
      </c>
      <c r="CB44" s="1373"/>
      <c r="CC44" s="1373">
        <v>0</v>
      </c>
      <c r="CD44" s="1373"/>
      <c r="CE44" s="1373"/>
      <c r="CF44" s="1373"/>
      <c r="CG44" s="1373"/>
      <c r="CH44" s="1373"/>
      <c r="CI44" s="1373">
        <v>0</v>
      </c>
      <c r="CJ44" s="1373"/>
      <c r="CK44" s="1373"/>
      <c r="CL44" s="1373"/>
      <c r="CM44" s="1373"/>
      <c r="CN44" s="1373"/>
      <c r="CO44" s="1373">
        <v>0</v>
      </c>
      <c r="CP44" s="1373"/>
      <c r="CQ44" s="1373"/>
      <c r="CR44" s="1373"/>
      <c r="CS44" s="1373"/>
      <c r="CT44" s="1373">
        <v>0</v>
      </c>
      <c r="CU44" s="1373">
        <v>0</v>
      </c>
      <c r="CV44" s="1373"/>
      <c r="CW44" s="1373"/>
      <c r="CX44" s="1373">
        <v>0</v>
      </c>
      <c r="CY44" s="1373"/>
      <c r="CZ44" s="1373"/>
      <c r="DA44" s="1373">
        <v>0</v>
      </c>
      <c r="DB44" s="1373"/>
      <c r="DC44" s="1373"/>
      <c r="DD44" s="1373"/>
      <c r="DE44" s="1373">
        <v>0</v>
      </c>
      <c r="DF44" s="1373">
        <v>0</v>
      </c>
      <c r="DG44" s="1373"/>
      <c r="DH44" s="1373"/>
      <c r="DI44" s="1373">
        <v>0</v>
      </c>
      <c r="DJ44" s="1373"/>
      <c r="DK44" s="1373"/>
      <c r="DL44" s="1373">
        <v>0</v>
      </c>
      <c r="DM44" s="1373"/>
      <c r="DN44" s="1373"/>
      <c r="DO44" s="1373"/>
      <c r="DP44" s="1373"/>
      <c r="DQ44" s="1373"/>
      <c r="DR44" s="1373">
        <v>0</v>
      </c>
      <c r="DS44" s="1373"/>
      <c r="DT44" s="1373">
        <v>0</v>
      </c>
      <c r="DU44" s="1373"/>
      <c r="DV44" s="1373"/>
      <c r="DW44" s="1373">
        <v>0</v>
      </c>
      <c r="DX44" s="1373"/>
      <c r="DY44" s="1373"/>
      <c r="DZ44" s="1373"/>
      <c r="EA44" s="1373"/>
      <c r="EB44" s="1373">
        <v>0</v>
      </c>
      <c r="EC44" s="1373"/>
      <c r="ED44" s="1373"/>
      <c r="EE44" s="1373"/>
      <c r="EF44" s="1373">
        <v>0</v>
      </c>
      <c r="EG44" s="1373">
        <v>0</v>
      </c>
      <c r="EH44" s="1373"/>
      <c r="EI44" s="1373"/>
      <c r="EJ44" s="1373">
        <v>0</v>
      </c>
      <c r="EK44" s="1373"/>
      <c r="EL44" s="1373"/>
      <c r="EM44" s="1373">
        <v>0</v>
      </c>
      <c r="EN44" s="1373"/>
      <c r="EO44" s="1373"/>
      <c r="EP44" s="1373"/>
      <c r="EQ44" s="1373"/>
      <c r="ER44" s="1373"/>
      <c r="ES44" s="1373">
        <v>26710516.40449892</v>
      </c>
      <c r="ET44" s="1373">
        <v>52181627.580000035</v>
      </c>
      <c r="EU44" s="1373">
        <v>5024796.4000000004</v>
      </c>
      <c r="EV44" s="1373">
        <v>47156831.180000037</v>
      </c>
      <c r="EW44" s="1373">
        <v>0</v>
      </c>
      <c r="EX44" s="1373"/>
      <c r="EY44" s="1373"/>
      <c r="EZ44" s="1373">
        <v>-25935440.874000005</v>
      </c>
      <c r="FA44" s="1373"/>
      <c r="FB44" s="1373"/>
      <c r="FC44" s="1373">
        <v>-25935440.874000005</v>
      </c>
      <c r="FD44" s="1373">
        <v>464329.69849888864</v>
      </c>
      <c r="FE44" s="1373"/>
      <c r="FF44" s="1373">
        <v>49081738.253777795</v>
      </c>
      <c r="FG44" s="1373"/>
      <c r="FH44" s="1373"/>
      <c r="FI44" s="1373"/>
      <c r="FJ44" s="1373"/>
      <c r="FK44" s="1373"/>
      <c r="FL44" s="1373">
        <v>75893138.658276677</v>
      </c>
    </row>
    <row r="45" spans="1:169" s="1377" customFormat="1">
      <c r="C45" s="1383"/>
      <c r="D45" s="1383"/>
      <c r="E45" s="1383"/>
      <c r="F45" s="1383"/>
      <c r="G45" s="1383"/>
      <c r="H45" s="1383"/>
      <c r="I45" s="1383"/>
      <c r="J45" s="1383"/>
      <c r="K45" s="1383"/>
      <c r="L45" s="1383"/>
      <c r="M45" s="1383"/>
      <c r="N45" s="1383"/>
      <c r="O45" s="1383"/>
      <c r="P45" s="1383"/>
      <c r="Q45" s="1383"/>
      <c r="R45" s="1383"/>
      <c r="S45" s="1383"/>
      <c r="T45" s="1383"/>
      <c r="U45" s="1383"/>
      <c r="V45" s="1383"/>
      <c r="W45" s="1383"/>
      <c r="X45" s="1383"/>
      <c r="Y45" s="1383"/>
      <c r="Z45" s="1383"/>
      <c r="AA45" s="1383"/>
      <c r="AB45" s="1383"/>
      <c r="AC45" s="1383"/>
      <c r="AD45" s="1383"/>
      <c r="AE45" s="1383"/>
      <c r="AF45" s="1383"/>
      <c r="AG45" s="1383"/>
      <c r="AH45" s="1383"/>
      <c r="AI45" s="1383"/>
      <c r="AJ45" s="1383"/>
      <c r="AK45" s="1383"/>
      <c r="AL45" s="1383"/>
      <c r="AM45" s="1383"/>
      <c r="AN45" s="1383"/>
      <c r="AO45" s="1383"/>
      <c r="AP45" s="1383"/>
      <c r="AQ45" s="1383"/>
      <c r="AR45" s="1383"/>
      <c r="AS45" s="1383"/>
      <c r="AT45" s="1383"/>
      <c r="AU45" s="1383"/>
      <c r="AV45" s="1383"/>
      <c r="AW45" s="1383"/>
      <c r="AX45" s="1383"/>
      <c r="AY45" s="1383"/>
      <c r="AZ45" s="1383"/>
      <c r="BA45" s="1383"/>
      <c r="BB45" s="1383"/>
      <c r="BC45" s="1383"/>
      <c r="BD45" s="1383"/>
      <c r="BE45" s="1383"/>
      <c r="BF45" s="1383"/>
      <c r="BG45" s="1383"/>
      <c r="BH45" s="1383"/>
      <c r="BI45" s="1383"/>
      <c r="BJ45" s="1383"/>
      <c r="BK45" s="1383"/>
      <c r="BL45" s="1383"/>
      <c r="BM45" s="1383"/>
      <c r="BN45" s="1383"/>
      <c r="BO45" s="1383"/>
      <c r="BP45" s="1383"/>
      <c r="BQ45" s="1383"/>
      <c r="BR45" s="1383"/>
      <c r="BS45" s="1383"/>
      <c r="BT45" s="1383"/>
      <c r="BU45" s="1383"/>
      <c r="BV45" s="1383"/>
      <c r="BW45" s="1383"/>
      <c r="BX45" s="1383"/>
      <c r="BY45" s="1383"/>
      <c r="BZ45" s="1383"/>
      <c r="CA45" s="1383"/>
      <c r="CB45" s="1383"/>
      <c r="CC45" s="1383"/>
      <c r="CD45" s="1383"/>
      <c r="CE45" s="1383"/>
      <c r="CF45" s="1383"/>
      <c r="CG45" s="1383"/>
      <c r="CH45" s="1383"/>
      <c r="CI45" s="1383"/>
      <c r="CJ45" s="1383"/>
      <c r="CK45" s="1383"/>
      <c r="CL45" s="1383"/>
      <c r="CM45" s="1383"/>
      <c r="CN45" s="1383"/>
      <c r="CO45" s="1383"/>
      <c r="CP45" s="1383"/>
      <c r="CQ45" s="1383"/>
      <c r="CR45" s="1383"/>
      <c r="CS45" s="1383"/>
      <c r="CT45" s="1383"/>
      <c r="CU45" s="1383"/>
      <c r="CV45" s="1383"/>
      <c r="CW45" s="1383"/>
      <c r="CX45" s="1383"/>
      <c r="CY45" s="1383"/>
      <c r="CZ45" s="1383"/>
      <c r="DA45" s="1383"/>
      <c r="DB45" s="1383"/>
      <c r="DC45" s="1383"/>
      <c r="DD45" s="1383"/>
      <c r="DE45" s="1383"/>
      <c r="DF45" s="1383"/>
      <c r="DG45" s="1383"/>
      <c r="DH45" s="1383"/>
      <c r="DI45" s="1383"/>
      <c r="DJ45" s="1383"/>
      <c r="DK45" s="1383"/>
      <c r="DL45" s="1383"/>
      <c r="DM45" s="1383"/>
      <c r="DN45" s="1383"/>
      <c r="DO45" s="1383"/>
      <c r="DP45" s="1383"/>
      <c r="DQ45" s="1383"/>
      <c r="DR45" s="1383"/>
      <c r="DS45" s="1383"/>
      <c r="DT45" s="1383"/>
      <c r="DU45" s="1383"/>
      <c r="DV45" s="1383"/>
      <c r="DW45" s="1383"/>
      <c r="DX45" s="1383"/>
      <c r="DY45" s="1383"/>
      <c r="DZ45" s="1383"/>
      <c r="EA45" s="1383"/>
      <c r="EB45" s="1383"/>
      <c r="EC45" s="1383"/>
      <c r="ED45" s="1383"/>
      <c r="EE45" s="1383"/>
      <c r="EF45" s="1383"/>
      <c r="EG45" s="1383"/>
      <c r="EH45" s="1383"/>
      <c r="EI45" s="1383"/>
      <c r="EJ45" s="1383"/>
      <c r="EK45" s="1383"/>
      <c r="EL45" s="1383"/>
      <c r="EM45" s="1383"/>
      <c r="EN45" s="1383"/>
      <c r="EO45" s="1383"/>
      <c r="EP45" s="1383"/>
      <c r="EQ45" s="1383"/>
      <c r="ER45" s="1383"/>
      <c r="ES45" s="1383"/>
      <c r="ET45" s="1383"/>
      <c r="EU45" s="1383"/>
      <c r="EV45" s="1383"/>
      <c r="EW45" s="1383"/>
      <c r="EX45" s="1383"/>
      <c r="EY45" s="1383"/>
      <c r="EZ45" s="1383"/>
      <c r="FA45" s="1383"/>
      <c r="FB45" s="1383"/>
      <c r="FC45" s="1383"/>
      <c r="FD45" s="1383"/>
      <c r="FE45" s="1383"/>
      <c r="FF45" s="1383"/>
      <c r="FG45" s="1383"/>
      <c r="FH45" s="1383"/>
      <c r="FI45" s="1383"/>
      <c r="FJ45" s="1383"/>
      <c r="FK45" s="1383"/>
      <c r="FL45" s="1383"/>
    </row>
    <row r="46" spans="1:169" s="1377" customFormat="1">
      <c r="B46" s="1370">
        <v>43101</v>
      </c>
      <c r="C46" s="1373">
        <v>-0.13999999314546585</v>
      </c>
      <c r="D46" s="1373">
        <v>-0.13999999314546585</v>
      </c>
      <c r="E46" s="1373">
        <v>-5.4449712840284881E-2</v>
      </c>
      <c r="F46" s="1373">
        <v>-8.5550280305180984E-2</v>
      </c>
      <c r="G46" s="1373"/>
      <c r="H46" s="1373"/>
      <c r="I46" s="1373"/>
      <c r="J46" s="1373"/>
      <c r="K46" s="1373"/>
      <c r="L46" s="1373"/>
      <c r="M46" s="1373"/>
      <c r="N46" s="1373"/>
      <c r="O46" s="1373"/>
      <c r="P46" s="1373"/>
      <c r="Q46" s="1373">
        <v>0</v>
      </c>
      <c r="R46" s="1373">
        <v>0</v>
      </c>
      <c r="S46" s="1373">
        <v>0</v>
      </c>
      <c r="T46" s="1373"/>
      <c r="U46" s="1373"/>
      <c r="V46" s="1373"/>
      <c r="W46" s="1373">
        <v>0</v>
      </c>
      <c r="X46" s="1373"/>
      <c r="Y46" s="1373"/>
      <c r="Z46" s="1373"/>
      <c r="AA46" s="1373">
        <v>0</v>
      </c>
      <c r="AB46" s="1373"/>
      <c r="AC46" s="1373"/>
      <c r="AD46" s="1373"/>
      <c r="AE46" s="1373">
        <v>0</v>
      </c>
      <c r="AF46" s="1373"/>
      <c r="AG46" s="1373"/>
      <c r="AH46" s="1373"/>
      <c r="AI46" s="1373">
        <v>0</v>
      </c>
      <c r="AJ46" s="1373"/>
      <c r="AK46" s="1373"/>
      <c r="AL46" s="1373"/>
      <c r="AM46" s="1373">
        <v>0</v>
      </c>
      <c r="AN46" s="1373"/>
      <c r="AO46" s="1373"/>
      <c r="AP46" s="1373"/>
      <c r="AQ46" s="1373">
        <v>0</v>
      </c>
      <c r="AR46" s="1373"/>
      <c r="AS46" s="1373"/>
      <c r="AT46" s="1373"/>
      <c r="AU46" s="1373">
        <v>0</v>
      </c>
      <c r="AV46" s="1373"/>
      <c r="AW46" s="1373"/>
      <c r="AX46" s="1373"/>
      <c r="AY46" s="1373">
        <v>0</v>
      </c>
      <c r="AZ46" s="1373"/>
      <c r="BA46" s="1373"/>
      <c r="BB46" s="1373"/>
      <c r="BC46" s="1373">
        <v>0</v>
      </c>
      <c r="BD46" s="1373"/>
      <c r="BE46" s="1373"/>
      <c r="BF46" s="1373"/>
      <c r="BG46" s="1373">
        <v>0</v>
      </c>
      <c r="BH46" s="1373"/>
      <c r="BI46" s="1373"/>
      <c r="BJ46" s="1373"/>
      <c r="BK46" s="1373"/>
      <c r="BL46" s="1373">
        <v>0</v>
      </c>
      <c r="BM46" s="1373">
        <v>0</v>
      </c>
      <c r="BN46" s="1373"/>
      <c r="BO46" s="1373">
        <v>0</v>
      </c>
      <c r="BP46" s="1373"/>
      <c r="BQ46" s="1373"/>
      <c r="BR46" s="1373"/>
      <c r="BS46" s="1373"/>
      <c r="BT46" s="1373">
        <v>0</v>
      </c>
      <c r="BU46" s="1373"/>
      <c r="BV46" s="1373">
        <v>0</v>
      </c>
      <c r="BW46" s="1373"/>
      <c r="BX46" s="1373"/>
      <c r="BY46" s="1373"/>
      <c r="BZ46" s="1373"/>
      <c r="CA46" s="1373">
        <v>0</v>
      </c>
      <c r="CB46" s="1373"/>
      <c r="CC46" s="1373">
        <v>0</v>
      </c>
      <c r="CD46" s="1373"/>
      <c r="CE46" s="1373"/>
      <c r="CF46" s="1373"/>
      <c r="CG46" s="1373"/>
      <c r="CH46" s="1373"/>
      <c r="CI46" s="1373">
        <v>0</v>
      </c>
      <c r="CJ46" s="1373"/>
      <c r="CK46" s="1373"/>
      <c r="CL46" s="1373"/>
      <c r="CM46" s="1373"/>
      <c r="CN46" s="1373"/>
      <c r="CO46" s="1373">
        <v>0</v>
      </c>
      <c r="CP46" s="1373"/>
      <c r="CQ46" s="1373"/>
      <c r="CR46" s="1373"/>
      <c r="CS46" s="1373"/>
      <c r="CT46" s="1373">
        <v>0</v>
      </c>
      <c r="CU46" s="1373">
        <v>0</v>
      </c>
      <c r="CV46" s="1373"/>
      <c r="CW46" s="1373"/>
      <c r="CX46" s="1373">
        <v>0</v>
      </c>
      <c r="CY46" s="1373"/>
      <c r="CZ46" s="1373"/>
      <c r="DA46" s="1373">
        <v>0</v>
      </c>
      <c r="DB46" s="1373"/>
      <c r="DC46" s="1373"/>
      <c r="DD46" s="1373"/>
      <c r="DE46" s="1373">
        <v>0</v>
      </c>
      <c r="DF46" s="1373">
        <v>0</v>
      </c>
      <c r="DG46" s="1373"/>
      <c r="DH46" s="1373"/>
      <c r="DI46" s="1373">
        <v>0</v>
      </c>
      <c r="DJ46" s="1373"/>
      <c r="DK46" s="1373"/>
      <c r="DL46" s="1373">
        <v>0</v>
      </c>
      <c r="DM46" s="1373"/>
      <c r="DN46" s="1373"/>
      <c r="DO46" s="1373"/>
      <c r="DP46" s="1373"/>
      <c r="DQ46" s="1373"/>
      <c r="DR46" s="1373">
        <v>0</v>
      </c>
      <c r="DS46" s="1373"/>
      <c r="DT46" s="1373">
        <v>0</v>
      </c>
      <c r="DU46" s="1373"/>
      <c r="DV46" s="1373"/>
      <c r="DW46" s="1373">
        <v>0</v>
      </c>
      <c r="DX46" s="1373"/>
      <c r="DY46" s="1373"/>
      <c r="DZ46" s="1373"/>
      <c r="EA46" s="1373"/>
      <c r="EB46" s="1373">
        <v>0</v>
      </c>
      <c r="EC46" s="1373"/>
      <c r="ED46" s="1373"/>
      <c r="EE46" s="1373"/>
      <c r="EF46" s="1373">
        <v>0</v>
      </c>
      <c r="EG46" s="1373">
        <v>0</v>
      </c>
      <c r="EH46" s="1373"/>
      <c r="EI46" s="1373"/>
      <c r="EJ46" s="1373">
        <v>0</v>
      </c>
      <c r="EK46" s="1373"/>
      <c r="EL46" s="1373"/>
      <c r="EM46" s="1373">
        <v>0</v>
      </c>
      <c r="EN46" s="1373"/>
      <c r="EO46" s="1373"/>
      <c r="EP46" s="1373"/>
      <c r="EQ46" s="1373"/>
      <c r="ER46" s="1373"/>
      <c r="ES46" s="1373">
        <v>26846949.17558166</v>
      </c>
      <c r="ET46" s="1373">
        <v>86808326</v>
      </c>
      <c r="EU46" s="1373">
        <v>5024796.4000000004</v>
      </c>
      <c r="EV46" s="1373">
        <v>81783529.599999994</v>
      </c>
      <c r="EW46" s="1373">
        <v>0</v>
      </c>
      <c r="EX46" s="1373"/>
      <c r="EY46" s="1373"/>
      <c r="EZ46" s="1373">
        <v>-61009677.874000005</v>
      </c>
      <c r="FA46" s="1373"/>
      <c r="FB46" s="1373"/>
      <c r="FC46" s="1373">
        <v>-61009677.874000005</v>
      </c>
      <c r="FD46" s="1373">
        <v>1048301.0495816671</v>
      </c>
      <c r="FE46" s="1383"/>
      <c r="FF46" s="1383">
        <v>48001276.713777788</v>
      </c>
      <c r="FG46" s="1383"/>
      <c r="FH46" s="1383"/>
      <c r="FI46" s="1383"/>
      <c r="FJ46" s="1383"/>
      <c r="FK46" s="1383"/>
      <c r="FL46" s="1383">
        <v>74848225.749359459</v>
      </c>
      <c r="FM46" s="1377">
        <v>0</v>
      </c>
    </row>
    <row r="47" spans="1:169" s="1377" customFormat="1">
      <c r="B47" s="1370">
        <v>43132</v>
      </c>
      <c r="C47" s="1373">
        <v>0</v>
      </c>
      <c r="D47" s="1373">
        <v>0</v>
      </c>
      <c r="E47" s="1373">
        <v>0</v>
      </c>
      <c r="F47" s="1373">
        <v>0</v>
      </c>
      <c r="G47" s="1373"/>
      <c r="H47" s="1373"/>
      <c r="I47" s="1373"/>
      <c r="J47" s="1373"/>
      <c r="K47" s="1373"/>
      <c r="L47" s="1373"/>
      <c r="M47" s="1373"/>
      <c r="N47" s="1373"/>
      <c r="O47" s="1373"/>
      <c r="P47" s="1373"/>
      <c r="Q47" s="1373">
        <v>0</v>
      </c>
      <c r="R47" s="1373">
        <v>0</v>
      </c>
      <c r="S47" s="1373">
        <v>0</v>
      </c>
      <c r="T47" s="1373"/>
      <c r="U47" s="1373"/>
      <c r="V47" s="1373"/>
      <c r="W47" s="1373">
        <v>0</v>
      </c>
      <c r="X47" s="1373"/>
      <c r="Y47" s="1373"/>
      <c r="Z47" s="1373"/>
      <c r="AA47" s="1373">
        <v>0</v>
      </c>
      <c r="AB47" s="1373"/>
      <c r="AC47" s="1373"/>
      <c r="AD47" s="1373"/>
      <c r="AE47" s="1373">
        <v>0</v>
      </c>
      <c r="AF47" s="1373"/>
      <c r="AG47" s="1373"/>
      <c r="AH47" s="1373"/>
      <c r="AI47" s="1373">
        <v>0</v>
      </c>
      <c r="AJ47" s="1373"/>
      <c r="AK47" s="1373"/>
      <c r="AL47" s="1373"/>
      <c r="AM47" s="1373">
        <v>0</v>
      </c>
      <c r="AN47" s="1373"/>
      <c r="AO47" s="1373"/>
      <c r="AP47" s="1373"/>
      <c r="AQ47" s="1373">
        <v>0</v>
      </c>
      <c r="AR47" s="1373"/>
      <c r="AS47" s="1373"/>
      <c r="AT47" s="1373"/>
      <c r="AU47" s="1373">
        <v>0</v>
      </c>
      <c r="AV47" s="1373"/>
      <c r="AW47" s="1373"/>
      <c r="AX47" s="1373"/>
      <c r="AY47" s="1373">
        <v>0</v>
      </c>
      <c r="AZ47" s="1373"/>
      <c r="BA47" s="1373"/>
      <c r="BB47" s="1373"/>
      <c r="BC47" s="1373">
        <v>0</v>
      </c>
      <c r="BD47" s="1373"/>
      <c r="BE47" s="1373"/>
      <c r="BF47" s="1373"/>
      <c r="BG47" s="1373">
        <v>0</v>
      </c>
      <c r="BH47" s="1373"/>
      <c r="BI47" s="1373"/>
      <c r="BJ47" s="1373"/>
      <c r="BK47" s="1373"/>
      <c r="BL47" s="1373">
        <v>0</v>
      </c>
      <c r="BM47" s="1373">
        <v>0</v>
      </c>
      <c r="BN47" s="1373"/>
      <c r="BO47" s="1373">
        <v>0</v>
      </c>
      <c r="BP47" s="1373"/>
      <c r="BQ47" s="1373"/>
      <c r="BR47" s="1373"/>
      <c r="BS47" s="1373"/>
      <c r="BT47" s="1373">
        <v>0</v>
      </c>
      <c r="BU47" s="1373"/>
      <c r="BV47" s="1373">
        <v>0</v>
      </c>
      <c r="BW47" s="1373"/>
      <c r="BX47" s="1373"/>
      <c r="BY47" s="1373"/>
      <c r="BZ47" s="1373"/>
      <c r="CA47" s="1373">
        <v>0</v>
      </c>
      <c r="CB47" s="1373"/>
      <c r="CC47" s="1373">
        <v>0</v>
      </c>
      <c r="CD47" s="1373"/>
      <c r="CE47" s="1373"/>
      <c r="CF47" s="1373"/>
      <c r="CG47" s="1373"/>
      <c r="CH47" s="1373"/>
      <c r="CI47" s="1373">
        <v>0</v>
      </c>
      <c r="CJ47" s="1373"/>
      <c r="CK47" s="1373"/>
      <c r="CL47" s="1373"/>
      <c r="CM47" s="1373"/>
      <c r="CN47" s="1373"/>
      <c r="CO47" s="1373">
        <v>0</v>
      </c>
      <c r="CP47" s="1373"/>
      <c r="CQ47" s="1373"/>
      <c r="CR47" s="1373"/>
      <c r="CS47" s="1373"/>
      <c r="CT47" s="1373">
        <v>0</v>
      </c>
      <c r="CU47" s="1373">
        <v>0</v>
      </c>
      <c r="CV47" s="1373"/>
      <c r="CW47" s="1373"/>
      <c r="CX47" s="1373">
        <v>0</v>
      </c>
      <c r="CY47" s="1373"/>
      <c r="CZ47" s="1373"/>
      <c r="DA47" s="1373">
        <v>0</v>
      </c>
      <c r="DB47" s="1373"/>
      <c r="DC47" s="1373"/>
      <c r="DD47" s="1373"/>
      <c r="DE47" s="1373">
        <v>0</v>
      </c>
      <c r="DF47" s="1373">
        <v>0</v>
      </c>
      <c r="DG47" s="1373"/>
      <c r="DH47" s="1373"/>
      <c r="DI47" s="1373">
        <v>0</v>
      </c>
      <c r="DJ47" s="1373"/>
      <c r="DK47" s="1373"/>
      <c r="DL47" s="1373">
        <v>0</v>
      </c>
      <c r="DM47" s="1373"/>
      <c r="DN47" s="1373"/>
      <c r="DO47" s="1373"/>
      <c r="DP47" s="1373"/>
      <c r="DQ47" s="1373"/>
      <c r="DR47" s="1373">
        <v>0</v>
      </c>
      <c r="DS47" s="1373"/>
      <c r="DT47" s="1373">
        <v>0</v>
      </c>
      <c r="DU47" s="1373"/>
      <c r="DV47" s="1373"/>
      <c r="DW47" s="1373">
        <v>0</v>
      </c>
      <c r="DX47" s="1373"/>
      <c r="DY47" s="1373"/>
      <c r="DZ47" s="1373"/>
      <c r="EA47" s="1373"/>
      <c r="EB47" s="1373">
        <v>0</v>
      </c>
      <c r="EC47" s="1373"/>
      <c r="ED47" s="1373"/>
      <c r="EE47" s="1373"/>
      <c r="EF47" s="1373">
        <v>0</v>
      </c>
      <c r="EG47" s="1373">
        <v>0</v>
      </c>
      <c r="EH47" s="1373"/>
      <c r="EI47" s="1373"/>
      <c r="EJ47" s="1373">
        <v>0</v>
      </c>
      <c r="EK47" s="1373"/>
      <c r="EL47" s="1373"/>
      <c r="EM47" s="1373">
        <v>0</v>
      </c>
      <c r="EN47" s="1373"/>
      <c r="EO47" s="1373"/>
      <c r="EP47" s="1373"/>
      <c r="EQ47" s="1373"/>
      <c r="ER47" s="1373"/>
      <c r="ES47" s="1373">
        <v>27037432.654524989</v>
      </c>
      <c r="ET47" s="1373">
        <v>52181627.999999993</v>
      </c>
      <c r="EU47" s="1373">
        <v>5024796.4000000004</v>
      </c>
      <c r="EV47" s="1373">
        <v>47156831.599999994</v>
      </c>
      <c r="EW47" s="1373">
        <v>0</v>
      </c>
      <c r="EX47" s="1373"/>
      <c r="EY47" s="1373"/>
      <c r="EZ47" s="1373">
        <v>-26382979.874000005</v>
      </c>
      <c r="FA47" s="1373"/>
      <c r="FB47" s="1373"/>
      <c r="FC47" s="1373">
        <v>-26382979.874000005</v>
      </c>
      <c r="FD47" s="1373">
        <v>1238784.5285250035</v>
      </c>
      <c r="FE47" s="1383"/>
      <c r="FF47" s="1383">
        <v>48001276.094834469</v>
      </c>
      <c r="FG47" s="1383"/>
      <c r="FH47" s="1383"/>
      <c r="FI47" s="1383"/>
      <c r="FJ47" s="1383"/>
      <c r="FK47" s="1383"/>
      <c r="FL47" s="1383">
        <v>75038708.749359459</v>
      </c>
      <c r="FM47" s="1377">
        <v>0</v>
      </c>
    </row>
    <row r="48" spans="1:169" s="1377" customFormat="1">
      <c r="B48" s="1370">
        <v>43160</v>
      </c>
      <c r="C48" s="1383">
        <v>0</v>
      </c>
      <c r="D48" s="1383">
        <v>0</v>
      </c>
      <c r="E48" s="1383">
        <v>0</v>
      </c>
      <c r="F48" s="1383">
        <v>0</v>
      </c>
      <c r="G48" s="1383"/>
      <c r="H48" s="1383"/>
      <c r="I48" s="1383"/>
      <c r="J48" s="1383"/>
      <c r="K48" s="1383"/>
      <c r="L48" s="1383"/>
      <c r="M48" s="1383"/>
      <c r="N48" s="1383"/>
      <c r="O48" s="1383"/>
      <c r="P48" s="1383"/>
      <c r="Q48" s="1383">
        <v>0</v>
      </c>
      <c r="R48" s="1383">
        <v>0</v>
      </c>
      <c r="S48" s="1383">
        <v>0</v>
      </c>
      <c r="T48" s="1383"/>
      <c r="U48" s="1383"/>
      <c r="V48" s="1383"/>
      <c r="W48" s="1383">
        <v>0</v>
      </c>
      <c r="X48" s="1383"/>
      <c r="Y48" s="1383"/>
      <c r="Z48" s="1383"/>
      <c r="AA48" s="1383">
        <v>0</v>
      </c>
      <c r="AB48" s="1383"/>
      <c r="AC48" s="1383"/>
      <c r="AD48" s="1383"/>
      <c r="AE48" s="1383">
        <v>0</v>
      </c>
      <c r="AF48" s="1383"/>
      <c r="AG48" s="1383"/>
      <c r="AH48" s="1383"/>
      <c r="AI48" s="1383">
        <v>0</v>
      </c>
      <c r="AJ48" s="1383"/>
      <c r="AK48" s="1383"/>
      <c r="AL48" s="1383"/>
      <c r="AM48" s="1383">
        <v>0</v>
      </c>
      <c r="AN48" s="1383"/>
      <c r="AO48" s="1383"/>
      <c r="AP48" s="1383"/>
      <c r="AQ48" s="1383">
        <v>0</v>
      </c>
      <c r="AR48" s="1383"/>
      <c r="AS48" s="1383"/>
      <c r="AT48" s="1383"/>
      <c r="AU48" s="1383">
        <v>0</v>
      </c>
      <c r="AV48" s="1383"/>
      <c r="AW48" s="1383"/>
      <c r="AX48" s="1383"/>
      <c r="AY48" s="1383">
        <v>0</v>
      </c>
      <c r="AZ48" s="1383"/>
      <c r="BA48" s="1383"/>
      <c r="BB48" s="1383"/>
      <c r="BC48" s="1383">
        <v>0</v>
      </c>
      <c r="BD48" s="1383"/>
      <c r="BE48" s="1383"/>
      <c r="BF48" s="1383"/>
      <c r="BG48" s="1383">
        <v>0</v>
      </c>
      <c r="BH48" s="1383"/>
      <c r="BI48" s="1383"/>
      <c r="BJ48" s="1383"/>
      <c r="BK48" s="1383"/>
      <c r="BL48" s="1383">
        <v>0</v>
      </c>
      <c r="BM48" s="1383">
        <v>0</v>
      </c>
      <c r="BN48" s="1383"/>
      <c r="BO48" s="1383">
        <v>0</v>
      </c>
      <c r="BP48" s="1383"/>
      <c r="BQ48" s="1383"/>
      <c r="BR48" s="1383"/>
      <c r="BS48" s="1383"/>
      <c r="BT48" s="1383">
        <v>0</v>
      </c>
      <c r="BU48" s="1383"/>
      <c r="BV48" s="1383">
        <v>0</v>
      </c>
      <c r="BW48" s="1383"/>
      <c r="BX48" s="1383"/>
      <c r="BY48" s="1383"/>
      <c r="BZ48" s="1383"/>
      <c r="CA48" s="1383">
        <v>0</v>
      </c>
      <c r="CB48" s="1383"/>
      <c r="CC48" s="1383">
        <v>0</v>
      </c>
      <c r="CD48" s="1383"/>
      <c r="CE48" s="1383"/>
      <c r="CF48" s="1383"/>
      <c r="CG48" s="1383"/>
      <c r="CH48" s="1383"/>
      <c r="CI48" s="1383">
        <v>0</v>
      </c>
      <c r="CJ48" s="1383"/>
      <c r="CK48" s="1383"/>
      <c r="CL48" s="1383"/>
      <c r="CM48" s="1383"/>
      <c r="CN48" s="1383"/>
      <c r="CO48" s="1383">
        <v>0</v>
      </c>
      <c r="CP48" s="1383"/>
      <c r="CQ48" s="1383"/>
      <c r="CR48" s="1383"/>
      <c r="CS48" s="1383"/>
      <c r="CT48" s="1383">
        <v>0</v>
      </c>
      <c r="CU48" s="1383">
        <v>0</v>
      </c>
      <c r="CV48" s="1383"/>
      <c r="CW48" s="1383"/>
      <c r="CX48" s="1383">
        <v>0</v>
      </c>
      <c r="CY48" s="1383"/>
      <c r="CZ48" s="1383"/>
      <c r="DA48" s="1383">
        <v>0</v>
      </c>
      <c r="DB48" s="1383"/>
      <c r="DC48" s="1383"/>
      <c r="DD48" s="1383"/>
      <c r="DE48" s="1383">
        <v>0</v>
      </c>
      <c r="DF48" s="1383">
        <v>0</v>
      </c>
      <c r="DG48" s="1383"/>
      <c r="DH48" s="1383"/>
      <c r="DI48" s="1383">
        <v>0</v>
      </c>
      <c r="DJ48" s="1383"/>
      <c r="DK48" s="1383"/>
      <c r="DL48" s="1383">
        <v>0</v>
      </c>
      <c r="DM48" s="1383"/>
      <c r="DN48" s="1383"/>
      <c r="DO48" s="1383"/>
      <c r="DP48" s="1383"/>
      <c r="DQ48" s="1383"/>
      <c r="DR48" s="1383">
        <v>0</v>
      </c>
      <c r="DS48" s="1383"/>
      <c r="DT48" s="1383">
        <v>0</v>
      </c>
      <c r="DU48" s="1383"/>
      <c r="DV48" s="1383"/>
      <c r="DW48" s="1383">
        <v>0</v>
      </c>
      <c r="DX48" s="1383"/>
      <c r="DY48" s="1383"/>
      <c r="DZ48" s="1383"/>
      <c r="EA48" s="1383"/>
      <c r="EB48" s="1383">
        <v>0</v>
      </c>
      <c r="EC48" s="1383"/>
      <c r="ED48" s="1383"/>
      <c r="EE48" s="1383"/>
      <c r="EF48" s="1383">
        <v>0</v>
      </c>
      <c r="EG48" s="1383">
        <v>0</v>
      </c>
      <c r="EH48" s="1383"/>
      <c r="EI48" s="1383"/>
      <c r="EJ48" s="1383">
        <v>0</v>
      </c>
      <c r="EK48" s="1383"/>
      <c r="EL48" s="1383"/>
      <c r="EM48" s="1383">
        <v>0</v>
      </c>
      <c r="EN48" s="1383"/>
      <c r="EO48" s="1383"/>
      <c r="EP48" s="1383"/>
      <c r="EQ48" s="1383"/>
      <c r="ER48" s="1383"/>
      <c r="ES48" s="1383">
        <v>26927517.523636099</v>
      </c>
      <c r="ET48" s="1383">
        <v>52181627.999999993</v>
      </c>
      <c r="EU48" s="1383">
        <v>5024796.4000000004</v>
      </c>
      <c r="EV48" s="1383">
        <v>47156831.599999994</v>
      </c>
      <c r="EW48" s="1383">
        <v>0</v>
      </c>
      <c r="EX48" s="1383"/>
      <c r="EY48" s="1383"/>
      <c r="EZ48" s="1383">
        <v>-26382979.874000005</v>
      </c>
      <c r="FA48" s="1383"/>
      <c r="FB48" s="1383"/>
      <c r="FC48" s="1383">
        <v>-26382979.874000005</v>
      </c>
      <c r="FD48" s="1383">
        <v>1128869.3976361107</v>
      </c>
      <c r="FE48" s="1383"/>
      <c r="FF48" s="1383">
        <v>48001276.015723355</v>
      </c>
      <c r="FG48" s="1383"/>
      <c r="FH48" s="1383"/>
      <c r="FI48" s="1383"/>
      <c r="FJ48" s="1383"/>
      <c r="FK48" s="1383"/>
      <c r="FL48" s="1383">
        <v>74928793.53935945</v>
      </c>
      <c r="FM48" s="1377">
        <v>0</v>
      </c>
    </row>
    <row r="49" spans="2:169" s="1377" customFormat="1">
      <c r="B49" s="1370">
        <v>43191</v>
      </c>
      <c r="C49" s="1383">
        <v>0</v>
      </c>
      <c r="D49" s="1383">
        <v>0</v>
      </c>
      <c r="E49" s="1383">
        <v>0</v>
      </c>
      <c r="F49" s="1383">
        <v>0</v>
      </c>
      <c r="G49" s="1383"/>
      <c r="H49" s="1383"/>
      <c r="I49" s="1383"/>
      <c r="J49" s="1383"/>
      <c r="K49" s="1383"/>
      <c r="L49" s="1383"/>
      <c r="M49" s="1383"/>
      <c r="N49" s="1383"/>
      <c r="O49" s="1383"/>
      <c r="P49" s="1383"/>
      <c r="Q49" s="1383">
        <v>0</v>
      </c>
      <c r="R49" s="1383">
        <v>0</v>
      </c>
      <c r="S49" s="1383">
        <v>0</v>
      </c>
      <c r="T49" s="1383"/>
      <c r="U49" s="1383"/>
      <c r="V49" s="1383"/>
      <c r="W49" s="1383">
        <v>0</v>
      </c>
      <c r="X49" s="1383"/>
      <c r="Y49" s="1383"/>
      <c r="Z49" s="1383"/>
      <c r="AA49" s="1383">
        <v>0</v>
      </c>
      <c r="AB49" s="1383"/>
      <c r="AC49" s="1383"/>
      <c r="AD49" s="1383"/>
      <c r="AE49" s="1383">
        <v>0</v>
      </c>
      <c r="AF49" s="1383"/>
      <c r="AG49" s="1383"/>
      <c r="AH49" s="1383"/>
      <c r="AI49" s="1383">
        <v>0</v>
      </c>
      <c r="AJ49" s="1383"/>
      <c r="AK49" s="1383"/>
      <c r="AL49" s="1383"/>
      <c r="AM49" s="1383">
        <v>0</v>
      </c>
      <c r="AN49" s="1383"/>
      <c r="AO49" s="1383"/>
      <c r="AP49" s="1383"/>
      <c r="AQ49" s="1383">
        <v>0</v>
      </c>
      <c r="AR49" s="1383"/>
      <c r="AS49" s="1383"/>
      <c r="AT49" s="1383"/>
      <c r="AU49" s="1383">
        <v>0</v>
      </c>
      <c r="AV49" s="1383"/>
      <c r="AW49" s="1383"/>
      <c r="AX49" s="1383"/>
      <c r="AY49" s="1383">
        <v>0</v>
      </c>
      <c r="AZ49" s="1383"/>
      <c r="BA49" s="1383"/>
      <c r="BB49" s="1383"/>
      <c r="BC49" s="1383">
        <v>0</v>
      </c>
      <c r="BD49" s="1383"/>
      <c r="BE49" s="1383"/>
      <c r="BF49" s="1383"/>
      <c r="BG49" s="1383">
        <v>0</v>
      </c>
      <c r="BH49" s="1383"/>
      <c r="BI49" s="1383"/>
      <c r="BJ49" s="1383"/>
      <c r="BK49" s="1383"/>
      <c r="BL49" s="1383">
        <v>0</v>
      </c>
      <c r="BM49" s="1383">
        <v>0</v>
      </c>
      <c r="BN49" s="1383"/>
      <c r="BO49" s="1383">
        <v>0</v>
      </c>
      <c r="BP49" s="1383"/>
      <c r="BQ49" s="1383"/>
      <c r="BR49" s="1383"/>
      <c r="BS49" s="1383"/>
      <c r="BT49" s="1383">
        <v>0</v>
      </c>
      <c r="BU49" s="1383"/>
      <c r="BV49" s="1383">
        <v>0</v>
      </c>
      <c r="BW49" s="1383"/>
      <c r="BX49" s="1383"/>
      <c r="BY49" s="1383"/>
      <c r="BZ49" s="1383"/>
      <c r="CA49" s="1383">
        <v>0</v>
      </c>
      <c r="CB49" s="1383"/>
      <c r="CC49" s="1383">
        <v>0</v>
      </c>
      <c r="CD49" s="1383"/>
      <c r="CE49" s="1383"/>
      <c r="CF49" s="1383"/>
      <c r="CG49" s="1383"/>
      <c r="CH49" s="1383"/>
      <c r="CI49" s="1383">
        <v>0</v>
      </c>
      <c r="CJ49" s="1383"/>
      <c r="CK49" s="1383"/>
      <c r="CL49" s="1383"/>
      <c r="CM49" s="1383"/>
      <c r="CN49" s="1383"/>
      <c r="CO49" s="1383">
        <v>0</v>
      </c>
      <c r="CP49" s="1383"/>
      <c r="CQ49" s="1383"/>
      <c r="CR49" s="1383"/>
      <c r="CS49" s="1383"/>
      <c r="CT49" s="1383">
        <v>0</v>
      </c>
      <c r="CU49" s="1383">
        <v>0</v>
      </c>
      <c r="CV49" s="1383"/>
      <c r="CW49" s="1383"/>
      <c r="CX49" s="1383">
        <v>0</v>
      </c>
      <c r="CY49" s="1383"/>
      <c r="CZ49" s="1383"/>
      <c r="DA49" s="1383">
        <v>0</v>
      </c>
      <c r="DB49" s="1383"/>
      <c r="DC49" s="1383"/>
      <c r="DD49" s="1383"/>
      <c r="DE49" s="1383">
        <v>0</v>
      </c>
      <c r="DF49" s="1383">
        <v>0</v>
      </c>
      <c r="DG49" s="1383"/>
      <c r="DH49" s="1383"/>
      <c r="DI49" s="1383">
        <v>0</v>
      </c>
      <c r="DJ49" s="1383"/>
      <c r="DK49" s="1383"/>
      <c r="DL49" s="1383">
        <v>0</v>
      </c>
      <c r="DM49" s="1383"/>
      <c r="DN49" s="1383"/>
      <c r="DO49" s="1383"/>
      <c r="DP49" s="1383"/>
      <c r="DQ49" s="1383"/>
      <c r="DR49" s="1383">
        <v>0</v>
      </c>
      <c r="DS49" s="1383"/>
      <c r="DT49" s="1383">
        <v>0</v>
      </c>
      <c r="DU49" s="1383"/>
      <c r="DV49" s="1383"/>
      <c r="DW49" s="1383">
        <v>0</v>
      </c>
      <c r="DX49" s="1383"/>
      <c r="DY49" s="1383"/>
      <c r="DZ49" s="1383"/>
      <c r="EA49" s="1383"/>
      <c r="EB49" s="1383">
        <v>0</v>
      </c>
      <c r="EC49" s="1383"/>
      <c r="ED49" s="1383"/>
      <c r="EE49" s="1383"/>
      <c r="EF49" s="1383">
        <v>0</v>
      </c>
      <c r="EG49" s="1383">
        <v>0</v>
      </c>
      <c r="EH49" s="1383"/>
      <c r="EI49" s="1383"/>
      <c r="EJ49" s="1383">
        <v>0</v>
      </c>
      <c r="EK49" s="1383"/>
      <c r="EL49" s="1383"/>
      <c r="EM49" s="1383">
        <v>0</v>
      </c>
      <c r="EN49" s="1383"/>
      <c r="EO49" s="1383"/>
      <c r="EP49" s="1383"/>
      <c r="EQ49" s="1383"/>
      <c r="ER49" s="1383"/>
      <c r="ES49" s="1383">
        <v>26960523.551690541</v>
      </c>
      <c r="ET49" s="1383">
        <v>52181627.999999993</v>
      </c>
      <c r="EU49" s="1383">
        <v>5024796.4000000004</v>
      </c>
      <c r="EV49" s="1383">
        <v>47156831.599999994</v>
      </c>
      <c r="EW49" s="1383">
        <v>0</v>
      </c>
      <c r="EX49" s="1383"/>
      <c r="EY49" s="1383"/>
      <c r="EZ49" s="1383">
        <v>-26382979.874000005</v>
      </c>
      <c r="FA49" s="1383"/>
      <c r="FB49" s="1383"/>
      <c r="FC49" s="1383">
        <v>-26382979.874000005</v>
      </c>
      <c r="FD49" s="1383">
        <v>1161875.425690555</v>
      </c>
      <c r="FE49" s="1383"/>
      <c r="FF49" s="1383">
        <v>48001276.037668906</v>
      </c>
      <c r="FG49" s="1383"/>
      <c r="FH49" s="1383"/>
      <c r="FI49" s="1383"/>
      <c r="FJ49" s="1383"/>
      <c r="FK49" s="1383"/>
      <c r="FL49" s="1383">
        <v>74961799.589359447</v>
      </c>
      <c r="FM49" s="1377">
        <v>0</v>
      </c>
    </row>
    <row r="50" spans="2:169" s="1377" customFormat="1">
      <c r="B50" s="1370">
        <v>43221</v>
      </c>
      <c r="C50" s="1373">
        <v>0</v>
      </c>
      <c r="D50" s="1373">
        <v>0</v>
      </c>
      <c r="E50" s="1373">
        <v>0</v>
      </c>
      <c r="F50" s="1373">
        <v>0</v>
      </c>
      <c r="G50" s="1373"/>
      <c r="H50" s="1373"/>
      <c r="I50" s="1373"/>
      <c r="J50" s="1373"/>
      <c r="K50" s="1373"/>
      <c r="L50" s="1373"/>
      <c r="M50" s="1373"/>
      <c r="N50" s="1373"/>
      <c r="O50" s="1373"/>
      <c r="P50" s="1373"/>
      <c r="Q50" s="1373">
        <v>0</v>
      </c>
      <c r="R50" s="1373">
        <v>0</v>
      </c>
      <c r="S50" s="1373">
        <v>0</v>
      </c>
      <c r="T50" s="1373"/>
      <c r="U50" s="1373"/>
      <c r="V50" s="1373"/>
      <c r="W50" s="1373">
        <v>0</v>
      </c>
      <c r="X50" s="1373"/>
      <c r="Y50" s="1373"/>
      <c r="Z50" s="1373"/>
      <c r="AA50" s="1373">
        <v>0</v>
      </c>
      <c r="AB50" s="1373"/>
      <c r="AC50" s="1373"/>
      <c r="AD50" s="1373"/>
      <c r="AE50" s="1373">
        <v>0</v>
      </c>
      <c r="AF50" s="1373"/>
      <c r="AG50" s="1373"/>
      <c r="AH50" s="1373"/>
      <c r="AI50" s="1373">
        <v>0</v>
      </c>
      <c r="AJ50" s="1373"/>
      <c r="AK50" s="1373"/>
      <c r="AL50" s="1373"/>
      <c r="AM50" s="1373">
        <v>0</v>
      </c>
      <c r="AN50" s="1373"/>
      <c r="AO50" s="1373"/>
      <c r="AP50" s="1373"/>
      <c r="AQ50" s="1373">
        <v>0</v>
      </c>
      <c r="AR50" s="1373"/>
      <c r="AS50" s="1373"/>
      <c r="AT50" s="1373"/>
      <c r="AU50" s="1373">
        <v>0</v>
      </c>
      <c r="AV50" s="1373"/>
      <c r="AW50" s="1373"/>
      <c r="AX50" s="1373"/>
      <c r="AY50" s="1373">
        <v>0</v>
      </c>
      <c r="AZ50" s="1373"/>
      <c r="BA50" s="1373"/>
      <c r="BB50" s="1373"/>
      <c r="BC50" s="1373">
        <v>0</v>
      </c>
      <c r="BD50" s="1373"/>
      <c r="BE50" s="1373"/>
      <c r="BF50" s="1373"/>
      <c r="BG50" s="1373">
        <v>0</v>
      </c>
      <c r="BH50" s="1373"/>
      <c r="BI50" s="1373"/>
      <c r="BJ50" s="1373"/>
      <c r="BK50" s="1373"/>
      <c r="BL50" s="1373">
        <v>0</v>
      </c>
      <c r="BM50" s="1373">
        <v>0</v>
      </c>
      <c r="BN50" s="1373"/>
      <c r="BO50" s="1373">
        <v>0</v>
      </c>
      <c r="BP50" s="1373"/>
      <c r="BQ50" s="1373"/>
      <c r="BR50" s="1373"/>
      <c r="BS50" s="1373"/>
      <c r="BT50" s="1373">
        <v>0</v>
      </c>
      <c r="BU50" s="1373"/>
      <c r="BV50" s="1373">
        <v>0</v>
      </c>
      <c r="BW50" s="1373"/>
      <c r="BX50" s="1373"/>
      <c r="BY50" s="1373"/>
      <c r="BZ50" s="1373"/>
      <c r="CA50" s="1373">
        <v>0</v>
      </c>
      <c r="CB50" s="1373"/>
      <c r="CC50" s="1373">
        <v>0</v>
      </c>
      <c r="CD50" s="1373"/>
      <c r="CE50" s="1373"/>
      <c r="CF50" s="1373"/>
      <c r="CG50" s="1373"/>
      <c r="CH50" s="1373"/>
      <c r="CI50" s="1373">
        <v>0</v>
      </c>
      <c r="CJ50" s="1373"/>
      <c r="CK50" s="1373"/>
      <c r="CL50" s="1373"/>
      <c r="CM50" s="1373"/>
      <c r="CN50" s="1373"/>
      <c r="CO50" s="1373">
        <v>0</v>
      </c>
      <c r="CP50" s="1373"/>
      <c r="CQ50" s="1373"/>
      <c r="CR50" s="1373"/>
      <c r="CS50" s="1373"/>
      <c r="CT50" s="1373">
        <v>0</v>
      </c>
      <c r="CU50" s="1373">
        <v>0</v>
      </c>
      <c r="CV50" s="1373"/>
      <c r="CW50" s="1373"/>
      <c r="CX50" s="1373">
        <v>0</v>
      </c>
      <c r="CY50" s="1373"/>
      <c r="CZ50" s="1373"/>
      <c r="DA50" s="1373">
        <v>0</v>
      </c>
      <c r="DB50" s="1373"/>
      <c r="DC50" s="1373"/>
      <c r="DD50" s="1373"/>
      <c r="DE50" s="1373">
        <v>0</v>
      </c>
      <c r="DF50" s="1373">
        <v>0</v>
      </c>
      <c r="DG50" s="1373"/>
      <c r="DH50" s="1373"/>
      <c r="DI50" s="1373">
        <v>0</v>
      </c>
      <c r="DJ50" s="1373"/>
      <c r="DK50" s="1373"/>
      <c r="DL50" s="1373">
        <v>0</v>
      </c>
      <c r="DM50" s="1373"/>
      <c r="DN50" s="1373"/>
      <c r="DO50" s="1373"/>
      <c r="DP50" s="1373"/>
      <c r="DQ50" s="1373"/>
      <c r="DR50" s="1373">
        <v>0</v>
      </c>
      <c r="DS50" s="1373"/>
      <c r="DT50" s="1373">
        <v>0</v>
      </c>
      <c r="DU50" s="1373"/>
      <c r="DV50" s="1373"/>
      <c r="DW50" s="1373">
        <v>0</v>
      </c>
      <c r="DX50" s="1373"/>
      <c r="DY50" s="1373"/>
      <c r="DZ50" s="1373"/>
      <c r="EA50" s="1373"/>
      <c r="EB50" s="1373">
        <v>0</v>
      </c>
      <c r="EC50" s="1373"/>
      <c r="ED50" s="1373"/>
      <c r="EE50" s="1373"/>
      <c r="EF50" s="1373">
        <v>0</v>
      </c>
      <c r="EG50" s="1373">
        <v>0</v>
      </c>
      <c r="EH50" s="1373"/>
      <c r="EI50" s="1373"/>
      <c r="EJ50" s="1373">
        <v>0</v>
      </c>
      <c r="EK50" s="1373"/>
      <c r="EL50" s="1373"/>
      <c r="EM50" s="1373">
        <v>0</v>
      </c>
      <c r="EN50" s="1373"/>
      <c r="EO50" s="1373"/>
      <c r="EP50" s="1373"/>
      <c r="EQ50" s="1373"/>
      <c r="ER50" s="1373"/>
      <c r="ES50" s="1373">
        <v>27041973.499744985</v>
      </c>
      <c r="ET50" s="1373">
        <v>52181627.999999993</v>
      </c>
      <c r="EU50" s="1373">
        <v>5024796.4000000004</v>
      </c>
      <c r="EV50" s="1373">
        <v>47156831.599999994</v>
      </c>
      <c r="EW50" s="1373">
        <v>0</v>
      </c>
      <c r="EX50" s="1373"/>
      <c r="EY50" s="1373"/>
      <c r="EZ50" s="1373">
        <v>-26382979.874000005</v>
      </c>
      <c r="FA50" s="1373"/>
      <c r="FB50" s="1373"/>
      <c r="FC50" s="1373">
        <v>-26382979.874000005</v>
      </c>
      <c r="FD50" s="1373">
        <v>1243325.3737449995</v>
      </c>
      <c r="FE50" s="1373"/>
      <c r="FF50" s="1373">
        <v>48001276.473503344</v>
      </c>
      <c r="FG50" s="1373"/>
      <c r="FH50" s="1373"/>
      <c r="FI50" s="1373"/>
      <c r="FJ50" s="1373"/>
      <c r="FK50" s="1373"/>
      <c r="FL50" s="1373">
        <v>75043249.973248333</v>
      </c>
      <c r="FM50" s="1373">
        <v>0</v>
      </c>
    </row>
    <row r="51" spans="2:169">
      <c r="B51" s="1370">
        <v>43252</v>
      </c>
      <c r="C51" s="1220">
        <v>0</v>
      </c>
      <c r="D51" s="1220">
        <v>0</v>
      </c>
      <c r="E51" s="1220">
        <v>0</v>
      </c>
      <c r="F51" s="1220">
        <v>0</v>
      </c>
      <c r="G51" s="1220"/>
      <c r="H51" s="1220"/>
      <c r="I51" s="1220"/>
      <c r="J51" s="1220"/>
      <c r="K51" s="1220"/>
      <c r="L51" s="1220"/>
      <c r="M51" s="1220"/>
      <c r="N51" s="1220"/>
      <c r="O51" s="1220"/>
      <c r="P51" s="1220"/>
      <c r="Q51" s="1220">
        <v>0</v>
      </c>
      <c r="R51" s="1220">
        <v>0</v>
      </c>
      <c r="S51" s="1220">
        <v>0</v>
      </c>
      <c r="T51" s="1220"/>
      <c r="U51" s="1220"/>
      <c r="V51" s="1220"/>
      <c r="W51" s="1220">
        <v>0</v>
      </c>
      <c r="X51" s="1220"/>
      <c r="Y51" s="1220"/>
      <c r="Z51" s="1220"/>
      <c r="AA51" s="1220">
        <v>0</v>
      </c>
      <c r="AB51" s="1220"/>
      <c r="AC51" s="1220"/>
      <c r="AD51" s="1220"/>
      <c r="AE51" s="1220">
        <v>0</v>
      </c>
      <c r="AF51" s="1220"/>
      <c r="AG51" s="1220"/>
      <c r="AH51" s="1220"/>
      <c r="AI51" s="1220">
        <v>0</v>
      </c>
      <c r="AJ51" s="1220"/>
      <c r="AK51" s="1220"/>
      <c r="AL51" s="1220"/>
      <c r="AM51" s="1220">
        <v>0</v>
      </c>
      <c r="AN51" s="1220"/>
      <c r="AO51" s="1220"/>
      <c r="AP51" s="1220"/>
      <c r="AQ51" s="1220">
        <v>0</v>
      </c>
      <c r="AR51" s="1220"/>
      <c r="AS51" s="1220"/>
      <c r="AT51" s="1220"/>
      <c r="AU51" s="1220">
        <v>0</v>
      </c>
      <c r="AV51" s="1220"/>
      <c r="AW51" s="1220"/>
      <c r="AX51" s="1220"/>
      <c r="AY51" s="1220">
        <v>0</v>
      </c>
      <c r="AZ51" s="1220"/>
      <c r="BA51" s="1220"/>
      <c r="BB51" s="1220"/>
      <c r="BC51" s="1220">
        <v>0</v>
      </c>
      <c r="BD51" s="1220"/>
      <c r="BE51" s="1220"/>
      <c r="BF51" s="1220"/>
      <c r="BG51" s="1220">
        <v>0</v>
      </c>
      <c r="BH51" s="1220"/>
      <c r="BI51" s="1220"/>
      <c r="BJ51" s="1220"/>
      <c r="BK51" s="1220"/>
      <c r="BL51" s="1220">
        <v>0</v>
      </c>
      <c r="BM51" s="1220">
        <v>0</v>
      </c>
      <c r="BN51" s="1220"/>
      <c r="BO51" s="1220">
        <v>0</v>
      </c>
      <c r="BP51" s="1220"/>
      <c r="BQ51" s="1220"/>
      <c r="BR51" s="1220"/>
      <c r="BS51" s="1220"/>
      <c r="BT51" s="1220">
        <v>0</v>
      </c>
      <c r="BU51" s="1220"/>
      <c r="BV51" s="1220">
        <v>0</v>
      </c>
      <c r="BW51" s="1220"/>
      <c r="BX51" s="1220"/>
      <c r="BY51" s="1220"/>
      <c r="BZ51" s="1220"/>
      <c r="CA51" s="1220">
        <v>0</v>
      </c>
      <c r="CB51" s="1220"/>
      <c r="CC51" s="1220">
        <v>0</v>
      </c>
      <c r="CD51" s="1220"/>
      <c r="CE51" s="1220"/>
      <c r="CF51" s="1220"/>
      <c r="CG51" s="1220"/>
      <c r="CH51" s="1220"/>
      <c r="CI51" s="1220">
        <v>0</v>
      </c>
      <c r="CJ51" s="1220"/>
      <c r="CK51" s="1220"/>
      <c r="CL51" s="1220"/>
      <c r="CM51" s="1220"/>
      <c r="CN51" s="1220"/>
      <c r="CO51" s="1220">
        <v>0</v>
      </c>
      <c r="CP51" s="1220"/>
      <c r="CQ51" s="1220"/>
      <c r="CR51" s="1220"/>
      <c r="CS51" s="1220"/>
      <c r="CT51" s="1220">
        <v>0</v>
      </c>
      <c r="CU51" s="1220">
        <v>0</v>
      </c>
      <c r="CV51" s="1220"/>
      <c r="CW51" s="1220"/>
      <c r="CX51" s="1220">
        <v>0</v>
      </c>
      <c r="CY51" s="1220"/>
      <c r="CZ51" s="1220"/>
      <c r="DA51" s="1220">
        <v>0</v>
      </c>
      <c r="DB51" s="1220"/>
      <c r="DC51" s="1220"/>
      <c r="DD51" s="1220"/>
      <c r="DE51" s="1220">
        <v>0</v>
      </c>
      <c r="DF51" s="1220">
        <v>0</v>
      </c>
      <c r="DG51" s="1220"/>
      <c r="DH51" s="1220"/>
      <c r="DI51" s="1220">
        <v>0</v>
      </c>
      <c r="DJ51" s="1220"/>
      <c r="DK51" s="1220"/>
      <c r="DL51" s="1220">
        <v>0</v>
      </c>
      <c r="DM51" s="1220"/>
      <c r="DN51" s="1220"/>
      <c r="DO51" s="1220"/>
      <c r="DP51" s="1220"/>
      <c r="DQ51" s="1220"/>
      <c r="DR51" s="1220">
        <v>0</v>
      </c>
      <c r="DS51" s="1220"/>
      <c r="DT51" s="1220">
        <v>0</v>
      </c>
      <c r="DU51" s="1220"/>
      <c r="DV51" s="1220"/>
      <c r="DW51" s="1220">
        <v>0</v>
      </c>
      <c r="DX51" s="1220"/>
      <c r="DY51" s="1220"/>
      <c r="DZ51" s="1220"/>
      <c r="EA51" s="1220"/>
      <c r="EB51" s="1220">
        <v>0</v>
      </c>
      <c r="EC51" s="1220"/>
      <c r="ED51" s="1220"/>
      <c r="EE51" s="1220"/>
      <c r="EF51" s="1220">
        <v>0</v>
      </c>
      <c r="EG51" s="1220">
        <v>0</v>
      </c>
      <c r="EH51" s="1220"/>
      <c r="EI51" s="1220"/>
      <c r="EJ51" s="1220">
        <v>0</v>
      </c>
      <c r="EK51" s="1220"/>
      <c r="EL51" s="1220"/>
      <c r="EM51" s="1220">
        <v>0</v>
      </c>
      <c r="EN51" s="1220"/>
      <c r="EO51" s="1220"/>
      <c r="EP51" s="1220"/>
      <c r="EQ51" s="1220"/>
      <c r="ER51" s="1220"/>
      <c r="ES51" s="1220">
        <v>27264354.789744988</v>
      </c>
      <c r="ET51" s="1220">
        <v>52181627.999999993</v>
      </c>
      <c r="EU51" s="1220">
        <v>5024796.4000000004</v>
      </c>
      <c r="EV51" s="1220">
        <v>47156831.599999994</v>
      </c>
      <c r="EW51" s="1220">
        <v>0</v>
      </c>
      <c r="EX51" s="1220"/>
      <c r="EY51" s="1220"/>
      <c r="EZ51" s="1220">
        <v>-26620206.874000005</v>
      </c>
      <c r="FA51" s="1220"/>
      <c r="FB51" s="1220"/>
      <c r="FC51" s="1220">
        <v>-26620206.874000005</v>
      </c>
      <c r="FD51" s="1220">
        <v>1702933.6637449996</v>
      </c>
      <c r="FE51" s="1220"/>
      <c r="FF51" s="1220">
        <v>46485887.173999995</v>
      </c>
      <c r="FG51" s="1220"/>
      <c r="FH51" s="1220"/>
      <c r="FI51" s="1220"/>
      <c r="FJ51" s="1220"/>
      <c r="FK51" s="1220"/>
      <c r="FL51" s="1220">
        <v>73750241.963744983</v>
      </c>
      <c r="FM51" s="1026">
        <v>-4.9665570259094238E-4</v>
      </c>
    </row>
    <row r="52" spans="2:169">
      <c r="B52" s="1370">
        <v>43282</v>
      </c>
      <c r="C52" s="1220">
        <v>0</v>
      </c>
      <c r="D52" s="1220">
        <v>0</v>
      </c>
      <c r="E52" s="1220">
        <v>0</v>
      </c>
      <c r="F52" s="1220">
        <v>0</v>
      </c>
      <c r="G52" s="1220"/>
      <c r="H52" s="1220"/>
      <c r="I52" s="1220"/>
      <c r="J52" s="1220"/>
      <c r="K52" s="1220"/>
      <c r="L52" s="1220"/>
      <c r="M52" s="1220"/>
      <c r="N52" s="1220"/>
      <c r="O52" s="1220"/>
      <c r="P52" s="1220"/>
      <c r="Q52" s="1220">
        <v>0</v>
      </c>
      <c r="R52" s="1220">
        <v>0</v>
      </c>
      <c r="S52" s="1220">
        <v>0</v>
      </c>
      <c r="T52" s="1220"/>
      <c r="U52" s="1220"/>
      <c r="V52" s="1220"/>
      <c r="W52" s="1220">
        <v>0</v>
      </c>
      <c r="X52" s="1220"/>
      <c r="Y52" s="1220"/>
      <c r="Z52" s="1220"/>
      <c r="AA52" s="1220">
        <v>0</v>
      </c>
      <c r="AB52" s="1220"/>
      <c r="AC52" s="1220"/>
      <c r="AD52" s="1220"/>
      <c r="AE52" s="1220">
        <v>0</v>
      </c>
      <c r="AF52" s="1220"/>
      <c r="AG52" s="1220"/>
      <c r="AH52" s="1220"/>
      <c r="AI52" s="1220">
        <v>0</v>
      </c>
      <c r="AJ52" s="1220"/>
      <c r="AK52" s="1220"/>
      <c r="AL52" s="1220"/>
      <c r="AM52" s="1220">
        <v>0</v>
      </c>
      <c r="AN52" s="1220"/>
      <c r="AO52" s="1220"/>
      <c r="AP52" s="1220"/>
      <c r="AQ52" s="1220">
        <v>0</v>
      </c>
      <c r="AR52" s="1220"/>
      <c r="AS52" s="1220"/>
      <c r="AT52" s="1220"/>
      <c r="AU52" s="1220">
        <v>0</v>
      </c>
      <c r="AV52" s="1220"/>
      <c r="AW52" s="1220"/>
      <c r="AX52" s="1220"/>
      <c r="AY52" s="1220">
        <v>0</v>
      </c>
      <c r="AZ52" s="1220"/>
      <c r="BA52" s="1220"/>
      <c r="BB52" s="1220"/>
      <c r="BC52" s="1220">
        <v>0</v>
      </c>
      <c r="BD52" s="1220"/>
      <c r="BE52" s="1220"/>
      <c r="BF52" s="1220"/>
      <c r="BG52" s="1220">
        <v>0</v>
      </c>
      <c r="BH52" s="1220"/>
      <c r="BI52" s="1220"/>
      <c r="BJ52" s="1220"/>
      <c r="BK52" s="1220"/>
      <c r="BL52" s="1220">
        <v>0</v>
      </c>
      <c r="BM52" s="1220">
        <v>0</v>
      </c>
      <c r="BN52" s="1220"/>
      <c r="BO52" s="1220">
        <v>0</v>
      </c>
      <c r="BP52" s="1220"/>
      <c r="BQ52" s="1220"/>
      <c r="BR52" s="1220"/>
      <c r="BS52" s="1220"/>
      <c r="BT52" s="1220">
        <v>0</v>
      </c>
      <c r="BU52" s="1220"/>
      <c r="BV52" s="1220">
        <v>0</v>
      </c>
      <c r="BW52" s="1220"/>
      <c r="BX52" s="1220"/>
      <c r="BY52" s="1220"/>
      <c r="BZ52" s="1220"/>
      <c r="CA52" s="1220">
        <v>0</v>
      </c>
      <c r="CB52" s="1220"/>
      <c r="CC52" s="1220">
        <v>0</v>
      </c>
      <c r="CD52" s="1220"/>
      <c r="CE52" s="1220"/>
      <c r="CF52" s="1220"/>
      <c r="CG52" s="1220"/>
      <c r="CH52" s="1220"/>
      <c r="CI52" s="1220">
        <v>0</v>
      </c>
      <c r="CJ52" s="1220"/>
      <c r="CK52" s="1220"/>
      <c r="CL52" s="1220"/>
      <c r="CM52" s="1220"/>
      <c r="CN52" s="1220"/>
      <c r="CO52" s="1220">
        <v>0</v>
      </c>
      <c r="CP52" s="1220"/>
      <c r="CQ52" s="1220"/>
      <c r="CR52" s="1220"/>
      <c r="CS52" s="1220"/>
      <c r="CT52" s="1220">
        <v>0</v>
      </c>
      <c r="CU52" s="1220">
        <v>0</v>
      </c>
      <c r="CV52" s="1220"/>
      <c r="CW52" s="1220"/>
      <c r="CX52" s="1220">
        <v>0</v>
      </c>
      <c r="CY52" s="1220"/>
      <c r="CZ52" s="1220"/>
      <c r="DA52" s="1220">
        <v>0</v>
      </c>
      <c r="DB52" s="1220"/>
      <c r="DC52" s="1220"/>
      <c r="DD52" s="1220"/>
      <c r="DE52" s="1220">
        <v>0</v>
      </c>
      <c r="DF52" s="1220">
        <v>0</v>
      </c>
      <c r="DG52" s="1220"/>
      <c r="DH52" s="1220"/>
      <c r="DI52" s="1220">
        <v>0</v>
      </c>
      <c r="DJ52" s="1220"/>
      <c r="DK52" s="1220"/>
      <c r="DL52" s="1220">
        <v>0</v>
      </c>
      <c r="DM52" s="1220"/>
      <c r="DN52" s="1220"/>
      <c r="DO52" s="1220"/>
      <c r="DP52" s="1220"/>
      <c r="DQ52" s="1220"/>
      <c r="DR52" s="1220">
        <v>0</v>
      </c>
      <c r="DS52" s="1220"/>
      <c r="DT52" s="1220">
        <v>0</v>
      </c>
      <c r="DU52" s="1220"/>
      <c r="DV52" s="1220"/>
      <c r="DW52" s="1220">
        <v>0</v>
      </c>
      <c r="DX52" s="1220"/>
      <c r="DY52" s="1220"/>
      <c r="DZ52" s="1220"/>
      <c r="EA52" s="1220"/>
      <c r="EB52" s="1220">
        <v>0</v>
      </c>
      <c r="EC52" s="1220"/>
      <c r="ED52" s="1220"/>
      <c r="EE52" s="1220"/>
      <c r="EF52" s="1220">
        <v>0</v>
      </c>
      <c r="EG52" s="1220">
        <v>0</v>
      </c>
      <c r="EH52" s="1220"/>
      <c r="EI52" s="1220"/>
      <c r="EJ52" s="1220">
        <v>0</v>
      </c>
      <c r="EK52" s="1220"/>
      <c r="EL52" s="1220"/>
      <c r="EM52" s="1220">
        <v>0</v>
      </c>
      <c r="EN52" s="1220"/>
      <c r="EO52" s="1220"/>
      <c r="EP52" s="1220"/>
      <c r="EQ52" s="1220"/>
      <c r="ER52" s="1220"/>
      <c r="ES52" s="1220">
        <v>27534859.999999993</v>
      </c>
      <c r="ET52" s="1220">
        <v>52181627.999999993</v>
      </c>
      <c r="EU52" s="1220">
        <v>5024796.4000000004</v>
      </c>
      <c r="EV52" s="1220">
        <v>47156831.599999994</v>
      </c>
      <c r="EW52" s="1220">
        <v>0</v>
      </c>
      <c r="EX52" s="1220"/>
      <c r="EY52" s="1220"/>
      <c r="EZ52" s="1220">
        <v>-26620207</v>
      </c>
      <c r="FA52" s="1220"/>
      <c r="FB52" s="1220"/>
      <c r="FC52" s="1220">
        <v>-26620207</v>
      </c>
      <c r="FD52" s="1220">
        <v>1973439</v>
      </c>
      <c r="FE52" s="1220"/>
      <c r="FF52" s="1220">
        <v>46464242.813248336</v>
      </c>
      <c r="FG52" s="1220"/>
      <c r="FH52" s="1220"/>
      <c r="FI52" s="1220"/>
      <c r="FJ52" s="1220"/>
      <c r="FK52" s="1220"/>
      <c r="FL52" s="1220">
        <v>73999102.813248336</v>
      </c>
      <c r="FM52" s="1026">
        <v>0</v>
      </c>
    </row>
    <row r="53" spans="2:169">
      <c r="B53" s="1370">
        <v>43313</v>
      </c>
      <c r="C53" s="1220">
        <v>0</v>
      </c>
      <c r="D53" s="1220">
        <v>0</v>
      </c>
      <c r="E53" s="1220">
        <v>0</v>
      </c>
      <c r="F53" s="1220">
        <v>0</v>
      </c>
      <c r="G53" s="1220"/>
      <c r="H53" s="1220"/>
      <c r="I53" s="1220"/>
      <c r="J53" s="1220"/>
      <c r="K53" s="1220"/>
      <c r="L53" s="1220"/>
      <c r="M53" s="1220"/>
      <c r="N53" s="1220"/>
      <c r="O53" s="1220"/>
      <c r="P53" s="1220"/>
      <c r="Q53" s="1220">
        <v>0</v>
      </c>
      <c r="R53" s="1220">
        <v>0</v>
      </c>
      <c r="S53" s="1220">
        <v>0</v>
      </c>
      <c r="T53" s="1220"/>
      <c r="U53" s="1220"/>
      <c r="V53" s="1220"/>
      <c r="W53" s="1220">
        <v>0</v>
      </c>
      <c r="X53" s="1220"/>
      <c r="Y53" s="1220"/>
      <c r="Z53" s="1220"/>
      <c r="AA53" s="1220">
        <v>0</v>
      </c>
      <c r="AB53" s="1220"/>
      <c r="AC53" s="1220"/>
      <c r="AD53" s="1220"/>
      <c r="AE53" s="1220">
        <v>0</v>
      </c>
      <c r="AF53" s="1220"/>
      <c r="AG53" s="1220"/>
      <c r="AH53" s="1220"/>
      <c r="AI53" s="1220">
        <v>0</v>
      </c>
      <c r="AJ53" s="1220"/>
      <c r="AK53" s="1220"/>
      <c r="AL53" s="1220"/>
      <c r="AM53" s="1220">
        <v>0</v>
      </c>
      <c r="AN53" s="1220"/>
      <c r="AO53" s="1220"/>
      <c r="AP53" s="1220"/>
      <c r="AQ53" s="1220">
        <v>0</v>
      </c>
      <c r="AR53" s="1220"/>
      <c r="AS53" s="1220"/>
      <c r="AT53" s="1220"/>
      <c r="AU53" s="1220">
        <v>0</v>
      </c>
      <c r="AV53" s="1220"/>
      <c r="AW53" s="1220"/>
      <c r="AX53" s="1220"/>
      <c r="AY53" s="1220">
        <v>0</v>
      </c>
      <c r="AZ53" s="1220"/>
      <c r="BA53" s="1220"/>
      <c r="BB53" s="1220"/>
      <c r="BC53" s="1220">
        <v>0</v>
      </c>
      <c r="BD53" s="1220"/>
      <c r="BE53" s="1220"/>
      <c r="BF53" s="1220"/>
      <c r="BG53" s="1220">
        <v>0</v>
      </c>
      <c r="BH53" s="1220"/>
      <c r="BI53" s="1220"/>
      <c r="BJ53" s="1220"/>
      <c r="BK53" s="1220"/>
      <c r="BL53" s="1220">
        <v>0</v>
      </c>
      <c r="BM53" s="1220">
        <v>0</v>
      </c>
      <c r="BN53" s="1220"/>
      <c r="BO53" s="1220">
        <v>0</v>
      </c>
      <c r="BP53" s="1220"/>
      <c r="BQ53" s="1220"/>
      <c r="BR53" s="1220"/>
      <c r="BS53" s="1220"/>
      <c r="BT53" s="1220">
        <v>0</v>
      </c>
      <c r="BU53" s="1220"/>
      <c r="BV53" s="1220">
        <v>0</v>
      </c>
      <c r="BW53" s="1220"/>
      <c r="BX53" s="1220"/>
      <c r="BY53" s="1220"/>
      <c r="BZ53" s="1220"/>
      <c r="CA53" s="1220">
        <v>0</v>
      </c>
      <c r="CB53" s="1220"/>
      <c r="CC53" s="1220">
        <v>0</v>
      </c>
      <c r="CD53" s="1220"/>
      <c r="CE53" s="1220"/>
      <c r="CF53" s="1220"/>
      <c r="CG53" s="1220"/>
      <c r="CH53" s="1220"/>
      <c r="CI53" s="1220">
        <v>0</v>
      </c>
      <c r="CJ53" s="1220"/>
      <c r="CK53" s="1220"/>
      <c r="CL53" s="1220"/>
      <c r="CM53" s="1220"/>
      <c r="CN53" s="1220"/>
      <c r="CO53" s="1220">
        <v>0</v>
      </c>
      <c r="CP53" s="1220"/>
      <c r="CQ53" s="1220"/>
      <c r="CR53" s="1220"/>
      <c r="CS53" s="1220"/>
      <c r="CT53" s="1220">
        <v>0</v>
      </c>
      <c r="CU53" s="1220">
        <v>0</v>
      </c>
      <c r="CV53" s="1220"/>
      <c r="CW53" s="1220"/>
      <c r="CX53" s="1220">
        <v>0</v>
      </c>
      <c r="CY53" s="1220"/>
      <c r="CZ53" s="1220"/>
      <c r="DA53" s="1220">
        <v>0</v>
      </c>
      <c r="DB53" s="1220"/>
      <c r="DC53" s="1220"/>
      <c r="DD53" s="1220"/>
      <c r="DE53" s="1220">
        <v>0</v>
      </c>
      <c r="DF53" s="1220">
        <v>0</v>
      </c>
      <c r="DG53" s="1220"/>
      <c r="DH53" s="1220"/>
      <c r="DI53" s="1220">
        <v>0</v>
      </c>
      <c r="DJ53" s="1220"/>
      <c r="DK53" s="1220"/>
      <c r="DL53" s="1220">
        <v>0</v>
      </c>
      <c r="DM53" s="1220"/>
      <c r="DN53" s="1220"/>
      <c r="DO53" s="1220"/>
      <c r="DP53" s="1220"/>
      <c r="DQ53" s="1220"/>
      <c r="DR53" s="1220">
        <v>0</v>
      </c>
      <c r="DS53" s="1220"/>
      <c r="DT53" s="1220">
        <v>0</v>
      </c>
      <c r="DU53" s="1220"/>
      <c r="DV53" s="1220"/>
      <c r="DW53" s="1220">
        <v>0</v>
      </c>
      <c r="DX53" s="1220"/>
      <c r="DY53" s="1220"/>
      <c r="DZ53" s="1220"/>
      <c r="EA53" s="1220"/>
      <c r="EB53" s="1220">
        <v>0</v>
      </c>
      <c r="EC53" s="1220"/>
      <c r="ED53" s="1220"/>
      <c r="EE53" s="1220"/>
      <c r="EF53" s="1220">
        <v>0</v>
      </c>
      <c r="EG53" s="1220">
        <v>0</v>
      </c>
      <c r="EH53" s="1220"/>
      <c r="EI53" s="1220"/>
      <c r="EJ53" s="1220">
        <v>0</v>
      </c>
      <c r="EK53" s="1220"/>
      <c r="EL53" s="1220"/>
      <c r="EM53" s="1220">
        <v>0</v>
      </c>
      <c r="EN53" s="1220"/>
      <c r="EO53" s="1220"/>
      <c r="EP53" s="1220"/>
      <c r="EQ53" s="1220"/>
      <c r="ER53" s="1220"/>
      <c r="ES53" s="1220">
        <v>27520952.999999993</v>
      </c>
      <c r="ET53" s="1220">
        <v>52181627.999999993</v>
      </c>
      <c r="EU53" s="1220">
        <v>5024796.4000000004</v>
      </c>
      <c r="EV53" s="1220">
        <v>47156831.599999994</v>
      </c>
      <c r="EW53" s="1220">
        <v>0</v>
      </c>
      <c r="EX53" s="1220"/>
      <c r="EY53" s="1220"/>
      <c r="EZ53" s="1220">
        <v>-26620207</v>
      </c>
      <c r="FA53" s="1220"/>
      <c r="FB53" s="1220"/>
      <c r="FC53" s="1220">
        <v>-26620207</v>
      </c>
      <c r="FD53" s="1220">
        <v>1959532</v>
      </c>
      <c r="FE53" s="1220"/>
      <c r="FF53" s="1220">
        <v>46464243.5</v>
      </c>
      <c r="FG53" s="1220"/>
      <c r="FH53" s="1220"/>
      <c r="FI53" s="1220"/>
      <c r="FJ53" s="1220"/>
      <c r="FK53" s="1220"/>
      <c r="FL53" s="1220">
        <v>73985196.5</v>
      </c>
      <c r="FM53" s="1026">
        <v>0</v>
      </c>
    </row>
    <row r="54" spans="2:169">
      <c r="B54" s="1370">
        <v>43344</v>
      </c>
      <c r="C54" s="1220">
        <v>0</v>
      </c>
      <c r="D54" s="1220">
        <v>0</v>
      </c>
      <c r="E54" s="1220">
        <v>0</v>
      </c>
      <c r="F54" s="1220">
        <v>0</v>
      </c>
      <c r="G54" s="1220"/>
      <c r="H54" s="1220"/>
      <c r="I54" s="1220"/>
      <c r="J54" s="1220"/>
      <c r="K54" s="1220"/>
      <c r="L54" s="1220"/>
      <c r="M54" s="1220"/>
      <c r="N54" s="1220"/>
      <c r="O54" s="1220"/>
      <c r="P54" s="1220"/>
      <c r="Q54" s="1220">
        <v>0</v>
      </c>
      <c r="R54" s="1220">
        <v>0</v>
      </c>
      <c r="S54" s="1220">
        <v>0</v>
      </c>
      <c r="T54" s="1220"/>
      <c r="U54" s="1220"/>
      <c r="V54" s="1220"/>
      <c r="W54" s="1220">
        <v>0</v>
      </c>
      <c r="X54" s="1220"/>
      <c r="Y54" s="1220"/>
      <c r="Z54" s="1220"/>
      <c r="AA54" s="1220">
        <v>0</v>
      </c>
      <c r="AB54" s="1220"/>
      <c r="AC54" s="1220"/>
      <c r="AD54" s="1220"/>
      <c r="AE54" s="1220">
        <v>0</v>
      </c>
      <c r="AF54" s="1220"/>
      <c r="AG54" s="1220"/>
      <c r="AH54" s="1220"/>
      <c r="AI54" s="1220">
        <v>0</v>
      </c>
      <c r="AJ54" s="1220"/>
      <c r="AK54" s="1220"/>
      <c r="AL54" s="1220"/>
      <c r="AM54" s="1220">
        <v>0</v>
      </c>
      <c r="AN54" s="1220"/>
      <c r="AO54" s="1220"/>
      <c r="AP54" s="1220"/>
      <c r="AQ54" s="1220">
        <v>0</v>
      </c>
      <c r="AR54" s="1220"/>
      <c r="AS54" s="1220"/>
      <c r="AT54" s="1220"/>
      <c r="AU54" s="1220">
        <v>0</v>
      </c>
      <c r="AV54" s="1220"/>
      <c r="AW54" s="1220"/>
      <c r="AX54" s="1220"/>
      <c r="AY54" s="1220">
        <v>0</v>
      </c>
      <c r="AZ54" s="1220"/>
      <c r="BA54" s="1220"/>
      <c r="BB54" s="1220"/>
      <c r="BC54" s="1220">
        <v>0</v>
      </c>
      <c r="BD54" s="1220"/>
      <c r="BE54" s="1220"/>
      <c r="BF54" s="1220"/>
      <c r="BG54" s="1220">
        <v>0</v>
      </c>
      <c r="BH54" s="1220"/>
      <c r="BI54" s="1220"/>
      <c r="BJ54" s="1220"/>
      <c r="BK54" s="1220"/>
      <c r="BL54" s="1220">
        <v>0</v>
      </c>
      <c r="BM54" s="1220">
        <v>0</v>
      </c>
      <c r="BN54" s="1220"/>
      <c r="BO54" s="1220">
        <v>0</v>
      </c>
      <c r="BP54" s="1220"/>
      <c r="BQ54" s="1220"/>
      <c r="BR54" s="1220"/>
      <c r="BS54" s="1220"/>
      <c r="BT54" s="1220">
        <v>0</v>
      </c>
      <c r="BU54" s="1220"/>
      <c r="BV54" s="1220">
        <v>0</v>
      </c>
      <c r="BW54" s="1220"/>
      <c r="BX54" s="1220"/>
      <c r="BY54" s="1220"/>
      <c r="BZ54" s="1220"/>
      <c r="CA54" s="1220">
        <v>0</v>
      </c>
      <c r="CB54" s="1220"/>
      <c r="CC54" s="1220">
        <v>0</v>
      </c>
      <c r="CD54" s="1220"/>
      <c r="CE54" s="1220"/>
      <c r="CF54" s="1220"/>
      <c r="CG54" s="1220"/>
      <c r="CH54" s="1220"/>
      <c r="CI54" s="1220">
        <v>0</v>
      </c>
      <c r="CJ54" s="1220"/>
      <c r="CK54" s="1220"/>
      <c r="CL54" s="1220"/>
      <c r="CM54" s="1220"/>
      <c r="CN54" s="1220"/>
      <c r="CO54" s="1220">
        <v>0</v>
      </c>
      <c r="CP54" s="1220"/>
      <c r="CQ54" s="1220"/>
      <c r="CR54" s="1220"/>
      <c r="CS54" s="1220"/>
      <c r="CT54" s="1220">
        <v>0</v>
      </c>
      <c r="CU54" s="1220">
        <v>0</v>
      </c>
      <c r="CV54" s="1220"/>
      <c r="CW54" s="1220"/>
      <c r="CX54" s="1220">
        <v>0</v>
      </c>
      <c r="CY54" s="1220"/>
      <c r="CZ54" s="1220"/>
      <c r="DA54" s="1220">
        <v>0</v>
      </c>
      <c r="DB54" s="1220"/>
      <c r="DC54" s="1220"/>
      <c r="DD54" s="1220"/>
      <c r="DE54" s="1220">
        <v>0</v>
      </c>
      <c r="DF54" s="1220">
        <v>0</v>
      </c>
      <c r="DG54" s="1220"/>
      <c r="DH54" s="1220"/>
      <c r="DI54" s="1220">
        <v>0</v>
      </c>
      <c r="DJ54" s="1220"/>
      <c r="DK54" s="1220"/>
      <c r="DL54" s="1220">
        <v>0</v>
      </c>
      <c r="DM54" s="1220"/>
      <c r="DN54" s="1220"/>
      <c r="DO54" s="1220"/>
      <c r="DP54" s="1220"/>
      <c r="DQ54" s="1220"/>
      <c r="DR54" s="1220">
        <v>0</v>
      </c>
      <c r="DS54" s="1220"/>
      <c r="DT54" s="1220">
        <v>0</v>
      </c>
      <c r="DU54" s="1220"/>
      <c r="DV54" s="1220"/>
      <c r="DW54" s="1220">
        <v>0</v>
      </c>
      <c r="DX54" s="1220"/>
      <c r="DY54" s="1220"/>
      <c r="DZ54" s="1220"/>
      <c r="EA54" s="1220"/>
      <c r="EB54" s="1220">
        <v>0</v>
      </c>
      <c r="EC54" s="1220"/>
      <c r="ED54" s="1220"/>
      <c r="EE54" s="1220"/>
      <c r="EF54" s="1220">
        <v>0</v>
      </c>
      <c r="EG54" s="1220">
        <v>0</v>
      </c>
      <c r="EH54" s="1220"/>
      <c r="EI54" s="1220"/>
      <c r="EJ54" s="1220">
        <v>0</v>
      </c>
      <c r="EK54" s="1220"/>
      <c r="EL54" s="1220"/>
      <c r="EM54" s="1220">
        <v>0</v>
      </c>
      <c r="EN54" s="1220"/>
      <c r="EO54" s="1220"/>
      <c r="EP54" s="1220"/>
      <c r="EQ54" s="1220"/>
      <c r="ER54" s="1220"/>
      <c r="ES54" s="1220">
        <v>27633106.68529832</v>
      </c>
      <c r="ET54" s="1220">
        <v>52181627.999999993</v>
      </c>
      <c r="EU54" s="1220">
        <v>5024796.4000000004</v>
      </c>
      <c r="EV54" s="1220">
        <v>47156831.599999994</v>
      </c>
      <c r="EW54" s="1220">
        <v>0</v>
      </c>
      <c r="EX54" s="1220"/>
      <c r="EY54" s="1220"/>
      <c r="EZ54" s="1220">
        <v>-26620206.874000005</v>
      </c>
      <c r="FA54" s="1220"/>
      <c r="FB54" s="1220"/>
      <c r="FC54" s="1220">
        <v>-26620206.874000005</v>
      </c>
      <c r="FD54" s="1220">
        <v>2071685.5592983328</v>
      </c>
      <c r="FE54" s="1220"/>
      <c r="FF54" s="1220">
        <v>46464242.3426167</v>
      </c>
      <c r="FG54" s="1220"/>
      <c r="FH54" s="1220"/>
      <c r="FI54" s="1220"/>
      <c r="FJ54" s="1220"/>
      <c r="FK54" s="1220"/>
      <c r="FL54" s="1220">
        <v>74097349.027915016</v>
      </c>
      <c r="FM54" s="1026">
        <v>0</v>
      </c>
    </row>
    <row r="55" spans="2:169" s="1" customFormat="1">
      <c r="B55" s="1419">
        <v>43374</v>
      </c>
      <c r="C55" s="947">
        <v>0</v>
      </c>
      <c r="D55" s="947">
        <v>0</v>
      </c>
      <c r="E55" s="947">
        <v>0</v>
      </c>
      <c r="F55" s="947">
        <v>0</v>
      </c>
      <c r="G55" s="947"/>
      <c r="H55" s="947"/>
      <c r="I55" s="947"/>
      <c r="J55" s="947"/>
      <c r="K55" s="947"/>
      <c r="L55" s="947"/>
      <c r="M55" s="947"/>
      <c r="N55" s="947"/>
      <c r="O55" s="947"/>
      <c r="P55" s="947"/>
      <c r="Q55" s="947">
        <v>0</v>
      </c>
      <c r="R55" s="947">
        <v>0</v>
      </c>
      <c r="S55" s="947">
        <v>0</v>
      </c>
      <c r="T55" s="947"/>
      <c r="U55" s="947"/>
      <c r="V55" s="947"/>
      <c r="W55" s="947">
        <v>0</v>
      </c>
      <c r="X55" s="947"/>
      <c r="Y55" s="947"/>
      <c r="Z55" s="947"/>
      <c r="AA55" s="947">
        <v>0</v>
      </c>
      <c r="AB55" s="947"/>
      <c r="AC55" s="947"/>
      <c r="AD55" s="947"/>
      <c r="AE55" s="947">
        <v>0</v>
      </c>
      <c r="AF55" s="947"/>
      <c r="AG55" s="947"/>
      <c r="AH55" s="947"/>
      <c r="AI55" s="947">
        <v>0</v>
      </c>
      <c r="AJ55" s="947"/>
      <c r="AK55" s="947"/>
      <c r="AL55" s="947"/>
      <c r="AM55" s="947">
        <v>0</v>
      </c>
      <c r="AN55" s="947"/>
      <c r="AO55" s="947"/>
      <c r="AP55" s="947"/>
      <c r="AQ55" s="947">
        <v>0</v>
      </c>
      <c r="AR55" s="947"/>
      <c r="AS55" s="947"/>
      <c r="AT55" s="947"/>
      <c r="AU55" s="947">
        <v>0</v>
      </c>
      <c r="AV55" s="947"/>
      <c r="AW55" s="947"/>
      <c r="AX55" s="947"/>
      <c r="AY55" s="947">
        <v>0</v>
      </c>
      <c r="AZ55" s="947"/>
      <c r="BA55" s="947"/>
      <c r="BB55" s="947"/>
      <c r="BC55" s="947">
        <v>0</v>
      </c>
      <c r="BD55" s="947"/>
      <c r="BE55" s="947"/>
      <c r="BF55" s="947"/>
      <c r="BG55" s="947">
        <v>0</v>
      </c>
      <c r="BH55" s="947"/>
      <c r="BI55" s="947"/>
      <c r="BJ55" s="947"/>
      <c r="BK55" s="947"/>
      <c r="BL55" s="947">
        <v>0</v>
      </c>
      <c r="BM55" s="947">
        <v>0</v>
      </c>
      <c r="BN55" s="947"/>
      <c r="BO55" s="947">
        <v>0</v>
      </c>
      <c r="BP55" s="947"/>
      <c r="BQ55" s="947"/>
      <c r="BR55" s="947"/>
      <c r="BS55" s="947"/>
      <c r="BT55" s="947">
        <v>0</v>
      </c>
      <c r="BU55" s="947"/>
      <c r="BV55" s="947">
        <v>0</v>
      </c>
      <c r="BW55" s="947"/>
      <c r="BX55" s="947"/>
      <c r="BY55" s="947"/>
      <c r="BZ55" s="947"/>
      <c r="CA55" s="947">
        <v>0</v>
      </c>
      <c r="CB55" s="947"/>
      <c r="CC55" s="947">
        <v>0</v>
      </c>
      <c r="CD55" s="947"/>
      <c r="CE55" s="947"/>
      <c r="CF55" s="947"/>
      <c r="CG55" s="947"/>
      <c r="CH55" s="947"/>
      <c r="CI55" s="947">
        <v>0</v>
      </c>
      <c r="CJ55" s="947"/>
      <c r="CK55" s="947"/>
      <c r="CL55" s="947"/>
      <c r="CM55" s="947"/>
      <c r="CN55" s="947"/>
      <c r="CO55" s="947">
        <v>0</v>
      </c>
      <c r="CP55" s="947"/>
      <c r="CQ55" s="947"/>
      <c r="CR55" s="947"/>
      <c r="CS55" s="947"/>
      <c r="CT55" s="947">
        <v>0</v>
      </c>
      <c r="CU55" s="947">
        <v>0</v>
      </c>
      <c r="CV55" s="947"/>
      <c r="CW55" s="947"/>
      <c r="CX55" s="947">
        <v>0</v>
      </c>
      <c r="CY55" s="947"/>
      <c r="CZ55" s="947"/>
      <c r="DA55" s="947">
        <v>0</v>
      </c>
      <c r="DB55" s="947"/>
      <c r="DC55" s="947"/>
      <c r="DD55" s="947"/>
      <c r="DE55" s="947">
        <v>0</v>
      </c>
      <c r="DF55" s="947">
        <v>0</v>
      </c>
      <c r="DG55" s="947"/>
      <c r="DH55" s="947"/>
      <c r="DI55" s="947">
        <v>0</v>
      </c>
      <c r="DJ55" s="947"/>
      <c r="DK55" s="947"/>
      <c r="DL55" s="947">
        <v>0</v>
      </c>
      <c r="DM55" s="947"/>
      <c r="DN55" s="947"/>
      <c r="DO55" s="947"/>
      <c r="DP55" s="947"/>
      <c r="DQ55" s="947"/>
      <c r="DR55" s="947">
        <v>0</v>
      </c>
      <c r="DS55" s="947"/>
      <c r="DT55" s="947">
        <v>0</v>
      </c>
      <c r="DU55" s="947"/>
      <c r="DV55" s="947"/>
      <c r="DW55" s="947">
        <v>0</v>
      </c>
      <c r="DX55" s="947"/>
      <c r="DY55" s="947"/>
      <c r="DZ55" s="947"/>
      <c r="EA55" s="947"/>
      <c r="EB55" s="947">
        <v>0</v>
      </c>
      <c r="EC55" s="947"/>
      <c r="ED55" s="947"/>
      <c r="EE55" s="947"/>
      <c r="EF55" s="947">
        <v>0</v>
      </c>
      <c r="EG55" s="947">
        <v>0</v>
      </c>
      <c r="EH55" s="947"/>
      <c r="EI55" s="947"/>
      <c r="EJ55" s="947">
        <v>0</v>
      </c>
      <c r="EK55" s="947"/>
      <c r="EL55" s="947"/>
      <c r="EM55" s="947">
        <v>0</v>
      </c>
      <c r="EN55" s="947"/>
      <c r="EO55" s="947"/>
      <c r="EP55" s="947"/>
      <c r="EQ55" s="947"/>
      <c r="ER55" s="947"/>
      <c r="ES55" s="947">
        <v>41103323.188499995</v>
      </c>
      <c r="ET55" s="947">
        <v>47369513.960000001</v>
      </c>
      <c r="EU55" s="947">
        <v>5024823.0000000009</v>
      </c>
      <c r="EV55" s="947">
        <v>42344690.960000001</v>
      </c>
      <c r="EW55" s="947">
        <v>0</v>
      </c>
      <c r="EX55" s="947"/>
      <c r="EY55" s="947"/>
      <c r="EZ55" s="947">
        <v>-12387196.945000008</v>
      </c>
      <c r="FA55" s="947"/>
      <c r="FB55" s="947"/>
      <c r="FC55" s="947">
        <v>-12387196.945000008</v>
      </c>
      <c r="FD55" s="947">
        <v>6121006.1735000024</v>
      </c>
      <c r="FE55" s="947"/>
      <c r="FF55" s="947">
        <v>44272355.549999997</v>
      </c>
      <c r="FG55" s="947"/>
      <c r="FH55" s="947"/>
      <c r="FI55" s="947"/>
      <c r="FJ55" s="947"/>
      <c r="FK55" s="947"/>
      <c r="FL55" s="947">
        <v>85375678.738499999</v>
      </c>
      <c r="FM55" s="1">
        <v>0</v>
      </c>
    </row>
    <row r="56" spans="2:169" s="1" customFormat="1">
      <c r="B56" s="1419">
        <v>43405</v>
      </c>
      <c r="C56" s="1">
        <v>0</v>
      </c>
      <c r="D56" s="1">
        <v>0</v>
      </c>
      <c r="E56" s="1">
        <v>0</v>
      </c>
      <c r="F56" s="1">
        <v>0</v>
      </c>
      <c r="Q56" s="1">
        <v>0</v>
      </c>
      <c r="R56" s="1">
        <v>0</v>
      </c>
      <c r="S56" s="1">
        <v>0</v>
      </c>
      <c r="W56" s="1">
        <v>0</v>
      </c>
      <c r="AA56" s="1">
        <v>0</v>
      </c>
      <c r="AE56" s="1">
        <v>0</v>
      </c>
      <c r="AI56" s="1">
        <v>0</v>
      </c>
      <c r="AM56" s="1">
        <v>0</v>
      </c>
      <c r="AQ56" s="1">
        <v>0</v>
      </c>
      <c r="AU56" s="1">
        <v>0</v>
      </c>
      <c r="AY56" s="1">
        <v>0</v>
      </c>
      <c r="BC56" s="1">
        <v>0</v>
      </c>
      <c r="BG56" s="1">
        <v>0</v>
      </c>
      <c r="BL56" s="1">
        <v>0</v>
      </c>
      <c r="BM56" s="1">
        <v>0</v>
      </c>
      <c r="BO56" s="1">
        <v>0</v>
      </c>
      <c r="BT56" s="1">
        <v>0</v>
      </c>
      <c r="BV56" s="1">
        <v>0</v>
      </c>
      <c r="CA56" s="1">
        <v>0</v>
      </c>
      <c r="CC56" s="1">
        <v>0</v>
      </c>
      <c r="CI56" s="1">
        <v>0</v>
      </c>
      <c r="CO56" s="1">
        <v>0</v>
      </c>
      <c r="CT56" s="1">
        <v>0</v>
      </c>
      <c r="CU56" s="1">
        <v>0</v>
      </c>
      <c r="CX56" s="1">
        <v>0</v>
      </c>
      <c r="DA56" s="1">
        <v>0</v>
      </c>
      <c r="DE56" s="1">
        <v>0</v>
      </c>
      <c r="DF56" s="1">
        <v>0</v>
      </c>
      <c r="DI56" s="1">
        <v>0</v>
      </c>
      <c r="DL56" s="1">
        <v>0</v>
      </c>
      <c r="DR56" s="1">
        <v>0</v>
      </c>
      <c r="DT56" s="1">
        <v>0</v>
      </c>
      <c r="DW56" s="1">
        <v>0</v>
      </c>
      <c r="EB56" s="1">
        <v>0</v>
      </c>
      <c r="EF56" s="1">
        <v>0</v>
      </c>
      <c r="EG56" s="1">
        <v>0</v>
      </c>
      <c r="EJ56" s="1">
        <v>0</v>
      </c>
      <c r="EM56" s="1">
        <v>0</v>
      </c>
      <c r="ES56" s="1">
        <v>38817442.522500008</v>
      </c>
      <c r="ET56" s="1">
        <v>50248230</v>
      </c>
      <c r="EU56" s="1">
        <v>5024823.0000000009</v>
      </c>
      <c r="EV56" s="1">
        <v>45223407</v>
      </c>
      <c r="EW56" s="1">
        <v>0</v>
      </c>
      <c r="EZ56" s="1">
        <v>-18048725.084999993</v>
      </c>
      <c r="FC56" s="1">
        <v>-18048725.084999993</v>
      </c>
      <c r="FD56" s="1">
        <v>6617937.6075000018</v>
      </c>
      <c r="FF56" s="1">
        <v>44555034.120000005</v>
      </c>
      <c r="FL56" s="1">
        <v>83372476.642500013</v>
      </c>
      <c r="FM56" s="1">
        <v>0</v>
      </c>
    </row>
    <row r="57" spans="2:169" s="1" customFormat="1">
      <c r="B57" s="1419">
        <v>43435</v>
      </c>
      <c r="C57" s="1">
        <v>0</v>
      </c>
      <c r="D57" s="1">
        <v>0</v>
      </c>
      <c r="E57" s="1">
        <v>0</v>
      </c>
      <c r="F57" s="1">
        <v>0</v>
      </c>
      <c r="Q57" s="1">
        <v>0</v>
      </c>
      <c r="R57" s="1">
        <v>0</v>
      </c>
      <c r="S57" s="1">
        <v>0</v>
      </c>
      <c r="W57" s="1">
        <v>0</v>
      </c>
      <c r="AA57" s="1">
        <v>0</v>
      </c>
      <c r="AE57" s="1">
        <v>0</v>
      </c>
      <c r="AI57" s="1">
        <v>0</v>
      </c>
      <c r="AM57" s="1">
        <v>0</v>
      </c>
      <c r="AQ57" s="1">
        <v>0</v>
      </c>
      <c r="AU57" s="1">
        <v>0</v>
      </c>
      <c r="AY57" s="1">
        <v>0</v>
      </c>
      <c r="BC57" s="1">
        <v>0</v>
      </c>
      <c r="BG57" s="1">
        <v>0</v>
      </c>
      <c r="BL57" s="1">
        <v>0</v>
      </c>
      <c r="BM57" s="1">
        <v>0</v>
      </c>
      <c r="BO57" s="1">
        <v>0</v>
      </c>
      <c r="BT57" s="1">
        <v>0</v>
      </c>
      <c r="BV57" s="1">
        <v>0</v>
      </c>
      <c r="CA57" s="1">
        <v>0</v>
      </c>
      <c r="CC57" s="1">
        <v>0</v>
      </c>
      <c r="CI57" s="1">
        <v>0</v>
      </c>
      <c r="CO57" s="1">
        <v>0</v>
      </c>
      <c r="CT57" s="1">
        <v>0</v>
      </c>
      <c r="CU57" s="1">
        <v>0</v>
      </c>
      <c r="CX57" s="1">
        <v>0</v>
      </c>
      <c r="DA57" s="1">
        <v>0</v>
      </c>
      <c r="DE57" s="1">
        <v>0</v>
      </c>
      <c r="DF57" s="1">
        <v>0</v>
      </c>
      <c r="DI57" s="1">
        <v>0</v>
      </c>
      <c r="DL57" s="1">
        <v>0</v>
      </c>
      <c r="DR57" s="1">
        <v>0</v>
      </c>
      <c r="DT57" s="1">
        <v>0</v>
      </c>
      <c r="DW57" s="1">
        <v>0</v>
      </c>
      <c r="EB57" s="1">
        <v>0</v>
      </c>
      <c r="EF57" s="1">
        <v>0</v>
      </c>
      <c r="EG57" s="1">
        <v>0</v>
      </c>
      <c r="EJ57" s="1">
        <v>0</v>
      </c>
      <c r="EM57" s="1">
        <v>0</v>
      </c>
      <c r="ES57" s="1">
        <v>36628316.060000002</v>
      </c>
      <c r="ET57" s="1">
        <v>50248230</v>
      </c>
      <c r="EU57" s="1">
        <v>5024823.0000000009</v>
      </c>
      <c r="EV57" s="1">
        <v>45223407</v>
      </c>
      <c r="EW57" s="1">
        <v>0</v>
      </c>
      <c r="EZ57" s="1">
        <v>-19657099.037499987</v>
      </c>
      <c r="FC57" s="1">
        <v>-19657099.037499987</v>
      </c>
      <c r="FD57" s="1">
        <v>6037185.0974999908</v>
      </c>
      <c r="FF57" s="1">
        <v>44787930.550000004</v>
      </c>
      <c r="FL57" s="1">
        <v>81416246.610000014</v>
      </c>
    </row>
    <row r="60" spans="2:169" s="1375" customFormat="1" ht="15.75">
      <c r="B60" s="1419">
        <v>43466</v>
      </c>
      <c r="C60" s="1375">
        <v>0</v>
      </c>
      <c r="D60" s="1375">
        <v>0</v>
      </c>
      <c r="E60" s="1375">
        <v>0</v>
      </c>
      <c r="F60" s="1375">
        <v>0</v>
      </c>
      <c r="Q60" s="1375">
        <v>0</v>
      </c>
      <c r="R60" s="1375">
        <v>0</v>
      </c>
      <c r="S60" s="1375">
        <v>0</v>
      </c>
      <c r="W60" s="1375">
        <v>0</v>
      </c>
      <c r="AA60" s="1375">
        <v>0</v>
      </c>
      <c r="AE60" s="1375">
        <v>0</v>
      </c>
      <c r="AI60" s="1375">
        <v>0</v>
      </c>
      <c r="AM60" s="1375">
        <v>0</v>
      </c>
      <c r="AQ60" s="1375">
        <v>0</v>
      </c>
      <c r="AU60" s="1375">
        <v>0</v>
      </c>
      <c r="AY60" s="1375">
        <v>0</v>
      </c>
      <c r="BC60" s="1375">
        <v>0</v>
      </c>
      <c r="BG60" s="1375">
        <v>0</v>
      </c>
      <c r="BL60" s="1375">
        <v>0</v>
      </c>
      <c r="BM60" s="1375">
        <v>0</v>
      </c>
      <c r="BO60" s="1375">
        <v>0</v>
      </c>
      <c r="BT60" s="1375">
        <v>0</v>
      </c>
      <c r="BV60" s="1375">
        <v>0</v>
      </c>
      <c r="CA60" s="1375">
        <v>0</v>
      </c>
      <c r="CC60" s="1375">
        <v>0</v>
      </c>
      <c r="CI60" s="1375">
        <v>0</v>
      </c>
      <c r="CO60" s="1375">
        <v>0</v>
      </c>
      <c r="CT60" s="1375">
        <v>0</v>
      </c>
      <c r="CU60" s="1375">
        <v>0</v>
      </c>
      <c r="CX60" s="1375">
        <v>0</v>
      </c>
      <c r="DA60" s="1375">
        <v>0</v>
      </c>
      <c r="DE60" s="1375">
        <v>0</v>
      </c>
      <c r="DF60" s="1375">
        <v>0</v>
      </c>
      <c r="DI60" s="1375">
        <v>0</v>
      </c>
      <c r="DL60" s="1375">
        <v>0</v>
      </c>
      <c r="DR60" s="1375">
        <v>0</v>
      </c>
      <c r="DT60" s="1375">
        <v>0</v>
      </c>
      <c r="DW60" s="1375">
        <v>0</v>
      </c>
      <c r="EB60" s="1375">
        <v>0</v>
      </c>
      <c r="EF60" s="1375">
        <v>0</v>
      </c>
      <c r="EG60" s="1375">
        <v>0</v>
      </c>
      <c r="EJ60" s="1375">
        <v>0</v>
      </c>
      <c r="EM60" s="1375">
        <v>0</v>
      </c>
      <c r="ES60" s="1375">
        <v>37471910.779999994</v>
      </c>
      <c r="ET60" s="1375">
        <v>50248230</v>
      </c>
      <c r="EU60" s="1375">
        <v>5024823.0000000009</v>
      </c>
      <c r="EV60" s="1375">
        <v>45223407</v>
      </c>
      <c r="EW60" s="1375">
        <v>0</v>
      </c>
      <c r="EZ60" s="1375">
        <v>-15345408.857499994</v>
      </c>
      <c r="FC60" s="1375">
        <v>-15345408.857499994</v>
      </c>
      <c r="FD60" s="1375">
        <v>2569089.6374999862</v>
      </c>
      <c r="FF60" s="1375">
        <v>44860954.130000003</v>
      </c>
      <c r="FL60" s="1375">
        <v>82332864.909999996</v>
      </c>
    </row>
    <row r="61" spans="2:169" ht="15.75">
      <c r="B61" s="1419">
        <v>43497</v>
      </c>
      <c r="C61" s="1026">
        <v>0</v>
      </c>
      <c r="D61" s="1026">
        <v>0</v>
      </c>
      <c r="E61" s="1026">
        <v>0</v>
      </c>
      <c r="F61" s="1026">
        <v>0</v>
      </c>
      <c r="Q61" s="1026">
        <v>0</v>
      </c>
      <c r="R61" s="1026">
        <v>0</v>
      </c>
      <c r="S61" s="1026">
        <v>0</v>
      </c>
      <c r="W61" s="1026">
        <v>0</v>
      </c>
      <c r="AA61" s="1026">
        <v>0</v>
      </c>
      <c r="AE61" s="1026">
        <v>0</v>
      </c>
      <c r="AI61" s="1026">
        <v>0</v>
      </c>
      <c r="AM61" s="1026">
        <v>0</v>
      </c>
      <c r="AQ61" s="1026">
        <v>0</v>
      </c>
      <c r="AU61" s="1026">
        <v>0</v>
      </c>
      <c r="AY61" s="1026">
        <v>0</v>
      </c>
      <c r="BC61" s="1026">
        <v>0</v>
      </c>
      <c r="BG61" s="1026">
        <v>0</v>
      </c>
      <c r="BL61" s="1026">
        <v>0</v>
      </c>
      <c r="BM61" s="1026">
        <v>0</v>
      </c>
      <c r="BO61" s="1026">
        <v>0</v>
      </c>
      <c r="BT61" s="1026">
        <v>0</v>
      </c>
      <c r="BV61" s="1026">
        <v>0</v>
      </c>
      <c r="CA61" s="1026">
        <v>0</v>
      </c>
      <c r="CC61" s="1026">
        <v>0</v>
      </c>
      <c r="CI61" s="1026">
        <v>0</v>
      </c>
      <c r="CO61" s="1026">
        <v>0</v>
      </c>
      <c r="CT61" s="1026">
        <v>0</v>
      </c>
      <c r="CU61" s="1026">
        <v>0</v>
      </c>
      <c r="CX61" s="1026">
        <v>0</v>
      </c>
      <c r="DA61" s="1026">
        <v>0</v>
      </c>
      <c r="DE61" s="1026">
        <v>0</v>
      </c>
      <c r="DF61" s="1026">
        <v>0</v>
      </c>
      <c r="DI61" s="1026">
        <v>0</v>
      </c>
      <c r="DL61" s="1026">
        <v>0</v>
      </c>
      <c r="DR61" s="1026">
        <v>0</v>
      </c>
      <c r="DT61" s="1026">
        <v>0</v>
      </c>
      <c r="DW61" s="1026">
        <v>0</v>
      </c>
      <c r="EB61" s="1026">
        <v>0</v>
      </c>
      <c r="EF61" s="1026">
        <v>0</v>
      </c>
      <c r="EG61" s="1026">
        <v>0</v>
      </c>
      <c r="EJ61" s="1026">
        <v>0</v>
      </c>
      <c r="EM61" s="1026">
        <v>0</v>
      </c>
      <c r="ES61" s="1026">
        <v>79418788.75999999</v>
      </c>
      <c r="ET61" s="1026">
        <v>50248230</v>
      </c>
      <c r="EU61" s="1026">
        <v>5024823.0000000009</v>
      </c>
      <c r="EV61" s="1026">
        <v>45223407</v>
      </c>
      <c r="EW61" s="1026">
        <v>0</v>
      </c>
      <c r="EZ61" s="1026">
        <v>26486351.12250001</v>
      </c>
      <c r="FA61" s="1026">
        <v>41831759.980000004</v>
      </c>
      <c r="FC61" s="1026">
        <v>-15345408.857499994</v>
      </c>
      <c r="FD61" s="1026">
        <v>2684207.6374999862</v>
      </c>
      <c r="FF61" s="1026">
        <v>3029193.9300000016</v>
      </c>
      <c r="FL61" s="1026">
        <v>82447982.689999998</v>
      </c>
      <c r="FM61" s="1026">
        <v>0</v>
      </c>
    </row>
    <row r="62" spans="2:169" ht="15.75">
      <c r="B62" s="1419">
        <v>43525</v>
      </c>
      <c r="C62" s="1026">
        <v>0</v>
      </c>
      <c r="D62" s="1026">
        <v>0</v>
      </c>
      <c r="E62" s="1026">
        <v>0</v>
      </c>
      <c r="F62" s="1026">
        <v>0</v>
      </c>
      <c r="Q62" s="1026">
        <v>0</v>
      </c>
      <c r="R62" s="1026">
        <v>0</v>
      </c>
      <c r="S62" s="1026">
        <v>0</v>
      </c>
      <c r="W62" s="1026">
        <v>0</v>
      </c>
      <c r="AA62" s="1026">
        <v>0</v>
      </c>
      <c r="AE62" s="1026">
        <v>0</v>
      </c>
      <c r="AI62" s="1026">
        <v>0</v>
      </c>
      <c r="AM62" s="1026">
        <v>0</v>
      </c>
      <c r="AQ62" s="1026">
        <v>0</v>
      </c>
      <c r="AU62" s="1026">
        <v>0</v>
      </c>
      <c r="AY62" s="1026">
        <v>0</v>
      </c>
      <c r="BC62" s="1026">
        <v>0</v>
      </c>
      <c r="BG62" s="1026">
        <v>0</v>
      </c>
      <c r="BL62" s="1026">
        <v>0</v>
      </c>
      <c r="BM62" s="1026">
        <v>0</v>
      </c>
      <c r="BO62" s="1026">
        <v>0</v>
      </c>
      <c r="BT62" s="1026">
        <v>0</v>
      </c>
      <c r="BV62" s="1026">
        <v>0</v>
      </c>
      <c r="CA62" s="1026">
        <v>0</v>
      </c>
      <c r="CC62" s="1026">
        <v>0</v>
      </c>
      <c r="CI62" s="1026">
        <v>0</v>
      </c>
      <c r="CO62" s="1026">
        <v>0</v>
      </c>
      <c r="CT62" s="1026">
        <v>0</v>
      </c>
      <c r="CU62" s="1026">
        <v>0</v>
      </c>
      <c r="CX62" s="1026">
        <v>0</v>
      </c>
      <c r="DA62" s="1026">
        <v>0</v>
      </c>
      <c r="DE62" s="1026">
        <v>0</v>
      </c>
      <c r="DF62" s="1026">
        <v>0</v>
      </c>
      <c r="DI62" s="1026">
        <v>0</v>
      </c>
      <c r="DL62" s="1026">
        <v>0</v>
      </c>
      <c r="DR62" s="1026">
        <v>0</v>
      </c>
      <c r="DT62" s="1026">
        <v>0</v>
      </c>
      <c r="DW62" s="1026">
        <v>0</v>
      </c>
      <c r="EB62" s="1026">
        <v>0</v>
      </c>
      <c r="EF62" s="1026">
        <v>0</v>
      </c>
      <c r="EG62" s="1026">
        <v>0</v>
      </c>
      <c r="EJ62" s="1026">
        <v>0</v>
      </c>
      <c r="EM62" s="1026">
        <v>0</v>
      </c>
      <c r="ES62" s="1026">
        <v>79569996.839999989</v>
      </c>
      <c r="ET62" s="1026">
        <v>50248230</v>
      </c>
      <c r="EU62" s="1026">
        <v>5024823.0000000009</v>
      </c>
      <c r="EV62" s="1026">
        <v>45223407</v>
      </c>
      <c r="EW62" s="1026">
        <v>0</v>
      </c>
      <c r="EZ62" s="1026">
        <v>26486351.202500001</v>
      </c>
      <c r="FA62" s="1026">
        <v>41831759.980000004</v>
      </c>
      <c r="FC62" s="1026">
        <v>-15345408.777500004</v>
      </c>
      <c r="FD62" s="1026">
        <v>2835415.6374999862</v>
      </c>
      <c r="FF62" s="1026">
        <v>3029193.8499999885</v>
      </c>
      <c r="FL62" s="1026">
        <v>82599190.689999983</v>
      </c>
      <c r="FM62" s="1026">
        <v>0</v>
      </c>
    </row>
    <row r="63" spans="2:169" ht="15.75">
      <c r="B63" s="1419">
        <v>43556</v>
      </c>
      <c r="C63" s="1026">
        <v>0</v>
      </c>
      <c r="D63" s="1026">
        <v>0</v>
      </c>
      <c r="E63" s="1026">
        <v>0</v>
      </c>
      <c r="F63" s="1026">
        <v>0</v>
      </c>
      <c r="Q63" s="1026">
        <v>0</v>
      </c>
      <c r="R63" s="1026">
        <v>0</v>
      </c>
      <c r="S63" s="1026">
        <v>0</v>
      </c>
      <c r="W63" s="1026">
        <v>0</v>
      </c>
      <c r="AA63" s="1026">
        <v>0</v>
      </c>
      <c r="AE63" s="1026">
        <v>0</v>
      </c>
      <c r="AI63" s="1026">
        <v>0</v>
      </c>
      <c r="AM63" s="1026">
        <v>0</v>
      </c>
      <c r="AQ63" s="1026">
        <v>0</v>
      </c>
      <c r="AU63" s="1026">
        <v>0</v>
      </c>
      <c r="AY63" s="1026">
        <v>0</v>
      </c>
      <c r="BC63" s="1026">
        <v>0</v>
      </c>
      <c r="BG63" s="1026">
        <v>0</v>
      </c>
      <c r="BL63" s="1026">
        <v>0</v>
      </c>
      <c r="BM63" s="1026">
        <v>0</v>
      </c>
      <c r="BO63" s="1026">
        <v>0</v>
      </c>
      <c r="BT63" s="1026">
        <v>0</v>
      </c>
      <c r="BV63" s="1026">
        <v>0</v>
      </c>
      <c r="CA63" s="1026">
        <v>0</v>
      </c>
      <c r="CC63" s="1026">
        <v>0</v>
      </c>
      <c r="CI63" s="1026">
        <v>0</v>
      </c>
      <c r="CO63" s="1026">
        <v>0</v>
      </c>
      <c r="CT63" s="1026">
        <v>0</v>
      </c>
      <c r="CU63" s="1026">
        <v>0</v>
      </c>
      <c r="CX63" s="1026">
        <v>0</v>
      </c>
      <c r="DA63" s="1026">
        <v>0</v>
      </c>
      <c r="DE63" s="1026">
        <v>0</v>
      </c>
      <c r="DF63" s="1026">
        <v>0</v>
      </c>
      <c r="DI63" s="1026">
        <v>0</v>
      </c>
      <c r="DL63" s="1026">
        <v>0</v>
      </c>
      <c r="DR63" s="1026">
        <v>0</v>
      </c>
      <c r="DT63" s="1026">
        <v>0</v>
      </c>
      <c r="DW63" s="1026">
        <v>0</v>
      </c>
      <c r="EB63" s="1026">
        <v>0</v>
      </c>
      <c r="EF63" s="1026">
        <v>0</v>
      </c>
      <c r="EG63" s="1026">
        <v>0</v>
      </c>
      <c r="EJ63" s="1026">
        <v>0</v>
      </c>
      <c r="EM63" s="1026">
        <v>0</v>
      </c>
      <c r="ES63" s="1026">
        <v>80265687.599999994</v>
      </c>
      <c r="ET63" s="1026">
        <v>50248230</v>
      </c>
      <c r="EU63" s="1026">
        <v>5024823.0000000009</v>
      </c>
      <c r="EV63" s="1026">
        <v>45223407</v>
      </c>
      <c r="EW63" s="1026">
        <v>0</v>
      </c>
      <c r="EZ63" s="1026">
        <v>28997811.102500007</v>
      </c>
      <c r="FA63" s="1026">
        <v>42343577.690000005</v>
      </c>
      <c r="FC63" s="1026">
        <v>-13345766.587499999</v>
      </c>
      <c r="FD63" s="1026">
        <v>1019646.4974999845</v>
      </c>
      <c r="FF63" s="1026">
        <v>3033873.11</v>
      </c>
      <c r="FL63" s="1026">
        <v>83299560.709999993</v>
      </c>
      <c r="FM63" s="1026">
        <v>-7.9999983310699463E-2</v>
      </c>
    </row>
    <row r="64" spans="2:169" ht="15.75">
      <c r="B64" s="1419">
        <v>43586</v>
      </c>
      <c r="C64" s="1026">
        <v>0</v>
      </c>
      <c r="D64" s="1026">
        <v>0</v>
      </c>
      <c r="E64" s="1026">
        <v>0</v>
      </c>
      <c r="F64" s="1026">
        <v>0</v>
      </c>
      <c r="Q64" s="1026">
        <v>0</v>
      </c>
      <c r="R64" s="1026">
        <v>0</v>
      </c>
      <c r="S64" s="1026">
        <v>0</v>
      </c>
      <c r="W64" s="1026">
        <v>0</v>
      </c>
      <c r="AA64" s="1026">
        <v>0</v>
      </c>
      <c r="AE64" s="1026">
        <v>0</v>
      </c>
      <c r="AI64" s="1026">
        <v>0</v>
      </c>
      <c r="AM64" s="1026">
        <v>0</v>
      </c>
      <c r="AQ64" s="1026">
        <v>0</v>
      </c>
      <c r="AU64" s="1026">
        <v>0</v>
      </c>
      <c r="AY64" s="1026">
        <v>0</v>
      </c>
      <c r="BC64" s="1026">
        <v>0</v>
      </c>
      <c r="BG64" s="1026">
        <v>0</v>
      </c>
      <c r="BL64" s="1026">
        <v>0</v>
      </c>
      <c r="BM64" s="1026">
        <v>0</v>
      </c>
      <c r="BO64" s="1026">
        <v>0</v>
      </c>
      <c r="BT64" s="1026">
        <v>0</v>
      </c>
      <c r="BV64" s="1026">
        <v>0</v>
      </c>
      <c r="CA64" s="1026">
        <v>0</v>
      </c>
      <c r="CC64" s="1026">
        <v>0</v>
      </c>
      <c r="CI64" s="1026">
        <v>0</v>
      </c>
      <c r="CO64" s="1026">
        <v>0</v>
      </c>
      <c r="CT64" s="1026">
        <v>0</v>
      </c>
      <c r="CU64" s="1026">
        <v>0</v>
      </c>
      <c r="CX64" s="1026">
        <v>0</v>
      </c>
      <c r="DA64" s="1026">
        <v>0</v>
      </c>
      <c r="DE64" s="1026">
        <v>0</v>
      </c>
      <c r="DF64" s="1026">
        <v>0</v>
      </c>
      <c r="DI64" s="1026">
        <v>0</v>
      </c>
      <c r="DL64" s="1026">
        <v>0</v>
      </c>
      <c r="DR64" s="1026">
        <v>0</v>
      </c>
      <c r="DT64" s="1026">
        <v>0</v>
      </c>
      <c r="DW64" s="1026">
        <v>0</v>
      </c>
      <c r="EB64" s="1026">
        <v>0</v>
      </c>
      <c r="EF64" s="1026">
        <v>0</v>
      </c>
      <c r="EG64" s="1026">
        <v>0</v>
      </c>
      <c r="EJ64" s="1026">
        <v>0</v>
      </c>
      <c r="EM64" s="1026">
        <v>0</v>
      </c>
      <c r="ES64" s="1026">
        <v>78629713.277499989</v>
      </c>
      <c r="ET64" s="1026">
        <v>50248230</v>
      </c>
      <c r="EU64" s="1026">
        <v>5024823.0000000009</v>
      </c>
      <c r="EV64" s="1026">
        <v>45223407</v>
      </c>
      <c r="EW64" s="1026">
        <v>0</v>
      </c>
      <c r="EZ64" s="1026">
        <v>26020711.950000003</v>
      </c>
      <c r="FA64" s="1026">
        <v>41043824.950000003</v>
      </c>
      <c r="FC64" s="1026">
        <v>-15023113</v>
      </c>
      <c r="FD64" s="1026">
        <v>2360771.3274999801</v>
      </c>
      <c r="FF64" s="1026">
        <v>3033872.8225000207</v>
      </c>
      <c r="FL64" s="1026">
        <v>81663586.100000009</v>
      </c>
      <c r="FM64" s="1026">
        <v>0</v>
      </c>
    </row>
    <row r="65" spans="2:188" s="1" customFormat="1" ht="15.75">
      <c r="B65" s="1419">
        <v>43617</v>
      </c>
      <c r="C65" s="1026">
        <v>0</v>
      </c>
      <c r="D65" s="1">
        <v>0</v>
      </c>
      <c r="E65" s="1">
        <v>0</v>
      </c>
      <c r="F65" s="1">
        <v>0</v>
      </c>
      <c r="Q65" s="1">
        <v>0</v>
      </c>
      <c r="R65" s="1">
        <v>0</v>
      </c>
      <c r="S65" s="1">
        <v>0</v>
      </c>
      <c r="W65" s="1">
        <v>0</v>
      </c>
      <c r="AA65" s="1">
        <v>0</v>
      </c>
      <c r="AE65" s="1">
        <v>0</v>
      </c>
      <c r="AI65" s="1">
        <v>0</v>
      </c>
      <c r="AM65" s="1">
        <v>0</v>
      </c>
      <c r="AQ65" s="1">
        <v>0</v>
      </c>
      <c r="AU65" s="1">
        <v>0</v>
      </c>
      <c r="AY65" s="1">
        <v>0</v>
      </c>
      <c r="BC65" s="1">
        <v>0</v>
      </c>
      <c r="BG65" s="1">
        <v>0</v>
      </c>
      <c r="BL65" s="1">
        <v>0</v>
      </c>
      <c r="BM65" s="1">
        <v>0</v>
      </c>
      <c r="BO65" s="1">
        <v>0</v>
      </c>
      <c r="BT65" s="1">
        <v>0</v>
      </c>
      <c r="BV65" s="1">
        <v>0</v>
      </c>
      <c r="CA65" s="1">
        <v>0</v>
      </c>
      <c r="CC65" s="1">
        <v>0</v>
      </c>
      <c r="CI65" s="1">
        <v>0</v>
      </c>
      <c r="CO65" s="1">
        <v>0</v>
      </c>
      <c r="CT65" s="1">
        <v>0</v>
      </c>
      <c r="CU65" s="1">
        <v>0</v>
      </c>
      <c r="CX65" s="1">
        <v>0</v>
      </c>
      <c r="DA65" s="1">
        <v>0</v>
      </c>
      <c r="DE65" s="1">
        <v>0</v>
      </c>
      <c r="DF65" s="1">
        <v>0</v>
      </c>
      <c r="DI65" s="1">
        <v>0</v>
      </c>
      <c r="DL65" s="1">
        <v>0</v>
      </c>
      <c r="DR65" s="1">
        <v>0</v>
      </c>
      <c r="DT65" s="1">
        <v>0</v>
      </c>
      <c r="DW65" s="1">
        <v>0</v>
      </c>
      <c r="EB65" s="1">
        <v>0</v>
      </c>
      <c r="EF65" s="1">
        <v>0</v>
      </c>
      <c r="EG65" s="1">
        <v>0</v>
      </c>
      <c r="EJ65" s="1">
        <v>0</v>
      </c>
      <c r="EM65" s="1">
        <v>0</v>
      </c>
      <c r="ES65" s="1">
        <v>81564152.174999997</v>
      </c>
      <c r="ET65" s="1">
        <v>49730108</v>
      </c>
      <c r="EU65" s="1">
        <v>4978411</v>
      </c>
      <c r="EV65" s="1">
        <v>44751697</v>
      </c>
      <c r="EW65" s="1">
        <v>0</v>
      </c>
      <c r="EX65" s="1">
        <v>0</v>
      </c>
      <c r="EY65" s="1">
        <v>0</v>
      </c>
      <c r="EZ65" s="1">
        <v>26148027.782500014</v>
      </c>
      <c r="FA65" s="1">
        <v>41194579.210000008</v>
      </c>
      <c r="FB65" s="1">
        <v>0</v>
      </c>
      <c r="FC65" s="1">
        <v>-15046551.427499995</v>
      </c>
      <c r="FD65" s="1">
        <v>5686016.3924999852</v>
      </c>
      <c r="FF65" s="1">
        <v>3041688.4500000025</v>
      </c>
      <c r="FL65" s="1">
        <v>84605840.625</v>
      </c>
      <c r="FM65" s="1">
        <v>0</v>
      </c>
    </row>
    <row r="66" spans="2:188" ht="15.75">
      <c r="B66" s="1419">
        <v>43647</v>
      </c>
      <c r="C66" s="1026">
        <v>0</v>
      </c>
      <c r="D66" s="1026">
        <v>0</v>
      </c>
      <c r="E66" s="1026">
        <v>0</v>
      </c>
      <c r="F66" s="1026">
        <v>0</v>
      </c>
      <c r="Q66" s="1026">
        <v>0</v>
      </c>
      <c r="R66" s="1026">
        <v>0</v>
      </c>
      <c r="S66" s="1026">
        <v>0</v>
      </c>
      <c r="W66" s="1026">
        <v>0</v>
      </c>
      <c r="AA66" s="1026">
        <v>0</v>
      </c>
      <c r="AE66" s="1026">
        <v>0</v>
      </c>
      <c r="AI66" s="1026">
        <v>0</v>
      </c>
      <c r="AM66" s="1026">
        <v>0</v>
      </c>
      <c r="AQ66" s="1026">
        <v>0</v>
      </c>
      <c r="AU66" s="1026">
        <v>0</v>
      </c>
      <c r="AY66" s="1026">
        <v>0</v>
      </c>
      <c r="BC66" s="1026">
        <v>0</v>
      </c>
      <c r="BG66" s="1026">
        <v>0</v>
      </c>
      <c r="BL66" s="1026">
        <v>0</v>
      </c>
      <c r="BM66" s="1026">
        <v>0</v>
      </c>
      <c r="BO66" s="1026">
        <v>0</v>
      </c>
      <c r="BT66" s="1026">
        <v>0</v>
      </c>
      <c r="BV66" s="1026">
        <v>0</v>
      </c>
      <c r="CA66" s="1026">
        <v>0</v>
      </c>
      <c r="CC66" s="1026">
        <v>0</v>
      </c>
      <c r="CI66" s="1026">
        <v>0</v>
      </c>
      <c r="CO66" s="1026">
        <v>0</v>
      </c>
      <c r="CT66" s="1026">
        <v>0</v>
      </c>
      <c r="CU66" s="1026">
        <v>0</v>
      </c>
      <c r="CX66" s="1026">
        <v>0</v>
      </c>
      <c r="DA66" s="1026">
        <v>0</v>
      </c>
      <c r="DE66" s="1026">
        <v>0</v>
      </c>
      <c r="DF66" s="1026">
        <v>0</v>
      </c>
      <c r="DI66" s="1026">
        <v>0</v>
      </c>
      <c r="DL66" s="1026">
        <v>0</v>
      </c>
      <c r="DR66" s="1026">
        <v>0</v>
      </c>
      <c r="DT66" s="1026">
        <v>0</v>
      </c>
      <c r="DW66" s="1026">
        <v>0</v>
      </c>
      <c r="EB66" s="1026">
        <v>0</v>
      </c>
      <c r="EF66" s="1026">
        <v>0</v>
      </c>
      <c r="EG66" s="1026">
        <v>0</v>
      </c>
      <c r="EJ66" s="1026">
        <v>0</v>
      </c>
      <c r="EM66" s="1026">
        <v>0</v>
      </c>
      <c r="ES66" s="1026">
        <v>76811683</v>
      </c>
      <c r="ET66" s="1026">
        <v>49730108</v>
      </c>
      <c r="EU66" s="1026">
        <v>4978411</v>
      </c>
      <c r="EV66" s="1026">
        <v>44751697</v>
      </c>
      <c r="EW66" s="1026">
        <v>0</v>
      </c>
      <c r="EX66" s="1026">
        <v>0</v>
      </c>
      <c r="EY66" s="1026">
        <v>0</v>
      </c>
      <c r="EZ66" s="1026">
        <v>28226543</v>
      </c>
      <c r="FA66" s="1026">
        <v>1389425</v>
      </c>
      <c r="FB66" s="1026">
        <v>39414520</v>
      </c>
      <c r="FC66" s="1026">
        <v>-12577402</v>
      </c>
      <c r="FD66" s="1026">
        <v>-1144968</v>
      </c>
      <c r="FF66" s="1026">
        <v>3070983.6899999976</v>
      </c>
      <c r="FL66" s="1026">
        <v>79882666.689999998</v>
      </c>
      <c r="FM66" s="1026">
        <v>0</v>
      </c>
    </row>
    <row r="67" spans="2:188" ht="15.75">
      <c r="B67" s="1419">
        <v>43678</v>
      </c>
    </row>
    <row r="68" spans="2:188" ht="15.75">
      <c r="B68" s="1419">
        <v>43709</v>
      </c>
      <c r="C68" s="1026">
        <v>0</v>
      </c>
      <c r="D68" s="1026">
        <v>0</v>
      </c>
      <c r="E68" s="1026">
        <v>0</v>
      </c>
      <c r="F68" s="1026">
        <v>0</v>
      </c>
      <c r="Q68" s="1026">
        <v>0</v>
      </c>
      <c r="R68" s="1026">
        <v>0</v>
      </c>
      <c r="S68" s="1026">
        <v>0</v>
      </c>
      <c r="W68" s="1026">
        <v>0</v>
      </c>
      <c r="AA68" s="1026">
        <v>0</v>
      </c>
      <c r="AE68" s="1026">
        <v>0</v>
      </c>
      <c r="AI68" s="1026">
        <v>0</v>
      </c>
      <c r="AM68" s="1026">
        <v>0</v>
      </c>
      <c r="AQ68" s="1026">
        <v>0</v>
      </c>
      <c r="AU68" s="1026">
        <v>0</v>
      </c>
      <c r="AY68" s="1026">
        <v>0</v>
      </c>
      <c r="BC68" s="1026">
        <v>0</v>
      </c>
      <c r="BG68" s="1026">
        <v>0</v>
      </c>
      <c r="BL68" s="1026">
        <v>0</v>
      </c>
      <c r="BM68" s="1026">
        <v>0</v>
      </c>
      <c r="BO68" s="1026">
        <v>0</v>
      </c>
      <c r="BT68" s="1026">
        <v>0</v>
      </c>
      <c r="BV68" s="1026">
        <v>0</v>
      </c>
      <c r="CA68" s="1026">
        <v>0</v>
      </c>
      <c r="CC68" s="1026">
        <v>0</v>
      </c>
      <c r="CI68" s="1026">
        <v>0</v>
      </c>
      <c r="CO68" s="1026">
        <v>0</v>
      </c>
      <c r="CT68" s="1026">
        <v>0</v>
      </c>
      <c r="CU68" s="1026">
        <v>0</v>
      </c>
      <c r="CX68" s="1026">
        <v>0</v>
      </c>
      <c r="DA68" s="1026">
        <v>0</v>
      </c>
      <c r="DE68" s="1026">
        <v>0</v>
      </c>
      <c r="DF68" s="1026">
        <v>0</v>
      </c>
      <c r="DI68" s="1026">
        <v>0</v>
      </c>
      <c r="DL68" s="1026">
        <v>0</v>
      </c>
      <c r="DR68" s="1026">
        <v>0</v>
      </c>
      <c r="DT68" s="1026">
        <v>0</v>
      </c>
      <c r="DW68" s="1026">
        <v>0</v>
      </c>
      <c r="EB68" s="1026">
        <v>0</v>
      </c>
      <c r="EF68" s="1026">
        <v>0</v>
      </c>
      <c r="EG68" s="1026">
        <v>0</v>
      </c>
      <c r="EJ68" s="1026">
        <v>0</v>
      </c>
      <c r="EM68" s="1026">
        <v>0</v>
      </c>
      <c r="ES68" s="1026">
        <v>77809430.620000005</v>
      </c>
      <c r="ET68" s="1026">
        <v>49730108</v>
      </c>
      <c r="EU68" s="1026">
        <v>4978411.0000000009</v>
      </c>
      <c r="EV68" s="1026">
        <v>44751697</v>
      </c>
      <c r="EW68" s="1026">
        <v>0</v>
      </c>
      <c r="EX68" s="1026">
        <v>0</v>
      </c>
      <c r="EY68" s="1026">
        <v>0</v>
      </c>
      <c r="EZ68" s="1026">
        <v>27916227.432500012</v>
      </c>
      <c r="FA68" s="1026">
        <v>1389425.2700000005</v>
      </c>
      <c r="FB68" s="1026">
        <v>39598034.040000007</v>
      </c>
      <c r="FC68" s="1026">
        <v>-13071231.877499998</v>
      </c>
      <c r="FD68" s="1026">
        <v>163095.18749999258</v>
      </c>
      <c r="FF68" s="1026">
        <v>3049097.589999998</v>
      </c>
      <c r="FL68" s="1026">
        <v>80858528.210000008</v>
      </c>
      <c r="FO68" s="1026">
        <v>0</v>
      </c>
      <c r="FW68" s="1026">
        <v>18212852.990000002</v>
      </c>
      <c r="FX68" s="1026">
        <v>18212859.400000002</v>
      </c>
      <c r="FY68" s="1026">
        <v>-5.6900000004097819</v>
      </c>
      <c r="FZ68" s="1026">
        <v>-0.72000000003026798</v>
      </c>
      <c r="GB68" s="1026">
        <v>14552045.840000002</v>
      </c>
      <c r="GF68" s="1026">
        <v>80858528.210000008</v>
      </c>
    </row>
    <row r="69" spans="2:188" ht="15.75">
      <c r="B69" s="1419">
        <v>43739</v>
      </c>
      <c r="C69" s="1026">
        <v>0</v>
      </c>
      <c r="D69" s="1026">
        <v>0</v>
      </c>
      <c r="E69" s="1026">
        <v>0</v>
      </c>
      <c r="F69" s="1026">
        <v>0</v>
      </c>
      <c r="Q69" s="1026">
        <v>0</v>
      </c>
      <c r="R69" s="1026">
        <v>0</v>
      </c>
      <c r="S69" s="1026">
        <v>0</v>
      </c>
      <c r="W69" s="1026">
        <v>0</v>
      </c>
      <c r="AA69" s="1026">
        <v>0</v>
      </c>
      <c r="AE69" s="1026">
        <v>0</v>
      </c>
      <c r="AI69" s="1026">
        <v>0</v>
      </c>
      <c r="AM69" s="1026">
        <v>0</v>
      </c>
      <c r="AQ69" s="1026">
        <v>0</v>
      </c>
      <c r="AU69" s="1026">
        <v>0</v>
      </c>
      <c r="AY69" s="1026">
        <v>0</v>
      </c>
      <c r="BC69" s="1026">
        <v>0</v>
      </c>
      <c r="BG69" s="1026">
        <v>0</v>
      </c>
      <c r="BL69" s="1026">
        <v>0</v>
      </c>
      <c r="BM69" s="1026">
        <v>0</v>
      </c>
      <c r="BO69" s="1026">
        <v>0</v>
      </c>
      <c r="BT69" s="1026">
        <v>0</v>
      </c>
      <c r="BV69" s="1026">
        <v>0</v>
      </c>
      <c r="CA69" s="1026">
        <v>0</v>
      </c>
      <c r="CC69" s="1026">
        <v>0</v>
      </c>
      <c r="CI69" s="1026">
        <v>0</v>
      </c>
      <c r="CO69" s="1026">
        <v>0</v>
      </c>
      <c r="CT69" s="1026">
        <v>0</v>
      </c>
      <c r="CU69" s="1026">
        <v>0</v>
      </c>
      <c r="CX69" s="1026">
        <v>0</v>
      </c>
      <c r="DA69" s="1026">
        <v>0</v>
      </c>
      <c r="DE69" s="1026">
        <v>0</v>
      </c>
      <c r="DF69" s="1026">
        <v>0</v>
      </c>
      <c r="DI69" s="1026">
        <v>0</v>
      </c>
      <c r="DL69" s="1026">
        <v>0</v>
      </c>
      <c r="DR69" s="1026">
        <v>0</v>
      </c>
      <c r="DT69" s="1026">
        <v>0</v>
      </c>
      <c r="DW69" s="1026">
        <v>0</v>
      </c>
      <c r="EB69" s="1026">
        <v>0</v>
      </c>
      <c r="EF69" s="1026">
        <v>0</v>
      </c>
      <c r="EG69" s="1026">
        <v>0</v>
      </c>
      <c r="EJ69" s="1026">
        <v>0</v>
      </c>
      <c r="EM69" s="1026">
        <v>0</v>
      </c>
      <c r="ES69" s="1026">
        <v>76219277.360000014</v>
      </c>
      <c r="ET69" s="1026">
        <v>49730108</v>
      </c>
      <c r="EU69" s="1026">
        <v>4978411.0000000009</v>
      </c>
      <c r="EV69" s="1026">
        <v>44751697</v>
      </c>
      <c r="EW69" s="1026">
        <v>0</v>
      </c>
      <c r="EX69" s="1026">
        <v>0</v>
      </c>
      <c r="EY69" s="1026">
        <v>0</v>
      </c>
      <c r="EZ69" s="1026">
        <v>26221831.172500014</v>
      </c>
      <c r="FA69" s="1026">
        <v>1389425.2700000005</v>
      </c>
      <c r="FB69" s="1026">
        <v>39598034.040000007</v>
      </c>
      <c r="FC69" s="1026">
        <v>-14765628.137499996</v>
      </c>
      <c r="FD69" s="1026">
        <v>267338.18749999302</v>
      </c>
      <c r="FF69" s="1026">
        <v>3049098.0699999873</v>
      </c>
      <c r="FL69" s="1026">
        <v>79268375.430000007</v>
      </c>
    </row>
    <row r="70" spans="2:188" ht="15.75">
      <c r="B70" s="1419">
        <v>43770</v>
      </c>
      <c r="C70" s="1026">
        <v>0</v>
      </c>
      <c r="D70" s="1026">
        <v>0</v>
      </c>
      <c r="E70" s="1026">
        <v>0</v>
      </c>
      <c r="F70" s="1026">
        <v>0</v>
      </c>
      <c r="Q70" s="1026">
        <v>0</v>
      </c>
      <c r="R70" s="1026">
        <v>0</v>
      </c>
      <c r="S70" s="1026">
        <v>0</v>
      </c>
      <c r="W70" s="1026">
        <v>0</v>
      </c>
      <c r="AA70" s="1026">
        <v>0</v>
      </c>
      <c r="AE70" s="1026">
        <v>0</v>
      </c>
      <c r="AI70" s="1026">
        <v>0</v>
      </c>
      <c r="AM70" s="1026">
        <v>0</v>
      </c>
      <c r="AQ70" s="1026">
        <v>0</v>
      </c>
      <c r="AU70" s="1026">
        <v>0</v>
      </c>
      <c r="AY70" s="1026">
        <v>0</v>
      </c>
      <c r="BC70" s="1026">
        <v>0</v>
      </c>
      <c r="BG70" s="1026">
        <v>0</v>
      </c>
      <c r="BL70" s="1026">
        <v>0</v>
      </c>
      <c r="BM70" s="1026">
        <v>0</v>
      </c>
      <c r="BO70" s="1026">
        <v>0</v>
      </c>
      <c r="BT70" s="1026">
        <v>0</v>
      </c>
      <c r="BV70" s="1026">
        <v>0</v>
      </c>
      <c r="CA70" s="1026">
        <v>0</v>
      </c>
      <c r="CC70" s="1026">
        <v>0</v>
      </c>
      <c r="CI70" s="1026">
        <v>0</v>
      </c>
      <c r="CO70" s="1026">
        <v>0</v>
      </c>
      <c r="CT70" s="1026">
        <v>0</v>
      </c>
      <c r="CU70" s="1026">
        <v>0</v>
      </c>
      <c r="CX70" s="1026">
        <v>0</v>
      </c>
      <c r="DA70" s="1026">
        <v>0</v>
      </c>
      <c r="DE70" s="1026">
        <v>0</v>
      </c>
      <c r="DF70" s="1026">
        <v>0</v>
      </c>
      <c r="DI70" s="1026">
        <v>0</v>
      </c>
      <c r="DL70" s="1026">
        <v>0</v>
      </c>
      <c r="DR70" s="1026">
        <v>0</v>
      </c>
      <c r="DT70" s="1026">
        <v>0</v>
      </c>
      <c r="DW70" s="1026">
        <v>0</v>
      </c>
      <c r="EB70" s="1026">
        <v>0</v>
      </c>
      <c r="EF70" s="1026">
        <v>0</v>
      </c>
      <c r="EG70" s="1026">
        <v>0</v>
      </c>
      <c r="EJ70" s="1026">
        <v>0</v>
      </c>
      <c r="EM70" s="1026">
        <v>0</v>
      </c>
      <c r="ES70" s="1026">
        <v>76505277.360000014</v>
      </c>
      <c r="ET70" s="1026">
        <v>49730108</v>
      </c>
      <c r="EU70" s="1026">
        <v>4978411.0000000009</v>
      </c>
      <c r="EV70" s="1026">
        <v>44751697</v>
      </c>
      <c r="EW70" s="1026">
        <v>0</v>
      </c>
      <c r="EX70" s="1026">
        <v>0</v>
      </c>
      <c r="EY70" s="1026">
        <v>0</v>
      </c>
      <c r="EZ70" s="1026">
        <v>26221831.172500014</v>
      </c>
      <c r="FA70" s="1026">
        <v>1389425.2700000005</v>
      </c>
      <c r="FB70" s="1026">
        <v>39598034.040000007</v>
      </c>
      <c r="FC70" s="1026">
        <v>-14765628.137499996</v>
      </c>
      <c r="FD70" s="1026">
        <v>553338.18749999302</v>
      </c>
      <c r="FF70" s="1026">
        <v>3049098.139999995</v>
      </c>
      <c r="FL70" s="1026">
        <v>79554375.500000015</v>
      </c>
    </row>
    <row r="71" spans="2:188" ht="15.75">
      <c r="B71" s="1419">
        <v>43800</v>
      </c>
      <c r="C71" s="1026">
        <v>0</v>
      </c>
      <c r="D71" s="1026">
        <v>0</v>
      </c>
      <c r="E71" s="1026">
        <v>0</v>
      </c>
      <c r="F71" s="1026">
        <v>0</v>
      </c>
      <c r="Q71" s="1026">
        <v>0</v>
      </c>
      <c r="R71" s="1026">
        <v>0</v>
      </c>
      <c r="S71" s="1026">
        <v>0</v>
      </c>
      <c r="W71" s="1026">
        <v>0</v>
      </c>
      <c r="AA71" s="1026">
        <v>0</v>
      </c>
      <c r="AE71" s="1026">
        <v>0</v>
      </c>
      <c r="AI71" s="1026">
        <v>0</v>
      </c>
      <c r="AM71" s="1026">
        <v>0</v>
      </c>
      <c r="AQ71" s="1026">
        <v>0</v>
      </c>
      <c r="AU71" s="1026">
        <v>0</v>
      </c>
      <c r="AY71" s="1026">
        <v>0</v>
      </c>
      <c r="BC71" s="1026">
        <v>0</v>
      </c>
      <c r="BG71" s="1026">
        <v>0</v>
      </c>
      <c r="BL71" s="1026">
        <v>0</v>
      </c>
      <c r="BM71" s="1026">
        <v>0</v>
      </c>
      <c r="BO71" s="1026">
        <v>0</v>
      </c>
      <c r="BT71" s="1026">
        <v>0</v>
      </c>
      <c r="BV71" s="1026">
        <v>0</v>
      </c>
      <c r="CA71" s="1026">
        <v>0</v>
      </c>
      <c r="CC71" s="1026">
        <v>0</v>
      </c>
      <c r="CI71" s="1026">
        <v>0</v>
      </c>
      <c r="CO71" s="1026">
        <v>0</v>
      </c>
      <c r="CT71" s="1026">
        <v>0</v>
      </c>
      <c r="CU71" s="1026">
        <v>0</v>
      </c>
      <c r="CX71" s="1026">
        <v>0</v>
      </c>
      <c r="DA71" s="1026">
        <v>0</v>
      </c>
      <c r="DE71" s="1026">
        <v>0</v>
      </c>
      <c r="DF71" s="1026">
        <v>0</v>
      </c>
      <c r="DI71" s="1026">
        <v>0</v>
      </c>
      <c r="DL71" s="1026">
        <v>0</v>
      </c>
      <c r="DR71" s="1026">
        <v>0</v>
      </c>
      <c r="DT71" s="1026">
        <v>0</v>
      </c>
      <c r="DW71" s="1026">
        <v>0</v>
      </c>
      <c r="EB71" s="1026">
        <v>0</v>
      </c>
      <c r="EF71" s="1026">
        <v>0</v>
      </c>
      <c r="EG71" s="1026">
        <v>0</v>
      </c>
      <c r="EJ71" s="1026">
        <v>0</v>
      </c>
      <c r="EM71" s="1026">
        <v>0</v>
      </c>
      <c r="ES71" s="1026">
        <v>79320530.982500002</v>
      </c>
      <c r="ET71" s="1026">
        <v>49730108</v>
      </c>
      <c r="EU71" s="1026">
        <v>4978411.0000000009</v>
      </c>
      <c r="EV71" s="1026">
        <v>44751697</v>
      </c>
      <c r="EW71" s="1026">
        <v>0</v>
      </c>
      <c r="EX71" s="1026">
        <v>0</v>
      </c>
      <c r="EY71" s="1026">
        <v>0</v>
      </c>
      <c r="EZ71" s="1026">
        <v>31893846.982500002</v>
      </c>
      <c r="FA71" s="1026">
        <v>1391725.2700000005</v>
      </c>
      <c r="FB71" s="1026">
        <v>41598034.039999999</v>
      </c>
      <c r="FC71" s="1026">
        <v>-11095912.327500001</v>
      </c>
      <c r="FD71" s="1026">
        <v>-2303424</v>
      </c>
      <c r="FF71" s="1026">
        <v>3061627.3499999996</v>
      </c>
      <c r="FL71" s="1026">
        <v>82382158.332499996</v>
      </c>
      <c r="FM71" s="1026">
        <v>0.30630001425743103</v>
      </c>
    </row>
    <row r="74" spans="2:188">
      <c r="B74" s="1790">
        <v>43831</v>
      </c>
      <c r="C74" s="1026">
        <v>0</v>
      </c>
      <c r="D74" s="1026">
        <v>0</v>
      </c>
      <c r="E74" s="1026">
        <v>0</v>
      </c>
      <c r="F74" s="1026">
        <v>0</v>
      </c>
      <c r="Q74" s="1026">
        <v>0</v>
      </c>
      <c r="R74" s="1026">
        <v>0</v>
      </c>
      <c r="S74" s="1026">
        <v>0</v>
      </c>
      <c r="W74" s="1026">
        <v>0</v>
      </c>
      <c r="AA74" s="1026">
        <v>0</v>
      </c>
      <c r="AE74" s="1026">
        <v>0</v>
      </c>
      <c r="AI74" s="1026">
        <v>0</v>
      </c>
      <c r="AM74" s="1026">
        <v>0</v>
      </c>
      <c r="AQ74" s="1026">
        <v>0</v>
      </c>
      <c r="AU74" s="1026">
        <v>0</v>
      </c>
      <c r="AY74" s="1026">
        <v>0</v>
      </c>
      <c r="BC74" s="1026">
        <v>0</v>
      </c>
      <c r="BG74" s="1026">
        <v>0</v>
      </c>
      <c r="BL74" s="1026">
        <v>0</v>
      </c>
      <c r="BM74" s="1026">
        <v>0</v>
      </c>
      <c r="BO74" s="1026">
        <v>0</v>
      </c>
      <c r="BT74" s="1026">
        <v>0</v>
      </c>
      <c r="BV74" s="1026">
        <v>0</v>
      </c>
      <c r="CA74" s="1026">
        <v>0</v>
      </c>
      <c r="CC74" s="1026">
        <v>0</v>
      </c>
      <c r="CI74" s="1026">
        <v>0</v>
      </c>
      <c r="CO74" s="1026">
        <v>0</v>
      </c>
      <c r="CT74" s="1026">
        <v>0</v>
      </c>
      <c r="CU74" s="1026">
        <v>0</v>
      </c>
      <c r="CX74" s="1026">
        <v>0</v>
      </c>
      <c r="DA74" s="1026">
        <v>0</v>
      </c>
      <c r="DE74" s="1026">
        <v>0</v>
      </c>
      <c r="DF74" s="1026">
        <v>0</v>
      </c>
      <c r="DI74" s="1026">
        <v>0</v>
      </c>
      <c r="DL74" s="1026">
        <v>0</v>
      </c>
      <c r="DR74" s="1026">
        <v>0</v>
      </c>
      <c r="DT74" s="1026">
        <v>0</v>
      </c>
      <c r="DW74" s="1026">
        <v>0</v>
      </c>
      <c r="EB74" s="1026">
        <v>0</v>
      </c>
      <c r="EF74" s="1026">
        <v>0</v>
      </c>
      <c r="EG74" s="1026">
        <v>0</v>
      </c>
      <c r="EJ74" s="1026">
        <v>0</v>
      </c>
      <c r="EM74" s="1026">
        <v>0</v>
      </c>
      <c r="ES74" s="1026">
        <v>71805400.293434799</v>
      </c>
      <c r="ET74" s="1026">
        <v>49730108</v>
      </c>
      <c r="EU74" s="1026">
        <v>4978411.0000000009</v>
      </c>
      <c r="EV74" s="1026">
        <v>44751697</v>
      </c>
      <c r="EW74" s="1026">
        <v>0</v>
      </c>
      <c r="EX74" s="1026">
        <v>0</v>
      </c>
      <c r="EY74" s="1026">
        <v>0</v>
      </c>
      <c r="EZ74" s="1026">
        <v>23635979.712599993</v>
      </c>
      <c r="FA74" s="1026">
        <v>3486414</v>
      </c>
      <c r="FB74" s="1026">
        <v>39198682.600099996</v>
      </c>
      <c r="FC74" s="1026">
        <v>-19049116.887500003</v>
      </c>
      <c r="FD74" s="1026">
        <v>-1560687.4191652001</v>
      </c>
      <c r="FF74" s="1026">
        <v>5760823.6100000013</v>
      </c>
      <c r="FL74" s="1026">
        <v>77566223.903434798</v>
      </c>
      <c r="FM74" s="1026">
        <v>0.64739999175071716</v>
      </c>
    </row>
    <row r="75" spans="2:188">
      <c r="B75" s="1790">
        <v>43862</v>
      </c>
      <c r="C75" s="1026">
        <v>0</v>
      </c>
      <c r="D75" s="1026">
        <v>0</v>
      </c>
      <c r="E75" s="1026">
        <v>0</v>
      </c>
      <c r="F75" s="1026">
        <v>0</v>
      </c>
      <c r="Q75" s="1026">
        <v>0</v>
      </c>
      <c r="R75" s="1026">
        <v>0</v>
      </c>
      <c r="S75" s="1026">
        <v>0</v>
      </c>
      <c r="W75" s="1026">
        <v>0</v>
      </c>
      <c r="AA75" s="1026">
        <v>0</v>
      </c>
      <c r="AE75" s="1026">
        <v>0</v>
      </c>
      <c r="AI75" s="1026">
        <v>0</v>
      </c>
      <c r="AM75" s="1026">
        <v>0</v>
      </c>
      <c r="AQ75" s="1026">
        <v>0</v>
      </c>
      <c r="AU75" s="1026">
        <v>0</v>
      </c>
      <c r="AY75" s="1026">
        <v>0</v>
      </c>
      <c r="BC75" s="1026">
        <v>0</v>
      </c>
      <c r="BG75" s="1026">
        <v>0</v>
      </c>
      <c r="BL75" s="1026">
        <v>0</v>
      </c>
      <c r="BM75" s="1026">
        <v>0</v>
      </c>
      <c r="BO75" s="1026">
        <v>0</v>
      </c>
      <c r="BT75" s="1026">
        <v>0</v>
      </c>
      <c r="BV75" s="1026">
        <v>0</v>
      </c>
      <c r="CA75" s="1026">
        <v>0</v>
      </c>
      <c r="CC75" s="1026">
        <v>0</v>
      </c>
      <c r="CI75" s="1026">
        <v>0</v>
      </c>
      <c r="CO75" s="1026">
        <v>0</v>
      </c>
      <c r="CT75" s="1026">
        <v>0</v>
      </c>
      <c r="CU75" s="1026">
        <v>0</v>
      </c>
      <c r="CX75" s="1026">
        <v>0</v>
      </c>
      <c r="DA75" s="1026">
        <v>0</v>
      </c>
      <c r="DE75" s="1026">
        <v>0</v>
      </c>
      <c r="DF75" s="1026">
        <v>0</v>
      </c>
      <c r="DI75" s="1026">
        <v>0</v>
      </c>
      <c r="DL75" s="1026">
        <v>0</v>
      </c>
      <c r="DR75" s="1026">
        <v>0</v>
      </c>
      <c r="DT75" s="1026">
        <v>0</v>
      </c>
      <c r="DW75" s="1026">
        <v>0</v>
      </c>
      <c r="EB75" s="1026">
        <v>0</v>
      </c>
      <c r="EF75" s="1026">
        <v>0</v>
      </c>
      <c r="EG75" s="1026">
        <v>0</v>
      </c>
      <c r="EJ75" s="1026">
        <v>0</v>
      </c>
      <c r="EM75" s="1026">
        <v>0</v>
      </c>
      <c r="ES75" s="1026">
        <v>79946876.600099996</v>
      </c>
      <c r="ET75" s="1026">
        <v>49730108</v>
      </c>
      <c r="EU75" s="1026">
        <v>4978411.0000000009</v>
      </c>
      <c r="EV75" s="1026">
        <v>44751697</v>
      </c>
      <c r="EW75" s="1026">
        <v>0</v>
      </c>
      <c r="EX75" s="1026">
        <v>0</v>
      </c>
      <c r="EY75" s="1026">
        <v>0</v>
      </c>
      <c r="EZ75" s="1026">
        <v>30216768.600099996</v>
      </c>
      <c r="FA75" s="1026">
        <v>3486414</v>
      </c>
      <c r="FB75" s="1026">
        <v>39198682.600099996</v>
      </c>
      <c r="FC75" s="1026">
        <v>-12468328</v>
      </c>
      <c r="FF75" s="1026">
        <v>5760823.7599000186</v>
      </c>
      <c r="FL75" s="1026">
        <v>85707700.360000014</v>
      </c>
      <c r="FM75" s="1026">
        <v>0</v>
      </c>
    </row>
    <row r="76" spans="2:188">
      <c r="B76" s="1790">
        <v>43891</v>
      </c>
      <c r="C76" s="1026">
        <v>0</v>
      </c>
      <c r="D76" s="1026">
        <v>0</v>
      </c>
      <c r="E76" s="1026">
        <v>0</v>
      </c>
      <c r="F76" s="1026">
        <v>0</v>
      </c>
      <c r="Q76" s="1026">
        <v>0</v>
      </c>
      <c r="R76" s="1026">
        <v>0</v>
      </c>
      <c r="S76" s="1026">
        <v>0</v>
      </c>
      <c r="W76" s="1026">
        <v>0</v>
      </c>
      <c r="AA76" s="1026">
        <v>0</v>
      </c>
      <c r="AE76" s="1026">
        <v>0</v>
      </c>
      <c r="AI76" s="1026">
        <v>0</v>
      </c>
      <c r="AM76" s="1026">
        <v>0</v>
      </c>
      <c r="AQ76" s="1026">
        <v>0</v>
      </c>
      <c r="AU76" s="1026">
        <v>0</v>
      </c>
      <c r="AY76" s="1026">
        <v>0</v>
      </c>
      <c r="BC76" s="1026">
        <v>0</v>
      </c>
      <c r="BG76" s="1026">
        <v>0</v>
      </c>
      <c r="BL76" s="1026">
        <v>0</v>
      </c>
      <c r="BM76" s="1026">
        <v>0</v>
      </c>
      <c r="BO76" s="1026">
        <v>0</v>
      </c>
      <c r="BT76" s="1026">
        <v>0</v>
      </c>
      <c r="BV76" s="1026">
        <v>0</v>
      </c>
      <c r="CA76" s="1026">
        <v>0</v>
      </c>
      <c r="CC76" s="1026">
        <v>0</v>
      </c>
      <c r="CI76" s="1026">
        <v>0</v>
      </c>
      <c r="CO76" s="1026">
        <v>0</v>
      </c>
      <c r="CT76" s="1026">
        <v>0</v>
      </c>
      <c r="CU76" s="1026">
        <v>0</v>
      </c>
      <c r="CX76" s="1026">
        <v>0</v>
      </c>
      <c r="DA76" s="1026">
        <v>0</v>
      </c>
      <c r="DE76" s="1026">
        <v>0</v>
      </c>
      <c r="DF76" s="1026">
        <v>0</v>
      </c>
      <c r="DI76" s="1026">
        <v>0</v>
      </c>
      <c r="DL76" s="1026">
        <v>0</v>
      </c>
      <c r="DR76" s="1026">
        <v>0</v>
      </c>
      <c r="DT76" s="1026">
        <v>0</v>
      </c>
      <c r="DW76" s="1026">
        <v>0</v>
      </c>
      <c r="EB76" s="1026">
        <v>0</v>
      </c>
      <c r="EF76" s="1026">
        <v>0</v>
      </c>
      <c r="EG76" s="1026">
        <v>0</v>
      </c>
      <c r="EJ76" s="1026">
        <v>0</v>
      </c>
      <c r="EM76" s="1026">
        <v>0</v>
      </c>
      <c r="ES76" s="1026">
        <v>78632199</v>
      </c>
      <c r="ET76" s="1026">
        <v>49730108</v>
      </c>
      <c r="EU76" s="1026">
        <v>4978411.0000000009</v>
      </c>
      <c r="EV76" s="1026">
        <v>44751697</v>
      </c>
      <c r="EW76" s="1026">
        <v>0</v>
      </c>
      <c r="EX76" s="1026">
        <v>0</v>
      </c>
      <c r="EY76" s="1026">
        <v>0</v>
      </c>
      <c r="EZ76" s="1026">
        <v>28502122</v>
      </c>
      <c r="FA76" s="1026">
        <v>0</v>
      </c>
      <c r="FB76" s="1026">
        <v>39598034</v>
      </c>
      <c r="FC76" s="1026">
        <v>-11095912</v>
      </c>
      <c r="FD76" s="1026">
        <v>399969</v>
      </c>
      <c r="FF76" s="1026">
        <v>4453353.3500000089</v>
      </c>
      <c r="FL76" s="1026">
        <v>83085552.350000009</v>
      </c>
      <c r="FM76" s="1026">
        <v>0</v>
      </c>
    </row>
    <row r="77" spans="2:188">
      <c r="B77" s="1790">
        <v>43922</v>
      </c>
      <c r="C77" s="1026">
        <v>0</v>
      </c>
      <c r="D77" s="1026">
        <v>0</v>
      </c>
      <c r="E77" s="1026">
        <v>0</v>
      </c>
      <c r="F77" s="1026">
        <v>0</v>
      </c>
      <c r="Q77" s="1026">
        <v>0</v>
      </c>
      <c r="R77" s="1026">
        <v>0</v>
      </c>
      <c r="S77" s="1026">
        <v>0</v>
      </c>
      <c r="W77" s="1026">
        <v>0</v>
      </c>
      <c r="AA77" s="1026">
        <v>0</v>
      </c>
      <c r="AE77" s="1026">
        <v>0</v>
      </c>
      <c r="AI77" s="1026">
        <v>0</v>
      </c>
      <c r="AM77" s="1026">
        <v>0</v>
      </c>
      <c r="AQ77" s="1026">
        <v>0</v>
      </c>
      <c r="AU77" s="1026">
        <v>0</v>
      </c>
      <c r="AY77" s="1026">
        <v>0</v>
      </c>
      <c r="BC77" s="1026">
        <v>0</v>
      </c>
      <c r="BG77" s="1026">
        <v>0</v>
      </c>
      <c r="BL77" s="1026">
        <v>0</v>
      </c>
      <c r="BM77" s="1026">
        <v>0</v>
      </c>
      <c r="BO77" s="1026">
        <v>0</v>
      </c>
      <c r="BT77" s="1026">
        <v>0</v>
      </c>
      <c r="BV77" s="1026">
        <v>0</v>
      </c>
      <c r="CA77" s="1026">
        <v>0</v>
      </c>
      <c r="CC77" s="1026">
        <v>0</v>
      </c>
      <c r="CI77" s="1026">
        <v>0</v>
      </c>
      <c r="CO77" s="1026">
        <v>0</v>
      </c>
      <c r="CT77" s="1026">
        <v>0</v>
      </c>
      <c r="CU77" s="1026">
        <v>0</v>
      </c>
      <c r="CX77" s="1026">
        <v>0</v>
      </c>
      <c r="DA77" s="1026">
        <v>0</v>
      </c>
      <c r="DE77" s="1026">
        <v>0</v>
      </c>
      <c r="DF77" s="1026">
        <v>0</v>
      </c>
      <c r="DI77" s="1026">
        <v>0</v>
      </c>
      <c r="DL77" s="1026">
        <v>0</v>
      </c>
      <c r="DR77" s="1026">
        <v>0</v>
      </c>
      <c r="DT77" s="1026">
        <v>0</v>
      </c>
      <c r="DW77" s="1026">
        <v>0</v>
      </c>
      <c r="EB77" s="1026">
        <v>0</v>
      </c>
      <c r="EF77" s="1026">
        <v>0</v>
      </c>
      <c r="EG77" s="1026">
        <v>0</v>
      </c>
      <c r="EJ77" s="1026">
        <v>0</v>
      </c>
      <c r="EM77" s="1026">
        <v>0</v>
      </c>
      <c r="ES77" s="1026">
        <v>78632199</v>
      </c>
      <c r="ET77" s="1026">
        <v>49730108</v>
      </c>
      <c r="EU77" s="1026">
        <v>4978411.0000000009</v>
      </c>
      <c r="EV77" s="1026">
        <v>44751697</v>
      </c>
      <c r="EW77" s="1026">
        <v>0</v>
      </c>
      <c r="EX77" s="1026">
        <v>0</v>
      </c>
      <c r="EY77" s="1026">
        <v>0</v>
      </c>
      <c r="EZ77" s="1026">
        <v>28502122</v>
      </c>
      <c r="FA77" s="1026">
        <v>0</v>
      </c>
      <c r="FB77" s="1026">
        <v>39598034</v>
      </c>
      <c r="FC77" s="1026">
        <v>-11095912</v>
      </c>
      <c r="FD77" s="1026">
        <v>399969</v>
      </c>
      <c r="FF77" s="1026">
        <v>4453353.3500000089</v>
      </c>
      <c r="FL77" s="1026">
        <v>83085552.350000009</v>
      </c>
      <c r="FM77" s="1026">
        <v>0</v>
      </c>
    </row>
    <row r="78" spans="2:188">
      <c r="B78" s="1790">
        <v>43952</v>
      </c>
      <c r="C78" s="1026">
        <v>0</v>
      </c>
      <c r="D78" s="1026">
        <v>0</v>
      </c>
      <c r="E78" s="1026">
        <v>0</v>
      </c>
      <c r="F78" s="1026">
        <v>0</v>
      </c>
      <c r="Q78" s="1026">
        <v>0</v>
      </c>
      <c r="R78" s="1026">
        <v>0</v>
      </c>
      <c r="S78" s="1026">
        <v>0</v>
      </c>
      <c r="W78" s="1026">
        <v>0</v>
      </c>
      <c r="AA78" s="1026">
        <v>0</v>
      </c>
      <c r="AE78" s="1026">
        <v>0</v>
      </c>
      <c r="AI78" s="1026">
        <v>0</v>
      </c>
      <c r="AM78" s="1026">
        <v>0</v>
      </c>
      <c r="AQ78" s="1026">
        <v>0</v>
      </c>
      <c r="AU78" s="1026">
        <v>0</v>
      </c>
      <c r="AY78" s="1026">
        <v>0</v>
      </c>
      <c r="BC78" s="1026">
        <v>0</v>
      </c>
      <c r="BG78" s="1026">
        <v>0</v>
      </c>
      <c r="BL78" s="1026">
        <v>0</v>
      </c>
      <c r="BM78" s="1026">
        <v>0</v>
      </c>
      <c r="BO78" s="1026">
        <v>0</v>
      </c>
      <c r="BT78" s="1026">
        <v>0</v>
      </c>
      <c r="BV78" s="1026">
        <v>0</v>
      </c>
      <c r="CA78" s="1026">
        <v>0</v>
      </c>
      <c r="CC78" s="1026">
        <v>0</v>
      </c>
      <c r="CI78" s="1026">
        <v>0</v>
      </c>
      <c r="CO78" s="1026">
        <v>0</v>
      </c>
      <c r="CT78" s="1026">
        <v>0</v>
      </c>
      <c r="CU78" s="1026">
        <v>0</v>
      </c>
      <c r="CX78" s="1026">
        <v>0</v>
      </c>
      <c r="DA78" s="1026">
        <v>0</v>
      </c>
      <c r="DE78" s="1026">
        <v>0</v>
      </c>
      <c r="DF78" s="1026">
        <v>0</v>
      </c>
      <c r="DI78" s="1026">
        <v>0</v>
      </c>
      <c r="DL78" s="1026">
        <v>0</v>
      </c>
      <c r="DR78" s="1026">
        <v>0</v>
      </c>
      <c r="DT78" s="1026">
        <v>0</v>
      </c>
      <c r="DW78" s="1026">
        <v>0</v>
      </c>
      <c r="EB78" s="1026">
        <v>0</v>
      </c>
      <c r="EF78" s="1026">
        <v>0</v>
      </c>
      <c r="EG78" s="1026">
        <v>0</v>
      </c>
      <c r="EJ78" s="1026">
        <v>0</v>
      </c>
      <c r="EM78" s="1026">
        <v>0</v>
      </c>
      <c r="ES78" s="1026">
        <v>75433980.930834785</v>
      </c>
      <c r="ET78" s="1026">
        <v>49730108</v>
      </c>
      <c r="EU78" s="1026">
        <v>4978411.0000000009</v>
      </c>
      <c r="EV78" s="1026">
        <v>44751697</v>
      </c>
      <c r="EW78" s="1026">
        <v>0</v>
      </c>
      <c r="EX78" s="1026">
        <v>0</v>
      </c>
      <c r="EY78" s="1026">
        <v>0</v>
      </c>
      <c r="EZ78" s="1026">
        <v>29365602.109999985</v>
      </c>
      <c r="FA78" s="1026">
        <v>18799.720000000205</v>
      </c>
      <c r="FB78" s="1026">
        <v>39337497.889999986</v>
      </c>
      <c r="FC78" s="1026">
        <v>-9990695.5</v>
      </c>
      <c r="FD78" s="1026">
        <v>-3661729.1791652041</v>
      </c>
      <c r="FF78" s="1026">
        <v>2820288.91</v>
      </c>
      <c r="FL78" s="1026">
        <v>78254269.840834782</v>
      </c>
      <c r="FM78" s="1026">
        <v>0</v>
      </c>
    </row>
    <row r="79" spans="2:188">
      <c r="B79" s="1790">
        <v>43983</v>
      </c>
      <c r="C79" s="1026">
        <v>0</v>
      </c>
      <c r="D79" s="1026">
        <v>0</v>
      </c>
      <c r="E79" s="1026">
        <v>0</v>
      </c>
      <c r="F79" s="1026">
        <v>0</v>
      </c>
      <c r="Q79" s="1026">
        <v>0</v>
      </c>
      <c r="R79" s="1026">
        <v>0</v>
      </c>
      <c r="S79" s="1026">
        <v>0</v>
      </c>
      <c r="W79" s="1026">
        <v>0</v>
      </c>
      <c r="AA79" s="1026">
        <v>0</v>
      </c>
      <c r="AE79" s="1026">
        <v>0</v>
      </c>
      <c r="AI79" s="1026">
        <v>0</v>
      </c>
      <c r="AM79" s="1026">
        <v>0</v>
      </c>
      <c r="AQ79" s="1026">
        <v>0</v>
      </c>
      <c r="AU79" s="1026">
        <v>0</v>
      </c>
      <c r="AY79" s="1026">
        <v>0</v>
      </c>
      <c r="BC79" s="1026">
        <v>0</v>
      </c>
      <c r="BG79" s="1026">
        <v>0</v>
      </c>
      <c r="BL79" s="1026">
        <v>0</v>
      </c>
      <c r="BM79" s="1026">
        <v>0</v>
      </c>
      <c r="BO79" s="1026">
        <v>0</v>
      </c>
      <c r="BT79" s="1026">
        <v>0</v>
      </c>
      <c r="BV79" s="1026">
        <v>0</v>
      </c>
      <c r="CA79" s="1026">
        <v>0</v>
      </c>
      <c r="CC79" s="1026">
        <v>0</v>
      </c>
      <c r="CI79" s="1026">
        <v>0</v>
      </c>
      <c r="CO79" s="1026">
        <v>0</v>
      </c>
      <c r="CT79" s="1026">
        <v>0</v>
      </c>
      <c r="CU79" s="1026">
        <v>0</v>
      </c>
      <c r="CX79" s="1026">
        <v>0</v>
      </c>
      <c r="DA79" s="1026">
        <v>0</v>
      </c>
      <c r="DE79" s="1026">
        <v>0</v>
      </c>
      <c r="DF79" s="1026">
        <v>0</v>
      </c>
      <c r="DI79" s="1026">
        <v>0</v>
      </c>
      <c r="DL79" s="1026">
        <v>0</v>
      </c>
      <c r="DR79" s="1026">
        <v>0</v>
      </c>
      <c r="DT79" s="1026">
        <v>0</v>
      </c>
      <c r="DW79" s="1026">
        <v>0</v>
      </c>
      <c r="EB79" s="1026">
        <v>0</v>
      </c>
      <c r="EF79" s="1026">
        <v>0</v>
      </c>
      <c r="EG79" s="1026">
        <v>0</v>
      </c>
      <c r="EJ79" s="1026">
        <v>0</v>
      </c>
      <c r="EM79" s="1026">
        <v>0</v>
      </c>
      <c r="ES79" s="1026">
        <v>74971515.250834778</v>
      </c>
      <c r="ET79" s="1026">
        <v>49730108</v>
      </c>
      <c r="EU79" s="1026">
        <v>4978411.0000000009</v>
      </c>
      <c r="EV79" s="1026">
        <v>44751697</v>
      </c>
      <c r="EW79" s="1026">
        <v>0</v>
      </c>
      <c r="EX79" s="1026">
        <v>0</v>
      </c>
      <c r="EY79" s="1026">
        <v>0</v>
      </c>
      <c r="EZ79" s="1026">
        <v>29779734.559999987</v>
      </c>
      <c r="FA79" s="1026">
        <v>1525729.75</v>
      </c>
      <c r="FB79" s="1026">
        <v>37655418.75999999</v>
      </c>
      <c r="FC79" s="1026">
        <v>-9401413.950000003</v>
      </c>
      <c r="FD79" s="1026">
        <v>-4538327.3091652039</v>
      </c>
      <c r="FF79" s="1026">
        <v>2970993.4</v>
      </c>
      <c r="FL79" s="1026">
        <v>77942508.650834784</v>
      </c>
    </row>
    <row r="80" spans="2:188">
      <c r="B80" s="1790">
        <v>44013</v>
      </c>
      <c r="C80" s="1026">
        <v>0</v>
      </c>
      <c r="D80" s="1026">
        <v>0</v>
      </c>
      <c r="E80" s="1026">
        <v>0</v>
      </c>
      <c r="F80" s="1026">
        <v>0</v>
      </c>
      <c r="Q80" s="1026">
        <v>0</v>
      </c>
      <c r="R80" s="1026">
        <v>0</v>
      </c>
      <c r="S80" s="1026">
        <v>0</v>
      </c>
      <c r="W80" s="1026">
        <v>0</v>
      </c>
      <c r="AA80" s="1026">
        <v>0</v>
      </c>
      <c r="AE80" s="1026">
        <v>0</v>
      </c>
      <c r="AI80" s="1026">
        <v>0</v>
      </c>
      <c r="AM80" s="1026">
        <v>0</v>
      </c>
      <c r="AQ80" s="1026">
        <v>0</v>
      </c>
      <c r="AU80" s="1026">
        <v>0</v>
      </c>
      <c r="AY80" s="1026">
        <v>0</v>
      </c>
      <c r="BC80" s="1026">
        <v>0</v>
      </c>
      <c r="BG80" s="1026">
        <v>0</v>
      </c>
      <c r="BL80" s="1026">
        <v>0</v>
      </c>
      <c r="BM80" s="1026">
        <v>0</v>
      </c>
      <c r="BO80" s="1026">
        <v>0</v>
      </c>
      <c r="BT80" s="1026">
        <v>0</v>
      </c>
      <c r="BV80" s="1026">
        <v>0</v>
      </c>
      <c r="CA80" s="1026">
        <v>0</v>
      </c>
      <c r="CC80" s="1026">
        <v>0</v>
      </c>
      <c r="CI80" s="1026">
        <v>0</v>
      </c>
      <c r="CO80" s="1026">
        <v>0</v>
      </c>
      <c r="CT80" s="1026">
        <v>0</v>
      </c>
      <c r="CU80" s="1026">
        <v>0</v>
      </c>
      <c r="CX80" s="1026">
        <v>0</v>
      </c>
      <c r="DA80" s="1026">
        <v>0</v>
      </c>
      <c r="DE80" s="1026">
        <v>0</v>
      </c>
      <c r="DF80" s="1026">
        <v>0</v>
      </c>
      <c r="DI80" s="1026">
        <v>0</v>
      </c>
      <c r="DL80" s="1026">
        <v>0</v>
      </c>
      <c r="DR80" s="1026">
        <v>0</v>
      </c>
      <c r="DT80" s="1026">
        <v>0</v>
      </c>
      <c r="DW80" s="1026">
        <v>0</v>
      </c>
      <c r="EB80" s="1026">
        <v>0</v>
      </c>
      <c r="EF80" s="1026">
        <v>0</v>
      </c>
      <c r="EG80" s="1026">
        <v>0</v>
      </c>
      <c r="EJ80" s="1026">
        <v>0</v>
      </c>
      <c r="EM80" s="1026">
        <v>0</v>
      </c>
      <c r="ES80" s="1026">
        <v>111655390.75083481</v>
      </c>
      <c r="ET80" s="1026">
        <v>49730108</v>
      </c>
      <c r="EU80" s="1026">
        <v>4978411.0000000009</v>
      </c>
      <c r="EV80" s="1026">
        <v>44751697</v>
      </c>
      <c r="EW80" s="1026">
        <v>0</v>
      </c>
      <c r="EX80" s="1026">
        <v>0</v>
      </c>
      <c r="EY80" s="1026">
        <v>0</v>
      </c>
      <c r="EZ80" s="1026">
        <v>56156881.37000002</v>
      </c>
      <c r="FA80" s="1026">
        <v>89249355.602500007</v>
      </c>
      <c r="FB80" s="1026">
        <v>36216307.440000005</v>
      </c>
      <c r="FC80" s="1026">
        <v>-69308781.672499999</v>
      </c>
      <c r="FD80" s="1026">
        <v>5768401.3808347834</v>
      </c>
      <c r="FF80" s="1026">
        <v>2931871.2491651983</v>
      </c>
      <c r="FL80" s="1026">
        <v>114587262</v>
      </c>
    </row>
    <row r="81" spans="2:169">
      <c r="B81" s="1790">
        <v>44044</v>
      </c>
      <c r="C81" s="1026">
        <f>+D81+I81+J81+K81+L81+M81+N81+O81</f>
        <v>0</v>
      </c>
      <c r="D81" s="1026">
        <f>+E81+F81+G81+H81</f>
        <v>0</v>
      </c>
      <c r="E81" s="1026">
        <v>0</v>
      </c>
      <c r="F81" s="1026">
        <v>0</v>
      </c>
      <c r="Q81" s="1026">
        <f>+R81+AI81+AM81+AQ81+AU81+AY81+BC81+BG81</f>
        <v>0</v>
      </c>
      <c r="R81" s="1026">
        <f>+S81+W81+AA81+AE81</f>
        <v>0</v>
      </c>
      <c r="S81" s="1026">
        <f>+T81+U81+V81</f>
        <v>0</v>
      </c>
      <c r="W81" s="1026">
        <f>+X81+Y81+Z81</f>
        <v>0</v>
      </c>
      <c r="AA81" s="1026">
        <f>+AB81+AC81+AD81</f>
        <v>0</v>
      </c>
      <c r="AE81" s="1026">
        <f>+AF81+AG81+AH81</f>
        <v>0</v>
      </c>
      <c r="AI81" s="1026">
        <f>+AJ81+AK81+AL81</f>
        <v>0</v>
      </c>
      <c r="AM81" s="1026">
        <f>+AN81+AO81+AP81</f>
        <v>0</v>
      </c>
      <c r="AQ81" s="1026">
        <f>+AR81+AS81+AT81</f>
        <v>0</v>
      </c>
      <c r="AU81" s="1026">
        <f>+AV81+AW81+AX81</f>
        <v>0</v>
      </c>
      <c r="AY81" s="1026">
        <f>+AZ81+BA81+BB81</f>
        <v>0</v>
      </c>
      <c r="BC81" s="1026">
        <f>+BD81+BE81+BF81</f>
        <v>0</v>
      </c>
      <c r="BG81" s="1026">
        <f>+BH81+BI81+BJ81</f>
        <v>0</v>
      </c>
      <c r="BL81" s="1026">
        <f>+BM81+BT81+CA81</f>
        <v>0</v>
      </c>
      <c r="BM81" s="1026">
        <f>+BN81+BO81</f>
        <v>0</v>
      </c>
      <c r="BO81" s="1026">
        <f>+BP81+BQ81+BR81</f>
        <v>0</v>
      </c>
      <c r="BT81" s="1026">
        <f>+BU81+BV81</f>
        <v>0</v>
      </c>
      <c r="BV81" s="1026">
        <f>+BW81+BX81+BY81</f>
        <v>0</v>
      </c>
      <c r="CA81" s="1026">
        <f>+CB81+CC81</f>
        <v>0</v>
      </c>
      <c r="CC81" s="1026">
        <f>+CD81+CE81+CF81</f>
        <v>0</v>
      </c>
      <c r="CI81" s="1026">
        <f>+CK81+CL81+CM81</f>
        <v>0</v>
      </c>
      <c r="CO81" s="1026">
        <f>+CP81+CQ81+CR81</f>
        <v>0</v>
      </c>
      <c r="CT81" s="1026">
        <f>+CU81+CX81+DA81</f>
        <v>0</v>
      </c>
      <c r="CU81" s="1026">
        <f>+CV81+CW81</f>
        <v>0</v>
      </c>
      <c r="CX81" s="1026">
        <f>+CY81+CZ81</f>
        <v>0</v>
      </c>
      <c r="DA81" s="1026">
        <f>+DB81+DC81</f>
        <v>0</v>
      </c>
      <c r="DE81" s="1026">
        <f>+DF81+DI81+DL81</f>
        <v>0</v>
      </c>
      <c r="DF81" s="1026">
        <f>+DG81+DH81</f>
        <v>0</v>
      </c>
      <c r="DI81" s="1026">
        <f>+DJ81+DK81</f>
        <v>0</v>
      </c>
      <c r="DL81" s="1026">
        <f>+DM81+DN81</f>
        <v>0</v>
      </c>
      <c r="DR81" s="1026">
        <f>+DT81+DW81+DZ81+EA81+EB81</f>
        <v>0</v>
      </c>
      <c r="DT81" s="1026">
        <f>+DU81+DV81</f>
        <v>0</v>
      </c>
      <c r="DW81" s="1026">
        <f>+DX81+DY81</f>
        <v>0</v>
      </c>
      <c r="EB81" s="1026">
        <f>+EC81+ED81</f>
        <v>0</v>
      </c>
      <c r="EF81" s="1026">
        <f>+EG81+EJ81+EM81</f>
        <v>0</v>
      </c>
      <c r="EG81" s="1026">
        <f>+EH81+EI81</f>
        <v>0</v>
      </c>
      <c r="EJ81" s="1026">
        <f>+EK81+EL81</f>
        <v>0</v>
      </c>
      <c r="EM81" s="1026">
        <f>+EN81+EO81</f>
        <v>0</v>
      </c>
      <c r="ES81" s="1026">
        <f>+ET81+EW81+EZ81+FD81</f>
        <v>111655391.75083481</v>
      </c>
      <c r="ET81" s="1026">
        <f>+EU81+EV81</f>
        <v>49730108</v>
      </c>
      <c r="EU81" s="1026">
        <v>4978411.0000000009</v>
      </c>
      <c r="EV81" s="1026">
        <v>44751697</v>
      </c>
      <c r="EW81" s="1026">
        <f>+EX81+EY81</f>
        <v>0</v>
      </c>
      <c r="EX81" s="1026">
        <v>0</v>
      </c>
      <c r="EY81" s="1026">
        <v>0</v>
      </c>
      <c r="EZ81" s="1026">
        <f>+FA81+FB81+FC81</f>
        <v>56156882.37000002</v>
      </c>
      <c r="FA81" s="1026">
        <v>89249355.602500007</v>
      </c>
      <c r="FB81" s="1026">
        <v>36216308.440000005</v>
      </c>
      <c r="FC81" s="1026">
        <v>-69308781.672499999</v>
      </c>
      <c r="FD81" s="1026">
        <v>5768401.3808347834</v>
      </c>
      <c r="FF81" s="1026">
        <v>2931869.7899999828</v>
      </c>
      <c r="FL81" s="1026">
        <f>+C81+Q81+BL81+CI81+CO81+CT81+DE81+DP81+DR81+EF81+EQ81+ES81+FF81</f>
        <v>114587261.54083478</v>
      </c>
    </row>
    <row r="82" spans="2:169">
      <c r="B82" s="1790">
        <v>44075</v>
      </c>
      <c r="C82" s="1026">
        <v>0</v>
      </c>
      <c r="D82" s="1026">
        <v>0</v>
      </c>
      <c r="E82" s="1026">
        <v>0</v>
      </c>
      <c r="F82" s="1026">
        <v>0</v>
      </c>
      <c r="Q82" s="1026">
        <v>0</v>
      </c>
      <c r="R82" s="1026">
        <v>0</v>
      </c>
      <c r="S82" s="1026">
        <v>0</v>
      </c>
      <c r="W82" s="1026">
        <v>0</v>
      </c>
      <c r="AA82" s="1026">
        <v>0</v>
      </c>
      <c r="AE82" s="1026">
        <v>0</v>
      </c>
      <c r="AI82" s="1026">
        <v>0</v>
      </c>
      <c r="AM82" s="1026">
        <v>0</v>
      </c>
      <c r="AQ82" s="1026">
        <v>0</v>
      </c>
      <c r="AU82" s="1026">
        <v>0</v>
      </c>
      <c r="AY82" s="1026">
        <v>0</v>
      </c>
      <c r="BC82" s="1026">
        <v>0</v>
      </c>
      <c r="BG82" s="1026">
        <v>0</v>
      </c>
      <c r="BL82" s="1026">
        <v>0</v>
      </c>
      <c r="BM82" s="1026">
        <v>0</v>
      </c>
      <c r="BO82" s="1026">
        <v>0</v>
      </c>
      <c r="BT82" s="1026">
        <v>0</v>
      </c>
      <c r="BV82" s="1026">
        <v>0</v>
      </c>
      <c r="CA82" s="1026">
        <v>0</v>
      </c>
      <c r="CC82" s="1026">
        <v>0</v>
      </c>
      <c r="CI82" s="1026">
        <v>0</v>
      </c>
      <c r="CO82" s="1026">
        <v>0</v>
      </c>
      <c r="CT82" s="1026">
        <v>0</v>
      </c>
      <c r="CU82" s="1026">
        <v>0</v>
      </c>
      <c r="CX82" s="1026">
        <v>0</v>
      </c>
      <c r="DA82" s="1026">
        <v>0</v>
      </c>
      <c r="DE82" s="1026">
        <v>0</v>
      </c>
      <c r="DF82" s="1026">
        <v>0</v>
      </c>
      <c r="DI82" s="1026">
        <v>0</v>
      </c>
      <c r="DL82" s="1026">
        <v>0</v>
      </c>
      <c r="DR82" s="1026">
        <v>0</v>
      </c>
      <c r="DT82" s="1026">
        <v>0</v>
      </c>
      <c r="DW82" s="1026">
        <v>0</v>
      </c>
      <c r="EB82" s="1026">
        <v>0</v>
      </c>
      <c r="EF82" s="1026">
        <v>0</v>
      </c>
      <c r="EG82" s="1026">
        <v>0</v>
      </c>
      <c r="EJ82" s="1026">
        <v>0</v>
      </c>
      <c r="EM82" s="1026">
        <v>0</v>
      </c>
      <c r="ES82" s="1026">
        <v>965582773.74000001</v>
      </c>
      <c r="ET82" s="1026">
        <v>50306580</v>
      </c>
      <c r="EU82" s="1026">
        <v>5030658</v>
      </c>
      <c r="EV82" s="1026">
        <v>45275922</v>
      </c>
      <c r="EW82" s="1026">
        <v>0</v>
      </c>
      <c r="EX82" s="1026">
        <v>0</v>
      </c>
      <c r="EY82" s="1026">
        <v>0</v>
      </c>
      <c r="EZ82" s="1026">
        <v>912777950.74000001</v>
      </c>
      <c r="FA82" s="1026">
        <v>951644714</v>
      </c>
      <c r="FB82" s="1026">
        <v>38293128.74000001</v>
      </c>
      <c r="FC82" s="1026">
        <v>-77159892</v>
      </c>
      <c r="FD82" s="1026">
        <v>2498243</v>
      </c>
      <c r="FF82" s="1026">
        <v>4538604.7999999523</v>
      </c>
      <c r="FL82" s="1026">
        <v>970121378.53999996</v>
      </c>
      <c r="FM82" s="1026">
        <v>0</v>
      </c>
    </row>
    <row r="83" spans="2:169">
      <c r="B83" s="1790">
        <v>44105</v>
      </c>
      <c r="C83" s="1026">
        <v>0</v>
      </c>
      <c r="D83" s="1026">
        <v>0</v>
      </c>
      <c r="E83" s="1026">
        <v>0</v>
      </c>
      <c r="F83" s="1026">
        <v>0</v>
      </c>
      <c r="Q83" s="1026">
        <v>0</v>
      </c>
      <c r="R83" s="1026">
        <v>0</v>
      </c>
      <c r="S83" s="1026">
        <v>0</v>
      </c>
      <c r="W83" s="1026">
        <v>0</v>
      </c>
      <c r="AA83" s="1026">
        <v>0</v>
      </c>
      <c r="AE83" s="1026">
        <v>0</v>
      </c>
      <c r="AI83" s="1026">
        <v>0</v>
      </c>
      <c r="AM83" s="1026">
        <v>0</v>
      </c>
      <c r="AQ83" s="1026">
        <v>0</v>
      </c>
      <c r="AU83" s="1026">
        <v>0</v>
      </c>
      <c r="AY83" s="1026">
        <v>0</v>
      </c>
      <c r="BC83" s="1026">
        <v>0</v>
      </c>
      <c r="BG83" s="1026">
        <v>0</v>
      </c>
      <c r="BL83" s="1026">
        <v>0</v>
      </c>
      <c r="BM83" s="1026">
        <v>0</v>
      </c>
      <c r="BO83" s="1026">
        <v>0</v>
      </c>
      <c r="BT83" s="1026">
        <v>0</v>
      </c>
      <c r="BV83" s="1026">
        <v>0</v>
      </c>
      <c r="CA83" s="1026">
        <v>0</v>
      </c>
      <c r="CC83" s="1026">
        <v>0</v>
      </c>
      <c r="CI83" s="1026">
        <v>0</v>
      </c>
      <c r="CO83" s="1026">
        <v>0</v>
      </c>
      <c r="CT83" s="1026">
        <v>0</v>
      </c>
      <c r="CU83" s="1026">
        <v>0</v>
      </c>
      <c r="CX83" s="1026">
        <v>0</v>
      </c>
      <c r="DA83" s="1026">
        <v>0</v>
      </c>
      <c r="DE83" s="1026">
        <v>0</v>
      </c>
      <c r="DF83" s="1026">
        <v>0</v>
      </c>
      <c r="DI83" s="1026">
        <v>0</v>
      </c>
      <c r="DL83" s="1026">
        <v>0</v>
      </c>
      <c r="DR83" s="1026">
        <v>0</v>
      </c>
      <c r="DT83" s="1026">
        <v>0</v>
      </c>
      <c r="DW83" s="1026">
        <v>0</v>
      </c>
      <c r="EB83" s="1026">
        <v>0</v>
      </c>
      <c r="EF83" s="1026">
        <v>0</v>
      </c>
      <c r="EG83" s="1026">
        <v>0</v>
      </c>
      <c r="EJ83" s="1026">
        <v>0</v>
      </c>
      <c r="EM83" s="1026">
        <v>0</v>
      </c>
      <c r="ES83" s="1026">
        <v>965582773.74000001</v>
      </c>
      <c r="ET83" s="1026">
        <v>50306580</v>
      </c>
      <c r="EU83" s="1026">
        <v>5030658</v>
      </c>
      <c r="EV83" s="1026">
        <v>45275922</v>
      </c>
      <c r="EW83" s="1026">
        <v>0</v>
      </c>
      <c r="EX83" s="1026">
        <v>0</v>
      </c>
      <c r="EY83" s="1026">
        <v>0</v>
      </c>
      <c r="EZ83" s="1026">
        <v>912777950.74000001</v>
      </c>
      <c r="FA83" s="1026">
        <v>951644714</v>
      </c>
      <c r="FB83" s="1026">
        <v>38293128.74000001</v>
      </c>
      <c r="FC83" s="1026">
        <v>-77159892</v>
      </c>
      <c r="FD83" s="1026">
        <v>2498243</v>
      </c>
      <c r="FF83" s="1026">
        <v>4538604.7999999523</v>
      </c>
      <c r="FL83" s="1026">
        <v>970121378.53999996</v>
      </c>
      <c r="FM83" s="1026">
        <v>0</v>
      </c>
    </row>
    <row r="84" spans="2:169">
      <c r="B84" s="1790">
        <v>44136</v>
      </c>
      <c r="C84" s="1026">
        <v>0</v>
      </c>
      <c r="D84" s="1026">
        <v>0</v>
      </c>
      <c r="E84" s="1026">
        <v>0</v>
      </c>
      <c r="F84" s="1026">
        <v>0</v>
      </c>
      <c r="Q84" s="1026">
        <v>0</v>
      </c>
      <c r="R84" s="1026">
        <v>0</v>
      </c>
      <c r="S84" s="1026">
        <v>0</v>
      </c>
      <c r="W84" s="1026">
        <v>0</v>
      </c>
      <c r="AA84" s="1026">
        <v>0</v>
      </c>
      <c r="AE84" s="1026">
        <v>0</v>
      </c>
      <c r="AI84" s="1026">
        <v>0</v>
      </c>
      <c r="AM84" s="1026">
        <v>0</v>
      </c>
      <c r="AQ84" s="1026">
        <v>0</v>
      </c>
      <c r="AU84" s="1026">
        <v>0</v>
      </c>
      <c r="AY84" s="1026">
        <v>0</v>
      </c>
      <c r="BC84" s="1026">
        <v>0</v>
      </c>
      <c r="BG84" s="1026">
        <v>0</v>
      </c>
      <c r="BL84" s="1026">
        <v>0</v>
      </c>
      <c r="BM84" s="1026">
        <v>0</v>
      </c>
      <c r="BO84" s="1026">
        <v>0</v>
      </c>
      <c r="BT84" s="1026">
        <v>0</v>
      </c>
      <c r="BV84" s="1026">
        <v>0</v>
      </c>
      <c r="CA84" s="1026">
        <v>0</v>
      </c>
      <c r="CC84" s="1026">
        <v>0</v>
      </c>
      <c r="CI84" s="1026">
        <v>0</v>
      </c>
      <c r="CO84" s="1026">
        <v>0</v>
      </c>
      <c r="CT84" s="1026">
        <v>0</v>
      </c>
      <c r="CU84" s="1026">
        <v>0</v>
      </c>
      <c r="CX84" s="1026">
        <v>0</v>
      </c>
      <c r="DA84" s="1026">
        <v>0</v>
      </c>
      <c r="DE84" s="1026">
        <v>0</v>
      </c>
      <c r="DF84" s="1026">
        <v>0</v>
      </c>
      <c r="DI84" s="1026">
        <v>0</v>
      </c>
      <c r="DL84" s="1026">
        <v>0</v>
      </c>
      <c r="DR84" s="1026">
        <v>0</v>
      </c>
      <c r="DT84" s="1026">
        <v>0</v>
      </c>
      <c r="DW84" s="1026">
        <v>0</v>
      </c>
      <c r="EB84" s="1026">
        <v>0</v>
      </c>
      <c r="EF84" s="1026">
        <v>0</v>
      </c>
      <c r="EG84" s="1026">
        <v>0</v>
      </c>
      <c r="EJ84" s="1026">
        <v>0</v>
      </c>
      <c r="EM84" s="1026">
        <v>0</v>
      </c>
      <c r="ES84" s="1026">
        <v>968630583.74000001</v>
      </c>
      <c r="ET84" s="1026">
        <v>50306580</v>
      </c>
      <c r="EU84" s="1026">
        <v>5030658</v>
      </c>
      <c r="EV84" s="1026">
        <v>45275922</v>
      </c>
      <c r="EW84" s="1026">
        <v>0</v>
      </c>
      <c r="EX84" s="1026">
        <v>0</v>
      </c>
      <c r="EY84" s="1026">
        <v>0</v>
      </c>
      <c r="EZ84" s="1026">
        <v>916143760.74000001</v>
      </c>
      <c r="FA84" s="1026">
        <v>3365621</v>
      </c>
      <c r="FB84" s="1026">
        <v>34677507.74000001</v>
      </c>
      <c r="FC84" s="1026">
        <v>878100632</v>
      </c>
      <c r="FD84" s="1026">
        <v>2180243</v>
      </c>
      <c r="FF84" s="1026">
        <v>4538605.3300000429</v>
      </c>
      <c r="FL84" s="1026">
        <v>973169189.07000005</v>
      </c>
      <c r="FM84" s="1026">
        <v>0</v>
      </c>
    </row>
    <row r="85" spans="2:169">
      <c r="B85" s="1790">
        <v>44166</v>
      </c>
      <c r="C85" s="1026">
        <v>0</v>
      </c>
      <c r="D85" s="1026">
        <v>0</v>
      </c>
      <c r="E85" s="1026">
        <v>0</v>
      </c>
      <c r="F85" s="1026">
        <v>0</v>
      </c>
      <c r="Q85" s="1026">
        <v>0</v>
      </c>
      <c r="R85" s="1026">
        <v>0</v>
      </c>
      <c r="S85" s="1026">
        <v>0</v>
      </c>
      <c r="W85" s="1026">
        <v>0</v>
      </c>
      <c r="AA85" s="1026">
        <v>0</v>
      </c>
      <c r="AE85" s="1026">
        <v>0</v>
      </c>
      <c r="AI85" s="1026">
        <v>0</v>
      </c>
      <c r="AM85" s="1026">
        <v>0</v>
      </c>
      <c r="AQ85" s="1026">
        <v>0</v>
      </c>
      <c r="AU85" s="1026">
        <v>0</v>
      </c>
      <c r="AY85" s="1026">
        <v>0</v>
      </c>
      <c r="BC85" s="1026">
        <v>0</v>
      </c>
      <c r="BG85" s="1026">
        <v>0</v>
      </c>
      <c r="BL85" s="1026">
        <v>0</v>
      </c>
      <c r="BM85" s="1026">
        <v>0</v>
      </c>
      <c r="BO85" s="1026">
        <v>0</v>
      </c>
      <c r="BT85" s="1026">
        <v>0</v>
      </c>
      <c r="BV85" s="1026">
        <v>0</v>
      </c>
      <c r="CA85" s="1026">
        <v>0</v>
      </c>
      <c r="CC85" s="1026">
        <v>0</v>
      </c>
      <c r="CI85" s="1026">
        <v>0</v>
      </c>
      <c r="CO85" s="1026">
        <v>0</v>
      </c>
      <c r="CT85" s="1026">
        <v>0</v>
      </c>
      <c r="CU85" s="1026">
        <v>0</v>
      </c>
      <c r="CX85" s="1026">
        <v>0</v>
      </c>
      <c r="DA85" s="1026">
        <v>0</v>
      </c>
      <c r="DE85" s="1026">
        <v>0</v>
      </c>
      <c r="DF85" s="1026">
        <v>0</v>
      </c>
      <c r="DI85" s="1026">
        <v>0</v>
      </c>
      <c r="DL85" s="1026">
        <v>0</v>
      </c>
      <c r="DR85" s="1026">
        <v>0</v>
      </c>
      <c r="DT85" s="1026">
        <v>0</v>
      </c>
      <c r="DW85" s="1026">
        <v>0</v>
      </c>
      <c r="EB85" s="1026">
        <v>0</v>
      </c>
      <c r="EF85" s="1026">
        <v>0</v>
      </c>
      <c r="EG85" s="1026">
        <v>0</v>
      </c>
      <c r="EJ85" s="1026">
        <v>0</v>
      </c>
      <c r="EM85" s="1026">
        <v>0</v>
      </c>
      <c r="ES85" s="1026">
        <v>981703543.58999991</v>
      </c>
      <c r="ET85" s="1026">
        <v>50306580</v>
      </c>
      <c r="EU85" s="1026">
        <v>5030658</v>
      </c>
      <c r="EV85" s="1026">
        <v>45275922</v>
      </c>
      <c r="EW85" s="1026">
        <v>0</v>
      </c>
      <c r="EX85" s="1026">
        <v>0</v>
      </c>
      <c r="EY85" s="1026">
        <v>0</v>
      </c>
      <c r="EZ85" s="1026">
        <v>916724138.86999989</v>
      </c>
      <c r="FA85" s="1026">
        <v>4094452.35</v>
      </c>
      <c r="FB85" s="1026">
        <v>31276567.580000006</v>
      </c>
      <c r="FC85" s="1026">
        <v>881353118.93999994</v>
      </c>
      <c r="FD85" s="1026">
        <v>14672824.720000001</v>
      </c>
      <c r="FF85" s="1026">
        <v>4688311.05</v>
      </c>
      <c r="FL85" s="1026">
        <v>986391854.63999987</v>
      </c>
      <c r="FM85" s="1026">
        <v>-0.45999991893768311</v>
      </c>
    </row>
    <row r="86" spans="2:169">
      <c r="B86" s="1790">
        <v>44197</v>
      </c>
      <c r="C86" s="1026">
        <v>0</v>
      </c>
      <c r="D86" s="1026">
        <v>0</v>
      </c>
      <c r="E86" s="1026">
        <v>0</v>
      </c>
      <c r="F86" s="1026">
        <v>0</v>
      </c>
      <c r="Q86" s="1026">
        <v>0</v>
      </c>
      <c r="R86" s="1026">
        <v>0</v>
      </c>
      <c r="S86" s="1026">
        <v>0</v>
      </c>
      <c r="W86" s="1026">
        <v>0</v>
      </c>
      <c r="AA86" s="1026">
        <v>0</v>
      </c>
      <c r="AE86" s="1026">
        <v>0</v>
      </c>
      <c r="AI86" s="1026">
        <v>0</v>
      </c>
      <c r="AM86" s="1026">
        <v>0</v>
      </c>
      <c r="AQ86" s="1026">
        <v>0</v>
      </c>
      <c r="AU86" s="1026">
        <v>0</v>
      </c>
      <c r="AY86" s="1026">
        <v>0</v>
      </c>
      <c r="BC86" s="1026">
        <v>0</v>
      </c>
      <c r="BG86" s="1026">
        <v>0</v>
      </c>
      <c r="BL86" s="1026">
        <v>0</v>
      </c>
      <c r="BM86" s="1026">
        <v>0</v>
      </c>
      <c r="BO86" s="1026">
        <v>0</v>
      </c>
      <c r="BT86" s="1026">
        <v>0</v>
      </c>
      <c r="BV86" s="1026">
        <v>0</v>
      </c>
      <c r="CA86" s="1026">
        <v>0</v>
      </c>
      <c r="CC86" s="1026">
        <v>0</v>
      </c>
      <c r="CI86" s="1026">
        <v>0</v>
      </c>
      <c r="CO86" s="1026">
        <v>0</v>
      </c>
      <c r="CT86" s="1026">
        <v>0</v>
      </c>
      <c r="CU86" s="1026">
        <v>0</v>
      </c>
      <c r="CX86" s="1026">
        <v>0</v>
      </c>
      <c r="DA86" s="1026">
        <v>0</v>
      </c>
      <c r="DE86" s="1026">
        <v>0</v>
      </c>
      <c r="DF86" s="1026">
        <v>0</v>
      </c>
      <c r="DI86" s="1026">
        <v>0</v>
      </c>
      <c r="DL86" s="1026">
        <v>0</v>
      </c>
      <c r="DR86" s="1026">
        <v>0</v>
      </c>
      <c r="DT86" s="1026">
        <v>0</v>
      </c>
      <c r="DW86" s="1026">
        <v>0</v>
      </c>
      <c r="EB86" s="1026">
        <v>0</v>
      </c>
      <c r="EF86" s="1026">
        <v>0</v>
      </c>
      <c r="EG86" s="1026">
        <v>0</v>
      </c>
      <c r="EJ86" s="1026">
        <v>0</v>
      </c>
      <c r="EM86" s="1026">
        <v>0</v>
      </c>
      <c r="ES86" s="1026">
        <v>999487039.1716001</v>
      </c>
      <c r="ET86" s="1026">
        <v>50306580</v>
      </c>
      <c r="EU86" s="1026">
        <v>5030658</v>
      </c>
      <c r="EV86" s="1026">
        <v>45275922</v>
      </c>
      <c r="EW86" s="1026">
        <v>0</v>
      </c>
      <c r="EX86" s="1026">
        <v>0</v>
      </c>
      <c r="EY86" s="1026">
        <v>0</v>
      </c>
      <c r="EZ86" s="1026">
        <v>947448295.75000012</v>
      </c>
      <c r="FA86" s="1026">
        <v>4354509.01</v>
      </c>
      <c r="FB86" s="1026">
        <v>28592446.810000002</v>
      </c>
      <c r="FC86" s="1026">
        <v>914501339.93000007</v>
      </c>
      <c r="FD86" s="1026">
        <v>1732163.4215999956</v>
      </c>
      <c r="FF86" s="1026">
        <v>2360306.1100000003</v>
      </c>
      <c r="FL86" s="1026">
        <v>1001847345.2816001</v>
      </c>
    </row>
    <row r="87" spans="2:169">
      <c r="B87" s="1790">
        <v>44228</v>
      </c>
      <c r="C87" s="1026">
        <v>0</v>
      </c>
      <c r="D87" s="1026">
        <v>0</v>
      </c>
      <c r="E87" s="1026">
        <v>0</v>
      </c>
      <c r="F87" s="1026">
        <v>0</v>
      </c>
      <c r="Q87" s="1026">
        <v>0</v>
      </c>
      <c r="R87" s="1026">
        <v>0</v>
      </c>
      <c r="S87" s="1026">
        <v>0</v>
      </c>
      <c r="W87" s="1026">
        <v>0</v>
      </c>
      <c r="AA87" s="1026">
        <v>0</v>
      </c>
      <c r="AE87" s="1026">
        <v>0</v>
      </c>
      <c r="AI87" s="1026">
        <v>0</v>
      </c>
      <c r="AM87" s="1026">
        <v>0</v>
      </c>
      <c r="AQ87" s="1026">
        <v>0</v>
      </c>
      <c r="AU87" s="1026">
        <v>0</v>
      </c>
      <c r="AY87" s="1026">
        <v>0</v>
      </c>
      <c r="BC87" s="1026">
        <v>0</v>
      </c>
      <c r="BG87" s="1026">
        <v>0</v>
      </c>
      <c r="BL87" s="1026">
        <v>0</v>
      </c>
      <c r="BM87" s="1026">
        <v>0</v>
      </c>
      <c r="BO87" s="1026">
        <v>0</v>
      </c>
      <c r="BT87" s="1026">
        <v>0</v>
      </c>
      <c r="BV87" s="1026">
        <v>0</v>
      </c>
      <c r="CA87" s="1026">
        <v>0</v>
      </c>
      <c r="CC87" s="1026">
        <v>0</v>
      </c>
      <c r="CI87" s="1026">
        <v>0</v>
      </c>
      <c r="CO87" s="1026">
        <v>0</v>
      </c>
      <c r="CT87" s="1026">
        <v>0</v>
      </c>
      <c r="CU87" s="1026">
        <v>0</v>
      </c>
      <c r="CX87" s="1026">
        <v>0</v>
      </c>
      <c r="DA87" s="1026">
        <v>0</v>
      </c>
      <c r="DE87" s="1026">
        <v>0</v>
      </c>
      <c r="DF87" s="1026">
        <v>0</v>
      </c>
      <c r="DI87" s="1026">
        <v>0</v>
      </c>
      <c r="DL87" s="1026">
        <v>0</v>
      </c>
      <c r="DR87" s="1026">
        <v>0</v>
      </c>
      <c r="DT87" s="1026">
        <v>0</v>
      </c>
      <c r="DW87" s="1026">
        <v>0</v>
      </c>
      <c r="EB87" s="1026">
        <v>0</v>
      </c>
      <c r="EF87" s="1026">
        <v>0</v>
      </c>
      <c r="EG87" s="1026">
        <v>0</v>
      </c>
      <c r="EJ87" s="1026">
        <v>0</v>
      </c>
      <c r="EM87" s="1026">
        <v>0</v>
      </c>
      <c r="ES87" s="1026">
        <v>1009719622.1716001</v>
      </c>
      <c r="ET87" s="1026">
        <v>50306580</v>
      </c>
      <c r="EU87" s="1026">
        <v>5030658</v>
      </c>
      <c r="EV87" s="1026">
        <v>45275922</v>
      </c>
      <c r="EW87" s="1026">
        <v>0</v>
      </c>
      <c r="EX87" s="1026">
        <v>0</v>
      </c>
      <c r="EY87" s="1026">
        <v>0</v>
      </c>
      <c r="EZ87" s="1026">
        <v>958940878.75000012</v>
      </c>
      <c r="FA87" s="1026">
        <v>3034509.01</v>
      </c>
      <c r="FB87" s="1026">
        <v>28592446.810000002</v>
      </c>
      <c r="FC87" s="1026">
        <v>927313922.93000007</v>
      </c>
      <c r="FD87" s="1026">
        <v>472163.4216</v>
      </c>
      <c r="FF87" s="1026">
        <v>2360306.1100000003</v>
      </c>
      <c r="FL87" s="1026">
        <v>1012079928.2816001</v>
      </c>
      <c r="FM87" s="1026">
        <v>0.25219976902008057</v>
      </c>
    </row>
    <row r="88" spans="2:169">
      <c r="B88" s="1790">
        <v>44256</v>
      </c>
      <c r="C88" s="1026">
        <v>0</v>
      </c>
      <c r="D88" s="1026">
        <v>0</v>
      </c>
      <c r="E88" s="1026">
        <v>0</v>
      </c>
      <c r="F88" s="1026">
        <v>0</v>
      </c>
      <c r="Q88" s="1026">
        <v>0</v>
      </c>
      <c r="R88" s="1026">
        <v>0</v>
      </c>
      <c r="S88" s="1026">
        <v>0</v>
      </c>
      <c r="W88" s="1026">
        <v>0</v>
      </c>
      <c r="AA88" s="1026">
        <v>0</v>
      </c>
      <c r="AE88" s="1026">
        <v>0</v>
      </c>
      <c r="AI88" s="1026">
        <v>0</v>
      </c>
      <c r="AM88" s="1026">
        <v>0</v>
      </c>
      <c r="AQ88" s="1026">
        <v>0</v>
      </c>
      <c r="AU88" s="1026">
        <v>0</v>
      </c>
      <c r="AY88" s="1026">
        <v>0</v>
      </c>
      <c r="BC88" s="1026">
        <v>0</v>
      </c>
      <c r="BG88" s="1026">
        <v>0</v>
      </c>
      <c r="BL88" s="1026">
        <v>0</v>
      </c>
      <c r="BM88" s="1026">
        <v>0</v>
      </c>
      <c r="BO88" s="1026">
        <v>0</v>
      </c>
      <c r="BT88" s="1026">
        <v>0</v>
      </c>
      <c r="BV88" s="1026">
        <v>0</v>
      </c>
      <c r="CA88" s="1026">
        <v>0</v>
      </c>
      <c r="CC88" s="1026">
        <v>0</v>
      </c>
      <c r="CI88" s="1026">
        <v>0</v>
      </c>
      <c r="CO88" s="1026">
        <v>0</v>
      </c>
      <c r="CT88" s="1026">
        <v>0</v>
      </c>
      <c r="CU88" s="1026">
        <v>0</v>
      </c>
      <c r="CX88" s="1026">
        <v>0</v>
      </c>
      <c r="DA88" s="1026">
        <v>0</v>
      </c>
      <c r="DE88" s="1026">
        <v>0</v>
      </c>
      <c r="DF88" s="1026">
        <v>0</v>
      </c>
      <c r="DI88" s="1026">
        <v>0</v>
      </c>
      <c r="DL88" s="1026">
        <v>0</v>
      </c>
      <c r="DR88" s="1026">
        <v>0</v>
      </c>
      <c r="DT88" s="1026">
        <v>0</v>
      </c>
      <c r="DW88" s="1026">
        <v>0</v>
      </c>
      <c r="EB88" s="1026">
        <v>0</v>
      </c>
      <c r="EF88" s="1026">
        <v>0</v>
      </c>
      <c r="EG88" s="1026">
        <v>0</v>
      </c>
      <c r="EJ88" s="1026">
        <v>0</v>
      </c>
      <c r="EM88" s="1026">
        <v>0</v>
      </c>
      <c r="ES88" s="1026">
        <v>995542931.1716001</v>
      </c>
      <c r="ET88" s="1026">
        <v>50306580</v>
      </c>
      <c r="EU88" s="1026">
        <v>5030658</v>
      </c>
      <c r="EV88" s="1026">
        <v>45275922</v>
      </c>
      <c r="EW88" s="1026">
        <v>0</v>
      </c>
      <c r="EX88" s="1026">
        <v>0</v>
      </c>
      <c r="EY88" s="1026">
        <v>0</v>
      </c>
      <c r="EZ88" s="1026">
        <v>944204687.75000012</v>
      </c>
      <c r="FA88" s="1026">
        <v>4354509.01</v>
      </c>
      <c r="FB88" s="1026">
        <v>28592446.809999999</v>
      </c>
      <c r="FC88" s="1026">
        <v>911257731.93000007</v>
      </c>
      <c r="FD88" s="1026">
        <v>1031663.4216</v>
      </c>
      <c r="FF88" s="1026">
        <v>2360306.1100000003</v>
      </c>
      <c r="FL88" s="1026">
        <v>997903237.28160012</v>
      </c>
      <c r="FM88" s="1026">
        <v>0.25219964981079102</v>
      </c>
    </row>
    <row r="89" spans="2:169">
      <c r="B89" s="1790">
        <v>44287</v>
      </c>
      <c r="C89" s="1026">
        <v>0</v>
      </c>
      <c r="D89" s="1026">
        <v>0</v>
      </c>
      <c r="E89" s="1026">
        <v>0</v>
      </c>
      <c r="F89" s="1026">
        <v>0</v>
      </c>
      <c r="Q89" s="1026">
        <v>0</v>
      </c>
      <c r="R89" s="1026">
        <v>0</v>
      </c>
      <c r="S89" s="1026">
        <v>0</v>
      </c>
      <c r="W89" s="1026">
        <v>0</v>
      </c>
      <c r="AA89" s="1026">
        <v>0</v>
      </c>
      <c r="AE89" s="1026">
        <v>0</v>
      </c>
      <c r="AI89" s="1026">
        <v>0</v>
      </c>
      <c r="AM89" s="1026">
        <v>0</v>
      </c>
      <c r="AQ89" s="1026">
        <v>0</v>
      </c>
      <c r="AU89" s="1026">
        <v>0</v>
      </c>
      <c r="AY89" s="1026">
        <v>0</v>
      </c>
      <c r="BC89" s="1026">
        <v>0</v>
      </c>
      <c r="BG89" s="1026">
        <v>0</v>
      </c>
      <c r="BL89" s="1026">
        <v>0</v>
      </c>
      <c r="BM89" s="1026">
        <v>0</v>
      </c>
      <c r="BO89" s="1026">
        <v>0</v>
      </c>
      <c r="BT89" s="1026">
        <v>0</v>
      </c>
      <c r="BV89" s="1026">
        <v>0</v>
      </c>
      <c r="CA89" s="1026">
        <v>0</v>
      </c>
      <c r="CC89" s="1026">
        <v>0</v>
      </c>
      <c r="CI89" s="1026">
        <v>0</v>
      </c>
      <c r="CO89" s="1026">
        <v>0</v>
      </c>
      <c r="CT89" s="1026">
        <v>0</v>
      </c>
      <c r="CU89" s="1026">
        <v>0</v>
      </c>
      <c r="CX89" s="1026">
        <v>0</v>
      </c>
      <c r="DA89" s="1026">
        <v>0</v>
      </c>
      <c r="DE89" s="1026">
        <v>0</v>
      </c>
      <c r="DF89" s="1026">
        <v>0</v>
      </c>
      <c r="DI89" s="1026">
        <v>0</v>
      </c>
      <c r="DL89" s="1026">
        <v>0</v>
      </c>
      <c r="DR89" s="1026">
        <v>0</v>
      </c>
      <c r="DT89" s="1026">
        <v>0</v>
      </c>
      <c r="DW89" s="1026">
        <v>0</v>
      </c>
      <c r="EB89" s="1026">
        <v>0</v>
      </c>
      <c r="EF89" s="1026">
        <v>0</v>
      </c>
      <c r="EG89" s="1026">
        <v>0</v>
      </c>
      <c r="EJ89" s="1026">
        <v>0</v>
      </c>
      <c r="EM89" s="1026">
        <v>0</v>
      </c>
      <c r="ES89" s="1026">
        <v>998239390.89360011</v>
      </c>
      <c r="ET89" s="1026">
        <v>50306580</v>
      </c>
      <c r="EU89" s="1026">
        <v>5030658</v>
      </c>
      <c r="EV89" s="1026">
        <v>45275922</v>
      </c>
      <c r="EW89" s="1026">
        <v>0</v>
      </c>
      <c r="EX89" s="1026">
        <v>0</v>
      </c>
      <c r="EY89" s="1026">
        <v>0</v>
      </c>
      <c r="EZ89" s="1026">
        <v>950465255.94000006</v>
      </c>
      <c r="FA89" s="1026">
        <v>4354509.01</v>
      </c>
      <c r="FB89" s="1026">
        <v>28365795.75</v>
      </c>
      <c r="FC89" s="1026">
        <v>917744951.18000007</v>
      </c>
      <c r="FD89" s="1026">
        <v>-2532445.0463999971</v>
      </c>
      <c r="FF89" s="1026">
        <v>2360306.029999719</v>
      </c>
      <c r="FL89" s="1026">
        <v>1000599696.9235998</v>
      </c>
    </row>
    <row r="90" spans="2:169">
      <c r="B90" s="1790">
        <v>44317</v>
      </c>
      <c r="C90" s="1026">
        <v>0</v>
      </c>
      <c r="D90" s="1026">
        <v>0</v>
      </c>
      <c r="E90" s="1026">
        <v>0</v>
      </c>
      <c r="F90" s="1026">
        <v>0</v>
      </c>
      <c r="Q90" s="1026">
        <v>0</v>
      </c>
      <c r="R90" s="1026">
        <v>0</v>
      </c>
      <c r="S90" s="1026">
        <v>0</v>
      </c>
      <c r="W90" s="1026">
        <v>0</v>
      </c>
      <c r="AA90" s="1026">
        <v>0</v>
      </c>
      <c r="AE90" s="1026">
        <v>0</v>
      </c>
      <c r="AI90" s="1026">
        <v>0</v>
      </c>
      <c r="AM90" s="1026">
        <v>0</v>
      </c>
      <c r="AQ90" s="1026">
        <v>0</v>
      </c>
      <c r="AU90" s="1026">
        <v>0</v>
      </c>
      <c r="AY90" s="1026">
        <v>0</v>
      </c>
      <c r="BC90" s="1026">
        <v>0</v>
      </c>
      <c r="BG90" s="1026">
        <v>0</v>
      </c>
      <c r="BL90" s="1026">
        <v>0</v>
      </c>
      <c r="BM90" s="1026">
        <v>0</v>
      </c>
      <c r="BO90" s="1026">
        <v>0</v>
      </c>
      <c r="BT90" s="1026">
        <v>0</v>
      </c>
      <c r="BV90" s="1026">
        <v>0</v>
      </c>
      <c r="CA90" s="1026">
        <v>0</v>
      </c>
      <c r="CC90" s="1026">
        <v>0</v>
      </c>
      <c r="CI90" s="1026">
        <v>0</v>
      </c>
      <c r="CO90" s="1026">
        <v>0</v>
      </c>
      <c r="CT90" s="1026">
        <v>0</v>
      </c>
      <c r="CU90" s="1026">
        <v>0</v>
      </c>
      <c r="CX90" s="1026">
        <v>0</v>
      </c>
      <c r="DA90" s="1026">
        <v>0</v>
      </c>
      <c r="DE90" s="1026">
        <v>0</v>
      </c>
      <c r="DF90" s="1026">
        <v>0</v>
      </c>
      <c r="DI90" s="1026">
        <v>0</v>
      </c>
      <c r="DL90" s="1026">
        <v>0</v>
      </c>
      <c r="DR90" s="1026">
        <v>0</v>
      </c>
      <c r="DT90" s="1026">
        <v>0</v>
      </c>
      <c r="DW90" s="1026">
        <v>0</v>
      </c>
      <c r="EB90" s="1026">
        <v>0</v>
      </c>
      <c r="EF90" s="1026">
        <v>0</v>
      </c>
      <c r="EG90" s="1026">
        <v>0</v>
      </c>
      <c r="EJ90" s="1026">
        <v>0</v>
      </c>
      <c r="EM90" s="1026">
        <v>0</v>
      </c>
      <c r="ES90" s="1026">
        <v>997855335.89360011</v>
      </c>
      <c r="ET90" s="1026">
        <v>50306580</v>
      </c>
      <c r="EU90" s="1026">
        <v>5030658</v>
      </c>
      <c r="EV90" s="1026">
        <v>45275922</v>
      </c>
      <c r="EW90" s="1026">
        <v>0</v>
      </c>
      <c r="EX90" s="1026">
        <v>0</v>
      </c>
      <c r="EY90" s="1026">
        <v>0</v>
      </c>
      <c r="EZ90" s="1026">
        <v>949986141.94000006</v>
      </c>
      <c r="FA90" s="1026">
        <v>4354509.01</v>
      </c>
      <c r="FB90" s="1026">
        <v>27886681.75</v>
      </c>
      <c r="FC90" s="1026">
        <v>917744951.18000007</v>
      </c>
      <c r="FD90" s="1026">
        <v>-2437386.0463999999</v>
      </c>
      <c r="FF90" s="1026">
        <v>2360306.029999719</v>
      </c>
      <c r="FL90" s="1026">
        <v>1000215641.9235998</v>
      </c>
      <c r="FM90" s="1026">
        <v>0.54000008106231689</v>
      </c>
    </row>
    <row r="91" spans="2:169">
      <c r="B91" s="1790">
        <v>44348</v>
      </c>
      <c r="C91" s="1026">
        <v>0</v>
      </c>
      <c r="D91" s="1026">
        <v>0</v>
      </c>
      <c r="E91" s="1026">
        <v>0</v>
      </c>
      <c r="F91" s="1026">
        <v>0</v>
      </c>
      <c r="Q91" s="1026">
        <v>0</v>
      </c>
      <c r="R91" s="1026">
        <v>0</v>
      </c>
      <c r="S91" s="1026">
        <v>0</v>
      </c>
      <c r="W91" s="1026">
        <v>0</v>
      </c>
      <c r="AA91" s="1026">
        <v>0</v>
      </c>
      <c r="AE91" s="1026">
        <v>0</v>
      </c>
      <c r="AI91" s="1026">
        <v>0</v>
      </c>
      <c r="AM91" s="1026">
        <v>0</v>
      </c>
      <c r="AQ91" s="1026">
        <v>0</v>
      </c>
      <c r="AU91" s="1026">
        <v>0</v>
      </c>
      <c r="AY91" s="1026">
        <v>0</v>
      </c>
      <c r="BC91" s="1026">
        <v>0</v>
      </c>
      <c r="BG91" s="1026">
        <v>0</v>
      </c>
      <c r="BL91" s="1026">
        <v>0</v>
      </c>
      <c r="BM91" s="1026">
        <v>0</v>
      </c>
      <c r="BO91" s="1026">
        <v>0</v>
      </c>
      <c r="BT91" s="1026">
        <v>0</v>
      </c>
      <c r="BV91" s="1026">
        <v>0</v>
      </c>
      <c r="CA91" s="1026">
        <v>0</v>
      </c>
      <c r="CC91" s="1026">
        <v>0</v>
      </c>
      <c r="CI91" s="1026">
        <v>0</v>
      </c>
      <c r="CO91" s="1026">
        <v>0</v>
      </c>
      <c r="CT91" s="1026">
        <v>0</v>
      </c>
      <c r="CU91" s="1026">
        <v>0</v>
      </c>
      <c r="CX91" s="1026">
        <v>0</v>
      </c>
      <c r="DA91" s="1026">
        <v>0</v>
      </c>
      <c r="DE91" s="1026">
        <v>0</v>
      </c>
      <c r="DF91" s="1026">
        <v>0</v>
      </c>
      <c r="DI91" s="1026">
        <v>0</v>
      </c>
      <c r="DL91" s="1026">
        <v>0</v>
      </c>
      <c r="DR91" s="1026">
        <v>0</v>
      </c>
      <c r="DT91" s="1026">
        <v>0</v>
      </c>
      <c r="DW91" s="1026">
        <v>0</v>
      </c>
      <c r="EB91" s="1026">
        <v>0</v>
      </c>
      <c r="EF91" s="1026">
        <v>0</v>
      </c>
      <c r="EG91" s="1026">
        <v>0</v>
      </c>
      <c r="EJ91" s="1026">
        <v>0</v>
      </c>
      <c r="EM91" s="1026">
        <v>0</v>
      </c>
      <c r="ES91" s="1026">
        <v>999330171.89360011</v>
      </c>
      <c r="ET91" s="1026">
        <v>50306580</v>
      </c>
      <c r="EU91" s="1026">
        <v>5030658</v>
      </c>
      <c r="EV91" s="1026">
        <v>45275922</v>
      </c>
      <c r="EW91" s="1026">
        <v>0</v>
      </c>
      <c r="EX91" s="1026">
        <v>0</v>
      </c>
      <c r="EY91" s="1026">
        <v>0</v>
      </c>
      <c r="EZ91" s="1026">
        <v>950787536.94000006</v>
      </c>
      <c r="FA91" s="1026">
        <v>3586009.01</v>
      </c>
      <c r="FB91" s="1026">
        <v>28365795.75</v>
      </c>
      <c r="FC91" s="1026">
        <v>918835732.18000007</v>
      </c>
      <c r="FD91" s="1026">
        <v>-1763945.0463999999</v>
      </c>
      <c r="FF91" s="1026">
        <v>2360306.029999719</v>
      </c>
      <c r="FL91" s="1026">
        <v>1001690477.9235998</v>
      </c>
    </row>
    <row r="92" spans="2:169">
      <c r="B92" s="1790">
        <v>44378</v>
      </c>
      <c r="C92" s="1026">
        <v>0</v>
      </c>
      <c r="D92" s="1026">
        <v>0</v>
      </c>
      <c r="E92" s="1026">
        <v>0</v>
      </c>
      <c r="F92" s="1026">
        <v>0</v>
      </c>
      <c r="Q92" s="1026">
        <v>0</v>
      </c>
      <c r="R92" s="1026">
        <v>0</v>
      </c>
      <c r="S92" s="1026">
        <v>0</v>
      </c>
      <c r="W92" s="1026">
        <v>0</v>
      </c>
      <c r="AA92" s="1026">
        <v>0</v>
      </c>
      <c r="AE92" s="1026">
        <v>0</v>
      </c>
      <c r="AI92" s="1026">
        <v>0</v>
      </c>
      <c r="AM92" s="1026">
        <v>0</v>
      </c>
      <c r="AQ92" s="1026">
        <v>0</v>
      </c>
      <c r="AU92" s="1026">
        <v>0</v>
      </c>
      <c r="AY92" s="1026">
        <v>0</v>
      </c>
      <c r="BC92" s="1026">
        <v>0</v>
      </c>
      <c r="BG92" s="1026">
        <v>0</v>
      </c>
      <c r="BL92" s="1026">
        <v>0</v>
      </c>
      <c r="BM92" s="1026">
        <v>0</v>
      </c>
      <c r="BO92" s="1026">
        <v>0</v>
      </c>
      <c r="BT92" s="1026">
        <v>0</v>
      </c>
      <c r="BV92" s="1026">
        <v>0</v>
      </c>
      <c r="CA92" s="1026">
        <v>0</v>
      </c>
      <c r="CC92" s="1026">
        <v>0</v>
      </c>
      <c r="CI92" s="1026">
        <v>0</v>
      </c>
      <c r="CO92" s="1026">
        <v>0</v>
      </c>
      <c r="CT92" s="1026">
        <v>0</v>
      </c>
      <c r="CU92" s="1026">
        <v>0</v>
      </c>
      <c r="CX92" s="1026">
        <v>0</v>
      </c>
      <c r="DA92" s="1026">
        <v>0</v>
      </c>
      <c r="DE92" s="1026">
        <v>0</v>
      </c>
      <c r="DF92" s="1026">
        <v>0</v>
      </c>
      <c r="DI92" s="1026">
        <v>0</v>
      </c>
      <c r="DL92" s="1026">
        <v>0</v>
      </c>
      <c r="DR92" s="1026">
        <v>0</v>
      </c>
      <c r="DT92" s="1026">
        <v>0</v>
      </c>
      <c r="DW92" s="1026">
        <v>0</v>
      </c>
      <c r="EB92" s="1026">
        <v>0</v>
      </c>
      <c r="EF92" s="1026">
        <v>0</v>
      </c>
      <c r="EG92" s="1026">
        <v>0</v>
      </c>
      <c r="EJ92" s="1026">
        <v>0</v>
      </c>
      <c r="EM92" s="1026">
        <v>0</v>
      </c>
      <c r="ES92" s="1026">
        <v>1022196424.5354871</v>
      </c>
      <c r="ET92" s="1026">
        <v>50306580</v>
      </c>
      <c r="EU92" s="1026">
        <v>5030658</v>
      </c>
      <c r="EV92" s="1026">
        <v>45275922</v>
      </c>
      <c r="EW92" s="1026">
        <v>0</v>
      </c>
      <c r="EX92" s="1026">
        <v>0</v>
      </c>
      <c r="EY92" s="1026">
        <v>0</v>
      </c>
      <c r="EZ92" s="1026">
        <v>978684936.71082008</v>
      </c>
      <c r="FA92" s="1026">
        <v>4354509.01</v>
      </c>
      <c r="FB92" s="1026">
        <v>27226240.190000005</v>
      </c>
      <c r="FC92" s="1026">
        <v>947104187.51082003</v>
      </c>
      <c r="FD92" s="1026">
        <v>-6795092.1753329821</v>
      </c>
      <c r="FF92" s="1026">
        <v>638332.09000000008</v>
      </c>
      <c r="FL92" s="1026">
        <v>1022834756.6254871</v>
      </c>
    </row>
    <row r="93" spans="2:169">
      <c r="B93" s="1790">
        <v>44409</v>
      </c>
      <c r="C93" s="1026">
        <v>0</v>
      </c>
      <c r="D93" s="1026">
        <v>0</v>
      </c>
      <c r="E93" s="1026">
        <v>0</v>
      </c>
      <c r="F93" s="1026">
        <v>0</v>
      </c>
      <c r="Q93" s="1026">
        <v>0</v>
      </c>
      <c r="R93" s="1026">
        <v>0</v>
      </c>
      <c r="S93" s="1026">
        <v>0</v>
      </c>
      <c r="W93" s="1026">
        <v>0</v>
      </c>
      <c r="AA93" s="1026">
        <v>0</v>
      </c>
      <c r="AE93" s="1026">
        <v>0</v>
      </c>
      <c r="AI93" s="1026">
        <v>0</v>
      </c>
      <c r="AM93" s="1026">
        <v>0</v>
      </c>
      <c r="AQ93" s="1026">
        <v>0</v>
      </c>
      <c r="AU93" s="1026">
        <v>0</v>
      </c>
      <c r="AY93" s="1026">
        <v>0</v>
      </c>
      <c r="BC93" s="1026">
        <v>0</v>
      </c>
      <c r="BG93" s="1026">
        <v>0</v>
      </c>
      <c r="BL93" s="1026">
        <v>0</v>
      </c>
      <c r="BM93" s="1026">
        <v>0</v>
      </c>
      <c r="BO93" s="1026">
        <v>0</v>
      </c>
      <c r="BT93" s="1026">
        <v>0</v>
      </c>
      <c r="BV93" s="1026">
        <v>0</v>
      </c>
      <c r="CA93" s="1026">
        <v>0</v>
      </c>
      <c r="CC93" s="1026">
        <v>0</v>
      </c>
      <c r="CI93" s="1026">
        <v>0</v>
      </c>
      <c r="CO93" s="1026">
        <v>0</v>
      </c>
      <c r="CT93" s="1026">
        <v>0</v>
      </c>
      <c r="CU93" s="1026">
        <v>0</v>
      </c>
      <c r="CX93" s="1026">
        <v>0</v>
      </c>
      <c r="DA93" s="1026">
        <v>0</v>
      </c>
      <c r="DE93" s="1026">
        <v>0</v>
      </c>
      <c r="DF93" s="1026">
        <v>0</v>
      </c>
      <c r="DI93" s="1026">
        <v>0</v>
      </c>
      <c r="DL93" s="1026">
        <v>0</v>
      </c>
      <c r="DR93" s="1026">
        <v>0</v>
      </c>
      <c r="DT93" s="1026">
        <v>0</v>
      </c>
      <c r="DW93" s="1026">
        <v>0</v>
      </c>
      <c r="EB93" s="1026">
        <v>0</v>
      </c>
      <c r="EF93" s="1026">
        <v>0</v>
      </c>
      <c r="EG93" s="1026">
        <v>0</v>
      </c>
      <c r="EJ93" s="1026">
        <v>0</v>
      </c>
      <c r="EM93" s="1026">
        <v>0</v>
      </c>
      <c r="ES93" s="1026">
        <v>1064794713.5354871</v>
      </c>
      <c r="ET93" s="1026">
        <v>50306580</v>
      </c>
      <c r="EU93" s="1026">
        <v>5030658</v>
      </c>
      <c r="EV93" s="1026">
        <v>45275922</v>
      </c>
      <c r="EW93" s="1026">
        <v>0</v>
      </c>
      <c r="EX93" s="1026">
        <v>0</v>
      </c>
      <c r="EY93" s="1026">
        <v>0</v>
      </c>
      <c r="EZ93" s="1026">
        <v>1021283225.7108201</v>
      </c>
      <c r="FA93" s="1026">
        <v>4646032.01</v>
      </c>
      <c r="FB93" s="1026">
        <v>27226240.190000005</v>
      </c>
      <c r="FC93" s="1026">
        <v>989410953.51082003</v>
      </c>
      <c r="FD93" s="1026">
        <v>-6795092.1753329821</v>
      </c>
      <c r="FF93" s="1026">
        <v>638332.09000000008</v>
      </c>
      <c r="FL93" s="1026">
        <v>1065433045.6254871</v>
      </c>
    </row>
    <row r="94" spans="2:169">
      <c r="B94" s="1790">
        <v>44440</v>
      </c>
      <c r="C94" s="1026">
        <v>0</v>
      </c>
      <c r="D94" s="1026">
        <v>0</v>
      </c>
      <c r="E94" s="1026">
        <v>0</v>
      </c>
      <c r="F94" s="1026">
        <v>0</v>
      </c>
      <c r="Q94" s="1026">
        <v>0</v>
      </c>
      <c r="R94" s="1026">
        <v>0</v>
      </c>
      <c r="S94" s="1026">
        <v>0</v>
      </c>
      <c r="W94" s="1026">
        <v>0</v>
      </c>
      <c r="AA94" s="1026">
        <v>0</v>
      </c>
      <c r="AE94" s="1026">
        <v>0</v>
      </c>
      <c r="AI94" s="1026">
        <v>0</v>
      </c>
      <c r="AM94" s="1026">
        <v>0</v>
      </c>
      <c r="AQ94" s="1026">
        <v>0</v>
      </c>
      <c r="AU94" s="1026">
        <v>0</v>
      </c>
      <c r="AY94" s="1026">
        <v>0</v>
      </c>
      <c r="BC94" s="1026">
        <v>0</v>
      </c>
      <c r="BG94" s="1026">
        <v>0</v>
      </c>
      <c r="BL94" s="1026">
        <v>0</v>
      </c>
      <c r="BM94" s="1026">
        <v>0</v>
      </c>
      <c r="BO94" s="1026">
        <v>0</v>
      </c>
      <c r="BT94" s="1026">
        <v>0</v>
      </c>
      <c r="BV94" s="1026">
        <v>0</v>
      </c>
      <c r="CA94" s="1026">
        <v>0</v>
      </c>
      <c r="CC94" s="1026">
        <v>0</v>
      </c>
      <c r="CI94" s="1026">
        <v>0</v>
      </c>
      <c r="CO94" s="1026">
        <v>0</v>
      </c>
      <c r="CT94" s="1026">
        <v>0</v>
      </c>
      <c r="CU94" s="1026">
        <v>0</v>
      </c>
      <c r="CX94" s="1026">
        <v>0</v>
      </c>
      <c r="DA94" s="1026">
        <v>0</v>
      </c>
      <c r="DE94" s="1026">
        <v>0</v>
      </c>
      <c r="DF94" s="1026">
        <v>0</v>
      </c>
      <c r="DI94" s="1026">
        <v>0</v>
      </c>
      <c r="DL94" s="1026">
        <v>0</v>
      </c>
      <c r="DR94" s="1026">
        <v>0</v>
      </c>
      <c r="DT94" s="1026">
        <v>0</v>
      </c>
      <c r="DW94" s="1026">
        <v>0</v>
      </c>
      <c r="EB94" s="1026">
        <v>0</v>
      </c>
      <c r="EF94" s="1026">
        <v>0</v>
      </c>
      <c r="EG94" s="1026">
        <v>0</v>
      </c>
      <c r="EJ94" s="1026">
        <v>0</v>
      </c>
      <c r="EM94" s="1026">
        <v>0</v>
      </c>
      <c r="ES94" s="1026">
        <v>1112611092.1539872</v>
      </c>
      <c r="ET94" s="1026">
        <v>50306580</v>
      </c>
      <c r="EU94" s="1026">
        <v>5030658</v>
      </c>
      <c r="EV94" s="1026">
        <v>45275922</v>
      </c>
      <c r="EW94" s="1026">
        <v>0</v>
      </c>
      <c r="EX94" s="1026">
        <v>0</v>
      </c>
      <c r="EY94" s="1026">
        <v>0</v>
      </c>
      <c r="EZ94" s="1026">
        <v>1062904660.3208201</v>
      </c>
      <c r="FA94" s="1026">
        <v>4354509.01</v>
      </c>
      <c r="FB94" s="1026">
        <v>26997211.250000007</v>
      </c>
      <c r="FC94" s="1026">
        <v>1031552940.0608201</v>
      </c>
      <c r="FD94" s="1026">
        <v>-600148.16683299467</v>
      </c>
      <c r="FF94" s="1026">
        <v>638332.09000000008</v>
      </c>
      <c r="FL94" s="1026">
        <v>1113249424.2439871</v>
      </c>
    </row>
    <row r="95" spans="2:169">
      <c r="B95" s="1790">
        <v>44470</v>
      </c>
      <c r="C95" s="1026">
        <v>0</v>
      </c>
      <c r="D95" s="1026">
        <v>0</v>
      </c>
      <c r="E95" s="1026">
        <v>0</v>
      </c>
      <c r="F95" s="1026">
        <v>0</v>
      </c>
      <c r="Q95" s="1026">
        <v>0</v>
      </c>
      <c r="R95" s="1026">
        <v>0</v>
      </c>
      <c r="S95" s="1026">
        <v>0</v>
      </c>
      <c r="W95" s="1026">
        <v>0</v>
      </c>
      <c r="AA95" s="1026">
        <v>0</v>
      </c>
      <c r="AE95" s="1026">
        <v>0</v>
      </c>
      <c r="AI95" s="1026">
        <v>0</v>
      </c>
      <c r="AM95" s="1026">
        <v>0</v>
      </c>
      <c r="AQ95" s="1026">
        <v>0</v>
      </c>
      <c r="AU95" s="1026">
        <v>0</v>
      </c>
      <c r="AY95" s="1026">
        <v>0</v>
      </c>
      <c r="BC95" s="1026">
        <v>0</v>
      </c>
      <c r="BG95" s="1026">
        <v>0</v>
      </c>
      <c r="BL95" s="1026">
        <v>0</v>
      </c>
      <c r="BM95" s="1026">
        <v>0</v>
      </c>
      <c r="BO95" s="1026">
        <v>0</v>
      </c>
      <c r="BT95" s="1026">
        <v>0</v>
      </c>
      <c r="BV95" s="1026">
        <v>0</v>
      </c>
      <c r="CA95" s="1026">
        <v>0</v>
      </c>
      <c r="CC95" s="1026">
        <v>0</v>
      </c>
      <c r="CI95" s="1026">
        <v>0</v>
      </c>
      <c r="CO95" s="1026">
        <v>0</v>
      </c>
      <c r="CT95" s="1026">
        <v>0</v>
      </c>
      <c r="CU95" s="1026">
        <v>0</v>
      </c>
      <c r="CX95" s="1026">
        <v>0</v>
      </c>
      <c r="DA95" s="1026">
        <v>0</v>
      </c>
      <c r="DE95" s="1026">
        <v>0</v>
      </c>
      <c r="DF95" s="1026">
        <v>0</v>
      </c>
      <c r="DI95" s="1026">
        <v>0</v>
      </c>
      <c r="DL95" s="1026">
        <v>0</v>
      </c>
      <c r="DR95" s="1026">
        <v>0</v>
      </c>
      <c r="DT95" s="1026">
        <v>0</v>
      </c>
      <c r="DW95" s="1026">
        <v>0</v>
      </c>
      <c r="EB95" s="1026">
        <v>0</v>
      </c>
      <c r="EF95" s="1026">
        <v>0</v>
      </c>
      <c r="EG95" s="1026">
        <v>0</v>
      </c>
      <c r="EJ95" s="1026">
        <v>0</v>
      </c>
      <c r="EM95" s="1026">
        <v>0</v>
      </c>
      <c r="ES95" s="1026">
        <v>1124129742.1539872</v>
      </c>
      <c r="ET95" s="1026">
        <v>50306580</v>
      </c>
      <c r="EU95" s="1026">
        <v>5030658</v>
      </c>
      <c r="EV95" s="1026">
        <v>45275922</v>
      </c>
      <c r="EW95" s="1026">
        <v>0</v>
      </c>
      <c r="EX95" s="1026">
        <v>0</v>
      </c>
      <c r="EY95" s="1026">
        <v>0</v>
      </c>
      <c r="EZ95" s="1026">
        <v>1074423310.3208201</v>
      </c>
      <c r="FA95" s="1026">
        <v>4354509.01</v>
      </c>
      <c r="FB95" s="1026">
        <v>26997211.250000007</v>
      </c>
      <c r="FC95" s="1026">
        <v>1043071590.0608201</v>
      </c>
      <c r="FD95" s="1026">
        <v>-600148.16683299467</v>
      </c>
      <c r="FF95" s="1026">
        <v>638332.09000000008</v>
      </c>
      <c r="FL95" s="1026">
        <v>1124768074.2439871</v>
      </c>
      <c r="FM95" s="1026">
        <v>0.40000081062316895</v>
      </c>
    </row>
    <row r="96" spans="2:169">
      <c r="B96" s="1790">
        <v>44501</v>
      </c>
      <c r="C96" s="1026">
        <v>0</v>
      </c>
      <c r="D96" s="1026">
        <v>0</v>
      </c>
      <c r="E96" s="1026">
        <v>0</v>
      </c>
      <c r="F96" s="1026">
        <v>0</v>
      </c>
      <c r="Q96" s="1026">
        <v>0</v>
      </c>
      <c r="R96" s="1026">
        <v>0</v>
      </c>
      <c r="S96" s="1026">
        <v>0</v>
      </c>
      <c r="W96" s="1026">
        <v>0</v>
      </c>
      <c r="AA96" s="1026">
        <v>0</v>
      </c>
      <c r="AE96" s="1026">
        <v>0</v>
      </c>
      <c r="AI96" s="1026">
        <v>0</v>
      </c>
      <c r="AM96" s="1026">
        <v>0</v>
      </c>
      <c r="AQ96" s="1026">
        <v>0</v>
      </c>
      <c r="AU96" s="1026">
        <v>0</v>
      </c>
      <c r="AY96" s="1026">
        <v>0</v>
      </c>
      <c r="BC96" s="1026">
        <v>0</v>
      </c>
      <c r="BG96" s="1026">
        <v>0</v>
      </c>
      <c r="BL96" s="1026">
        <v>0</v>
      </c>
      <c r="BM96" s="1026">
        <v>0</v>
      </c>
      <c r="BO96" s="1026">
        <v>0</v>
      </c>
      <c r="BT96" s="1026">
        <v>0</v>
      </c>
      <c r="BV96" s="1026">
        <v>0</v>
      </c>
      <c r="CA96" s="1026">
        <v>0</v>
      </c>
      <c r="CC96" s="1026">
        <v>0</v>
      </c>
      <c r="CI96" s="1026">
        <v>0</v>
      </c>
      <c r="CO96" s="1026">
        <v>0</v>
      </c>
      <c r="CT96" s="1026">
        <v>0</v>
      </c>
      <c r="CU96" s="1026">
        <v>0</v>
      </c>
      <c r="CX96" s="1026">
        <v>0</v>
      </c>
      <c r="DA96" s="1026">
        <v>0</v>
      </c>
      <c r="DE96" s="1026">
        <v>0</v>
      </c>
      <c r="DF96" s="1026">
        <v>0</v>
      </c>
      <c r="DI96" s="1026">
        <v>0</v>
      </c>
      <c r="DL96" s="1026">
        <v>0</v>
      </c>
      <c r="DR96" s="1026">
        <v>0</v>
      </c>
      <c r="DT96" s="1026">
        <v>0</v>
      </c>
      <c r="DW96" s="1026">
        <v>0</v>
      </c>
      <c r="EB96" s="1026">
        <v>0</v>
      </c>
      <c r="EF96" s="1026">
        <v>0</v>
      </c>
      <c r="EG96" s="1026">
        <v>0</v>
      </c>
      <c r="EJ96" s="1026">
        <v>0</v>
      </c>
      <c r="EM96" s="1026">
        <v>0</v>
      </c>
      <c r="ES96" s="1026">
        <v>1157931011.0931671</v>
      </c>
      <c r="ET96" s="1026">
        <v>50306580</v>
      </c>
      <c r="EU96" s="1026">
        <v>5030658</v>
      </c>
      <c r="EV96" s="1026">
        <v>45275922</v>
      </c>
      <c r="EW96" s="1026">
        <v>0</v>
      </c>
      <c r="EX96" s="1026">
        <v>0</v>
      </c>
      <c r="EY96" s="1026">
        <v>0</v>
      </c>
      <c r="EZ96" s="1026">
        <v>1108224579.26</v>
      </c>
      <c r="FA96" s="1026">
        <v>4354509.01</v>
      </c>
      <c r="FB96" s="1026">
        <v>26997211.250000007</v>
      </c>
      <c r="FC96" s="1026">
        <v>1076872859</v>
      </c>
      <c r="FD96" s="1026">
        <v>-600148.16683299467</v>
      </c>
      <c r="FF96" s="1026">
        <v>638332.09000000008</v>
      </c>
      <c r="FL96" s="1026">
        <v>1158569343.183167</v>
      </c>
    </row>
    <row r="97" spans="2:169">
      <c r="B97" s="1790">
        <v>44531</v>
      </c>
      <c r="C97" s="1026">
        <v>0</v>
      </c>
      <c r="D97" s="1026">
        <v>0</v>
      </c>
      <c r="E97" s="1026">
        <v>0</v>
      </c>
      <c r="F97" s="1026">
        <v>0</v>
      </c>
      <c r="Q97" s="1026">
        <v>0</v>
      </c>
      <c r="R97" s="1026">
        <v>0</v>
      </c>
      <c r="S97" s="1026">
        <v>0</v>
      </c>
      <c r="W97" s="1026">
        <v>0</v>
      </c>
      <c r="AA97" s="1026">
        <v>0</v>
      </c>
      <c r="AE97" s="1026">
        <v>0</v>
      </c>
      <c r="AI97" s="1026">
        <v>0</v>
      </c>
      <c r="AM97" s="1026">
        <v>0</v>
      </c>
      <c r="AQ97" s="1026">
        <v>0</v>
      </c>
      <c r="AU97" s="1026">
        <v>0</v>
      </c>
      <c r="AY97" s="1026">
        <v>0</v>
      </c>
      <c r="BC97" s="1026">
        <v>0</v>
      </c>
      <c r="BG97" s="1026">
        <v>0</v>
      </c>
      <c r="BL97" s="1026">
        <v>0</v>
      </c>
      <c r="BM97" s="1026">
        <v>0</v>
      </c>
      <c r="BO97" s="1026">
        <v>0</v>
      </c>
      <c r="BT97" s="1026">
        <v>0</v>
      </c>
      <c r="BV97" s="1026">
        <v>0</v>
      </c>
      <c r="CA97" s="1026">
        <v>0</v>
      </c>
      <c r="CC97" s="1026">
        <v>0</v>
      </c>
      <c r="CI97" s="1026">
        <v>0</v>
      </c>
      <c r="CO97" s="1026">
        <v>0</v>
      </c>
      <c r="CT97" s="1026">
        <v>0</v>
      </c>
      <c r="CU97" s="1026">
        <v>0</v>
      </c>
      <c r="CX97" s="1026">
        <v>0</v>
      </c>
      <c r="DA97" s="1026">
        <v>0</v>
      </c>
      <c r="DE97" s="1026">
        <v>0</v>
      </c>
      <c r="DF97" s="1026">
        <v>0</v>
      </c>
      <c r="DI97" s="1026">
        <v>0</v>
      </c>
      <c r="DL97" s="1026">
        <v>0</v>
      </c>
      <c r="DR97" s="1026">
        <v>0</v>
      </c>
      <c r="DT97" s="1026">
        <v>0</v>
      </c>
      <c r="DW97" s="1026">
        <v>0</v>
      </c>
      <c r="EB97" s="1026">
        <v>0</v>
      </c>
      <c r="EF97" s="1026">
        <v>0</v>
      </c>
      <c r="EG97" s="1026">
        <v>0</v>
      </c>
      <c r="EJ97" s="1026">
        <v>0</v>
      </c>
      <c r="EM97" s="1026">
        <v>0</v>
      </c>
      <c r="ES97" s="1026">
        <v>1145671362.1539872</v>
      </c>
      <c r="ET97" s="1026">
        <v>50306580</v>
      </c>
      <c r="EU97" s="1026">
        <v>5030658</v>
      </c>
      <c r="EV97" s="1026">
        <v>45275922</v>
      </c>
      <c r="EW97" s="1026">
        <v>0</v>
      </c>
      <c r="EX97" s="1026">
        <v>0</v>
      </c>
      <c r="EY97" s="1026">
        <v>0</v>
      </c>
      <c r="EZ97" s="1026">
        <v>1096389940.3208201</v>
      </c>
      <c r="FA97" s="1026">
        <v>4354509.01</v>
      </c>
      <c r="FB97" s="1026">
        <v>26997211.250000007</v>
      </c>
      <c r="FC97" s="1026">
        <v>1065038220.0608201</v>
      </c>
      <c r="FD97" s="1026">
        <v>-1025158.166832995</v>
      </c>
      <c r="FF97" s="1026">
        <v>638333.09</v>
      </c>
      <c r="FL97" s="1026">
        <v>1146309695.2439871</v>
      </c>
    </row>
    <row r="98" spans="2:169">
      <c r="B98" s="1790">
        <v>44562</v>
      </c>
      <c r="C98" s="1026">
        <v>0</v>
      </c>
      <c r="D98" s="1026">
        <v>0</v>
      </c>
      <c r="E98" s="1026">
        <v>0</v>
      </c>
      <c r="F98" s="1026">
        <v>0</v>
      </c>
      <c r="Q98" s="1026">
        <v>0</v>
      </c>
      <c r="R98" s="1026">
        <v>0</v>
      </c>
      <c r="S98" s="1026">
        <v>0</v>
      </c>
      <c r="W98" s="1026">
        <v>0</v>
      </c>
      <c r="AA98" s="1026">
        <v>0</v>
      </c>
      <c r="AE98" s="1026">
        <v>0</v>
      </c>
      <c r="AI98" s="1026">
        <v>0</v>
      </c>
      <c r="AM98" s="1026">
        <v>0</v>
      </c>
      <c r="AQ98" s="1026">
        <v>0</v>
      </c>
      <c r="AU98" s="1026">
        <v>0</v>
      </c>
      <c r="AY98" s="1026">
        <v>0</v>
      </c>
      <c r="BC98" s="1026">
        <v>0</v>
      </c>
      <c r="BG98" s="1026">
        <v>0</v>
      </c>
      <c r="BL98" s="1026">
        <v>0</v>
      </c>
      <c r="BM98" s="1026">
        <v>0</v>
      </c>
      <c r="BO98" s="1026">
        <v>0</v>
      </c>
      <c r="BT98" s="1026">
        <v>0</v>
      </c>
      <c r="BV98" s="1026">
        <v>0</v>
      </c>
      <c r="CA98" s="1026">
        <v>0</v>
      </c>
      <c r="CC98" s="1026">
        <v>0</v>
      </c>
      <c r="CI98" s="1026">
        <v>0</v>
      </c>
      <c r="CO98" s="1026">
        <v>0</v>
      </c>
      <c r="CT98" s="1026">
        <v>0</v>
      </c>
      <c r="CU98" s="1026">
        <v>0</v>
      </c>
      <c r="CX98" s="1026">
        <v>0</v>
      </c>
      <c r="DA98" s="1026">
        <v>0</v>
      </c>
      <c r="DE98" s="1026">
        <v>0</v>
      </c>
      <c r="DF98" s="1026">
        <v>0</v>
      </c>
      <c r="DI98" s="1026">
        <v>0</v>
      </c>
      <c r="DL98" s="1026">
        <v>0</v>
      </c>
      <c r="DR98" s="1026">
        <v>0</v>
      </c>
      <c r="DT98" s="1026">
        <v>0</v>
      </c>
      <c r="DW98" s="1026">
        <v>0</v>
      </c>
      <c r="EB98" s="1026">
        <v>0</v>
      </c>
      <c r="EF98" s="1026">
        <v>0</v>
      </c>
      <c r="EG98" s="1026">
        <v>0</v>
      </c>
      <c r="EJ98" s="1026">
        <v>0</v>
      </c>
      <c r="EM98" s="1026">
        <v>0</v>
      </c>
      <c r="ES98" s="1026">
        <v>1128494956.3208201</v>
      </c>
      <c r="ET98" s="1026">
        <v>50306580</v>
      </c>
      <c r="EU98" s="1026">
        <v>5030658</v>
      </c>
      <c r="EV98" s="1026">
        <v>45275922</v>
      </c>
      <c r="EW98" s="1026">
        <v>0</v>
      </c>
      <c r="EX98" s="1026">
        <v>0</v>
      </c>
      <c r="EY98" s="1026">
        <v>0</v>
      </c>
      <c r="EZ98" s="1026">
        <v>1074566532.3208201</v>
      </c>
      <c r="FA98" s="1026">
        <v>4354509.01</v>
      </c>
      <c r="FB98" s="1026">
        <v>26997211.250000007</v>
      </c>
      <c r="FC98" s="1026">
        <v>1043214812.0608201</v>
      </c>
      <c r="FD98" s="1026">
        <v>3621844</v>
      </c>
      <c r="FF98" s="1026">
        <v>638332.09000000008</v>
      </c>
      <c r="FL98" s="1026">
        <v>1129133288.41082</v>
      </c>
      <c r="FM98" s="1026">
        <v>-0.73183202743530273</v>
      </c>
    </row>
    <row r="99" spans="2:169">
      <c r="B99" s="1790">
        <v>44593</v>
      </c>
      <c r="C99" s="1026">
        <v>0</v>
      </c>
      <c r="D99" s="1026">
        <v>0</v>
      </c>
      <c r="E99" s="1026">
        <v>0</v>
      </c>
      <c r="F99" s="1026">
        <v>0</v>
      </c>
      <c r="Q99" s="1026">
        <v>0</v>
      </c>
      <c r="R99" s="1026">
        <v>0</v>
      </c>
      <c r="S99" s="1026">
        <v>0</v>
      </c>
      <c r="W99" s="1026">
        <v>0</v>
      </c>
      <c r="AA99" s="1026">
        <v>0</v>
      </c>
      <c r="AE99" s="1026">
        <v>0</v>
      </c>
      <c r="AI99" s="1026">
        <v>0</v>
      </c>
      <c r="AM99" s="1026">
        <v>0</v>
      </c>
      <c r="AQ99" s="1026">
        <v>0</v>
      </c>
      <c r="AU99" s="1026">
        <v>0</v>
      </c>
      <c r="AY99" s="1026">
        <v>0</v>
      </c>
      <c r="BC99" s="1026">
        <v>0</v>
      </c>
      <c r="BG99" s="1026">
        <v>0</v>
      </c>
      <c r="BL99" s="1026">
        <v>0</v>
      </c>
      <c r="BM99" s="1026">
        <v>0</v>
      </c>
      <c r="BO99" s="1026">
        <v>0</v>
      </c>
      <c r="BT99" s="1026">
        <v>0</v>
      </c>
      <c r="BV99" s="1026">
        <v>0</v>
      </c>
      <c r="CA99" s="1026">
        <v>0</v>
      </c>
      <c r="CC99" s="1026">
        <v>0</v>
      </c>
      <c r="CI99" s="1026">
        <v>0</v>
      </c>
      <c r="CO99" s="1026">
        <v>0</v>
      </c>
      <c r="CT99" s="1026">
        <v>0</v>
      </c>
      <c r="CU99" s="1026">
        <v>0</v>
      </c>
      <c r="CX99" s="1026">
        <v>0</v>
      </c>
      <c r="DA99" s="1026">
        <v>0</v>
      </c>
      <c r="DE99" s="1026">
        <v>0</v>
      </c>
      <c r="DF99" s="1026">
        <v>0</v>
      </c>
      <c r="DI99" s="1026">
        <v>0</v>
      </c>
      <c r="DL99" s="1026">
        <v>0</v>
      </c>
      <c r="DR99" s="1026">
        <v>0</v>
      </c>
      <c r="DT99" s="1026">
        <v>0</v>
      </c>
      <c r="DW99" s="1026">
        <v>0</v>
      </c>
      <c r="EB99" s="1026">
        <v>0</v>
      </c>
      <c r="EF99" s="1026">
        <v>0</v>
      </c>
      <c r="EG99" s="1026">
        <v>0</v>
      </c>
      <c r="EJ99" s="1026">
        <v>0</v>
      </c>
      <c r="EM99" s="1026">
        <v>0</v>
      </c>
      <c r="ES99" s="1026">
        <v>1120458434.3208201</v>
      </c>
      <c r="ET99" s="1026">
        <v>50306580</v>
      </c>
      <c r="EU99" s="1026">
        <v>5030658</v>
      </c>
      <c r="EV99" s="1026">
        <v>45275922</v>
      </c>
      <c r="EW99" s="1026">
        <v>0</v>
      </c>
      <c r="EX99" s="1026">
        <v>0</v>
      </c>
      <c r="EY99" s="1026">
        <v>0</v>
      </c>
      <c r="EZ99" s="1026">
        <v>1058500925.3208201</v>
      </c>
      <c r="FA99" s="1026">
        <v>4354509.01</v>
      </c>
      <c r="FB99" s="1026">
        <v>26997211.250000007</v>
      </c>
      <c r="FC99" s="1026">
        <v>1027149205.0608201</v>
      </c>
      <c r="FD99" s="1026">
        <v>11650929</v>
      </c>
      <c r="FF99" s="1026">
        <v>638332.09000000008</v>
      </c>
      <c r="FL99" s="1026">
        <v>1121096766.41082</v>
      </c>
    </row>
    <row r="100" spans="2:169">
      <c r="B100" s="1790">
        <v>44621</v>
      </c>
      <c r="C100" s="1026">
        <v>0</v>
      </c>
      <c r="D100" s="1026">
        <v>0</v>
      </c>
      <c r="E100" s="1026">
        <v>0</v>
      </c>
      <c r="F100" s="1026">
        <v>0</v>
      </c>
      <c r="Q100" s="1026">
        <v>0</v>
      </c>
      <c r="R100" s="1026">
        <v>0</v>
      </c>
      <c r="S100" s="1026">
        <v>0</v>
      </c>
      <c r="W100" s="1026">
        <v>0</v>
      </c>
      <c r="AA100" s="1026">
        <v>0</v>
      </c>
      <c r="AE100" s="1026">
        <v>0</v>
      </c>
      <c r="AI100" s="1026">
        <v>0</v>
      </c>
      <c r="AM100" s="1026">
        <v>0</v>
      </c>
      <c r="AQ100" s="1026">
        <v>0</v>
      </c>
      <c r="AU100" s="1026">
        <v>0</v>
      </c>
      <c r="AY100" s="1026">
        <v>0</v>
      </c>
      <c r="BC100" s="1026">
        <v>0</v>
      </c>
      <c r="BG100" s="1026">
        <v>0</v>
      </c>
      <c r="BL100" s="1026">
        <v>0</v>
      </c>
      <c r="BM100" s="1026">
        <v>0</v>
      </c>
      <c r="BO100" s="1026">
        <v>0</v>
      </c>
      <c r="BT100" s="1026">
        <v>0</v>
      </c>
      <c r="BV100" s="1026">
        <v>0</v>
      </c>
      <c r="CA100" s="1026">
        <v>0</v>
      </c>
      <c r="CC100" s="1026">
        <v>0</v>
      </c>
      <c r="CI100" s="1026">
        <v>0</v>
      </c>
      <c r="CO100" s="1026">
        <v>0</v>
      </c>
      <c r="CT100" s="1026">
        <v>0</v>
      </c>
      <c r="CU100" s="1026">
        <v>0</v>
      </c>
      <c r="CX100" s="1026">
        <v>0</v>
      </c>
      <c r="DA100" s="1026">
        <v>0</v>
      </c>
      <c r="DE100" s="1026">
        <v>0</v>
      </c>
      <c r="DF100" s="1026">
        <v>0</v>
      </c>
      <c r="DI100" s="1026">
        <v>0</v>
      </c>
      <c r="DL100" s="1026">
        <v>0</v>
      </c>
      <c r="DR100" s="1026">
        <v>0</v>
      </c>
      <c r="DT100" s="1026">
        <v>0</v>
      </c>
      <c r="DW100" s="1026">
        <v>0</v>
      </c>
      <c r="EB100" s="1026">
        <v>0</v>
      </c>
      <c r="EF100" s="1026">
        <v>0</v>
      </c>
      <c r="EG100" s="1026">
        <v>0</v>
      </c>
      <c r="EJ100" s="1026">
        <v>0</v>
      </c>
      <c r="EM100" s="1026">
        <v>0</v>
      </c>
      <c r="ES100" s="1026">
        <v>1114237425.530292</v>
      </c>
      <c r="ET100" s="1026">
        <v>50306580</v>
      </c>
      <c r="EU100" s="1026">
        <v>5030658</v>
      </c>
      <c r="EV100" s="1026">
        <v>45275922</v>
      </c>
      <c r="EW100" s="1026">
        <v>0</v>
      </c>
      <c r="EX100" s="1026">
        <v>0</v>
      </c>
      <c r="EY100" s="1026">
        <v>0</v>
      </c>
      <c r="EZ100" s="1026">
        <v>1063075957.3208201</v>
      </c>
      <c r="FA100" s="1026">
        <v>4354509.01</v>
      </c>
      <c r="FB100" s="1026">
        <v>26997211.250000007</v>
      </c>
      <c r="FC100" s="1026">
        <v>1031724237.0608201</v>
      </c>
      <c r="FD100" s="1026">
        <v>854888.20947199687</v>
      </c>
      <c r="FF100" s="1026">
        <v>638332.09000000008</v>
      </c>
      <c r="FL100" s="1026">
        <v>1114875757.6202919</v>
      </c>
    </row>
    <row r="101" spans="2:169">
      <c r="B101" s="1790">
        <v>44652</v>
      </c>
      <c r="C101" s="1026">
        <v>0</v>
      </c>
      <c r="D101" s="1026">
        <v>0</v>
      </c>
      <c r="E101" s="1026">
        <v>0</v>
      </c>
      <c r="F101" s="1026">
        <v>0</v>
      </c>
      <c r="Q101" s="1026">
        <v>0</v>
      </c>
      <c r="R101" s="1026">
        <v>0</v>
      </c>
      <c r="S101" s="1026">
        <v>0</v>
      </c>
      <c r="W101" s="1026">
        <v>0</v>
      </c>
      <c r="AA101" s="1026">
        <v>0</v>
      </c>
      <c r="AE101" s="1026">
        <v>0</v>
      </c>
      <c r="AI101" s="1026">
        <v>0</v>
      </c>
      <c r="AM101" s="1026">
        <v>0</v>
      </c>
      <c r="AQ101" s="1026">
        <v>0</v>
      </c>
      <c r="AU101" s="1026">
        <v>0</v>
      </c>
      <c r="AY101" s="1026">
        <v>0</v>
      </c>
      <c r="BC101" s="1026">
        <v>0</v>
      </c>
      <c r="BG101" s="1026">
        <v>0</v>
      </c>
      <c r="BL101" s="1026">
        <v>0</v>
      </c>
      <c r="BM101" s="1026">
        <v>0</v>
      </c>
      <c r="BO101" s="1026">
        <v>0</v>
      </c>
      <c r="BT101" s="1026">
        <v>0</v>
      </c>
      <c r="BV101" s="1026">
        <v>0</v>
      </c>
      <c r="CA101" s="1026">
        <v>0</v>
      </c>
      <c r="CC101" s="1026">
        <v>0</v>
      </c>
      <c r="CI101" s="1026">
        <v>0</v>
      </c>
      <c r="CO101" s="1026">
        <v>0</v>
      </c>
      <c r="CT101" s="1026">
        <v>0</v>
      </c>
      <c r="CU101" s="1026">
        <v>0</v>
      </c>
      <c r="CX101" s="1026">
        <v>0</v>
      </c>
      <c r="DA101" s="1026">
        <v>0</v>
      </c>
      <c r="DE101" s="1026">
        <v>0</v>
      </c>
      <c r="DF101" s="1026">
        <v>0</v>
      </c>
      <c r="DI101" s="1026">
        <v>0</v>
      </c>
      <c r="DL101" s="1026">
        <v>0</v>
      </c>
      <c r="DR101" s="1026">
        <v>0</v>
      </c>
      <c r="DT101" s="1026">
        <v>0</v>
      </c>
      <c r="DW101" s="1026">
        <v>0</v>
      </c>
      <c r="EB101" s="1026">
        <v>0</v>
      </c>
      <c r="EF101" s="1026">
        <v>0</v>
      </c>
      <c r="EG101" s="1026">
        <v>0</v>
      </c>
      <c r="EJ101" s="1026">
        <v>0</v>
      </c>
      <c r="EM101" s="1026">
        <v>0</v>
      </c>
      <c r="ES101" s="1026">
        <v>1159912367.530292</v>
      </c>
      <c r="ET101" s="1026">
        <v>50306580</v>
      </c>
      <c r="EU101" s="1026">
        <v>5030658</v>
      </c>
      <c r="EV101" s="1026">
        <v>45275922</v>
      </c>
      <c r="EW101" s="1026">
        <v>0</v>
      </c>
      <c r="EX101" s="1026">
        <v>0</v>
      </c>
      <c r="EY101" s="1026">
        <v>0</v>
      </c>
      <c r="EZ101" s="1026">
        <v>1107924649.3208201</v>
      </c>
      <c r="FA101" s="1026">
        <v>4354509.01</v>
      </c>
      <c r="FB101" s="1026">
        <v>26997211.250000007</v>
      </c>
      <c r="FC101" s="1026">
        <v>1076572929.0608201</v>
      </c>
      <c r="FD101" s="1026">
        <v>1681138.2094719969</v>
      </c>
      <c r="FF101" s="1026">
        <v>638332.09000000008</v>
      </c>
      <c r="FL101" s="1026">
        <v>1160550699.6202919</v>
      </c>
      <c r="FM101" s="1026">
        <v>-8.1104040145874023E-2</v>
      </c>
    </row>
    <row r="102" spans="2:169">
      <c r="B102" s="1790">
        <v>44682</v>
      </c>
      <c r="C102" s="1026">
        <v>0</v>
      </c>
      <c r="D102" s="1026">
        <v>0</v>
      </c>
      <c r="E102" s="1026">
        <v>0</v>
      </c>
      <c r="F102" s="1026">
        <v>0</v>
      </c>
      <c r="Q102" s="1026">
        <v>0</v>
      </c>
      <c r="R102" s="1026">
        <v>0</v>
      </c>
      <c r="S102" s="1026">
        <v>0</v>
      </c>
      <c r="W102" s="1026">
        <v>0</v>
      </c>
      <c r="AA102" s="1026">
        <v>0</v>
      </c>
      <c r="AE102" s="1026">
        <v>0</v>
      </c>
      <c r="AI102" s="1026">
        <v>0</v>
      </c>
      <c r="AM102" s="1026">
        <v>0</v>
      </c>
      <c r="AQ102" s="1026">
        <v>0</v>
      </c>
      <c r="AU102" s="1026">
        <v>0</v>
      </c>
      <c r="AY102" s="1026">
        <v>0</v>
      </c>
      <c r="BC102" s="1026">
        <v>0</v>
      </c>
      <c r="BG102" s="1026">
        <v>0</v>
      </c>
      <c r="BL102" s="1026">
        <v>0</v>
      </c>
      <c r="BM102" s="1026">
        <v>0</v>
      </c>
      <c r="BO102" s="1026">
        <v>0</v>
      </c>
      <c r="BT102" s="1026">
        <v>0</v>
      </c>
      <c r="BV102" s="1026">
        <v>0</v>
      </c>
      <c r="CA102" s="1026">
        <v>0</v>
      </c>
      <c r="CC102" s="1026">
        <v>0</v>
      </c>
      <c r="CI102" s="1026">
        <v>0</v>
      </c>
      <c r="CO102" s="1026">
        <v>0</v>
      </c>
      <c r="CT102" s="1026">
        <v>0</v>
      </c>
      <c r="CU102" s="1026">
        <v>0</v>
      </c>
      <c r="CX102" s="1026">
        <v>0</v>
      </c>
      <c r="DA102" s="1026">
        <v>0</v>
      </c>
      <c r="DE102" s="1026">
        <v>0</v>
      </c>
      <c r="DF102" s="1026">
        <v>0</v>
      </c>
      <c r="DI102" s="1026">
        <v>0</v>
      </c>
      <c r="DL102" s="1026">
        <v>0</v>
      </c>
      <c r="DR102" s="1026">
        <v>0</v>
      </c>
      <c r="DT102" s="1026">
        <v>0</v>
      </c>
      <c r="DW102" s="1026">
        <v>0</v>
      </c>
      <c r="EB102" s="1026">
        <v>0</v>
      </c>
      <c r="EF102" s="1026">
        <v>0</v>
      </c>
      <c r="EG102" s="1026">
        <v>0</v>
      </c>
      <c r="EJ102" s="1026">
        <v>0</v>
      </c>
      <c r="EM102" s="1026">
        <v>0</v>
      </c>
      <c r="ES102" s="1026">
        <v>1129370780.9776301</v>
      </c>
      <c r="ET102" s="1026">
        <v>50306580</v>
      </c>
      <c r="EU102" s="1026">
        <v>5030658</v>
      </c>
      <c r="EV102" s="1026">
        <v>45275922</v>
      </c>
      <c r="EW102" s="1026">
        <v>0</v>
      </c>
      <c r="EX102" s="1026">
        <v>0</v>
      </c>
      <c r="EY102" s="1026">
        <v>0</v>
      </c>
      <c r="EZ102" s="1026">
        <v>1067691347.1058301</v>
      </c>
      <c r="FA102" s="1026">
        <v>3223435.83</v>
      </c>
      <c r="FB102" s="1026">
        <v>26818421.769999996</v>
      </c>
      <c r="FC102" s="1026">
        <v>1037649489.50583</v>
      </c>
      <c r="FD102" s="1026">
        <v>11372853.871800022</v>
      </c>
      <c r="FF102" s="1026">
        <v>179405.27</v>
      </c>
      <c r="FL102" s="1026">
        <v>1129550186.2476301</v>
      </c>
      <c r="FM102" s="1026">
        <v>-0.52933406829833984</v>
      </c>
    </row>
    <row r="103" spans="2:169">
      <c r="B103" s="1790">
        <v>44713</v>
      </c>
      <c r="C103" s="1026">
        <v>0</v>
      </c>
      <c r="D103" s="1026">
        <v>0</v>
      </c>
      <c r="E103" s="1026">
        <v>0</v>
      </c>
      <c r="P103" s="1026">
        <v>0</v>
      </c>
      <c r="Q103" s="1026">
        <v>0</v>
      </c>
      <c r="R103" s="1026">
        <v>0</v>
      </c>
      <c r="V103" s="1026">
        <v>0</v>
      </c>
      <c r="Z103" s="1026">
        <v>0</v>
      </c>
      <c r="AD103" s="1026">
        <v>0</v>
      </c>
      <c r="AH103" s="1026">
        <v>0</v>
      </c>
      <c r="AL103" s="1026">
        <v>0</v>
      </c>
      <c r="AP103" s="1026">
        <v>0</v>
      </c>
      <c r="AT103" s="1026">
        <v>0</v>
      </c>
      <c r="AX103" s="1026">
        <v>0</v>
      </c>
      <c r="BB103" s="1026">
        <v>0</v>
      </c>
      <c r="BF103" s="1026">
        <v>0</v>
      </c>
      <c r="BK103" s="1026">
        <v>0</v>
      </c>
      <c r="BL103" s="1026">
        <v>0</v>
      </c>
      <c r="BN103" s="1026">
        <v>0</v>
      </c>
      <c r="BS103" s="1026">
        <v>0</v>
      </c>
      <c r="BU103" s="1026">
        <v>0</v>
      </c>
      <c r="BZ103" s="1026">
        <v>0</v>
      </c>
      <c r="CB103" s="1026">
        <v>0</v>
      </c>
      <c r="CH103" s="1026">
        <v>0</v>
      </c>
      <c r="CN103" s="1026">
        <v>0</v>
      </c>
      <c r="CS103" s="1026">
        <v>0</v>
      </c>
      <c r="CT103" s="1026">
        <v>0</v>
      </c>
      <c r="CW103" s="1026">
        <v>0</v>
      </c>
      <c r="CZ103" s="1026">
        <v>0</v>
      </c>
      <c r="DD103" s="1026">
        <v>0</v>
      </c>
      <c r="DE103" s="1026">
        <v>0</v>
      </c>
      <c r="DH103" s="1026">
        <v>0</v>
      </c>
      <c r="DK103" s="1026">
        <v>0</v>
      </c>
      <c r="DQ103" s="1026">
        <v>0</v>
      </c>
      <c r="DS103" s="1026">
        <v>0</v>
      </c>
      <c r="DV103" s="1026">
        <v>0</v>
      </c>
      <c r="EA103" s="1026">
        <v>0</v>
      </c>
      <c r="EE103" s="1026">
        <v>0</v>
      </c>
      <c r="EF103" s="1026">
        <v>0</v>
      </c>
      <c r="EI103" s="1026">
        <v>0</v>
      </c>
      <c r="EL103" s="1026">
        <v>0</v>
      </c>
      <c r="ER103" s="1026">
        <v>1130311834.4851298</v>
      </c>
      <c r="ES103" s="1026">
        <v>50306580</v>
      </c>
      <c r="ET103" s="1026">
        <v>5030658</v>
      </c>
      <c r="EU103" s="1026">
        <v>45275922</v>
      </c>
      <c r="EV103" s="1026">
        <v>0</v>
      </c>
      <c r="EW103" s="1026">
        <v>0</v>
      </c>
      <c r="EX103" s="1026">
        <v>0</v>
      </c>
      <c r="EY103" s="1026">
        <v>1069011240.61333</v>
      </c>
      <c r="EZ103" s="1026">
        <v>3223435.83</v>
      </c>
      <c r="FA103" s="1026">
        <v>26818421.769999996</v>
      </c>
      <c r="FB103" s="1026">
        <v>1038969383.01333</v>
      </c>
      <c r="FC103" s="1026">
        <v>10994013.8718</v>
      </c>
      <c r="FE103" s="1026">
        <v>179405.27</v>
      </c>
      <c r="FK103" s="1026">
        <v>1130491239.7551298</v>
      </c>
    </row>
    <row r="104" spans="2:169">
      <c r="B104" s="1790">
        <v>44743</v>
      </c>
      <c r="C104" s="1026">
        <v>0</v>
      </c>
      <c r="D104" s="1026">
        <v>0</v>
      </c>
      <c r="E104" s="1026">
        <v>0</v>
      </c>
      <c r="F104" s="1026">
        <v>0</v>
      </c>
      <c r="Q104" s="1026">
        <v>0</v>
      </c>
      <c r="R104" s="1026">
        <v>0</v>
      </c>
      <c r="S104" s="1026">
        <v>0</v>
      </c>
      <c r="W104" s="1026">
        <v>0</v>
      </c>
      <c r="AA104" s="1026">
        <v>0</v>
      </c>
      <c r="AE104" s="1026">
        <v>0</v>
      </c>
      <c r="AI104" s="1026">
        <v>0</v>
      </c>
      <c r="AM104" s="1026">
        <v>0</v>
      </c>
      <c r="AQ104" s="1026">
        <v>0</v>
      </c>
      <c r="AU104" s="1026">
        <v>0</v>
      </c>
      <c r="AY104" s="1026">
        <v>0</v>
      </c>
      <c r="BC104" s="1026">
        <v>0</v>
      </c>
      <c r="BG104" s="1026">
        <v>0</v>
      </c>
      <c r="BL104" s="1026">
        <v>0</v>
      </c>
      <c r="BM104" s="1026">
        <v>0</v>
      </c>
      <c r="BO104" s="1026">
        <v>0</v>
      </c>
      <c r="BT104" s="1026">
        <v>0</v>
      </c>
      <c r="BV104" s="1026">
        <v>0</v>
      </c>
      <c r="CA104" s="1026">
        <v>0</v>
      </c>
      <c r="CC104" s="1026">
        <v>0</v>
      </c>
      <c r="CI104" s="1026">
        <v>0</v>
      </c>
      <c r="CO104" s="1026">
        <v>0</v>
      </c>
      <c r="CT104" s="1026">
        <v>0</v>
      </c>
      <c r="CU104" s="1026">
        <v>0</v>
      </c>
      <c r="CX104" s="1026">
        <v>0</v>
      </c>
      <c r="DA104" s="1026">
        <v>0</v>
      </c>
      <c r="DE104" s="1026">
        <v>0</v>
      </c>
      <c r="DF104" s="1026">
        <v>0</v>
      </c>
      <c r="DI104" s="1026">
        <v>0</v>
      </c>
      <c r="DL104" s="1026">
        <v>0</v>
      </c>
      <c r="DR104" s="1026">
        <v>0</v>
      </c>
      <c r="DT104" s="1026">
        <v>0</v>
      </c>
      <c r="DW104" s="1026">
        <v>0</v>
      </c>
      <c r="EB104" s="1026">
        <v>0</v>
      </c>
      <c r="EF104" s="1026">
        <v>0</v>
      </c>
      <c r="EG104" s="1026">
        <v>0</v>
      </c>
      <c r="EJ104" s="1026">
        <v>0</v>
      </c>
      <c r="EM104" s="1026">
        <v>0</v>
      </c>
      <c r="ES104" s="1026">
        <v>1114958490.4851298</v>
      </c>
      <c r="ET104" s="1026">
        <v>50306580</v>
      </c>
      <c r="EU104" s="1026">
        <v>5030658</v>
      </c>
      <c r="EV104" s="1026">
        <v>45275922</v>
      </c>
      <c r="EW104" s="1026">
        <v>0</v>
      </c>
      <c r="EX104" s="1026">
        <v>0</v>
      </c>
      <c r="EY104" s="1026">
        <v>0</v>
      </c>
      <c r="EZ104" s="1026">
        <v>1049430395.61333</v>
      </c>
      <c r="FA104" s="1026">
        <v>2498066.83</v>
      </c>
      <c r="FB104" s="1026">
        <v>26818421.769999996</v>
      </c>
      <c r="FC104" s="1026">
        <v>1020113907.01333</v>
      </c>
      <c r="FD104" s="1026">
        <v>15221514.8718</v>
      </c>
      <c r="FF104" s="1026">
        <v>179404.96816613196</v>
      </c>
      <c r="FL104" s="1026">
        <v>1115137895.4532959</v>
      </c>
    </row>
    <row r="105" spans="2:169">
      <c r="B105" s="1790">
        <v>44774</v>
      </c>
      <c r="C105" s="1026">
        <v>0</v>
      </c>
      <c r="D105" s="1026">
        <v>0</v>
      </c>
      <c r="E105" s="1026">
        <v>0</v>
      </c>
      <c r="F105" s="1026">
        <v>0</v>
      </c>
      <c r="Q105" s="1026">
        <v>0</v>
      </c>
      <c r="R105" s="1026">
        <v>0</v>
      </c>
      <c r="S105" s="1026">
        <v>0</v>
      </c>
      <c r="W105" s="1026">
        <v>0</v>
      </c>
      <c r="AA105" s="1026">
        <v>0</v>
      </c>
      <c r="AE105" s="1026">
        <v>0</v>
      </c>
      <c r="AI105" s="1026">
        <v>0</v>
      </c>
      <c r="AM105" s="1026">
        <v>0</v>
      </c>
      <c r="AQ105" s="1026">
        <v>0</v>
      </c>
      <c r="AU105" s="1026">
        <v>0</v>
      </c>
      <c r="AY105" s="1026">
        <v>0</v>
      </c>
      <c r="BC105" s="1026">
        <v>0</v>
      </c>
      <c r="BG105" s="1026">
        <v>0</v>
      </c>
      <c r="BL105" s="1026">
        <v>0</v>
      </c>
      <c r="BM105" s="1026">
        <v>0</v>
      </c>
      <c r="BO105" s="1026">
        <v>0</v>
      </c>
      <c r="BT105" s="1026">
        <v>0</v>
      </c>
      <c r="BV105" s="1026">
        <v>0</v>
      </c>
      <c r="CA105" s="1026">
        <v>0</v>
      </c>
      <c r="CC105" s="1026">
        <v>0</v>
      </c>
      <c r="CI105" s="1026">
        <v>0</v>
      </c>
      <c r="CO105" s="1026">
        <v>0</v>
      </c>
      <c r="CT105" s="1026">
        <v>0</v>
      </c>
      <c r="CU105" s="1026">
        <v>0</v>
      </c>
      <c r="CX105" s="1026">
        <v>0</v>
      </c>
      <c r="DA105" s="1026">
        <v>0</v>
      </c>
      <c r="DE105" s="1026">
        <v>0</v>
      </c>
      <c r="DF105" s="1026">
        <v>0</v>
      </c>
      <c r="DI105" s="1026">
        <v>0</v>
      </c>
      <c r="DL105" s="1026">
        <v>0</v>
      </c>
      <c r="DR105" s="1026">
        <v>0</v>
      </c>
      <c r="DT105" s="1026">
        <v>0</v>
      </c>
      <c r="DW105" s="1026">
        <v>0</v>
      </c>
      <c r="EB105" s="1026">
        <v>0</v>
      </c>
      <c r="EF105" s="1026">
        <v>0</v>
      </c>
      <c r="EG105" s="1026">
        <v>0</v>
      </c>
      <c r="EJ105" s="1026">
        <v>0</v>
      </c>
      <c r="EM105" s="1026">
        <v>0</v>
      </c>
      <c r="ES105" s="1026">
        <v>1100004147.4851298</v>
      </c>
      <c r="ET105" s="1026">
        <v>50306580</v>
      </c>
      <c r="EU105" s="1026">
        <v>5030658</v>
      </c>
      <c r="EV105" s="1026">
        <v>45275922</v>
      </c>
      <c r="EW105" s="1026">
        <v>0</v>
      </c>
      <c r="EX105" s="1026">
        <v>0</v>
      </c>
      <c r="EY105" s="1026">
        <v>0</v>
      </c>
      <c r="EZ105" s="1026">
        <v>1030103532.61333</v>
      </c>
      <c r="FA105" s="1026">
        <v>2498066.83</v>
      </c>
      <c r="FB105" s="1026">
        <v>26818421.769999996</v>
      </c>
      <c r="FC105" s="1026">
        <v>1000787044.01333</v>
      </c>
      <c r="FD105" s="1026">
        <v>19594034.871799998</v>
      </c>
      <c r="FF105" s="1026">
        <v>179404.96816613196</v>
      </c>
      <c r="FL105" s="1026">
        <v>1100183552.4532959</v>
      </c>
    </row>
    <row r="106" spans="2:169">
      <c r="B106" s="1790">
        <v>44805</v>
      </c>
      <c r="C106" s="1026">
        <v>0</v>
      </c>
      <c r="D106" s="1026">
        <v>0</v>
      </c>
      <c r="E106" s="1026">
        <v>0</v>
      </c>
      <c r="F106" s="1026">
        <v>0</v>
      </c>
      <c r="Q106" s="1026">
        <v>0</v>
      </c>
      <c r="R106" s="1026">
        <v>0</v>
      </c>
      <c r="S106" s="1026">
        <v>0</v>
      </c>
      <c r="W106" s="1026">
        <v>0</v>
      </c>
      <c r="AA106" s="1026">
        <v>0</v>
      </c>
      <c r="AE106" s="1026">
        <v>0</v>
      </c>
      <c r="AI106" s="1026">
        <v>0</v>
      </c>
      <c r="AM106" s="1026">
        <v>0</v>
      </c>
      <c r="AQ106" s="1026">
        <v>0</v>
      </c>
      <c r="AU106" s="1026">
        <v>0</v>
      </c>
      <c r="AY106" s="1026">
        <v>0</v>
      </c>
      <c r="BC106" s="1026">
        <v>0</v>
      </c>
      <c r="BG106" s="1026">
        <v>0</v>
      </c>
      <c r="BL106" s="1026">
        <v>0</v>
      </c>
      <c r="BM106" s="1026">
        <v>0</v>
      </c>
      <c r="BO106" s="1026">
        <v>0</v>
      </c>
      <c r="BT106" s="1026">
        <v>0</v>
      </c>
      <c r="BV106" s="1026">
        <v>0</v>
      </c>
      <c r="CA106" s="1026">
        <v>0</v>
      </c>
      <c r="CC106" s="1026">
        <v>0</v>
      </c>
      <c r="CI106" s="1026">
        <v>0</v>
      </c>
      <c r="CO106" s="1026">
        <v>0</v>
      </c>
      <c r="CT106" s="1026">
        <v>0</v>
      </c>
      <c r="CU106" s="1026">
        <v>0</v>
      </c>
      <c r="CX106" s="1026">
        <v>0</v>
      </c>
      <c r="DA106" s="1026">
        <v>0</v>
      </c>
      <c r="DE106" s="1026">
        <v>0</v>
      </c>
      <c r="DF106" s="1026">
        <v>0</v>
      </c>
      <c r="DI106" s="1026">
        <v>0</v>
      </c>
      <c r="DL106" s="1026">
        <v>0</v>
      </c>
      <c r="DR106" s="1026">
        <v>0</v>
      </c>
      <c r="DT106" s="1026">
        <v>0</v>
      </c>
      <c r="DW106" s="1026">
        <v>0</v>
      </c>
      <c r="EB106" s="1026">
        <v>0</v>
      </c>
      <c r="EF106" s="1026">
        <v>0</v>
      </c>
      <c r="EG106" s="1026">
        <v>0</v>
      </c>
      <c r="EJ106" s="1026">
        <v>0</v>
      </c>
      <c r="EM106" s="1026">
        <v>0</v>
      </c>
      <c r="ES106" s="1026">
        <v>1067677888.4851301</v>
      </c>
      <c r="ET106" s="1026">
        <v>50306580</v>
      </c>
      <c r="EU106" s="1026">
        <v>5030658</v>
      </c>
      <c r="EV106" s="1026">
        <v>45275922</v>
      </c>
      <c r="EW106" s="1026">
        <v>0</v>
      </c>
      <c r="EX106" s="1026">
        <v>0</v>
      </c>
      <c r="EY106" s="1026">
        <v>0</v>
      </c>
      <c r="EZ106" s="1026">
        <v>1001568454.61333</v>
      </c>
      <c r="FA106" s="1026">
        <v>1303435.83</v>
      </c>
      <c r="FB106" s="1026">
        <v>26818421.769999996</v>
      </c>
      <c r="FC106" s="1026">
        <v>973446597.01332998</v>
      </c>
      <c r="FD106" s="1026">
        <v>15802853.871800022</v>
      </c>
      <c r="FF106" s="1026">
        <v>179404.96816613196</v>
      </c>
      <c r="FL106" s="1026">
        <v>1067857293.4532962</v>
      </c>
    </row>
    <row r="107" spans="2:169">
      <c r="B107" s="1790">
        <v>44835</v>
      </c>
      <c r="C107" s="1026">
        <v>0</v>
      </c>
      <c r="D107" s="1026">
        <v>0</v>
      </c>
      <c r="E107" s="1026">
        <v>0</v>
      </c>
      <c r="F107" s="1026">
        <v>0</v>
      </c>
      <c r="Q107" s="1026">
        <v>0</v>
      </c>
      <c r="R107" s="1026">
        <v>0</v>
      </c>
      <c r="S107" s="1026">
        <v>0</v>
      </c>
      <c r="W107" s="1026">
        <v>0</v>
      </c>
      <c r="AA107" s="1026">
        <v>0</v>
      </c>
      <c r="AE107" s="1026">
        <v>0</v>
      </c>
      <c r="AI107" s="1026">
        <v>0</v>
      </c>
      <c r="AM107" s="1026">
        <v>0</v>
      </c>
      <c r="AQ107" s="1026">
        <v>0</v>
      </c>
      <c r="AU107" s="1026">
        <v>0</v>
      </c>
      <c r="AY107" s="1026">
        <v>0</v>
      </c>
      <c r="BC107" s="1026">
        <v>0</v>
      </c>
      <c r="BG107" s="1026">
        <v>0</v>
      </c>
      <c r="BL107" s="1026">
        <v>0</v>
      </c>
      <c r="BM107" s="1026">
        <v>0</v>
      </c>
      <c r="BO107" s="1026">
        <v>0</v>
      </c>
      <c r="BT107" s="1026">
        <v>0</v>
      </c>
      <c r="BV107" s="1026">
        <v>0</v>
      </c>
      <c r="CA107" s="1026">
        <v>0</v>
      </c>
      <c r="CC107" s="1026">
        <v>0</v>
      </c>
      <c r="CI107" s="1026">
        <v>0</v>
      </c>
      <c r="CO107" s="1026">
        <v>0</v>
      </c>
      <c r="CT107" s="1026">
        <v>0</v>
      </c>
      <c r="CU107" s="1026">
        <v>0</v>
      </c>
      <c r="CX107" s="1026">
        <v>0</v>
      </c>
      <c r="DA107" s="1026">
        <v>0</v>
      </c>
      <c r="DE107" s="1026">
        <v>0</v>
      </c>
      <c r="DF107" s="1026">
        <v>0</v>
      </c>
      <c r="DI107" s="1026">
        <v>0</v>
      </c>
      <c r="DL107" s="1026">
        <v>0</v>
      </c>
      <c r="DR107" s="1026">
        <v>0</v>
      </c>
      <c r="DT107" s="1026">
        <v>0</v>
      </c>
      <c r="DW107" s="1026">
        <v>0</v>
      </c>
      <c r="EB107" s="1026">
        <v>0</v>
      </c>
      <c r="EF107" s="1026">
        <v>0</v>
      </c>
      <c r="EG107" s="1026">
        <v>0</v>
      </c>
      <c r="EJ107" s="1026">
        <v>0</v>
      </c>
      <c r="EM107" s="1026">
        <v>0</v>
      </c>
      <c r="ES107" s="1026">
        <v>1067677888.4851301</v>
      </c>
      <c r="ET107" s="1026">
        <v>50306580</v>
      </c>
      <c r="EU107" s="1026">
        <v>5030658</v>
      </c>
      <c r="EV107" s="1026">
        <v>45275922</v>
      </c>
      <c r="EW107" s="1026">
        <v>0</v>
      </c>
      <c r="EX107" s="1026">
        <v>0</v>
      </c>
      <c r="EY107" s="1026">
        <v>0</v>
      </c>
      <c r="EZ107" s="1026">
        <v>1001568454.61333</v>
      </c>
      <c r="FA107" s="1026">
        <v>1303435.83</v>
      </c>
      <c r="FB107" s="1026">
        <v>26818421.769999996</v>
      </c>
      <c r="FC107" s="1026">
        <v>973446597.01332998</v>
      </c>
      <c r="FD107" s="1026">
        <v>15802853.871800022</v>
      </c>
      <c r="FF107" s="1026">
        <v>179404.96816613196</v>
      </c>
      <c r="FL107" s="1026">
        <v>1067857293.4532962</v>
      </c>
      <c r="FM107" s="1026">
        <v>0.46999967098236084</v>
      </c>
    </row>
    <row r="108" spans="2:169">
      <c r="B108" s="1790">
        <v>44866</v>
      </c>
      <c r="C108" s="1026">
        <v>0</v>
      </c>
      <c r="D108" s="1026">
        <v>0</v>
      </c>
      <c r="E108" s="1026">
        <v>0</v>
      </c>
      <c r="F108" s="1026">
        <v>0</v>
      </c>
      <c r="Q108" s="1026">
        <v>0</v>
      </c>
      <c r="R108" s="1026">
        <v>0</v>
      </c>
      <c r="S108" s="1026">
        <v>0</v>
      </c>
      <c r="W108" s="1026">
        <v>0</v>
      </c>
      <c r="AA108" s="1026">
        <v>0</v>
      </c>
      <c r="AE108" s="1026">
        <v>0</v>
      </c>
      <c r="AI108" s="1026">
        <v>0</v>
      </c>
      <c r="AM108" s="1026">
        <v>0</v>
      </c>
      <c r="AQ108" s="1026">
        <v>0</v>
      </c>
      <c r="AU108" s="1026">
        <v>0</v>
      </c>
      <c r="AY108" s="1026">
        <v>0</v>
      </c>
      <c r="BC108" s="1026">
        <v>0</v>
      </c>
      <c r="BG108" s="1026">
        <v>0</v>
      </c>
      <c r="BL108" s="1026">
        <v>0</v>
      </c>
      <c r="BM108" s="1026">
        <v>0</v>
      </c>
      <c r="BO108" s="1026">
        <v>0</v>
      </c>
      <c r="BT108" s="1026">
        <v>0</v>
      </c>
      <c r="BV108" s="1026">
        <v>0</v>
      </c>
      <c r="CA108" s="1026">
        <v>0</v>
      </c>
      <c r="CC108" s="1026">
        <v>0</v>
      </c>
      <c r="CI108" s="1026">
        <v>0</v>
      </c>
      <c r="CO108" s="1026">
        <v>0</v>
      </c>
      <c r="CT108" s="1026">
        <v>0</v>
      </c>
      <c r="CU108" s="1026">
        <v>0</v>
      </c>
      <c r="CX108" s="1026">
        <v>0</v>
      </c>
      <c r="DA108" s="1026">
        <v>0</v>
      </c>
      <c r="DE108" s="1026">
        <v>0</v>
      </c>
      <c r="DF108" s="1026">
        <v>0</v>
      </c>
      <c r="DI108" s="1026">
        <v>0</v>
      </c>
      <c r="DL108" s="1026">
        <v>0</v>
      </c>
      <c r="DR108" s="1026">
        <v>0</v>
      </c>
      <c r="DT108" s="1026">
        <v>0</v>
      </c>
      <c r="DW108" s="1026">
        <v>0</v>
      </c>
      <c r="EB108" s="1026">
        <v>0</v>
      </c>
      <c r="EF108" s="1026">
        <v>0</v>
      </c>
      <c r="EG108" s="1026">
        <v>0</v>
      </c>
      <c r="EJ108" s="1026">
        <v>0</v>
      </c>
      <c r="EM108" s="1026">
        <v>0</v>
      </c>
      <c r="ES108" s="1026">
        <v>1067677888.4851301</v>
      </c>
      <c r="ET108" s="1026">
        <v>50306580</v>
      </c>
      <c r="EU108" s="1026">
        <v>5030658</v>
      </c>
      <c r="EV108" s="1026">
        <v>45275922</v>
      </c>
      <c r="EW108" s="1026">
        <v>0</v>
      </c>
      <c r="EX108" s="1026">
        <v>0</v>
      </c>
      <c r="EY108" s="1026">
        <v>0</v>
      </c>
      <c r="EZ108" s="1026">
        <v>1001568454.61333</v>
      </c>
      <c r="FA108" s="1026">
        <v>1303435.83</v>
      </c>
      <c r="FB108" s="1026">
        <v>26818421.769999996</v>
      </c>
      <c r="FC108" s="1026">
        <v>973446597.01332998</v>
      </c>
      <c r="FD108" s="1026">
        <v>15802853.871800022</v>
      </c>
      <c r="FF108" s="1026">
        <v>179404.96816613196</v>
      </c>
      <c r="FL108" s="1026">
        <v>1067857293.4532962</v>
      </c>
      <c r="FM108" s="1026">
        <v>0.46999967098236084</v>
      </c>
    </row>
    <row r="109" spans="2:169">
      <c r="B109" s="1790">
        <v>44896</v>
      </c>
      <c r="C109" s="1026">
        <v>0</v>
      </c>
      <c r="D109" s="1026">
        <v>0</v>
      </c>
      <c r="E109" s="1026">
        <v>0</v>
      </c>
      <c r="F109" s="1026">
        <v>0</v>
      </c>
      <c r="Q109" s="1026">
        <v>0</v>
      </c>
      <c r="R109" s="1026">
        <v>0</v>
      </c>
      <c r="S109" s="1026">
        <v>0</v>
      </c>
      <c r="W109" s="1026">
        <v>0</v>
      </c>
      <c r="AA109" s="1026">
        <v>0</v>
      </c>
      <c r="AE109" s="1026">
        <v>0</v>
      </c>
      <c r="AI109" s="1026">
        <v>0</v>
      </c>
      <c r="AM109" s="1026">
        <v>0</v>
      </c>
      <c r="AQ109" s="1026">
        <v>0</v>
      </c>
      <c r="AU109" s="1026">
        <v>0</v>
      </c>
      <c r="AY109" s="1026">
        <v>0</v>
      </c>
      <c r="BC109" s="1026">
        <v>0</v>
      </c>
      <c r="BG109" s="1026">
        <v>0</v>
      </c>
      <c r="BL109" s="1026">
        <v>0</v>
      </c>
      <c r="BM109" s="1026">
        <v>0</v>
      </c>
      <c r="BO109" s="1026">
        <v>0</v>
      </c>
      <c r="BT109" s="1026">
        <v>0</v>
      </c>
      <c r="BV109" s="1026">
        <v>0</v>
      </c>
      <c r="CA109" s="1026">
        <v>0</v>
      </c>
      <c r="CC109" s="1026">
        <v>0</v>
      </c>
      <c r="CI109" s="1026">
        <v>0</v>
      </c>
      <c r="CO109" s="1026">
        <v>0</v>
      </c>
      <c r="CT109" s="1026">
        <v>0</v>
      </c>
      <c r="CU109" s="1026">
        <v>0</v>
      </c>
      <c r="CX109" s="1026">
        <v>0</v>
      </c>
      <c r="DA109" s="1026">
        <v>0</v>
      </c>
      <c r="DE109" s="1026">
        <v>0</v>
      </c>
      <c r="DF109" s="1026">
        <v>0</v>
      </c>
      <c r="DI109" s="1026">
        <v>0</v>
      </c>
      <c r="DL109" s="1026">
        <v>0</v>
      </c>
      <c r="DR109" s="1026">
        <v>0</v>
      </c>
      <c r="DT109" s="1026">
        <v>0</v>
      </c>
      <c r="DW109" s="1026">
        <v>0</v>
      </c>
      <c r="EB109" s="1026">
        <v>0</v>
      </c>
      <c r="EF109" s="1026">
        <v>0</v>
      </c>
      <c r="EG109" s="1026">
        <v>0</v>
      </c>
      <c r="EJ109" s="1026">
        <v>0</v>
      </c>
      <c r="EM109" s="1026">
        <v>0</v>
      </c>
      <c r="ES109" s="1026">
        <v>1085291216.4851301</v>
      </c>
      <c r="ET109" s="1026">
        <v>50306580</v>
      </c>
      <c r="EU109" s="1026">
        <v>5030658</v>
      </c>
      <c r="EV109" s="1026">
        <v>45275922</v>
      </c>
      <c r="EW109" s="1026">
        <v>0</v>
      </c>
      <c r="EX109" s="1026">
        <v>0</v>
      </c>
      <c r="EY109" s="1026">
        <v>0</v>
      </c>
      <c r="EZ109" s="1026">
        <v>1019122479.61333</v>
      </c>
      <c r="FA109" s="1026">
        <v>1303435.83</v>
      </c>
      <c r="FB109" s="1026">
        <v>26818421.769999996</v>
      </c>
      <c r="FC109" s="1026">
        <v>991000622.01332998</v>
      </c>
      <c r="FD109" s="1026">
        <v>15862156.8718</v>
      </c>
      <c r="FF109" s="1026">
        <v>179404.96816613196</v>
      </c>
      <c r="FL109" s="1026">
        <v>1085470621.4532962</v>
      </c>
    </row>
  </sheetData>
  <customSheetViews>
    <customSheetView guid="{705E0D18-9A83-42CA-8732-90923BE2EC7D}">
      <pane xSplit="2" ySplit="4" topLeftCell="FE39" activePane="bottomRight" state="frozen"/>
      <selection pane="bottomRight" activeCell="B49" sqref="B49:B50"/>
      <pageMargins left="0.7" right="0.7" top="0.75" bottom="0.75" header="0.3" footer="0.3"/>
    </customSheetView>
    <customSheetView guid="{D45E5F9E-4EA6-40A2-8A1D-3AC67FB8CE54}">
      <pane xSplit="2" ySplit="4" topLeftCell="FE39" activePane="bottomRight" state="frozen"/>
      <selection pane="bottomRight" activeCell="B50" sqref="B50:FM50"/>
      <pageMargins left="0.7" right="0.7" top="0.75" bottom="0.75" header="0.3" footer="0.3"/>
    </customSheetView>
    <customSheetView guid="{89CA84C2-78F5-4B05-8F1D-B7C5F97BCB4E}">
      <pane xSplit="2" ySplit="4" topLeftCell="FE32" activePane="bottomRight" state="frozen"/>
      <selection pane="bottomRight" activeCell="A44" sqref="A44:XFD44"/>
      <pageMargins left="0.7" right="0.7" top="0.75" bottom="0.75" header="0.3" footer="0.3"/>
    </customSheetView>
  </customSheetView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sheetPr>
  <dimension ref="D3:ET114"/>
  <sheetViews>
    <sheetView workbookViewId="0">
      <pane xSplit="4" ySplit="5" topLeftCell="E111" activePane="bottomRight" state="frozen"/>
      <selection pane="topRight" activeCell="E1" sqref="E1"/>
      <selection pane="bottomLeft" activeCell="A6" sqref="A6"/>
      <selection pane="bottomRight" activeCell="E113" sqref="E113:E114"/>
    </sheetView>
  </sheetViews>
  <sheetFormatPr defaultColWidth="8.77734375" defaultRowHeight="15.75"/>
  <cols>
    <col min="1" max="1" width="2.77734375" style="1026" customWidth="1"/>
    <col min="2" max="2" width="4.6640625" style="1026" customWidth="1"/>
    <col min="3" max="3" width="4.109375" style="1026" customWidth="1"/>
    <col min="4" max="4" width="8.77734375" style="1026"/>
    <col min="5" max="5" width="9.21875" style="1026" bestFit="1" customWidth="1"/>
    <col min="6" max="6" width="9.109375" style="1026" bestFit="1" customWidth="1"/>
    <col min="7" max="7" width="20.44140625" style="1375" bestFit="1" customWidth="1"/>
    <col min="8" max="8" width="11.77734375" style="1026" customWidth="1"/>
    <col min="9" max="10" width="12.21875" style="1026" bestFit="1" customWidth="1"/>
    <col min="11" max="12" width="8.77734375" style="1026"/>
    <col min="13" max="15" width="10.21875" style="1026" bestFit="1" customWidth="1"/>
    <col min="16" max="16" width="8.77734375" style="1026"/>
    <col min="17" max="17" width="7.77734375" style="1026" bestFit="1" customWidth="1"/>
    <col min="18" max="19" width="8.77734375" style="1026"/>
    <col min="20" max="20" width="7.77734375" style="1026" bestFit="1" customWidth="1"/>
    <col min="21" max="23" width="8.77734375" style="1026"/>
    <col min="24" max="25" width="7.77734375" style="1026" bestFit="1" customWidth="1"/>
    <col min="26" max="27" width="8.77734375" style="1026"/>
    <col min="28" max="28" width="7.77734375" style="1026" bestFit="1" customWidth="1"/>
    <col min="29" max="31" width="8.77734375" style="1026"/>
    <col min="32" max="32" width="7.77734375" style="1026" bestFit="1" customWidth="1"/>
    <col min="33" max="36" width="8.77734375" style="1026"/>
    <col min="37" max="37" width="7.77734375" style="1026" bestFit="1" customWidth="1"/>
    <col min="38" max="40" width="8.77734375" style="1026"/>
    <col min="41" max="41" width="11.44140625" style="1026" bestFit="1" customWidth="1"/>
    <col min="42" max="42" width="10.77734375" style="1026" bestFit="1" customWidth="1"/>
    <col min="43" max="43" width="10.21875" style="1026" bestFit="1" customWidth="1"/>
    <col min="44" max="44" width="10.5546875" style="1026" customWidth="1"/>
    <col min="45" max="45" width="9.21875" style="1026" bestFit="1" customWidth="1"/>
    <col min="46" max="50" width="8.77734375" style="1026"/>
    <col min="51" max="51" width="12.21875" style="1026" bestFit="1" customWidth="1"/>
    <col min="52" max="52" width="7.77734375" style="1026" bestFit="1" customWidth="1"/>
    <col min="53" max="54" width="8.77734375" style="1026"/>
    <col min="55" max="55" width="11" style="1026" bestFit="1" customWidth="1"/>
    <col min="56" max="56" width="12.21875" style="1026" bestFit="1" customWidth="1"/>
    <col min="57" max="57" width="7.77734375" style="1026" bestFit="1" customWidth="1"/>
    <col min="58" max="63" width="8.77734375" style="1026"/>
    <col min="64" max="65" width="7.77734375" style="1026" bestFit="1" customWidth="1"/>
    <col min="66" max="71" width="8.77734375" style="1026"/>
    <col min="72" max="72" width="24.6640625" style="1026" customWidth="1"/>
    <col min="73" max="73" width="7.77734375" style="1026" bestFit="1" customWidth="1"/>
    <col min="74" max="77" width="8.77734375" style="1026"/>
    <col min="78" max="78" width="9" style="1026" bestFit="1" customWidth="1"/>
    <col min="79" max="80" width="8.77734375" style="1026"/>
    <col min="81" max="81" width="20.77734375" style="1026" customWidth="1"/>
    <col min="82" max="82" width="9.109375" style="1026" bestFit="1" customWidth="1"/>
    <col min="83" max="83" width="8.77734375" style="1026"/>
    <col min="84" max="84" width="9.109375" style="1026" bestFit="1" customWidth="1"/>
    <col min="85" max="87" width="8.77734375" style="1026"/>
    <col min="88" max="88" width="9.77734375" style="1026" bestFit="1" customWidth="1"/>
    <col min="89" max="89" width="8.77734375" style="1026"/>
    <col min="90" max="90" width="9.77734375" style="1026" bestFit="1" customWidth="1"/>
    <col min="91" max="91" width="9" style="1026" bestFit="1" customWidth="1"/>
    <col min="92" max="94" width="8.77734375" style="1026"/>
    <col min="95" max="95" width="25.77734375" style="1026" customWidth="1"/>
    <col min="96" max="96" width="8.77734375" style="1026"/>
    <col min="97" max="97" width="11.77734375" style="1026" bestFit="1" customWidth="1"/>
    <col min="98" max="98" width="8.77734375" style="1026"/>
    <col min="99" max="99" width="14" style="1026" customWidth="1"/>
    <col min="100" max="100" width="18" style="1026" customWidth="1"/>
    <col min="101" max="101" width="11.109375" style="1026" bestFit="1" customWidth="1"/>
    <col min="102" max="102" width="8.77734375" style="1026"/>
    <col min="103" max="103" width="7.77734375" style="1026" bestFit="1" customWidth="1"/>
    <col min="104" max="104" width="8.77734375" style="1026"/>
    <col min="105" max="105" width="7.77734375" style="1026" bestFit="1" customWidth="1"/>
    <col min="106" max="108" width="8.77734375" style="1026"/>
    <col min="109" max="109" width="7.77734375" style="1026" bestFit="1" customWidth="1"/>
    <col min="110" max="112" width="8.77734375" style="1026"/>
    <col min="113" max="113" width="7.77734375" style="1026" bestFit="1" customWidth="1"/>
    <col min="114" max="117" width="8.77734375" style="1026"/>
    <col min="118" max="118" width="7.77734375" style="1026" bestFit="1" customWidth="1"/>
    <col min="119" max="119" width="8.77734375" style="1026"/>
    <col min="120" max="120" width="7.77734375" style="1026" bestFit="1" customWidth="1"/>
    <col min="121" max="123" width="8.77734375" style="1026"/>
    <col min="124" max="124" width="7.77734375" style="1026" bestFit="1" customWidth="1"/>
    <col min="125" max="128" width="8.77734375" style="1026"/>
    <col min="129" max="129" width="11.44140625" style="1026" bestFit="1" customWidth="1"/>
    <col min="130" max="130" width="8.77734375" style="1026"/>
    <col min="131" max="131" width="8.21875" style="1026" bestFit="1" customWidth="1"/>
    <col min="132" max="132" width="9.109375" style="1026" bestFit="1" customWidth="1"/>
    <col min="133" max="133" width="8.77734375" style="1026"/>
    <col min="134" max="134" width="11.44140625" style="1026" bestFit="1" customWidth="1"/>
    <col min="135" max="135" width="9.21875" style="1026" bestFit="1" customWidth="1"/>
    <col min="136" max="137" width="8.77734375" style="1026"/>
    <col min="138" max="140" width="11.44140625" style="1026" bestFit="1" customWidth="1"/>
    <col min="141" max="141" width="10.21875" style="1026" bestFit="1" customWidth="1"/>
    <col min="142" max="142" width="8.77734375" style="1026"/>
    <col min="143" max="143" width="12.21875" style="1026" bestFit="1" customWidth="1"/>
    <col min="144" max="148" width="8.77734375" style="1026"/>
    <col min="149" max="149" width="17.44140625" style="1027" bestFit="1" customWidth="1"/>
    <col min="150" max="16384" width="8.77734375" style="1026"/>
  </cols>
  <sheetData>
    <row r="3" spans="4:149" ht="15">
      <c r="D3" s="1221"/>
      <c r="E3" s="1221" t="s">
        <v>1424</v>
      </c>
      <c r="F3" s="1221"/>
      <c r="G3" s="1374" t="s">
        <v>1462</v>
      </c>
      <c r="H3" s="1221"/>
      <c r="I3" s="1221" t="s">
        <v>1611</v>
      </c>
      <c r="J3" s="1221"/>
      <c r="K3" s="1221"/>
      <c r="L3" s="1221"/>
      <c r="M3" s="1221" t="s">
        <v>1612</v>
      </c>
      <c r="N3" s="1221"/>
      <c r="O3" s="1221"/>
      <c r="P3" s="1221"/>
      <c r="Q3" s="1221"/>
      <c r="R3" s="1221"/>
      <c r="S3" s="1221"/>
      <c r="T3" s="1221"/>
      <c r="U3" s="1221"/>
      <c r="V3" s="1221"/>
      <c r="W3" s="1221"/>
      <c r="X3" s="1221" t="s">
        <v>1613</v>
      </c>
      <c r="Y3" s="1221"/>
      <c r="Z3" s="1221"/>
      <c r="AA3" s="1221"/>
      <c r="AB3" s="1221"/>
      <c r="AC3" s="1221"/>
      <c r="AD3" s="1221"/>
      <c r="AE3" s="1221"/>
      <c r="AF3" s="1221" t="s">
        <v>1614</v>
      </c>
      <c r="AG3" s="1221"/>
      <c r="AH3" s="1221"/>
      <c r="AI3" s="1221"/>
      <c r="AJ3" s="1221"/>
      <c r="AK3" s="1221" t="s">
        <v>1615</v>
      </c>
      <c r="AL3" s="1221"/>
      <c r="AM3" s="1221"/>
      <c r="AN3" s="1221"/>
      <c r="AO3" s="1221" t="s">
        <v>1616</v>
      </c>
      <c r="AP3" s="1221"/>
      <c r="AQ3" s="1221"/>
      <c r="AR3" s="1221"/>
      <c r="AS3" s="1221"/>
      <c r="AT3" s="1221"/>
      <c r="AU3" s="1221"/>
      <c r="AV3" s="1221"/>
      <c r="AW3" s="1221"/>
      <c r="AX3" s="1221"/>
      <c r="AY3" s="1221" t="s">
        <v>1617</v>
      </c>
      <c r="AZ3" s="1221"/>
      <c r="BA3" s="1221"/>
      <c r="BB3" s="1221"/>
      <c r="BC3" s="1221"/>
      <c r="BD3" s="1221"/>
      <c r="BE3" s="1221"/>
      <c r="BF3" s="1221"/>
      <c r="BG3" s="1221"/>
      <c r="BH3" s="1221"/>
      <c r="BI3" s="1221"/>
      <c r="BJ3" s="1221"/>
      <c r="BK3" s="1221"/>
      <c r="BL3" s="1221" t="s">
        <v>1618</v>
      </c>
      <c r="BM3" s="1221"/>
      <c r="BN3" s="1221"/>
      <c r="BO3" s="1221"/>
      <c r="BP3" s="1221"/>
      <c r="BQ3" s="1221"/>
      <c r="BR3" s="1221"/>
      <c r="BS3" s="1221"/>
      <c r="BT3" s="1221" t="s">
        <v>1619</v>
      </c>
      <c r="BU3" s="1221"/>
      <c r="BV3" s="1221"/>
      <c r="BW3" s="1221"/>
      <c r="BX3" s="1221"/>
      <c r="BY3" s="1221"/>
      <c r="BZ3" s="1221"/>
      <c r="CA3" s="1221"/>
      <c r="CB3" s="1221"/>
      <c r="CC3" s="1221" t="s">
        <v>1620</v>
      </c>
      <c r="CD3" s="1221"/>
      <c r="CE3" s="1221"/>
      <c r="CF3" s="1221"/>
      <c r="CG3" s="1221"/>
      <c r="CH3" s="1221"/>
      <c r="CI3" s="1221"/>
      <c r="CJ3" s="1221"/>
      <c r="CK3" s="1221"/>
      <c r="CL3" s="1221"/>
      <c r="CM3" s="1221"/>
      <c r="CN3" s="1221"/>
      <c r="CO3" s="1221"/>
      <c r="CP3" s="1221"/>
      <c r="CQ3" s="1221" t="s">
        <v>1621</v>
      </c>
      <c r="CR3" s="1221"/>
      <c r="CS3" s="1221"/>
      <c r="CT3" s="1221"/>
      <c r="CU3" s="1221" t="s">
        <v>1622</v>
      </c>
      <c r="CV3" s="1221"/>
      <c r="CW3" s="1221"/>
      <c r="CX3" s="1221"/>
      <c r="CY3" s="1221" t="s">
        <v>1623</v>
      </c>
      <c r="CZ3" s="1221"/>
      <c r="DA3" s="1221"/>
      <c r="DB3" s="1221"/>
      <c r="DC3" s="1221"/>
      <c r="DD3" s="1221"/>
      <c r="DE3" s="1221"/>
      <c r="DF3" s="1221"/>
      <c r="DG3" s="1221"/>
      <c r="DH3" s="1221"/>
      <c r="DI3" s="1221"/>
      <c r="DJ3" s="1221"/>
      <c r="DK3" s="1221"/>
      <c r="DL3" s="1221"/>
      <c r="DM3" s="1221"/>
      <c r="DN3" s="1221" t="s">
        <v>1624</v>
      </c>
      <c r="DO3" s="1221"/>
      <c r="DP3" s="1221"/>
      <c r="DQ3" s="1221"/>
      <c r="DR3" s="1221"/>
      <c r="DS3" s="1221"/>
      <c r="DT3" s="1221"/>
      <c r="DU3" s="1221"/>
      <c r="DV3" s="1221"/>
      <c r="DW3" s="1221"/>
      <c r="DX3" s="1221"/>
      <c r="DY3" s="1221">
        <v>16</v>
      </c>
      <c r="DZ3" s="1221"/>
      <c r="EA3" s="1221"/>
      <c r="EB3" s="1221"/>
      <c r="EC3" s="1221"/>
      <c r="ED3" s="1221"/>
      <c r="EE3" s="1221"/>
      <c r="EF3" s="1221"/>
      <c r="EG3" s="1221"/>
      <c r="EH3" s="1221">
        <v>17</v>
      </c>
      <c r="EI3" s="1221"/>
      <c r="EJ3" s="1221"/>
      <c r="EK3" s="1221" t="s">
        <v>296</v>
      </c>
      <c r="EL3" s="1221"/>
      <c r="EM3" s="1221">
        <v>18</v>
      </c>
      <c r="EN3" s="1221"/>
      <c r="EO3" s="1221"/>
      <c r="EP3" s="1221"/>
      <c r="EQ3" s="1221" t="s">
        <v>1424</v>
      </c>
      <c r="ER3" s="1221" t="s">
        <v>1625</v>
      </c>
      <c r="ES3" s="1222" t="s">
        <v>1424</v>
      </c>
    </row>
    <row r="4" spans="4:149" ht="15">
      <c r="D4" s="1221" t="s">
        <v>1460</v>
      </c>
      <c r="E4" s="1221" t="s">
        <v>1424</v>
      </c>
      <c r="F4" s="1221"/>
      <c r="G4" s="1374" t="s">
        <v>1626</v>
      </c>
      <c r="H4" s="1221"/>
      <c r="I4" s="1221" t="s">
        <v>1627</v>
      </c>
      <c r="J4" s="1221" t="s">
        <v>1364</v>
      </c>
      <c r="K4" s="1221" t="s">
        <v>1365</v>
      </c>
      <c r="L4" s="1221"/>
      <c r="M4" s="1221" t="s">
        <v>1628</v>
      </c>
      <c r="N4" s="1221" t="s">
        <v>1629</v>
      </c>
      <c r="O4" s="1221" t="s">
        <v>1364</v>
      </c>
      <c r="P4" s="1221" t="s">
        <v>1365</v>
      </c>
      <c r="Q4" s="1221" t="s">
        <v>1630</v>
      </c>
      <c r="R4" s="1221" t="s">
        <v>1364</v>
      </c>
      <c r="S4" s="1221" t="s">
        <v>1365</v>
      </c>
      <c r="T4" s="1221" t="s">
        <v>1631</v>
      </c>
      <c r="U4" s="1221" t="s">
        <v>1364</v>
      </c>
      <c r="V4" s="1221" t="s">
        <v>1365</v>
      </c>
      <c r="W4" s="1221"/>
      <c r="X4" s="1221" t="s">
        <v>1632</v>
      </c>
      <c r="Y4" s="1221" t="s">
        <v>1633</v>
      </c>
      <c r="Z4" s="1221" t="s">
        <v>1364</v>
      </c>
      <c r="AA4" s="1221" t="s">
        <v>1365</v>
      </c>
      <c r="AB4" s="1221" t="s">
        <v>1634</v>
      </c>
      <c r="AC4" s="1221" t="s">
        <v>1364</v>
      </c>
      <c r="AD4" s="1221" t="s">
        <v>1365</v>
      </c>
      <c r="AE4" s="1221"/>
      <c r="AF4" s="1221" t="s">
        <v>1635</v>
      </c>
      <c r="AG4" s="1221" t="s">
        <v>1629</v>
      </c>
      <c r="AH4" s="1221" t="s">
        <v>1630</v>
      </c>
      <c r="AI4" s="1221" t="s">
        <v>1631</v>
      </c>
      <c r="AJ4" s="1221" t="s">
        <v>296</v>
      </c>
      <c r="AK4" s="1221" t="s">
        <v>1636</v>
      </c>
      <c r="AL4" s="1221" t="s">
        <v>1633</v>
      </c>
      <c r="AM4" s="1221" t="s">
        <v>1634</v>
      </c>
      <c r="AN4" s="1221"/>
      <c r="AO4" s="1221" t="s">
        <v>1463</v>
      </c>
      <c r="AP4" s="1221" t="s">
        <v>1464</v>
      </c>
      <c r="AQ4" s="1221" t="s">
        <v>1637</v>
      </c>
      <c r="AR4" s="1221" t="s">
        <v>1364</v>
      </c>
      <c r="AS4" s="1221" t="s">
        <v>1365</v>
      </c>
      <c r="AT4" s="1221" t="s">
        <v>1638</v>
      </c>
      <c r="AU4" s="1221" t="s">
        <v>1639</v>
      </c>
      <c r="AV4" s="1221" t="s">
        <v>1640</v>
      </c>
      <c r="AW4" s="1221" t="s">
        <v>1641</v>
      </c>
      <c r="AX4" s="1221"/>
      <c r="AY4" s="1221" t="s">
        <v>1465</v>
      </c>
      <c r="AZ4" s="1221" t="s">
        <v>1371</v>
      </c>
      <c r="BA4" s="1221" t="s">
        <v>1372</v>
      </c>
      <c r="BB4" s="1221" t="s">
        <v>1373</v>
      </c>
      <c r="BC4" s="1221" t="s">
        <v>1374</v>
      </c>
      <c r="BD4" s="1221" t="s">
        <v>1375</v>
      </c>
      <c r="BE4" s="1221" t="s">
        <v>1376</v>
      </c>
      <c r="BF4" s="1221" t="s">
        <v>1377</v>
      </c>
      <c r="BG4" s="1221" t="s">
        <v>1378</v>
      </c>
      <c r="BH4" s="1221" t="s">
        <v>1379</v>
      </c>
      <c r="BI4" s="1221" t="s">
        <v>1380</v>
      </c>
      <c r="BJ4" s="1221" t="s">
        <v>1466</v>
      </c>
      <c r="BK4" s="1221"/>
      <c r="BL4" s="1221" t="s">
        <v>1467</v>
      </c>
      <c r="BM4" s="1221" t="s">
        <v>1642</v>
      </c>
      <c r="BN4" s="1221" t="s">
        <v>1643</v>
      </c>
      <c r="BO4" s="1221" t="s">
        <v>1644</v>
      </c>
      <c r="BP4" s="1221" t="s">
        <v>1645</v>
      </c>
      <c r="BQ4" s="1221" t="s">
        <v>1646</v>
      </c>
      <c r="BR4" s="1221" t="s">
        <v>1647</v>
      </c>
      <c r="BS4" s="1221"/>
      <c r="BT4" s="1221" t="s">
        <v>1468</v>
      </c>
      <c r="BU4" s="1221" t="s">
        <v>1648</v>
      </c>
      <c r="BV4" s="1221" t="s">
        <v>1649</v>
      </c>
      <c r="BW4" s="1221" t="s">
        <v>1650</v>
      </c>
      <c r="BX4" s="1221" t="s">
        <v>1651</v>
      </c>
      <c r="BY4" s="1221" t="s">
        <v>1652</v>
      </c>
      <c r="BZ4" s="1221" t="s">
        <v>1653</v>
      </c>
      <c r="CA4" s="1221" t="s">
        <v>1654</v>
      </c>
      <c r="CB4" s="1221"/>
      <c r="CC4" s="1221" t="s">
        <v>1470</v>
      </c>
      <c r="CD4" s="1221" t="s">
        <v>1387</v>
      </c>
      <c r="CE4" s="1221" t="s">
        <v>1388</v>
      </c>
      <c r="CF4" s="1221" t="s">
        <v>1389</v>
      </c>
      <c r="CG4" s="1221" t="s">
        <v>1390</v>
      </c>
      <c r="CH4" s="1221" t="s">
        <v>1391</v>
      </c>
      <c r="CI4" s="1221" t="s">
        <v>1392</v>
      </c>
      <c r="CJ4" s="1221" t="s">
        <v>1393</v>
      </c>
      <c r="CK4" s="1221" t="s">
        <v>1388</v>
      </c>
      <c r="CL4" s="1221" t="s">
        <v>1389</v>
      </c>
      <c r="CM4" s="1221" t="s">
        <v>1390</v>
      </c>
      <c r="CN4" s="1221" t="s">
        <v>1391</v>
      </c>
      <c r="CO4" s="1221" t="s">
        <v>1392</v>
      </c>
      <c r="CP4" s="1221"/>
      <c r="CQ4" s="1221" t="s">
        <v>1471</v>
      </c>
      <c r="CR4" s="1221" t="s">
        <v>1655</v>
      </c>
      <c r="CS4" s="1221" t="s">
        <v>1656</v>
      </c>
      <c r="CT4" s="1221"/>
      <c r="CU4" s="1221" t="s">
        <v>1657</v>
      </c>
      <c r="CV4" s="1221" t="s">
        <v>1658</v>
      </c>
      <c r="CW4" s="1221" t="s">
        <v>1659</v>
      </c>
      <c r="CX4" s="1221"/>
      <c r="CY4" s="1221" t="s">
        <v>1472</v>
      </c>
      <c r="CZ4" s="1221" t="s">
        <v>1473</v>
      </c>
      <c r="DA4" s="1221" t="s">
        <v>1629</v>
      </c>
      <c r="DB4" s="1221" t="s">
        <v>1474</v>
      </c>
      <c r="DC4" s="1221" t="s">
        <v>1475</v>
      </c>
      <c r="DD4" s="1221" t="s">
        <v>1476</v>
      </c>
      <c r="DE4" s="1221" t="s">
        <v>1630</v>
      </c>
      <c r="DF4" s="1221" t="s">
        <v>1474</v>
      </c>
      <c r="DG4" s="1221" t="s">
        <v>1475</v>
      </c>
      <c r="DH4" s="1221" t="s">
        <v>1476</v>
      </c>
      <c r="DI4" s="1221" t="s">
        <v>1631</v>
      </c>
      <c r="DJ4" s="1221" t="s">
        <v>1474</v>
      </c>
      <c r="DK4" s="1221" t="s">
        <v>1475</v>
      </c>
      <c r="DL4" s="1221" t="s">
        <v>1476</v>
      </c>
      <c r="DM4" s="1221"/>
      <c r="DN4" s="1221" t="s">
        <v>1472</v>
      </c>
      <c r="DO4" s="1221" t="s">
        <v>1477</v>
      </c>
      <c r="DP4" s="1221" t="s">
        <v>1633</v>
      </c>
      <c r="DQ4" s="1221" t="s">
        <v>1474</v>
      </c>
      <c r="DR4" s="1221" t="s">
        <v>1475</v>
      </c>
      <c r="DS4" s="1221" t="s">
        <v>1476</v>
      </c>
      <c r="DT4" s="1221" t="s">
        <v>1634</v>
      </c>
      <c r="DU4" s="1221" t="s">
        <v>1474</v>
      </c>
      <c r="DV4" s="1221" t="s">
        <v>1475</v>
      </c>
      <c r="DW4" s="1221" t="s">
        <v>1476</v>
      </c>
      <c r="DX4" s="1221"/>
      <c r="DY4" s="1221" t="s">
        <v>1478</v>
      </c>
      <c r="DZ4" s="1221" t="s">
        <v>1418</v>
      </c>
      <c r="EA4" s="1221" t="s">
        <v>1419</v>
      </c>
      <c r="EB4" s="1221" t="s">
        <v>1420</v>
      </c>
      <c r="EC4" s="1221" t="s">
        <v>1421</v>
      </c>
      <c r="ED4" s="1221" t="s">
        <v>1422</v>
      </c>
      <c r="EE4" s="1221" t="s">
        <v>1423</v>
      </c>
      <c r="EF4" s="1221"/>
      <c r="EG4" s="1221"/>
      <c r="EH4" s="1221" t="s">
        <v>1660</v>
      </c>
      <c r="EI4" s="1221" t="s">
        <v>1661</v>
      </c>
      <c r="EJ4" s="1221" t="s">
        <v>1662</v>
      </c>
      <c r="EK4" s="1221" t="s">
        <v>1663</v>
      </c>
      <c r="EL4" s="1221" t="s">
        <v>296</v>
      </c>
      <c r="EM4" s="1221" t="s">
        <v>1479</v>
      </c>
      <c r="EN4" s="1221" t="s">
        <v>1480</v>
      </c>
      <c r="EO4" s="1221" t="s">
        <v>296</v>
      </c>
      <c r="EP4" s="1221" t="s">
        <v>296</v>
      </c>
      <c r="EQ4" s="1221" t="s">
        <v>1424</v>
      </c>
      <c r="ER4" s="1221"/>
      <c r="ES4" s="1222" t="s">
        <v>1425</v>
      </c>
    </row>
    <row r="5" spans="4:149" ht="15">
      <c r="D5" s="1221"/>
      <c r="E5" s="1221" t="s">
        <v>1424</v>
      </c>
      <c r="F5" s="1221"/>
      <c r="G5" s="1374"/>
      <c r="H5" s="1221"/>
      <c r="I5" s="1221"/>
      <c r="J5" s="1221"/>
      <c r="K5" s="1221"/>
      <c r="L5" s="1221"/>
      <c r="M5" s="1221"/>
      <c r="N5" s="1221"/>
      <c r="O5" s="1221"/>
      <c r="P5" s="1221"/>
      <c r="Q5" s="1221"/>
      <c r="R5" s="1221"/>
      <c r="S5" s="1221"/>
      <c r="T5" s="1221"/>
      <c r="U5" s="1221"/>
      <c r="V5" s="1221"/>
      <c r="W5" s="1221"/>
      <c r="X5" s="1221"/>
      <c r="Y5" s="1221"/>
      <c r="Z5" s="1221"/>
      <c r="AA5" s="1221"/>
      <c r="AB5" s="1221"/>
      <c r="AC5" s="1221"/>
      <c r="AD5" s="1221"/>
      <c r="AE5" s="1221"/>
      <c r="AF5" s="1221"/>
      <c r="AG5" s="1221"/>
      <c r="AH5" s="1221"/>
      <c r="AI5" s="1221"/>
      <c r="AJ5" s="1221"/>
      <c r="AK5" s="1221"/>
      <c r="AL5" s="1221"/>
      <c r="AM5" s="1221"/>
      <c r="AN5" s="1221"/>
      <c r="AO5" s="1221"/>
      <c r="AP5" s="1221"/>
      <c r="AQ5" s="1221"/>
      <c r="AR5" s="1221"/>
      <c r="AS5" s="1221"/>
      <c r="AT5" s="1221"/>
      <c r="AU5" s="1221"/>
      <c r="AV5" s="1221"/>
      <c r="AW5" s="1221"/>
      <c r="AX5" s="1221"/>
      <c r="AY5" s="1221"/>
      <c r="AZ5" s="1221"/>
      <c r="BA5" s="1221"/>
      <c r="BB5" s="1221"/>
      <c r="BC5" s="1221"/>
      <c r="BD5" s="1221"/>
      <c r="BE5" s="1221"/>
      <c r="BF5" s="1221"/>
      <c r="BG5" s="1221"/>
      <c r="BH5" s="1221"/>
      <c r="BI5" s="1221"/>
      <c r="BJ5" s="1221"/>
      <c r="BK5" s="1221"/>
      <c r="BL5" s="1221"/>
      <c r="BM5" s="1221"/>
      <c r="BN5" s="1221"/>
      <c r="BO5" s="1221"/>
      <c r="BP5" s="1221"/>
      <c r="BQ5" s="1221"/>
      <c r="BR5" s="1221"/>
      <c r="BS5" s="1221"/>
      <c r="BT5" s="1221"/>
      <c r="BU5" s="1221"/>
      <c r="BV5" s="1221"/>
      <c r="BW5" s="1221"/>
      <c r="BX5" s="1221"/>
      <c r="BY5" s="1221"/>
      <c r="BZ5" s="1221"/>
      <c r="CA5" s="1221"/>
      <c r="CB5" s="1221"/>
      <c r="CC5" s="1221"/>
      <c r="CD5" s="1221"/>
      <c r="CE5" s="1221"/>
      <c r="CF5" s="1221"/>
      <c r="CG5" s="1221"/>
      <c r="CH5" s="1221"/>
      <c r="CI5" s="1221"/>
      <c r="CJ5" s="1221"/>
      <c r="CK5" s="1221"/>
      <c r="CL5" s="1221"/>
      <c r="CM5" s="1221"/>
      <c r="CN5" s="1221"/>
      <c r="CO5" s="1221"/>
      <c r="CP5" s="1221"/>
      <c r="CQ5" s="1221"/>
      <c r="CR5" s="1221"/>
      <c r="CS5" s="1221"/>
      <c r="CT5" s="1221"/>
      <c r="CU5" s="1221"/>
      <c r="CV5" s="1221"/>
      <c r="CW5" s="1221"/>
      <c r="CX5" s="1221"/>
      <c r="CY5" s="1221"/>
      <c r="CZ5" s="1221"/>
      <c r="DA5" s="1221"/>
      <c r="DB5" s="1221"/>
      <c r="DC5" s="1221"/>
      <c r="DD5" s="1221"/>
      <c r="DE5" s="1221"/>
      <c r="DF5" s="1221"/>
      <c r="DG5" s="1221"/>
      <c r="DH5" s="1221"/>
      <c r="DI5" s="1221"/>
      <c r="DJ5" s="1221"/>
      <c r="DK5" s="1221"/>
      <c r="DL5" s="1221"/>
      <c r="DM5" s="1221"/>
      <c r="DN5" s="1221"/>
      <c r="DO5" s="1221"/>
      <c r="DP5" s="1221"/>
      <c r="DQ5" s="1221"/>
      <c r="DR5" s="1221"/>
      <c r="DS5" s="1221"/>
      <c r="DT5" s="1221"/>
      <c r="DU5" s="1221"/>
      <c r="DV5" s="1221"/>
      <c r="DW5" s="1221"/>
      <c r="DX5" s="1221"/>
      <c r="DY5" s="1221"/>
      <c r="DZ5" s="1221"/>
      <c r="EA5" s="1221"/>
      <c r="EB5" s="1221"/>
      <c r="EC5" s="1221"/>
      <c r="ED5" s="1221"/>
      <c r="EE5" s="1221"/>
      <c r="EF5" s="1221"/>
      <c r="EG5" s="1221"/>
      <c r="EH5" s="1221"/>
      <c r="EI5" s="1221"/>
      <c r="EJ5" s="1221"/>
      <c r="EK5" s="1221"/>
      <c r="EL5" s="1221"/>
      <c r="EM5" s="1221"/>
      <c r="EN5" s="1221"/>
      <c r="EO5" s="1221"/>
      <c r="EP5" s="1221" t="s">
        <v>296</v>
      </c>
      <c r="EQ5" s="1221" t="s">
        <v>1424</v>
      </c>
      <c r="ER5" s="1221"/>
      <c r="ES5" s="1222" t="s">
        <v>1424</v>
      </c>
    </row>
    <row r="6" spans="4:149" ht="15">
      <c r="D6" s="1221"/>
      <c r="E6" s="1223">
        <v>42005</v>
      </c>
      <c r="F6" s="1423"/>
      <c r="G6" s="1374">
        <v>19077</v>
      </c>
      <c r="H6" s="1423"/>
      <c r="I6" s="1423">
        <v>7015480</v>
      </c>
      <c r="J6" s="1423">
        <v>7015480</v>
      </c>
      <c r="K6" s="1423"/>
      <c r="L6" s="1423"/>
      <c r="M6" s="1423">
        <v>344713</v>
      </c>
      <c r="N6" s="1423">
        <v>344713</v>
      </c>
      <c r="O6" s="1423">
        <v>344713</v>
      </c>
      <c r="P6" s="1423"/>
      <c r="Q6" s="1423">
        <v>0</v>
      </c>
      <c r="R6" s="1423"/>
      <c r="S6" s="1423"/>
      <c r="T6" s="1423">
        <v>0</v>
      </c>
      <c r="U6" s="1423"/>
      <c r="V6" s="1423"/>
      <c r="W6" s="1423"/>
      <c r="X6" s="1423">
        <v>0</v>
      </c>
      <c r="Y6" s="1423">
        <v>0</v>
      </c>
      <c r="Z6" s="1423"/>
      <c r="AA6" s="1423"/>
      <c r="AB6" s="1423">
        <v>0</v>
      </c>
      <c r="AC6" s="1423"/>
      <c r="AD6" s="1423"/>
      <c r="AE6" s="1423"/>
      <c r="AF6" s="1423">
        <v>0</v>
      </c>
      <c r="AG6" s="1423"/>
      <c r="AH6" s="1423"/>
      <c r="AI6" s="1423"/>
      <c r="AJ6" s="1423"/>
      <c r="AK6" s="1423">
        <v>0</v>
      </c>
      <c r="AL6" s="1423"/>
      <c r="AM6" s="1423"/>
      <c r="AN6" s="1423"/>
      <c r="AO6" s="1423">
        <v>10269277</v>
      </c>
      <c r="AP6" s="1423">
        <v>9345223</v>
      </c>
      <c r="AQ6" s="1423">
        <v>924054</v>
      </c>
      <c r="AR6" s="1423">
        <v>924054</v>
      </c>
      <c r="AS6" s="1423"/>
      <c r="AT6" s="1423"/>
      <c r="AU6" s="1423"/>
      <c r="AV6" s="1423"/>
      <c r="AW6" s="1423"/>
      <c r="AX6" s="1423"/>
      <c r="AY6" s="1423">
        <v>0</v>
      </c>
      <c r="AZ6" s="1423">
        <v>0</v>
      </c>
      <c r="BA6" s="1423"/>
      <c r="BB6" s="1423"/>
      <c r="BC6" s="1423"/>
      <c r="BD6" s="1423"/>
      <c r="BE6" s="1423">
        <v>0</v>
      </c>
      <c r="BF6" s="1423"/>
      <c r="BG6" s="1423"/>
      <c r="BH6" s="1423"/>
      <c r="BI6" s="1423"/>
      <c r="BJ6" s="1423"/>
      <c r="BK6" s="1423"/>
      <c r="BL6" s="1423">
        <v>0</v>
      </c>
      <c r="BM6" s="1423">
        <v>0</v>
      </c>
      <c r="BN6" s="1423"/>
      <c r="BO6" s="1423"/>
      <c r="BP6" s="1423"/>
      <c r="BQ6" s="1423"/>
      <c r="BR6" s="1423"/>
      <c r="BS6" s="1423"/>
      <c r="BT6" s="1423">
        <v>352573.39</v>
      </c>
      <c r="BU6" s="1423">
        <v>0</v>
      </c>
      <c r="BV6" s="1423"/>
      <c r="BW6" s="1423"/>
      <c r="BX6" s="1423"/>
      <c r="BY6" s="1423"/>
      <c r="BZ6" s="1423">
        <v>352573.39</v>
      </c>
      <c r="CA6" s="1423"/>
      <c r="CB6" s="1423"/>
      <c r="CC6" s="1423">
        <v>14008.13</v>
      </c>
      <c r="CD6" s="1423">
        <v>14008.13</v>
      </c>
      <c r="CE6" s="1423"/>
      <c r="CF6" s="1423">
        <v>14008.13</v>
      </c>
      <c r="CG6" s="1423"/>
      <c r="CH6" s="1423"/>
      <c r="CI6" s="1423"/>
      <c r="CJ6" s="1423">
        <v>0</v>
      </c>
      <c r="CK6" s="1423"/>
      <c r="CL6" s="1423"/>
      <c r="CM6" s="1423"/>
      <c r="CN6" s="1423"/>
      <c r="CO6" s="1423"/>
      <c r="CP6" s="1423"/>
      <c r="CQ6" s="1423">
        <v>10000000</v>
      </c>
      <c r="CR6" s="1423"/>
      <c r="CS6" s="1423">
        <v>10000000</v>
      </c>
      <c r="CT6" s="1423"/>
      <c r="CU6" s="1423">
        <v>55684051</v>
      </c>
      <c r="CV6" s="1423">
        <v>44685758</v>
      </c>
      <c r="CW6" s="1423">
        <v>10998293</v>
      </c>
      <c r="CX6" s="1423"/>
      <c r="CY6" s="1423">
        <v>0</v>
      </c>
      <c r="CZ6" s="1423"/>
      <c r="DA6" s="1423">
        <v>0</v>
      </c>
      <c r="DB6" s="1423"/>
      <c r="DC6" s="1423"/>
      <c r="DD6" s="1423"/>
      <c r="DE6" s="1423">
        <v>0</v>
      </c>
      <c r="DF6" s="1423"/>
      <c r="DG6" s="1423"/>
      <c r="DH6" s="1423"/>
      <c r="DI6" s="1423">
        <v>0</v>
      </c>
      <c r="DJ6" s="1423"/>
      <c r="DK6" s="1423"/>
      <c r="DL6" s="1423"/>
      <c r="DM6" s="1423"/>
      <c r="DN6" s="1423">
        <v>0</v>
      </c>
      <c r="DO6" s="1423"/>
      <c r="DP6" s="1423">
        <v>0</v>
      </c>
      <c r="DQ6" s="1423"/>
      <c r="DR6" s="1423"/>
      <c r="DS6" s="1423"/>
      <c r="DT6" s="1423">
        <v>0</v>
      </c>
      <c r="DU6" s="1423"/>
      <c r="DV6" s="1423"/>
      <c r="DW6" s="1423"/>
      <c r="DX6" s="1423"/>
      <c r="DY6" s="1423">
        <v>2783862</v>
      </c>
      <c r="DZ6" s="1423"/>
      <c r="EA6" s="1423">
        <v>12250</v>
      </c>
      <c r="EB6" s="1423">
        <v>237727</v>
      </c>
      <c r="EC6" s="1423"/>
      <c r="ED6" s="1423">
        <v>2533885</v>
      </c>
      <c r="EE6" s="1423"/>
      <c r="EF6" s="1423"/>
      <c r="EG6" s="1423"/>
      <c r="EH6" s="1423">
        <v>7629127</v>
      </c>
      <c r="EI6" s="1423">
        <v>1026246</v>
      </c>
      <c r="EJ6" s="1423">
        <v>5714364</v>
      </c>
      <c r="EK6" s="1423">
        <v>888517</v>
      </c>
      <c r="EL6" s="1423"/>
      <c r="EM6" s="1423">
        <v>13849378</v>
      </c>
      <c r="EN6" s="1423"/>
      <c r="EO6" s="1423"/>
      <c r="EP6" s="1423"/>
      <c r="EQ6" s="1423"/>
      <c r="ER6" s="1423"/>
      <c r="ES6" s="1423">
        <v>107961546.52</v>
      </c>
    </row>
    <row r="7" spans="4:149" ht="15">
      <c r="D7" s="1221"/>
      <c r="E7" s="1223">
        <v>42036</v>
      </c>
      <c r="F7" s="1423"/>
      <c r="G7" s="1374">
        <v>9036</v>
      </c>
      <c r="H7" s="1423"/>
      <c r="I7" s="1423">
        <v>9962904</v>
      </c>
      <c r="J7" s="1423">
        <v>9962904</v>
      </c>
      <c r="K7" s="1423"/>
      <c r="L7" s="1423"/>
      <c r="M7" s="1423">
        <v>3855911</v>
      </c>
      <c r="N7" s="1423">
        <v>3855911</v>
      </c>
      <c r="O7" s="1423">
        <v>3855911</v>
      </c>
      <c r="P7" s="1423"/>
      <c r="Q7" s="1423">
        <v>0</v>
      </c>
      <c r="R7" s="1423"/>
      <c r="S7" s="1423"/>
      <c r="T7" s="1423">
        <v>0</v>
      </c>
      <c r="U7" s="1423"/>
      <c r="V7" s="1423"/>
      <c r="W7" s="1423"/>
      <c r="X7" s="1423">
        <v>0</v>
      </c>
      <c r="Y7" s="1423">
        <v>0</v>
      </c>
      <c r="Z7" s="1423"/>
      <c r="AA7" s="1423"/>
      <c r="AB7" s="1423">
        <v>0</v>
      </c>
      <c r="AC7" s="1423"/>
      <c r="AD7" s="1423"/>
      <c r="AE7" s="1423"/>
      <c r="AF7" s="1423">
        <v>0</v>
      </c>
      <c r="AG7" s="1423"/>
      <c r="AH7" s="1423"/>
      <c r="AI7" s="1423"/>
      <c r="AJ7" s="1423"/>
      <c r="AK7" s="1423">
        <v>0</v>
      </c>
      <c r="AL7" s="1423"/>
      <c r="AM7" s="1423"/>
      <c r="AN7" s="1423"/>
      <c r="AO7" s="1423">
        <v>4185554</v>
      </c>
      <c r="AP7" s="1423">
        <v>3352160</v>
      </c>
      <c r="AQ7" s="1423">
        <v>833394</v>
      </c>
      <c r="AR7" s="1423">
        <v>833394</v>
      </c>
      <c r="AS7" s="1423"/>
      <c r="AT7" s="1423"/>
      <c r="AU7" s="1423"/>
      <c r="AV7" s="1423"/>
      <c r="AW7" s="1423"/>
      <c r="AX7" s="1423"/>
      <c r="AY7" s="1423">
        <v>0</v>
      </c>
      <c r="AZ7" s="1423">
        <v>0</v>
      </c>
      <c r="BA7" s="1423"/>
      <c r="BB7" s="1423"/>
      <c r="BC7" s="1423"/>
      <c r="BD7" s="1423"/>
      <c r="BE7" s="1423">
        <v>0</v>
      </c>
      <c r="BF7" s="1423"/>
      <c r="BG7" s="1423"/>
      <c r="BH7" s="1423"/>
      <c r="BI7" s="1423"/>
      <c r="BJ7" s="1423"/>
      <c r="BK7" s="1423"/>
      <c r="BL7" s="1423">
        <v>0</v>
      </c>
      <c r="BM7" s="1423">
        <v>0</v>
      </c>
      <c r="BN7" s="1423"/>
      <c r="BO7" s="1423"/>
      <c r="BP7" s="1423"/>
      <c r="BQ7" s="1423"/>
      <c r="BR7" s="1423"/>
      <c r="BS7" s="1423"/>
      <c r="BT7" s="1423">
        <v>266163.88</v>
      </c>
      <c r="BU7" s="1423">
        <v>0</v>
      </c>
      <c r="BV7" s="1423"/>
      <c r="BW7" s="1423"/>
      <c r="BX7" s="1423"/>
      <c r="BY7" s="1423"/>
      <c r="BZ7" s="1423">
        <v>266163.88</v>
      </c>
      <c r="CA7" s="1423"/>
      <c r="CB7" s="1423"/>
      <c r="CC7" s="1423">
        <v>61720.27</v>
      </c>
      <c r="CD7" s="1423">
        <v>61720.27</v>
      </c>
      <c r="CE7" s="1423"/>
      <c r="CF7" s="1423">
        <v>61720.27</v>
      </c>
      <c r="CG7" s="1423"/>
      <c r="CH7" s="1423"/>
      <c r="CI7" s="1423"/>
      <c r="CJ7" s="1423">
        <v>0</v>
      </c>
      <c r="CK7" s="1423"/>
      <c r="CL7" s="1423"/>
      <c r="CM7" s="1423"/>
      <c r="CN7" s="1423"/>
      <c r="CO7" s="1423"/>
      <c r="CP7" s="1423"/>
      <c r="CQ7" s="1423">
        <v>13000000</v>
      </c>
      <c r="CR7" s="1423"/>
      <c r="CS7" s="1423">
        <v>13000000</v>
      </c>
      <c r="CT7" s="1423"/>
      <c r="CU7" s="1423">
        <v>56230707</v>
      </c>
      <c r="CV7" s="1423">
        <v>45475877</v>
      </c>
      <c r="CW7" s="1423">
        <v>10754830</v>
      </c>
      <c r="CX7" s="1423"/>
      <c r="CY7" s="1423">
        <v>0</v>
      </c>
      <c r="CZ7" s="1423"/>
      <c r="DA7" s="1423">
        <v>0</v>
      </c>
      <c r="DB7" s="1423"/>
      <c r="DC7" s="1423"/>
      <c r="DD7" s="1423"/>
      <c r="DE7" s="1423">
        <v>0</v>
      </c>
      <c r="DF7" s="1423"/>
      <c r="DG7" s="1423"/>
      <c r="DH7" s="1423"/>
      <c r="DI7" s="1423">
        <v>0</v>
      </c>
      <c r="DJ7" s="1423"/>
      <c r="DK7" s="1423"/>
      <c r="DL7" s="1423"/>
      <c r="DM7" s="1423"/>
      <c r="DN7" s="1423">
        <v>0</v>
      </c>
      <c r="DO7" s="1423"/>
      <c r="DP7" s="1423">
        <v>0</v>
      </c>
      <c r="DQ7" s="1423"/>
      <c r="DR7" s="1423"/>
      <c r="DS7" s="1423"/>
      <c r="DT7" s="1423">
        <v>0</v>
      </c>
      <c r="DU7" s="1423"/>
      <c r="DV7" s="1423"/>
      <c r="DW7" s="1423"/>
      <c r="DX7" s="1423"/>
      <c r="DY7" s="1423">
        <v>2809130</v>
      </c>
      <c r="DZ7" s="1423"/>
      <c r="EA7" s="1423">
        <v>12858</v>
      </c>
      <c r="EB7" s="1423">
        <v>234756</v>
      </c>
      <c r="EC7" s="1423"/>
      <c r="ED7" s="1423">
        <v>2561516</v>
      </c>
      <c r="EE7" s="1423"/>
      <c r="EF7" s="1423"/>
      <c r="EG7" s="1423"/>
      <c r="EH7" s="1423">
        <v>7527364</v>
      </c>
      <c r="EI7" s="1423">
        <v>1024572</v>
      </c>
      <c r="EJ7" s="1423">
        <v>5638886</v>
      </c>
      <c r="EK7" s="1423">
        <v>863906</v>
      </c>
      <c r="EL7" s="1423"/>
      <c r="EM7" s="1423">
        <v>15214446</v>
      </c>
      <c r="EN7" s="1423"/>
      <c r="EO7" s="1423"/>
      <c r="EP7" s="1423"/>
      <c r="EQ7" s="1423"/>
      <c r="ER7" s="1423"/>
      <c r="ES7" s="1423">
        <v>113122936.15000001</v>
      </c>
    </row>
    <row r="8" spans="4:149" ht="15">
      <c r="D8" s="1221"/>
      <c r="E8" s="1223">
        <v>42064</v>
      </c>
      <c r="F8" s="1423"/>
      <c r="G8" s="1374">
        <v>6105</v>
      </c>
      <c r="H8" s="1423"/>
      <c r="I8" s="1423">
        <v>10793016</v>
      </c>
      <c r="J8" s="1423">
        <v>10793016</v>
      </c>
      <c r="K8" s="1423"/>
      <c r="L8" s="1423"/>
      <c r="M8" s="1423">
        <v>5113908</v>
      </c>
      <c r="N8" s="1423">
        <v>5113908</v>
      </c>
      <c r="O8" s="1423">
        <v>5113908</v>
      </c>
      <c r="P8" s="1423"/>
      <c r="Q8" s="1423">
        <v>0</v>
      </c>
      <c r="R8" s="1423"/>
      <c r="S8" s="1423"/>
      <c r="T8" s="1423">
        <v>0</v>
      </c>
      <c r="U8" s="1423"/>
      <c r="V8" s="1423"/>
      <c r="W8" s="1423"/>
      <c r="X8" s="1423">
        <v>0</v>
      </c>
      <c r="Y8" s="1423">
        <v>0</v>
      </c>
      <c r="Z8" s="1423"/>
      <c r="AA8" s="1423"/>
      <c r="AB8" s="1423">
        <v>0</v>
      </c>
      <c r="AC8" s="1423"/>
      <c r="AD8" s="1423"/>
      <c r="AE8" s="1423"/>
      <c r="AF8" s="1423">
        <v>0</v>
      </c>
      <c r="AG8" s="1423"/>
      <c r="AH8" s="1423"/>
      <c r="AI8" s="1423"/>
      <c r="AJ8" s="1423"/>
      <c r="AK8" s="1423">
        <v>0</v>
      </c>
      <c r="AL8" s="1423"/>
      <c r="AM8" s="1423"/>
      <c r="AN8" s="1423"/>
      <c r="AO8" s="1423">
        <v>3064824</v>
      </c>
      <c r="AP8" s="1423">
        <v>1771838</v>
      </c>
      <c r="AQ8" s="1423">
        <v>1292986</v>
      </c>
      <c r="AR8" s="1423">
        <v>1292986</v>
      </c>
      <c r="AS8" s="1423"/>
      <c r="AT8" s="1423"/>
      <c r="AU8" s="1423"/>
      <c r="AV8" s="1423"/>
      <c r="AW8" s="1423"/>
      <c r="AX8" s="1423"/>
      <c r="AY8" s="1423">
        <v>7516043</v>
      </c>
      <c r="AZ8" s="1423">
        <v>0</v>
      </c>
      <c r="BA8" s="1423"/>
      <c r="BB8" s="1423"/>
      <c r="BC8" s="1423"/>
      <c r="BD8" s="1423">
        <v>7516043</v>
      </c>
      <c r="BE8" s="1423">
        <v>0</v>
      </c>
      <c r="BF8" s="1423"/>
      <c r="BG8" s="1423"/>
      <c r="BH8" s="1423"/>
      <c r="BI8" s="1423"/>
      <c r="BJ8" s="1423"/>
      <c r="BK8" s="1423"/>
      <c r="BL8" s="1423">
        <v>0</v>
      </c>
      <c r="BM8" s="1423">
        <v>0</v>
      </c>
      <c r="BN8" s="1423"/>
      <c r="BO8" s="1423"/>
      <c r="BP8" s="1423"/>
      <c r="BQ8" s="1423"/>
      <c r="BR8" s="1423"/>
      <c r="BS8" s="1423"/>
      <c r="BT8" s="1423">
        <v>178899.51</v>
      </c>
      <c r="BU8" s="1423">
        <v>0</v>
      </c>
      <c r="BV8" s="1423"/>
      <c r="BW8" s="1423"/>
      <c r="BX8" s="1423"/>
      <c r="BY8" s="1423"/>
      <c r="BZ8" s="1423">
        <v>178899.51</v>
      </c>
      <c r="CA8" s="1423"/>
      <c r="CB8" s="1423"/>
      <c r="CC8" s="1423">
        <v>177173.39</v>
      </c>
      <c r="CD8" s="1423">
        <v>177173.39</v>
      </c>
      <c r="CE8" s="1423"/>
      <c r="CF8" s="1423">
        <v>177173.39</v>
      </c>
      <c r="CG8" s="1423"/>
      <c r="CH8" s="1423"/>
      <c r="CI8" s="1423"/>
      <c r="CJ8" s="1423">
        <v>0</v>
      </c>
      <c r="CK8" s="1423"/>
      <c r="CL8" s="1423"/>
      <c r="CM8" s="1423"/>
      <c r="CN8" s="1423"/>
      <c r="CO8" s="1423"/>
      <c r="CP8" s="1423"/>
      <c r="CQ8" s="1423">
        <v>10000000</v>
      </c>
      <c r="CR8" s="1423"/>
      <c r="CS8" s="1423">
        <v>10000000</v>
      </c>
      <c r="CT8" s="1423"/>
      <c r="CU8" s="1423">
        <v>58235143</v>
      </c>
      <c r="CV8" s="1423">
        <v>46946046</v>
      </c>
      <c r="CW8" s="1423">
        <v>11289097</v>
      </c>
      <c r="CX8" s="1423"/>
      <c r="CY8" s="1423">
        <v>0</v>
      </c>
      <c r="CZ8" s="1423"/>
      <c r="DA8" s="1423">
        <v>0</v>
      </c>
      <c r="DB8" s="1423"/>
      <c r="DC8" s="1423"/>
      <c r="DD8" s="1423"/>
      <c r="DE8" s="1423">
        <v>0</v>
      </c>
      <c r="DF8" s="1423"/>
      <c r="DG8" s="1423"/>
      <c r="DH8" s="1423"/>
      <c r="DI8" s="1423">
        <v>0</v>
      </c>
      <c r="DJ8" s="1423"/>
      <c r="DK8" s="1423"/>
      <c r="DL8" s="1423"/>
      <c r="DM8" s="1423"/>
      <c r="DN8" s="1423">
        <v>0</v>
      </c>
      <c r="DO8" s="1423"/>
      <c r="DP8" s="1423">
        <v>0</v>
      </c>
      <c r="DQ8" s="1423"/>
      <c r="DR8" s="1423"/>
      <c r="DS8" s="1423"/>
      <c r="DT8" s="1423">
        <v>0</v>
      </c>
      <c r="DU8" s="1423"/>
      <c r="DV8" s="1423"/>
      <c r="DW8" s="1423"/>
      <c r="DX8" s="1423"/>
      <c r="DY8" s="1423">
        <v>2144582</v>
      </c>
      <c r="DZ8" s="1423"/>
      <c r="EA8" s="1423">
        <v>11034</v>
      </c>
      <c r="EB8" s="1423">
        <v>249614</v>
      </c>
      <c r="EC8" s="1423"/>
      <c r="ED8" s="1423">
        <v>1883934</v>
      </c>
      <c r="EE8" s="1423"/>
      <c r="EF8" s="1423"/>
      <c r="EG8" s="1423"/>
      <c r="EH8" s="1423">
        <v>7420019</v>
      </c>
      <c r="EI8" s="1423">
        <v>1022898</v>
      </c>
      <c r="EJ8" s="1423">
        <v>5557826</v>
      </c>
      <c r="EK8" s="1423">
        <v>839295</v>
      </c>
      <c r="EL8" s="1423"/>
      <c r="EM8" s="1423">
        <v>15332310</v>
      </c>
      <c r="EN8" s="1423"/>
      <c r="EO8" s="1423"/>
      <c r="EP8" s="1423"/>
      <c r="EQ8" s="1423"/>
      <c r="ER8" s="1423"/>
      <c r="ES8" s="1423">
        <v>119982022.90000001</v>
      </c>
    </row>
    <row r="9" spans="4:149" ht="15">
      <c r="D9" s="1221"/>
      <c r="E9" s="1223">
        <v>42095</v>
      </c>
      <c r="F9" s="1423"/>
      <c r="G9" s="1374">
        <v>48919</v>
      </c>
      <c r="H9" s="1423"/>
      <c r="I9" s="1423">
        <v>11965850</v>
      </c>
      <c r="J9" s="1423">
        <v>11965850</v>
      </c>
      <c r="K9" s="1423"/>
      <c r="L9" s="1423"/>
      <c r="M9" s="1423">
        <v>125195</v>
      </c>
      <c r="N9" s="1423">
        <v>125195</v>
      </c>
      <c r="O9" s="1423">
        <v>125195</v>
      </c>
      <c r="P9" s="1423"/>
      <c r="Q9" s="1423">
        <v>0</v>
      </c>
      <c r="R9" s="1423"/>
      <c r="S9" s="1423"/>
      <c r="T9" s="1423">
        <v>0</v>
      </c>
      <c r="U9" s="1423"/>
      <c r="V9" s="1423"/>
      <c r="W9" s="1423"/>
      <c r="X9" s="1423">
        <v>0</v>
      </c>
      <c r="Y9" s="1423">
        <v>0</v>
      </c>
      <c r="Z9" s="1423"/>
      <c r="AA9" s="1423"/>
      <c r="AB9" s="1423">
        <v>0</v>
      </c>
      <c r="AC9" s="1423"/>
      <c r="AD9" s="1423"/>
      <c r="AE9" s="1423"/>
      <c r="AF9" s="1423">
        <v>0</v>
      </c>
      <c r="AG9" s="1423"/>
      <c r="AH9" s="1423"/>
      <c r="AI9" s="1423"/>
      <c r="AJ9" s="1423"/>
      <c r="AK9" s="1423">
        <v>0</v>
      </c>
      <c r="AL9" s="1423"/>
      <c r="AM9" s="1423"/>
      <c r="AN9" s="1423"/>
      <c r="AO9" s="1423">
        <v>4689375</v>
      </c>
      <c r="AP9" s="1423">
        <v>4112071</v>
      </c>
      <c r="AQ9" s="1423">
        <v>577304</v>
      </c>
      <c r="AR9" s="1423">
        <v>577304</v>
      </c>
      <c r="AS9" s="1423"/>
      <c r="AT9" s="1423"/>
      <c r="AU9" s="1423"/>
      <c r="AV9" s="1423"/>
      <c r="AW9" s="1423"/>
      <c r="AX9" s="1423"/>
      <c r="AY9" s="1423">
        <v>7516043</v>
      </c>
      <c r="AZ9" s="1423">
        <v>0</v>
      </c>
      <c r="BA9" s="1423"/>
      <c r="BB9" s="1423"/>
      <c r="BC9" s="1423"/>
      <c r="BD9" s="1423">
        <v>7516043</v>
      </c>
      <c r="BE9" s="1423">
        <v>0</v>
      </c>
      <c r="BF9" s="1423"/>
      <c r="BG9" s="1423"/>
      <c r="BH9" s="1423"/>
      <c r="BI9" s="1423"/>
      <c r="BJ9" s="1423"/>
      <c r="BK9" s="1423"/>
      <c r="BL9" s="1423">
        <v>0</v>
      </c>
      <c r="BM9" s="1423">
        <v>0</v>
      </c>
      <c r="BN9" s="1423"/>
      <c r="BO9" s="1423"/>
      <c r="BP9" s="1423"/>
      <c r="BQ9" s="1423"/>
      <c r="BR9" s="1423"/>
      <c r="BS9" s="1423"/>
      <c r="BT9" s="1423">
        <v>90331.3</v>
      </c>
      <c r="BU9" s="1423">
        <v>0</v>
      </c>
      <c r="BV9" s="1423"/>
      <c r="BW9" s="1423"/>
      <c r="BX9" s="1423"/>
      <c r="BY9" s="1423"/>
      <c r="BZ9" s="1423">
        <v>90331.3</v>
      </c>
      <c r="CA9" s="1423"/>
      <c r="CB9" s="1423"/>
      <c r="CC9" s="1423">
        <v>198310.07</v>
      </c>
      <c r="CD9" s="1423">
        <v>198310.07</v>
      </c>
      <c r="CE9" s="1423"/>
      <c r="CF9" s="1423">
        <v>198310.07</v>
      </c>
      <c r="CG9" s="1423"/>
      <c r="CH9" s="1423"/>
      <c r="CI9" s="1423"/>
      <c r="CJ9" s="1423">
        <v>0</v>
      </c>
      <c r="CK9" s="1423"/>
      <c r="CL9" s="1423"/>
      <c r="CM9" s="1423"/>
      <c r="CN9" s="1423"/>
      <c r="CO9" s="1423"/>
      <c r="CP9" s="1423"/>
      <c r="CQ9" s="1423">
        <v>7000000</v>
      </c>
      <c r="CR9" s="1423"/>
      <c r="CS9" s="1423">
        <v>7000000</v>
      </c>
      <c r="CT9" s="1423"/>
      <c r="CU9" s="1423">
        <v>59171970</v>
      </c>
      <c r="CV9" s="1423">
        <v>48995881</v>
      </c>
      <c r="CW9" s="1423">
        <v>10176089</v>
      </c>
      <c r="CX9" s="1423"/>
      <c r="CY9" s="1423">
        <v>0</v>
      </c>
      <c r="CZ9" s="1423"/>
      <c r="DA9" s="1423">
        <v>0</v>
      </c>
      <c r="DB9" s="1423"/>
      <c r="DC9" s="1423"/>
      <c r="DD9" s="1423"/>
      <c r="DE9" s="1423">
        <v>0</v>
      </c>
      <c r="DF9" s="1423"/>
      <c r="DG9" s="1423"/>
      <c r="DH9" s="1423"/>
      <c r="DI9" s="1423">
        <v>0</v>
      </c>
      <c r="DJ9" s="1423"/>
      <c r="DK9" s="1423"/>
      <c r="DL9" s="1423"/>
      <c r="DM9" s="1423"/>
      <c r="DN9" s="1423">
        <v>0</v>
      </c>
      <c r="DO9" s="1423"/>
      <c r="DP9" s="1423">
        <v>0</v>
      </c>
      <c r="DQ9" s="1423"/>
      <c r="DR9" s="1423"/>
      <c r="DS9" s="1423"/>
      <c r="DT9" s="1423">
        <v>0</v>
      </c>
      <c r="DU9" s="1423"/>
      <c r="DV9" s="1423"/>
      <c r="DW9" s="1423"/>
      <c r="DX9" s="1423"/>
      <c r="DY9" s="1423">
        <v>2229083</v>
      </c>
      <c r="DZ9" s="1423"/>
      <c r="EA9" s="1423">
        <v>11338</v>
      </c>
      <c r="EB9" s="1423">
        <v>248623</v>
      </c>
      <c r="EC9" s="1423"/>
      <c r="ED9" s="1423">
        <v>1969122</v>
      </c>
      <c r="EE9" s="1423"/>
      <c r="EF9" s="1423"/>
      <c r="EG9" s="1423"/>
      <c r="EH9" s="1423">
        <v>7333522</v>
      </c>
      <c r="EI9" s="1423">
        <v>1021224</v>
      </c>
      <c r="EJ9" s="1423">
        <v>5497614</v>
      </c>
      <c r="EK9" s="1423">
        <v>814684</v>
      </c>
      <c r="EL9" s="1423"/>
      <c r="EM9" s="1423">
        <v>16060760</v>
      </c>
      <c r="EN9" s="1423"/>
      <c r="EO9" s="1423"/>
      <c r="EP9" s="1423"/>
      <c r="EQ9" s="1423"/>
      <c r="ER9" s="1423"/>
      <c r="ES9" s="1423">
        <v>116429358.37</v>
      </c>
    </row>
    <row r="10" spans="4:149" ht="15">
      <c r="D10" s="1221"/>
      <c r="E10" s="1223">
        <v>42125</v>
      </c>
      <c r="F10" s="1423"/>
      <c r="G10" s="1374">
        <v>17480</v>
      </c>
      <c r="H10" s="1423"/>
      <c r="I10" s="1423">
        <v>5731487</v>
      </c>
      <c r="J10" s="1423">
        <v>5731487</v>
      </c>
      <c r="K10" s="1423"/>
      <c r="L10" s="1423"/>
      <c r="M10" s="1423">
        <v>242270</v>
      </c>
      <c r="N10" s="1423">
        <v>242270</v>
      </c>
      <c r="O10" s="1423">
        <v>242270</v>
      </c>
      <c r="P10" s="1423"/>
      <c r="Q10" s="1423">
        <v>0</v>
      </c>
      <c r="R10" s="1423"/>
      <c r="S10" s="1423"/>
      <c r="T10" s="1423">
        <v>0</v>
      </c>
      <c r="U10" s="1423"/>
      <c r="V10" s="1423"/>
      <c r="W10" s="1423"/>
      <c r="X10" s="1423">
        <v>0</v>
      </c>
      <c r="Y10" s="1423">
        <v>0</v>
      </c>
      <c r="Z10" s="1423"/>
      <c r="AA10" s="1423"/>
      <c r="AB10" s="1423">
        <v>0</v>
      </c>
      <c r="AC10" s="1423"/>
      <c r="AD10" s="1423"/>
      <c r="AE10" s="1423"/>
      <c r="AF10" s="1423">
        <v>0</v>
      </c>
      <c r="AG10" s="1423"/>
      <c r="AH10" s="1423"/>
      <c r="AI10" s="1423"/>
      <c r="AJ10" s="1423"/>
      <c r="AK10" s="1423">
        <v>0</v>
      </c>
      <c r="AL10" s="1423"/>
      <c r="AM10" s="1423"/>
      <c r="AN10" s="1423"/>
      <c r="AO10" s="1423">
        <v>8425789</v>
      </c>
      <c r="AP10" s="1423">
        <v>7670996</v>
      </c>
      <c r="AQ10" s="1423">
        <v>754793</v>
      </c>
      <c r="AR10" s="1423">
        <v>754793</v>
      </c>
      <c r="AS10" s="1423"/>
      <c r="AT10" s="1423"/>
      <c r="AU10" s="1423"/>
      <c r="AV10" s="1423"/>
      <c r="AW10" s="1423"/>
      <c r="AX10" s="1423"/>
      <c r="AY10" s="1423">
        <v>8116043</v>
      </c>
      <c r="AZ10" s="1423">
        <v>0</v>
      </c>
      <c r="BA10" s="1423"/>
      <c r="BB10" s="1423"/>
      <c r="BC10" s="1423"/>
      <c r="BD10" s="1423">
        <v>8116043</v>
      </c>
      <c r="BE10" s="1423">
        <v>0</v>
      </c>
      <c r="BF10" s="1423"/>
      <c r="BG10" s="1423"/>
      <c r="BH10" s="1423"/>
      <c r="BI10" s="1423"/>
      <c r="BJ10" s="1423"/>
      <c r="BK10" s="1423"/>
      <c r="BL10" s="1423">
        <v>0</v>
      </c>
      <c r="BM10" s="1423">
        <v>0</v>
      </c>
      <c r="BN10" s="1423"/>
      <c r="BO10" s="1423"/>
      <c r="BP10" s="1423"/>
      <c r="BQ10" s="1423"/>
      <c r="BR10" s="1423"/>
      <c r="BS10" s="1423"/>
      <c r="BT10" s="1423">
        <v>0</v>
      </c>
      <c r="BU10" s="1423">
        <v>0</v>
      </c>
      <c r="BV10" s="1423"/>
      <c r="BW10" s="1423"/>
      <c r="BX10" s="1423"/>
      <c r="BY10" s="1423"/>
      <c r="BZ10" s="1423">
        <v>0</v>
      </c>
      <c r="CA10" s="1423"/>
      <c r="CB10" s="1423"/>
      <c r="CC10" s="1423">
        <v>199090.14</v>
      </c>
      <c r="CD10" s="1423">
        <v>199090.14</v>
      </c>
      <c r="CE10" s="1423"/>
      <c r="CF10" s="1423">
        <v>199090.14</v>
      </c>
      <c r="CG10" s="1423"/>
      <c r="CH10" s="1423"/>
      <c r="CI10" s="1423"/>
      <c r="CJ10" s="1423">
        <v>0</v>
      </c>
      <c r="CK10" s="1423"/>
      <c r="CL10" s="1423"/>
      <c r="CM10" s="1423"/>
      <c r="CN10" s="1423"/>
      <c r="CO10" s="1423"/>
      <c r="CP10" s="1423"/>
      <c r="CQ10" s="1423">
        <v>7000143</v>
      </c>
      <c r="CR10" s="1423"/>
      <c r="CS10" s="1423">
        <v>7000143</v>
      </c>
      <c r="CT10" s="1423"/>
      <c r="CU10" s="1423">
        <v>60637440</v>
      </c>
      <c r="CV10" s="1423">
        <v>50728453</v>
      </c>
      <c r="CW10" s="1423">
        <v>9908987</v>
      </c>
      <c r="CX10" s="1423"/>
      <c r="CY10" s="1423">
        <v>0</v>
      </c>
      <c r="CZ10" s="1423"/>
      <c r="DA10" s="1423">
        <v>0</v>
      </c>
      <c r="DB10" s="1423"/>
      <c r="DC10" s="1423"/>
      <c r="DD10" s="1423"/>
      <c r="DE10" s="1423">
        <v>0</v>
      </c>
      <c r="DF10" s="1423"/>
      <c r="DG10" s="1423"/>
      <c r="DH10" s="1423"/>
      <c r="DI10" s="1423">
        <v>0</v>
      </c>
      <c r="DJ10" s="1423"/>
      <c r="DK10" s="1423"/>
      <c r="DL10" s="1423"/>
      <c r="DM10" s="1423"/>
      <c r="DN10" s="1423">
        <v>0</v>
      </c>
      <c r="DO10" s="1423"/>
      <c r="DP10" s="1423">
        <v>0</v>
      </c>
      <c r="DQ10" s="1423"/>
      <c r="DR10" s="1423"/>
      <c r="DS10" s="1423"/>
      <c r="DT10" s="1423">
        <v>0</v>
      </c>
      <c r="DU10" s="1423"/>
      <c r="DV10" s="1423"/>
      <c r="DW10" s="1423"/>
      <c r="DX10" s="1423"/>
      <c r="DY10" s="1423">
        <v>2243984</v>
      </c>
      <c r="DZ10" s="1423"/>
      <c r="EA10" s="1423">
        <v>11338</v>
      </c>
      <c r="EB10" s="1423">
        <v>254200</v>
      </c>
      <c r="EC10" s="1423"/>
      <c r="ED10" s="1423">
        <v>1952179</v>
      </c>
      <c r="EE10" s="1423">
        <v>26267</v>
      </c>
      <c r="EF10" s="1423"/>
      <c r="EG10" s="1423"/>
      <c r="EH10" s="1423">
        <v>7269059</v>
      </c>
      <c r="EI10" s="1423">
        <v>1019550</v>
      </c>
      <c r="EJ10" s="1423">
        <v>5459436</v>
      </c>
      <c r="EK10" s="1423">
        <v>790073</v>
      </c>
      <c r="EL10" s="1423"/>
      <c r="EM10" s="1423">
        <v>7682238</v>
      </c>
      <c r="EN10" s="1423"/>
      <c r="EO10" s="1423"/>
      <c r="EP10" s="1423"/>
      <c r="EQ10" s="1423"/>
      <c r="ER10" s="1423"/>
      <c r="ES10" s="1423">
        <v>107565023.14</v>
      </c>
    </row>
    <row r="11" spans="4:149" ht="15">
      <c r="D11" s="1221"/>
      <c r="E11" s="1223">
        <v>42156</v>
      </c>
      <c r="F11" s="1423"/>
      <c r="G11" s="1374">
        <v>56311</v>
      </c>
      <c r="H11" s="1423"/>
      <c r="I11" s="1423">
        <v>9629797</v>
      </c>
      <c r="J11" s="1423">
        <v>9629797</v>
      </c>
      <c r="K11" s="1423"/>
      <c r="L11" s="1423"/>
      <c r="M11" s="1423">
        <v>187011</v>
      </c>
      <c r="N11" s="1423">
        <v>187011</v>
      </c>
      <c r="O11" s="1423">
        <v>187011</v>
      </c>
      <c r="P11" s="1423"/>
      <c r="Q11" s="1423">
        <v>0</v>
      </c>
      <c r="R11" s="1423"/>
      <c r="S11" s="1423"/>
      <c r="T11" s="1423">
        <v>0</v>
      </c>
      <c r="U11" s="1423"/>
      <c r="V11" s="1423"/>
      <c r="W11" s="1423"/>
      <c r="X11" s="1423">
        <v>0</v>
      </c>
      <c r="Y11" s="1423">
        <v>0</v>
      </c>
      <c r="Z11" s="1423"/>
      <c r="AA11" s="1423"/>
      <c r="AB11" s="1423">
        <v>0</v>
      </c>
      <c r="AC11" s="1423"/>
      <c r="AD11" s="1423"/>
      <c r="AE11" s="1423"/>
      <c r="AF11" s="1423">
        <v>0</v>
      </c>
      <c r="AG11" s="1423"/>
      <c r="AH11" s="1423"/>
      <c r="AI11" s="1423"/>
      <c r="AJ11" s="1423"/>
      <c r="AK11" s="1423">
        <v>0</v>
      </c>
      <c r="AL11" s="1423"/>
      <c r="AM11" s="1423"/>
      <c r="AN11" s="1423"/>
      <c r="AO11" s="1423">
        <v>7940677</v>
      </c>
      <c r="AP11" s="1423">
        <v>7307135</v>
      </c>
      <c r="AQ11" s="1423">
        <v>633542</v>
      </c>
      <c r="AR11" s="1423">
        <v>633542</v>
      </c>
      <c r="AS11" s="1423"/>
      <c r="AT11" s="1423"/>
      <c r="AU11" s="1423"/>
      <c r="AV11" s="1423"/>
      <c r="AW11" s="1423"/>
      <c r="AX11" s="1423"/>
      <c r="AY11" s="1423">
        <v>8116043</v>
      </c>
      <c r="AZ11" s="1423">
        <v>0</v>
      </c>
      <c r="BA11" s="1423"/>
      <c r="BB11" s="1423"/>
      <c r="BC11" s="1423"/>
      <c r="BD11" s="1423">
        <v>8116043</v>
      </c>
      <c r="BE11" s="1423">
        <v>0</v>
      </c>
      <c r="BF11" s="1423"/>
      <c r="BG11" s="1423"/>
      <c r="BH11" s="1423"/>
      <c r="BI11" s="1423"/>
      <c r="BJ11" s="1423"/>
      <c r="BK11" s="1423"/>
      <c r="BL11" s="1423">
        <v>0</v>
      </c>
      <c r="BM11" s="1423">
        <v>0</v>
      </c>
      <c r="BN11" s="1423"/>
      <c r="BO11" s="1423"/>
      <c r="BP11" s="1423"/>
      <c r="BQ11" s="1423"/>
      <c r="BR11" s="1423"/>
      <c r="BS11" s="1423"/>
      <c r="BT11" s="1423">
        <v>0</v>
      </c>
      <c r="BU11" s="1423">
        <v>0</v>
      </c>
      <c r="BV11" s="1423"/>
      <c r="BW11" s="1423"/>
      <c r="BX11" s="1423"/>
      <c r="BY11" s="1423"/>
      <c r="BZ11" s="1423">
        <v>0</v>
      </c>
      <c r="CA11" s="1423"/>
      <c r="CB11" s="1423"/>
      <c r="CC11" s="1423">
        <v>200128</v>
      </c>
      <c r="CD11" s="1423">
        <v>200128</v>
      </c>
      <c r="CE11" s="1423"/>
      <c r="CF11" s="1423">
        <v>200128</v>
      </c>
      <c r="CG11" s="1423"/>
      <c r="CH11" s="1423"/>
      <c r="CI11" s="1423"/>
      <c r="CJ11" s="1423">
        <v>0</v>
      </c>
      <c r="CK11" s="1423"/>
      <c r="CL11" s="1423"/>
      <c r="CM11" s="1423"/>
      <c r="CN11" s="1423"/>
      <c r="CO11" s="1423"/>
      <c r="CP11" s="1423"/>
      <c r="CQ11" s="1423">
        <v>9000000</v>
      </c>
      <c r="CR11" s="1423"/>
      <c r="CS11" s="1423">
        <v>9000000</v>
      </c>
      <c r="CT11" s="1423"/>
      <c r="CU11" s="1423">
        <v>61527239</v>
      </c>
      <c r="CV11" s="1423">
        <v>51717672</v>
      </c>
      <c r="CW11" s="1423">
        <v>9809567</v>
      </c>
      <c r="CX11" s="1423"/>
      <c r="CY11" s="1423">
        <v>0</v>
      </c>
      <c r="CZ11" s="1423"/>
      <c r="DA11" s="1423">
        <v>0</v>
      </c>
      <c r="DB11" s="1423"/>
      <c r="DC11" s="1423"/>
      <c r="DD11" s="1423"/>
      <c r="DE11" s="1423">
        <v>0</v>
      </c>
      <c r="DF11" s="1423"/>
      <c r="DG11" s="1423"/>
      <c r="DH11" s="1423"/>
      <c r="DI11" s="1423">
        <v>0</v>
      </c>
      <c r="DJ11" s="1423"/>
      <c r="DK11" s="1423"/>
      <c r="DL11" s="1423"/>
      <c r="DM11" s="1423"/>
      <c r="DN11" s="1423">
        <v>0</v>
      </c>
      <c r="DO11" s="1423"/>
      <c r="DP11" s="1423">
        <v>0</v>
      </c>
      <c r="DQ11" s="1423"/>
      <c r="DR11" s="1423"/>
      <c r="DS11" s="1423"/>
      <c r="DT11" s="1423">
        <v>0</v>
      </c>
      <c r="DU11" s="1423"/>
      <c r="DV11" s="1423"/>
      <c r="DW11" s="1423"/>
      <c r="DX11" s="1423"/>
      <c r="DY11" s="1423">
        <v>2207014</v>
      </c>
      <c r="DZ11" s="1423"/>
      <c r="EA11" s="1423">
        <v>11338</v>
      </c>
      <c r="EB11" s="1423">
        <v>267443</v>
      </c>
      <c r="EC11" s="1423"/>
      <c r="ED11" s="1423">
        <v>1901399</v>
      </c>
      <c r="EE11" s="1423">
        <v>26834</v>
      </c>
      <c r="EF11" s="1423"/>
      <c r="EG11" s="1423"/>
      <c r="EH11" s="1423">
        <v>7669788</v>
      </c>
      <c r="EI11" s="1423">
        <v>1316219</v>
      </c>
      <c r="EJ11" s="1423">
        <v>5535160</v>
      </c>
      <c r="EK11" s="1423">
        <v>818409</v>
      </c>
      <c r="EL11" s="1423"/>
      <c r="EM11" s="1423">
        <v>16075465</v>
      </c>
      <c r="EN11" s="1423"/>
      <c r="EO11" s="1423"/>
      <c r="EP11" s="1423"/>
      <c r="EQ11" s="1423"/>
      <c r="ER11" s="1423"/>
      <c r="ES11" s="1423">
        <v>122609473</v>
      </c>
    </row>
    <row r="12" spans="4:149" ht="15">
      <c r="D12" s="1221"/>
      <c r="E12" s="1223">
        <v>42186</v>
      </c>
      <c r="F12" s="1423"/>
      <c r="G12" s="1374">
        <v>19803</v>
      </c>
      <c r="H12" s="1423"/>
      <c r="I12" s="1423">
        <v>3991073</v>
      </c>
      <c r="J12" s="1423">
        <v>3991073</v>
      </c>
      <c r="K12" s="1423"/>
      <c r="L12" s="1423"/>
      <c r="M12" s="1423">
        <v>101479</v>
      </c>
      <c r="N12" s="1423">
        <v>101479</v>
      </c>
      <c r="O12" s="1423">
        <v>101479</v>
      </c>
      <c r="P12" s="1423"/>
      <c r="Q12" s="1423">
        <v>0</v>
      </c>
      <c r="R12" s="1423"/>
      <c r="S12" s="1423"/>
      <c r="T12" s="1423">
        <v>0</v>
      </c>
      <c r="U12" s="1423"/>
      <c r="V12" s="1423"/>
      <c r="W12" s="1423"/>
      <c r="X12" s="1423">
        <v>0</v>
      </c>
      <c r="Y12" s="1423">
        <v>0</v>
      </c>
      <c r="Z12" s="1423"/>
      <c r="AA12" s="1423"/>
      <c r="AB12" s="1423">
        <v>0</v>
      </c>
      <c r="AC12" s="1423"/>
      <c r="AD12" s="1423"/>
      <c r="AE12" s="1423"/>
      <c r="AF12" s="1423">
        <v>0</v>
      </c>
      <c r="AG12" s="1423"/>
      <c r="AH12" s="1423"/>
      <c r="AI12" s="1423"/>
      <c r="AJ12" s="1423"/>
      <c r="AK12" s="1423">
        <v>0</v>
      </c>
      <c r="AL12" s="1423"/>
      <c r="AM12" s="1423"/>
      <c r="AN12" s="1423"/>
      <c r="AO12" s="1423">
        <v>6624672</v>
      </c>
      <c r="AP12" s="1423">
        <v>5959426</v>
      </c>
      <c r="AQ12" s="1423">
        <v>665246</v>
      </c>
      <c r="AR12" s="1423">
        <v>665246</v>
      </c>
      <c r="AS12" s="1423"/>
      <c r="AT12" s="1423"/>
      <c r="AU12" s="1423"/>
      <c r="AV12" s="1423"/>
      <c r="AW12" s="1423"/>
      <c r="AX12" s="1423"/>
      <c r="AY12" s="1423">
        <v>8116043</v>
      </c>
      <c r="AZ12" s="1423">
        <v>0</v>
      </c>
      <c r="BA12" s="1423"/>
      <c r="BB12" s="1423"/>
      <c r="BC12" s="1423"/>
      <c r="BD12" s="1423">
        <v>8116043</v>
      </c>
      <c r="BE12" s="1423">
        <v>0</v>
      </c>
      <c r="BF12" s="1423"/>
      <c r="BG12" s="1423"/>
      <c r="BH12" s="1423"/>
      <c r="BI12" s="1423"/>
      <c r="BJ12" s="1423"/>
      <c r="BK12" s="1423"/>
      <c r="BL12" s="1423">
        <v>0</v>
      </c>
      <c r="BM12" s="1423">
        <v>0</v>
      </c>
      <c r="BN12" s="1423"/>
      <c r="BO12" s="1423"/>
      <c r="BP12" s="1423"/>
      <c r="BQ12" s="1423"/>
      <c r="BR12" s="1423"/>
      <c r="BS12" s="1423"/>
      <c r="BT12" s="1423">
        <v>0</v>
      </c>
      <c r="BU12" s="1423">
        <v>0</v>
      </c>
      <c r="BV12" s="1423"/>
      <c r="BW12" s="1423"/>
      <c r="BX12" s="1423"/>
      <c r="BY12" s="1423"/>
      <c r="BZ12" s="1423"/>
      <c r="CA12" s="1423"/>
      <c r="CB12" s="1423"/>
      <c r="CC12" s="1423">
        <v>199970</v>
      </c>
      <c r="CD12" s="1423">
        <v>199970</v>
      </c>
      <c r="CE12" s="1423"/>
      <c r="CF12" s="1423">
        <v>199970</v>
      </c>
      <c r="CG12" s="1423"/>
      <c r="CH12" s="1423"/>
      <c r="CI12" s="1423"/>
      <c r="CJ12" s="1423">
        <v>0</v>
      </c>
      <c r="CK12" s="1423"/>
      <c r="CL12" s="1423"/>
      <c r="CM12" s="1423"/>
      <c r="CN12" s="1423"/>
      <c r="CO12" s="1423"/>
      <c r="CP12" s="1423"/>
      <c r="CQ12" s="1423">
        <v>9000000</v>
      </c>
      <c r="CR12" s="1423"/>
      <c r="CS12" s="1423">
        <v>9000000</v>
      </c>
      <c r="CT12" s="1423"/>
      <c r="CU12" s="1423">
        <v>63821698</v>
      </c>
      <c r="CV12" s="1423">
        <v>54750337</v>
      </c>
      <c r="CW12" s="1423">
        <v>9071361</v>
      </c>
      <c r="CX12" s="1423"/>
      <c r="CY12" s="1423">
        <v>0</v>
      </c>
      <c r="CZ12" s="1423"/>
      <c r="DA12" s="1423">
        <v>0</v>
      </c>
      <c r="DB12" s="1423"/>
      <c r="DC12" s="1423"/>
      <c r="DD12" s="1423"/>
      <c r="DE12" s="1423">
        <v>0</v>
      </c>
      <c r="DF12" s="1423"/>
      <c r="DG12" s="1423"/>
      <c r="DH12" s="1423"/>
      <c r="DI12" s="1423">
        <v>0</v>
      </c>
      <c r="DJ12" s="1423"/>
      <c r="DK12" s="1423"/>
      <c r="DL12" s="1423"/>
      <c r="DM12" s="1423"/>
      <c r="DN12" s="1423">
        <v>0</v>
      </c>
      <c r="DO12" s="1423"/>
      <c r="DP12" s="1423">
        <v>0</v>
      </c>
      <c r="DQ12" s="1423"/>
      <c r="DR12" s="1423"/>
      <c r="DS12" s="1423"/>
      <c r="DT12" s="1423">
        <v>0</v>
      </c>
      <c r="DU12" s="1423"/>
      <c r="DV12" s="1423"/>
      <c r="DW12" s="1423"/>
      <c r="DX12" s="1423"/>
      <c r="DY12" s="1423">
        <v>1936313</v>
      </c>
      <c r="DZ12" s="1423"/>
      <c r="EA12" s="1423">
        <v>11946</v>
      </c>
      <c r="EB12" s="1423">
        <v>271900</v>
      </c>
      <c r="EC12" s="1423"/>
      <c r="ED12" s="1423">
        <v>1626176</v>
      </c>
      <c r="EE12" s="1423">
        <v>26291</v>
      </c>
      <c r="EF12" s="1423"/>
      <c r="EG12" s="1423"/>
      <c r="EH12" s="1423">
        <v>7841687</v>
      </c>
      <c r="EI12" s="1423">
        <v>1313984</v>
      </c>
      <c r="EJ12" s="1423">
        <v>5605715</v>
      </c>
      <c r="EK12" s="1423">
        <v>921988</v>
      </c>
      <c r="EL12" s="1423"/>
      <c r="EM12" s="1423">
        <v>16374311.84</v>
      </c>
      <c r="EN12" s="1423"/>
      <c r="EO12" s="1423"/>
      <c r="EP12" s="1423"/>
      <c r="EQ12" s="1423"/>
      <c r="ER12" s="1423"/>
      <c r="ES12" s="1423">
        <v>118027049.84</v>
      </c>
    </row>
    <row r="13" spans="4:149" ht="15">
      <c r="D13" s="1221"/>
      <c r="E13" s="1223">
        <v>42217</v>
      </c>
      <c r="F13" s="1423"/>
      <c r="G13" s="1374">
        <v>16276</v>
      </c>
      <c r="H13" s="1423"/>
      <c r="I13" s="1423">
        <v>6245677</v>
      </c>
      <c r="J13" s="1423">
        <v>6245677</v>
      </c>
      <c r="K13" s="1423"/>
      <c r="L13" s="1423"/>
      <c r="M13" s="1423">
        <v>446883</v>
      </c>
      <c r="N13" s="1423">
        <v>446883</v>
      </c>
      <c r="O13" s="1423">
        <v>446883</v>
      </c>
      <c r="P13" s="1423"/>
      <c r="Q13" s="1423">
        <v>0</v>
      </c>
      <c r="R13" s="1423"/>
      <c r="S13" s="1423"/>
      <c r="T13" s="1423">
        <v>0</v>
      </c>
      <c r="U13" s="1423"/>
      <c r="V13" s="1423"/>
      <c r="W13" s="1423"/>
      <c r="X13" s="1423">
        <v>0</v>
      </c>
      <c r="Y13" s="1423">
        <v>0</v>
      </c>
      <c r="Z13" s="1423"/>
      <c r="AA13" s="1423"/>
      <c r="AB13" s="1423">
        <v>0</v>
      </c>
      <c r="AC13" s="1423"/>
      <c r="AD13" s="1423"/>
      <c r="AE13" s="1423"/>
      <c r="AF13" s="1423">
        <v>0</v>
      </c>
      <c r="AG13" s="1423"/>
      <c r="AH13" s="1423"/>
      <c r="AI13" s="1423"/>
      <c r="AJ13" s="1423"/>
      <c r="AK13" s="1423">
        <v>0</v>
      </c>
      <c r="AL13" s="1423"/>
      <c r="AM13" s="1423"/>
      <c r="AN13" s="1423"/>
      <c r="AO13" s="1423">
        <v>5716181</v>
      </c>
      <c r="AP13" s="1423">
        <v>4853416</v>
      </c>
      <c r="AQ13" s="1423">
        <v>862765</v>
      </c>
      <c r="AR13" s="1423">
        <v>862765</v>
      </c>
      <c r="AS13" s="1423"/>
      <c r="AT13" s="1423"/>
      <c r="AU13" s="1423"/>
      <c r="AV13" s="1423"/>
      <c r="AW13" s="1423"/>
      <c r="AX13" s="1423"/>
      <c r="AY13" s="1423">
        <v>10983634</v>
      </c>
      <c r="AZ13" s="1423">
        <v>0</v>
      </c>
      <c r="BA13" s="1423"/>
      <c r="BB13" s="1423"/>
      <c r="BC13" s="1423"/>
      <c r="BD13" s="1423">
        <v>10983634</v>
      </c>
      <c r="BE13" s="1423">
        <v>0</v>
      </c>
      <c r="BF13" s="1423"/>
      <c r="BG13" s="1423"/>
      <c r="BH13" s="1423"/>
      <c r="BI13" s="1423"/>
      <c r="BJ13" s="1423"/>
      <c r="BK13" s="1423"/>
      <c r="BL13" s="1423">
        <v>0</v>
      </c>
      <c r="BM13" s="1423">
        <v>0</v>
      </c>
      <c r="BN13" s="1423"/>
      <c r="BO13" s="1423"/>
      <c r="BP13" s="1423"/>
      <c r="BQ13" s="1423"/>
      <c r="BR13" s="1423"/>
      <c r="BS13" s="1423"/>
      <c r="BT13" s="1423">
        <v>0</v>
      </c>
      <c r="BU13" s="1423">
        <v>0</v>
      </c>
      <c r="BV13" s="1423"/>
      <c r="BW13" s="1423"/>
      <c r="BX13" s="1423"/>
      <c r="BY13" s="1423"/>
      <c r="BZ13" s="1423"/>
      <c r="CA13" s="1423"/>
      <c r="CB13" s="1423"/>
      <c r="CC13" s="1423">
        <v>202602</v>
      </c>
      <c r="CD13" s="1423">
        <v>202602</v>
      </c>
      <c r="CE13" s="1423"/>
      <c r="CF13" s="1423">
        <v>202602</v>
      </c>
      <c r="CG13" s="1423"/>
      <c r="CH13" s="1423"/>
      <c r="CI13" s="1423"/>
      <c r="CJ13" s="1423">
        <v>0</v>
      </c>
      <c r="CK13" s="1423"/>
      <c r="CL13" s="1423"/>
      <c r="CM13" s="1423"/>
      <c r="CN13" s="1423"/>
      <c r="CO13" s="1423"/>
      <c r="CP13" s="1423"/>
      <c r="CQ13" s="1423">
        <v>5000000</v>
      </c>
      <c r="CR13" s="1423"/>
      <c r="CS13" s="1423">
        <v>5000000</v>
      </c>
      <c r="CT13" s="1423"/>
      <c r="CU13" s="1423">
        <v>65693904</v>
      </c>
      <c r="CV13" s="1423">
        <v>57152393</v>
      </c>
      <c r="CW13" s="1423">
        <v>8541511</v>
      </c>
      <c r="CX13" s="1423"/>
      <c r="CY13" s="1423">
        <v>0</v>
      </c>
      <c r="CZ13" s="1423"/>
      <c r="DA13" s="1423">
        <v>0</v>
      </c>
      <c r="DB13" s="1423"/>
      <c r="DC13" s="1423"/>
      <c r="DD13" s="1423"/>
      <c r="DE13" s="1423">
        <v>0</v>
      </c>
      <c r="DF13" s="1423"/>
      <c r="DG13" s="1423"/>
      <c r="DH13" s="1423"/>
      <c r="DI13" s="1423">
        <v>0</v>
      </c>
      <c r="DJ13" s="1423"/>
      <c r="DK13" s="1423"/>
      <c r="DL13" s="1423"/>
      <c r="DM13" s="1423"/>
      <c r="DN13" s="1423">
        <v>0</v>
      </c>
      <c r="DO13" s="1423"/>
      <c r="DP13" s="1423">
        <v>0</v>
      </c>
      <c r="DQ13" s="1423"/>
      <c r="DR13" s="1423"/>
      <c r="DS13" s="1423"/>
      <c r="DT13" s="1423">
        <v>0</v>
      </c>
      <c r="DU13" s="1423"/>
      <c r="DV13" s="1423"/>
      <c r="DW13" s="1423"/>
      <c r="DX13" s="1423"/>
      <c r="DY13" s="1423">
        <v>1849272</v>
      </c>
      <c r="DZ13" s="1423"/>
      <c r="EA13" s="1423">
        <v>11946</v>
      </c>
      <c r="EB13" s="1423">
        <v>277348</v>
      </c>
      <c r="EC13" s="1423"/>
      <c r="ED13" s="1423">
        <v>1532988</v>
      </c>
      <c r="EE13" s="1423">
        <v>26990</v>
      </c>
      <c r="EF13" s="1423"/>
      <c r="EG13" s="1423"/>
      <c r="EH13" s="1423">
        <v>8168296</v>
      </c>
      <c r="EI13" s="1423">
        <v>1630215</v>
      </c>
      <c r="EJ13" s="1423">
        <v>5568189</v>
      </c>
      <c r="EK13" s="1423">
        <v>969892</v>
      </c>
      <c r="EL13" s="1423"/>
      <c r="EM13" s="1423">
        <v>15468861</v>
      </c>
      <c r="EN13" s="1423"/>
      <c r="EO13" s="1423"/>
      <c r="EP13" s="1423"/>
      <c r="EQ13" s="1423"/>
      <c r="ER13" s="1423"/>
      <c r="ES13" s="1423">
        <v>119791586</v>
      </c>
    </row>
    <row r="14" spans="4:149" ht="15">
      <c r="D14" s="1221"/>
      <c r="E14" s="1223">
        <v>42248</v>
      </c>
      <c r="F14" s="1423"/>
      <c r="G14" s="1374">
        <v>21170</v>
      </c>
      <c r="H14" s="1423"/>
      <c r="I14" s="1423">
        <v>9341450</v>
      </c>
      <c r="J14" s="1423">
        <v>9341450</v>
      </c>
      <c r="K14" s="1423"/>
      <c r="L14" s="1423"/>
      <c r="M14" s="1423">
        <v>321181</v>
      </c>
      <c r="N14" s="1423">
        <v>321181</v>
      </c>
      <c r="O14" s="1423">
        <v>321181</v>
      </c>
      <c r="P14" s="1423"/>
      <c r="Q14" s="1423">
        <v>0</v>
      </c>
      <c r="R14" s="1423"/>
      <c r="S14" s="1423"/>
      <c r="T14" s="1423">
        <v>0</v>
      </c>
      <c r="U14" s="1423"/>
      <c r="V14" s="1423"/>
      <c r="W14" s="1423"/>
      <c r="X14" s="1423">
        <v>0</v>
      </c>
      <c r="Y14" s="1423">
        <v>0</v>
      </c>
      <c r="Z14" s="1423"/>
      <c r="AA14" s="1423"/>
      <c r="AB14" s="1423">
        <v>0</v>
      </c>
      <c r="AC14" s="1423"/>
      <c r="AD14" s="1423"/>
      <c r="AE14" s="1423"/>
      <c r="AF14" s="1423">
        <v>0</v>
      </c>
      <c r="AG14" s="1423"/>
      <c r="AH14" s="1423"/>
      <c r="AI14" s="1423"/>
      <c r="AJ14" s="1423"/>
      <c r="AK14" s="1423">
        <v>0</v>
      </c>
      <c r="AL14" s="1423"/>
      <c r="AM14" s="1423"/>
      <c r="AN14" s="1423"/>
      <c r="AO14" s="1423">
        <v>7746162</v>
      </c>
      <c r="AP14" s="1423">
        <v>6683472</v>
      </c>
      <c r="AQ14" s="1423">
        <v>1062690</v>
      </c>
      <c r="AR14" s="1423">
        <v>1062690</v>
      </c>
      <c r="AS14" s="1423"/>
      <c r="AT14" s="1423"/>
      <c r="AU14" s="1423"/>
      <c r="AV14" s="1423"/>
      <c r="AW14" s="1423"/>
      <c r="AX14" s="1423"/>
      <c r="AY14" s="1423">
        <v>12983634</v>
      </c>
      <c r="AZ14" s="1423">
        <v>0</v>
      </c>
      <c r="BA14" s="1423"/>
      <c r="BB14" s="1423"/>
      <c r="BC14" s="1423"/>
      <c r="BD14" s="1423">
        <v>12983634</v>
      </c>
      <c r="BE14" s="1423">
        <v>0</v>
      </c>
      <c r="BF14" s="1423"/>
      <c r="BG14" s="1423"/>
      <c r="BH14" s="1423"/>
      <c r="BI14" s="1423"/>
      <c r="BJ14" s="1423"/>
      <c r="BK14" s="1423"/>
      <c r="BL14" s="1423">
        <v>0</v>
      </c>
      <c r="BM14" s="1423">
        <v>0</v>
      </c>
      <c r="BN14" s="1423"/>
      <c r="BO14" s="1423"/>
      <c r="BP14" s="1423"/>
      <c r="BQ14" s="1423"/>
      <c r="BR14" s="1423"/>
      <c r="BS14" s="1423"/>
      <c r="BT14" s="1423">
        <v>0</v>
      </c>
      <c r="BU14" s="1423">
        <v>0</v>
      </c>
      <c r="BV14" s="1423"/>
      <c r="BW14" s="1423"/>
      <c r="BX14" s="1423"/>
      <c r="BY14" s="1423"/>
      <c r="BZ14" s="1423"/>
      <c r="CA14" s="1423"/>
      <c r="CB14" s="1423"/>
      <c r="CC14" s="1423">
        <v>197866</v>
      </c>
      <c r="CD14" s="1423">
        <v>197866</v>
      </c>
      <c r="CE14" s="1423"/>
      <c r="CF14" s="1423">
        <v>197866</v>
      </c>
      <c r="CG14" s="1423"/>
      <c r="CH14" s="1423"/>
      <c r="CI14" s="1423"/>
      <c r="CJ14" s="1423">
        <v>0</v>
      </c>
      <c r="CK14" s="1423"/>
      <c r="CL14" s="1423"/>
      <c r="CM14" s="1423"/>
      <c r="CN14" s="1423"/>
      <c r="CO14" s="1423"/>
      <c r="CP14" s="1423"/>
      <c r="CQ14" s="1423">
        <v>5000000</v>
      </c>
      <c r="CR14" s="1423"/>
      <c r="CS14" s="1423">
        <v>5000000</v>
      </c>
      <c r="CT14" s="1423"/>
      <c r="CU14" s="1423">
        <v>68046120</v>
      </c>
      <c r="CV14" s="1423">
        <v>59950125</v>
      </c>
      <c r="CW14" s="1423">
        <v>8095995</v>
      </c>
      <c r="CX14" s="1423"/>
      <c r="CY14" s="1423">
        <v>0</v>
      </c>
      <c r="CZ14" s="1423"/>
      <c r="DA14" s="1423">
        <v>0</v>
      </c>
      <c r="DB14" s="1423"/>
      <c r="DC14" s="1423"/>
      <c r="DD14" s="1423"/>
      <c r="DE14" s="1423">
        <v>0</v>
      </c>
      <c r="DF14" s="1423"/>
      <c r="DG14" s="1423"/>
      <c r="DH14" s="1423"/>
      <c r="DI14" s="1423">
        <v>0</v>
      </c>
      <c r="DJ14" s="1423"/>
      <c r="DK14" s="1423"/>
      <c r="DL14" s="1423"/>
      <c r="DM14" s="1423"/>
      <c r="DN14" s="1423">
        <v>0</v>
      </c>
      <c r="DO14" s="1423"/>
      <c r="DP14" s="1423">
        <v>0</v>
      </c>
      <c r="DQ14" s="1423"/>
      <c r="DR14" s="1423"/>
      <c r="DS14" s="1423"/>
      <c r="DT14" s="1423">
        <v>0</v>
      </c>
      <c r="DU14" s="1423"/>
      <c r="DV14" s="1423"/>
      <c r="DW14" s="1423"/>
      <c r="DX14" s="1423"/>
      <c r="DY14" s="1423">
        <v>1817317</v>
      </c>
      <c r="DZ14" s="1423"/>
      <c r="EA14" s="1423">
        <v>11946</v>
      </c>
      <c r="EB14" s="1423">
        <v>246642</v>
      </c>
      <c r="EC14" s="1423"/>
      <c r="ED14" s="1423">
        <v>1531768</v>
      </c>
      <c r="EE14" s="1423">
        <v>26961</v>
      </c>
      <c r="EF14" s="1423"/>
      <c r="EG14" s="1423"/>
      <c r="EH14" s="1423">
        <v>8142340</v>
      </c>
      <c r="EI14" s="1423">
        <v>1627382</v>
      </c>
      <c r="EJ14" s="1423">
        <v>5505786</v>
      </c>
      <c r="EK14" s="1423">
        <v>1009172</v>
      </c>
      <c r="EL14" s="1423"/>
      <c r="EM14" s="1423">
        <v>15469153</v>
      </c>
      <c r="EN14" s="1423"/>
      <c r="EO14" s="1423"/>
      <c r="EP14" s="1423"/>
      <c r="EQ14" s="1423"/>
      <c r="ER14" s="1423"/>
      <c r="ES14" s="1423">
        <v>129086393</v>
      </c>
    </row>
    <row r="15" spans="4:149" ht="15">
      <c r="D15" s="1221"/>
      <c r="E15" s="1223">
        <v>42278</v>
      </c>
      <c r="F15" s="1423"/>
      <c r="G15" s="1374">
        <v>42328</v>
      </c>
      <c r="H15" s="1423"/>
      <c r="I15" s="1423">
        <v>8408150</v>
      </c>
      <c r="J15" s="1423">
        <v>8408150</v>
      </c>
      <c r="K15" s="1423"/>
      <c r="L15" s="1423"/>
      <c r="M15" s="1423">
        <v>137187</v>
      </c>
      <c r="N15" s="1423">
        <v>137187</v>
      </c>
      <c r="O15" s="1423">
        <v>137187</v>
      </c>
      <c r="P15" s="1423"/>
      <c r="Q15" s="1423">
        <v>0</v>
      </c>
      <c r="R15" s="1423"/>
      <c r="S15" s="1423"/>
      <c r="T15" s="1423">
        <v>0</v>
      </c>
      <c r="U15" s="1423"/>
      <c r="V15" s="1423"/>
      <c r="W15" s="1423"/>
      <c r="X15" s="1423">
        <v>0</v>
      </c>
      <c r="Y15" s="1423">
        <v>0</v>
      </c>
      <c r="Z15" s="1423"/>
      <c r="AA15" s="1423"/>
      <c r="AB15" s="1423">
        <v>0</v>
      </c>
      <c r="AC15" s="1423"/>
      <c r="AD15" s="1423"/>
      <c r="AE15" s="1423"/>
      <c r="AF15" s="1423">
        <v>0</v>
      </c>
      <c r="AG15" s="1423"/>
      <c r="AH15" s="1423"/>
      <c r="AI15" s="1423"/>
      <c r="AJ15" s="1423"/>
      <c r="AK15" s="1423">
        <v>0</v>
      </c>
      <c r="AL15" s="1423"/>
      <c r="AM15" s="1423"/>
      <c r="AN15" s="1423"/>
      <c r="AO15" s="1423">
        <v>6016603</v>
      </c>
      <c r="AP15" s="1423">
        <v>5424760</v>
      </c>
      <c r="AQ15" s="1423">
        <v>591843</v>
      </c>
      <c r="AR15" s="1423">
        <v>591843</v>
      </c>
      <c r="AS15" s="1423"/>
      <c r="AT15" s="1423"/>
      <c r="AU15" s="1423"/>
      <c r="AV15" s="1423"/>
      <c r="AW15" s="1423"/>
      <c r="AX15" s="1423"/>
      <c r="AY15" s="1423">
        <v>14983634</v>
      </c>
      <c r="AZ15" s="1423">
        <v>0</v>
      </c>
      <c r="BA15" s="1423"/>
      <c r="BB15" s="1423"/>
      <c r="BC15" s="1423"/>
      <c r="BD15" s="1423">
        <v>14983634</v>
      </c>
      <c r="BE15" s="1423">
        <v>0</v>
      </c>
      <c r="BF15" s="1423"/>
      <c r="BG15" s="1423"/>
      <c r="BH15" s="1423"/>
      <c r="BI15" s="1423"/>
      <c r="BJ15" s="1423"/>
      <c r="BK15" s="1423"/>
      <c r="BL15" s="1423">
        <v>0</v>
      </c>
      <c r="BM15" s="1423">
        <v>0</v>
      </c>
      <c r="BN15" s="1423"/>
      <c r="BO15" s="1423"/>
      <c r="BP15" s="1423"/>
      <c r="BQ15" s="1423"/>
      <c r="BR15" s="1423"/>
      <c r="BS15" s="1423"/>
      <c r="BT15" s="1423">
        <v>0</v>
      </c>
      <c r="BU15" s="1423">
        <v>0</v>
      </c>
      <c r="BV15" s="1423"/>
      <c r="BW15" s="1423"/>
      <c r="BX15" s="1423"/>
      <c r="BY15" s="1423"/>
      <c r="BZ15" s="1423"/>
      <c r="CA15" s="1423"/>
      <c r="CB15" s="1423"/>
      <c r="CC15" s="1423">
        <v>198874</v>
      </c>
      <c r="CD15" s="1423">
        <v>198874</v>
      </c>
      <c r="CE15" s="1423"/>
      <c r="CF15" s="1423">
        <v>198874</v>
      </c>
      <c r="CG15" s="1423"/>
      <c r="CH15" s="1423"/>
      <c r="CI15" s="1423"/>
      <c r="CJ15" s="1423">
        <v>0</v>
      </c>
      <c r="CK15" s="1423"/>
      <c r="CL15" s="1423"/>
      <c r="CM15" s="1423"/>
      <c r="CN15" s="1423"/>
      <c r="CO15" s="1423"/>
      <c r="CP15" s="1423"/>
      <c r="CQ15" s="1423">
        <v>2000000</v>
      </c>
      <c r="CR15" s="1423"/>
      <c r="CS15" s="1423">
        <v>2000000</v>
      </c>
      <c r="CT15" s="1423"/>
      <c r="CU15" s="1423">
        <v>68928070</v>
      </c>
      <c r="CV15" s="1423">
        <v>61024280</v>
      </c>
      <c r="CW15" s="1423">
        <v>7903790</v>
      </c>
      <c r="CX15" s="1423"/>
      <c r="CY15" s="1423">
        <v>0</v>
      </c>
      <c r="CZ15" s="1423"/>
      <c r="DA15" s="1423">
        <v>0</v>
      </c>
      <c r="DB15" s="1423"/>
      <c r="DC15" s="1423"/>
      <c r="DD15" s="1423"/>
      <c r="DE15" s="1423">
        <v>0</v>
      </c>
      <c r="DF15" s="1423"/>
      <c r="DG15" s="1423"/>
      <c r="DH15" s="1423"/>
      <c r="DI15" s="1423">
        <v>0</v>
      </c>
      <c r="DJ15" s="1423"/>
      <c r="DK15" s="1423"/>
      <c r="DL15" s="1423"/>
      <c r="DM15" s="1423"/>
      <c r="DN15" s="1423">
        <v>0</v>
      </c>
      <c r="DO15" s="1423"/>
      <c r="DP15" s="1423">
        <v>0</v>
      </c>
      <c r="DQ15" s="1423"/>
      <c r="DR15" s="1423"/>
      <c r="DS15" s="1423"/>
      <c r="DT15" s="1423">
        <v>0</v>
      </c>
      <c r="DU15" s="1423"/>
      <c r="DV15" s="1423"/>
      <c r="DW15" s="1423"/>
      <c r="DX15" s="1423"/>
      <c r="DY15" s="1423">
        <v>1788340</v>
      </c>
      <c r="DZ15" s="1423"/>
      <c r="EA15" s="1423">
        <v>11946</v>
      </c>
      <c r="EB15" s="1423">
        <v>217917</v>
      </c>
      <c r="EC15" s="1423"/>
      <c r="ED15" s="1423">
        <v>1532119</v>
      </c>
      <c r="EE15" s="1423">
        <v>26358</v>
      </c>
      <c r="EF15" s="1423"/>
      <c r="EG15" s="1423"/>
      <c r="EH15" s="1423">
        <v>8044790</v>
      </c>
      <c r="EI15" s="1423">
        <v>1624550</v>
      </c>
      <c r="EJ15" s="1423">
        <v>5437653</v>
      </c>
      <c r="EK15" s="1423">
        <v>982587</v>
      </c>
      <c r="EL15" s="1423"/>
      <c r="EM15" s="1423">
        <v>16130487</v>
      </c>
      <c r="EN15" s="1423"/>
      <c r="EO15" s="1423"/>
      <c r="EP15" s="1423"/>
      <c r="EQ15" s="1423"/>
      <c r="ER15" s="1423"/>
      <c r="ES15" s="1423">
        <v>126678463</v>
      </c>
    </row>
    <row r="16" spans="4:149" ht="15">
      <c r="D16" s="1221"/>
      <c r="E16" s="1223">
        <v>42309</v>
      </c>
      <c r="F16" s="1423"/>
      <c r="G16" s="1374">
        <v>19653</v>
      </c>
      <c r="H16" s="1423"/>
      <c r="I16" s="1423">
        <v>15499828</v>
      </c>
      <c r="J16" s="1423">
        <v>15499828</v>
      </c>
      <c r="K16" s="1423"/>
      <c r="L16" s="1423"/>
      <c r="M16" s="1423">
        <v>461936</v>
      </c>
      <c r="N16" s="1423">
        <v>461936</v>
      </c>
      <c r="O16" s="1423">
        <v>461936</v>
      </c>
      <c r="P16" s="1423"/>
      <c r="Q16" s="1423">
        <v>0</v>
      </c>
      <c r="R16" s="1423"/>
      <c r="S16" s="1423"/>
      <c r="T16" s="1423">
        <v>0</v>
      </c>
      <c r="U16" s="1423"/>
      <c r="V16" s="1423"/>
      <c r="W16" s="1423"/>
      <c r="X16" s="1423">
        <v>0</v>
      </c>
      <c r="Y16" s="1423">
        <v>0</v>
      </c>
      <c r="Z16" s="1423"/>
      <c r="AA16" s="1423"/>
      <c r="AB16" s="1423">
        <v>0</v>
      </c>
      <c r="AC16" s="1423"/>
      <c r="AD16" s="1423"/>
      <c r="AE16" s="1423"/>
      <c r="AF16" s="1423">
        <v>0</v>
      </c>
      <c r="AG16" s="1423"/>
      <c r="AH16" s="1423"/>
      <c r="AI16" s="1423"/>
      <c r="AJ16" s="1423"/>
      <c r="AK16" s="1423">
        <v>0</v>
      </c>
      <c r="AL16" s="1423"/>
      <c r="AM16" s="1423"/>
      <c r="AN16" s="1423"/>
      <c r="AO16" s="1423">
        <v>2726667</v>
      </c>
      <c r="AP16" s="1423">
        <v>2057550</v>
      </c>
      <c r="AQ16" s="1423">
        <v>669117</v>
      </c>
      <c r="AR16" s="1423">
        <v>669117</v>
      </c>
      <c r="AS16" s="1423"/>
      <c r="AT16" s="1423"/>
      <c r="AU16" s="1423"/>
      <c r="AV16" s="1423"/>
      <c r="AW16" s="1423"/>
      <c r="AX16" s="1423"/>
      <c r="AY16" s="1423">
        <v>14983634</v>
      </c>
      <c r="AZ16" s="1423">
        <v>0</v>
      </c>
      <c r="BA16" s="1423"/>
      <c r="BB16" s="1423"/>
      <c r="BC16" s="1423"/>
      <c r="BD16" s="1423">
        <v>14983634</v>
      </c>
      <c r="BE16" s="1423">
        <v>0</v>
      </c>
      <c r="BF16" s="1423"/>
      <c r="BG16" s="1423"/>
      <c r="BH16" s="1423"/>
      <c r="BI16" s="1423"/>
      <c r="BJ16" s="1423"/>
      <c r="BK16" s="1423"/>
      <c r="BL16" s="1423">
        <v>0</v>
      </c>
      <c r="BM16" s="1423">
        <v>0</v>
      </c>
      <c r="BN16" s="1423"/>
      <c r="BO16" s="1423"/>
      <c r="BP16" s="1423"/>
      <c r="BQ16" s="1423"/>
      <c r="BR16" s="1423"/>
      <c r="BS16" s="1423"/>
      <c r="BT16" s="1423">
        <v>0</v>
      </c>
      <c r="BU16" s="1423">
        <v>0</v>
      </c>
      <c r="BV16" s="1423"/>
      <c r="BW16" s="1423"/>
      <c r="BX16" s="1423"/>
      <c r="BY16" s="1423"/>
      <c r="BZ16" s="1423"/>
      <c r="CA16" s="1423"/>
      <c r="CB16" s="1423"/>
      <c r="CC16" s="1423">
        <v>199521</v>
      </c>
      <c r="CD16" s="1423">
        <v>199521</v>
      </c>
      <c r="CE16" s="1423"/>
      <c r="CF16" s="1423">
        <v>199521</v>
      </c>
      <c r="CG16" s="1423"/>
      <c r="CH16" s="1423"/>
      <c r="CI16" s="1423"/>
      <c r="CJ16" s="1423">
        <v>0</v>
      </c>
      <c r="CK16" s="1423"/>
      <c r="CL16" s="1423"/>
      <c r="CM16" s="1423"/>
      <c r="CN16" s="1423"/>
      <c r="CO16" s="1423"/>
      <c r="CP16" s="1423"/>
      <c r="CQ16" s="1423">
        <v>0</v>
      </c>
      <c r="CR16" s="1423"/>
      <c r="CS16" s="1423"/>
      <c r="CT16" s="1423"/>
      <c r="CU16" s="1423">
        <v>69473323</v>
      </c>
      <c r="CV16" s="1423">
        <v>61726323</v>
      </c>
      <c r="CW16" s="1423">
        <v>7747000</v>
      </c>
      <c r="CX16" s="1423"/>
      <c r="CY16" s="1423">
        <v>0</v>
      </c>
      <c r="CZ16" s="1423"/>
      <c r="DA16" s="1423">
        <v>0</v>
      </c>
      <c r="DB16" s="1423"/>
      <c r="DC16" s="1423"/>
      <c r="DD16" s="1423"/>
      <c r="DE16" s="1423">
        <v>0</v>
      </c>
      <c r="DF16" s="1423"/>
      <c r="DG16" s="1423"/>
      <c r="DH16" s="1423"/>
      <c r="DI16" s="1423">
        <v>0</v>
      </c>
      <c r="DJ16" s="1423"/>
      <c r="DK16" s="1423"/>
      <c r="DL16" s="1423"/>
      <c r="DM16" s="1423"/>
      <c r="DN16" s="1423">
        <v>0</v>
      </c>
      <c r="DO16" s="1423"/>
      <c r="DP16" s="1423">
        <v>0</v>
      </c>
      <c r="DQ16" s="1423"/>
      <c r="DR16" s="1423"/>
      <c r="DS16" s="1423"/>
      <c r="DT16" s="1423">
        <v>0</v>
      </c>
      <c r="DU16" s="1423"/>
      <c r="DV16" s="1423"/>
      <c r="DW16" s="1423"/>
      <c r="DX16" s="1423"/>
      <c r="DY16" s="1423">
        <v>1600534</v>
      </c>
      <c r="DZ16" s="1423"/>
      <c r="EA16" s="1423">
        <v>11654</v>
      </c>
      <c r="EB16" s="1423">
        <v>209002</v>
      </c>
      <c r="EC16" s="1423"/>
      <c r="ED16" s="1423">
        <v>1354459</v>
      </c>
      <c r="EE16" s="1423">
        <v>25419</v>
      </c>
      <c r="EF16" s="1423"/>
      <c r="EG16" s="1423"/>
      <c r="EH16" s="1423">
        <v>8151882</v>
      </c>
      <c r="EI16" s="1423">
        <v>1621717</v>
      </c>
      <c r="EJ16" s="1423">
        <v>5565074</v>
      </c>
      <c r="EK16" s="1423">
        <v>965091</v>
      </c>
      <c r="EL16" s="1423"/>
      <c r="EM16" s="1423">
        <v>16127480</v>
      </c>
      <c r="EN16" s="1423"/>
      <c r="EO16" s="1423"/>
      <c r="EP16" s="1423"/>
      <c r="EQ16" s="1423"/>
      <c r="ER16" s="1423"/>
      <c r="ES16" s="1423">
        <v>129244458</v>
      </c>
    </row>
    <row r="17" spans="5:149" ht="15">
      <c r="E17" s="1223">
        <v>42339</v>
      </c>
      <c r="F17" s="1423"/>
      <c r="G17" s="1374">
        <v>30087</v>
      </c>
      <c r="H17" s="1423"/>
      <c r="I17" s="1423">
        <v>161686</v>
      </c>
      <c r="J17" s="1423">
        <v>161686</v>
      </c>
      <c r="K17" s="1423"/>
      <c r="L17" s="1423"/>
      <c r="M17" s="1423">
        <v>136940</v>
      </c>
      <c r="N17" s="1423">
        <v>136940</v>
      </c>
      <c r="O17" s="1423">
        <v>136940</v>
      </c>
      <c r="P17" s="1423"/>
      <c r="Q17" s="1423">
        <v>0</v>
      </c>
      <c r="R17" s="1423"/>
      <c r="S17" s="1423"/>
      <c r="T17" s="1423">
        <v>0</v>
      </c>
      <c r="U17" s="1423"/>
      <c r="V17" s="1423"/>
      <c r="W17" s="1423"/>
      <c r="X17" s="1423">
        <v>0</v>
      </c>
      <c r="Y17" s="1423">
        <v>0</v>
      </c>
      <c r="Z17" s="1423"/>
      <c r="AA17" s="1423"/>
      <c r="AB17" s="1423">
        <v>0</v>
      </c>
      <c r="AC17" s="1423"/>
      <c r="AD17" s="1423"/>
      <c r="AE17" s="1423"/>
      <c r="AF17" s="1423">
        <v>0</v>
      </c>
      <c r="AG17" s="1423"/>
      <c r="AH17" s="1423"/>
      <c r="AI17" s="1423"/>
      <c r="AJ17" s="1423"/>
      <c r="AK17" s="1423">
        <v>0</v>
      </c>
      <c r="AL17" s="1423"/>
      <c r="AM17" s="1423"/>
      <c r="AN17" s="1423"/>
      <c r="AO17" s="1423">
        <v>3257803</v>
      </c>
      <c r="AP17" s="1423">
        <v>2719845</v>
      </c>
      <c r="AQ17" s="1423">
        <v>537958</v>
      </c>
      <c r="AR17" s="1423">
        <v>537958</v>
      </c>
      <c r="AS17" s="1423"/>
      <c r="AT17" s="1423"/>
      <c r="AU17" s="1423"/>
      <c r="AV17" s="1423"/>
      <c r="AW17" s="1423"/>
      <c r="AX17" s="1423"/>
      <c r="AY17" s="1423">
        <v>36483634</v>
      </c>
      <c r="AZ17" s="1423">
        <v>0</v>
      </c>
      <c r="BA17" s="1423"/>
      <c r="BB17" s="1423"/>
      <c r="BC17" s="1423"/>
      <c r="BD17" s="1423">
        <v>36483634</v>
      </c>
      <c r="BE17" s="1423">
        <v>0</v>
      </c>
      <c r="BF17" s="1423"/>
      <c r="BG17" s="1423"/>
      <c r="BH17" s="1423"/>
      <c r="BI17" s="1423"/>
      <c r="BJ17" s="1423"/>
      <c r="BK17" s="1423"/>
      <c r="BL17" s="1423">
        <v>0</v>
      </c>
      <c r="BM17" s="1423">
        <v>0</v>
      </c>
      <c r="BN17" s="1423"/>
      <c r="BO17" s="1423"/>
      <c r="BP17" s="1423"/>
      <c r="BQ17" s="1423"/>
      <c r="BR17" s="1423"/>
      <c r="BS17" s="1423"/>
      <c r="BT17" s="1423">
        <v>0</v>
      </c>
      <c r="BU17" s="1423">
        <v>0</v>
      </c>
      <c r="BV17" s="1423"/>
      <c r="BW17" s="1423"/>
      <c r="BX17" s="1423"/>
      <c r="BY17" s="1423"/>
      <c r="BZ17" s="1423"/>
      <c r="CA17" s="1423"/>
      <c r="CB17" s="1423"/>
      <c r="CC17" s="1423">
        <v>199939</v>
      </c>
      <c r="CD17" s="1423">
        <v>199939</v>
      </c>
      <c r="CE17" s="1423"/>
      <c r="CF17" s="1423">
        <v>199939</v>
      </c>
      <c r="CG17" s="1423"/>
      <c r="CH17" s="1423"/>
      <c r="CI17" s="1423"/>
      <c r="CJ17" s="1423">
        <v>0</v>
      </c>
      <c r="CK17" s="1423"/>
      <c r="CL17" s="1423"/>
      <c r="CM17" s="1423"/>
      <c r="CN17" s="1423"/>
      <c r="CO17" s="1423"/>
      <c r="CP17" s="1423"/>
      <c r="CQ17" s="1423">
        <v>5000000</v>
      </c>
      <c r="CR17" s="1423"/>
      <c r="CS17" s="1423">
        <v>5000000</v>
      </c>
      <c r="CT17" s="1423"/>
      <c r="CU17" s="1423">
        <v>70891026</v>
      </c>
      <c r="CV17" s="1423">
        <v>63732968</v>
      </c>
      <c r="CW17" s="1423">
        <v>7158058</v>
      </c>
      <c r="CX17" s="1423"/>
      <c r="CY17" s="1423">
        <v>0</v>
      </c>
      <c r="CZ17" s="1423"/>
      <c r="DA17" s="1423">
        <v>0</v>
      </c>
      <c r="DB17" s="1423"/>
      <c r="DC17" s="1423"/>
      <c r="DD17" s="1423"/>
      <c r="DE17" s="1423">
        <v>0</v>
      </c>
      <c r="DF17" s="1423"/>
      <c r="DG17" s="1423"/>
      <c r="DH17" s="1423"/>
      <c r="DI17" s="1423">
        <v>0</v>
      </c>
      <c r="DJ17" s="1423"/>
      <c r="DK17" s="1423"/>
      <c r="DL17" s="1423"/>
      <c r="DM17" s="1423"/>
      <c r="DN17" s="1423">
        <v>0</v>
      </c>
      <c r="DO17" s="1423"/>
      <c r="DP17" s="1423">
        <v>0</v>
      </c>
      <c r="DQ17" s="1423"/>
      <c r="DR17" s="1423"/>
      <c r="DS17" s="1423"/>
      <c r="DT17" s="1423">
        <v>0</v>
      </c>
      <c r="DU17" s="1423"/>
      <c r="DV17" s="1423"/>
      <c r="DW17" s="1423"/>
      <c r="DX17" s="1423"/>
      <c r="DY17" s="1423">
        <v>1619018</v>
      </c>
      <c r="DZ17" s="1423"/>
      <c r="EA17" s="1423">
        <v>11338</v>
      </c>
      <c r="EB17" s="1423">
        <v>201484</v>
      </c>
      <c r="EC17" s="1423"/>
      <c r="ED17" s="1423">
        <v>1379951</v>
      </c>
      <c r="EE17" s="1423">
        <v>26245</v>
      </c>
      <c r="EF17" s="1423"/>
      <c r="EG17" s="1423"/>
      <c r="EH17" s="1423">
        <v>8066384</v>
      </c>
      <c r="EI17" s="1423">
        <v>1618885</v>
      </c>
      <c r="EJ17" s="1423">
        <v>5511316</v>
      </c>
      <c r="EK17" s="1423">
        <v>936183</v>
      </c>
      <c r="EL17" s="1423"/>
      <c r="EM17" s="1423">
        <v>17633992</v>
      </c>
      <c r="EN17" s="1423"/>
      <c r="EO17" s="1423"/>
      <c r="EP17" s="1423"/>
      <c r="EQ17" s="1423"/>
      <c r="ER17" s="1423"/>
      <c r="ES17" s="1423">
        <v>143480509</v>
      </c>
    </row>
    <row r="18" spans="5:149" ht="15">
      <c r="E18" s="1223"/>
      <c r="F18" s="1423"/>
      <c r="G18" s="1374"/>
      <c r="H18" s="1423"/>
      <c r="I18" s="1423"/>
      <c r="J18" s="1423"/>
      <c r="K18" s="1423"/>
      <c r="L18" s="1423"/>
      <c r="M18" s="1423"/>
      <c r="N18" s="1423"/>
      <c r="O18" s="1423"/>
      <c r="P18" s="1423"/>
      <c r="Q18" s="1423"/>
      <c r="R18" s="1423"/>
      <c r="S18" s="1423"/>
      <c r="T18" s="1423"/>
      <c r="U18" s="1423"/>
      <c r="V18" s="1423"/>
      <c r="W18" s="1423"/>
      <c r="X18" s="1423"/>
      <c r="Y18" s="1423"/>
      <c r="Z18" s="1423"/>
      <c r="AA18" s="1423"/>
      <c r="AB18" s="1423"/>
      <c r="AC18" s="1423"/>
      <c r="AD18" s="1423"/>
      <c r="AE18" s="1423"/>
      <c r="AF18" s="1423"/>
      <c r="AG18" s="1423"/>
      <c r="AH18" s="1423"/>
      <c r="AI18" s="1423"/>
      <c r="AJ18" s="1423"/>
      <c r="AK18" s="1423"/>
      <c r="AL18" s="1423"/>
      <c r="AM18" s="1423"/>
      <c r="AN18" s="1423"/>
      <c r="AO18" s="1423"/>
      <c r="AP18" s="1423"/>
      <c r="AQ18" s="1423"/>
      <c r="AR18" s="1423"/>
      <c r="AS18" s="1423"/>
      <c r="AT18" s="1423"/>
      <c r="AU18" s="1423"/>
      <c r="AV18" s="1423"/>
      <c r="AW18" s="1423"/>
      <c r="AX18" s="1423"/>
      <c r="AY18" s="1423"/>
      <c r="AZ18" s="1423"/>
      <c r="BA18" s="1423"/>
      <c r="BB18" s="1423"/>
      <c r="BC18" s="1423"/>
      <c r="BD18" s="1423"/>
      <c r="BE18" s="1423"/>
      <c r="BF18" s="1423"/>
      <c r="BG18" s="1423"/>
      <c r="BH18" s="1423"/>
      <c r="BI18" s="1423"/>
      <c r="BJ18" s="1423"/>
      <c r="BK18" s="1423"/>
      <c r="BL18" s="1423"/>
      <c r="BM18" s="1423"/>
      <c r="BN18" s="1423"/>
      <c r="BO18" s="1423"/>
      <c r="BP18" s="1423"/>
      <c r="BQ18" s="1423"/>
      <c r="BR18" s="1423"/>
      <c r="BS18" s="1423"/>
      <c r="BT18" s="1423"/>
      <c r="BU18" s="1423"/>
      <c r="BV18" s="1423"/>
      <c r="BW18" s="1423"/>
      <c r="BX18" s="1423"/>
      <c r="BY18" s="1423"/>
      <c r="BZ18" s="1423"/>
      <c r="CA18" s="1423"/>
      <c r="CB18" s="1423"/>
      <c r="CC18" s="1423"/>
      <c r="CD18" s="1423"/>
      <c r="CE18" s="1423"/>
      <c r="CF18" s="1423"/>
      <c r="CG18" s="1423"/>
      <c r="CH18" s="1423"/>
      <c r="CI18" s="1423"/>
      <c r="CJ18" s="1423"/>
      <c r="CK18" s="1423"/>
      <c r="CL18" s="1423"/>
      <c r="CM18" s="1423"/>
      <c r="CN18" s="1423"/>
      <c r="CO18" s="1423"/>
      <c r="CP18" s="1423"/>
      <c r="CQ18" s="1423"/>
      <c r="CR18" s="1423"/>
      <c r="CS18" s="1423"/>
      <c r="CT18" s="1423"/>
      <c r="CU18" s="1423"/>
      <c r="CV18" s="1423"/>
      <c r="CW18" s="1423"/>
      <c r="CX18" s="1423"/>
      <c r="CY18" s="1423"/>
      <c r="CZ18" s="1423"/>
      <c r="DA18" s="1423"/>
      <c r="DB18" s="1423"/>
      <c r="DC18" s="1423"/>
      <c r="DD18" s="1423"/>
      <c r="DE18" s="1423"/>
      <c r="DF18" s="1423"/>
      <c r="DG18" s="1423"/>
      <c r="DH18" s="1423"/>
      <c r="DI18" s="1423"/>
      <c r="DJ18" s="1423"/>
      <c r="DK18" s="1423"/>
      <c r="DL18" s="1423"/>
      <c r="DM18" s="1423"/>
      <c r="DN18" s="1423"/>
      <c r="DO18" s="1423"/>
      <c r="DP18" s="1423"/>
      <c r="DQ18" s="1423"/>
      <c r="DR18" s="1423"/>
      <c r="DS18" s="1423"/>
      <c r="DT18" s="1423"/>
      <c r="DU18" s="1423"/>
      <c r="DV18" s="1423"/>
      <c r="DW18" s="1423"/>
      <c r="DX18" s="1423"/>
      <c r="DY18" s="1423"/>
      <c r="DZ18" s="1423"/>
      <c r="EA18" s="1423"/>
      <c r="EB18" s="1423"/>
      <c r="EC18" s="1423"/>
      <c r="ED18" s="1423"/>
      <c r="EE18" s="1423"/>
      <c r="EF18" s="1423"/>
      <c r="EG18" s="1423"/>
      <c r="EH18" s="1423"/>
      <c r="EI18" s="1423"/>
      <c r="EJ18" s="1423"/>
      <c r="EK18" s="1423"/>
      <c r="EL18" s="1423"/>
      <c r="EM18" s="1423"/>
      <c r="EN18" s="1423"/>
      <c r="EO18" s="1423"/>
      <c r="EP18" s="1423"/>
      <c r="EQ18" s="1423"/>
      <c r="ER18" s="1423"/>
      <c r="ES18" s="1423"/>
    </row>
    <row r="19" spans="5:149" ht="15">
      <c r="E19" s="1223"/>
      <c r="F19" s="1423"/>
      <c r="G19" s="1374"/>
      <c r="H19" s="1423"/>
      <c r="I19" s="1423"/>
      <c r="J19" s="1423"/>
      <c r="K19" s="1423"/>
      <c r="L19" s="1423"/>
      <c r="M19" s="1423"/>
      <c r="N19" s="1423"/>
      <c r="O19" s="1423"/>
      <c r="P19" s="1423"/>
      <c r="Q19" s="1423"/>
      <c r="R19" s="1423"/>
      <c r="S19" s="1423"/>
      <c r="T19" s="1423"/>
      <c r="U19" s="1423"/>
      <c r="V19" s="1423"/>
      <c r="W19" s="1423"/>
      <c r="X19" s="1423"/>
      <c r="Y19" s="1423"/>
      <c r="Z19" s="1423"/>
      <c r="AA19" s="1423"/>
      <c r="AB19" s="1423"/>
      <c r="AC19" s="1423"/>
      <c r="AD19" s="1423"/>
      <c r="AE19" s="1423"/>
      <c r="AF19" s="1423"/>
      <c r="AG19" s="1423"/>
      <c r="AH19" s="1423"/>
      <c r="AI19" s="1423"/>
      <c r="AJ19" s="1423"/>
      <c r="AK19" s="1423"/>
      <c r="AL19" s="1423"/>
      <c r="AM19" s="1423"/>
      <c r="AN19" s="1423"/>
      <c r="AO19" s="1423"/>
      <c r="AP19" s="1423"/>
      <c r="AQ19" s="1423"/>
      <c r="AR19" s="1423"/>
      <c r="AS19" s="1423"/>
      <c r="AT19" s="1423"/>
      <c r="AU19" s="1423"/>
      <c r="AV19" s="1423"/>
      <c r="AW19" s="1423"/>
      <c r="AX19" s="1423"/>
      <c r="AY19" s="1423"/>
      <c r="AZ19" s="1423"/>
      <c r="BA19" s="1423"/>
      <c r="BB19" s="1423"/>
      <c r="BC19" s="1423"/>
      <c r="BD19" s="1423"/>
      <c r="BE19" s="1423"/>
      <c r="BF19" s="1423"/>
      <c r="BG19" s="1423"/>
      <c r="BH19" s="1423"/>
      <c r="BI19" s="1423"/>
      <c r="BJ19" s="1423"/>
      <c r="BK19" s="1423"/>
      <c r="BL19" s="1423"/>
      <c r="BM19" s="1423"/>
      <c r="BN19" s="1423"/>
      <c r="BO19" s="1423"/>
      <c r="BP19" s="1423"/>
      <c r="BQ19" s="1423"/>
      <c r="BR19" s="1423"/>
      <c r="BS19" s="1423"/>
      <c r="BT19" s="1423"/>
      <c r="BU19" s="1423"/>
      <c r="BV19" s="1423"/>
      <c r="BW19" s="1423"/>
      <c r="BX19" s="1423"/>
      <c r="BY19" s="1423"/>
      <c r="BZ19" s="1423"/>
      <c r="CA19" s="1423"/>
      <c r="CB19" s="1423"/>
      <c r="CC19" s="1423"/>
      <c r="CD19" s="1423"/>
      <c r="CE19" s="1423"/>
      <c r="CF19" s="1423"/>
      <c r="CG19" s="1423"/>
      <c r="CH19" s="1423"/>
      <c r="CI19" s="1423"/>
      <c r="CJ19" s="1423"/>
      <c r="CK19" s="1423"/>
      <c r="CL19" s="1423"/>
      <c r="CM19" s="1423"/>
      <c r="CN19" s="1423"/>
      <c r="CO19" s="1423"/>
      <c r="CP19" s="1423"/>
      <c r="CQ19" s="1423"/>
      <c r="CR19" s="1423"/>
      <c r="CS19" s="1423"/>
      <c r="CT19" s="1423"/>
      <c r="CU19" s="1423"/>
      <c r="CV19" s="1423"/>
      <c r="CW19" s="1423"/>
      <c r="CX19" s="1423"/>
      <c r="CY19" s="1423"/>
      <c r="CZ19" s="1423"/>
      <c r="DA19" s="1423"/>
      <c r="DB19" s="1423"/>
      <c r="DC19" s="1423"/>
      <c r="DD19" s="1423"/>
      <c r="DE19" s="1423"/>
      <c r="DF19" s="1423"/>
      <c r="DG19" s="1423"/>
      <c r="DH19" s="1423"/>
      <c r="DI19" s="1423"/>
      <c r="DJ19" s="1423"/>
      <c r="DK19" s="1423"/>
      <c r="DL19" s="1423"/>
      <c r="DM19" s="1423"/>
      <c r="DN19" s="1423"/>
      <c r="DO19" s="1423"/>
      <c r="DP19" s="1423"/>
      <c r="DQ19" s="1423"/>
      <c r="DR19" s="1423"/>
      <c r="DS19" s="1423"/>
      <c r="DT19" s="1423"/>
      <c r="DU19" s="1423"/>
      <c r="DV19" s="1423"/>
      <c r="DW19" s="1423"/>
      <c r="DX19" s="1423"/>
      <c r="DY19" s="1423"/>
      <c r="DZ19" s="1423"/>
      <c r="EA19" s="1423"/>
      <c r="EB19" s="1423"/>
      <c r="EC19" s="1423"/>
      <c r="ED19" s="1423"/>
      <c r="EE19" s="1423"/>
      <c r="EF19" s="1423"/>
      <c r="EG19" s="1423"/>
      <c r="EH19" s="1423"/>
      <c r="EI19" s="1423"/>
      <c r="EJ19" s="1423"/>
      <c r="EK19" s="1423"/>
      <c r="EL19" s="1423"/>
      <c r="EM19" s="1423"/>
      <c r="EN19" s="1423"/>
      <c r="EO19" s="1423"/>
      <c r="EP19" s="1423"/>
      <c r="EQ19" s="1423"/>
      <c r="ER19" s="1423"/>
      <c r="ES19" s="1423"/>
    </row>
    <row r="20" spans="5:149" ht="15">
      <c r="E20" s="1223">
        <v>42370</v>
      </c>
      <c r="F20" s="1423"/>
      <c r="G20" s="1374">
        <v>38626</v>
      </c>
      <c r="H20" s="1423"/>
      <c r="I20" s="1423">
        <v>12260533</v>
      </c>
      <c r="J20" s="1423">
        <v>12260533</v>
      </c>
      <c r="K20" s="1423"/>
      <c r="L20" s="1423"/>
      <c r="M20" s="1423">
        <v>453188</v>
      </c>
      <c r="N20" s="1423">
        <v>453188</v>
      </c>
      <c r="O20" s="1423">
        <v>453188</v>
      </c>
      <c r="P20" s="1423"/>
      <c r="Q20" s="1423">
        <v>0</v>
      </c>
      <c r="R20" s="1423"/>
      <c r="S20" s="1423"/>
      <c r="T20" s="1423">
        <v>0</v>
      </c>
      <c r="U20" s="1423"/>
      <c r="V20" s="1423"/>
      <c r="W20" s="1423"/>
      <c r="X20" s="1423">
        <v>0</v>
      </c>
      <c r="Y20" s="1423">
        <v>0</v>
      </c>
      <c r="Z20" s="1423"/>
      <c r="AA20" s="1423"/>
      <c r="AB20" s="1423">
        <v>0</v>
      </c>
      <c r="AC20" s="1423"/>
      <c r="AD20" s="1423"/>
      <c r="AE20" s="1423"/>
      <c r="AF20" s="1423">
        <v>0</v>
      </c>
      <c r="AG20" s="1423"/>
      <c r="AH20" s="1423"/>
      <c r="AI20" s="1423"/>
      <c r="AJ20" s="1423"/>
      <c r="AK20" s="1423">
        <v>0</v>
      </c>
      <c r="AL20" s="1423"/>
      <c r="AM20" s="1423"/>
      <c r="AN20" s="1423"/>
      <c r="AO20" s="1423">
        <v>4175636</v>
      </c>
      <c r="AP20" s="1423">
        <v>3811005</v>
      </c>
      <c r="AQ20" s="1423">
        <v>364631</v>
      </c>
      <c r="AR20" s="1423">
        <v>364631</v>
      </c>
      <c r="AS20" s="1423"/>
      <c r="AT20" s="1423"/>
      <c r="AU20" s="1423"/>
      <c r="AV20" s="1423"/>
      <c r="AW20" s="1423"/>
      <c r="AX20" s="1423"/>
      <c r="AY20" s="1423">
        <v>30867591</v>
      </c>
      <c r="AZ20" s="1423">
        <v>0</v>
      </c>
      <c r="BA20" s="1423"/>
      <c r="BB20" s="1423"/>
      <c r="BC20" s="1423"/>
      <c r="BD20" s="1423">
        <v>30867591</v>
      </c>
      <c r="BE20" s="1423">
        <v>0</v>
      </c>
      <c r="BF20" s="1423"/>
      <c r="BG20" s="1423"/>
      <c r="BH20" s="1423"/>
      <c r="BI20" s="1423"/>
      <c r="BJ20" s="1423"/>
      <c r="BK20" s="1423"/>
      <c r="BL20" s="1423">
        <v>0</v>
      </c>
      <c r="BM20" s="1423">
        <v>0</v>
      </c>
      <c r="BN20" s="1423"/>
      <c r="BO20" s="1423"/>
      <c r="BP20" s="1423"/>
      <c r="BQ20" s="1423"/>
      <c r="BR20" s="1423"/>
      <c r="BS20" s="1423"/>
      <c r="BT20" s="1423">
        <v>0</v>
      </c>
      <c r="BU20" s="1423">
        <v>0</v>
      </c>
      <c r="BV20" s="1423"/>
      <c r="BW20" s="1423"/>
      <c r="BX20" s="1423"/>
      <c r="BY20" s="1423"/>
      <c r="BZ20" s="1423"/>
      <c r="CA20" s="1423"/>
      <c r="CB20" s="1423"/>
      <c r="CC20" s="1423">
        <v>197819</v>
      </c>
      <c r="CD20" s="1423">
        <v>197819</v>
      </c>
      <c r="CE20" s="1423"/>
      <c r="CF20" s="1423">
        <v>197819</v>
      </c>
      <c r="CG20" s="1423"/>
      <c r="CH20" s="1423"/>
      <c r="CI20" s="1423"/>
      <c r="CJ20" s="1423">
        <v>0</v>
      </c>
      <c r="CK20" s="1423"/>
      <c r="CL20" s="1423"/>
      <c r="CM20" s="1423"/>
      <c r="CN20" s="1423"/>
      <c r="CO20" s="1423"/>
      <c r="CP20" s="1423"/>
      <c r="CQ20" s="1423">
        <v>5000000</v>
      </c>
      <c r="CR20" s="1423"/>
      <c r="CS20" s="1423">
        <v>5000000</v>
      </c>
      <c r="CT20" s="1423"/>
      <c r="CU20" s="1423">
        <v>68807330</v>
      </c>
      <c r="CV20" s="1423">
        <v>61954303</v>
      </c>
      <c r="CW20" s="1423">
        <v>6853027</v>
      </c>
      <c r="CX20" s="1423"/>
      <c r="CY20" s="1423">
        <v>0</v>
      </c>
      <c r="CZ20" s="1423"/>
      <c r="DA20" s="1423">
        <v>0</v>
      </c>
      <c r="DB20" s="1423"/>
      <c r="DC20" s="1423"/>
      <c r="DD20" s="1423"/>
      <c r="DE20" s="1423">
        <v>0</v>
      </c>
      <c r="DF20" s="1423"/>
      <c r="DG20" s="1423"/>
      <c r="DH20" s="1423"/>
      <c r="DI20" s="1423">
        <v>0</v>
      </c>
      <c r="DJ20" s="1423"/>
      <c r="DK20" s="1423"/>
      <c r="DL20" s="1423"/>
      <c r="DM20" s="1423"/>
      <c r="DN20" s="1423">
        <v>0</v>
      </c>
      <c r="DO20" s="1423"/>
      <c r="DP20" s="1423">
        <v>0</v>
      </c>
      <c r="DQ20" s="1423"/>
      <c r="DR20" s="1423"/>
      <c r="DS20" s="1423"/>
      <c r="DT20" s="1423">
        <v>0</v>
      </c>
      <c r="DU20" s="1423"/>
      <c r="DV20" s="1423"/>
      <c r="DW20" s="1423"/>
      <c r="DX20" s="1423"/>
      <c r="DY20" s="1423">
        <v>1520077</v>
      </c>
      <c r="DZ20" s="1423"/>
      <c r="EA20" s="1423">
        <v>1520</v>
      </c>
      <c r="EB20" s="1423">
        <v>168380</v>
      </c>
      <c r="EC20" s="1423"/>
      <c r="ED20" s="1423">
        <v>1323977</v>
      </c>
      <c r="EE20" s="1423">
        <v>26200</v>
      </c>
      <c r="EF20" s="1423"/>
      <c r="EG20" s="1423"/>
      <c r="EH20" s="1423">
        <v>8429412</v>
      </c>
      <c r="EI20" s="1423">
        <v>2019656</v>
      </c>
      <c r="EJ20" s="1423">
        <v>5502482</v>
      </c>
      <c r="EK20" s="1423">
        <v>907274</v>
      </c>
      <c r="EL20" s="1423"/>
      <c r="EM20" s="1423">
        <v>16766364</v>
      </c>
      <c r="EN20" s="1423"/>
      <c r="EO20" s="1423"/>
      <c r="EP20" s="1423"/>
      <c r="EQ20" s="1423"/>
      <c r="ER20" s="1423"/>
      <c r="ES20" s="1423">
        <v>148516576</v>
      </c>
    </row>
    <row r="21" spans="5:149" ht="15">
      <c r="E21" s="1223">
        <v>42401</v>
      </c>
      <c r="F21" s="1423"/>
      <c r="G21" s="1374">
        <v>29353</v>
      </c>
      <c r="H21" s="1423"/>
      <c r="I21" s="1423">
        <v>9138731</v>
      </c>
      <c r="J21" s="1423">
        <v>9138731</v>
      </c>
      <c r="K21" s="1423"/>
      <c r="L21" s="1423"/>
      <c r="M21" s="1423">
        <v>983586</v>
      </c>
      <c r="N21" s="1423">
        <v>983586</v>
      </c>
      <c r="O21" s="1423">
        <v>983586</v>
      </c>
      <c r="P21" s="1423"/>
      <c r="Q21" s="1423">
        <v>0</v>
      </c>
      <c r="R21" s="1423"/>
      <c r="S21" s="1423"/>
      <c r="T21" s="1423">
        <v>0</v>
      </c>
      <c r="U21" s="1423"/>
      <c r="V21" s="1423"/>
      <c r="W21" s="1423"/>
      <c r="X21" s="1423">
        <v>0</v>
      </c>
      <c r="Y21" s="1423">
        <v>0</v>
      </c>
      <c r="Z21" s="1423"/>
      <c r="AA21" s="1423"/>
      <c r="AB21" s="1423">
        <v>0</v>
      </c>
      <c r="AC21" s="1423"/>
      <c r="AD21" s="1423"/>
      <c r="AE21" s="1423"/>
      <c r="AF21" s="1423">
        <v>0</v>
      </c>
      <c r="AG21" s="1423"/>
      <c r="AH21" s="1423"/>
      <c r="AI21" s="1423"/>
      <c r="AJ21" s="1423"/>
      <c r="AK21" s="1423">
        <v>0</v>
      </c>
      <c r="AL21" s="1423"/>
      <c r="AM21" s="1423"/>
      <c r="AN21" s="1423"/>
      <c r="AO21" s="1423">
        <v>1756955</v>
      </c>
      <c r="AP21" s="1423">
        <v>1234501</v>
      </c>
      <c r="AQ21" s="1423">
        <v>522454</v>
      </c>
      <c r="AR21" s="1423">
        <v>522454</v>
      </c>
      <c r="AS21" s="1423"/>
      <c r="AT21" s="1423"/>
      <c r="AU21" s="1423"/>
      <c r="AV21" s="1423"/>
      <c r="AW21" s="1423"/>
      <c r="AX21" s="1423"/>
      <c r="AY21" s="1423">
        <v>35015318</v>
      </c>
      <c r="AZ21" s="1423">
        <v>0</v>
      </c>
      <c r="BA21" s="1423"/>
      <c r="BB21" s="1423"/>
      <c r="BC21" s="1423"/>
      <c r="BD21" s="1423">
        <v>35015318</v>
      </c>
      <c r="BE21" s="1423">
        <v>0</v>
      </c>
      <c r="BF21" s="1423"/>
      <c r="BG21" s="1423"/>
      <c r="BH21" s="1423"/>
      <c r="BI21" s="1423"/>
      <c r="BJ21" s="1423"/>
      <c r="BK21" s="1423"/>
      <c r="BL21" s="1423">
        <v>0</v>
      </c>
      <c r="BM21" s="1423">
        <v>0</v>
      </c>
      <c r="BN21" s="1423"/>
      <c r="BO21" s="1423"/>
      <c r="BP21" s="1423"/>
      <c r="BQ21" s="1423"/>
      <c r="BR21" s="1423"/>
      <c r="BS21" s="1423"/>
      <c r="BT21" s="1423">
        <v>0</v>
      </c>
      <c r="BU21" s="1423">
        <v>0</v>
      </c>
      <c r="BV21" s="1423"/>
      <c r="BW21" s="1423"/>
      <c r="BX21" s="1423"/>
      <c r="BY21" s="1423"/>
      <c r="BZ21" s="1423"/>
      <c r="CA21" s="1423"/>
      <c r="CB21" s="1423"/>
      <c r="CC21" s="1423">
        <v>0</v>
      </c>
      <c r="CD21" s="1423">
        <v>0</v>
      </c>
      <c r="CE21" s="1423"/>
      <c r="CF21" s="1423">
        <v>0</v>
      </c>
      <c r="CG21" s="1423"/>
      <c r="CH21" s="1423"/>
      <c r="CI21" s="1423"/>
      <c r="CJ21" s="1423">
        <v>0</v>
      </c>
      <c r="CK21" s="1423"/>
      <c r="CL21" s="1423"/>
      <c r="CM21" s="1423"/>
      <c r="CN21" s="1423"/>
      <c r="CO21" s="1423"/>
      <c r="CP21" s="1423"/>
      <c r="CQ21" s="1423">
        <v>6000000</v>
      </c>
      <c r="CR21" s="1423"/>
      <c r="CS21" s="1423">
        <v>6000000</v>
      </c>
      <c r="CT21" s="1423"/>
      <c r="CU21" s="1423">
        <v>68188613</v>
      </c>
      <c r="CV21" s="1423">
        <v>61408868</v>
      </c>
      <c r="CW21" s="1423">
        <v>6779745</v>
      </c>
      <c r="CX21" s="1423"/>
      <c r="CY21" s="1423">
        <v>0</v>
      </c>
      <c r="CZ21" s="1423"/>
      <c r="DA21" s="1423">
        <v>0</v>
      </c>
      <c r="DB21" s="1423"/>
      <c r="DC21" s="1423"/>
      <c r="DD21" s="1423"/>
      <c r="DE21" s="1423">
        <v>0</v>
      </c>
      <c r="DF21" s="1423"/>
      <c r="DG21" s="1423"/>
      <c r="DH21" s="1423"/>
      <c r="DI21" s="1423">
        <v>0</v>
      </c>
      <c r="DJ21" s="1423"/>
      <c r="DK21" s="1423"/>
      <c r="DL21" s="1423"/>
      <c r="DM21" s="1423"/>
      <c r="DN21" s="1423">
        <v>0</v>
      </c>
      <c r="DO21" s="1423"/>
      <c r="DP21" s="1423">
        <v>0</v>
      </c>
      <c r="DQ21" s="1423"/>
      <c r="DR21" s="1423"/>
      <c r="DS21" s="1423"/>
      <c r="DT21" s="1423">
        <v>0</v>
      </c>
      <c r="DU21" s="1423"/>
      <c r="DV21" s="1423"/>
      <c r="DW21" s="1423"/>
      <c r="DX21" s="1423"/>
      <c r="DY21" s="1423">
        <v>1480589</v>
      </c>
      <c r="DZ21" s="1423"/>
      <c r="EA21" s="1423">
        <v>1520</v>
      </c>
      <c r="EB21" s="1423">
        <v>178295</v>
      </c>
      <c r="EC21" s="1423"/>
      <c r="ED21" s="1423">
        <v>1274502</v>
      </c>
      <c r="EE21" s="1423">
        <v>26272</v>
      </c>
      <c r="EF21" s="1423"/>
      <c r="EG21" s="1423"/>
      <c r="EH21" s="1423">
        <v>8457319</v>
      </c>
      <c r="EI21" s="1423">
        <v>2016263</v>
      </c>
      <c r="EJ21" s="1423">
        <v>5562690</v>
      </c>
      <c r="EK21" s="1423">
        <v>878366</v>
      </c>
      <c r="EL21" s="1423"/>
      <c r="EM21" s="1423">
        <v>14882414</v>
      </c>
      <c r="EN21" s="1423"/>
      <c r="EO21" s="1423"/>
      <c r="EP21" s="1423"/>
      <c r="EQ21" s="1423"/>
      <c r="ER21" s="1423"/>
      <c r="ES21" s="1423">
        <v>145932878</v>
      </c>
    </row>
    <row r="22" spans="5:149" ht="15">
      <c r="E22" s="1223">
        <v>42430</v>
      </c>
      <c r="F22" s="1423"/>
      <c r="G22" s="1374">
        <v>23286</v>
      </c>
      <c r="H22" s="1423"/>
      <c r="I22" s="1423">
        <v>9017244</v>
      </c>
      <c r="J22" s="1423">
        <v>9017244</v>
      </c>
      <c r="K22" s="1423"/>
      <c r="L22" s="1423"/>
      <c r="M22" s="1423">
        <v>313644</v>
      </c>
      <c r="N22" s="1423">
        <v>313644</v>
      </c>
      <c r="O22" s="1423">
        <v>313644</v>
      </c>
      <c r="P22" s="1423"/>
      <c r="Q22" s="1423">
        <v>0</v>
      </c>
      <c r="R22" s="1423"/>
      <c r="S22" s="1423"/>
      <c r="T22" s="1423">
        <v>0</v>
      </c>
      <c r="U22" s="1423"/>
      <c r="V22" s="1423"/>
      <c r="W22" s="1423"/>
      <c r="X22" s="1423">
        <v>0</v>
      </c>
      <c r="Y22" s="1423">
        <v>0</v>
      </c>
      <c r="Z22" s="1423"/>
      <c r="AA22" s="1423"/>
      <c r="AB22" s="1423">
        <v>0</v>
      </c>
      <c r="AC22" s="1423"/>
      <c r="AD22" s="1423"/>
      <c r="AE22" s="1423"/>
      <c r="AF22" s="1423">
        <v>0</v>
      </c>
      <c r="AG22" s="1423"/>
      <c r="AH22" s="1423"/>
      <c r="AI22" s="1423"/>
      <c r="AJ22" s="1423"/>
      <c r="AK22" s="1423">
        <v>0</v>
      </c>
      <c r="AL22" s="1423"/>
      <c r="AM22" s="1423"/>
      <c r="AN22" s="1423"/>
      <c r="AO22" s="1423">
        <v>2089301</v>
      </c>
      <c r="AP22" s="1423">
        <v>1888548</v>
      </c>
      <c r="AQ22" s="1423">
        <v>200753</v>
      </c>
      <c r="AR22" s="1423">
        <v>200753</v>
      </c>
      <c r="AS22" s="1423"/>
      <c r="AT22" s="1423"/>
      <c r="AU22" s="1423"/>
      <c r="AV22" s="1423"/>
      <c r="AW22" s="1423"/>
      <c r="AX22" s="1423"/>
      <c r="AY22" s="1423">
        <v>30705318</v>
      </c>
      <c r="AZ22" s="1423">
        <v>0</v>
      </c>
      <c r="BA22" s="1423"/>
      <c r="BB22" s="1423"/>
      <c r="BC22" s="1423"/>
      <c r="BD22" s="1423">
        <v>30705318</v>
      </c>
      <c r="BE22" s="1423">
        <v>0</v>
      </c>
      <c r="BF22" s="1423"/>
      <c r="BG22" s="1423"/>
      <c r="BH22" s="1423"/>
      <c r="BI22" s="1423"/>
      <c r="BJ22" s="1423"/>
      <c r="BK22" s="1423"/>
      <c r="BL22" s="1423">
        <v>0</v>
      </c>
      <c r="BM22" s="1423">
        <v>0</v>
      </c>
      <c r="BN22" s="1423"/>
      <c r="BO22" s="1423"/>
      <c r="BP22" s="1423"/>
      <c r="BQ22" s="1423"/>
      <c r="BR22" s="1423"/>
      <c r="BS22" s="1423"/>
      <c r="BT22" s="1423">
        <v>0</v>
      </c>
      <c r="BU22" s="1423">
        <v>0</v>
      </c>
      <c r="BV22" s="1423"/>
      <c r="BW22" s="1423"/>
      <c r="BX22" s="1423"/>
      <c r="BY22" s="1423"/>
      <c r="BZ22" s="1423"/>
      <c r="CA22" s="1423"/>
      <c r="CB22" s="1423"/>
      <c r="CC22" s="1423">
        <v>0</v>
      </c>
      <c r="CD22" s="1423">
        <v>0</v>
      </c>
      <c r="CE22" s="1423"/>
      <c r="CF22" s="1423">
        <v>0</v>
      </c>
      <c r="CG22" s="1423"/>
      <c r="CH22" s="1423"/>
      <c r="CI22" s="1423"/>
      <c r="CJ22" s="1423">
        <v>0</v>
      </c>
      <c r="CK22" s="1423"/>
      <c r="CL22" s="1423"/>
      <c r="CM22" s="1423"/>
      <c r="CN22" s="1423"/>
      <c r="CO22" s="1423"/>
      <c r="CP22" s="1423"/>
      <c r="CQ22" s="1423">
        <v>5500000</v>
      </c>
      <c r="CR22" s="1423"/>
      <c r="CS22" s="1423">
        <v>5500000</v>
      </c>
      <c r="CT22" s="1423"/>
      <c r="CU22" s="1423">
        <v>67233399</v>
      </c>
      <c r="CV22" s="1423">
        <v>60566520</v>
      </c>
      <c r="CW22" s="1423">
        <v>6666879</v>
      </c>
      <c r="CX22" s="1423"/>
      <c r="CY22" s="1423">
        <v>0</v>
      </c>
      <c r="CZ22" s="1423"/>
      <c r="DA22" s="1423">
        <v>0</v>
      </c>
      <c r="DB22" s="1423"/>
      <c r="DC22" s="1423"/>
      <c r="DD22" s="1423"/>
      <c r="DE22" s="1423">
        <v>0</v>
      </c>
      <c r="DF22" s="1423"/>
      <c r="DG22" s="1423"/>
      <c r="DH22" s="1423"/>
      <c r="DI22" s="1423">
        <v>0</v>
      </c>
      <c r="DJ22" s="1423"/>
      <c r="DK22" s="1423"/>
      <c r="DL22" s="1423"/>
      <c r="DM22" s="1423"/>
      <c r="DN22" s="1423">
        <v>0</v>
      </c>
      <c r="DO22" s="1423"/>
      <c r="DP22" s="1423">
        <v>0</v>
      </c>
      <c r="DQ22" s="1423"/>
      <c r="DR22" s="1423"/>
      <c r="DS22" s="1423"/>
      <c r="DT22" s="1423">
        <v>0</v>
      </c>
      <c r="DU22" s="1423"/>
      <c r="DV22" s="1423"/>
      <c r="DW22" s="1423"/>
      <c r="DX22" s="1423"/>
      <c r="DY22" s="1423">
        <v>1426838</v>
      </c>
      <c r="DZ22" s="1423"/>
      <c r="EA22" s="1423">
        <v>1824</v>
      </c>
      <c r="EB22" s="1423">
        <v>218164</v>
      </c>
      <c r="EC22" s="1423"/>
      <c r="ED22" s="1423">
        <v>1179663</v>
      </c>
      <c r="EE22" s="1423">
        <v>27187</v>
      </c>
      <c r="EF22" s="1423"/>
      <c r="EG22" s="1423"/>
      <c r="EH22" s="1423">
        <v>8346771</v>
      </c>
      <c r="EI22" s="1423">
        <v>2012869</v>
      </c>
      <c r="EJ22" s="1423">
        <v>5483743</v>
      </c>
      <c r="EK22" s="1423">
        <v>850159</v>
      </c>
      <c r="EL22" s="1423"/>
      <c r="EM22" s="1423">
        <v>14822814</v>
      </c>
      <c r="EN22" s="1423"/>
      <c r="EO22" s="1423"/>
      <c r="EP22" s="1423"/>
      <c r="EQ22" s="1423"/>
      <c r="ER22" s="1423"/>
      <c r="ES22" s="1423">
        <v>139478615</v>
      </c>
    </row>
    <row r="23" spans="5:149" ht="15">
      <c r="E23" s="1223">
        <v>42461</v>
      </c>
      <c r="F23" s="1423"/>
      <c r="G23" s="1374">
        <v>13158</v>
      </c>
      <c r="H23" s="1423"/>
      <c r="I23" s="1423">
        <v>15360002</v>
      </c>
      <c r="J23" s="1423">
        <v>15360002</v>
      </c>
      <c r="K23" s="1423"/>
      <c r="L23" s="1423"/>
      <c r="M23" s="1423">
        <v>416499</v>
      </c>
      <c r="N23" s="1423">
        <v>416499</v>
      </c>
      <c r="O23" s="1423">
        <v>416499</v>
      </c>
      <c r="P23" s="1423"/>
      <c r="Q23" s="1423">
        <v>0</v>
      </c>
      <c r="R23" s="1423"/>
      <c r="S23" s="1423"/>
      <c r="T23" s="1423">
        <v>0</v>
      </c>
      <c r="U23" s="1423"/>
      <c r="V23" s="1423"/>
      <c r="W23" s="1423"/>
      <c r="X23" s="1423">
        <v>0</v>
      </c>
      <c r="Y23" s="1423">
        <v>0</v>
      </c>
      <c r="Z23" s="1423"/>
      <c r="AA23" s="1423"/>
      <c r="AB23" s="1423">
        <v>0</v>
      </c>
      <c r="AC23" s="1423"/>
      <c r="AD23" s="1423"/>
      <c r="AE23" s="1423"/>
      <c r="AF23" s="1423">
        <v>0</v>
      </c>
      <c r="AG23" s="1423"/>
      <c r="AH23" s="1423"/>
      <c r="AI23" s="1423"/>
      <c r="AJ23" s="1423"/>
      <c r="AK23" s="1423">
        <v>0</v>
      </c>
      <c r="AL23" s="1423"/>
      <c r="AM23" s="1423"/>
      <c r="AN23" s="1423"/>
      <c r="AO23" s="1423">
        <v>901005</v>
      </c>
      <c r="AP23" s="1423">
        <v>866580</v>
      </c>
      <c r="AQ23" s="1423">
        <v>34425</v>
      </c>
      <c r="AR23" s="1423">
        <v>34425</v>
      </c>
      <c r="AS23" s="1423"/>
      <c r="AT23" s="1423"/>
      <c r="AU23" s="1423"/>
      <c r="AV23" s="1423"/>
      <c r="AW23" s="1423"/>
      <c r="AX23" s="1423"/>
      <c r="AY23" s="1423">
        <v>30705318</v>
      </c>
      <c r="AZ23" s="1423">
        <v>0</v>
      </c>
      <c r="BA23" s="1423"/>
      <c r="BB23" s="1423"/>
      <c r="BC23" s="1423"/>
      <c r="BD23" s="1423">
        <v>30705318</v>
      </c>
      <c r="BE23" s="1423">
        <v>0</v>
      </c>
      <c r="BF23" s="1423"/>
      <c r="BG23" s="1423"/>
      <c r="BH23" s="1423"/>
      <c r="BI23" s="1423"/>
      <c r="BJ23" s="1423"/>
      <c r="BK23" s="1423"/>
      <c r="BL23" s="1423">
        <v>0</v>
      </c>
      <c r="BM23" s="1423">
        <v>0</v>
      </c>
      <c r="BN23" s="1423"/>
      <c r="BO23" s="1423"/>
      <c r="BP23" s="1423"/>
      <c r="BQ23" s="1423"/>
      <c r="BR23" s="1423"/>
      <c r="BS23" s="1423"/>
      <c r="BT23" s="1423">
        <v>0</v>
      </c>
      <c r="BU23" s="1423">
        <v>0</v>
      </c>
      <c r="BV23" s="1423"/>
      <c r="BW23" s="1423"/>
      <c r="BX23" s="1423"/>
      <c r="BY23" s="1423"/>
      <c r="BZ23" s="1423"/>
      <c r="CA23" s="1423"/>
      <c r="CB23" s="1423"/>
      <c r="CC23" s="1423">
        <v>0</v>
      </c>
      <c r="CD23" s="1423">
        <v>0</v>
      </c>
      <c r="CE23" s="1423"/>
      <c r="CF23" s="1423">
        <v>0</v>
      </c>
      <c r="CG23" s="1423"/>
      <c r="CH23" s="1423"/>
      <c r="CI23" s="1423"/>
      <c r="CJ23" s="1423">
        <v>0</v>
      </c>
      <c r="CK23" s="1423"/>
      <c r="CL23" s="1423"/>
      <c r="CM23" s="1423"/>
      <c r="CN23" s="1423"/>
      <c r="CO23" s="1423"/>
      <c r="CP23" s="1423"/>
      <c r="CQ23" s="1423">
        <v>9500000</v>
      </c>
      <c r="CR23" s="1423"/>
      <c r="CS23" s="1423">
        <v>9500000</v>
      </c>
      <c r="CT23" s="1423"/>
      <c r="CU23" s="1423">
        <v>66396493</v>
      </c>
      <c r="CV23" s="1423">
        <v>59995107</v>
      </c>
      <c r="CW23" s="1423">
        <v>6401386</v>
      </c>
      <c r="CX23" s="1423"/>
      <c r="CY23" s="1423">
        <v>0</v>
      </c>
      <c r="CZ23" s="1423"/>
      <c r="DA23" s="1423">
        <v>0</v>
      </c>
      <c r="DB23" s="1423"/>
      <c r="DC23" s="1423"/>
      <c r="DD23" s="1423"/>
      <c r="DE23" s="1423">
        <v>0</v>
      </c>
      <c r="DF23" s="1423"/>
      <c r="DG23" s="1423"/>
      <c r="DH23" s="1423"/>
      <c r="DI23" s="1423">
        <v>0</v>
      </c>
      <c r="DJ23" s="1423"/>
      <c r="DK23" s="1423"/>
      <c r="DL23" s="1423"/>
      <c r="DM23" s="1423"/>
      <c r="DN23" s="1423">
        <v>0</v>
      </c>
      <c r="DO23" s="1423"/>
      <c r="DP23" s="1423">
        <v>0</v>
      </c>
      <c r="DQ23" s="1423"/>
      <c r="DR23" s="1423"/>
      <c r="DS23" s="1423"/>
      <c r="DT23" s="1423">
        <v>0</v>
      </c>
      <c r="DU23" s="1423"/>
      <c r="DV23" s="1423"/>
      <c r="DW23" s="1423"/>
      <c r="DX23" s="1423"/>
      <c r="DY23" s="1423">
        <v>683700</v>
      </c>
      <c r="DZ23" s="1423"/>
      <c r="EA23" s="1423">
        <v>1824</v>
      </c>
      <c r="EB23" s="1423">
        <v>0</v>
      </c>
      <c r="EC23" s="1423"/>
      <c r="ED23" s="1423">
        <v>654524</v>
      </c>
      <c r="EE23" s="1423">
        <v>27352</v>
      </c>
      <c r="EF23" s="1423"/>
      <c r="EG23" s="1423"/>
      <c r="EH23" s="1423">
        <v>8301366</v>
      </c>
      <c r="EI23" s="1423">
        <v>2009475</v>
      </c>
      <c r="EJ23" s="1423">
        <v>5469938</v>
      </c>
      <c r="EK23" s="1423">
        <v>821953</v>
      </c>
      <c r="EL23" s="1423"/>
      <c r="EM23" s="1423">
        <v>15040992</v>
      </c>
      <c r="EN23" s="1423"/>
      <c r="EO23" s="1423"/>
      <c r="EP23" s="1423"/>
      <c r="EQ23" s="1423"/>
      <c r="ER23" s="1423"/>
      <c r="ES23" s="1423">
        <v>147318533</v>
      </c>
    </row>
    <row r="24" spans="5:149" ht="15">
      <c r="E24" s="1223">
        <v>42491</v>
      </c>
      <c r="F24" s="1423"/>
      <c r="G24" s="1374">
        <v>17897</v>
      </c>
      <c r="H24" s="1423"/>
      <c r="I24" s="1423">
        <v>14961083</v>
      </c>
      <c r="J24" s="1423">
        <v>14961083</v>
      </c>
      <c r="K24" s="1423"/>
      <c r="L24" s="1423"/>
      <c r="M24" s="1423">
        <v>1165246</v>
      </c>
      <c r="N24" s="1423">
        <v>1165246</v>
      </c>
      <c r="O24" s="1423">
        <v>1165246</v>
      </c>
      <c r="P24" s="1423"/>
      <c r="Q24" s="1423">
        <v>0</v>
      </c>
      <c r="R24" s="1423"/>
      <c r="S24" s="1423"/>
      <c r="T24" s="1423">
        <v>0</v>
      </c>
      <c r="U24" s="1423"/>
      <c r="V24" s="1423"/>
      <c r="W24" s="1423"/>
      <c r="X24" s="1423">
        <v>0</v>
      </c>
      <c r="Y24" s="1423">
        <v>0</v>
      </c>
      <c r="Z24" s="1423"/>
      <c r="AA24" s="1423"/>
      <c r="AB24" s="1423">
        <v>0</v>
      </c>
      <c r="AC24" s="1423"/>
      <c r="AD24" s="1423"/>
      <c r="AE24" s="1423"/>
      <c r="AF24" s="1423">
        <v>0</v>
      </c>
      <c r="AG24" s="1423"/>
      <c r="AH24" s="1423"/>
      <c r="AI24" s="1423"/>
      <c r="AJ24" s="1423"/>
      <c r="AK24" s="1423">
        <v>0</v>
      </c>
      <c r="AL24" s="1423"/>
      <c r="AM24" s="1423"/>
      <c r="AN24" s="1423"/>
      <c r="AO24" s="1423">
        <v>3191430</v>
      </c>
      <c r="AP24" s="1423">
        <v>3094446</v>
      </c>
      <c r="AQ24" s="1423">
        <v>96984</v>
      </c>
      <c r="AR24" s="1423">
        <v>96984</v>
      </c>
      <c r="AS24" s="1423"/>
      <c r="AT24" s="1423"/>
      <c r="AU24" s="1423"/>
      <c r="AV24" s="1423"/>
      <c r="AW24" s="1423"/>
      <c r="AX24" s="1423"/>
      <c r="AY24" s="1423">
        <v>31083394</v>
      </c>
      <c r="AZ24" s="1423">
        <v>0</v>
      </c>
      <c r="BA24" s="1423"/>
      <c r="BB24" s="1423"/>
      <c r="BC24" s="1423"/>
      <c r="BD24" s="1423">
        <v>31083394</v>
      </c>
      <c r="BE24" s="1423">
        <v>0</v>
      </c>
      <c r="BF24" s="1423"/>
      <c r="BG24" s="1423"/>
      <c r="BH24" s="1423"/>
      <c r="BI24" s="1423"/>
      <c r="BJ24" s="1423"/>
      <c r="BK24" s="1423"/>
      <c r="BL24" s="1423">
        <v>0</v>
      </c>
      <c r="BM24" s="1423">
        <v>0</v>
      </c>
      <c r="BN24" s="1423"/>
      <c r="BO24" s="1423"/>
      <c r="BP24" s="1423"/>
      <c r="BQ24" s="1423"/>
      <c r="BR24" s="1423"/>
      <c r="BS24" s="1423"/>
      <c r="BT24" s="1423">
        <v>0</v>
      </c>
      <c r="BU24" s="1423">
        <v>0</v>
      </c>
      <c r="BV24" s="1423"/>
      <c r="BW24" s="1423"/>
      <c r="BX24" s="1423"/>
      <c r="BY24" s="1423"/>
      <c r="BZ24" s="1423"/>
      <c r="CA24" s="1423"/>
      <c r="CB24" s="1423"/>
      <c r="CC24" s="1423">
        <v>0</v>
      </c>
      <c r="CD24" s="1423">
        <v>0</v>
      </c>
      <c r="CE24" s="1423"/>
      <c r="CF24" s="1423">
        <v>0</v>
      </c>
      <c r="CG24" s="1423"/>
      <c r="CH24" s="1423"/>
      <c r="CI24" s="1423"/>
      <c r="CJ24" s="1423">
        <v>0</v>
      </c>
      <c r="CK24" s="1423"/>
      <c r="CL24" s="1423"/>
      <c r="CM24" s="1423"/>
      <c r="CN24" s="1423"/>
      <c r="CO24" s="1423"/>
      <c r="CP24" s="1423"/>
      <c r="CQ24" s="1423">
        <v>6500000</v>
      </c>
      <c r="CR24" s="1423"/>
      <c r="CS24" s="1423">
        <v>6500000</v>
      </c>
      <c r="CT24" s="1423"/>
      <c r="CU24" s="1423">
        <v>66051258</v>
      </c>
      <c r="CV24" s="1423">
        <v>59474559</v>
      </c>
      <c r="CW24" s="1423">
        <v>6576699</v>
      </c>
      <c r="CX24" s="1423"/>
      <c r="CY24" s="1423">
        <v>0</v>
      </c>
      <c r="CZ24" s="1423"/>
      <c r="DA24" s="1423">
        <v>0</v>
      </c>
      <c r="DB24" s="1423"/>
      <c r="DC24" s="1423"/>
      <c r="DD24" s="1423"/>
      <c r="DE24" s="1423">
        <v>0</v>
      </c>
      <c r="DF24" s="1423"/>
      <c r="DG24" s="1423"/>
      <c r="DH24" s="1423"/>
      <c r="DI24" s="1423">
        <v>0</v>
      </c>
      <c r="DJ24" s="1423"/>
      <c r="DK24" s="1423"/>
      <c r="DL24" s="1423"/>
      <c r="DM24" s="1423"/>
      <c r="DN24" s="1423">
        <v>0</v>
      </c>
      <c r="DO24" s="1423"/>
      <c r="DP24" s="1423">
        <v>0</v>
      </c>
      <c r="DQ24" s="1423"/>
      <c r="DR24" s="1423"/>
      <c r="DS24" s="1423"/>
      <c r="DT24" s="1423">
        <v>0</v>
      </c>
      <c r="DU24" s="1423"/>
      <c r="DV24" s="1423"/>
      <c r="DW24" s="1423"/>
      <c r="DX24" s="1423"/>
      <c r="DY24" s="1423">
        <v>690867</v>
      </c>
      <c r="DZ24" s="1423"/>
      <c r="EA24" s="1423">
        <v>1824</v>
      </c>
      <c r="EB24" s="1423">
        <v>0</v>
      </c>
      <c r="EC24" s="1423"/>
      <c r="ED24" s="1423">
        <v>662310</v>
      </c>
      <c r="EE24" s="1423">
        <v>26733</v>
      </c>
      <c r="EF24" s="1423"/>
      <c r="EG24" s="1423"/>
      <c r="EH24" s="1423">
        <v>8185503</v>
      </c>
      <c r="EI24" s="1423">
        <v>2006081</v>
      </c>
      <c r="EJ24" s="1423">
        <v>5385665</v>
      </c>
      <c r="EK24" s="1423">
        <v>793757</v>
      </c>
      <c r="EL24" s="1423"/>
      <c r="EM24" s="1423">
        <v>14496076</v>
      </c>
      <c r="EN24" s="1423"/>
      <c r="EO24" s="1423"/>
      <c r="EP24" s="1423"/>
      <c r="EQ24" s="1423"/>
      <c r="ER24" s="1423"/>
      <c r="ES24" s="1423">
        <v>146342754</v>
      </c>
    </row>
    <row r="25" spans="5:149" ht="15">
      <c r="E25" s="1223">
        <v>42522</v>
      </c>
      <c r="F25" s="1423"/>
      <c r="G25" s="1374">
        <v>17424</v>
      </c>
      <c r="H25" s="1423"/>
      <c r="I25" s="1423">
        <v>13623798</v>
      </c>
      <c r="J25" s="1423">
        <v>13623798</v>
      </c>
      <c r="K25" s="1423"/>
      <c r="L25" s="1423"/>
      <c r="M25" s="1423">
        <v>1217170</v>
      </c>
      <c r="N25" s="1423">
        <v>1217170</v>
      </c>
      <c r="O25" s="1423">
        <v>1217170</v>
      </c>
      <c r="P25" s="1423"/>
      <c r="Q25" s="1423">
        <v>0</v>
      </c>
      <c r="R25" s="1423"/>
      <c r="S25" s="1423"/>
      <c r="T25" s="1423">
        <v>0</v>
      </c>
      <c r="U25" s="1423"/>
      <c r="V25" s="1423"/>
      <c r="W25" s="1423"/>
      <c r="X25" s="1423">
        <v>0</v>
      </c>
      <c r="Y25" s="1423">
        <v>0</v>
      </c>
      <c r="Z25" s="1423"/>
      <c r="AA25" s="1423"/>
      <c r="AB25" s="1423">
        <v>0</v>
      </c>
      <c r="AC25" s="1423"/>
      <c r="AD25" s="1423"/>
      <c r="AE25" s="1423"/>
      <c r="AF25" s="1423">
        <v>0</v>
      </c>
      <c r="AG25" s="1423"/>
      <c r="AH25" s="1423"/>
      <c r="AI25" s="1423"/>
      <c r="AJ25" s="1423"/>
      <c r="AK25" s="1423">
        <v>0</v>
      </c>
      <c r="AL25" s="1423"/>
      <c r="AM25" s="1423"/>
      <c r="AN25" s="1423"/>
      <c r="AO25" s="1423">
        <v>3167513</v>
      </c>
      <c r="AP25" s="1423">
        <v>3056166</v>
      </c>
      <c r="AQ25" s="1423">
        <v>111347</v>
      </c>
      <c r="AR25" s="1423">
        <v>111347</v>
      </c>
      <c r="AS25" s="1423"/>
      <c r="AT25" s="1423"/>
      <c r="AU25" s="1423"/>
      <c r="AV25" s="1423"/>
      <c r="AW25" s="1423"/>
      <c r="AX25" s="1423"/>
      <c r="AY25" s="1423">
        <v>29976865</v>
      </c>
      <c r="AZ25" s="1423">
        <v>0</v>
      </c>
      <c r="BA25" s="1423"/>
      <c r="BB25" s="1423"/>
      <c r="BC25" s="1423"/>
      <c r="BD25" s="1423">
        <v>29976865</v>
      </c>
      <c r="BE25" s="1423">
        <v>0</v>
      </c>
      <c r="BF25" s="1423"/>
      <c r="BG25" s="1423"/>
      <c r="BH25" s="1423"/>
      <c r="BI25" s="1423"/>
      <c r="BJ25" s="1423"/>
      <c r="BK25" s="1423"/>
      <c r="BL25" s="1423">
        <v>0</v>
      </c>
      <c r="BM25" s="1423">
        <v>0</v>
      </c>
      <c r="BN25" s="1423"/>
      <c r="BO25" s="1423"/>
      <c r="BP25" s="1423"/>
      <c r="BQ25" s="1423"/>
      <c r="BR25" s="1423"/>
      <c r="BS25" s="1423"/>
      <c r="BT25" s="1423">
        <v>0</v>
      </c>
      <c r="BU25" s="1423">
        <v>0</v>
      </c>
      <c r="BV25" s="1423"/>
      <c r="BW25" s="1423"/>
      <c r="BX25" s="1423"/>
      <c r="BY25" s="1423"/>
      <c r="BZ25" s="1423"/>
      <c r="CA25" s="1423"/>
      <c r="CB25" s="1423"/>
      <c r="CC25" s="1423">
        <v>0</v>
      </c>
      <c r="CD25" s="1423">
        <v>0</v>
      </c>
      <c r="CE25" s="1423"/>
      <c r="CF25" s="1423">
        <v>0</v>
      </c>
      <c r="CG25" s="1423"/>
      <c r="CH25" s="1423"/>
      <c r="CI25" s="1423"/>
      <c r="CJ25" s="1423">
        <v>0</v>
      </c>
      <c r="CK25" s="1423"/>
      <c r="CL25" s="1423"/>
      <c r="CM25" s="1423"/>
      <c r="CN25" s="1423"/>
      <c r="CO25" s="1423"/>
      <c r="CP25" s="1423"/>
      <c r="CQ25" s="1423">
        <v>9500000</v>
      </c>
      <c r="CR25" s="1423"/>
      <c r="CS25" s="1423">
        <v>9500000</v>
      </c>
      <c r="CT25" s="1423"/>
      <c r="CU25" s="1423">
        <v>66838161</v>
      </c>
      <c r="CV25" s="1423">
        <v>60267115</v>
      </c>
      <c r="CW25" s="1423">
        <v>6571046</v>
      </c>
      <c r="CX25" s="1423"/>
      <c r="CY25" s="1423">
        <v>0</v>
      </c>
      <c r="CZ25" s="1423"/>
      <c r="DA25" s="1423">
        <v>0</v>
      </c>
      <c r="DB25" s="1423"/>
      <c r="DC25" s="1423"/>
      <c r="DD25" s="1423"/>
      <c r="DE25" s="1423">
        <v>0</v>
      </c>
      <c r="DF25" s="1423"/>
      <c r="DG25" s="1423"/>
      <c r="DH25" s="1423"/>
      <c r="DI25" s="1423">
        <v>0</v>
      </c>
      <c r="DJ25" s="1423"/>
      <c r="DK25" s="1423"/>
      <c r="DL25" s="1423"/>
      <c r="DM25" s="1423"/>
      <c r="DN25" s="1423">
        <v>0</v>
      </c>
      <c r="DO25" s="1423"/>
      <c r="DP25" s="1423">
        <v>0</v>
      </c>
      <c r="DQ25" s="1423"/>
      <c r="DR25" s="1423"/>
      <c r="DS25" s="1423"/>
      <c r="DT25" s="1423">
        <v>0</v>
      </c>
      <c r="DU25" s="1423"/>
      <c r="DV25" s="1423"/>
      <c r="DW25" s="1423"/>
      <c r="DX25" s="1423"/>
      <c r="DY25" s="1423">
        <v>663638</v>
      </c>
      <c r="DZ25" s="1423"/>
      <c r="EA25" s="1423">
        <v>1824</v>
      </c>
      <c r="EB25" s="1423">
        <v>0</v>
      </c>
      <c r="EC25" s="1423"/>
      <c r="ED25" s="1423">
        <v>635182</v>
      </c>
      <c r="EE25" s="1423">
        <v>26632</v>
      </c>
      <c r="EF25" s="1423"/>
      <c r="EG25" s="1423"/>
      <c r="EH25" s="1423">
        <v>8076053</v>
      </c>
      <c r="EI25" s="1423">
        <v>2002687</v>
      </c>
      <c r="EJ25" s="1423">
        <v>5319970</v>
      </c>
      <c r="EK25" s="1423">
        <v>753396</v>
      </c>
      <c r="EL25" s="1423"/>
      <c r="EM25" s="1423">
        <v>15869853</v>
      </c>
      <c r="EN25" s="1423"/>
      <c r="EO25" s="1423"/>
      <c r="EP25" s="1423"/>
      <c r="EQ25" s="1423"/>
      <c r="ER25" s="1423"/>
      <c r="ES25" s="1423">
        <v>148950475</v>
      </c>
    </row>
    <row r="26" spans="5:149" ht="15">
      <c r="E26" s="1223">
        <v>42552</v>
      </c>
      <c r="F26" s="1423"/>
      <c r="G26" s="1374">
        <v>8373</v>
      </c>
      <c r="H26" s="1423"/>
      <c r="I26" s="1423">
        <v>11017351</v>
      </c>
      <c r="J26" s="1423">
        <v>11017351</v>
      </c>
      <c r="K26" s="1423"/>
      <c r="L26" s="1423"/>
      <c r="M26" s="1423">
        <v>137398</v>
      </c>
      <c r="N26" s="1423">
        <v>137398</v>
      </c>
      <c r="O26" s="1423">
        <v>137398</v>
      </c>
      <c r="P26" s="1423"/>
      <c r="Q26" s="1423">
        <v>0</v>
      </c>
      <c r="R26" s="1423"/>
      <c r="S26" s="1423"/>
      <c r="T26" s="1423">
        <v>0</v>
      </c>
      <c r="U26" s="1423"/>
      <c r="V26" s="1423"/>
      <c r="W26" s="1423"/>
      <c r="X26" s="1423">
        <v>0</v>
      </c>
      <c r="Y26" s="1423">
        <v>0</v>
      </c>
      <c r="Z26" s="1423"/>
      <c r="AA26" s="1423"/>
      <c r="AB26" s="1423">
        <v>0</v>
      </c>
      <c r="AC26" s="1423"/>
      <c r="AD26" s="1423"/>
      <c r="AE26" s="1423"/>
      <c r="AF26" s="1423">
        <v>0</v>
      </c>
      <c r="AG26" s="1423"/>
      <c r="AH26" s="1423"/>
      <c r="AI26" s="1423"/>
      <c r="AJ26" s="1423"/>
      <c r="AK26" s="1423">
        <v>0</v>
      </c>
      <c r="AL26" s="1423"/>
      <c r="AM26" s="1423"/>
      <c r="AN26" s="1423"/>
      <c r="AO26" s="1423">
        <v>1291996</v>
      </c>
      <c r="AP26" s="1423">
        <v>932985</v>
      </c>
      <c r="AQ26" s="1423">
        <v>359011</v>
      </c>
      <c r="AR26" s="1423">
        <v>359011</v>
      </c>
      <c r="AS26" s="1423"/>
      <c r="AT26" s="1423"/>
      <c r="AU26" s="1423"/>
      <c r="AV26" s="1423"/>
      <c r="AW26" s="1423"/>
      <c r="AX26" s="1423"/>
      <c r="AY26" s="1423">
        <v>31427786</v>
      </c>
      <c r="AZ26" s="1423">
        <v>0</v>
      </c>
      <c r="BA26" s="1423"/>
      <c r="BB26" s="1423"/>
      <c r="BC26" s="1423"/>
      <c r="BD26" s="1423">
        <v>31427786</v>
      </c>
      <c r="BE26" s="1423">
        <v>0</v>
      </c>
      <c r="BF26" s="1423"/>
      <c r="BG26" s="1423"/>
      <c r="BH26" s="1423"/>
      <c r="BI26" s="1423"/>
      <c r="BJ26" s="1423"/>
      <c r="BK26" s="1423"/>
      <c r="BL26" s="1423">
        <v>0</v>
      </c>
      <c r="BM26" s="1423">
        <v>0</v>
      </c>
      <c r="BN26" s="1423"/>
      <c r="BO26" s="1423"/>
      <c r="BP26" s="1423"/>
      <c r="BQ26" s="1423"/>
      <c r="BR26" s="1423"/>
      <c r="BS26" s="1423"/>
      <c r="BT26" s="1423">
        <v>0</v>
      </c>
      <c r="BU26" s="1423">
        <v>0</v>
      </c>
      <c r="BV26" s="1423"/>
      <c r="BW26" s="1423"/>
      <c r="BX26" s="1423"/>
      <c r="BY26" s="1423"/>
      <c r="BZ26" s="1423"/>
      <c r="CA26" s="1423"/>
      <c r="CB26" s="1423"/>
      <c r="CC26" s="1423">
        <v>0</v>
      </c>
      <c r="CD26" s="1423">
        <v>0</v>
      </c>
      <c r="CE26" s="1423"/>
      <c r="CF26" s="1423">
        <v>0</v>
      </c>
      <c r="CG26" s="1423"/>
      <c r="CH26" s="1423"/>
      <c r="CI26" s="1423"/>
      <c r="CJ26" s="1423">
        <v>0</v>
      </c>
      <c r="CK26" s="1423"/>
      <c r="CL26" s="1423"/>
      <c r="CM26" s="1423"/>
      <c r="CN26" s="1423"/>
      <c r="CO26" s="1423"/>
      <c r="CP26" s="1423"/>
      <c r="CQ26" s="1423">
        <v>12500000</v>
      </c>
      <c r="CR26" s="1423"/>
      <c r="CS26" s="1423">
        <v>12500000</v>
      </c>
      <c r="CT26" s="1423"/>
      <c r="CU26" s="1423">
        <v>66433633</v>
      </c>
      <c r="CV26" s="1423">
        <v>60121936</v>
      </c>
      <c r="CW26" s="1423">
        <v>6311697</v>
      </c>
      <c r="CX26" s="1423"/>
      <c r="CY26" s="1423">
        <v>0</v>
      </c>
      <c r="CZ26" s="1423"/>
      <c r="DA26" s="1423">
        <v>0</v>
      </c>
      <c r="DB26" s="1423"/>
      <c r="DC26" s="1423"/>
      <c r="DD26" s="1423"/>
      <c r="DE26" s="1423">
        <v>0</v>
      </c>
      <c r="DF26" s="1423"/>
      <c r="DG26" s="1423"/>
      <c r="DH26" s="1423"/>
      <c r="DI26" s="1423">
        <v>0</v>
      </c>
      <c r="DJ26" s="1423"/>
      <c r="DK26" s="1423"/>
      <c r="DL26" s="1423"/>
      <c r="DM26" s="1423"/>
      <c r="DN26" s="1423">
        <v>0</v>
      </c>
      <c r="DO26" s="1423"/>
      <c r="DP26" s="1423">
        <v>0</v>
      </c>
      <c r="DQ26" s="1423"/>
      <c r="DR26" s="1423"/>
      <c r="DS26" s="1423"/>
      <c r="DT26" s="1423">
        <v>0</v>
      </c>
      <c r="DU26" s="1423"/>
      <c r="DV26" s="1423"/>
      <c r="DW26" s="1423"/>
      <c r="DX26" s="1423"/>
      <c r="DY26" s="1423">
        <v>421764</v>
      </c>
      <c r="DZ26" s="1423"/>
      <c r="EA26" s="1423">
        <v>0</v>
      </c>
      <c r="EB26" s="1423">
        <v>0</v>
      </c>
      <c r="EC26" s="1423"/>
      <c r="ED26" s="1423">
        <v>395836</v>
      </c>
      <c r="EE26" s="1423">
        <v>25928</v>
      </c>
      <c r="EF26" s="1423"/>
      <c r="EG26" s="1423"/>
      <c r="EH26" s="1423">
        <v>8037433</v>
      </c>
      <c r="EI26" s="1423">
        <v>1999293</v>
      </c>
      <c r="EJ26" s="1423">
        <v>5251621</v>
      </c>
      <c r="EK26" s="1423">
        <v>786519</v>
      </c>
      <c r="EL26" s="1423"/>
      <c r="EM26" s="1423">
        <v>16166672</v>
      </c>
      <c r="EN26" s="1423"/>
      <c r="EO26" s="1423"/>
      <c r="EP26" s="1423"/>
      <c r="EQ26" s="1423"/>
      <c r="ER26" s="1423"/>
      <c r="ES26" s="1423">
        <v>147442406</v>
      </c>
    </row>
    <row r="27" spans="5:149" ht="15">
      <c r="E27" s="1223">
        <v>42583</v>
      </c>
      <c r="F27" s="1423"/>
      <c r="G27" s="1374">
        <v>22039</v>
      </c>
      <c r="H27" s="1423"/>
      <c r="I27" s="1423">
        <v>16111286</v>
      </c>
      <c r="J27" s="1423">
        <v>16111286</v>
      </c>
      <c r="K27" s="1423"/>
      <c r="L27" s="1423"/>
      <c r="M27" s="1423">
        <v>386379</v>
      </c>
      <c r="N27" s="1423">
        <v>386379</v>
      </c>
      <c r="O27" s="1423">
        <v>386379</v>
      </c>
      <c r="P27" s="1423"/>
      <c r="Q27" s="1423">
        <v>0</v>
      </c>
      <c r="R27" s="1423"/>
      <c r="S27" s="1423"/>
      <c r="T27" s="1423">
        <v>0</v>
      </c>
      <c r="U27" s="1423"/>
      <c r="V27" s="1423"/>
      <c r="W27" s="1423"/>
      <c r="X27" s="1423">
        <v>0</v>
      </c>
      <c r="Y27" s="1423">
        <v>0</v>
      </c>
      <c r="Z27" s="1423"/>
      <c r="AA27" s="1423"/>
      <c r="AB27" s="1423">
        <v>0</v>
      </c>
      <c r="AC27" s="1423"/>
      <c r="AD27" s="1423"/>
      <c r="AE27" s="1423"/>
      <c r="AF27" s="1423">
        <v>0</v>
      </c>
      <c r="AG27" s="1423"/>
      <c r="AH27" s="1423"/>
      <c r="AI27" s="1423"/>
      <c r="AJ27" s="1423"/>
      <c r="AK27" s="1423">
        <v>0</v>
      </c>
      <c r="AL27" s="1423"/>
      <c r="AM27" s="1423"/>
      <c r="AN27" s="1423"/>
      <c r="AO27" s="1423">
        <v>694086</v>
      </c>
      <c r="AP27" s="1423">
        <v>614094</v>
      </c>
      <c r="AQ27" s="1423">
        <v>79992</v>
      </c>
      <c r="AR27" s="1423">
        <v>79992</v>
      </c>
      <c r="AS27" s="1423"/>
      <c r="AT27" s="1423"/>
      <c r="AU27" s="1423"/>
      <c r="AV27" s="1423"/>
      <c r="AW27" s="1423"/>
      <c r="AX27" s="1423"/>
      <c r="AY27" s="1423">
        <v>27503408</v>
      </c>
      <c r="AZ27" s="1423">
        <v>0</v>
      </c>
      <c r="BA27" s="1423"/>
      <c r="BB27" s="1423"/>
      <c r="BC27" s="1423"/>
      <c r="BD27" s="1423">
        <v>27503408</v>
      </c>
      <c r="BE27" s="1423">
        <v>0</v>
      </c>
      <c r="BF27" s="1423"/>
      <c r="BG27" s="1423"/>
      <c r="BH27" s="1423"/>
      <c r="BI27" s="1423"/>
      <c r="BJ27" s="1423"/>
      <c r="BK27" s="1423"/>
      <c r="BL27" s="1423">
        <v>0</v>
      </c>
      <c r="BM27" s="1423">
        <v>0</v>
      </c>
      <c r="BN27" s="1423"/>
      <c r="BO27" s="1423"/>
      <c r="BP27" s="1423"/>
      <c r="BQ27" s="1423"/>
      <c r="BR27" s="1423"/>
      <c r="BS27" s="1423"/>
      <c r="BT27" s="1423">
        <v>0</v>
      </c>
      <c r="BU27" s="1423">
        <v>0</v>
      </c>
      <c r="BV27" s="1423"/>
      <c r="BW27" s="1423"/>
      <c r="BX27" s="1423"/>
      <c r="BY27" s="1423"/>
      <c r="BZ27" s="1423"/>
      <c r="CA27" s="1423"/>
      <c r="CB27" s="1423"/>
      <c r="CC27" s="1423">
        <v>148276</v>
      </c>
      <c r="CD27" s="1423">
        <v>0</v>
      </c>
      <c r="CE27" s="1423"/>
      <c r="CF27" s="1423">
        <v>0</v>
      </c>
      <c r="CG27" s="1423"/>
      <c r="CH27" s="1423"/>
      <c r="CI27" s="1423"/>
      <c r="CJ27" s="1423">
        <v>148276</v>
      </c>
      <c r="CK27" s="1423"/>
      <c r="CL27" s="1423">
        <v>148276</v>
      </c>
      <c r="CM27" s="1423"/>
      <c r="CN27" s="1423"/>
      <c r="CO27" s="1423"/>
      <c r="CP27" s="1423"/>
      <c r="CQ27" s="1423">
        <v>12000000</v>
      </c>
      <c r="CR27" s="1423"/>
      <c r="CS27" s="1423">
        <v>12000000</v>
      </c>
      <c r="CT27" s="1423"/>
      <c r="CU27" s="1423">
        <v>67325266</v>
      </c>
      <c r="CV27" s="1423">
        <v>61030556</v>
      </c>
      <c r="CW27" s="1423">
        <v>6294710</v>
      </c>
      <c r="CX27" s="1423"/>
      <c r="CY27" s="1423">
        <v>0</v>
      </c>
      <c r="CZ27" s="1423"/>
      <c r="DA27" s="1423">
        <v>0</v>
      </c>
      <c r="DB27" s="1423"/>
      <c r="DC27" s="1423"/>
      <c r="DD27" s="1423"/>
      <c r="DE27" s="1423">
        <v>0</v>
      </c>
      <c r="DF27" s="1423"/>
      <c r="DG27" s="1423"/>
      <c r="DH27" s="1423"/>
      <c r="DI27" s="1423">
        <v>0</v>
      </c>
      <c r="DJ27" s="1423"/>
      <c r="DK27" s="1423"/>
      <c r="DL27" s="1423"/>
      <c r="DM27" s="1423"/>
      <c r="DN27" s="1423">
        <v>0</v>
      </c>
      <c r="DO27" s="1423"/>
      <c r="DP27" s="1423">
        <v>0</v>
      </c>
      <c r="DQ27" s="1423"/>
      <c r="DR27" s="1423"/>
      <c r="DS27" s="1423"/>
      <c r="DT27" s="1423">
        <v>0</v>
      </c>
      <c r="DU27" s="1423"/>
      <c r="DV27" s="1423"/>
      <c r="DW27" s="1423"/>
      <c r="DX27" s="1423"/>
      <c r="DY27" s="1423">
        <v>426858</v>
      </c>
      <c r="DZ27" s="1423"/>
      <c r="EA27" s="1423">
        <v>0</v>
      </c>
      <c r="EB27" s="1423">
        <v>0</v>
      </c>
      <c r="EC27" s="1423"/>
      <c r="ED27" s="1423">
        <v>400070</v>
      </c>
      <c r="EE27" s="1423">
        <v>26788</v>
      </c>
      <c r="EF27" s="1423"/>
      <c r="EG27" s="1423"/>
      <c r="EH27" s="1423">
        <v>7917224</v>
      </c>
      <c r="EI27" s="1423">
        <v>1995900</v>
      </c>
      <c r="EJ27" s="1423">
        <v>5162803</v>
      </c>
      <c r="EK27" s="1423">
        <v>758521</v>
      </c>
      <c r="EL27" s="1423"/>
      <c r="EM27" s="1423">
        <v>16301364</v>
      </c>
      <c r="EN27" s="1423"/>
      <c r="EO27" s="1423"/>
      <c r="EP27" s="1423"/>
      <c r="EQ27" s="1423"/>
      <c r="ER27" s="1423"/>
      <c r="ES27" s="1423">
        <v>148836186</v>
      </c>
    </row>
    <row r="28" spans="5:149" ht="15">
      <c r="E28" s="1223">
        <v>42614</v>
      </c>
      <c r="F28" s="1423"/>
      <c r="G28" s="1374">
        <v>24424</v>
      </c>
      <c r="H28" s="1423"/>
      <c r="I28" s="1423">
        <v>16886465</v>
      </c>
      <c r="J28" s="1423">
        <v>16886465</v>
      </c>
      <c r="K28" s="1423"/>
      <c r="L28" s="1423"/>
      <c r="M28" s="1423">
        <v>439537</v>
      </c>
      <c r="N28" s="1423">
        <v>439537</v>
      </c>
      <c r="O28" s="1423">
        <v>439537</v>
      </c>
      <c r="P28" s="1423"/>
      <c r="Q28" s="1423">
        <v>0</v>
      </c>
      <c r="R28" s="1423"/>
      <c r="S28" s="1423"/>
      <c r="T28" s="1423">
        <v>0</v>
      </c>
      <c r="U28" s="1423"/>
      <c r="V28" s="1423"/>
      <c r="W28" s="1423"/>
      <c r="X28" s="1423">
        <v>0</v>
      </c>
      <c r="Y28" s="1423">
        <v>0</v>
      </c>
      <c r="Z28" s="1423"/>
      <c r="AA28" s="1423"/>
      <c r="AB28" s="1423">
        <v>0</v>
      </c>
      <c r="AC28" s="1423"/>
      <c r="AD28" s="1423"/>
      <c r="AE28" s="1423"/>
      <c r="AF28" s="1423">
        <v>0</v>
      </c>
      <c r="AG28" s="1423"/>
      <c r="AH28" s="1423"/>
      <c r="AI28" s="1423"/>
      <c r="AJ28" s="1423"/>
      <c r="AK28" s="1423">
        <v>0</v>
      </c>
      <c r="AL28" s="1423"/>
      <c r="AM28" s="1423"/>
      <c r="AN28" s="1423"/>
      <c r="AO28" s="1423">
        <v>571158</v>
      </c>
      <c r="AP28" s="1423">
        <v>478069</v>
      </c>
      <c r="AQ28" s="1423">
        <v>93089</v>
      </c>
      <c r="AR28" s="1423">
        <v>93089</v>
      </c>
      <c r="AS28" s="1423"/>
      <c r="AT28" s="1423"/>
      <c r="AU28" s="1423"/>
      <c r="AV28" s="1423"/>
      <c r="AW28" s="1423"/>
      <c r="AX28" s="1423"/>
      <c r="AY28" s="1423">
        <v>35881286</v>
      </c>
      <c r="AZ28" s="1423">
        <v>0</v>
      </c>
      <c r="BA28" s="1423"/>
      <c r="BB28" s="1423"/>
      <c r="BC28" s="1423"/>
      <c r="BD28" s="1423">
        <v>35881286</v>
      </c>
      <c r="BE28" s="1423">
        <v>0</v>
      </c>
      <c r="BF28" s="1423"/>
      <c r="BG28" s="1423"/>
      <c r="BH28" s="1423"/>
      <c r="BI28" s="1423"/>
      <c r="BJ28" s="1423"/>
      <c r="BK28" s="1423"/>
      <c r="BL28" s="1423">
        <v>0</v>
      </c>
      <c r="BM28" s="1423">
        <v>0</v>
      </c>
      <c r="BN28" s="1423"/>
      <c r="BO28" s="1423"/>
      <c r="BP28" s="1423"/>
      <c r="BQ28" s="1423"/>
      <c r="BR28" s="1423"/>
      <c r="BS28" s="1423"/>
      <c r="BT28" s="1423">
        <v>0</v>
      </c>
      <c r="BU28" s="1423">
        <v>0</v>
      </c>
      <c r="BV28" s="1423"/>
      <c r="BW28" s="1423"/>
      <c r="BX28" s="1423"/>
      <c r="BY28" s="1423"/>
      <c r="BZ28" s="1423"/>
      <c r="CA28" s="1423"/>
      <c r="CB28" s="1423"/>
      <c r="CC28" s="1423">
        <v>147762</v>
      </c>
      <c r="CD28" s="1423">
        <v>0</v>
      </c>
      <c r="CE28" s="1423"/>
      <c r="CF28" s="1423">
        <v>0</v>
      </c>
      <c r="CG28" s="1423"/>
      <c r="CH28" s="1423"/>
      <c r="CI28" s="1423"/>
      <c r="CJ28" s="1423">
        <v>147762</v>
      </c>
      <c r="CK28" s="1423"/>
      <c r="CL28" s="1423">
        <v>147762</v>
      </c>
      <c r="CM28" s="1423"/>
      <c r="CN28" s="1423"/>
      <c r="CO28" s="1423"/>
      <c r="CP28" s="1423"/>
      <c r="CQ28" s="1423">
        <v>9000000</v>
      </c>
      <c r="CR28" s="1423"/>
      <c r="CS28" s="1423">
        <v>9000000</v>
      </c>
      <c r="CT28" s="1423"/>
      <c r="CU28" s="1423">
        <v>67990575</v>
      </c>
      <c r="CV28" s="1423">
        <v>61543278</v>
      </c>
      <c r="CW28" s="1423">
        <v>6447297</v>
      </c>
      <c r="CX28" s="1423"/>
      <c r="CY28" s="1423">
        <v>0</v>
      </c>
      <c r="CZ28" s="1423"/>
      <c r="DA28" s="1423">
        <v>0</v>
      </c>
      <c r="DB28" s="1423"/>
      <c r="DC28" s="1423"/>
      <c r="DD28" s="1423"/>
      <c r="DE28" s="1423">
        <v>0</v>
      </c>
      <c r="DF28" s="1423"/>
      <c r="DG28" s="1423"/>
      <c r="DH28" s="1423"/>
      <c r="DI28" s="1423">
        <v>0</v>
      </c>
      <c r="DJ28" s="1423"/>
      <c r="DK28" s="1423"/>
      <c r="DL28" s="1423"/>
      <c r="DM28" s="1423"/>
      <c r="DN28" s="1423">
        <v>0</v>
      </c>
      <c r="DO28" s="1423"/>
      <c r="DP28" s="1423">
        <v>0</v>
      </c>
      <c r="DQ28" s="1423"/>
      <c r="DR28" s="1423"/>
      <c r="DS28" s="1423"/>
      <c r="DT28" s="1423">
        <v>0</v>
      </c>
      <c r="DU28" s="1423"/>
      <c r="DV28" s="1423"/>
      <c r="DW28" s="1423"/>
      <c r="DX28" s="1423"/>
      <c r="DY28" s="1423">
        <v>443673</v>
      </c>
      <c r="DZ28" s="1423"/>
      <c r="EA28" s="1423">
        <v>0</v>
      </c>
      <c r="EB28" s="1423">
        <v>0</v>
      </c>
      <c r="EC28" s="1423"/>
      <c r="ED28" s="1423">
        <v>416736</v>
      </c>
      <c r="EE28" s="1423">
        <v>26937</v>
      </c>
      <c r="EF28" s="1423"/>
      <c r="EG28" s="1423"/>
      <c r="EH28" s="1423">
        <v>7824206</v>
      </c>
      <c r="EI28" s="1423">
        <v>1992506</v>
      </c>
      <c r="EJ28" s="1423">
        <v>5073301</v>
      </c>
      <c r="EK28" s="1423">
        <v>758399</v>
      </c>
      <c r="EL28" s="1423"/>
      <c r="EM28" s="1423">
        <v>16484209</v>
      </c>
      <c r="EN28" s="1423"/>
      <c r="EO28" s="1423"/>
      <c r="EP28" s="1423"/>
      <c r="EQ28" s="1423"/>
      <c r="ER28" s="1423"/>
      <c r="ES28" s="1423">
        <v>155693295</v>
      </c>
    </row>
    <row r="29" spans="5:149" ht="15">
      <c r="E29" s="1223">
        <v>42644</v>
      </c>
      <c r="F29" s="1423"/>
      <c r="G29" s="1374">
        <v>23023</v>
      </c>
      <c r="H29" s="1423"/>
      <c r="I29" s="1423">
        <v>11438407</v>
      </c>
      <c r="J29" s="1423">
        <v>11438407</v>
      </c>
      <c r="K29" s="1423"/>
      <c r="L29" s="1423"/>
      <c r="M29" s="1423">
        <v>43358</v>
      </c>
      <c r="N29" s="1423">
        <v>43358</v>
      </c>
      <c r="O29" s="1423">
        <v>43358</v>
      </c>
      <c r="P29" s="1423"/>
      <c r="Q29" s="1423">
        <v>0</v>
      </c>
      <c r="R29" s="1423"/>
      <c r="S29" s="1423"/>
      <c r="T29" s="1423">
        <v>0</v>
      </c>
      <c r="U29" s="1423"/>
      <c r="V29" s="1423"/>
      <c r="W29" s="1423"/>
      <c r="X29" s="1423">
        <v>0</v>
      </c>
      <c r="Y29" s="1423">
        <v>0</v>
      </c>
      <c r="Z29" s="1423"/>
      <c r="AA29" s="1423"/>
      <c r="AB29" s="1423">
        <v>0</v>
      </c>
      <c r="AC29" s="1423"/>
      <c r="AD29" s="1423"/>
      <c r="AE29" s="1423"/>
      <c r="AF29" s="1423">
        <v>0</v>
      </c>
      <c r="AG29" s="1423"/>
      <c r="AH29" s="1423"/>
      <c r="AI29" s="1423"/>
      <c r="AJ29" s="1423"/>
      <c r="AK29" s="1423">
        <v>0</v>
      </c>
      <c r="AL29" s="1423"/>
      <c r="AM29" s="1423"/>
      <c r="AN29" s="1423"/>
      <c r="AO29" s="1423">
        <v>642308</v>
      </c>
      <c r="AP29" s="1423">
        <v>283219</v>
      </c>
      <c r="AQ29" s="1423">
        <v>359089</v>
      </c>
      <c r="AR29" s="1423">
        <v>359089</v>
      </c>
      <c r="AS29" s="1423"/>
      <c r="AT29" s="1423"/>
      <c r="AU29" s="1423"/>
      <c r="AV29" s="1423"/>
      <c r="AW29" s="1423"/>
      <c r="AX29" s="1423"/>
      <c r="AY29" s="1423">
        <v>40245360</v>
      </c>
      <c r="AZ29" s="1423">
        <v>0</v>
      </c>
      <c r="BA29" s="1423"/>
      <c r="BB29" s="1423"/>
      <c r="BC29" s="1423"/>
      <c r="BD29" s="1423">
        <v>40245360</v>
      </c>
      <c r="BE29" s="1423">
        <v>0</v>
      </c>
      <c r="BF29" s="1423"/>
      <c r="BG29" s="1423"/>
      <c r="BH29" s="1423"/>
      <c r="BI29" s="1423"/>
      <c r="BJ29" s="1423"/>
      <c r="BK29" s="1423"/>
      <c r="BL29" s="1423">
        <v>0</v>
      </c>
      <c r="BM29" s="1423">
        <v>0</v>
      </c>
      <c r="BN29" s="1423"/>
      <c r="BO29" s="1423"/>
      <c r="BP29" s="1423"/>
      <c r="BQ29" s="1423"/>
      <c r="BR29" s="1423"/>
      <c r="BS29" s="1423"/>
      <c r="BT29" s="1423">
        <v>0</v>
      </c>
      <c r="BU29" s="1423">
        <v>0</v>
      </c>
      <c r="BV29" s="1423"/>
      <c r="BW29" s="1423"/>
      <c r="BX29" s="1423"/>
      <c r="BY29" s="1423"/>
      <c r="BZ29" s="1423"/>
      <c r="CA29" s="1423"/>
      <c r="CB29" s="1423"/>
      <c r="CC29" s="1423">
        <v>145496</v>
      </c>
      <c r="CD29" s="1423">
        <v>0</v>
      </c>
      <c r="CE29" s="1423"/>
      <c r="CF29" s="1423">
        <v>0</v>
      </c>
      <c r="CG29" s="1423"/>
      <c r="CH29" s="1423"/>
      <c r="CI29" s="1423"/>
      <c r="CJ29" s="1423">
        <v>145496</v>
      </c>
      <c r="CK29" s="1423"/>
      <c r="CL29" s="1423">
        <v>145496</v>
      </c>
      <c r="CM29" s="1423"/>
      <c r="CN29" s="1423"/>
      <c r="CO29" s="1423"/>
      <c r="CP29" s="1423"/>
      <c r="CQ29" s="1423">
        <v>4000000</v>
      </c>
      <c r="CR29" s="1423"/>
      <c r="CS29" s="1423">
        <v>4000000</v>
      </c>
      <c r="CT29" s="1423"/>
      <c r="CU29" s="1423">
        <v>67620173</v>
      </c>
      <c r="CV29" s="1423">
        <v>61373883</v>
      </c>
      <c r="CW29" s="1423">
        <v>6246290</v>
      </c>
      <c r="CX29" s="1423"/>
      <c r="CY29" s="1423">
        <v>0</v>
      </c>
      <c r="CZ29" s="1423"/>
      <c r="DA29" s="1423">
        <v>0</v>
      </c>
      <c r="DB29" s="1423"/>
      <c r="DC29" s="1423"/>
      <c r="DD29" s="1423"/>
      <c r="DE29" s="1423">
        <v>0</v>
      </c>
      <c r="DF29" s="1423"/>
      <c r="DG29" s="1423"/>
      <c r="DH29" s="1423"/>
      <c r="DI29" s="1423">
        <v>0</v>
      </c>
      <c r="DJ29" s="1423"/>
      <c r="DK29" s="1423"/>
      <c r="DL29" s="1423"/>
      <c r="DM29" s="1423"/>
      <c r="DN29" s="1423">
        <v>0</v>
      </c>
      <c r="DO29" s="1423"/>
      <c r="DP29" s="1423">
        <v>0</v>
      </c>
      <c r="DQ29" s="1423"/>
      <c r="DR29" s="1423"/>
      <c r="DS29" s="1423"/>
      <c r="DT29" s="1423">
        <v>0</v>
      </c>
      <c r="DU29" s="1423"/>
      <c r="DV29" s="1423"/>
      <c r="DW29" s="1423"/>
      <c r="DX29" s="1423"/>
      <c r="DY29" s="1423">
        <v>594212</v>
      </c>
      <c r="DZ29" s="1423"/>
      <c r="EA29" s="1423">
        <v>0</v>
      </c>
      <c r="EB29" s="1423">
        <v>0</v>
      </c>
      <c r="EC29" s="1423"/>
      <c r="ED29" s="1423">
        <v>567875</v>
      </c>
      <c r="EE29" s="1423">
        <v>26337</v>
      </c>
      <c r="EF29" s="1423"/>
      <c r="EG29" s="1423"/>
      <c r="EH29" s="1423">
        <v>7781871</v>
      </c>
      <c r="EI29" s="1423">
        <v>1989112</v>
      </c>
      <c r="EJ29" s="1423">
        <v>5060481</v>
      </c>
      <c r="EK29" s="1423">
        <v>732278</v>
      </c>
      <c r="EL29" s="1423"/>
      <c r="EM29" s="1423">
        <v>16269504</v>
      </c>
      <c r="EN29" s="1423"/>
      <c r="EO29" s="1423"/>
      <c r="EP29" s="1423"/>
      <c r="EQ29" s="1423"/>
      <c r="ER29" s="1423"/>
      <c r="ES29" s="1423">
        <v>148803712</v>
      </c>
    </row>
    <row r="30" spans="5:149" ht="15">
      <c r="E30" s="1223">
        <v>42675</v>
      </c>
      <c r="F30" s="1423"/>
      <c r="G30" s="1374">
        <v>185326</v>
      </c>
      <c r="H30" s="1423"/>
      <c r="I30" s="1423">
        <v>19960570</v>
      </c>
      <c r="J30" s="1423">
        <v>19960570</v>
      </c>
      <c r="K30" s="1423"/>
      <c r="L30" s="1423"/>
      <c r="M30" s="1423">
        <v>98160</v>
      </c>
      <c r="N30" s="1423">
        <v>98160</v>
      </c>
      <c r="O30" s="1423">
        <v>98160</v>
      </c>
      <c r="P30" s="1423"/>
      <c r="Q30" s="1423">
        <v>0</v>
      </c>
      <c r="R30" s="1423"/>
      <c r="S30" s="1423"/>
      <c r="T30" s="1423">
        <v>0</v>
      </c>
      <c r="U30" s="1423"/>
      <c r="V30" s="1423"/>
      <c r="W30" s="1423"/>
      <c r="X30" s="1423">
        <v>0</v>
      </c>
      <c r="Y30" s="1423">
        <v>0</v>
      </c>
      <c r="Z30" s="1423"/>
      <c r="AA30" s="1423"/>
      <c r="AB30" s="1423">
        <v>0</v>
      </c>
      <c r="AC30" s="1423"/>
      <c r="AD30" s="1423"/>
      <c r="AE30" s="1423"/>
      <c r="AF30" s="1423">
        <v>0</v>
      </c>
      <c r="AG30" s="1423"/>
      <c r="AH30" s="1423"/>
      <c r="AI30" s="1423"/>
      <c r="AJ30" s="1423"/>
      <c r="AK30" s="1423">
        <v>0</v>
      </c>
      <c r="AL30" s="1423"/>
      <c r="AM30" s="1423"/>
      <c r="AN30" s="1423"/>
      <c r="AO30" s="1423">
        <v>987308</v>
      </c>
      <c r="AP30" s="1423">
        <v>359568</v>
      </c>
      <c r="AQ30" s="1423">
        <v>627740</v>
      </c>
      <c r="AR30" s="1423">
        <v>627740</v>
      </c>
      <c r="AS30" s="1423"/>
      <c r="AT30" s="1423"/>
      <c r="AU30" s="1423"/>
      <c r="AV30" s="1423"/>
      <c r="AW30" s="1423"/>
      <c r="AX30" s="1423"/>
      <c r="AY30" s="1423">
        <v>35738789</v>
      </c>
      <c r="AZ30" s="1423">
        <v>0</v>
      </c>
      <c r="BA30" s="1423"/>
      <c r="BB30" s="1423"/>
      <c r="BC30" s="1423"/>
      <c r="BD30" s="1423">
        <v>35738789</v>
      </c>
      <c r="BE30" s="1423">
        <v>0</v>
      </c>
      <c r="BF30" s="1423"/>
      <c r="BG30" s="1423"/>
      <c r="BH30" s="1423"/>
      <c r="BI30" s="1423"/>
      <c r="BJ30" s="1423"/>
      <c r="BK30" s="1423"/>
      <c r="BL30" s="1423">
        <v>0</v>
      </c>
      <c r="BM30" s="1423">
        <v>0</v>
      </c>
      <c r="BN30" s="1423"/>
      <c r="BO30" s="1423"/>
      <c r="BP30" s="1423"/>
      <c r="BQ30" s="1423"/>
      <c r="BR30" s="1423"/>
      <c r="BS30" s="1423"/>
      <c r="BT30" s="1423">
        <v>0</v>
      </c>
      <c r="BU30" s="1423">
        <v>0</v>
      </c>
      <c r="BV30" s="1423"/>
      <c r="BW30" s="1423"/>
      <c r="BX30" s="1423"/>
      <c r="BY30" s="1423"/>
      <c r="BZ30" s="1423"/>
      <c r="CA30" s="1423"/>
      <c r="CB30" s="1423"/>
      <c r="CC30" s="1423">
        <v>147464</v>
      </c>
      <c r="CD30" s="1423">
        <v>0</v>
      </c>
      <c r="CE30" s="1423"/>
      <c r="CF30" s="1423">
        <v>0</v>
      </c>
      <c r="CG30" s="1423"/>
      <c r="CH30" s="1423"/>
      <c r="CI30" s="1423"/>
      <c r="CJ30" s="1423">
        <v>147464</v>
      </c>
      <c r="CK30" s="1423"/>
      <c r="CL30" s="1423">
        <v>147464</v>
      </c>
      <c r="CM30" s="1423"/>
      <c r="CN30" s="1423"/>
      <c r="CO30" s="1423"/>
      <c r="CP30" s="1423"/>
      <c r="CQ30" s="1423">
        <v>5000000</v>
      </c>
      <c r="CR30" s="1423"/>
      <c r="CS30" s="1423">
        <v>5000000</v>
      </c>
      <c r="CT30" s="1423"/>
      <c r="CU30" s="1423">
        <v>67122973</v>
      </c>
      <c r="CV30" s="1423">
        <v>61065458</v>
      </c>
      <c r="CW30" s="1423">
        <v>6057515</v>
      </c>
      <c r="CX30" s="1423"/>
      <c r="CY30" s="1423">
        <v>0</v>
      </c>
      <c r="CZ30" s="1423"/>
      <c r="DA30" s="1423">
        <v>0</v>
      </c>
      <c r="DB30" s="1423"/>
      <c r="DC30" s="1423"/>
      <c r="DD30" s="1423"/>
      <c r="DE30" s="1423">
        <v>0</v>
      </c>
      <c r="DF30" s="1423"/>
      <c r="DG30" s="1423"/>
      <c r="DH30" s="1423"/>
      <c r="DI30" s="1423">
        <v>0</v>
      </c>
      <c r="DJ30" s="1423"/>
      <c r="DK30" s="1423"/>
      <c r="DL30" s="1423"/>
      <c r="DM30" s="1423"/>
      <c r="DN30" s="1423">
        <v>0</v>
      </c>
      <c r="DO30" s="1423"/>
      <c r="DP30" s="1423">
        <v>0</v>
      </c>
      <c r="DQ30" s="1423"/>
      <c r="DR30" s="1423"/>
      <c r="DS30" s="1423"/>
      <c r="DT30" s="1423">
        <v>0</v>
      </c>
      <c r="DU30" s="1423"/>
      <c r="DV30" s="1423"/>
      <c r="DW30" s="1423"/>
      <c r="DX30" s="1423"/>
      <c r="DY30" s="1423">
        <v>674140</v>
      </c>
      <c r="DZ30" s="1423"/>
      <c r="EA30" s="1423">
        <v>0</v>
      </c>
      <c r="EB30" s="1423">
        <v>0</v>
      </c>
      <c r="EC30" s="1423"/>
      <c r="ED30" s="1423">
        <v>648605</v>
      </c>
      <c r="EE30" s="1423">
        <v>25535</v>
      </c>
      <c r="EF30" s="1423"/>
      <c r="EG30" s="1423"/>
      <c r="EH30" s="1423">
        <v>7733634</v>
      </c>
      <c r="EI30" s="1423">
        <v>1985718</v>
      </c>
      <c r="EJ30" s="1423">
        <v>5041144</v>
      </c>
      <c r="EK30" s="1423">
        <v>706772</v>
      </c>
      <c r="EL30" s="1423"/>
      <c r="EM30" s="1423">
        <v>15084974</v>
      </c>
      <c r="EN30" s="1423"/>
      <c r="EO30" s="1423"/>
      <c r="EP30" s="1423"/>
      <c r="EQ30" s="1423"/>
      <c r="ER30" s="1423"/>
      <c r="ES30" s="1423">
        <v>152733338</v>
      </c>
    </row>
    <row r="31" spans="5:149" ht="15">
      <c r="E31" s="1223">
        <v>42705</v>
      </c>
      <c r="F31" s="1423"/>
      <c r="G31" s="1374">
        <v>776442</v>
      </c>
      <c r="H31" s="1423"/>
      <c r="I31" s="1423">
        <v>20848860</v>
      </c>
      <c r="J31" s="1423">
        <v>20848860</v>
      </c>
      <c r="K31" s="1423"/>
      <c r="L31" s="1423"/>
      <c r="M31" s="1423">
        <v>113757</v>
      </c>
      <c r="N31" s="1423">
        <v>113757</v>
      </c>
      <c r="O31" s="1423">
        <v>113757</v>
      </c>
      <c r="P31" s="1423"/>
      <c r="Q31" s="1423">
        <v>0</v>
      </c>
      <c r="R31" s="1423"/>
      <c r="S31" s="1423"/>
      <c r="T31" s="1423">
        <v>0</v>
      </c>
      <c r="U31" s="1423"/>
      <c r="V31" s="1423"/>
      <c r="W31" s="1423"/>
      <c r="X31" s="1423">
        <v>0</v>
      </c>
      <c r="Y31" s="1423">
        <v>0</v>
      </c>
      <c r="Z31" s="1423"/>
      <c r="AA31" s="1423"/>
      <c r="AB31" s="1423">
        <v>0</v>
      </c>
      <c r="AC31" s="1423"/>
      <c r="AD31" s="1423"/>
      <c r="AE31" s="1423"/>
      <c r="AF31" s="1423">
        <v>0</v>
      </c>
      <c r="AG31" s="1423"/>
      <c r="AH31" s="1423"/>
      <c r="AI31" s="1423"/>
      <c r="AJ31" s="1423"/>
      <c r="AK31" s="1423">
        <v>0</v>
      </c>
      <c r="AL31" s="1423"/>
      <c r="AM31" s="1423"/>
      <c r="AN31" s="1423"/>
      <c r="AO31" s="1423">
        <v>1615723</v>
      </c>
      <c r="AP31" s="1423">
        <v>570398</v>
      </c>
      <c r="AQ31" s="1423">
        <v>1045325</v>
      </c>
      <c r="AR31" s="1423">
        <v>1045325</v>
      </c>
      <c r="AS31" s="1423"/>
      <c r="AT31" s="1423"/>
      <c r="AU31" s="1423"/>
      <c r="AV31" s="1423"/>
      <c r="AW31" s="1423"/>
      <c r="AX31" s="1423"/>
      <c r="AY31" s="1423">
        <v>45707989</v>
      </c>
      <c r="AZ31" s="1423">
        <v>0</v>
      </c>
      <c r="BA31" s="1423"/>
      <c r="BB31" s="1423"/>
      <c r="BC31" s="1423"/>
      <c r="BD31" s="1423">
        <v>45707989</v>
      </c>
      <c r="BE31" s="1423">
        <v>0</v>
      </c>
      <c r="BF31" s="1423"/>
      <c r="BG31" s="1423"/>
      <c r="BH31" s="1423"/>
      <c r="BI31" s="1423"/>
      <c r="BJ31" s="1423"/>
      <c r="BK31" s="1423"/>
      <c r="BL31" s="1423">
        <v>0</v>
      </c>
      <c r="BM31" s="1423">
        <v>0</v>
      </c>
      <c r="BN31" s="1423"/>
      <c r="BO31" s="1423"/>
      <c r="BP31" s="1423"/>
      <c r="BQ31" s="1423"/>
      <c r="BR31" s="1423"/>
      <c r="BS31" s="1423"/>
      <c r="BT31" s="1423">
        <v>0</v>
      </c>
      <c r="BU31" s="1423">
        <v>0</v>
      </c>
      <c r="BV31" s="1423"/>
      <c r="BW31" s="1423"/>
      <c r="BX31" s="1423"/>
      <c r="BY31" s="1423"/>
      <c r="BZ31" s="1423"/>
      <c r="CA31" s="1423"/>
      <c r="CB31" s="1423"/>
      <c r="CC31" s="1423">
        <v>145007</v>
      </c>
      <c r="CD31" s="1423">
        <v>0</v>
      </c>
      <c r="CE31" s="1423"/>
      <c r="CF31" s="1423">
        <v>0</v>
      </c>
      <c r="CG31" s="1423"/>
      <c r="CH31" s="1423"/>
      <c r="CI31" s="1423"/>
      <c r="CJ31" s="1423">
        <v>145007</v>
      </c>
      <c r="CK31" s="1423"/>
      <c r="CL31" s="1423">
        <v>145007</v>
      </c>
      <c r="CM31" s="1423"/>
      <c r="CN31" s="1423"/>
      <c r="CO31" s="1423"/>
      <c r="CP31" s="1423"/>
      <c r="CQ31" s="1423">
        <v>6000000</v>
      </c>
      <c r="CR31" s="1423"/>
      <c r="CS31" s="1423">
        <v>6000000</v>
      </c>
      <c r="CT31" s="1423"/>
      <c r="CU31" s="1423">
        <v>65389610</v>
      </c>
      <c r="CV31" s="1423">
        <v>59317478</v>
      </c>
      <c r="CW31" s="1423">
        <v>6072132</v>
      </c>
      <c r="CX31" s="1423"/>
      <c r="CY31" s="1423">
        <v>0</v>
      </c>
      <c r="CZ31" s="1423"/>
      <c r="DA31" s="1423">
        <v>0</v>
      </c>
      <c r="DB31" s="1423"/>
      <c r="DC31" s="1423"/>
      <c r="DD31" s="1423"/>
      <c r="DE31" s="1423">
        <v>0</v>
      </c>
      <c r="DF31" s="1423"/>
      <c r="DG31" s="1423"/>
      <c r="DH31" s="1423"/>
      <c r="DI31" s="1423">
        <v>0</v>
      </c>
      <c r="DJ31" s="1423"/>
      <c r="DK31" s="1423"/>
      <c r="DL31" s="1423"/>
      <c r="DM31" s="1423"/>
      <c r="DN31" s="1423">
        <v>0</v>
      </c>
      <c r="DO31" s="1423"/>
      <c r="DP31" s="1423">
        <v>0</v>
      </c>
      <c r="DQ31" s="1423"/>
      <c r="DR31" s="1423"/>
      <c r="DS31" s="1423"/>
      <c r="DT31" s="1423">
        <v>0</v>
      </c>
      <c r="DU31" s="1423"/>
      <c r="DV31" s="1423"/>
      <c r="DW31" s="1423"/>
      <c r="DX31" s="1423"/>
      <c r="DY31" s="1423">
        <v>728446</v>
      </c>
      <c r="DZ31" s="1423"/>
      <c r="EA31" s="1423">
        <v>0</v>
      </c>
      <c r="EB31" s="1423">
        <v>0</v>
      </c>
      <c r="EC31" s="1423"/>
      <c r="ED31" s="1423">
        <v>703168</v>
      </c>
      <c r="EE31" s="1423">
        <v>25278</v>
      </c>
      <c r="EF31" s="1423"/>
      <c r="EG31" s="1423"/>
      <c r="EH31" s="1423">
        <v>7752677.5699999994</v>
      </c>
      <c r="EI31" s="1423">
        <v>1982324.17</v>
      </c>
      <c r="EJ31" s="1423">
        <v>5089083.5999999996</v>
      </c>
      <c r="EK31" s="1423">
        <v>681269.8</v>
      </c>
      <c r="EL31" s="1423"/>
      <c r="EM31" s="1423">
        <v>15250775</v>
      </c>
      <c r="EN31" s="1423"/>
      <c r="EO31" s="1423"/>
      <c r="EP31" s="1423"/>
      <c r="EQ31" s="1423"/>
      <c r="ER31" s="1423"/>
      <c r="ES31" s="1423">
        <v>164329286.56999999</v>
      </c>
    </row>
    <row r="32" spans="5:149">
      <c r="F32" s="1424"/>
      <c r="H32" s="1424"/>
      <c r="I32" s="1424"/>
      <c r="J32" s="1424"/>
      <c r="K32" s="1424"/>
      <c r="L32" s="1424"/>
      <c r="M32" s="1424"/>
      <c r="N32" s="1424"/>
      <c r="O32" s="1424"/>
      <c r="P32" s="1424"/>
      <c r="Q32" s="1424"/>
      <c r="R32" s="1424"/>
      <c r="S32" s="1424"/>
      <c r="T32" s="1424"/>
      <c r="U32" s="1424"/>
      <c r="V32" s="1424"/>
      <c r="W32" s="1424"/>
      <c r="X32" s="1424"/>
      <c r="Y32" s="1424"/>
      <c r="Z32" s="1424"/>
      <c r="AA32" s="1424"/>
      <c r="AB32" s="1424"/>
      <c r="AC32" s="1424"/>
      <c r="AD32" s="1424"/>
      <c r="AE32" s="1424"/>
      <c r="AF32" s="1424"/>
      <c r="AG32" s="1424"/>
      <c r="AH32" s="1424"/>
      <c r="AI32" s="1424"/>
      <c r="AJ32" s="1424"/>
      <c r="AK32" s="1424"/>
      <c r="AL32" s="1424"/>
      <c r="AM32" s="1424"/>
      <c r="AN32" s="1424"/>
      <c r="AO32" s="1424"/>
      <c r="AP32" s="1424"/>
      <c r="AQ32" s="1424"/>
      <c r="AR32" s="1424"/>
      <c r="AS32" s="1424"/>
      <c r="AT32" s="1424"/>
      <c r="AU32" s="1424"/>
      <c r="AV32" s="1424"/>
      <c r="AW32" s="1424"/>
      <c r="AX32" s="1424"/>
      <c r="AY32" s="1424"/>
      <c r="AZ32" s="1424"/>
      <c r="BA32" s="1424"/>
      <c r="BB32" s="1424"/>
      <c r="BC32" s="1424"/>
      <c r="BD32" s="1424"/>
      <c r="BE32" s="1424"/>
      <c r="BF32" s="1424"/>
      <c r="BG32" s="1424"/>
      <c r="BH32" s="1424"/>
      <c r="BI32" s="1424"/>
      <c r="BJ32" s="1424"/>
      <c r="BK32" s="1424"/>
      <c r="BL32" s="1424"/>
      <c r="BM32" s="1424"/>
      <c r="BN32" s="1424"/>
      <c r="BO32" s="1424"/>
      <c r="BP32" s="1424"/>
      <c r="BQ32" s="1424"/>
      <c r="BR32" s="1424"/>
      <c r="BS32" s="1424"/>
      <c r="BT32" s="1424"/>
      <c r="BU32" s="1424"/>
      <c r="BV32" s="1424"/>
      <c r="BW32" s="1424"/>
      <c r="BX32" s="1424"/>
      <c r="BY32" s="1424"/>
      <c r="BZ32" s="1424"/>
      <c r="CA32" s="1424"/>
      <c r="CB32" s="1424"/>
      <c r="CC32" s="1424"/>
      <c r="CD32" s="1424"/>
      <c r="CE32" s="1424"/>
      <c r="CF32" s="1424"/>
      <c r="CG32" s="1424"/>
      <c r="CH32" s="1424"/>
      <c r="CI32" s="1424"/>
      <c r="CJ32" s="1424"/>
      <c r="CK32" s="1424"/>
      <c r="CL32" s="1424"/>
      <c r="CM32" s="1424"/>
      <c r="CN32" s="1424"/>
      <c r="CO32" s="1424"/>
      <c r="CP32" s="1424"/>
      <c r="CQ32" s="1424"/>
      <c r="CR32" s="1424"/>
      <c r="CS32" s="1424"/>
      <c r="CT32" s="1424"/>
      <c r="CU32" s="1424"/>
      <c r="CV32" s="1424"/>
      <c r="CW32" s="1424"/>
      <c r="CX32" s="1424"/>
      <c r="CY32" s="1424"/>
      <c r="CZ32" s="1424"/>
      <c r="DA32" s="1424"/>
      <c r="DB32" s="1424"/>
      <c r="DC32" s="1424"/>
      <c r="DD32" s="1424"/>
      <c r="DE32" s="1424"/>
      <c r="DF32" s="1424"/>
      <c r="DG32" s="1424"/>
      <c r="DH32" s="1424"/>
      <c r="DI32" s="1424"/>
      <c r="DJ32" s="1424"/>
      <c r="DK32" s="1424"/>
      <c r="DL32" s="1424"/>
      <c r="DM32" s="1424"/>
      <c r="DN32" s="1424"/>
      <c r="DO32" s="1424"/>
      <c r="DP32" s="1424"/>
      <c r="DQ32" s="1424"/>
      <c r="DR32" s="1424"/>
      <c r="DS32" s="1424"/>
      <c r="DT32" s="1424"/>
      <c r="DU32" s="1424"/>
      <c r="DV32" s="1424"/>
      <c r="DW32" s="1424"/>
      <c r="DX32" s="1424"/>
      <c r="DY32" s="1424"/>
      <c r="DZ32" s="1424"/>
      <c r="EA32" s="1424"/>
      <c r="EB32" s="1424"/>
      <c r="EC32" s="1424"/>
      <c r="ED32" s="1424"/>
      <c r="EE32" s="1424"/>
      <c r="EF32" s="1424"/>
      <c r="EG32" s="1424"/>
      <c r="EH32" s="1424"/>
      <c r="EI32" s="1424"/>
      <c r="EJ32" s="1424"/>
      <c r="EK32" s="1424"/>
      <c r="EL32" s="1424"/>
      <c r="EM32" s="1424"/>
      <c r="EN32" s="1424"/>
      <c r="EO32" s="1424"/>
      <c r="EP32" s="1424"/>
      <c r="EQ32" s="1424"/>
      <c r="ER32" s="1424"/>
      <c r="ES32" s="1217"/>
    </row>
    <row r="33" spans="5:150">
      <c r="F33" s="1424"/>
      <c r="H33" s="1424"/>
      <c r="I33" s="1424"/>
      <c r="J33" s="1424"/>
      <c r="K33" s="1424"/>
      <c r="L33" s="1424"/>
      <c r="M33" s="1424"/>
      <c r="N33" s="1424"/>
      <c r="O33" s="1424"/>
      <c r="P33" s="1424"/>
      <c r="Q33" s="1424"/>
      <c r="R33" s="1424"/>
      <c r="S33" s="1424"/>
      <c r="T33" s="1424"/>
      <c r="U33" s="1424"/>
      <c r="V33" s="1424"/>
      <c r="W33" s="1424"/>
      <c r="X33" s="1424"/>
      <c r="Y33" s="1424"/>
      <c r="Z33" s="1424"/>
      <c r="AA33" s="1424"/>
      <c r="AB33" s="1424"/>
      <c r="AC33" s="1424"/>
      <c r="AD33" s="1424"/>
      <c r="AE33" s="1424"/>
      <c r="AF33" s="1424"/>
      <c r="AG33" s="1424"/>
      <c r="AH33" s="1424"/>
      <c r="AI33" s="1424"/>
      <c r="AJ33" s="1424"/>
      <c r="AK33" s="1424"/>
      <c r="AL33" s="1424"/>
      <c r="AM33" s="1424"/>
      <c r="AN33" s="1424"/>
      <c r="AO33" s="1424"/>
      <c r="AP33" s="1424"/>
      <c r="AQ33" s="1424"/>
      <c r="AR33" s="1424"/>
      <c r="AS33" s="1424"/>
      <c r="AT33" s="1424"/>
      <c r="AU33" s="1424"/>
      <c r="AV33" s="1424"/>
      <c r="AW33" s="1424"/>
      <c r="AX33" s="1424"/>
      <c r="AY33" s="1424"/>
      <c r="AZ33" s="1424"/>
      <c r="BA33" s="1424"/>
      <c r="BB33" s="1424"/>
      <c r="BC33" s="1424"/>
      <c r="BD33" s="1424"/>
      <c r="BE33" s="1424"/>
      <c r="BF33" s="1424"/>
      <c r="BG33" s="1424"/>
      <c r="BH33" s="1424"/>
      <c r="BI33" s="1424"/>
      <c r="BJ33" s="1424"/>
      <c r="BK33" s="1424"/>
      <c r="BL33" s="1424"/>
      <c r="BM33" s="1424"/>
      <c r="BN33" s="1424"/>
      <c r="BO33" s="1424"/>
      <c r="BP33" s="1424"/>
      <c r="BQ33" s="1424"/>
      <c r="BR33" s="1424"/>
      <c r="BS33" s="1424"/>
      <c r="BT33" s="1424"/>
      <c r="BU33" s="1424"/>
      <c r="BV33" s="1424"/>
      <c r="BW33" s="1424"/>
      <c r="BX33" s="1424"/>
      <c r="BY33" s="1424"/>
      <c r="BZ33" s="1424"/>
      <c r="CA33" s="1424"/>
      <c r="CB33" s="1424"/>
      <c r="CC33" s="1424"/>
      <c r="CD33" s="1424"/>
      <c r="CE33" s="1424"/>
      <c r="CF33" s="1424"/>
      <c r="CG33" s="1424"/>
      <c r="CH33" s="1424"/>
      <c r="CI33" s="1424"/>
      <c r="CJ33" s="1424"/>
      <c r="CK33" s="1424"/>
      <c r="CL33" s="1424"/>
      <c r="CM33" s="1424"/>
      <c r="CN33" s="1424"/>
      <c r="CO33" s="1424"/>
      <c r="CP33" s="1424"/>
      <c r="CQ33" s="1424"/>
      <c r="CR33" s="1424"/>
      <c r="CS33" s="1424"/>
      <c r="CT33" s="1424"/>
      <c r="CU33" s="1424"/>
      <c r="CV33" s="1424"/>
      <c r="CW33" s="1424"/>
      <c r="CX33" s="1424"/>
      <c r="CY33" s="1424"/>
      <c r="CZ33" s="1424"/>
      <c r="DA33" s="1424"/>
      <c r="DB33" s="1424"/>
      <c r="DC33" s="1424"/>
      <c r="DD33" s="1424"/>
      <c r="DE33" s="1424"/>
      <c r="DF33" s="1424"/>
      <c r="DG33" s="1424"/>
      <c r="DH33" s="1424"/>
      <c r="DI33" s="1424"/>
      <c r="DJ33" s="1424"/>
      <c r="DK33" s="1424"/>
      <c r="DL33" s="1424"/>
      <c r="DM33" s="1424"/>
      <c r="DN33" s="1424"/>
      <c r="DO33" s="1424"/>
      <c r="DP33" s="1424"/>
      <c r="DQ33" s="1424"/>
      <c r="DR33" s="1424"/>
      <c r="DS33" s="1424"/>
      <c r="DT33" s="1424"/>
      <c r="DU33" s="1424"/>
      <c r="DV33" s="1424"/>
      <c r="DW33" s="1424"/>
      <c r="DX33" s="1424"/>
      <c r="DY33" s="1424"/>
      <c r="DZ33" s="1424"/>
      <c r="EA33" s="1424"/>
      <c r="EB33" s="1424"/>
      <c r="EC33" s="1424"/>
      <c r="ED33" s="1424"/>
      <c r="EE33" s="1424"/>
      <c r="EF33" s="1424"/>
      <c r="EG33" s="1424"/>
      <c r="EH33" s="1424"/>
      <c r="EI33" s="1424"/>
      <c r="EJ33" s="1424"/>
      <c r="EK33" s="1424"/>
      <c r="EL33" s="1424"/>
      <c r="EM33" s="1424"/>
      <c r="EN33" s="1424"/>
      <c r="EO33" s="1424"/>
      <c r="EP33" s="1424"/>
      <c r="EQ33" s="1424"/>
      <c r="ER33" s="1424"/>
      <c r="ES33" s="1217"/>
    </row>
    <row r="34" spans="5:150" ht="15">
      <c r="E34" s="1223">
        <v>42736</v>
      </c>
      <c r="F34" s="1423"/>
      <c r="G34" s="1374">
        <v>132168</v>
      </c>
      <c r="H34" s="1423"/>
      <c r="I34" s="1423">
        <v>20850719</v>
      </c>
      <c r="J34" s="1423">
        <v>20850719</v>
      </c>
      <c r="K34" s="1423"/>
      <c r="L34" s="1423"/>
      <c r="M34" s="1423">
        <v>170974</v>
      </c>
      <c r="N34" s="1423">
        <v>170974</v>
      </c>
      <c r="O34" s="1423">
        <v>170974</v>
      </c>
      <c r="P34" s="1423"/>
      <c r="Q34" s="1423">
        <v>0</v>
      </c>
      <c r="R34" s="1423"/>
      <c r="S34" s="1423"/>
      <c r="T34" s="1423">
        <v>0</v>
      </c>
      <c r="U34" s="1423"/>
      <c r="V34" s="1423"/>
      <c r="W34" s="1423"/>
      <c r="X34" s="1423">
        <v>0</v>
      </c>
      <c r="Y34" s="1423">
        <v>0</v>
      </c>
      <c r="Z34" s="1423"/>
      <c r="AA34" s="1423"/>
      <c r="AB34" s="1423">
        <v>0</v>
      </c>
      <c r="AC34" s="1423"/>
      <c r="AD34" s="1423"/>
      <c r="AE34" s="1423"/>
      <c r="AF34" s="1423">
        <v>0</v>
      </c>
      <c r="AG34" s="1423"/>
      <c r="AH34" s="1423"/>
      <c r="AI34" s="1423"/>
      <c r="AJ34" s="1423"/>
      <c r="AK34" s="1423">
        <v>0</v>
      </c>
      <c r="AL34" s="1423"/>
      <c r="AM34" s="1423"/>
      <c r="AN34" s="1423"/>
      <c r="AO34" s="1423">
        <v>390211</v>
      </c>
      <c r="AP34" s="1423">
        <v>207901</v>
      </c>
      <c r="AQ34" s="1423">
        <v>182310</v>
      </c>
      <c r="AR34" s="1423">
        <v>182310</v>
      </c>
      <c r="AS34" s="1423"/>
      <c r="AT34" s="1423"/>
      <c r="AU34" s="1423"/>
      <c r="AV34" s="1423"/>
      <c r="AW34" s="1423"/>
      <c r="AX34" s="1423"/>
      <c r="AY34" s="1423">
        <v>45707989</v>
      </c>
      <c r="AZ34" s="1423">
        <v>0</v>
      </c>
      <c r="BA34" s="1423"/>
      <c r="BB34" s="1423"/>
      <c r="BC34" s="1423"/>
      <c r="BD34" s="1423">
        <v>45707989</v>
      </c>
      <c r="BE34" s="1423">
        <v>0</v>
      </c>
      <c r="BF34" s="1423"/>
      <c r="BG34" s="1423"/>
      <c r="BH34" s="1423"/>
      <c r="BI34" s="1423"/>
      <c r="BJ34" s="1423"/>
      <c r="BK34" s="1423"/>
      <c r="BL34" s="1423">
        <v>0</v>
      </c>
      <c r="BM34" s="1423">
        <v>0</v>
      </c>
      <c r="BN34" s="1423"/>
      <c r="BO34" s="1423"/>
      <c r="BP34" s="1423"/>
      <c r="BQ34" s="1423"/>
      <c r="BR34" s="1423"/>
      <c r="BS34" s="1423"/>
      <c r="BT34" s="1423">
        <v>0</v>
      </c>
      <c r="BU34" s="1423">
        <v>0</v>
      </c>
      <c r="BV34" s="1423"/>
      <c r="BW34" s="1423"/>
      <c r="BX34" s="1423"/>
      <c r="BY34" s="1423"/>
      <c r="BZ34" s="1423"/>
      <c r="CA34" s="1423"/>
      <c r="CB34" s="1423"/>
      <c r="CC34" s="1423">
        <v>137881</v>
      </c>
      <c r="CD34" s="1423">
        <v>0</v>
      </c>
      <c r="CE34" s="1423"/>
      <c r="CF34" s="1423">
        <v>0</v>
      </c>
      <c r="CG34" s="1423"/>
      <c r="CH34" s="1423"/>
      <c r="CI34" s="1423"/>
      <c r="CJ34" s="1423">
        <v>137881</v>
      </c>
      <c r="CK34" s="1423"/>
      <c r="CL34" s="1423">
        <v>137881</v>
      </c>
      <c r="CM34" s="1423"/>
      <c r="CN34" s="1423"/>
      <c r="CO34" s="1423"/>
      <c r="CP34" s="1423"/>
      <c r="CQ34" s="1423">
        <v>6000000</v>
      </c>
      <c r="CR34" s="1423"/>
      <c r="CS34" s="1423">
        <v>6000000</v>
      </c>
      <c r="CT34" s="1423"/>
      <c r="CU34" s="1423">
        <v>64844889</v>
      </c>
      <c r="CV34" s="1423">
        <v>59383242</v>
      </c>
      <c r="CW34" s="1423">
        <v>5461647</v>
      </c>
      <c r="CX34" s="1423"/>
      <c r="CY34" s="1423">
        <v>0</v>
      </c>
      <c r="CZ34" s="1423"/>
      <c r="DA34" s="1423">
        <v>0</v>
      </c>
      <c r="DB34" s="1423"/>
      <c r="DC34" s="1423"/>
      <c r="DD34" s="1423"/>
      <c r="DE34" s="1423">
        <v>0</v>
      </c>
      <c r="DF34" s="1423"/>
      <c r="DG34" s="1423"/>
      <c r="DH34" s="1423"/>
      <c r="DI34" s="1423">
        <v>0</v>
      </c>
      <c r="DJ34" s="1423"/>
      <c r="DK34" s="1423"/>
      <c r="DL34" s="1423"/>
      <c r="DM34" s="1423"/>
      <c r="DN34" s="1423">
        <v>0</v>
      </c>
      <c r="DO34" s="1423"/>
      <c r="DP34" s="1423">
        <v>0</v>
      </c>
      <c r="DQ34" s="1423"/>
      <c r="DR34" s="1423"/>
      <c r="DS34" s="1423"/>
      <c r="DT34" s="1423">
        <v>0</v>
      </c>
      <c r="DU34" s="1423"/>
      <c r="DV34" s="1423"/>
      <c r="DW34" s="1423"/>
      <c r="DX34" s="1423"/>
      <c r="DY34" s="1423">
        <v>580930</v>
      </c>
      <c r="DZ34" s="1423"/>
      <c r="EA34" s="1423">
        <v>0</v>
      </c>
      <c r="EB34" s="1423">
        <v>0</v>
      </c>
      <c r="EC34" s="1423"/>
      <c r="ED34" s="1423">
        <v>555237</v>
      </c>
      <c r="EE34" s="1423">
        <v>25693</v>
      </c>
      <c r="EF34" s="1423"/>
      <c r="EG34" s="1423"/>
      <c r="EH34" s="1423">
        <v>7688023.6400000006</v>
      </c>
      <c r="EI34" s="1423">
        <v>1978930.32</v>
      </c>
      <c r="EJ34" s="1423">
        <v>5014065.38</v>
      </c>
      <c r="EK34" s="1423">
        <v>695027.94</v>
      </c>
      <c r="EL34" s="1423"/>
      <c r="EM34" s="1423">
        <v>15329491</v>
      </c>
      <c r="EN34" s="1423"/>
      <c r="EO34" s="1423"/>
      <c r="EP34" s="1423"/>
      <c r="EQ34" s="1423"/>
      <c r="ER34" s="1423"/>
      <c r="ES34" s="1423">
        <v>161833275.63999999</v>
      </c>
      <c r="ET34" s="1222"/>
    </row>
    <row r="35" spans="5:150" ht="15">
      <c r="E35" s="1223">
        <v>42767</v>
      </c>
      <c r="F35" s="1423"/>
      <c r="G35" s="1374">
        <v>1821394</v>
      </c>
      <c r="H35" s="1423"/>
      <c r="I35" s="1423">
        <v>21101147</v>
      </c>
      <c r="J35" s="1423">
        <v>21101147</v>
      </c>
      <c r="K35" s="1423"/>
      <c r="L35" s="1423"/>
      <c r="M35" s="1423">
        <v>67878</v>
      </c>
      <c r="N35" s="1423">
        <v>67878</v>
      </c>
      <c r="O35" s="1423">
        <v>67878</v>
      </c>
      <c r="P35" s="1423"/>
      <c r="Q35" s="1423">
        <v>0</v>
      </c>
      <c r="R35" s="1423"/>
      <c r="S35" s="1423"/>
      <c r="T35" s="1423">
        <v>0</v>
      </c>
      <c r="U35" s="1423"/>
      <c r="V35" s="1423"/>
      <c r="W35" s="1423"/>
      <c r="X35" s="1423">
        <v>0</v>
      </c>
      <c r="Y35" s="1423">
        <v>0</v>
      </c>
      <c r="Z35" s="1423"/>
      <c r="AA35" s="1423"/>
      <c r="AB35" s="1423">
        <v>0</v>
      </c>
      <c r="AC35" s="1423"/>
      <c r="AD35" s="1423"/>
      <c r="AE35" s="1423"/>
      <c r="AF35" s="1423">
        <v>0</v>
      </c>
      <c r="AG35" s="1423"/>
      <c r="AH35" s="1423"/>
      <c r="AI35" s="1423"/>
      <c r="AJ35" s="1423"/>
      <c r="AK35" s="1423">
        <v>0</v>
      </c>
      <c r="AL35" s="1423"/>
      <c r="AM35" s="1423"/>
      <c r="AN35" s="1423"/>
      <c r="AO35" s="1423">
        <v>414848</v>
      </c>
      <c r="AP35" s="1423">
        <v>111868</v>
      </c>
      <c r="AQ35" s="1423">
        <v>302980</v>
      </c>
      <c r="AR35" s="1423">
        <v>302980</v>
      </c>
      <c r="AS35" s="1423"/>
      <c r="AT35" s="1423"/>
      <c r="AU35" s="1423"/>
      <c r="AV35" s="1423"/>
      <c r="AW35" s="1423"/>
      <c r="AX35" s="1423"/>
      <c r="AY35" s="1423">
        <v>49257009</v>
      </c>
      <c r="AZ35" s="1423">
        <v>0</v>
      </c>
      <c r="BA35" s="1423"/>
      <c r="BB35" s="1423"/>
      <c r="BC35" s="1423"/>
      <c r="BD35" s="1423">
        <v>49257009</v>
      </c>
      <c r="BE35" s="1423">
        <v>0</v>
      </c>
      <c r="BF35" s="1423"/>
      <c r="BG35" s="1423"/>
      <c r="BH35" s="1423"/>
      <c r="BI35" s="1423"/>
      <c r="BJ35" s="1423"/>
      <c r="BK35" s="1423"/>
      <c r="BL35" s="1423">
        <v>0</v>
      </c>
      <c r="BM35" s="1423">
        <v>0</v>
      </c>
      <c r="BN35" s="1423"/>
      <c r="BO35" s="1423"/>
      <c r="BP35" s="1423"/>
      <c r="BQ35" s="1423"/>
      <c r="BR35" s="1423"/>
      <c r="BS35" s="1423"/>
      <c r="BT35" s="1423">
        <v>0</v>
      </c>
      <c r="BU35" s="1423">
        <v>0</v>
      </c>
      <c r="BV35" s="1423"/>
      <c r="BW35" s="1423"/>
      <c r="BX35" s="1423"/>
      <c r="BY35" s="1423"/>
      <c r="BZ35" s="1423"/>
      <c r="CA35" s="1423"/>
      <c r="CB35" s="1423"/>
      <c r="CC35" s="1423">
        <v>139467</v>
      </c>
      <c r="CD35" s="1423">
        <v>0</v>
      </c>
      <c r="CE35" s="1423"/>
      <c r="CF35" s="1423">
        <v>0</v>
      </c>
      <c r="CG35" s="1423"/>
      <c r="CH35" s="1423"/>
      <c r="CI35" s="1423"/>
      <c r="CJ35" s="1423">
        <v>139467</v>
      </c>
      <c r="CK35" s="1423"/>
      <c r="CL35" s="1423">
        <v>139467</v>
      </c>
      <c r="CM35" s="1423"/>
      <c r="CN35" s="1423"/>
      <c r="CO35" s="1423"/>
      <c r="CP35" s="1423"/>
      <c r="CQ35" s="1423">
        <v>2000000</v>
      </c>
      <c r="CR35" s="1423"/>
      <c r="CS35" s="1423">
        <v>2000000</v>
      </c>
      <c r="CT35" s="1423"/>
      <c r="CU35" s="1423">
        <v>65106201</v>
      </c>
      <c r="CV35" s="1423">
        <v>59539265</v>
      </c>
      <c r="CW35" s="1423">
        <v>5566936</v>
      </c>
      <c r="CX35" s="1423"/>
      <c r="CY35" s="1423">
        <v>0</v>
      </c>
      <c r="CZ35" s="1423"/>
      <c r="DA35" s="1423">
        <v>0</v>
      </c>
      <c r="DB35" s="1423"/>
      <c r="DC35" s="1423"/>
      <c r="DD35" s="1423"/>
      <c r="DE35" s="1423">
        <v>0</v>
      </c>
      <c r="DF35" s="1423"/>
      <c r="DG35" s="1423"/>
      <c r="DH35" s="1423"/>
      <c r="DI35" s="1423">
        <v>0</v>
      </c>
      <c r="DJ35" s="1423"/>
      <c r="DK35" s="1423"/>
      <c r="DL35" s="1423"/>
      <c r="DM35" s="1423"/>
      <c r="DN35" s="1423">
        <v>0</v>
      </c>
      <c r="DO35" s="1423"/>
      <c r="DP35" s="1423">
        <v>0</v>
      </c>
      <c r="DQ35" s="1423"/>
      <c r="DR35" s="1423"/>
      <c r="DS35" s="1423"/>
      <c r="DT35" s="1423">
        <v>0</v>
      </c>
      <c r="DU35" s="1423"/>
      <c r="DV35" s="1423"/>
      <c r="DW35" s="1423"/>
      <c r="DX35" s="1423"/>
      <c r="DY35" s="1423">
        <v>549819</v>
      </c>
      <c r="DZ35" s="1423"/>
      <c r="EA35" s="1423">
        <v>0</v>
      </c>
      <c r="EB35" s="1423">
        <v>0</v>
      </c>
      <c r="EC35" s="1423"/>
      <c r="ED35" s="1423">
        <v>524395</v>
      </c>
      <c r="EE35" s="1423">
        <v>25424</v>
      </c>
      <c r="EF35" s="1423"/>
      <c r="EG35" s="1423"/>
      <c r="EH35" s="1423">
        <v>7813070.1500000004</v>
      </c>
      <c r="EI35" s="1423">
        <v>1975536.48</v>
      </c>
      <c r="EJ35" s="1423">
        <v>5103700.43</v>
      </c>
      <c r="EK35" s="1423">
        <v>733833.24</v>
      </c>
      <c r="EL35" s="1423"/>
      <c r="EM35" s="1423">
        <v>15136996</v>
      </c>
      <c r="EN35" s="1423"/>
      <c r="EO35" s="1423"/>
      <c r="EP35" s="1423"/>
      <c r="EQ35" s="1423"/>
      <c r="ER35" s="1423"/>
      <c r="ES35" s="1423">
        <v>163407829.15000001</v>
      </c>
      <c r="ET35" s="1222"/>
    </row>
    <row r="36" spans="5:150" ht="15">
      <c r="E36" s="1223">
        <v>42795</v>
      </c>
      <c r="F36" s="1423"/>
      <c r="G36" s="1374">
        <v>174141</v>
      </c>
      <c r="H36" s="1423"/>
      <c r="I36" s="1423">
        <v>27014412</v>
      </c>
      <c r="J36" s="1423">
        <v>27014412</v>
      </c>
      <c r="K36" s="1423"/>
      <c r="L36" s="1423"/>
      <c r="M36" s="1423">
        <v>120206</v>
      </c>
      <c r="N36" s="1423">
        <v>120206</v>
      </c>
      <c r="O36" s="1423">
        <v>120206</v>
      </c>
      <c r="P36" s="1423"/>
      <c r="Q36" s="1423">
        <v>0</v>
      </c>
      <c r="R36" s="1423"/>
      <c r="S36" s="1423"/>
      <c r="T36" s="1423">
        <v>0</v>
      </c>
      <c r="U36" s="1423"/>
      <c r="V36" s="1423"/>
      <c r="W36" s="1423"/>
      <c r="X36" s="1423">
        <v>0</v>
      </c>
      <c r="Y36" s="1423">
        <v>0</v>
      </c>
      <c r="Z36" s="1423"/>
      <c r="AA36" s="1423"/>
      <c r="AB36" s="1423">
        <v>0</v>
      </c>
      <c r="AC36" s="1423"/>
      <c r="AD36" s="1423"/>
      <c r="AE36" s="1423"/>
      <c r="AF36" s="1423">
        <v>0</v>
      </c>
      <c r="AG36" s="1423"/>
      <c r="AH36" s="1423"/>
      <c r="AI36" s="1423"/>
      <c r="AJ36" s="1423"/>
      <c r="AK36" s="1423">
        <v>0</v>
      </c>
      <c r="AL36" s="1423"/>
      <c r="AM36" s="1423"/>
      <c r="AN36" s="1423"/>
      <c r="AO36" s="1423">
        <v>256757</v>
      </c>
      <c r="AP36" s="1423">
        <v>78637</v>
      </c>
      <c r="AQ36" s="1423">
        <v>178120</v>
      </c>
      <c r="AR36" s="1423">
        <v>178120</v>
      </c>
      <c r="AS36" s="1423"/>
      <c r="AT36" s="1423"/>
      <c r="AU36" s="1423"/>
      <c r="AV36" s="1423"/>
      <c r="AW36" s="1423"/>
      <c r="AX36" s="1423"/>
      <c r="AY36" s="1423">
        <v>51015484</v>
      </c>
      <c r="AZ36" s="1423">
        <v>0</v>
      </c>
      <c r="BA36" s="1423"/>
      <c r="BB36" s="1423"/>
      <c r="BC36" s="1423"/>
      <c r="BD36" s="1423">
        <v>51015484</v>
      </c>
      <c r="BE36" s="1423">
        <v>0</v>
      </c>
      <c r="BF36" s="1423"/>
      <c r="BG36" s="1423"/>
      <c r="BH36" s="1423"/>
      <c r="BI36" s="1423"/>
      <c r="BJ36" s="1423"/>
      <c r="BK36" s="1423"/>
      <c r="BL36" s="1423">
        <v>0</v>
      </c>
      <c r="BM36" s="1423">
        <v>0</v>
      </c>
      <c r="BN36" s="1423"/>
      <c r="BO36" s="1423"/>
      <c r="BP36" s="1423"/>
      <c r="BQ36" s="1423"/>
      <c r="BR36" s="1423"/>
      <c r="BS36" s="1423"/>
      <c r="BT36" s="1423">
        <v>0</v>
      </c>
      <c r="BU36" s="1423">
        <v>0</v>
      </c>
      <c r="BV36" s="1423"/>
      <c r="BW36" s="1423"/>
      <c r="BX36" s="1423"/>
      <c r="BY36" s="1423"/>
      <c r="BZ36" s="1423"/>
      <c r="CA36" s="1423"/>
      <c r="CB36" s="1423"/>
      <c r="CC36" s="1423">
        <v>136743</v>
      </c>
      <c r="CD36" s="1423">
        <v>0</v>
      </c>
      <c r="CE36" s="1423"/>
      <c r="CF36" s="1423">
        <v>0</v>
      </c>
      <c r="CG36" s="1423"/>
      <c r="CH36" s="1423"/>
      <c r="CI36" s="1423"/>
      <c r="CJ36" s="1423">
        <v>136743</v>
      </c>
      <c r="CK36" s="1423"/>
      <c r="CL36" s="1423">
        <v>136743</v>
      </c>
      <c r="CM36" s="1423"/>
      <c r="CN36" s="1423"/>
      <c r="CO36" s="1423"/>
      <c r="CP36" s="1423"/>
      <c r="CQ36" s="1423">
        <v>2000000</v>
      </c>
      <c r="CR36" s="1423"/>
      <c r="CS36" s="1423">
        <v>2000000</v>
      </c>
      <c r="CT36" s="1423"/>
      <c r="CU36" s="1423">
        <v>65697046</v>
      </c>
      <c r="CV36" s="1423">
        <v>60317483</v>
      </c>
      <c r="CW36" s="1423">
        <v>5379563</v>
      </c>
      <c r="CX36" s="1423"/>
      <c r="CY36" s="1423">
        <v>0</v>
      </c>
      <c r="CZ36" s="1423"/>
      <c r="DA36" s="1423">
        <v>0</v>
      </c>
      <c r="DB36" s="1423"/>
      <c r="DC36" s="1423"/>
      <c r="DD36" s="1423"/>
      <c r="DE36" s="1423">
        <v>0</v>
      </c>
      <c r="DF36" s="1423"/>
      <c r="DG36" s="1423"/>
      <c r="DH36" s="1423"/>
      <c r="DI36" s="1423">
        <v>0</v>
      </c>
      <c r="DJ36" s="1423"/>
      <c r="DK36" s="1423"/>
      <c r="DL36" s="1423"/>
      <c r="DM36" s="1423"/>
      <c r="DN36" s="1423">
        <v>0</v>
      </c>
      <c r="DO36" s="1423"/>
      <c r="DP36" s="1423">
        <v>0</v>
      </c>
      <c r="DQ36" s="1423"/>
      <c r="DR36" s="1423"/>
      <c r="DS36" s="1423"/>
      <c r="DT36" s="1423">
        <v>0</v>
      </c>
      <c r="DU36" s="1423"/>
      <c r="DV36" s="1423"/>
      <c r="DW36" s="1423"/>
      <c r="DX36" s="1423"/>
      <c r="DY36" s="1423">
        <v>840108</v>
      </c>
      <c r="DZ36" s="1423"/>
      <c r="EA36" s="1423">
        <v>0</v>
      </c>
      <c r="EB36" s="1423">
        <v>0</v>
      </c>
      <c r="EC36" s="1423"/>
      <c r="ED36" s="1423">
        <v>814480</v>
      </c>
      <c r="EE36" s="1423">
        <v>25628</v>
      </c>
      <c r="EF36" s="1423"/>
      <c r="EG36" s="1423"/>
      <c r="EH36" s="1423">
        <v>7884559.29</v>
      </c>
      <c r="EI36" s="1423">
        <v>1972142.64</v>
      </c>
      <c r="EJ36" s="1423">
        <v>5168874.91</v>
      </c>
      <c r="EK36" s="1423">
        <v>743541.74</v>
      </c>
      <c r="EL36" s="1423"/>
      <c r="EM36" s="1423">
        <v>15250263</v>
      </c>
      <c r="EN36" s="1423"/>
      <c r="EO36" s="1423"/>
      <c r="EP36" s="1423"/>
      <c r="EQ36" s="1423"/>
      <c r="ER36" s="1423"/>
      <c r="ES36" s="1423">
        <v>170389719.28999999</v>
      </c>
      <c r="ET36" s="1222"/>
    </row>
    <row r="37" spans="5:150" ht="15">
      <c r="E37" s="1223">
        <v>42826</v>
      </c>
      <c r="F37" s="1423"/>
      <c r="G37" s="1374">
        <v>135818</v>
      </c>
      <c r="H37" s="1423"/>
      <c r="I37" s="1423">
        <v>36519466</v>
      </c>
      <c r="J37" s="1423">
        <v>36519466</v>
      </c>
      <c r="K37" s="1423"/>
      <c r="L37" s="1423"/>
      <c r="M37" s="1423">
        <v>161080</v>
      </c>
      <c r="N37" s="1423">
        <v>161080</v>
      </c>
      <c r="O37" s="1423">
        <v>161080</v>
      </c>
      <c r="P37" s="1423"/>
      <c r="Q37" s="1423">
        <v>0</v>
      </c>
      <c r="R37" s="1423"/>
      <c r="S37" s="1423"/>
      <c r="T37" s="1423">
        <v>0</v>
      </c>
      <c r="U37" s="1423"/>
      <c r="V37" s="1423"/>
      <c r="W37" s="1423"/>
      <c r="X37" s="1423">
        <v>0</v>
      </c>
      <c r="Y37" s="1423">
        <v>0</v>
      </c>
      <c r="Z37" s="1423"/>
      <c r="AA37" s="1423"/>
      <c r="AB37" s="1423">
        <v>0</v>
      </c>
      <c r="AC37" s="1423"/>
      <c r="AD37" s="1423"/>
      <c r="AE37" s="1423"/>
      <c r="AF37" s="1423">
        <v>0</v>
      </c>
      <c r="AG37" s="1423"/>
      <c r="AH37" s="1423"/>
      <c r="AI37" s="1423"/>
      <c r="AJ37" s="1423"/>
      <c r="AK37" s="1423">
        <v>0</v>
      </c>
      <c r="AL37" s="1423"/>
      <c r="AM37" s="1423"/>
      <c r="AN37" s="1423"/>
      <c r="AO37" s="1423">
        <v>615247</v>
      </c>
      <c r="AP37" s="1423">
        <v>116773</v>
      </c>
      <c r="AQ37" s="1423">
        <v>498474</v>
      </c>
      <c r="AR37" s="1423">
        <v>498474</v>
      </c>
      <c r="AS37" s="1423"/>
      <c r="AT37" s="1423"/>
      <c r="AU37" s="1423"/>
      <c r="AV37" s="1423"/>
      <c r="AW37" s="1423"/>
      <c r="AX37" s="1423"/>
      <c r="AY37" s="1423">
        <v>50910809</v>
      </c>
      <c r="AZ37" s="1423">
        <v>0</v>
      </c>
      <c r="BA37" s="1423"/>
      <c r="BB37" s="1423"/>
      <c r="BC37" s="1423"/>
      <c r="BD37" s="1423">
        <v>50910809</v>
      </c>
      <c r="BE37" s="1423">
        <v>0</v>
      </c>
      <c r="BF37" s="1423"/>
      <c r="BG37" s="1423"/>
      <c r="BH37" s="1423"/>
      <c r="BI37" s="1423"/>
      <c r="BJ37" s="1423"/>
      <c r="BK37" s="1423"/>
      <c r="BL37" s="1423">
        <v>0</v>
      </c>
      <c r="BM37" s="1423">
        <v>0</v>
      </c>
      <c r="BN37" s="1423"/>
      <c r="BO37" s="1423"/>
      <c r="BP37" s="1423"/>
      <c r="BQ37" s="1423"/>
      <c r="BR37" s="1423"/>
      <c r="BS37" s="1423"/>
      <c r="BT37" s="1423">
        <v>0</v>
      </c>
      <c r="BU37" s="1423">
        <v>0</v>
      </c>
      <c r="BV37" s="1423"/>
      <c r="BW37" s="1423"/>
      <c r="BX37" s="1423"/>
      <c r="BY37" s="1423"/>
      <c r="BZ37" s="1423"/>
      <c r="CA37" s="1423"/>
      <c r="CB37" s="1423"/>
      <c r="CC37" s="1423">
        <v>133924</v>
      </c>
      <c r="CD37" s="1423">
        <v>0</v>
      </c>
      <c r="CE37" s="1423"/>
      <c r="CF37" s="1423">
        <v>0</v>
      </c>
      <c r="CG37" s="1423"/>
      <c r="CH37" s="1423"/>
      <c r="CI37" s="1423"/>
      <c r="CJ37" s="1423">
        <v>133924</v>
      </c>
      <c r="CK37" s="1423"/>
      <c r="CL37" s="1423">
        <v>133924</v>
      </c>
      <c r="CM37" s="1423"/>
      <c r="CN37" s="1423"/>
      <c r="CO37" s="1423"/>
      <c r="CP37" s="1423"/>
      <c r="CQ37" s="1423">
        <v>1000000</v>
      </c>
      <c r="CR37" s="1423"/>
      <c r="CS37" s="1423">
        <v>1000000</v>
      </c>
      <c r="CT37" s="1423"/>
      <c r="CU37" s="1423">
        <v>63476613</v>
      </c>
      <c r="CV37" s="1423">
        <v>61185940</v>
      </c>
      <c r="CW37" s="1423">
        <v>2290673</v>
      </c>
      <c r="CX37" s="1423"/>
      <c r="CY37" s="1423">
        <v>0</v>
      </c>
      <c r="CZ37" s="1423"/>
      <c r="DA37" s="1423">
        <v>0</v>
      </c>
      <c r="DB37" s="1423"/>
      <c r="DC37" s="1423"/>
      <c r="DD37" s="1423"/>
      <c r="DE37" s="1423">
        <v>0</v>
      </c>
      <c r="DF37" s="1423"/>
      <c r="DG37" s="1423"/>
      <c r="DH37" s="1423"/>
      <c r="DI37" s="1423">
        <v>0</v>
      </c>
      <c r="DJ37" s="1423"/>
      <c r="DK37" s="1423"/>
      <c r="DL37" s="1423"/>
      <c r="DM37" s="1423"/>
      <c r="DN37" s="1423">
        <v>0</v>
      </c>
      <c r="DO37" s="1423"/>
      <c r="DP37" s="1423">
        <v>0</v>
      </c>
      <c r="DQ37" s="1423"/>
      <c r="DR37" s="1423"/>
      <c r="DS37" s="1423"/>
      <c r="DT37" s="1423">
        <v>0</v>
      </c>
      <c r="DU37" s="1423"/>
      <c r="DV37" s="1423"/>
      <c r="DW37" s="1423"/>
      <c r="DX37" s="1423"/>
      <c r="DY37" s="1423">
        <v>912827</v>
      </c>
      <c r="DZ37" s="1423"/>
      <c r="EA37" s="1423">
        <v>0</v>
      </c>
      <c r="EB37" s="1423">
        <v>0</v>
      </c>
      <c r="EC37" s="1423"/>
      <c r="ED37" s="1423">
        <v>886743</v>
      </c>
      <c r="EE37" s="1423">
        <v>26084</v>
      </c>
      <c r="EF37" s="1423"/>
      <c r="EG37" s="1423"/>
      <c r="EH37" s="1423">
        <v>7903721.9199999999</v>
      </c>
      <c r="EI37" s="1423">
        <v>1968748.79</v>
      </c>
      <c r="EJ37" s="1423">
        <v>5137691.21</v>
      </c>
      <c r="EK37" s="1423">
        <v>797281.92</v>
      </c>
      <c r="EL37" s="1423"/>
      <c r="EM37" s="1423">
        <v>15268235</v>
      </c>
      <c r="EN37" s="1423"/>
      <c r="EO37" s="1423"/>
      <c r="EP37" s="1423"/>
      <c r="EQ37" s="1423"/>
      <c r="ER37" s="1423"/>
      <c r="ES37" s="1423">
        <v>177037740.91999999</v>
      </c>
      <c r="ET37" s="1222"/>
    </row>
    <row r="38" spans="5:150" ht="15">
      <c r="E38" s="1223">
        <v>42856</v>
      </c>
      <c r="F38" s="1423"/>
      <c r="G38" s="1374">
        <v>152270</v>
      </c>
      <c r="H38" s="1423"/>
      <c r="I38" s="1423">
        <v>33868713</v>
      </c>
      <c r="J38" s="1423">
        <v>33868713</v>
      </c>
      <c r="K38" s="1423"/>
      <c r="L38" s="1423"/>
      <c r="M38" s="1423">
        <v>204934</v>
      </c>
      <c r="N38" s="1423">
        <v>204934</v>
      </c>
      <c r="O38" s="1423">
        <v>204934</v>
      </c>
      <c r="P38" s="1423"/>
      <c r="Q38" s="1423">
        <v>0</v>
      </c>
      <c r="R38" s="1423"/>
      <c r="S38" s="1423"/>
      <c r="T38" s="1423">
        <v>0</v>
      </c>
      <c r="U38" s="1423"/>
      <c r="V38" s="1423"/>
      <c r="W38" s="1423"/>
      <c r="X38" s="1423">
        <v>0</v>
      </c>
      <c r="Y38" s="1423">
        <v>0</v>
      </c>
      <c r="Z38" s="1423"/>
      <c r="AA38" s="1423"/>
      <c r="AB38" s="1423">
        <v>0</v>
      </c>
      <c r="AC38" s="1423"/>
      <c r="AD38" s="1423"/>
      <c r="AE38" s="1423"/>
      <c r="AF38" s="1423">
        <v>0</v>
      </c>
      <c r="AG38" s="1423"/>
      <c r="AH38" s="1423"/>
      <c r="AI38" s="1423"/>
      <c r="AJ38" s="1423"/>
      <c r="AK38" s="1423">
        <v>0</v>
      </c>
      <c r="AL38" s="1423"/>
      <c r="AM38" s="1423"/>
      <c r="AN38" s="1423"/>
      <c r="AO38" s="1423">
        <v>636878</v>
      </c>
      <c r="AP38" s="1423">
        <v>371832</v>
      </c>
      <c r="AQ38" s="1423">
        <v>265046</v>
      </c>
      <c r="AR38" s="1423">
        <v>265046</v>
      </c>
      <c r="AS38" s="1423"/>
      <c r="AT38" s="1423"/>
      <c r="AU38" s="1423"/>
      <c r="AV38" s="1423"/>
      <c r="AW38" s="1423"/>
      <c r="AX38" s="1423"/>
      <c r="AY38" s="1423">
        <v>54392842</v>
      </c>
      <c r="AZ38" s="1423">
        <v>0</v>
      </c>
      <c r="BA38" s="1423"/>
      <c r="BB38" s="1423"/>
      <c r="BC38" s="1423"/>
      <c r="BD38" s="1423">
        <v>54392842</v>
      </c>
      <c r="BE38" s="1423">
        <v>0</v>
      </c>
      <c r="BF38" s="1423"/>
      <c r="BG38" s="1423"/>
      <c r="BH38" s="1423"/>
      <c r="BI38" s="1423"/>
      <c r="BJ38" s="1423"/>
      <c r="BK38" s="1423"/>
      <c r="BL38" s="1423">
        <v>0</v>
      </c>
      <c r="BM38" s="1423">
        <v>0</v>
      </c>
      <c r="BN38" s="1423"/>
      <c r="BO38" s="1423"/>
      <c r="BP38" s="1423"/>
      <c r="BQ38" s="1423"/>
      <c r="BR38" s="1423"/>
      <c r="BS38" s="1423"/>
      <c r="BT38" s="1423">
        <v>0</v>
      </c>
      <c r="BU38" s="1423">
        <v>0</v>
      </c>
      <c r="BV38" s="1423"/>
      <c r="BW38" s="1423"/>
      <c r="BX38" s="1423"/>
      <c r="BY38" s="1423"/>
      <c r="BZ38" s="1423"/>
      <c r="CA38" s="1423"/>
      <c r="CB38" s="1423"/>
      <c r="CC38" s="1423">
        <v>131120</v>
      </c>
      <c r="CD38" s="1423">
        <v>0</v>
      </c>
      <c r="CE38" s="1423"/>
      <c r="CF38" s="1423">
        <v>0</v>
      </c>
      <c r="CG38" s="1423"/>
      <c r="CH38" s="1423"/>
      <c r="CI38" s="1423"/>
      <c r="CJ38" s="1423">
        <v>131120</v>
      </c>
      <c r="CK38" s="1423"/>
      <c r="CL38" s="1423">
        <v>131120</v>
      </c>
      <c r="CM38" s="1423"/>
      <c r="CN38" s="1423"/>
      <c r="CO38" s="1423"/>
      <c r="CP38" s="1423"/>
      <c r="CQ38" s="1423">
        <v>3000000</v>
      </c>
      <c r="CR38" s="1423"/>
      <c r="CS38" s="1423">
        <v>3000000</v>
      </c>
      <c r="CT38" s="1423"/>
      <c r="CU38" s="1423">
        <v>63955591</v>
      </c>
      <c r="CV38" s="1423">
        <v>61789131</v>
      </c>
      <c r="CW38" s="1423">
        <v>2166460</v>
      </c>
      <c r="CX38" s="1423"/>
      <c r="CY38" s="1423">
        <v>0</v>
      </c>
      <c r="CZ38" s="1423"/>
      <c r="DA38" s="1423">
        <v>0</v>
      </c>
      <c r="DB38" s="1423"/>
      <c r="DC38" s="1423"/>
      <c r="DD38" s="1423"/>
      <c r="DE38" s="1423">
        <v>0</v>
      </c>
      <c r="DF38" s="1423"/>
      <c r="DG38" s="1423"/>
      <c r="DH38" s="1423"/>
      <c r="DI38" s="1423">
        <v>0</v>
      </c>
      <c r="DJ38" s="1423"/>
      <c r="DK38" s="1423"/>
      <c r="DL38" s="1423"/>
      <c r="DM38" s="1423"/>
      <c r="DN38" s="1423">
        <v>0</v>
      </c>
      <c r="DO38" s="1423"/>
      <c r="DP38" s="1423">
        <v>0</v>
      </c>
      <c r="DQ38" s="1423"/>
      <c r="DR38" s="1423"/>
      <c r="DS38" s="1423"/>
      <c r="DT38" s="1423">
        <v>0</v>
      </c>
      <c r="DU38" s="1423"/>
      <c r="DV38" s="1423"/>
      <c r="DW38" s="1423"/>
      <c r="DX38" s="1423"/>
      <c r="DY38" s="1423">
        <v>1327618</v>
      </c>
      <c r="DZ38" s="1423"/>
      <c r="EA38" s="1423">
        <v>0</v>
      </c>
      <c r="EB38" s="1423">
        <v>0</v>
      </c>
      <c r="EC38" s="1423"/>
      <c r="ED38" s="1423">
        <v>1300753</v>
      </c>
      <c r="EE38" s="1423">
        <v>26865</v>
      </c>
      <c r="EF38" s="1423"/>
      <c r="EG38" s="1423"/>
      <c r="EH38" s="1423">
        <v>7960538.1099999994</v>
      </c>
      <c r="EI38" s="1423">
        <v>1965354.95</v>
      </c>
      <c r="EJ38" s="1423">
        <v>5069539.1099999994</v>
      </c>
      <c r="EK38" s="1423">
        <v>925644.05</v>
      </c>
      <c r="EL38" s="1423"/>
      <c r="EM38" s="1423">
        <v>14930035</v>
      </c>
      <c r="EN38" s="1423"/>
      <c r="EO38" s="1423"/>
      <c r="EP38" s="1423"/>
      <c r="EQ38" s="1423"/>
      <c r="ER38" s="1423"/>
      <c r="ES38" s="1423">
        <v>180560539.11000001</v>
      </c>
      <c r="ET38" s="1222"/>
    </row>
    <row r="39" spans="5:150" s="947" customFormat="1">
      <c r="E39" s="1223">
        <v>42887</v>
      </c>
      <c r="F39" s="1423">
        <v>42917</v>
      </c>
      <c r="G39" s="1374">
        <v>12327</v>
      </c>
      <c r="H39" s="1423"/>
      <c r="I39" s="1423">
        <v>29731092</v>
      </c>
      <c r="J39" s="1423">
        <v>29731092</v>
      </c>
      <c r="K39" s="1423"/>
      <c r="L39" s="1423"/>
      <c r="M39" s="1423">
        <v>33799</v>
      </c>
      <c r="N39" s="1423">
        <v>33799</v>
      </c>
      <c r="O39" s="1423">
        <v>33799</v>
      </c>
      <c r="P39" s="1423"/>
      <c r="Q39" s="1423">
        <v>0</v>
      </c>
      <c r="R39" s="1423"/>
      <c r="S39" s="1423"/>
      <c r="T39" s="1423">
        <v>0</v>
      </c>
      <c r="U39" s="1423"/>
      <c r="V39" s="1423"/>
      <c r="W39" s="1423"/>
      <c r="X39" s="1423">
        <v>0</v>
      </c>
      <c r="Y39" s="1423">
        <v>0</v>
      </c>
      <c r="Z39" s="1423"/>
      <c r="AA39" s="1423"/>
      <c r="AB39" s="1423">
        <v>0</v>
      </c>
      <c r="AC39" s="1423"/>
      <c r="AD39" s="1423"/>
      <c r="AE39" s="1423"/>
      <c r="AF39" s="1423">
        <v>0</v>
      </c>
      <c r="AG39" s="1423"/>
      <c r="AH39" s="1423"/>
      <c r="AI39" s="1423"/>
      <c r="AJ39" s="1423"/>
      <c r="AK39" s="1423">
        <v>0</v>
      </c>
      <c r="AL39" s="1423"/>
      <c r="AM39" s="1423"/>
      <c r="AN39" s="1423"/>
      <c r="AO39" s="1423">
        <v>226592</v>
      </c>
      <c r="AP39" s="1423">
        <v>92468</v>
      </c>
      <c r="AQ39" s="1423">
        <v>134124</v>
      </c>
      <c r="AR39" s="1423">
        <v>134124</v>
      </c>
      <c r="AS39" s="1423"/>
      <c r="AT39" s="1423"/>
      <c r="AU39" s="1423"/>
      <c r="AV39" s="1423"/>
      <c r="AW39" s="1423"/>
      <c r="AX39" s="1423"/>
      <c r="AY39" s="1423">
        <v>55471198</v>
      </c>
      <c r="AZ39" s="1423">
        <v>0</v>
      </c>
      <c r="BA39" s="1423"/>
      <c r="BB39" s="1423"/>
      <c r="BC39" s="1423"/>
      <c r="BD39" s="1423">
        <v>55471198</v>
      </c>
      <c r="BE39" s="1423">
        <v>0</v>
      </c>
      <c r="BF39" s="1423"/>
      <c r="BG39" s="1423"/>
      <c r="BH39" s="1423"/>
      <c r="BI39" s="1423"/>
      <c r="BJ39" s="1423"/>
      <c r="BK39" s="1423"/>
      <c r="BL39" s="1423">
        <v>0</v>
      </c>
      <c r="BM39" s="1423">
        <v>0</v>
      </c>
      <c r="BN39" s="1423"/>
      <c r="BO39" s="1423"/>
      <c r="BP39" s="1423"/>
      <c r="BQ39" s="1423"/>
      <c r="BR39" s="1423"/>
      <c r="BS39" s="1423"/>
      <c r="BT39" s="1423">
        <v>0</v>
      </c>
      <c r="BU39" s="1423">
        <v>0</v>
      </c>
      <c r="BV39" s="1423"/>
      <c r="BW39" s="1423"/>
      <c r="BX39" s="1423"/>
      <c r="BY39" s="1423"/>
      <c r="BZ39" s="1423"/>
      <c r="CA39" s="1423"/>
      <c r="CB39" s="1423"/>
      <c r="CC39" s="1423">
        <v>127219</v>
      </c>
      <c r="CD39" s="1423">
        <v>0</v>
      </c>
      <c r="CE39" s="1423"/>
      <c r="CF39" s="1423">
        <v>0</v>
      </c>
      <c r="CG39" s="1423"/>
      <c r="CH39" s="1423"/>
      <c r="CI39" s="1423"/>
      <c r="CJ39" s="1423">
        <v>127219</v>
      </c>
      <c r="CK39" s="1423"/>
      <c r="CL39" s="1423">
        <v>127219</v>
      </c>
      <c r="CM39" s="1423"/>
      <c r="CN39" s="1423"/>
      <c r="CO39" s="1423"/>
      <c r="CP39" s="1423"/>
      <c r="CQ39" s="1423">
        <v>12000000</v>
      </c>
      <c r="CR39" s="1423"/>
      <c r="CS39" s="1423">
        <v>12000000</v>
      </c>
      <c r="CT39" s="1423"/>
      <c r="CU39" s="1423">
        <v>66229973</v>
      </c>
      <c r="CV39" s="1423">
        <v>64008930</v>
      </c>
      <c r="CW39" s="1423">
        <v>2221043</v>
      </c>
      <c r="CX39" s="1423"/>
      <c r="CY39" s="1423">
        <v>0</v>
      </c>
      <c r="CZ39" s="1423"/>
      <c r="DA39" s="1423">
        <v>0</v>
      </c>
      <c r="DB39" s="1423"/>
      <c r="DC39" s="1423"/>
      <c r="DD39" s="1423"/>
      <c r="DE39" s="1423">
        <v>0</v>
      </c>
      <c r="DF39" s="1423"/>
      <c r="DG39" s="1423"/>
      <c r="DH39" s="1423"/>
      <c r="DI39" s="1423">
        <v>0</v>
      </c>
      <c r="DJ39" s="1423"/>
      <c r="DK39" s="1423"/>
      <c r="DL39" s="1423"/>
      <c r="DM39" s="1423"/>
      <c r="DN39" s="1423">
        <v>0</v>
      </c>
      <c r="DO39" s="1423"/>
      <c r="DP39" s="1423">
        <v>0</v>
      </c>
      <c r="DQ39" s="1423"/>
      <c r="DR39" s="1423"/>
      <c r="DS39" s="1423"/>
      <c r="DT39" s="1423">
        <v>0</v>
      </c>
      <c r="DU39" s="1423"/>
      <c r="DV39" s="1423"/>
      <c r="DW39" s="1423"/>
      <c r="DX39" s="1423"/>
      <c r="DY39" s="1423">
        <v>1251779</v>
      </c>
      <c r="DZ39" s="1423"/>
      <c r="EA39" s="1423">
        <v>0</v>
      </c>
      <c r="EB39" s="1423">
        <v>0</v>
      </c>
      <c r="EC39" s="1423"/>
      <c r="ED39" s="1423">
        <v>1224314</v>
      </c>
      <c r="EE39" s="1423">
        <v>27465</v>
      </c>
      <c r="EF39" s="1423"/>
      <c r="EG39" s="1423"/>
      <c r="EH39" s="1423">
        <v>8058278.1199999992</v>
      </c>
      <c r="EI39" s="1423">
        <v>1961961.1</v>
      </c>
      <c r="EJ39" s="1423">
        <v>5207620.42</v>
      </c>
      <c r="EK39" s="1423">
        <v>888696.6</v>
      </c>
      <c r="EL39" s="1423"/>
      <c r="EM39" s="1423">
        <v>15611275</v>
      </c>
      <c r="EN39" s="1423"/>
      <c r="EO39" s="1423"/>
      <c r="EP39" s="1423"/>
      <c r="EQ39" s="1423"/>
      <c r="ER39" s="1423"/>
      <c r="ES39" s="1423">
        <v>188753532.12</v>
      </c>
      <c r="ET39" s="1222"/>
    </row>
    <row r="40" spans="5:150" s="947" customFormat="1">
      <c r="E40" s="1223">
        <v>42917</v>
      </c>
      <c r="F40" s="1423"/>
      <c r="G40" s="1374">
        <v>53238</v>
      </c>
      <c r="H40" s="1423"/>
      <c r="I40" s="1423">
        <v>16350730</v>
      </c>
      <c r="J40" s="1423">
        <v>16350730</v>
      </c>
      <c r="K40" s="1423"/>
      <c r="L40" s="1423"/>
      <c r="M40" s="1423">
        <v>82746</v>
      </c>
      <c r="N40" s="1423">
        <v>82746</v>
      </c>
      <c r="O40" s="1423">
        <v>82746</v>
      </c>
      <c r="P40" s="1423"/>
      <c r="Q40" s="1423">
        <v>0</v>
      </c>
      <c r="R40" s="1423"/>
      <c r="S40" s="1423"/>
      <c r="T40" s="1423">
        <v>0</v>
      </c>
      <c r="U40" s="1423"/>
      <c r="V40" s="1423"/>
      <c r="W40" s="1423"/>
      <c r="X40" s="1423">
        <v>0</v>
      </c>
      <c r="Y40" s="1423">
        <v>0</v>
      </c>
      <c r="Z40" s="1423"/>
      <c r="AA40" s="1423"/>
      <c r="AB40" s="1423">
        <v>0</v>
      </c>
      <c r="AC40" s="1423"/>
      <c r="AD40" s="1423"/>
      <c r="AE40" s="1423"/>
      <c r="AF40" s="1423">
        <v>0</v>
      </c>
      <c r="AG40" s="1423"/>
      <c r="AH40" s="1423"/>
      <c r="AI40" s="1423"/>
      <c r="AJ40" s="1423"/>
      <c r="AK40" s="1423">
        <v>0</v>
      </c>
      <c r="AL40" s="1423"/>
      <c r="AM40" s="1423"/>
      <c r="AN40" s="1423"/>
      <c r="AO40" s="1423">
        <v>507801</v>
      </c>
      <c r="AP40" s="1423">
        <v>327650</v>
      </c>
      <c r="AQ40" s="1423">
        <v>180151</v>
      </c>
      <c r="AR40" s="1423">
        <v>180151</v>
      </c>
      <c r="AS40" s="1423"/>
      <c r="AT40" s="1423"/>
      <c r="AU40" s="1423"/>
      <c r="AV40" s="1423"/>
      <c r="AW40" s="1423"/>
      <c r="AX40" s="1423"/>
      <c r="AY40" s="1423">
        <v>55471198</v>
      </c>
      <c r="AZ40" s="1423">
        <v>0</v>
      </c>
      <c r="BA40" s="1423"/>
      <c r="BB40" s="1423"/>
      <c r="BC40" s="1423"/>
      <c r="BD40" s="1423">
        <v>55471198</v>
      </c>
      <c r="BE40" s="1423">
        <v>0</v>
      </c>
      <c r="BF40" s="1423"/>
      <c r="BG40" s="1423"/>
      <c r="BH40" s="1423"/>
      <c r="BI40" s="1423"/>
      <c r="BJ40" s="1423"/>
      <c r="BK40" s="1423"/>
      <c r="BL40" s="1423">
        <v>0</v>
      </c>
      <c r="BM40" s="1423">
        <v>0</v>
      </c>
      <c r="BN40" s="1423"/>
      <c r="BO40" s="1423"/>
      <c r="BP40" s="1423"/>
      <c r="BQ40" s="1423"/>
      <c r="BR40" s="1423"/>
      <c r="BS40" s="1423"/>
      <c r="BT40" s="1423">
        <v>0</v>
      </c>
      <c r="BU40" s="1423">
        <v>0</v>
      </c>
      <c r="BV40" s="1423"/>
      <c r="BW40" s="1423"/>
      <c r="BX40" s="1423"/>
      <c r="BY40" s="1423"/>
      <c r="BZ40" s="1423"/>
      <c r="CA40" s="1423"/>
      <c r="CB40" s="1423"/>
      <c r="CC40" s="1423">
        <v>119481</v>
      </c>
      <c r="CD40" s="1423">
        <v>0</v>
      </c>
      <c r="CE40" s="1423"/>
      <c r="CF40" s="1423">
        <v>0</v>
      </c>
      <c r="CG40" s="1423"/>
      <c r="CH40" s="1423"/>
      <c r="CI40" s="1423"/>
      <c r="CJ40" s="1423">
        <v>119481</v>
      </c>
      <c r="CK40" s="1423"/>
      <c r="CL40" s="1423">
        <v>119481</v>
      </c>
      <c r="CM40" s="1423"/>
      <c r="CN40" s="1423"/>
      <c r="CO40" s="1423"/>
      <c r="CP40" s="1423"/>
      <c r="CQ40" s="1423">
        <v>10000000</v>
      </c>
      <c r="CR40" s="1423"/>
      <c r="CS40" s="1423">
        <v>10000000</v>
      </c>
      <c r="CT40" s="1423"/>
      <c r="CU40" s="1423">
        <v>69435736</v>
      </c>
      <c r="CV40" s="1423">
        <v>67121352</v>
      </c>
      <c r="CW40" s="1423">
        <v>2314384</v>
      </c>
      <c r="CX40" s="1423"/>
      <c r="CY40" s="1423">
        <v>0</v>
      </c>
      <c r="CZ40" s="1423"/>
      <c r="DA40" s="1423">
        <v>0</v>
      </c>
      <c r="DB40" s="1423"/>
      <c r="DC40" s="1423"/>
      <c r="DD40" s="1423"/>
      <c r="DE40" s="1423">
        <v>0</v>
      </c>
      <c r="DF40" s="1423"/>
      <c r="DG40" s="1423"/>
      <c r="DH40" s="1423"/>
      <c r="DI40" s="1423">
        <v>0</v>
      </c>
      <c r="DJ40" s="1423"/>
      <c r="DK40" s="1423"/>
      <c r="DL40" s="1423"/>
      <c r="DM40" s="1423"/>
      <c r="DN40" s="1423">
        <v>0</v>
      </c>
      <c r="DO40" s="1423"/>
      <c r="DP40" s="1423">
        <v>0</v>
      </c>
      <c r="DQ40" s="1423"/>
      <c r="DR40" s="1423"/>
      <c r="DS40" s="1423"/>
      <c r="DT40" s="1423">
        <v>0</v>
      </c>
      <c r="DU40" s="1423"/>
      <c r="DV40" s="1423"/>
      <c r="DW40" s="1423"/>
      <c r="DX40" s="1423"/>
      <c r="DY40" s="1423">
        <v>1364190</v>
      </c>
      <c r="DZ40" s="1423"/>
      <c r="EA40" s="1423">
        <v>0</v>
      </c>
      <c r="EB40" s="1423">
        <v>0</v>
      </c>
      <c r="EC40" s="1423"/>
      <c r="ED40" s="1423">
        <v>1336005</v>
      </c>
      <c r="EE40" s="1423">
        <v>28185</v>
      </c>
      <c r="EF40" s="1423"/>
      <c r="EG40" s="1423"/>
      <c r="EH40" s="1423">
        <v>8050158.6399999997</v>
      </c>
      <c r="EI40" s="1423">
        <v>1958567.26</v>
      </c>
      <c r="EJ40" s="1423">
        <v>5142809.96</v>
      </c>
      <c r="EK40" s="1423">
        <v>948781.42</v>
      </c>
      <c r="EL40" s="1423"/>
      <c r="EM40" s="1423">
        <v>16239491</v>
      </c>
      <c r="EN40" s="1423"/>
      <c r="EO40" s="1423"/>
      <c r="EP40" s="1423"/>
      <c r="EQ40" s="1423"/>
      <c r="ER40" s="1423"/>
      <c r="ES40" s="1423">
        <v>177674769.63999999</v>
      </c>
      <c r="ET40" s="1222"/>
    </row>
    <row r="41" spans="5:150" ht="15">
      <c r="E41" s="1223">
        <v>42948</v>
      </c>
      <c r="F41" s="1423"/>
      <c r="G41" s="1374">
        <v>67582</v>
      </c>
      <c r="H41" s="1423"/>
      <c r="I41" s="1423">
        <v>36064035</v>
      </c>
      <c r="J41" s="1423">
        <v>36064035</v>
      </c>
      <c r="K41" s="1423"/>
      <c r="L41" s="1423"/>
      <c r="M41" s="1423">
        <v>134693</v>
      </c>
      <c r="N41" s="1423">
        <v>134693</v>
      </c>
      <c r="O41" s="1423">
        <v>134693</v>
      </c>
      <c r="P41" s="1423"/>
      <c r="Q41" s="1423">
        <v>0</v>
      </c>
      <c r="R41" s="1423"/>
      <c r="S41" s="1423"/>
      <c r="T41" s="1423">
        <v>0</v>
      </c>
      <c r="U41" s="1423"/>
      <c r="V41" s="1423"/>
      <c r="W41" s="1423"/>
      <c r="X41" s="1423">
        <v>0</v>
      </c>
      <c r="Y41" s="1423">
        <v>0</v>
      </c>
      <c r="Z41" s="1423"/>
      <c r="AA41" s="1423"/>
      <c r="AB41" s="1423">
        <v>0</v>
      </c>
      <c r="AC41" s="1423"/>
      <c r="AD41" s="1423"/>
      <c r="AE41" s="1423"/>
      <c r="AF41" s="1423">
        <v>0</v>
      </c>
      <c r="AG41" s="1423"/>
      <c r="AH41" s="1423"/>
      <c r="AI41" s="1423"/>
      <c r="AJ41" s="1423"/>
      <c r="AK41" s="1423">
        <v>0</v>
      </c>
      <c r="AL41" s="1423"/>
      <c r="AM41" s="1423"/>
      <c r="AN41" s="1423"/>
      <c r="AO41" s="1423">
        <v>606345</v>
      </c>
      <c r="AP41" s="1423">
        <v>395303</v>
      </c>
      <c r="AQ41" s="1423">
        <v>211042</v>
      </c>
      <c r="AR41" s="1423">
        <v>211042</v>
      </c>
      <c r="AS41" s="1423"/>
      <c r="AT41" s="1423"/>
      <c r="AU41" s="1423"/>
      <c r="AV41" s="1423"/>
      <c r="AW41" s="1423"/>
      <c r="AX41" s="1423"/>
      <c r="AY41" s="1423">
        <v>51377124</v>
      </c>
      <c r="AZ41" s="1423">
        <v>0</v>
      </c>
      <c r="BA41" s="1423"/>
      <c r="BB41" s="1423"/>
      <c r="BC41" s="1423"/>
      <c r="BD41" s="1423">
        <v>51377124</v>
      </c>
      <c r="BE41" s="1423">
        <v>0</v>
      </c>
      <c r="BF41" s="1423"/>
      <c r="BG41" s="1423"/>
      <c r="BH41" s="1423"/>
      <c r="BI41" s="1423"/>
      <c r="BJ41" s="1423"/>
      <c r="BK41" s="1423"/>
      <c r="BL41" s="1423">
        <v>0</v>
      </c>
      <c r="BM41" s="1423">
        <v>0</v>
      </c>
      <c r="BN41" s="1423"/>
      <c r="BO41" s="1423"/>
      <c r="BP41" s="1423"/>
      <c r="BQ41" s="1423"/>
      <c r="BR41" s="1423"/>
      <c r="BS41" s="1423"/>
      <c r="BT41" s="1423">
        <v>0</v>
      </c>
      <c r="BU41" s="1423">
        <v>0</v>
      </c>
      <c r="BV41" s="1423"/>
      <c r="BW41" s="1423"/>
      <c r="BX41" s="1423"/>
      <c r="BY41" s="1423"/>
      <c r="BZ41" s="1423"/>
      <c r="CA41" s="1423"/>
      <c r="CB41" s="1423"/>
      <c r="CC41" s="1423">
        <v>116210</v>
      </c>
      <c r="CD41" s="1423">
        <v>0</v>
      </c>
      <c r="CE41" s="1423"/>
      <c r="CF41" s="1423">
        <v>0</v>
      </c>
      <c r="CG41" s="1423"/>
      <c r="CH41" s="1423"/>
      <c r="CI41" s="1423"/>
      <c r="CJ41" s="1423">
        <v>116210</v>
      </c>
      <c r="CK41" s="1423"/>
      <c r="CL41" s="1423">
        <v>116210</v>
      </c>
      <c r="CM41" s="1423"/>
      <c r="CN41" s="1423"/>
      <c r="CO41" s="1423"/>
      <c r="CP41" s="1423"/>
      <c r="CQ41" s="1423">
        <v>4000000</v>
      </c>
      <c r="CR41" s="1423"/>
      <c r="CS41" s="1423">
        <v>4000000</v>
      </c>
      <c r="CT41" s="1423"/>
      <c r="CU41" s="1423">
        <v>71030020</v>
      </c>
      <c r="CV41" s="1423">
        <v>69807028</v>
      </c>
      <c r="CW41" s="1423">
        <v>1222992</v>
      </c>
      <c r="CX41" s="1423"/>
      <c r="CY41" s="1423">
        <v>0</v>
      </c>
      <c r="CZ41" s="1423"/>
      <c r="DA41" s="1423">
        <v>0</v>
      </c>
      <c r="DB41" s="1423"/>
      <c r="DC41" s="1423"/>
      <c r="DD41" s="1423"/>
      <c r="DE41" s="1423">
        <v>0</v>
      </c>
      <c r="DF41" s="1423"/>
      <c r="DG41" s="1423"/>
      <c r="DH41" s="1423"/>
      <c r="DI41" s="1423">
        <v>0</v>
      </c>
      <c r="DJ41" s="1423"/>
      <c r="DK41" s="1423"/>
      <c r="DL41" s="1423"/>
      <c r="DM41" s="1423"/>
      <c r="DN41" s="1423">
        <v>0</v>
      </c>
      <c r="DO41" s="1423"/>
      <c r="DP41" s="1423">
        <v>0</v>
      </c>
      <c r="DQ41" s="1423"/>
      <c r="DR41" s="1423"/>
      <c r="DS41" s="1423"/>
      <c r="DT41" s="1423">
        <v>0</v>
      </c>
      <c r="DU41" s="1423"/>
      <c r="DV41" s="1423"/>
      <c r="DW41" s="1423"/>
      <c r="DX41" s="1423"/>
      <c r="DY41" s="1423">
        <v>1629195</v>
      </c>
      <c r="DZ41" s="1423"/>
      <c r="EA41" s="1423">
        <v>0</v>
      </c>
      <c r="EB41" s="1423">
        <v>0</v>
      </c>
      <c r="EC41" s="1423"/>
      <c r="ED41" s="1423">
        <v>1600683</v>
      </c>
      <c r="EE41" s="1423">
        <v>28512</v>
      </c>
      <c r="EF41" s="1423"/>
      <c r="EG41" s="1423"/>
      <c r="EH41" s="1423">
        <v>8231515.3099999996</v>
      </c>
      <c r="EI41" s="1423">
        <v>1955173.41</v>
      </c>
      <c r="EJ41" s="1423">
        <v>2845388.27</v>
      </c>
      <c r="EK41" s="1423">
        <v>3430953.63</v>
      </c>
      <c r="EL41" s="1423"/>
      <c r="EM41" s="1423">
        <v>16164848</v>
      </c>
      <c r="EN41" s="1423"/>
      <c r="EO41" s="1423"/>
      <c r="EP41" s="1423"/>
      <c r="EQ41" s="1423"/>
      <c r="ER41" s="1423"/>
      <c r="ES41" s="1423">
        <v>189421567.31</v>
      </c>
      <c r="ET41" s="1222"/>
    </row>
    <row r="42" spans="5:150">
      <c r="E42" s="1223">
        <v>42979</v>
      </c>
      <c r="F42" s="1424"/>
      <c r="G42" s="1375">
        <v>9204</v>
      </c>
      <c r="H42" s="1424"/>
      <c r="I42" s="1424">
        <v>37750022</v>
      </c>
      <c r="J42" s="1424">
        <v>37750022</v>
      </c>
      <c r="K42" s="1424"/>
      <c r="L42" s="1424"/>
      <c r="M42" s="1424">
        <v>193573</v>
      </c>
      <c r="N42" s="1424">
        <v>193573</v>
      </c>
      <c r="O42" s="1424">
        <v>193573</v>
      </c>
      <c r="P42" s="1424"/>
      <c r="Q42" s="1424">
        <v>0</v>
      </c>
      <c r="R42" s="1424"/>
      <c r="S42" s="1424"/>
      <c r="T42" s="1424">
        <v>0</v>
      </c>
      <c r="U42" s="1424"/>
      <c r="V42" s="1424"/>
      <c r="W42" s="1424"/>
      <c r="X42" s="1424">
        <v>0</v>
      </c>
      <c r="Y42" s="1424">
        <v>0</v>
      </c>
      <c r="Z42" s="1424"/>
      <c r="AA42" s="1424"/>
      <c r="AB42" s="1424">
        <v>0</v>
      </c>
      <c r="AC42" s="1424"/>
      <c r="AD42" s="1424"/>
      <c r="AE42" s="1424"/>
      <c r="AF42" s="1424">
        <v>0</v>
      </c>
      <c r="AG42" s="1424"/>
      <c r="AH42" s="1424"/>
      <c r="AI42" s="1424"/>
      <c r="AJ42" s="1424"/>
      <c r="AK42" s="1424">
        <v>0</v>
      </c>
      <c r="AL42" s="1424"/>
      <c r="AM42" s="1424"/>
      <c r="AN42" s="1424"/>
      <c r="AO42" s="1424">
        <v>587246</v>
      </c>
      <c r="AP42" s="1424">
        <v>236956</v>
      </c>
      <c r="AQ42" s="1424">
        <v>350290</v>
      </c>
      <c r="AR42" s="1424">
        <v>350290</v>
      </c>
      <c r="AS42" s="1424"/>
      <c r="AT42" s="1424"/>
      <c r="AU42" s="1424"/>
      <c r="AV42" s="1424"/>
      <c r="AW42" s="1424"/>
      <c r="AX42" s="1424"/>
      <c r="AY42" s="1424">
        <v>51376312</v>
      </c>
      <c r="AZ42" s="1424">
        <v>0</v>
      </c>
      <c r="BA42" s="1424"/>
      <c r="BB42" s="1424"/>
      <c r="BC42" s="1424"/>
      <c r="BD42" s="1424">
        <v>51376312</v>
      </c>
      <c r="BE42" s="1424">
        <v>0</v>
      </c>
      <c r="BF42" s="1424"/>
      <c r="BG42" s="1424"/>
      <c r="BH42" s="1424"/>
      <c r="BI42" s="1424"/>
      <c r="BJ42" s="1424"/>
      <c r="BK42" s="1424"/>
      <c r="BL42" s="1424">
        <v>0</v>
      </c>
      <c r="BM42" s="1424">
        <v>0</v>
      </c>
      <c r="BN42" s="1424"/>
      <c r="BO42" s="1424"/>
      <c r="BP42" s="1424"/>
      <c r="BQ42" s="1424"/>
      <c r="BR42" s="1424"/>
      <c r="BS42" s="1424"/>
      <c r="BT42" s="1424">
        <v>0</v>
      </c>
      <c r="BU42" s="1424">
        <v>0</v>
      </c>
      <c r="BV42" s="1424"/>
      <c r="BW42" s="1424"/>
      <c r="BX42" s="1424"/>
      <c r="BY42" s="1424"/>
      <c r="BZ42" s="1424"/>
      <c r="CA42" s="1424"/>
      <c r="CB42" s="1424"/>
      <c r="CC42" s="1424">
        <v>117507</v>
      </c>
      <c r="CD42" s="1424">
        <v>0</v>
      </c>
      <c r="CE42" s="1424"/>
      <c r="CF42" s="1424">
        <v>0</v>
      </c>
      <c r="CG42" s="1424"/>
      <c r="CH42" s="1424"/>
      <c r="CI42" s="1424"/>
      <c r="CJ42" s="1424">
        <v>117507</v>
      </c>
      <c r="CK42" s="1424"/>
      <c r="CL42" s="1424">
        <v>117507</v>
      </c>
      <c r="CM42" s="1424"/>
      <c r="CN42" s="1424"/>
      <c r="CO42" s="1424"/>
      <c r="CP42" s="1424"/>
      <c r="CQ42" s="1424">
        <v>1000000</v>
      </c>
      <c r="CR42" s="1424"/>
      <c r="CS42" s="1424">
        <v>1000000</v>
      </c>
      <c r="CT42" s="1424"/>
      <c r="CU42" s="1424">
        <v>74615445</v>
      </c>
      <c r="CV42" s="1424">
        <v>73766725</v>
      </c>
      <c r="CW42" s="1424">
        <v>848720</v>
      </c>
      <c r="CX42" s="1424"/>
      <c r="CY42" s="1424">
        <v>0</v>
      </c>
      <c r="CZ42" s="1424"/>
      <c r="DA42" s="1424">
        <v>0</v>
      </c>
      <c r="DB42" s="1424"/>
      <c r="DC42" s="1424"/>
      <c r="DD42" s="1424"/>
      <c r="DE42" s="1424">
        <v>0</v>
      </c>
      <c r="DF42" s="1424"/>
      <c r="DG42" s="1424"/>
      <c r="DH42" s="1424"/>
      <c r="DI42" s="1424">
        <v>0</v>
      </c>
      <c r="DJ42" s="1424"/>
      <c r="DK42" s="1424"/>
      <c r="DL42" s="1424"/>
      <c r="DM42" s="1424"/>
      <c r="DN42" s="1424">
        <v>0</v>
      </c>
      <c r="DO42" s="1424"/>
      <c r="DP42" s="1424">
        <v>0</v>
      </c>
      <c r="DQ42" s="1424"/>
      <c r="DR42" s="1424"/>
      <c r="DS42" s="1424"/>
      <c r="DT42" s="1424">
        <v>0</v>
      </c>
      <c r="DU42" s="1424"/>
      <c r="DV42" s="1424"/>
      <c r="DW42" s="1424"/>
      <c r="DX42" s="1424"/>
      <c r="DY42" s="1424">
        <v>2977417</v>
      </c>
      <c r="DZ42" s="1424"/>
      <c r="EA42" s="1424">
        <v>0</v>
      </c>
      <c r="EB42" s="1424">
        <v>0</v>
      </c>
      <c r="EC42" s="1424"/>
      <c r="ED42" s="1424">
        <v>2949136</v>
      </c>
      <c r="EE42" s="1424">
        <v>28281</v>
      </c>
      <c r="EF42" s="1424"/>
      <c r="EG42" s="1424"/>
      <c r="EH42" s="1424">
        <v>8070727.0299999993</v>
      </c>
      <c r="EI42" s="1424">
        <v>1951779.57</v>
      </c>
      <c r="EJ42" s="1424">
        <v>2780572.9</v>
      </c>
      <c r="EK42" s="1424">
        <v>3338374.56</v>
      </c>
      <c r="EL42" s="1424"/>
      <c r="EM42" s="1424">
        <v>16696866</v>
      </c>
      <c r="EN42" s="1424"/>
      <c r="EO42" s="1424"/>
      <c r="EP42" s="1424"/>
      <c r="EQ42" s="1424"/>
      <c r="ER42" s="1424"/>
      <c r="ES42" s="1217">
        <v>193394319.03</v>
      </c>
    </row>
    <row r="43" spans="5:150" ht="15">
      <c r="E43" s="1226">
        <v>43009</v>
      </c>
      <c r="F43" s="1425"/>
      <c r="G43" s="1376">
        <v>22377</v>
      </c>
      <c r="H43" s="1425"/>
      <c r="I43" s="1425">
        <v>29561392</v>
      </c>
      <c r="J43" s="1425">
        <v>29561392</v>
      </c>
      <c r="K43" s="1425"/>
      <c r="L43" s="1425"/>
      <c r="M43" s="1425">
        <v>238559</v>
      </c>
      <c r="N43" s="1425">
        <v>238559</v>
      </c>
      <c r="O43" s="1425">
        <v>238559</v>
      </c>
      <c r="P43" s="1425"/>
      <c r="Q43" s="1425">
        <v>0</v>
      </c>
      <c r="R43" s="1425"/>
      <c r="S43" s="1425"/>
      <c r="T43" s="1425">
        <v>0</v>
      </c>
      <c r="U43" s="1425"/>
      <c r="V43" s="1425"/>
      <c r="W43" s="1425"/>
      <c r="X43" s="1425">
        <v>0</v>
      </c>
      <c r="Y43" s="1425">
        <v>0</v>
      </c>
      <c r="Z43" s="1425"/>
      <c r="AA43" s="1425"/>
      <c r="AB43" s="1425">
        <v>0</v>
      </c>
      <c r="AC43" s="1425"/>
      <c r="AD43" s="1425"/>
      <c r="AE43" s="1425"/>
      <c r="AF43" s="1425">
        <v>0</v>
      </c>
      <c r="AG43" s="1425"/>
      <c r="AH43" s="1425"/>
      <c r="AI43" s="1425"/>
      <c r="AJ43" s="1425"/>
      <c r="AK43" s="1425">
        <v>0</v>
      </c>
      <c r="AL43" s="1425"/>
      <c r="AM43" s="1425"/>
      <c r="AN43" s="1425"/>
      <c r="AO43" s="1425">
        <v>541420</v>
      </c>
      <c r="AP43" s="1425">
        <v>171974</v>
      </c>
      <c r="AQ43" s="1425">
        <v>369446</v>
      </c>
      <c r="AR43" s="1425">
        <v>369446</v>
      </c>
      <c r="AS43" s="1425"/>
      <c r="AT43" s="1425"/>
      <c r="AU43" s="1425"/>
      <c r="AV43" s="1425"/>
      <c r="AW43" s="1425"/>
      <c r="AX43" s="1425"/>
      <c r="AY43" s="1425">
        <v>65037827</v>
      </c>
      <c r="AZ43" s="1425">
        <v>0</v>
      </c>
      <c r="BA43" s="1425"/>
      <c r="BB43" s="1425"/>
      <c r="BC43" s="1425"/>
      <c r="BD43" s="1425">
        <v>65037827</v>
      </c>
      <c r="BE43" s="1425">
        <v>0</v>
      </c>
      <c r="BF43" s="1425"/>
      <c r="BG43" s="1425"/>
      <c r="BH43" s="1425"/>
      <c r="BI43" s="1425"/>
      <c r="BJ43" s="1425"/>
      <c r="BK43" s="1425"/>
      <c r="BL43" s="1425">
        <v>0</v>
      </c>
      <c r="BM43" s="1425">
        <v>0</v>
      </c>
      <c r="BN43" s="1425"/>
      <c r="BO43" s="1425"/>
      <c r="BP43" s="1425"/>
      <c r="BQ43" s="1425"/>
      <c r="BR43" s="1425"/>
      <c r="BS43" s="1425"/>
      <c r="BT43" s="1425">
        <v>0</v>
      </c>
      <c r="BU43" s="1425">
        <v>0</v>
      </c>
      <c r="BV43" s="1425"/>
      <c r="BW43" s="1425"/>
      <c r="BX43" s="1425"/>
      <c r="BY43" s="1425"/>
      <c r="BZ43" s="1425"/>
      <c r="CA43" s="1425"/>
      <c r="CB43" s="1425"/>
      <c r="CC43" s="1425">
        <v>110643</v>
      </c>
      <c r="CD43" s="1425">
        <v>0</v>
      </c>
      <c r="CE43" s="1425"/>
      <c r="CF43" s="1425">
        <v>0</v>
      </c>
      <c r="CG43" s="1425"/>
      <c r="CH43" s="1425"/>
      <c r="CI43" s="1425"/>
      <c r="CJ43" s="1425">
        <v>110643</v>
      </c>
      <c r="CK43" s="1425"/>
      <c r="CL43" s="1425">
        <v>110643</v>
      </c>
      <c r="CM43" s="1425"/>
      <c r="CN43" s="1425"/>
      <c r="CO43" s="1425"/>
      <c r="CP43" s="1425"/>
      <c r="CQ43" s="1425">
        <v>0</v>
      </c>
      <c r="CR43" s="1425"/>
      <c r="CS43" s="1425">
        <v>0</v>
      </c>
      <c r="CT43" s="1425"/>
      <c r="CU43" s="1425">
        <v>77597958</v>
      </c>
      <c r="CV43" s="1425">
        <v>76715451</v>
      </c>
      <c r="CW43" s="1425">
        <v>882507</v>
      </c>
      <c r="CX43" s="1425"/>
      <c r="CY43" s="1425">
        <v>0</v>
      </c>
      <c r="CZ43" s="1425"/>
      <c r="DA43" s="1425">
        <v>0</v>
      </c>
      <c r="DB43" s="1425"/>
      <c r="DC43" s="1425"/>
      <c r="DD43" s="1425"/>
      <c r="DE43" s="1425">
        <v>0</v>
      </c>
      <c r="DF43" s="1425"/>
      <c r="DG43" s="1425"/>
      <c r="DH43" s="1425"/>
      <c r="DI43" s="1425">
        <v>0</v>
      </c>
      <c r="DJ43" s="1425"/>
      <c r="DK43" s="1425"/>
      <c r="DL43" s="1425"/>
      <c r="DM43" s="1425"/>
      <c r="DN43" s="1425">
        <v>0</v>
      </c>
      <c r="DO43" s="1425"/>
      <c r="DP43" s="1425">
        <v>0</v>
      </c>
      <c r="DQ43" s="1425"/>
      <c r="DR43" s="1425"/>
      <c r="DS43" s="1425"/>
      <c r="DT43" s="1425">
        <v>0</v>
      </c>
      <c r="DU43" s="1425"/>
      <c r="DV43" s="1425"/>
      <c r="DW43" s="1425"/>
      <c r="DX43" s="1425"/>
      <c r="DY43" s="1425">
        <v>4901616</v>
      </c>
      <c r="DZ43" s="1425"/>
      <c r="EA43" s="1425">
        <v>0</v>
      </c>
      <c r="EB43" s="1425">
        <v>0</v>
      </c>
      <c r="EC43" s="1425"/>
      <c r="ED43" s="1425">
        <v>4873697</v>
      </c>
      <c r="EE43" s="1425">
        <v>27919</v>
      </c>
      <c r="EF43" s="1425"/>
      <c r="EG43" s="1425"/>
      <c r="EH43" s="1425">
        <v>7985010.7400000012</v>
      </c>
      <c r="EI43" s="1425">
        <v>1948385.73</v>
      </c>
      <c r="EJ43" s="1425">
        <v>5229849.4800000004</v>
      </c>
      <c r="EK43" s="1425">
        <v>806775.53</v>
      </c>
      <c r="EL43" s="1425"/>
      <c r="EM43" s="1425">
        <v>17314094</v>
      </c>
      <c r="EN43" s="1425"/>
      <c r="EO43" s="1425"/>
      <c r="EP43" s="1425"/>
      <c r="EQ43" s="1425"/>
      <c r="ER43" s="1425"/>
      <c r="ES43" s="1425">
        <v>203310896.74000001</v>
      </c>
      <c r="ET43" s="1227"/>
    </row>
    <row r="44" spans="5:150" s="1377" customFormat="1" ht="15">
      <c r="E44" s="1378">
        <v>43040</v>
      </c>
      <c r="F44" s="1428"/>
      <c r="G44" s="1382">
        <v>6381</v>
      </c>
      <c r="H44" s="1428"/>
      <c r="I44" s="1428">
        <v>47678788</v>
      </c>
      <c r="J44" s="1428">
        <v>47678788</v>
      </c>
      <c r="K44" s="1428"/>
      <c r="L44" s="1428"/>
      <c r="M44" s="1428">
        <v>65331</v>
      </c>
      <c r="N44" s="1428">
        <v>65331</v>
      </c>
      <c r="O44" s="1428">
        <v>65331</v>
      </c>
      <c r="P44" s="1428"/>
      <c r="Q44" s="1428">
        <v>0</v>
      </c>
      <c r="R44" s="1428"/>
      <c r="S44" s="1428"/>
      <c r="T44" s="1428">
        <v>0</v>
      </c>
      <c r="U44" s="1428"/>
      <c r="V44" s="1428"/>
      <c r="W44" s="1428"/>
      <c r="X44" s="1428">
        <v>0</v>
      </c>
      <c r="Y44" s="1428">
        <v>0</v>
      </c>
      <c r="Z44" s="1428"/>
      <c r="AA44" s="1428"/>
      <c r="AB44" s="1428">
        <v>0</v>
      </c>
      <c r="AC44" s="1428"/>
      <c r="AD44" s="1428"/>
      <c r="AE44" s="1428"/>
      <c r="AF44" s="1428">
        <v>0</v>
      </c>
      <c r="AG44" s="1428"/>
      <c r="AH44" s="1428"/>
      <c r="AI44" s="1428"/>
      <c r="AJ44" s="1428"/>
      <c r="AK44" s="1428">
        <v>0</v>
      </c>
      <c r="AL44" s="1428"/>
      <c r="AM44" s="1428"/>
      <c r="AN44" s="1428"/>
      <c r="AO44" s="1428">
        <v>906448</v>
      </c>
      <c r="AP44" s="1428">
        <v>95805</v>
      </c>
      <c r="AQ44" s="1428">
        <v>810643</v>
      </c>
      <c r="AR44" s="1428">
        <v>810643</v>
      </c>
      <c r="AS44" s="1428"/>
      <c r="AT44" s="1428"/>
      <c r="AU44" s="1428"/>
      <c r="AV44" s="1428"/>
      <c r="AW44" s="1428"/>
      <c r="AX44" s="1428"/>
      <c r="AY44" s="1428">
        <v>57020058</v>
      </c>
      <c r="AZ44" s="1428">
        <v>0</v>
      </c>
      <c r="BA44" s="1428"/>
      <c r="BB44" s="1428"/>
      <c r="BC44" s="1428"/>
      <c r="BD44" s="1428">
        <v>57020058</v>
      </c>
      <c r="BE44" s="1428">
        <v>0</v>
      </c>
      <c r="BF44" s="1428"/>
      <c r="BG44" s="1428"/>
      <c r="BH44" s="1428"/>
      <c r="BI44" s="1428"/>
      <c r="BJ44" s="1428"/>
      <c r="BK44" s="1428"/>
      <c r="BL44" s="1428">
        <v>0</v>
      </c>
      <c r="BM44" s="1428">
        <v>0</v>
      </c>
      <c r="BN44" s="1428"/>
      <c r="BO44" s="1428"/>
      <c r="BP44" s="1428"/>
      <c r="BQ44" s="1428"/>
      <c r="BR44" s="1428"/>
      <c r="BS44" s="1428"/>
      <c r="BT44" s="1428">
        <v>0</v>
      </c>
      <c r="BU44" s="1428">
        <v>0</v>
      </c>
      <c r="BV44" s="1428"/>
      <c r="BW44" s="1428"/>
      <c r="BX44" s="1428"/>
      <c r="BY44" s="1428"/>
      <c r="BZ44" s="1428"/>
      <c r="CA44" s="1428"/>
      <c r="CB44" s="1428"/>
      <c r="CC44" s="1428">
        <v>100022</v>
      </c>
      <c r="CD44" s="1428">
        <v>0</v>
      </c>
      <c r="CE44" s="1428"/>
      <c r="CF44" s="1428">
        <v>0</v>
      </c>
      <c r="CG44" s="1428"/>
      <c r="CH44" s="1428"/>
      <c r="CI44" s="1428"/>
      <c r="CJ44" s="1428">
        <v>100022</v>
      </c>
      <c r="CK44" s="1428"/>
      <c r="CL44" s="1428">
        <v>100022</v>
      </c>
      <c r="CM44" s="1428"/>
      <c r="CN44" s="1428"/>
      <c r="CO44" s="1428"/>
      <c r="CP44" s="1428"/>
      <c r="CQ44" s="1428">
        <v>0</v>
      </c>
      <c r="CR44" s="1428"/>
      <c r="CS44" s="1428">
        <v>0</v>
      </c>
      <c r="CT44" s="1428"/>
      <c r="CU44" s="1428">
        <v>79867127</v>
      </c>
      <c r="CV44" s="1428">
        <v>79138533</v>
      </c>
      <c r="CW44" s="1428">
        <v>728594</v>
      </c>
      <c r="CX44" s="1428"/>
      <c r="CY44" s="1428">
        <v>0</v>
      </c>
      <c r="CZ44" s="1428"/>
      <c r="DA44" s="1428">
        <v>0</v>
      </c>
      <c r="DB44" s="1428"/>
      <c r="DC44" s="1428"/>
      <c r="DD44" s="1428"/>
      <c r="DE44" s="1428">
        <v>0</v>
      </c>
      <c r="DF44" s="1428"/>
      <c r="DG44" s="1428"/>
      <c r="DH44" s="1428"/>
      <c r="DI44" s="1428">
        <v>0</v>
      </c>
      <c r="DJ44" s="1428"/>
      <c r="DK44" s="1428"/>
      <c r="DL44" s="1428"/>
      <c r="DM44" s="1428"/>
      <c r="DN44" s="1428">
        <v>0</v>
      </c>
      <c r="DO44" s="1428"/>
      <c r="DP44" s="1428">
        <v>0</v>
      </c>
      <c r="DQ44" s="1428"/>
      <c r="DR44" s="1428"/>
      <c r="DS44" s="1428"/>
      <c r="DT44" s="1428">
        <v>0</v>
      </c>
      <c r="DU44" s="1428"/>
      <c r="DV44" s="1428"/>
      <c r="DW44" s="1428"/>
      <c r="DX44" s="1428"/>
      <c r="DY44" s="1428">
        <v>3255256</v>
      </c>
      <c r="DZ44" s="1428"/>
      <c r="EA44" s="1428">
        <v>0</v>
      </c>
      <c r="EB44" s="1428">
        <v>0</v>
      </c>
      <c r="EC44" s="1428"/>
      <c r="ED44" s="1428">
        <v>3226775</v>
      </c>
      <c r="EE44" s="1428">
        <v>28481</v>
      </c>
      <c r="EF44" s="1428"/>
      <c r="EG44" s="1428"/>
      <c r="EH44" s="1428">
        <v>8182096.1500000004</v>
      </c>
      <c r="EI44" s="1428">
        <v>1944991.88</v>
      </c>
      <c r="EJ44" s="1428">
        <v>5454127.21</v>
      </c>
      <c r="EK44" s="1428">
        <v>782977.06</v>
      </c>
      <c r="EL44" s="1428"/>
      <c r="EM44" s="1428">
        <v>16737714</v>
      </c>
      <c r="EN44" s="1428"/>
      <c r="EO44" s="1428"/>
      <c r="EP44" s="1428"/>
      <c r="EQ44" s="1428"/>
      <c r="ER44" s="1428"/>
      <c r="ES44" s="1428">
        <v>213819221.15000001</v>
      </c>
    </row>
    <row r="45" spans="5:150" s="1369" customFormat="1" ht="15">
      <c r="E45" s="1370">
        <v>43070</v>
      </c>
      <c r="F45" s="1420"/>
      <c r="G45" s="1371">
        <v>102147</v>
      </c>
      <c r="H45" s="1420"/>
      <c r="I45" s="1420">
        <v>46529837</v>
      </c>
      <c r="J45" s="1420">
        <v>46529837</v>
      </c>
      <c r="K45" s="1420"/>
      <c r="L45" s="1420"/>
      <c r="M45" s="1420">
        <v>103829</v>
      </c>
      <c r="N45" s="1420">
        <v>103829</v>
      </c>
      <c r="O45" s="1420">
        <v>103829</v>
      </c>
      <c r="P45" s="1420"/>
      <c r="Q45" s="1420">
        <v>0</v>
      </c>
      <c r="R45" s="1420"/>
      <c r="S45" s="1420"/>
      <c r="T45" s="1420">
        <v>0</v>
      </c>
      <c r="U45" s="1420"/>
      <c r="V45" s="1420"/>
      <c r="W45" s="1420"/>
      <c r="X45" s="1420">
        <v>0</v>
      </c>
      <c r="Y45" s="1420">
        <v>0</v>
      </c>
      <c r="Z45" s="1420"/>
      <c r="AA45" s="1420"/>
      <c r="AB45" s="1420">
        <v>0</v>
      </c>
      <c r="AC45" s="1420"/>
      <c r="AD45" s="1420"/>
      <c r="AE45" s="1420"/>
      <c r="AF45" s="1420">
        <v>0</v>
      </c>
      <c r="AG45" s="1420"/>
      <c r="AH45" s="1420"/>
      <c r="AI45" s="1420"/>
      <c r="AJ45" s="1420"/>
      <c r="AK45" s="1420">
        <v>0</v>
      </c>
      <c r="AL45" s="1420"/>
      <c r="AM45" s="1420"/>
      <c r="AN45" s="1420"/>
      <c r="AO45" s="1420">
        <v>1004275</v>
      </c>
      <c r="AP45" s="1420">
        <v>216498</v>
      </c>
      <c r="AQ45" s="1420">
        <v>787777</v>
      </c>
      <c r="AR45" s="1420">
        <v>787777</v>
      </c>
      <c r="AS45" s="1420">
        <v>0</v>
      </c>
      <c r="AT45" s="1420"/>
      <c r="AU45" s="1420"/>
      <c r="AV45" s="1420"/>
      <c r="AW45" s="1420"/>
      <c r="AX45" s="1420"/>
      <c r="AY45" s="1420">
        <v>66774008</v>
      </c>
      <c r="AZ45" s="1420">
        <v>0</v>
      </c>
      <c r="BA45" s="1420"/>
      <c r="BB45" s="1420"/>
      <c r="BC45" s="1420"/>
      <c r="BD45" s="1420">
        <v>66774008</v>
      </c>
      <c r="BE45" s="1420">
        <v>0</v>
      </c>
      <c r="BF45" s="1420"/>
      <c r="BG45" s="1420"/>
      <c r="BH45" s="1420"/>
      <c r="BI45" s="1420"/>
      <c r="BJ45" s="1420"/>
      <c r="BK45" s="1420"/>
      <c r="BL45" s="1420">
        <v>0</v>
      </c>
      <c r="BM45" s="1420">
        <v>0</v>
      </c>
      <c r="BN45" s="1420"/>
      <c r="BO45" s="1420"/>
      <c r="BP45" s="1420"/>
      <c r="BQ45" s="1420"/>
      <c r="BR45" s="1420"/>
      <c r="BS45" s="1420"/>
      <c r="BT45" s="1420">
        <v>0</v>
      </c>
      <c r="BU45" s="1420">
        <v>0</v>
      </c>
      <c r="BV45" s="1420"/>
      <c r="BW45" s="1420"/>
      <c r="BX45" s="1420"/>
      <c r="BY45" s="1420"/>
      <c r="BZ45" s="1420"/>
      <c r="CA45" s="1420"/>
      <c r="CB45" s="1420"/>
      <c r="CC45" s="1420">
        <v>96547</v>
      </c>
      <c r="CD45" s="1420">
        <v>0</v>
      </c>
      <c r="CE45" s="1420"/>
      <c r="CF45" s="1420">
        <v>0</v>
      </c>
      <c r="CG45" s="1420"/>
      <c r="CH45" s="1420"/>
      <c r="CI45" s="1420"/>
      <c r="CJ45" s="1420">
        <v>96547</v>
      </c>
      <c r="CK45" s="1420"/>
      <c r="CL45" s="1420">
        <v>96547</v>
      </c>
      <c r="CM45" s="1420"/>
      <c r="CN45" s="1420"/>
      <c r="CO45" s="1420"/>
      <c r="CP45" s="1420"/>
      <c r="CQ45" s="1420">
        <v>0</v>
      </c>
      <c r="CR45" s="1420"/>
      <c r="CS45" s="1420">
        <v>0</v>
      </c>
      <c r="CT45" s="1420"/>
      <c r="CU45" s="1420">
        <v>84078051</v>
      </c>
      <c r="CV45" s="1420">
        <v>83192993</v>
      </c>
      <c r="CW45" s="1420">
        <v>885058</v>
      </c>
      <c r="CX45" s="1420"/>
      <c r="CY45" s="1420">
        <v>0</v>
      </c>
      <c r="CZ45" s="1420"/>
      <c r="DA45" s="1420">
        <v>0</v>
      </c>
      <c r="DB45" s="1420"/>
      <c r="DC45" s="1420"/>
      <c r="DD45" s="1420"/>
      <c r="DE45" s="1420">
        <v>0</v>
      </c>
      <c r="DF45" s="1420"/>
      <c r="DG45" s="1420"/>
      <c r="DH45" s="1420"/>
      <c r="DI45" s="1420">
        <v>0</v>
      </c>
      <c r="DJ45" s="1420"/>
      <c r="DK45" s="1420"/>
      <c r="DL45" s="1420"/>
      <c r="DM45" s="1420"/>
      <c r="DN45" s="1420">
        <v>0</v>
      </c>
      <c r="DO45" s="1420"/>
      <c r="DP45" s="1420">
        <v>0</v>
      </c>
      <c r="DQ45" s="1420"/>
      <c r="DR45" s="1420"/>
      <c r="DS45" s="1420"/>
      <c r="DT45" s="1420">
        <v>0</v>
      </c>
      <c r="DU45" s="1420"/>
      <c r="DV45" s="1420"/>
      <c r="DW45" s="1420"/>
      <c r="DX45" s="1420"/>
      <c r="DY45" s="1420">
        <v>2663708</v>
      </c>
      <c r="DZ45" s="1420"/>
      <c r="EA45" s="1420">
        <v>0</v>
      </c>
      <c r="EB45" s="1420">
        <v>0</v>
      </c>
      <c r="EC45" s="1420"/>
      <c r="ED45" s="1420">
        <v>2635028</v>
      </c>
      <c r="EE45" s="1420">
        <v>28680</v>
      </c>
      <c r="EF45" s="1420"/>
      <c r="EG45" s="1420"/>
      <c r="EH45" s="1420">
        <v>8058726.5700000003</v>
      </c>
      <c r="EI45" s="1420">
        <v>1941598.04</v>
      </c>
      <c r="EJ45" s="1420">
        <v>5356474.88</v>
      </c>
      <c r="EK45" s="1420">
        <v>760653.65</v>
      </c>
      <c r="EL45" s="1420"/>
      <c r="EM45" s="1420">
        <v>17295891</v>
      </c>
      <c r="EN45" s="1420"/>
      <c r="EO45" s="1420"/>
      <c r="EP45" s="1420"/>
      <c r="EQ45" s="1420"/>
      <c r="ER45" s="1420"/>
      <c r="ES45" s="1420">
        <v>226707019.56999999</v>
      </c>
      <c r="ET45" s="1371"/>
    </row>
    <row r="46" spans="5:150" s="1377" customFormat="1" ht="15">
      <c r="F46" s="1428"/>
      <c r="G46" s="1382"/>
      <c r="H46" s="1428"/>
      <c r="I46" s="1428"/>
      <c r="J46" s="1428"/>
      <c r="K46" s="1428"/>
      <c r="L46" s="1428"/>
      <c r="M46" s="1428"/>
      <c r="N46" s="1428"/>
      <c r="O46" s="1428"/>
      <c r="P46" s="1428"/>
      <c r="Q46" s="1428"/>
      <c r="R46" s="1428"/>
      <c r="S46" s="1428"/>
      <c r="T46" s="1428"/>
      <c r="U46" s="1428"/>
      <c r="V46" s="1428"/>
      <c r="W46" s="1428"/>
      <c r="X46" s="1428"/>
      <c r="Y46" s="1428"/>
      <c r="Z46" s="1428"/>
      <c r="AA46" s="1428"/>
      <c r="AB46" s="1428"/>
      <c r="AC46" s="1428"/>
      <c r="AD46" s="1428"/>
      <c r="AE46" s="1428"/>
      <c r="AF46" s="1428"/>
      <c r="AG46" s="1428"/>
      <c r="AH46" s="1428"/>
      <c r="AI46" s="1428"/>
      <c r="AJ46" s="1428"/>
      <c r="AK46" s="1428"/>
      <c r="AL46" s="1428"/>
      <c r="AM46" s="1428"/>
      <c r="AN46" s="1428"/>
      <c r="AO46" s="1428"/>
      <c r="AP46" s="1428"/>
      <c r="AQ46" s="1428"/>
      <c r="AR46" s="1428"/>
      <c r="AS46" s="1428"/>
      <c r="AT46" s="1428"/>
      <c r="AU46" s="1428"/>
      <c r="AV46" s="1428"/>
      <c r="AW46" s="1428"/>
      <c r="AX46" s="1428"/>
      <c r="AY46" s="1428"/>
      <c r="AZ46" s="1428"/>
      <c r="BA46" s="1428"/>
      <c r="BB46" s="1428"/>
      <c r="BC46" s="1428"/>
      <c r="BD46" s="1428"/>
      <c r="BE46" s="1428"/>
      <c r="BF46" s="1428"/>
      <c r="BG46" s="1428"/>
      <c r="BH46" s="1428"/>
      <c r="BI46" s="1428"/>
      <c r="BJ46" s="1428"/>
      <c r="BK46" s="1428"/>
      <c r="BL46" s="1428"/>
      <c r="BM46" s="1428"/>
      <c r="BN46" s="1428"/>
      <c r="BO46" s="1428"/>
      <c r="BP46" s="1428"/>
      <c r="BQ46" s="1428"/>
      <c r="BR46" s="1428"/>
      <c r="BS46" s="1428"/>
      <c r="BT46" s="1428"/>
      <c r="BU46" s="1428"/>
      <c r="BV46" s="1428"/>
      <c r="BW46" s="1428"/>
      <c r="BX46" s="1428"/>
      <c r="BY46" s="1428"/>
      <c r="BZ46" s="1428"/>
      <c r="CA46" s="1428"/>
      <c r="CB46" s="1428"/>
      <c r="CC46" s="1428"/>
      <c r="CD46" s="1428"/>
      <c r="CE46" s="1428"/>
      <c r="CF46" s="1428"/>
      <c r="CG46" s="1428"/>
      <c r="CH46" s="1428"/>
      <c r="CI46" s="1428"/>
      <c r="CJ46" s="1428"/>
      <c r="CK46" s="1428"/>
      <c r="CL46" s="1428"/>
      <c r="CM46" s="1428"/>
      <c r="CN46" s="1428"/>
      <c r="CO46" s="1428"/>
      <c r="CP46" s="1428"/>
      <c r="CQ46" s="1428"/>
      <c r="CR46" s="1428"/>
      <c r="CS46" s="1428"/>
      <c r="CT46" s="1428"/>
      <c r="CU46" s="1428"/>
      <c r="CV46" s="1428"/>
      <c r="CW46" s="1428"/>
      <c r="CX46" s="1428"/>
      <c r="CY46" s="1428"/>
      <c r="CZ46" s="1428"/>
      <c r="DA46" s="1428"/>
      <c r="DB46" s="1428"/>
      <c r="DC46" s="1428"/>
      <c r="DD46" s="1428"/>
      <c r="DE46" s="1428"/>
      <c r="DF46" s="1428"/>
      <c r="DG46" s="1428"/>
      <c r="DH46" s="1428"/>
      <c r="DI46" s="1428"/>
      <c r="DJ46" s="1428"/>
      <c r="DK46" s="1428"/>
      <c r="DL46" s="1428"/>
      <c r="DM46" s="1428"/>
      <c r="DN46" s="1428"/>
      <c r="DO46" s="1428"/>
      <c r="DP46" s="1428"/>
      <c r="DQ46" s="1428"/>
      <c r="DR46" s="1428"/>
      <c r="DS46" s="1428"/>
      <c r="DT46" s="1428"/>
      <c r="DU46" s="1428"/>
      <c r="DV46" s="1428"/>
      <c r="DW46" s="1428"/>
      <c r="DX46" s="1428"/>
      <c r="DY46" s="1428"/>
      <c r="DZ46" s="1428"/>
      <c r="EA46" s="1428"/>
      <c r="EB46" s="1428"/>
      <c r="EC46" s="1428"/>
      <c r="ED46" s="1428"/>
      <c r="EE46" s="1428"/>
      <c r="EF46" s="1428"/>
      <c r="EG46" s="1428"/>
      <c r="EH46" s="1428"/>
      <c r="EI46" s="1428"/>
      <c r="EJ46" s="1428"/>
      <c r="EK46" s="1428"/>
      <c r="EL46" s="1428"/>
      <c r="EM46" s="1428"/>
      <c r="EN46" s="1428"/>
      <c r="EO46" s="1428"/>
      <c r="EP46" s="1428"/>
      <c r="EQ46" s="1428"/>
      <c r="ER46" s="1428"/>
      <c r="ES46" s="1420"/>
    </row>
    <row r="47" spans="5:150" s="1377" customFormat="1" ht="15">
      <c r="F47" s="1428"/>
      <c r="G47" s="1382"/>
      <c r="H47" s="1428"/>
      <c r="I47" s="1428"/>
      <c r="J47" s="1428"/>
      <c r="K47" s="1428"/>
      <c r="L47" s="1428"/>
      <c r="M47" s="1428"/>
      <c r="N47" s="1428"/>
      <c r="O47" s="1428"/>
      <c r="P47" s="1428"/>
      <c r="Q47" s="1428"/>
      <c r="R47" s="1428"/>
      <c r="S47" s="1428"/>
      <c r="T47" s="1428"/>
      <c r="U47" s="1428"/>
      <c r="V47" s="1428"/>
      <c r="W47" s="1428"/>
      <c r="X47" s="1428"/>
      <c r="Y47" s="1428"/>
      <c r="Z47" s="1428"/>
      <c r="AA47" s="1428"/>
      <c r="AB47" s="1428"/>
      <c r="AC47" s="1428"/>
      <c r="AD47" s="1428"/>
      <c r="AE47" s="1428"/>
      <c r="AF47" s="1428"/>
      <c r="AG47" s="1428"/>
      <c r="AH47" s="1428"/>
      <c r="AI47" s="1428"/>
      <c r="AJ47" s="1428"/>
      <c r="AK47" s="1428"/>
      <c r="AL47" s="1428"/>
      <c r="AM47" s="1428"/>
      <c r="AN47" s="1428"/>
      <c r="AO47" s="1428"/>
      <c r="AP47" s="1428"/>
      <c r="AQ47" s="1428"/>
      <c r="AR47" s="1428"/>
      <c r="AS47" s="1428"/>
      <c r="AT47" s="1428"/>
      <c r="AU47" s="1428"/>
      <c r="AV47" s="1428"/>
      <c r="AW47" s="1428"/>
      <c r="AX47" s="1428"/>
      <c r="AY47" s="1428"/>
      <c r="AZ47" s="1428"/>
      <c r="BA47" s="1428"/>
      <c r="BB47" s="1428"/>
      <c r="BC47" s="1428"/>
      <c r="BD47" s="1428"/>
      <c r="BE47" s="1428"/>
      <c r="BF47" s="1428"/>
      <c r="BG47" s="1428"/>
      <c r="BH47" s="1428"/>
      <c r="BI47" s="1428"/>
      <c r="BJ47" s="1428"/>
      <c r="BK47" s="1428"/>
      <c r="BL47" s="1428"/>
      <c r="BM47" s="1428"/>
      <c r="BN47" s="1428"/>
      <c r="BO47" s="1428"/>
      <c r="BP47" s="1428"/>
      <c r="BQ47" s="1428"/>
      <c r="BR47" s="1428"/>
      <c r="BS47" s="1428"/>
      <c r="BT47" s="1428"/>
      <c r="BU47" s="1428"/>
      <c r="BV47" s="1428"/>
      <c r="BW47" s="1428"/>
      <c r="BX47" s="1428"/>
      <c r="BY47" s="1428"/>
      <c r="BZ47" s="1428"/>
      <c r="CA47" s="1428"/>
      <c r="CB47" s="1428"/>
      <c r="CC47" s="1428"/>
      <c r="CD47" s="1428"/>
      <c r="CE47" s="1428"/>
      <c r="CF47" s="1428"/>
      <c r="CG47" s="1428"/>
      <c r="CH47" s="1428"/>
      <c r="CI47" s="1428"/>
      <c r="CJ47" s="1428"/>
      <c r="CK47" s="1428"/>
      <c r="CL47" s="1428"/>
      <c r="CM47" s="1428"/>
      <c r="CN47" s="1428"/>
      <c r="CO47" s="1428"/>
      <c r="CP47" s="1428"/>
      <c r="CQ47" s="1428"/>
      <c r="CR47" s="1428"/>
      <c r="CS47" s="1428"/>
      <c r="CT47" s="1428"/>
      <c r="CU47" s="1428"/>
      <c r="CV47" s="1428"/>
      <c r="CW47" s="1428"/>
      <c r="CX47" s="1428"/>
      <c r="CY47" s="1428"/>
      <c r="CZ47" s="1428"/>
      <c r="DA47" s="1428"/>
      <c r="DB47" s="1428"/>
      <c r="DC47" s="1428"/>
      <c r="DD47" s="1428"/>
      <c r="DE47" s="1428"/>
      <c r="DF47" s="1428"/>
      <c r="DG47" s="1428"/>
      <c r="DH47" s="1428"/>
      <c r="DI47" s="1428"/>
      <c r="DJ47" s="1428"/>
      <c r="DK47" s="1428"/>
      <c r="DL47" s="1428"/>
      <c r="DM47" s="1428"/>
      <c r="DN47" s="1428"/>
      <c r="DO47" s="1428"/>
      <c r="DP47" s="1428"/>
      <c r="DQ47" s="1428"/>
      <c r="DR47" s="1428"/>
      <c r="DS47" s="1428"/>
      <c r="DT47" s="1428"/>
      <c r="DU47" s="1428"/>
      <c r="DV47" s="1428"/>
      <c r="DW47" s="1428"/>
      <c r="DX47" s="1428"/>
      <c r="DY47" s="1428"/>
      <c r="DZ47" s="1428"/>
      <c r="EA47" s="1428"/>
      <c r="EB47" s="1428"/>
      <c r="EC47" s="1428"/>
      <c r="ED47" s="1428"/>
      <c r="EE47" s="1428"/>
      <c r="EF47" s="1428"/>
      <c r="EG47" s="1428"/>
      <c r="EH47" s="1428"/>
      <c r="EI47" s="1428"/>
      <c r="EJ47" s="1428"/>
      <c r="EK47" s="1428"/>
      <c r="EL47" s="1428"/>
      <c r="EM47" s="1428"/>
      <c r="EN47" s="1428"/>
      <c r="EO47" s="1428"/>
      <c r="EP47" s="1428"/>
      <c r="EQ47" s="1428"/>
      <c r="ER47" s="1428"/>
      <c r="ES47" s="1420"/>
    </row>
    <row r="48" spans="5:150" s="1377" customFormat="1" ht="15">
      <c r="E48" s="1370">
        <v>43101</v>
      </c>
      <c r="F48" s="1428"/>
      <c r="G48" s="1382">
        <v>119885</v>
      </c>
      <c r="H48" s="1428"/>
      <c r="I48" s="1428">
        <v>36071859</v>
      </c>
      <c r="J48" s="1428">
        <v>36071859</v>
      </c>
      <c r="K48" s="1428"/>
      <c r="L48" s="1428"/>
      <c r="M48" s="1428">
        <v>159564</v>
      </c>
      <c r="N48" s="1428">
        <v>159564</v>
      </c>
      <c r="O48" s="1428">
        <v>159564</v>
      </c>
      <c r="P48" s="1428"/>
      <c r="Q48" s="1428">
        <v>0</v>
      </c>
      <c r="R48" s="1428"/>
      <c r="S48" s="1428"/>
      <c r="T48" s="1428">
        <v>0</v>
      </c>
      <c r="U48" s="1428"/>
      <c r="V48" s="1428"/>
      <c r="W48" s="1428"/>
      <c r="X48" s="1428">
        <v>0</v>
      </c>
      <c r="Y48" s="1428">
        <v>0</v>
      </c>
      <c r="Z48" s="1428"/>
      <c r="AA48" s="1428"/>
      <c r="AB48" s="1428">
        <v>0</v>
      </c>
      <c r="AC48" s="1428"/>
      <c r="AD48" s="1428"/>
      <c r="AE48" s="1428"/>
      <c r="AF48" s="1428">
        <v>0</v>
      </c>
      <c r="AG48" s="1428"/>
      <c r="AH48" s="1428"/>
      <c r="AI48" s="1428"/>
      <c r="AJ48" s="1428"/>
      <c r="AK48" s="1428">
        <v>0</v>
      </c>
      <c r="AL48" s="1428"/>
      <c r="AM48" s="1428"/>
      <c r="AN48" s="1428"/>
      <c r="AO48" s="1428">
        <v>1203612</v>
      </c>
      <c r="AP48" s="1428">
        <v>537674</v>
      </c>
      <c r="AQ48" s="1428">
        <v>665938</v>
      </c>
      <c r="AR48" s="1428">
        <v>665938</v>
      </c>
      <c r="AS48" s="1428">
        <v>0</v>
      </c>
      <c r="AT48" s="1428"/>
      <c r="AU48" s="1428"/>
      <c r="AV48" s="1428"/>
      <c r="AW48" s="1428"/>
      <c r="AX48" s="1428"/>
      <c r="AY48" s="1428">
        <v>57549595</v>
      </c>
      <c r="AZ48" s="1428">
        <v>0</v>
      </c>
      <c r="BA48" s="1428"/>
      <c r="BB48" s="1428"/>
      <c r="BC48" s="1428"/>
      <c r="BD48" s="1428">
        <v>57549595</v>
      </c>
      <c r="BE48" s="1428">
        <v>0</v>
      </c>
      <c r="BF48" s="1428"/>
      <c r="BG48" s="1428"/>
      <c r="BH48" s="1428"/>
      <c r="BI48" s="1428"/>
      <c r="BJ48" s="1428"/>
      <c r="BK48" s="1428"/>
      <c r="BL48" s="1428">
        <v>0</v>
      </c>
      <c r="BM48" s="1428">
        <v>0</v>
      </c>
      <c r="BN48" s="1428"/>
      <c r="BO48" s="1428"/>
      <c r="BP48" s="1428"/>
      <c r="BQ48" s="1428"/>
      <c r="BR48" s="1428"/>
      <c r="BS48" s="1428"/>
      <c r="BT48" s="1428">
        <v>0</v>
      </c>
      <c r="BU48" s="1428">
        <v>0</v>
      </c>
      <c r="BV48" s="1428"/>
      <c r="BW48" s="1428"/>
      <c r="BX48" s="1428"/>
      <c r="BY48" s="1428"/>
      <c r="BZ48" s="1428"/>
      <c r="CA48" s="1428"/>
      <c r="CB48" s="1428"/>
      <c r="CC48" s="1428">
        <v>93032</v>
      </c>
      <c r="CD48" s="1428">
        <v>0</v>
      </c>
      <c r="CE48" s="1428"/>
      <c r="CF48" s="1428">
        <v>0</v>
      </c>
      <c r="CG48" s="1428"/>
      <c r="CH48" s="1428"/>
      <c r="CI48" s="1428"/>
      <c r="CJ48" s="1428">
        <v>93032</v>
      </c>
      <c r="CK48" s="1428"/>
      <c r="CL48" s="1428">
        <v>93032</v>
      </c>
      <c r="CM48" s="1428"/>
      <c r="CN48" s="1428"/>
      <c r="CO48" s="1428"/>
      <c r="CP48" s="1428"/>
      <c r="CQ48" s="1428">
        <v>0</v>
      </c>
      <c r="CR48" s="1428"/>
      <c r="CS48" s="1428">
        <v>0</v>
      </c>
      <c r="CT48" s="1428"/>
      <c r="CU48" s="1428">
        <v>85046500</v>
      </c>
      <c r="CV48" s="1428">
        <v>84118118</v>
      </c>
      <c r="CW48" s="1428">
        <v>928382</v>
      </c>
      <c r="CX48" s="1428"/>
      <c r="CY48" s="1428">
        <v>0</v>
      </c>
      <c r="CZ48" s="1428"/>
      <c r="DA48" s="1428">
        <v>0</v>
      </c>
      <c r="DB48" s="1428"/>
      <c r="DC48" s="1428"/>
      <c r="DD48" s="1428"/>
      <c r="DE48" s="1428">
        <v>0</v>
      </c>
      <c r="DF48" s="1428"/>
      <c r="DG48" s="1428"/>
      <c r="DH48" s="1428"/>
      <c r="DI48" s="1428">
        <v>0</v>
      </c>
      <c r="DJ48" s="1428"/>
      <c r="DK48" s="1428"/>
      <c r="DL48" s="1428"/>
      <c r="DM48" s="1428"/>
      <c r="DN48" s="1428">
        <v>0</v>
      </c>
      <c r="DO48" s="1428"/>
      <c r="DP48" s="1428">
        <v>0</v>
      </c>
      <c r="DQ48" s="1428"/>
      <c r="DR48" s="1428"/>
      <c r="DS48" s="1428"/>
      <c r="DT48" s="1428">
        <v>0</v>
      </c>
      <c r="DU48" s="1428"/>
      <c r="DV48" s="1428"/>
      <c r="DW48" s="1428"/>
      <c r="DX48" s="1428"/>
      <c r="DY48" s="1428">
        <v>2133606</v>
      </c>
      <c r="DZ48" s="1428"/>
      <c r="EA48" s="1428">
        <v>0</v>
      </c>
      <c r="EB48" s="1428">
        <v>0</v>
      </c>
      <c r="EC48" s="1428"/>
      <c r="ED48" s="1428">
        <v>2103781</v>
      </c>
      <c r="EE48" s="1428">
        <v>29825</v>
      </c>
      <c r="EF48" s="1428"/>
      <c r="EG48" s="1428"/>
      <c r="EH48" s="1428">
        <v>7943610.6099999994</v>
      </c>
      <c r="EI48" s="1428">
        <v>1938204.3</v>
      </c>
      <c r="EJ48" s="1428">
        <v>5266096.55</v>
      </c>
      <c r="EK48" s="1428">
        <v>739309.76</v>
      </c>
      <c r="EL48" s="1428"/>
      <c r="EM48" s="1428">
        <v>15052331</v>
      </c>
      <c r="EN48" s="1428"/>
      <c r="EO48" s="1428"/>
      <c r="EP48" s="1428"/>
      <c r="EQ48" s="1428"/>
      <c r="ER48" s="1428"/>
      <c r="ES48" s="1420">
        <v>205373594.61000001</v>
      </c>
    </row>
    <row r="49" spans="5:150" s="1377" customFormat="1" ht="15">
      <c r="E49" s="1370">
        <v>43132</v>
      </c>
      <c r="F49" s="1428"/>
      <c r="G49" s="1382">
        <v>105263</v>
      </c>
      <c r="H49" s="1428"/>
      <c r="I49" s="1428">
        <v>47099878</v>
      </c>
      <c r="J49" s="1428">
        <v>47099878</v>
      </c>
      <c r="K49" s="1428"/>
      <c r="L49" s="1428"/>
      <c r="M49" s="1428">
        <v>203571</v>
      </c>
      <c r="N49" s="1428">
        <v>203571</v>
      </c>
      <c r="O49" s="1428">
        <v>203571</v>
      </c>
      <c r="P49" s="1428"/>
      <c r="Q49" s="1428">
        <v>0</v>
      </c>
      <c r="R49" s="1428"/>
      <c r="S49" s="1428"/>
      <c r="T49" s="1428">
        <v>0</v>
      </c>
      <c r="U49" s="1428"/>
      <c r="V49" s="1428"/>
      <c r="W49" s="1428"/>
      <c r="X49" s="1428">
        <v>0</v>
      </c>
      <c r="Y49" s="1428">
        <v>0</v>
      </c>
      <c r="Z49" s="1428"/>
      <c r="AA49" s="1428"/>
      <c r="AB49" s="1428">
        <v>0</v>
      </c>
      <c r="AC49" s="1428"/>
      <c r="AD49" s="1428"/>
      <c r="AE49" s="1428"/>
      <c r="AF49" s="1428">
        <v>0</v>
      </c>
      <c r="AG49" s="1428"/>
      <c r="AH49" s="1428"/>
      <c r="AI49" s="1428"/>
      <c r="AJ49" s="1428"/>
      <c r="AK49" s="1428">
        <v>0</v>
      </c>
      <c r="AL49" s="1428"/>
      <c r="AM49" s="1428"/>
      <c r="AN49" s="1428"/>
      <c r="AO49" s="1428">
        <v>1538712</v>
      </c>
      <c r="AP49" s="1428">
        <v>1043180</v>
      </c>
      <c r="AQ49" s="1428">
        <v>495532</v>
      </c>
      <c r="AR49" s="1428">
        <v>495532</v>
      </c>
      <c r="AS49" s="1428">
        <v>0</v>
      </c>
      <c r="AT49" s="1428"/>
      <c r="AU49" s="1428"/>
      <c r="AV49" s="1428"/>
      <c r="AW49" s="1428"/>
      <c r="AX49" s="1428"/>
      <c r="AY49" s="1428">
        <v>57549595</v>
      </c>
      <c r="AZ49" s="1428">
        <v>0</v>
      </c>
      <c r="BA49" s="1428"/>
      <c r="BB49" s="1428"/>
      <c r="BC49" s="1428"/>
      <c r="BD49" s="1428">
        <v>57549595</v>
      </c>
      <c r="BE49" s="1428">
        <v>0</v>
      </c>
      <c r="BF49" s="1428"/>
      <c r="BG49" s="1428"/>
      <c r="BH49" s="1428"/>
      <c r="BI49" s="1428"/>
      <c r="BJ49" s="1428"/>
      <c r="BK49" s="1428"/>
      <c r="BL49" s="1428">
        <v>0</v>
      </c>
      <c r="BM49" s="1428">
        <v>0</v>
      </c>
      <c r="BN49" s="1428"/>
      <c r="BO49" s="1428"/>
      <c r="BP49" s="1428"/>
      <c r="BQ49" s="1428"/>
      <c r="BR49" s="1428"/>
      <c r="BS49" s="1428"/>
      <c r="BT49" s="1428">
        <v>0</v>
      </c>
      <c r="BU49" s="1428">
        <v>0</v>
      </c>
      <c r="BV49" s="1428"/>
      <c r="BW49" s="1428"/>
      <c r="BX49" s="1428"/>
      <c r="BY49" s="1428"/>
      <c r="BZ49" s="1428"/>
      <c r="CA49" s="1428"/>
      <c r="CB49" s="1428"/>
      <c r="CC49" s="1428">
        <v>88393</v>
      </c>
      <c r="CD49" s="1428">
        <v>0</v>
      </c>
      <c r="CE49" s="1428"/>
      <c r="CF49" s="1428">
        <v>0</v>
      </c>
      <c r="CG49" s="1428"/>
      <c r="CH49" s="1428"/>
      <c r="CI49" s="1428"/>
      <c r="CJ49" s="1428">
        <v>88393</v>
      </c>
      <c r="CK49" s="1428"/>
      <c r="CL49" s="1428">
        <v>88393</v>
      </c>
      <c r="CM49" s="1428"/>
      <c r="CN49" s="1428"/>
      <c r="CO49" s="1428"/>
      <c r="CP49" s="1428"/>
      <c r="CQ49" s="1428">
        <v>0</v>
      </c>
      <c r="CR49" s="1428"/>
      <c r="CS49" s="1428">
        <v>0</v>
      </c>
      <c r="CT49" s="1428"/>
      <c r="CU49" s="1428">
        <v>87121847</v>
      </c>
      <c r="CV49" s="1428">
        <v>86125485</v>
      </c>
      <c r="CW49" s="1428">
        <v>996362</v>
      </c>
      <c r="CX49" s="1428"/>
      <c r="CY49" s="1428">
        <v>0</v>
      </c>
      <c r="CZ49" s="1428"/>
      <c r="DA49" s="1428">
        <v>0</v>
      </c>
      <c r="DB49" s="1428"/>
      <c r="DC49" s="1428"/>
      <c r="DD49" s="1428"/>
      <c r="DE49" s="1428">
        <v>0</v>
      </c>
      <c r="DF49" s="1428"/>
      <c r="DG49" s="1428"/>
      <c r="DH49" s="1428"/>
      <c r="DI49" s="1428">
        <v>0</v>
      </c>
      <c r="DJ49" s="1428"/>
      <c r="DK49" s="1428"/>
      <c r="DL49" s="1428"/>
      <c r="DM49" s="1428"/>
      <c r="DN49" s="1428">
        <v>0</v>
      </c>
      <c r="DO49" s="1428"/>
      <c r="DP49" s="1428">
        <v>0</v>
      </c>
      <c r="DQ49" s="1428"/>
      <c r="DR49" s="1428"/>
      <c r="DS49" s="1428"/>
      <c r="DT49" s="1428">
        <v>0</v>
      </c>
      <c r="DU49" s="1428"/>
      <c r="DV49" s="1428"/>
      <c r="DW49" s="1428"/>
      <c r="DX49" s="1428"/>
      <c r="DY49" s="1428">
        <v>2145963</v>
      </c>
      <c r="DZ49" s="1428"/>
      <c r="EA49" s="1428">
        <v>0</v>
      </c>
      <c r="EB49" s="1428">
        <v>0</v>
      </c>
      <c r="EC49" s="1428"/>
      <c r="ED49" s="1428">
        <v>2116618</v>
      </c>
      <c r="EE49" s="1428">
        <v>29345</v>
      </c>
      <c r="EF49" s="1428"/>
      <c r="EG49" s="1428"/>
      <c r="EH49" s="1428">
        <v>7952706.9199999999</v>
      </c>
      <c r="EI49" s="1428">
        <v>1934810.45</v>
      </c>
      <c r="EJ49" s="1428">
        <v>5299930.5999999996</v>
      </c>
      <c r="EK49" s="1428">
        <v>717965.87</v>
      </c>
      <c r="EL49" s="1428"/>
      <c r="EM49" s="1428">
        <v>14339425</v>
      </c>
      <c r="EN49" s="1428"/>
      <c r="EO49" s="1428"/>
      <c r="EP49" s="1428"/>
      <c r="EQ49" s="1428"/>
      <c r="ER49" s="1428"/>
      <c r="ES49" s="1420">
        <v>218145353.91999999</v>
      </c>
    </row>
    <row r="50" spans="5:150" s="1377" customFormat="1" ht="15">
      <c r="E50" s="1370">
        <v>43160</v>
      </c>
      <c r="F50" s="1428"/>
      <c r="G50" s="1382">
        <v>413365</v>
      </c>
      <c r="H50" s="1428"/>
      <c r="I50" s="1428">
        <v>42479964</v>
      </c>
      <c r="J50" s="1428">
        <v>42479964</v>
      </c>
      <c r="K50" s="1428"/>
      <c r="L50" s="1428"/>
      <c r="M50" s="1428">
        <v>58583</v>
      </c>
      <c r="N50" s="1428">
        <v>58583</v>
      </c>
      <c r="O50" s="1428">
        <v>58583</v>
      </c>
      <c r="P50" s="1428"/>
      <c r="Q50" s="1428">
        <v>0</v>
      </c>
      <c r="R50" s="1428"/>
      <c r="S50" s="1428"/>
      <c r="T50" s="1428">
        <v>0</v>
      </c>
      <c r="U50" s="1428"/>
      <c r="V50" s="1428"/>
      <c r="W50" s="1428"/>
      <c r="X50" s="1428">
        <v>0</v>
      </c>
      <c r="Y50" s="1428">
        <v>0</v>
      </c>
      <c r="Z50" s="1428"/>
      <c r="AA50" s="1428"/>
      <c r="AB50" s="1428">
        <v>0</v>
      </c>
      <c r="AC50" s="1428"/>
      <c r="AD50" s="1428"/>
      <c r="AE50" s="1428"/>
      <c r="AF50" s="1428">
        <v>0</v>
      </c>
      <c r="AG50" s="1428"/>
      <c r="AH50" s="1428"/>
      <c r="AI50" s="1428"/>
      <c r="AJ50" s="1428"/>
      <c r="AK50" s="1428">
        <v>0</v>
      </c>
      <c r="AL50" s="1428"/>
      <c r="AM50" s="1428"/>
      <c r="AN50" s="1428"/>
      <c r="AO50" s="1428">
        <v>1466575</v>
      </c>
      <c r="AP50" s="1428">
        <v>844717</v>
      </c>
      <c r="AQ50" s="1428">
        <v>621858</v>
      </c>
      <c r="AR50" s="1428">
        <v>621858</v>
      </c>
      <c r="AS50" s="1428">
        <v>0</v>
      </c>
      <c r="AT50" s="1428"/>
      <c r="AU50" s="1428"/>
      <c r="AV50" s="1428"/>
      <c r="AW50" s="1428"/>
      <c r="AX50" s="1428"/>
      <c r="AY50" s="1428">
        <v>53053697</v>
      </c>
      <c r="AZ50" s="1428">
        <v>0</v>
      </c>
      <c r="BA50" s="1428"/>
      <c r="BB50" s="1428"/>
      <c r="BC50" s="1428"/>
      <c r="BD50" s="1428">
        <v>53053697</v>
      </c>
      <c r="BE50" s="1428">
        <v>0</v>
      </c>
      <c r="BF50" s="1428"/>
      <c r="BG50" s="1428"/>
      <c r="BH50" s="1428"/>
      <c r="BI50" s="1428"/>
      <c r="BJ50" s="1428"/>
      <c r="BK50" s="1428"/>
      <c r="BL50" s="1428">
        <v>0</v>
      </c>
      <c r="BM50" s="1428">
        <v>0</v>
      </c>
      <c r="BN50" s="1428"/>
      <c r="BO50" s="1428"/>
      <c r="BP50" s="1428"/>
      <c r="BQ50" s="1428"/>
      <c r="BR50" s="1428"/>
      <c r="BS50" s="1428"/>
      <c r="BT50" s="1428">
        <v>0</v>
      </c>
      <c r="BU50" s="1428">
        <v>0</v>
      </c>
      <c r="BV50" s="1428"/>
      <c r="BW50" s="1428"/>
      <c r="BX50" s="1428"/>
      <c r="BY50" s="1428"/>
      <c r="BZ50" s="1428"/>
      <c r="CA50" s="1428"/>
      <c r="CB50" s="1428"/>
      <c r="CC50" s="1428">
        <v>79466</v>
      </c>
      <c r="CD50" s="1428">
        <v>0</v>
      </c>
      <c r="CE50" s="1428"/>
      <c r="CF50" s="1428">
        <v>0</v>
      </c>
      <c r="CG50" s="1428"/>
      <c r="CH50" s="1428"/>
      <c r="CI50" s="1428"/>
      <c r="CJ50" s="1428">
        <v>79466</v>
      </c>
      <c r="CK50" s="1428"/>
      <c r="CL50" s="1428">
        <v>79466</v>
      </c>
      <c r="CM50" s="1428"/>
      <c r="CN50" s="1428"/>
      <c r="CO50" s="1428"/>
      <c r="CP50" s="1428"/>
      <c r="CQ50" s="1428">
        <v>5925000</v>
      </c>
      <c r="CR50" s="1428"/>
      <c r="CS50" s="1428">
        <v>5925000</v>
      </c>
      <c r="CT50" s="1428"/>
      <c r="CU50" s="1428">
        <v>89855403</v>
      </c>
      <c r="CV50" s="1428">
        <v>88626122</v>
      </c>
      <c r="CW50" s="1428">
        <v>1229281</v>
      </c>
      <c r="CX50" s="1428"/>
      <c r="CY50" s="1428">
        <v>0</v>
      </c>
      <c r="CZ50" s="1428"/>
      <c r="DA50" s="1428">
        <v>0</v>
      </c>
      <c r="DB50" s="1428"/>
      <c r="DC50" s="1428"/>
      <c r="DD50" s="1428"/>
      <c r="DE50" s="1428">
        <v>0</v>
      </c>
      <c r="DF50" s="1428"/>
      <c r="DG50" s="1428"/>
      <c r="DH50" s="1428"/>
      <c r="DI50" s="1428">
        <v>0</v>
      </c>
      <c r="DJ50" s="1428"/>
      <c r="DK50" s="1428"/>
      <c r="DL50" s="1428"/>
      <c r="DM50" s="1428"/>
      <c r="DN50" s="1428">
        <v>0</v>
      </c>
      <c r="DO50" s="1428"/>
      <c r="DP50" s="1428">
        <v>0</v>
      </c>
      <c r="DQ50" s="1428"/>
      <c r="DR50" s="1428"/>
      <c r="DS50" s="1428"/>
      <c r="DT50" s="1428">
        <v>0</v>
      </c>
      <c r="DU50" s="1428"/>
      <c r="DV50" s="1428"/>
      <c r="DW50" s="1428"/>
      <c r="DX50" s="1428"/>
      <c r="DY50" s="1428">
        <v>2153833</v>
      </c>
      <c r="DZ50" s="1428"/>
      <c r="EA50" s="1428">
        <v>0</v>
      </c>
      <c r="EB50" s="1428">
        <v>0</v>
      </c>
      <c r="EC50" s="1428"/>
      <c r="ED50" s="1428">
        <v>2124238</v>
      </c>
      <c r="EE50" s="1428">
        <v>29595</v>
      </c>
      <c r="EF50" s="1428"/>
      <c r="EG50" s="1428"/>
      <c r="EH50" s="1428">
        <v>7843188.4799999995</v>
      </c>
      <c r="EI50" s="1428">
        <v>1931416.61</v>
      </c>
      <c r="EJ50" s="1428">
        <v>5214425.3599999994</v>
      </c>
      <c r="EK50" s="1428">
        <v>697346.51</v>
      </c>
      <c r="EL50" s="1428"/>
      <c r="EM50" s="1428">
        <v>15041871</v>
      </c>
      <c r="EN50" s="1428"/>
      <c r="EO50" s="1428"/>
      <c r="EP50" s="1428"/>
      <c r="EQ50" s="1428"/>
      <c r="ER50" s="1428"/>
      <c r="ES50" s="1420">
        <v>218370945.47999999</v>
      </c>
    </row>
    <row r="51" spans="5:150" s="1377" customFormat="1" ht="15">
      <c r="E51" s="1370">
        <v>43191</v>
      </c>
      <c r="F51" s="1428"/>
      <c r="G51" s="1382">
        <v>210523</v>
      </c>
      <c r="H51" s="1428"/>
      <c r="I51" s="1428">
        <v>29268366</v>
      </c>
      <c r="J51" s="1428">
        <v>29268366</v>
      </c>
      <c r="K51" s="1428"/>
      <c r="L51" s="1428"/>
      <c r="M51" s="1428">
        <v>113559</v>
      </c>
      <c r="N51" s="1428">
        <v>113559</v>
      </c>
      <c r="O51" s="1428">
        <v>113559</v>
      </c>
      <c r="P51" s="1428"/>
      <c r="Q51" s="1428">
        <v>0</v>
      </c>
      <c r="R51" s="1428"/>
      <c r="S51" s="1428"/>
      <c r="T51" s="1428">
        <v>0</v>
      </c>
      <c r="U51" s="1428"/>
      <c r="V51" s="1428"/>
      <c r="W51" s="1428"/>
      <c r="X51" s="1428">
        <v>0</v>
      </c>
      <c r="Y51" s="1428">
        <v>0</v>
      </c>
      <c r="Z51" s="1428"/>
      <c r="AA51" s="1428"/>
      <c r="AB51" s="1428">
        <v>0</v>
      </c>
      <c r="AC51" s="1428"/>
      <c r="AD51" s="1428"/>
      <c r="AE51" s="1428"/>
      <c r="AF51" s="1428">
        <v>0</v>
      </c>
      <c r="AG51" s="1428"/>
      <c r="AH51" s="1428"/>
      <c r="AI51" s="1428"/>
      <c r="AJ51" s="1428"/>
      <c r="AK51" s="1428">
        <v>0</v>
      </c>
      <c r="AL51" s="1428"/>
      <c r="AM51" s="1428"/>
      <c r="AN51" s="1428"/>
      <c r="AO51" s="1428">
        <v>1291101</v>
      </c>
      <c r="AP51" s="1428">
        <v>894835</v>
      </c>
      <c r="AQ51" s="1428">
        <v>396266</v>
      </c>
      <c r="AR51" s="1428">
        <v>396266</v>
      </c>
      <c r="AS51" s="1428">
        <v>0</v>
      </c>
      <c r="AT51" s="1428"/>
      <c r="AU51" s="1428"/>
      <c r="AV51" s="1428"/>
      <c r="AW51" s="1428"/>
      <c r="AX51" s="1428"/>
      <c r="AY51" s="1428">
        <v>54396477</v>
      </c>
      <c r="AZ51" s="1428">
        <v>0</v>
      </c>
      <c r="BA51" s="1428"/>
      <c r="BB51" s="1428"/>
      <c r="BC51" s="1428"/>
      <c r="BD51" s="1428">
        <v>54396477</v>
      </c>
      <c r="BE51" s="1428">
        <v>0</v>
      </c>
      <c r="BF51" s="1428"/>
      <c r="BG51" s="1428"/>
      <c r="BH51" s="1428"/>
      <c r="BI51" s="1428"/>
      <c r="BJ51" s="1428"/>
      <c r="BK51" s="1428"/>
      <c r="BL51" s="1428">
        <v>0</v>
      </c>
      <c r="BM51" s="1428">
        <v>0</v>
      </c>
      <c r="BN51" s="1428"/>
      <c r="BO51" s="1428"/>
      <c r="BP51" s="1428"/>
      <c r="BQ51" s="1428"/>
      <c r="BR51" s="1428"/>
      <c r="BS51" s="1428"/>
      <c r="BT51" s="1428">
        <v>0</v>
      </c>
      <c r="BU51" s="1428">
        <v>0</v>
      </c>
      <c r="BV51" s="1428"/>
      <c r="BW51" s="1428"/>
      <c r="BX51" s="1428"/>
      <c r="BY51" s="1428"/>
      <c r="BZ51" s="1428"/>
      <c r="CA51" s="1428"/>
      <c r="CB51" s="1428"/>
      <c r="CC51" s="1428">
        <v>80247</v>
      </c>
      <c r="CD51" s="1428">
        <v>0</v>
      </c>
      <c r="CE51" s="1428"/>
      <c r="CF51" s="1428">
        <v>0</v>
      </c>
      <c r="CG51" s="1428"/>
      <c r="CH51" s="1428"/>
      <c r="CI51" s="1428"/>
      <c r="CJ51" s="1428">
        <v>80247</v>
      </c>
      <c r="CK51" s="1428"/>
      <c r="CL51" s="1428">
        <v>80247</v>
      </c>
      <c r="CM51" s="1428"/>
      <c r="CN51" s="1428"/>
      <c r="CO51" s="1428"/>
      <c r="CP51" s="1428"/>
      <c r="CQ51" s="1428">
        <v>8925000</v>
      </c>
      <c r="CR51" s="1428"/>
      <c r="CS51" s="1428">
        <v>8925000</v>
      </c>
      <c r="CT51" s="1428"/>
      <c r="CU51" s="1428">
        <v>93162858</v>
      </c>
      <c r="CV51" s="1428">
        <v>92019626</v>
      </c>
      <c r="CW51" s="1428">
        <v>1143232</v>
      </c>
      <c r="CX51" s="1428"/>
      <c r="CY51" s="1428">
        <v>0</v>
      </c>
      <c r="CZ51" s="1428"/>
      <c r="DA51" s="1428">
        <v>0</v>
      </c>
      <c r="DB51" s="1428"/>
      <c r="DC51" s="1428"/>
      <c r="DD51" s="1428"/>
      <c r="DE51" s="1428">
        <v>0</v>
      </c>
      <c r="DF51" s="1428"/>
      <c r="DG51" s="1428"/>
      <c r="DH51" s="1428"/>
      <c r="DI51" s="1428">
        <v>0</v>
      </c>
      <c r="DJ51" s="1428"/>
      <c r="DK51" s="1428"/>
      <c r="DL51" s="1428"/>
      <c r="DM51" s="1428"/>
      <c r="DN51" s="1428">
        <v>0</v>
      </c>
      <c r="DO51" s="1428"/>
      <c r="DP51" s="1428">
        <v>0</v>
      </c>
      <c r="DQ51" s="1428"/>
      <c r="DR51" s="1428"/>
      <c r="DS51" s="1428"/>
      <c r="DT51" s="1428">
        <v>0</v>
      </c>
      <c r="DU51" s="1428"/>
      <c r="DV51" s="1428"/>
      <c r="DW51" s="1428"/>
      <c r="DX51" s="1428"/>
      <c r="DY51" s="1428">
        <v>2667951</v>
      </c>
      <c r="DZ51" s="1428"/>
      <c r="EA51" s="1428">
        <v>0</v>
      </c>
      <c r="EB51" s="1428">
        <v>0</v>
      </c>
      <c r="EC51" s="1428"/>
      <c r="ED51" s="1428">
        <v>2638829</v>
      </c>
      <c r="EE51" s="1428">
        <v>29122</v>
      </c>
      <c r="EF51" s="1428"/>
      <c r="EG51" s="1428"/>
      <c r="EH51" s="1428">
        <v>7801882</v>
      </c>
      <c r="EI51" s="1428">
        <v>1928022.76</v>
      </c>
      <c r="EJ51" s="1428">
        <v>5118054.51</v>
      </c>
      <c r="EK51" s="1428">
        <v>755804.73</v>
      </c>
      <c r="EL51" s="1428"/>
      <c r="EM51" s="1428">
        <v>14897961</v>
      </c>
      <c r="EN51" s="1428"/>
      <c r="EO51" s="1428"/>
      <c r="EP51" s="1428"/>
      <c r="EQ51" s="1428"/>
      <c r="ER51" s="1428"/>
      <c r="ES51" s="1420">
        <v>212815925</v>
      </c>
    </row>
    <row r="52" spans="5:150" s="1377" customFormat="1" ht="15">
      <c r="E52" s="1370">
        <v>43221</v>
      </c>
      <c r="F52" s="1420"/>
      <c r="G52" s="1371">
        <v>293609</v>
      </c>
      <c r="H52" s="1420"/>
      <c r="I52" s="1420">
        <v>34263405</v>
      </c>
      <c r="J52" s="1420">
        <v>34263405</v>
      </c>
      <c r="K52" s="1420"/>
      <c r="L52" s="1420"/>
      <c r="M52" s="1420">
        <v>34824</v>
      </c>
      <c r="N52" s="1420">
        <v>34824</v>
      </c>
      <c r="O52" s="1420">
        <v>34824</v>
      </c>
      <c r="P52" s="1420"/>
      <c r="Q52" s="1420">
        <v>0</v>
      </c>
      <c r="R52" s="1420"/>
      <c r="S52" s="1420"/>
      <c r="T52" s="1420">
        <v>0</v>
      </c>
      <c r="U52" s="1420"/>
      <c r="V52" s="1420"/>
      <c r="W52" s="1420"/>
      <c r="X52" s="1420">
        <v>0</v>
      </c>
      <c r="Y52" s="1420">
        <v>0</v>
      </c>
      <c r="Z52" s="1420"/>
      <c r="AA52" s="1420"/>
      <c r="AB52" s="1420">
        <v>0</v>
      </c>
      <c r="AC52" s="1420"/>
      <c r="AD52" s="1420"/>
      <c r="AE52" s="1420"/>
      <c r="AF52" s="1420">
        <v>0</v>
      </c>
      <c r="AG52" s="1420"/>
      <c r="AH52" s="1420"/>
      <c r="AI52" s="1420"/>
      <c r="AJ52" s="1420"/>
      <c r="AK52" s="1420">
        <v>0</v>
      </c>
      <c r="AL52" s="1420"/>
      <c r="AM52" s="1420"/>
      <c r="AN52" s="1420"/>
      <c r="AO52" s="1420">
        <v>1700970</v>
      </c>
      <c r="AP52" s="1420">
        <v>1286689</v>
      </c>
      <c r="AQ52" s="1420">
        <v>414281</v>
      </c>
      <c r="AR52" s="1420">
        <v>414281</v>
      </c>
      <c r="AS52" s="1420">
        <v>0</v>
      </c>
      <c r="AT52" s="1420"/>
      <c r="AU52" s="1420"/>
      <c r="AV52" s="1420"/>
      <c r="AW52" s="1420"/>
      <c r="AX52" s="1420"/>
      <c r="AY52" s="1420">
        <v>56328835</v>
      </c>
      <c r="AZ52" s="1420">
        <v>0</v>
      </c>
      <c r="BA52" s="1420"/>
      <c r="BB52" s="1420"/>
      <c r="BC52" s="1420"/>
      <c r="BD52" s="1420">
        <v>56328835</v>
      </c>
      <c r="BE52" s="1420">
        <v>0</v>
      </c>
      <c r="BF52" s="1420"/>
      <c r="BG52" s="1420"/>
      <c r="BH52" s="1420"/>
      <c r="BI52" s="1420"/>
      <c r="BJ52" s="1420"/>
      <c r="BK52" s="1420"/>
      <c r="BL52" s="1420">
        <v>0</v>
      </c>
      <c r="BM52" s="1420">
        <v>0</v>
      </c>
      <c r="BN52" s="1420"/>
      <c r="BO52" s="1420"/>
      <c r="BP52" s="1420"/>
      <c r="BQ52" s="1420"/>
      <c r="BR52" s="1420"/>
      <c r="BS52" s="1420"/>
      <c r="BT52" s="1420">
        <v>0</v>
      </c>
      <c r="BU52" s="1420">
        <v>0</v>
      </c>
      <c r="BV52" s="1420"/>
      <c r="BW52" s="1420"/>
      <c r="BX52" s="1420"/>
      <c r="BY52" s="1420"/>
      <c r="BZ52" s="1420"/>
      <c r="CA52" s="1420"/>
      <c r="CB52" s="1420"/>
      <c r="CC52" s="1420">
        <v>75675</v>
      </c>
      <c r="CD52" s="1420">
        <v>0</v>
      </c>
      <c r="CE52" s="1420"/>
      <c r="CF52" s="1420">
        <v>0</v>
      </c>
      <c r="CG52" s="1420"/>
      <c r="CH52" s="1420"/>
      <c r="CI52" s="1420"/>
      <c r="CJ52" s="1420">
        <v>75675</v>
      </c>
      <c r="CK52" s="1420"/>
      <c r="CL52" s="1420">
        <v>75675</v>
      </c>
      <c r="CM52" s="1420"/>
      <c r="CN52" s="1420"/>
      <c r="CO52" s="1420"/>
      <c r="CP52" s="1420"/>
      <c r="CQ52" s="1420">
        <v>7000000</v>
      </c>
      <c r="CR52" s="1420"/>
      <c r="CS52" s="1420">
        <v>7000000</v>
      </c>
      <c r="CT52" s="1420"/>
      <c r="CU52" s="1420">
        <v>94389599</v>
      </c>
      <c r="CV52" s="1420">
        <v>93809353</v>
      </c>
      <c r="CW52" s="1420">
        <v>580246</v>
      </c>
      <c r="CX52" s="1420"/>
      <c r="CY52" s="1420">
        <v>0</v>
      </c>
      <c r="CZ52" s="1420"/>
      <c r="DA52" s="1420">
        <v>0</v>
      </c>
      <c r="DB52" s="1420"/>
      <c r="DC52" s="1420"/>
      <c r="DD52" s="1420"/>
      <c r="DE52" s="1420">
        <v>0</v>
      </c>
      <c r="DF52" s="1420"/>
      <c r="DG52" s="1420"/>
      <c r="DH52" s="1420"/>
      <c r="DI52" s="1420">
        <v>0</v>
      </c>
      <c r="DJ52" s="1420"/>
      <c r="DK52" s="1420"/>
      <c r="DL52" s="1420"/>
      <c r="DM52" s="1420"/>
      <c r="DN52" s="1420">
        <v>0</v>
      </c>
      <c r="DO52" s="1420"/>
      <c r="DP52" s="1420">
        <v>0</v>
      </c>
      <c r="DQ52" s="1420"/>
      <c r="DR52" s="1420"/>
      <c r="DS52" s="1420"/>
      <c r="DT52" s="1420">
        <v>0</v>
      </c>
      <c r="DU52" s="1420"/>
      <c r="DV52" s="1420"/>
      <c r="DW52" s="1420"/>
      <c r="DX52" s="1420"/>
      <c r="DY52" s="1420">
        <v>2911998</v>
      </c>
      <c r="DZ52" s="1420"/>
      <c r="EA52" s="1420">
        <v>0</v>
      </c>
      <c r="EB52" s="1420">
        <v>0</v>
      </c>
      <c r="EC52" s="1420"/>
      <c r="ED52" s="1420">
        <v>2883990</v>
      </c>
      <c r="EE52" s="1420">
        <v>28008</v>
      </c>
      <c r="EF52" s="1420"/>
      <c r="EG52" s="1420"/>
      <c r="EH52" s="1420">
        <v>7800239.6799999997</v>
      </c>
      <c r="EI52" s="1420">
        <v>2056267.2</v>
      </c>
      <c r="EJ52" s="1420">
        <v>5008568.26</v>
      </c>
      <c r="EK52" s="1420">
        <v>735404.22</v>
      </c>
      <c r="EL52" s="1420"/>
      <c r="EM52" s="1420">
        <v>17374842</v>
      </c>
      <c r="EN52" s="1420"/>
      <c r="EO52" s="1420"/>
      <c r="EP52" s="1420"/>
      <c r="EQ52" s="1420"/>
      <c r="ER52" s="1420"/>
      <c r="ES52" s="1420">
        <v>222173996.68000001</v>
      </c>
    </row>
    <row r="53" spans="5:150" s="1377" customFormat="1" ht="15">
      <c r="E53" s="1370">
        <v>43252</v>
      </c>
      <c r="F53" s="1428"/>
      <c r="G53" s="1382">
        <v>297348</v>
      </c>
      <c r="H53" s="1428"/>
      <c r="I53" s="1428">
        <v>40359963</v>
      </c>
      <c r="J53" s="1428">
        <v>40359963</v>
      </c>
      <c r="K53" s="1428"/>
      <c r="L53" s="1428"/>
      <c r="M53" s="1428">
        <v>104499</v>
      </c>
      <c r="N53" s="1428">
        <v>104499</v>
      </c>
      <c r="O53" s="1428">
        <v>104499</v>
      </c>
      <c r="P53" s="1428"/>
      <c r="Q53" s="1428">
        <v>0</v>
      </c>
      <c r="R53" s="1428"/>
      <c r="S53" s="1428"/>
      <c r="T53" s="1428">
        <v>0</v>
      </c>
      <c r="U53" s="1428"/>
      <c r="V53" s="1428"/>
      <c r="W53" s="1428"/>
      <c r="X53" s="1428">
        <v>0</v>
      </c>
      <c r="Y53" s="1428">
        <v>0</v>
      </c>
      <c r="Z53" s="1428"/>
      <c r="AA53" s="1428"/>
      <c r="AB53" s="1428">
        <v>0</v>
      </c>
      <c r="AC53" s="1428"/>
      <c r="AD53" s="1428"/>
      <c r="AE53" s="1428"/>
      <c r="AF53" s="1428">
        <v>0</v>
      </c>
      <c r="AG53" s="1428"/>
      <c r="AH53" s="1428"/>
      <c r="AI53" s="1428"/>
      <c r="AJ53" s="1428"/>
      <c r="AK53" s="1428">
        <v>0</v>
      </c>
      <c r="AL53" s="1428"/>
      <c r="AM53" s="1428"/>
      <c r="AN53" s="1428"/>
      <c r="AO53" s="1428">
        <v>1853429</v>
      </c>
      <c r="AP53" s="1428">
        <v>1012248</v>
      </c>
      <c r="AQ53" s="1428">
        <v>841181</v>
      </c>
      <c r="AR53" s="1428">
        <v>841181</v>
      </c>
      <c r="AS53" s="1428">
        <v>0</v>
      </c>
      <c r="AT53" s="1428"/>
      <c r="AU53" s="1428"/>
      <c r="AV53" s="1428"/>
      <c r="AW53" s="1428"/>
      <c r="AX53" s="1428"/>
      <c r="AY53" s="1428">
        <v>56876520</v>
      </c>
      <c r="AZ53" s="1428">
        <v>0</v>
      </c>
      <c r="BA53" s="1428"/>
      <c r="BB53" s="1428"/>
      <c r="BC53" s="1428">
        <v>4000000</v>
      </c>
      <c r="BD53" s="1428">
        <v>52876520</v>
      </c>
      <c r="BE53" s="1428">
        <v>0</v>
      </c>
      <c r="BF53" s="1428"/>
      <c r="BG53" s="1428"/>
      <c r="BH53" s="1428"/>
      <c r="BI53" s="1428"/>
      <c r="BJ53" s="1428"/>
      <c r="BK53" s="1428"/>
      <c r="BL53" s="1428">
        <v>0</v>
      </c>
      <c r="BM53" s="1428">
        <v>0</v>
      </c>
      <c r="BN53" s="1428"/>
      <c r="BO53" s="1428"/>
      <c r="BP53" s="1428"/>
      <c r="BQ53" s="1428"/>
      <c r="BR53" s="1428"/>
      <c r="BS53" s="1428"/>
      <c r="BT53" s="1428">
        <v>0</v>
      </c>
      <c r="BU53" s="1428">
        <v>0</v>
      </c>
      <c r="BV53" s="1428"/>
      <c r="BW53" s="1428"/>
      <c r="BX53" s="1428"/>
      <c r="BY53" s="1428"/>
      <c r="BZ53" s="1428"/>
      <c r="CA53" s="1428"/>
      <c r="CB53" s="1428"/>
      <c r="CC53" s="1428">
        <v>71056</v>
      </c>
      <c r="CD53" s="1428">
        <v>0</v>
      </c>
      <c r="CE53" s="1428"/>
      <c r="CF53" s="1428">
        <v>0</v>
      </c>
      <c r="CG53" s="1428"/>
      <c r="CH53" s="1428"/>
      <c r="CI53" s="1428"/>
      <c r="CJ53" s="1428">
        <v>71056</v>
      </c>
      <c r="CK53" s="1428"/>
      <c r="CL53" s="1428">
        <v>71056</v>
      </c>
      <c r="CM53" s="1428"/>
      <c r="CN53" s="1428"/>
      <c r="CO53" s="1428"/>
      <c r="CP53" s="1428"/>
      <c r="CQ53" s="1428">
        <v>6443751</v>
      </c>
      <c r="CR53" s="1428"/>
      <c r="CS53" s="1428">
        <v>6443751</v>
      </c>
      <c r="CT53" s="1428"/>
      <c r="CU53" s="1428">
        <v>98145442</v>
      </c>
      <c r="CV53" s="1428">
        <v>97382405</v>
      </c>
      <c r="CW53" s="1428">
        <v>763037</v>
      </c>
      <c r="CX53" s="1428"/>
      <c r="CY53" s="1428">
        <v>0</v>
      </c>
      <c r="CZ53" s="1428"/>
      <c r="DA53" s="1428">
        <v>0</v>
      </c>
      <c r="DB53" s="1428"/>
      <c r="DC53" s="1428"/>
      <c r="DD53" s="1428"/>
      <c r="DE53" s="1428">
        <v>0</v>
      </c>
      <c r="DF53" s="1428"/>
      <c r="DG53" s="1428"/>
      <c r="DH53" s="1428"/>
      <c r="DI53" s="1428">
        <v>0</v>
      </c>
      <c r="DJ53" s="1428"/>
      <c r="DK53" s="1428"/>
      <c r="DL53" s="1428"/>
      <c r="DM53" s="1428"/>
      <c r="DN53" s="1428">
        <v>0</v>
      </c>
      <c r="DO53" s="1428"/>
      <c r="DP53" s="1428">
        <v>0</v>
      </c>
      <c r="DQ53" s="1428"/>
      <c r="DR53" s="1428"/>
      <c r="DS53" s="1428"/>
      <c r="DT53" s="1428">
        <v>0</v>
      </c>
      <c r="DU53" s="1428"/>
      <c r="DV53" s="1428"/>
      <c r="DW53" s="1428"/>
      <c r="DX53" s="1428"/>
      <c r="DY53" s="1428">
        <v>2994664</v>
      </c>
      <c r="DZ53" s="1428"/>
      <c r="EA53" s="1428">
        <v>0</v>
      </c>
      <c r="EB53" s="1428">
        <v>0</v>
      </c>
      <c r="EC53" s="1428"/>
      <c r="ED53" s="1428">
        <v>2966695</v>
      </c>
      <c r="EE53" s="1428">
        <v>27969</v>
      </c>
      <c r="EF53" s="1428"/>
      <c r="EG53" s="1428"/>
      <c r="EH53" s="1428">
        <v>7991121</v>
      </c>
      <c r="EI53" s="1428">
        <v>2294337</v>
      </c>
      <c r="EJ53" s="1428">
        <v>4910774</v>
      </c>
      <c r="EK53" s="1428">
        <v>786010</v>
      </c>
      <c r="EL53" s="1428"/>
      <c r="EM53" s="1428">
        <v>17454237</v>
      </c>
      <c r="EN53" s="1428"/>
      <c r="EO53" s="1428"/>
      <c r="EP53" s="1428"/>
      <c r="EQ53" s="1428"/>
      <c r="ER53" s="1428"/>
      <c r="ES53" s="1420">
        <v>232592030</v>
      </c>
    </row>
    <row r="54" spans="5:150">
      <c r="E54" s="1370">
        <v>43282</v>
      </c>
      <c r="F54" s="1220"/>
      <c r="G54" s="1375">
        <v>973030</v>
      </c>
      <c r="H54" s="1220"/>
      <c r="I54" s="1220">
        <v>50873701</v>
      </c>
      <c r="J54" s="1220">
        <v>50873701</v>
      </c>
      <c r="K54" s="1220"/>
      <c r="L54" s="1220"/>
      <c r="M54" s="1220">
        <v>57148</v>
      </c>
      <c r="N54" s="1220">
        <v>57148</v>
      </c>
      <c r="O54" s="1220">
        <v>57148</v>
      </c>
      <c r="P54" s="1220"/>
      <c r="Q54" s="1220">
        <v>0</v>
      </c>
      <c r="R54" s="1220"/>
      <c r="S54" s="1220"/>
      <c r="T54" s="1220">
        <v>0</v>
      </c>
      <c r="U54" s="1220"/>
      <c r="V54" s="1220"/>
      <c r="W54" s="1220"/>
      <c r="X54" s="1220">
        <v>0</v>
      </c>
      <c r="Y54" s="1220">
        <v>0</v>
      </c>
      <c r="Z54" s="1220"/>
      <c r="AA54" s="1220"/>
      <c r="AB54" s="1220">
        <v>0</v>
      </c>
      <c r="AC54" s="1220"/>
      <c r="AD54" s="1220"/>
      <c r="AE54" s="1220"/>
      <c r="AF54" s="1220">
        <v>0</v>
      </c>
      <c r="AG54" s="1220"/>
      <c r="AH54" s="1220"/>
      <c r="AI54" s="1220"/>
      <c r="AJ54" s="1220"/>
      <c r="AK54" s="1220">
        <v>0</v>
      </c>
      <c r="AL54" s="1220"/>
      <c r="AM54" s="1220"/>
      <c r="AN54" s="1220"/>
      <c r="AO54" s="1220">
        <v>1615902</v>
      </c>
      <c r="AP54" s="1220">
        <v>1067830</v>
      </c>
      <c r="AQ54" s="1220">
        <v>548072</v>
      </c>
      <c r="AR54" s="1220">
        <v>548072</v>
      </c>
      <c r="AS54" s="1220">
        <v>0</v>
      </c>
      <c r="AT54" s="1220"/>
      <c r="AU54" s="1220"/>
      <c r="AV54" s="1220"/>
      <c r="AW54" s="1220"/>
      <c r="AX54" s="1220"/>
      <c r="AY54" s="1220">
        <v>55142766</v>
      </c>
      <c r="AZ54" s="1220">
        <v>0</v>
      </c>
      <c r="BA54" s="1220"/>
      <c r="BB54" s="1220"/>
      <c r="BC54" s="1220">
        <v>6000000</v>
      </c>
      <c r="BD54" s="1220">
        <v>49142766</v>
      </c>
      <c r="BE54" s="1220">
        <v>0</v>
      </c>
      <c r="BF54" s="1220"/>
      <c r="BG54" s="1220"/>
      <c r="BH54" s="1220"/>
      <c r="BI54" s="1220"/>
      <c r="BJ54" s="1220"/>
      <c r="BK54" s="1220"/>
      <c r="BL54" s="1220">
        <v>0</v>
      </c>
      <c r="BM54" s="1220">
        <v>0</v>
      </c>
      <c r="BN54" s="1220"/>
      <c r="BO54" s="1220"/>
      <c r="BP54" s="1220"/>
      <c r="BQ54" s="1220"/>
      <c r="BR54" s="1220"/>
      <c r="BS54" s="1220"/>
      <c r="BT54" s="1220">
        <v>0</v>
      </c>
      <c r="BU54" s="1220">
        <v>0</v>
      </c>
      <c r="BV54" s="1220"/>
      <c r="BW54" s="1220"/>
      <c r="BX54" s="1220"/>
      <c r="BY54" s="1220"/>
      <c r="BZ54" s="1220"/>
      <c r="CA54" s="1220"/>
      <c r="CB54" s="1220"/>
      <c r="CC54" s="1220">
        <v>66381</v>
      </c>
      <c r="CD54" s="1220">
        <v>0</v>
      </c>
      <c r="CE54" s="1220"/>
      <c r="CF54" s="1220">
        <v>0</v>
      </c>
      <c r="CG54" s="1220"/>
      <c r="CH54" s="1220"/>
      <c r="CI54" s="1220"/>
      <c r="CJ54" s="1220">
        <v>66381</v>
      </c>
      <c r="CK54" s="1220"/>
      <c r="CL54" s="1220">
        <v>66381</v>
      </c>
      <c r="CM54" s="1220"/>
      <c r="CN54" s="1220"/>
      <c r="CO54" s="1220"/>
      <c r="CP54" s="1220"/>
      <c r="CQ54" s="1220">
        <v>3949699</v>
      </c>
      <c r="CR54" s="1220"/>
      <c r="CS54" s="1220">
        <v>3949699</v>
      </c>
      <c r="CT54" s="1220"/>
      <c r="CU54" s="1220">
        <v>101265601</v>
      </c>
      <c r="CV54" s="1220">
        <v>100559326</v>
      </c>
      <c r="CW54" s="1220">
        <v>706275</v>
      </c>
      <c r="CX54" s="1220"/>
      <c r="CY54" s="1220">
        <v>0</v>
      </c>
      <c r="CZ54" s="1220"/>
      <c r="DA54" s="1220">
        <v>0</v>
      </c>
      <c r="DB54" s="1220"/>
      <c r="DC54" s="1220"/>
      <c r="DD54" s="1220"/>
      <c r="DE54" s="1220">
        <v>0</v>
      </c>
      <c r="DF54" s="1220"/>
      <c r="DG54" s="1220"/>
      <c r="DH54" s="1220"/>
      <c r="DI54" s="1220">
        <v>0</v>
      </c>
      <c r="DJ54" s="1220"/>
      <c r="DK54" s="1220"/>
      <c r="DL54" s="1220"/>
      <c r="DM54" s="1220"/>
      <c r="DN54" s="1220">
        <v>0</v>
      </c>
      <c r="DO54" s="1220"/>
      <c r="DP54" s="1220">
        <v>0</v>
      </c>
      <c r="DQ54" s="1220"/>
      <c r="DR54" s="1220"/>
      <c r="DS54" s="1220"/>
      <c r="DT54" s="1220">
        <v>0</v>
      </c>
      <c r="DU54" s="1220"/>
      <c r="DV54" s="1220"/>
      <c r="DW54" s="1220"/>
      <c r="DX54" s="1220"/>
      <c r="DY54" s="1220">
        <v>3509532</v>
      </c>
      <c r="DZ54" s="1220"/>
      <c r="EA54" s="1220">
        <v>0</v>
      </c>
      <c r="EB54" s="1220">
        <v>0</v>
      </c>
      <c r="EC54" s="1220"/>
      <c r="ED54" s="1220">
        <v>3481399</v>
      </c>
      <c r="EE54" s="1220">
        <v>28133</v>
      </c>
      <c r="EF54" s="1220"/>
      <c r="EG54" s="1220"/>
      <c r="EH54" s="1220">
        <v>7929133.1099999994</v>
      </c>
      <c r="EI54" s="1220">
        <v>2294226.8199999998</v>
      </c>
      <c r="EJ54" s="1220">
        <v>4862598.55</v>
      </c>
      <c r="EK54" s="1220">
        <v>772307.74</v>
      </c>
      <c r="EL54" s="1220"/>
      <c r="EM54" s="1220">
        <v>17975703</v>
      </c>
      <c r="EN54" s="1220"/>
      <c r="EO54" s="1220"/>
      <c r="EP54" s="1220"/>
      <c r="EQ54" s="1220"/>
      <c r="ER54" s="1220"/>
      <c r="ES54" s="1218">
        <v>243358596.11000001</v>
      </c>
    </row>
    <row r="55" spans="5:150">
      <c r="E55" s="1370">
        <v>43313</v>
      </c>
      <c r="F55" s="1220"/>
      <c r="G55" s="1375">
        <v>539934</v>
      </c>
      <c r="H55" s="1220"/>
      <c r="I55" s="1220">
        <v>51126378</v>
      </c>
      <c r="J55" s="1220">
        <v>51126378</v>
      </c>
      <c r="K55" s="1220"/>
      <c r="L55" s="1220"/>
      <c r="M55" s="1220">
        <v>105884</v>
      </c>
      <c r="N55" s="1220">
        <v>105884</v>
      </c>
      <c r="O55" s="1220">
        <v>105884</v>
      </c>
      <c r="P55" s="1220"/>
      <c r="Q55" s="1220">
        <v>0</v>
      </c>
      <c r="R55" s="1220"/>
      <c r="S55" s="1220"/>
      <c r="T55" s="1220">
        <v>0</v>
      </c>
      <c r="U55" s="1220"/>
      <c r="V55" s="1220"/>
      <c r="W55" s="1220"/>
      <c r="X55" s="1220">
        <v>0</v>
      </c>
      <c r="Y55" s="1220">
        <v>0</v>
      </c>
      <c r="Z55" s="1220"/>
      <c r="AA55" s="1220"/>
      <c r="AB55" s="1220">
        <v>0</v>
      </c>
      <c r="AC55" s="1220"/>
      <c r="AD55" s="1220"/>
      <c r="AE55" s="1220"/>
      <c r="AF55" s="1220">
        <v>0</v>
      </c>
      <c r="AG55" s="1220"/>
      <c r="AH55" s="1220"/>
      <c r="AI55" s="1220"/>
      <c r="AJ55" s="1220"/>
      <c r="AK55" s="1220">
        <v>0</v>
      </c>
      <c r="AL55" s="1220"/>
      <c r="AM55" s="1220"/>
      <c r="AN55" s="1220"/>
      <c r="AO55" s="1220">
        <v>1272573</v>
      </c>
      <c r="AP55" s="1220">
        <v>812792</v>
      </c>
      <c r="AQ55" s="1220">
        <v>459781</v>
      </c>
      <c r="AR55" s="1220">
        <v>459781</v>
      </c>
      <c r="AS55" s="1220">
        <v>0</v>
      </c>
      <c r="AT55" s="1220"/>
      <c r="AU55" s="1220"/>
      <c r="AV55" s="1220"/>
      <c r="AW55" s="1220"/>
      <c r="AX55" s="1220"/>
      <c r="AY55" s="1220">
        <v>55139275</v>
      </c>
      <c r="AZ55" s="1220">
        <v>0</v>
      </c>
      <c r="BA55" s="1220"/>
      <c r="BB55" s="1220"/>
      <c r="BC55" s="1220">
        <v>6000000</v>
      </c>
      <c r="BD55" s="1220">
        <v>49139275</v>
      </c>
      <c r="BE55" s="1220">
        <v>0</v>
      </c>
      <c r="BF55" s="1220"/>
      <c r="BG55" s="1220"/>
      <c r="BH55" s="1220"/>
      <c r="BI55" s="1220"/>
      <c r="BJ55" s="1220"/>
      <c r="BK55" s="1220"/>
      <c r="BL55" s="1220">
        <v>0</v>
      </c>
      <c r="BM55" s="1220">
        <v>0</v>
      </c>
      <c r="BN55" s="1220"/>
      <c r="BO55" s="1220"/>
      <c r="BP55" s="1220"/>
      <c r="BQ55" s="1220"/>
      <c r="BR55" s="1220"/>
      <c r="BS55" s="1220"/>
      <c r="BT55" s="1220">
        <v>0</v>
      </c>
      <c r="BU55" s="1220">
        <v>0</v>
      </c>
      <c r="BV55" s="1220"/>
      <c r="BW55" s="1220"/>
      <c r="BX55" s="1220"/>
      <c r="BY55" s="1220"/>
      <c r="BZ55" s="1220"/>
      <c r="CA55" s="1220"/>
      <c r="CB55" s="1220"/>
      <c r="CC55" s="1220">
        <v>61657</v>
      </c>
      <c r="CD55" s="1220">
        <v>0</v>
      </c>
      <c r="CE55" s="1220"/>
      <c r="CF55" s="1220">
        <v>0</v>
      </c>
      <c r="CG55" s="1220"/>
      <c r="CH55" s="1220"/>
      <c r="CI55" s="1220"/>
      <c r="CJ55" s="1220">
        <v>61657</v>
      </c>
      <c r="CK55" s="1220"/>
      <c r="CL55" s="1220">
        <v>61657</v>
      </c>
      <c r="CM55" s="1220"/>
      <c r="CN55" s="1220"/>
      <c r="CO55" s="1220"/>
      <c r="CP55" s="1220"/>
      <c r="CQ55" s="1220">
        <v>3907562</v>
      </c>
      <c r="CR55" s="1220"/>
      <c r="CS55" s="1220">
        <v>3907562</v>
      </c>
      <c r="CT55" s="1220"/>
      <c r="CU55" s="1220">
        <v>105437680</v>
      </c>
      <c r="CV55" s="1220">
        <v>104975575</v>
      </c>
      <c r="CW55" s="1220">
        <v>462105</v>
      </c>
      <c r="CX55" s="1220"/>
      <c r="CY55" s="1220">
        <v>0</v>
      </c>
      <c r="CZ55" s="1220"/>
      <c r="DA55" s="1220">
        <v>0</v>
      </c>
      <c r="DB55" s="1220"/>
      <c r="DC55" s="1220"/>
      <c r="DD55" s="1220"/>
      <c r="DE55" s="1220">
        <v>0</v>
      </c>
      <c r="DF55" s="1220"/>
      <c r="DG55" s="1220"/>
      <c r="DH55" s="1220"/>
      <c r="DI55" s="1220">
        <v>0</v>
      </c>
      <c r="DJ55" s="1220"/>
      <c r="DK55" s="1220"/>
      <c r="DL55" s="1220"/>
      <c r="DM55" s="1220"/>
      <c r="DN55" s="1220">
        <v>0</v>
      </c>
      <c r="DO55" s="1220"/>
      <c r="DP55" s="1220">
        <v>0</v>
      </c>
      <c r="DQ55" s="1220"/>
      <c r="DR55" s="1220"/>
      <c r="DS55" s="1220"/>
      <c r="DT55" s="1220">
        <v>0</v>
      </c>
      <c r="DU55" s="1220"/>
      <c r="DV55" s="1220"/>
      <c r="DW55" s="1220"/>
      <c r="DX55" s="1220"/>
      <c r="DY55" s="1220">
        <v>3508659</v>
      </c>
      <c r="DZ55" s="1220"/>
      <c r="EA55" s="1220">
        <v>0</v>
      </c>
      <c r="EB55" s="1220">
        <v>0</v>
      </c>
      <c r="EC55" s="1220"/>
      <c r="ED55" s="1220">
        <v>3480603</v>
      </c>
      <c r="EE55" s="1220">
        <v>28056</v>
      </c>
      <c r="EF55" s="1220"/>
      <c r="EG55" s="1220"/>
      <c r="EH55" s="1220">
        <v>8349859.129999999</v>
      </c>
      <c r="EI55" s="1220">
        <v>2290124.14</v>
      </c>
      <c r="EJ55" s="1220">
        <v>5314798.05</v>
      </c>
      <c r="EK55" s="1220">
        <v>744936.94</v>
      </c>
      <c r="EL55" s="1220"/>
      <c r="EM55" s="1220">
        <v>17876636</v>
      </c>
      <c r="EN55" s="1220"/>
      <c r="EO55" s="1220"/>
      <c r="EP55" s="1220"/>
      <c r="EQ55" s="1220"/>
      <c r="ER55" s="1220"/>
      <c r="ES55" s="1218">
        <v>247326097.13</v>
      </c>
    </row>
    <row r="56" spans="5:150">
      <c r="E56" s="1370">
        <v>43344</v>
      </c>
      <c r="F56" s="1220"/>
      <c r="G56" s="1375">
        <v>101412</v>
      </c>
      <c r="H56" s="1220"/>
      <c r="I56" s="1220">
        <v>44984188</v>
      </c>
      <c r="J56" s="1220">
        <v>44984188</v>
      </c>
      <c r="K56" s="1220"/>
      <c r="L56" s="1220"/>
      <c r="M56" s="1220">
        <v>142410</v>
      </c>
      <c r="N56" s="1220">
        <v>142410</v>
      </c>
      <c r="O56" s="1220">
        <v>142410</v>
      </c>
      <c r="P56" s="1220"/>
      <c r="Q56" s="1220">
        <v>0</v>
      </c>
      <c r="R56" s="1220"/>
      <c r="S56" s="1220"/>
      <c r="T56" s="1220">
        <v>0</v>
      </c>
      <c r="U56" s="1220"/>
      <c r="V56" s="1220"/>
      <c r="W56" s="1220"/>
      <c r="X56" s="1220">
        <v>0</v>
      </c>
      <c r="Y56" s="1220">
        <v>0</v>
      </c>
      <c r="Z56" s="1220"/>
      <c r="AA56" s="1220"/>
      <c r="AB56" s="1220">
        <v>0</v>
      </c>
      <c r="AC56" s="1220"/>
      <c r="AD56" s="1220"/>
      <c r="AE56" s="1220"/>
      <c r="AF56" s="1220">
        <v>0</v>
      </c>
      <c r="AG56" s="1220"/>
      <c r="AH56" s="1220"/>
      <c r="AI56" s="1220"/>
      <c r="AJ56" s="1220"/>
      <c r="AK56" s="1220">
        <v>0</v>
      </c>
      <c r="AL56" s="1220"/>
      <c r="AM56" s="1220"/>
      <c r="AN56" s="1220"/>
      <c r="AO56" s="1220">
        <v>909128</v>
      </c>
      <c r="AP56" s="1220">
        <v>464451</v>
      </c>
      <c r="AQ56" s="1220">
        <v>444677</v>
      </c>
      <c r="AR56" s="1220">
        <v>444677</v>
      </c>
      <c r="AS56" s="1220">
        <v>0</v>
      </c>
      <c r="AT56" s="1220"/>
      <c r="AU56" s="1220"/>
      <c r="AV56" s="1220"/>
      <c r="AW56" s="1220"/>
      <c r="AX56" s="1220"/>
      <c r="AY56" s="1220">
        <v>60883367</v>
      </c>
      <c r="AZ56" s="1220">
        <v>0</v>
      </c>
      <c r="BA56" s="1220"/>
      <c r="BB56" s="1220"/>
      <c r="BC56" s="1220">
        <v>0</v>
      </c>
      <c r="BD56" s="1220">
        <v>60883367</v>
      </c>
      <c r="BE56" s="1220">
        <v>0</v>
      </c>
      <c r="BF56" s="1220"/>
      <c r="BG56" s="1220"/>
      <c r="BH56" s="1220"/>
      <c r="BI56" s="1220"/>
      <c r="BJ56" s="1220"/>
      <c r="BK56" s="1220"/>
      <c r="BL56" s="1220">
        <v>0</v>
      </c>
      <c r="BM56" s="1220">
        <v>0</v>
      </c>
      <c r="BN56" s="1220"/>
      <c r="BO56" s="1220"/>
      <c r="BP56" s="1220"/>
      <c r="BQ56" s="1220"/>
      <c r="BR56" s="1220"/>
      <c r="BS56" s="1220"/>
      <c r="BT56" s="1220">
        <v>0</v>
      </c>
      <c r="BU56" s="1220">
        <v>0</v>
      </c>
      <c r="BV56" s="1220"/>
      <c r="BW56" s="1220"/>
      <c r="BX56" s="1220"/>
      <c r="BY56" s="1220"/>
      <c r="BZ56" s="1220"/>
      <c r="CA56" s="1220"/>
      <c r="CB56" s="1220"/>
      <c r="CC56" s="1220">
        <v>65358</v>
      </c>
      <c r="CD56" s="1220">
        <v>0</v>
      </c>
      <c r="CE56" s="1220"/>
      <c r="CF56" s="1220">
        <v>0</v>
      </c>
      <c r="CG56" s="1220"/>
      <c r="CH56" s="1220"/>
      <c r="CI56" s="1220"/>
      <c r="CJ56" s="1220">
        <v>65358</v>
      </c>
      <c r="CK56" s="1220"/>
      <c r="CL56" s="1220">
        <v>65358</v>
      </c>
      <c r="CM56" s="1220"/>
      <c r="CN56" s="1220"/>
      <c r="CO56" s="1220"/>
      <c r="CP56" s="1220"/>
      <c r="CQ56" s="1220">
        <v>0</v>
      </c>
      <c r="CR56" s="1220"/>
      <c r="CS56" s="1220">
        <v>0</v>
      </c>
      <c r="CT56" s="1220"/>
      <c r="CU56" s="1220">
        <v>110308040</v>
      </c>
      <c r="CV56" s="1220">
        <v>109684479</v>
      </c>
      <c r="CW56" s="1220">
        <v>623561</v>
      </c>
      <c r="CX56" s="1220"/>
      <c r="CY56" s="1220">
        <v>0</v>
      </c>
      <c r="CZ56" s="1220"/>
      <c r="DA56" s="1220">
        <v>0</v>
      </c>
      <c r="DB56" s="1220"/>
      <c r="DC56" s="1220"/>
      <c r="DD56" s="1220"/>
      <c r="DE56" s="1220">
        <v>0</v>
      </c>
      <c r="DF56" s="1220"/>
      <c r="DG56" s="1220"/>
      <c r="DH56" s="1220"/>
      <c r="DI56" s="1220">
        <v>0</v>
      </c>
      <c r="DJ56" s="1220"/>
      <c r="DK56" s="1220"/>
      <c r="DL56" s="1220"/>
      <c r="DM56" s="1220"/>
      <c r="DN56" s="1220">
        <v>0</v>
      </c>
      <c r="DO56" s="1220"/>
      <c r="DP56" s="1220">
        <v>0</v>
      </c>
      <c r="DQ56" s="1220"/>
      <c r="DR56" s="1220"/>
      <c r="DS56" s="1220"/>
      <c r="DT56" s="1220">
        <v>0</v>
      </c>
      <c r="DU56" s="1220"/>
      <c r="DV56" s="1220"/>
      <c r="DW56" s="1220"/>
      <c r="DX56" s="1220"/>
      <c r="DY56" s="1220">
        <v>3476745</v>
      </c>
      <c r="DZ56" s="1220"/>
      <c r="EA56" s="1220">
        <v>0</v>
      </c>
      <c r="EB56" s="1220">
        <v>0</v>
      </c>
      <c r="EC56" s="1220"/>
      <c r="ED56" s="1220">
        <v>3448781</v>
      </c>
      <c r="EE56" s="1220">
        <v>27964</v>
      </c>
      <c r="EF56" s="1220"/>
      <c r="EG56" s="1220"/>
      <c r="EH56" s="1220">
        <v>8626228.0099999998</v>
      </c>
      <c r="EI56" s="1220">
        <v>2596132.54</v>
      </c>
      <c r="EJ56" s="1220">
        <v>5303907.91</v>
      </c>
      <c r="EK56" s="1220">
        <v>726187.56</v>
      </c>
      <c r="EL56" s="1220"/>
      <c r="EM56" s="1220">
        <v>18754903</v>
      </c>
      <c r="EN56" s="1220"/>
      <c r="EO56" s="1220"/>
      <c r="EP56" s="1220"/>
      <c r="EQ56" s="1220"/>
      <c r="ER56" s="1220"/>
      <c r="ES56" s="1218">
        <v>248251779.00999999</v>
      </c>
    </row>
    <row r="57" spans="5:150" s="1" customFormat="1" ht="15">
      <c r="E57" s="1419">
        <v>43374</v>
      </c>
      <c r="F57" s="947"/>
      <c r="G57" s="1209">
        <v>1991654</v>
      </c>
      <c r="H57" s="1217"/>
      <c r="I57" s="1217">
        <v>42369675</v>
      </c>
      <c r="J57" s="1217">
        <v>42369675</v>
      </c>
      <c r="K57" s="1217"/>
      <c r="L57" s="1217"/>
      <c r="M57" s="1217">
        <v>214290</v>
      </c>
      <c r="N57" s="1217">
        <v>214290</v>
      </c>
      <c r="O57" s="1217">
        <v>214290</v>
      </c>
      <c r="P57" s="1217"/>
      <c r="Q57" s="1217">
        <v>0</v>
      </c>
      <c r="R57" s="1217"/>
      <c r="S57" s="1217"/>
      <c r="T57" s="1217">
        <v>0</v>
      </c>
      <c r="U57" s="1217"/>
      <c r="V57" s="1217"/>
      <c r="W57" s="1217"/>
      <c r="X57" s="1217">
        <v>0</v>
      </c>
      <c r="Y57" s="1217">
        <v>0</v>
      </c>
      <c r="Z57" s="1217"/>
      <c r="AA57" s="1217"/>
      <c r="AB57" s="1217">
        <v>0</v>
      </c>
      <c r="AC57" s="1217"/>
      <c r="AD57" s="1217"/>
      <c r="AE57" s="1217"/>
      <c r="AF57" s="1217">
        <v>0</v>
      </c>
      <c r="AG57" s="1217"/>
      <c r="AH57" s="1217"/>
      <c r="AI57" s="1217"/>
      <c r="AJ57" s="1217"/>
      <c r="AK57" s="1217">
        <v>0</v>
      </c>
      <c r="AL57" s="1217"/>
      <c r="AM57" s="1217"/>
      <c r="AN57" s="1217"/>
      <c r="AO57" s="1217">
        <v>648748</v>
      </c>
      <c r="AP57" s="1217">
        <v>286745</v>
      </c>
      <c r="AQ57" s="1217">
        <v>362003</v>
      </c>
      <c r="AR57" s="1217">
        <v>362003</v>
      </c>
      <c r="AS57" s="1217">
        <v>0</v>
      </c>
      <c r="AT57" s="1217"/>
      <c r="AU57" s="1217"/>
      <c r="AV57" s="1217"/>
      <c r="AW57" s="1217"/>
      <c r="AX57" s="1217"/>
      <c r="AY57" s="1217">
        <v>54345796</v>
      </c>
      <c r="AZ57" s="1217">
        <v>0</v>
      </c>
      <c r="BA57" s="1217"/>
      <c r="BB57" s="1217"/>
      <c r="BC57" s="1217">
        <v>0</v>
      </c>
      <c r="BD57" s="1217">
        <v>54345796</v>
      </c>
      <c r="BE57" s="1217">
        <v>0</v>
      </c>
      <c r="BF57" s="1217"/>
      <c r="BG57" s="1217"/>
      <c r="BH57" s="1217"/>
      <c r="BI57" s="1217"/>
      <c r="BJ57" s="1217"/>
      <c r="BK57" s="1217"/>
      <c r="BL57" s="1217">
        <v>0</v>
      </c>
      <c r="BM57" s="1217">
        <v>0</v>
      </c>
      <c r="BN57" s="1217"/>
      <c r="BO57" s="1217"/>
      <c r="BP57" s="1217"/>
      <c r="BQ57" s="1217"/>
      <c r="BR57" s="1217"/>
      <c r="BS57" s="1217"/>
      <c r="BT57" s="1217">
        <v>0</v>
      </c>
      <c r="BU57" s="1217">
        <v>0</v>
      </c>
      <c r="BV57" s="1217"/>
      <c r="BW57" s="1217"/>
      <c r="BX57" s="1217"/>
      <c r="BY57" s="1217"/>
      <c r="BZ57" s="1217"/>
      <c r="CA57" s="1217"/>
      <c r="CB57" s="1217"/>
      <c r="CC57" s="1217">
        <v>57446</v>
      </c>
      <c r="CD57" s="1217">
        <v>0</v>
      </c>
      <c r="CE57" s="1217"/>
      <c r="CF57" s="1217">
        <v>0</v>
      </c>
      <c r="CG57" s="1217"/>
      <c r="CH57" s="1217"/>
      <c r="CI57" s="1217"/>
      <c r="CJ57" s="1217">
        <v>57446</v>
      </c>
      <c r="CK57" s="1217"/>
      <c r="CL57" s="1217">
        <v>57446</v>
      </c>
      <c r="CM57" s="1217"/>
      <c r="CN57" s="1217"/>
      <c r="CO57" s="1217"/>
      <c r="CP57" s="1217"/>
      <c r="CQ57" s="1217">
        <v>1974993</v>
      </c>
      <c r="CR57" s="1217"/>
      <c r="CS57" s="1217">
        <v>1974993</v>
      </c>
      <c r="CT57" s="1217"/>
      <c r="CU57" s="1217">
        <v>111090286</v>
      </c>
      <c r="CV57" s="1217">
        <v>110516471</v>
      </c>
      <c r="CW57" s="1217">
        <v>573815</v>
      </c>
      <c r="CX57" s="1217"/>
      <c r="CY57" s="1217">
        <v>0</v>
      </c>
      <c r="CZ57" s="1217"/>
      <c r="DA57" s="1217">
        <v>0</v>
      </c>
      <c r="DB57" s="1217"/>
      <c r="DC57" s="1217"/>
      <c r="DD57" s="1217"/>
      <c r="DE57" s="1217">
        <v>0</v>
      </c>
      <c r="DF57" s="1217"/>
      <c r="DG57" s="1217"/>
      <c r="DH57" s="1217"/>
      <c r="DI57" s="1217">
        <v>0</v>
      </c>
      <c r="DJ57" s="1217"/>
      <c r="DK57" s="1217"/>
      <c r="DL57" s="1217"/>
      <c r="DM57" s="1217"/>
      <c r="DN57" s="1217">
        <v>0</v>
      </c>
      <c r="DO57" s="1217"/>
      <c r="DP57" s="1217">
        <v>0</v>
      </c>
      <c r="DQ57" s="1217"/>
      <c r="DR57" s="1217"/>
      <c r="DS57" s="1217"/>
      <c r="DT57" s="1217">
        <v>0</v>
      </c>
      <c r="DU57" s="1217"/>
      <c r="DV57" s="1217"/>
      <c r="DW57" s="1217"/>
      <c r="DX57" s="1217"/>
      <c r="DY57" s="1217">
        <v>5501485</v>
      </c>
      <c r="DZ57" s="1217"/>
      <c r="EA57" s="1217">
        <v>0</v>
      </c>
      <c r="EB57" s="1217">
        <v>0</v>
      </c>
      <c r="EC57" s="1217"/>
      <c r="ED57" s="1217">
        <v>5474246</v>
      </c>
      <c r="EE57" s="1217">
        <v>27239</v>
      </c>
      <c r="EF57" s="1217"/>
      <c r="EG57" s="1217"/>
      <c r="EH57" s="1217">
        <v>8622170</v>
      </c>
      <c r="EI57" s="1217">
        <v>2591447</v>
      </c>
      <c r="EJ57" s="1217">
        <v>5322477</v>
      </c>
      <c r="EK57" s="1217">
        <v>708246</v>
      </c>
      <c r="EL57" s="1217"/>
      <c r="EM57" s="1217">
        <v>18074803</v>
      </c>
      <c r="EN57" s="1217"/>
      <c r="EO57" s="1217"/>
      <c r="EP57" s="1217"/>
      <c r="EQ57" s="1217"/>
      <c r="ER57" s="1217"/>
      <c r="ES57" s="1217">
        <v>244891346</v>
      </c>
      <c r="ET57" s="1209"/>
    </row>
    <row r="58" spans="5:150" s="1" customFormat="1" ht="15">
      <c r="E58" s="1419">
        <v>43405</v>
      </c>
      <c r="F58" s="1419"/>
      <c r="G58" s="1209">
        <v>1160599</v>
      </c>
      <c r="H58" s="1209"/>
      <c r="I58" s="1209">
        <v>65615264</v>
      </c>
      <c r="J58" s="1209">
        <v>65615264</v>
      </c>
      <c r="K58" s="1209"/>
      <c r="L58" s="1209"/>
      <c r="M58" s="1209">
        <v>82171</v>
      </c>
      <c r="N58" s="1209">
        <v>82171</v>
      </c>
      <c r="O58" s="1209">
        <v>82171</v>
      </c>
      <c r="P58" s="1209"/>
      <c r="Q58" s="1209">
        <v>0</v>
      </c>
      <c r="R58" s="1209"/>
      <c r="S58" s="1209"/>
      <c r="T58" s="1209">
        <v>0</v>
      </c>
      <c r="U58" s="1209"/>
      <c r="V58" s="1209"/>
      <c r="W58" s="1209"/>
      <c r="X58" s="1209">
        <v>0</v>
      </c>
      <c r="Y58" s="1209">
        <v>0</v>
      </c>
      <c r="Z58" s="1209"/>
      <c r="AA58" s="1209"/>
      <c r="AB58" s="1209">
        <v>0</v>
      </c>
      <c r="AC58" s="1209"/>
      <c r="AD58" s="1209"/>
      <c r="AE58" s="1209"/>
      <c r="AF58" s="1209">
        <v>0</v>
      </c>
      <c r="AG58" s="1209"/>
      <c r="AH58" s="1209"/>
      <c r="AI58" s="1209"/>
      <c r="AJ58" s="1209"/>
      <c r="AK58" s="1209">
        <v>0</v>
      </c>
      <c r="AL58" s="1209"/>
      <c r="AM58" s="1209"/>
      <c r="AN58" s="1209"/>
      <c r="AO58" s="1209">
        <v>1473107</v>
      </c>
      <c r="AP58" s="1209">
        <v>335387</v>
      </c>
      <c r="AQ58" s="1209">
        <v>1137720</v>
      </c>
      <c r="AR58" s="1209">
        <v>1137720</v>
      </c>
      <c r="AS58" s="1209">
        <v>0</v>
      </c>
      <c r="AT58" s="1209"/>
      <c r="AU58" s="1209"/>
      <c r="AV58" s="1209"/>
      <c r="AW58" s="1209"/>
      <c r="AX58" s="1209"/>
      <c r="AY58" s="1209">
        <v>54398695</v>
      </c>
      <c r="AZ58" s="1209">
        <v>0</v>
      </c>
      <c r="BA58" s="1209"/>
      <c r="BB58" s="1209"/>
      <c r="BC58" s="1209">
        <v>0</v>
      </c>
      <c r="BD58" s="1209">
        <v>54398695</v>
      </c>
      <c r="BE58" s="1209">
        <v>0</v>
      </c>
      <c r="BF58" s="1209"/>
      <c r="BG58" s="1209"/>
      <c r="BH58" s="1209"/>
      <c r="BI58" s="1209"/>
      <c r="BJ58" s="1209"/>
      <c r="BK58" s="1209"/>
      <c r="BL58" s="1209">
        <v>0</v>
      </c>
      <c r="BM58" s="1209">
        <v>0</v>
      </c>
      <c r="BN58" s="1209"/>
      <c r="BO58" s="1209"/>
      <c r="BP58" s="1209"/>
      <c r="BQ58" s="1209"/>
      <c r="BR58" s="1209"/>
      <c r="BS58" s="1209"/>
      <c r="BT58" s="1209">
        <v>0</v>
      </c>
      <c r="BU58" s="1209">
        <v>0</v>
      </c>
      <c r="BV58" s="1209"/>
      <c r="BW58" s="1209"/>
      <c r="BX58" s="1209"/>
      <c r="BY58" s="1209"/>
      <c r="BZ58" s="1209"/>
      <c r="CA58" s="1209"/>
      <c r="CB58" s="1209"/>
      <c r="CC58" s="1209">
        <v>0</v>
      </c>
      <c r="CD58" s="1209">
        <v>0</v>
      </c>
      <c r="CE58" s="1209"/>
      <c r="CF58" s="1209">
        <v>0</v>
      </c>
      <c r="CG58" s="1209"/>
      <c r="CH58" s="1209"/>
      <c r="CI58" s="1209"/>
      <c r="CJ58" s="1209">
        <v>0</v>
      </c>
      <c r="CK58" s="1209"/>
      <c r="CL58" s="1209">
        <v>0</v>
      </c>
      <c r="CM58" s="1209"/>
      <c r="CN58" s="1209"/>
      <c r="CO58" s="1209"/>
      <c r="CP58" s="1209"/>
      <c r="CQ58" s="1209">
        <v>3949835</v>
      </c>
      <c r="CR58" s="1209"/>
      <c r="CS58" s="1209">
        <v>3949835</v>
      </c>
      <c r="CT58" s="1209"/>
      <c r="CU58" s="1209">
        <v>110615251</v>
      </c>
      <c r="CV58" s="1209">
        <v>110050473</v>
      </c>
      <c r="CW58" s="1209">
        <v>564778</v>
      </c>
      <c r="CX58" s="1209"/>
      <c r="CY58" s="1209">
        <v>0</v>
      </c>
      <c r="CZ58" s="1209"/>
      <c r="DA58" s="1209">
        <v>0</v>
      </c>
      <c r="DB58" s="1209"/>
      <c r="DC58" s="1209"/>
      <c r="DD58" s="1209"/>
      <c r="DE58" s="1209">
        <v>0</v>
      </c>
      <c r="DF58" s="1209"/>
      <c r="DG58" s="1209"/>
      <c r="DH58" s="1209"/>
      <c r="DI58" s="1209">
        <v>0</v>
      </c>
      <c r="DJ58" s="1209"/>
      <c r="DK58" s="1209"/>
      <c r="DL58" s="1209"/>
      <c r="DM58" s="1209"/>
      <c r="DN58" s="1209">
        <v>0</v>
      </c>
      <c r="DO58" s="1209"/>
      <c r="DP58" s="1209">
        <v>0</v>
      </c>
      <c r="DQ58" s="1209"/>
      <c r="DR58" s="1209"/>
      <c r="DS58" s="1209"/>
      <c r="DT58" s="1209">
        <v>0</v>
      </c>
      <c r="DU58" s="1209"/>
      <c r="DV58" s="1209"/>
      <c r="DW58" s="1209"/>
      <c r="DX58" s="1209"/>
      <c r="DY58" s="1209">
        <v>4901249</v>
      </c>
      <c r="DZ58" s="1209"/>
      <c r="EA58" s="1209">
        <v>0</v>
      </c>
      <c r="EB58" s="1209">
        <v>0</v>
      </c>
      <c r="EC58" s="1209"/>
      <c r="ED58" s="1209">
        <v>4873897</v>
      </c>
      <c r="EE58" s="1209">
        <v>27352</v>
      </c>
      <c r="EF58" s="1209"/>
      <c r="EG58" s="1209"/>
      <c r="EH58" s="1209">
        <v>8507878</v>
      </c>
      <c r="EI58" s="1209">
        <v>2586762</v>
      </c>
      <c r="EJ58" s="1209">
        <v>5230812</v>
      </c>
      <c r="EK58" s="1209">
        <v>690304</v>
      </c>
      <c r="EL58" s="1209"/>
      <c r="EM58" s="1209">
        <v>17296605</v>
      </c>
      <c r="EN58" s="1209"/>
      <c r="EO58" s="1209"/>
      <c r="EP58" s="1209"/>
      <c r="EQ58" s="1209"/>
      <c r="ER58" s="1209"/>
      <c r="ES58" s="1209">
        <v>268000654</v>
      </c>
      <c r="ET58" s="1209"/>
    </row>
    <row r="59" spans="5:150" s="1" customFormat="1" ht="15">
      <c r="E59" s="1419">
        <v>43435</v>
      </c>
      <c r="F59" s="1419"/>
      <c r="G59" s="1209">
        <v>9970</v>
      </c>
      <c r="H59" s="1209"/>
      <c r="I59" s="1209">
        <v>52489533</v>
      </c>
      <c r="J59" s="1209">
        <v>52489533</v>
      </c>
      <c r="K59" s="1209"/>
      <c r="L59" s="1209"/>
      <c r="M59" s="1209">
        <v>802248</v>
      </c>
      <c r="N59" s="1209">
        <v>802248</v>
      </c>
      <c r="O59" s="1209">
        <v>802248</v>
      </c>
      <c r="P59" s="1209"/>
      <c r="Q59" s="1209">
        <v>0</v>
      </c>
      <c r="R59" s="1209"/>
      <c r="S59" s="1209"/>
      <c r="T59" s="1209">
        <v>0</v>
      </c>
      <c r="U59" s="1209"/>
      <c r="V59" s="1209"/>
      <c r="W59" s="1209"/>
      <c r="X59" s="1209">
        <v>0</v>
      </c>
      <c r="Y59" s="1209">
        <v>0</v>
      </c>
      <c r="Z59" s="1209"/>
      <c r="AA59" s="1209"/>
      <c r="AB59" s="1209">
        <v>0</v>
      </c>
      <c r="AC59" s="1209"/>
      <c r="AD59" s="1209"/>
      <c r="AE59" s="1209"/>
      <c r="AF59" s="1209">
        <v>0</v>
      </c>
      <c r="AG59" s="1209"/>
      <c r="AH59" s="1209"/>
      <c r="AI59" s="1209"/>
      <c r="AJ59" s="1209"/>
      <c r="AK59" s="1209">
        <v>0</v>
      </c>
      <c r="AL59" s="1209"/>
      <c r="AM59" s="1209"/>
      <c r="AN59" s="1209"/>
      <c r="AO59" s="1209">
        <v>822835</v>
      </c>
      <c r="AP59" s="1209">
        <v>231922</v>
      </c>
      <c r="AQ59" s="1209">
        <v>590913</v>
      </c>
      <c r="AR59" s="1209">
        <v>590913</v>
      </c>
      <c r="AS59" s="1209">
        <v>0</v>
      </c>
      <c r="AT59" s="1209"/>
      <c r="AU59" s="1209"/>
      <c r="AV59" s="1209"/>
      <c r="AW59" s="1209"/>
      <c r="AX59" s="1209"/>
      <c r="AY59" s="1209">
        <v>67035855</v>
      </c>
      <c r="AZ59" s="1209">
        <v>0</v>
      </c>
      <c r="BA59" s="1209"/>
      <c r="BB59" s="1209"/>
      <c r="BC59" s="1209">
        <v>12000000</v>
      </c>
      <c r="BD59" s="1209">
        <v>55035855</v>
      </c>
      <c r="BE59" s="1209">
        <v>0</v>
      </c>
      <c r="BF59" s="1209"/>
      <c r="BG59" s="1209"/>
      <c r="BH59" s="1209"/>
      <c r="BI59" s="1209"/>
      <c r="BJ59" s="1209"/>
      <c r="BK59" s="1209"/>
      <c r="BL59" s="1209">
        <v>0</v>
      </c>
      <c r="BM59" s="1209">
        <v>0</v>
      </c>
      <c r="BN59" s="1209"/>
      <c r="BO59" s="1209"/>
      <c r="BP59" s="1209"/>
      <c r="BQ59" s="1209"/>
      <c r="BR59" s="1209"/>
      <c r="BS59" s="1209"/>
      <c r="BT59" s="1209">
        <v>0</v>
      </c>
      <c r="BU59" s="1209">
        <v>0</v>
      </c>
      <c r="BV59" s="1209"/>
      <c r="BW59" s="1209"/>
      <c r="BX59" s="1209"/>
      <c r="BY59" s="1209"/>
      <c r="BZ59" s="1209"/>
      <c r="CA59" s="1209"/>
      <c r="CB59" s="1209"/>
      <c r="CC59" s="1209">
        <v>0</v>
      </c>
      <c r="CD59" s="1209">
        <v>0</v>
      </c>
      <c r="CE59" s="1209"/>
      <c r="CF59" s="1209">
        <v>0</v>
      </c>
      <c r="CG59" s="1209"/>
      <c r="CH59" s="1209"/>
      <c r="CI59" s="1209"/>
      <c r="CJ59" s="1209">
        <v>0</v>
      </c>
      <c r="CK59" s="1209"/>
      <c r="CL59" s="1209">
        <v>0</v>
      </c>
      <c r="CM59" s="1209">
        <v>0</v>
      </c>
      <c r="CN59" s="1209"/>
      <c r="CO59" s="1209"/>
      <c r="CP59" s="1209"/>
      <c r="CQ59" s="1209">
        <v>3949616</v>
      </c>
      <c r="CR59" s="1209"/>
      <c r="CS59" s="1209">
        <v>3949616</v>
      </c>
      <c r="CT59" s="1209"/>
      <c r="CU59" s="1209">
        <v>111247554</v>
      </c>
      <c r="CV59" s="1209">
        <v>110698915</v>
      </c>
      <c r="CW59" s="1209">
        <v>548639</v>
      </c>
      <c r="CX59" s="1209"/>
      <c r="CY59" s="1209">
        <v>0</v>
      </c>
      <c r="CZ59" s="1209"/>
      <c r="DA59" s="1209">
        <v>0</v>
      </c>
      <c r="DB59" s="1209"/>
      <c r="DC59" s="1209"/>
      <c r="DD59" s="1209"/>
      <c r="DE59" s="1209">
        <v>0</v>
      </c>
      <c r="DF59" s="1209"/>
      <c r="DG59" s="1209"/>
      <c r="DH59" s="1209"/>
      <c r="DI59" s="1209">
        <v>0</v>
      </c>
      <c r="DJ59" s="1209"/>
      <c r="DK59" s="1209"/>
      <c r="DL59" s="1209"/>
      <c r="DM59" s="1209"/>
      <c r="DN59" s="1209">
        <v>0</v>
      </c>
      <c r="DO59" s="1209"/>
      <c r="DP59" s="1209">
        <v>0</v>
      </c>
      <c r="DQ59" s="1209"/>
      <c r="DR59" s="1209"/>
      <c r="DS59" s="1209"/>
      <c r="DT59" s="1209">
        <v>0</v>
      </c>
      <c r="DU59" s="1209"/>
      <c r="DV59" s="1209"/>
      <c r="DW59" s="1209"/>
      <c r="DX59" s="1209"/>
      <c r="DY59" s="1209">
        <v>6285944</v>
      </c>
      <c r="DZ59" s="1209"/>
      <c r="EA59" s="1209">
        <v>0</v>
      </c>
      <c r="EB59" s="1209">
        <v>0</v>
      </c>
      <c r="EC59" s="1209"/>
      <c r="ED59" s="1209">
        <v>6258508</v>
      </c>
      <c r="EE59" s="1209">
        <v>27436</v>
      </c>
      <c r="EF59" s="1209"/>
      <c r="EG59" s="1209"/>
      <c r="EH59" s="1209">
        <v>8464832</v>
      </c>
      <c r="EI59" s="1209">
        <v>2582077</v>
      </c>
      <c r="EJ59" s="1209">
        <v>5212323</v>
      </c>
      <c r="EK59" s="1209">
        <v>670432</v>
      </c>
      <c r="EL59" s="1209"/>
      <c r="EM59" s="1209">
        <v>18154724</v>
      </c>
      <c r="EN59" s="1209"/>
      <c r="EO59" s="1209"/>
      <c r="EP59" s="1209"/>
      <c r="EQ59" s="1209"/>
      <c r="ER59" s="1209"/>
      <c r="ES59" s="1209">
        <v>269263111</v>
      </c>
      <c r="ET59" s="1209"/>
    </row>
    <row r="62" spans="5:150" s="1375" customFormat="1">
      <c r="E62" s="1419">
        <v>43466</v>
      </c>
      <c r="G62" s="1375">
        <v>684648</v>
      </c>
      <c r="I62" s="1375">
        <v>23383732</v>
      </c>
      <c r="J62" s="1375">
        <v>23383732</v>
      </c>
      <c r="M62" s="1375">
        <v>189455</v>
      </c>
      <c r="N62" s="1375">
        <v>189455</v>
      </c>
      <c r="O62" s="1375">
        <v>189455</v>
      </c>
      <c r="Q62" s="1375">
        <v>0</v>
      </c>
      <c r="T62" s="1375">
        <v>0</v>
      </c>
      <c r="X62" s="1375">
        <v>0</v>
      </c>
      <c r="Y62" s="1375">
        <v>0</v>
      </c>
      <c r="AB62" s="1375">
        <v>0</v>
      </c>
      <c r="AF62" s="1375">
        <v>0</v>
      </c>
      <c r="AK62" s="1375">
        <v>0</v>
      </c>
      <c r="AO62" s="1375">
        <v>2865275</v>
      </c>
      <c r="AP62" s="1375">
        <v>1872167</v>
      </c>
      <c r="AQ62" s="1375">
        <v>993108</v>
      </c>
      <c r="AR62" s="1375">
        <v>993108</v>
      </c>
      <c r="AS62" s="1375">
        <v>0</v>
      </c>
      <c r="AY62" s="1375">
        <v>69393540</v>
      </c>
      <c r="AZ62" s="1375">
        <v>0</v>
      </c>
      <c r="BC62" s="1375">
        <v>11845205</v>
      </c>
      <c r="BD62" s="1375">
        <v>57548335</v>
      </c>
      <c r="BE62" s="1375">
        <v>0</v>
      </c>
      <c r="BL62" s="1375">
        <v>0</v>
      </c>
      <c r="BM62" s="1375">
        <v>0</v>
      </c>
      <c r="BT62" s="1375">
        <v>0</v>
      </c>
      <c r="BU62" s="1375">
        <v>0</v>
      </c>
      <c r="CC62" s="1375">
        <v>0</v>
      </c>
      <c r="CD62" s="1375">
        <v>0</v>
      </c>
      <c r="CF62" s="1375">
        <v>0</v>
      </c>
      <c r="CJ62" s="1375">
        <v>0</v>
      </c>
      <c r="CL62" s="1375">
        <v>0</v>
      </c>
      <c r="CM62" s="1375">
        <v>0</v>
      </c>
      <c r="CQ62" s="1375">
        <v>1974693</v>
      </c>
      <c r="CS62" s="1375">
        <v>1974693</v>
      </c>
      <c r="CU62" s="1375">
        <v>109725090</v>
      </c>
      <c r="CV62" s="1375">
        <v>109178988</v>
      </c>
      <c r="CW62" s="1375">
        <v>546102</v>
      </c>
      <c r="CY62" s="1375">
        <v>0</v>
      </c>
      <c r="DA62" s="1375">
        <v>0</v>
      </c>
      <c r="DE62" s="1375">
        <v>0</v>
      </c>
      <c r="DI62" s="1375">
        <v>0</v>
      </c>
      <c r="DN62" s="1375">
        <v>0</v>
      </c>
      <c r="DP62" s="1375">
        <v>0</v>
      </c>
      <c r="DT62" s="1375">
        <v>0</v>
      </c>
      <c r="DY62" s="1375">
        <v>6621604</v>
      </c>
      <c r="EA62" s="1375">
        <v>0</v>
      </c>
      <c r="EB62" s="1375">
        <v>0</v>
      </c>
      <c r="ED62" s="1375">
        <v>6593980</v>
      </c>
      <c r="EE62" s="1375">
        <v>27624</v>
      </c>
      <c r="EH62" s="1375">
        <v>8335423</v>
      </c>
      <c r="EI62" s="1375">
        <v>2577392</v>
      </c>
      <c r="EJ62" s="1375">
        <v>5105541</v>
      </c>
      <c r="EK62" s="1375">
        <v>652490</v>
      </c>
      <c r="EM62" s="1375">
        <v>18124553</v>
      </c>
      <c r="ES62" s="1209">
        <v>241298013</v>
      </c>
    </row>
    <row r="63" spans="5:150">
      <c r="E63" s="1419">
        <v>43497</v>
      </c>
      <c r="G63" s="1375">
        <v>1668822</v>
      </c>
      <c r="I63" s="1026">
        <v>39551163</v>
      </c>
      <c r="J63" s="1026">
        <v>39551163</v>
      </c>
      <c r="M63" s="1026">
        <v>830876</v>
      </c>
      <c r="N63" s="1026">
        <v>830876</v>
      </c>
      <c r="O63" s="1026">
        <v>830876</v>
      </c>
      <c r="Q63" s="1026">
        <v>0</v>
      </c>
      <c r="T63" s="1026">
        <v>0</v>
      </c>
      <c r="X63" s="1026">
        <v>0</v>
      </c>
      <c r="Y63" s="1026">
        <v>0</v>
      </c>
      <c r="AB63" s="1026">
        <v>0</v>
      </c>
      <c r="AF63" s="1026">
        <v>0</v>
      </c>
      <c r="AK63" s="1026">
        <v>0</v>
      </c>
      <c r="AO63" s="1026">
        <v>3172186</v>
      </c>
      <c r="AP63" s="1026">
        <v>515904</v>
      </c>
      <c r="AQ63" s="1026">
        <v>2656282</v>
      </c>
      <c r="AR63" s="1026">
        <v>2656282</v>
      </c>
      <c r="AS63" s="1026">
        <v>0</v>
      </c>
      <c r="AY63" s="1026">
        <v>57546282</v>
      </c>
      <c r="AZ63" s="1026">
        <v>0</v>
      </c>
      <c r="BC63" s="1026">
        <v>0</v>
      </c>
      <c r="BD63" s="1026">
        <v>57546282</v>
      </c>
      <c r="BE63" s="1026">
        <v>0</v>
      </c>
      <c r="BL63" s="1026">
        <v>0</v>
      </c>
      <c r="BM63" s="1026">
        <v>0</v>
      </c>
      <c r="BT63" s="1026">
        <v>0</v>
      </c>
      <c r="BU63" s="1026">
        <v>0</v>
      </c>
      <c r="CC63" s="1026">
        <v>0</v>
      </c>
      <c r="CD63" s="1026">
        <v>0</v>
      </c>
      <c r="CF63" s="1026">
        <v>0</v>
      </c>
      <c r="CJ63" s="1026">
        <v>0</v>
      </c>
      <c r="CL63" s="1026">
        <v>0</v>
      </c>
      <c r="CM63" s="1026">
        <v>0</v>
      </c>
      <c r="CQ63" s="1026">
        <v>0</v>
      </c>
      <c r="CS63" s="1026">
        <v>0</v>
      </c>
      <c r="CU63" s="1026">
        <v>109306365</v>
      </c>
      <c r="CV63" s="1026">
        <v>108779187</v>
      </c>
      <c r="CW63" s="1026">
        <v>527178</v>
      </c>
      <c r="CY63" s="1026">
        <v>0</v>
      </c>
      <c r="DA63" s="1026">
        <v>0</v>
      </c>
      <c r="DE63" s="1026">
        <v>0</v>
      </c>
      <c r="DI63" s="1026">
        <v>0</v>
      </c>
      <c r="DN63" s="1026">
        <v>0</v>
      </c>
      <c r="DP63" s="1026">
        <v>0</v>
      </c>
      <c r="DT63" s="1026">
        <v>0</v>
      </c>
      <c r="DY63" s="1026">
        <v>6314154</v>
      </c>
      <c r="EA63" s="1026">
        <v>0</v>
      </c>
      <c r="EB63" s="1026">
        <v>0</v>
      </c>
      <c r="ED63" s="1026">
        <v>6245876</v>
      </c>
      <c r="EE63" s="1026">
        <v>68278</v>
      </c>
      <c r="EH63" s="1026">
        <v>8201634</v>
      </c>
      <c r="EI63" s="1026">
        <v>2572706</v>
      </c>
      <c r="EJ63" s="1026">
        <v>5001615</v>
      </c>
      <c r="EK63" s="1026">
        <v>627313</v>
      </c>
      <c r="EM63" s="1026">
        <v>16706638</v>
      </c>
      <c r="ES63" s="1027">
        <v>243298120</v>
      </c>
    </row>
    <row r="64" spans="5:150">
      <c r="E64" s="1419">
        <v>43525</v>
      </c>
      <c r="G64" s="1375">
        <v>759170</v>
      </c>
      <c r="I64" s="1026">
        <v>31836055</v>
      </c>
      <c r="J64" s="1026">
        <v>31836055</v>
      </c>
      <c r="M64" s="1026">
        <v>928502</v>
      </c>
      <c r="N64" s="1026">
        <v>928502</v>
      </c>
      <c r="O64" s="1026">
        <v>928502</v>
      </c>
      <c r="Q64" s="1026">
        <v>0</v>
      </c>
      <c r="T64" s="1026">
        <v>0</v>
      </c>
      <c r="X64" s="1026">
        <v>0</v>
      </c>
      <c r="Y64" s="1026">
        <v>0</v>
      </c>
      <c r="AB64" s="1026">
        <v>0</v>
      </c>
      <c r="AF64" s="1026">
        <v>0</v>
      </c>
      <c r="AK64" s="1026">
        <v>0</v>
      </c>
      <c r="AO64" s="1026">
        <v>3923151</v>
      </c>
      <c r="AP64" s="1026">
        <v>612289</v>
      </c>
      <c r="AQ64" s="1026">
        <v>3310862</v>
      </c>
      <c r="AR64" s="1026">
        <v>3310862</v>
      </c>
      <c r="AS64" s="1026">
        <v>0</v>
      </c>
      <c r="AY64" s="1026">
        <v>57529157</v>
      </c>
      <c r="AZ64" s="1026">
        <v>0</v>
      </c>
      <c r="BC64" s="1026">
        <v>0</v>
      </c>
      <c r="BD64" s="1026">
        <v>57529157</v>
      </c>
      <c r="BE64" s="1026">
        <v>0</v>
      </c>
      <c r="BL64" s="1026">
        <v>0</v>
      </c>
      <c r="BM64" s="1026">
        <v>0</v>
      </c>
      <c r="BT64" s="1026">
        <v>0</v>
      </c>
      <c r="BU64" s="1026">
        <v>0</v>
      </c>
      <c r="CC64" s="1026">
        <v>0</v>
      </c>
      <c r="CD64" s="1026">
        <v>0</v>
      </c>
      <c r="CF64" s="1026">
        <v>0</v>
      </c>
      <c r="CJ64" s="1026">
        <v>0</v>
      </c>
      <c r="CL64" s="1026">
        <v>0</v>
      </c>
      <c r="CM64" s="1026">
        <v>0</v>
      </c>
      <c r="CQ64" s="1026">
        <v>0</v>
      </c>
      <c r="CS64" s="1026">
        <v>0</v>
      </c>
      <c r="CU64" s="1026">
        <v>109666253</v>
      </c>
      <c r="CV64" s="1026">
        <v>108943904</v>
      </c>
      <c r="CW64" s="1026">
        <v>722349</v>
      </c>
      <c r="CY64" s="1026">
        <v>0</v>
      </c>
      <c r="DA64" s="1026">
        <v>0</v>
      </c>
      <c r="DE64" s="1026">
        <v>0</v>
      </c>
      <c r="DI64" s="1026">
        <v>0</v>
      </c>
      <c r="DN64" s="1026">
        <v>0</v>
      </c>
      <c r="DP64" s="1026">
        <v>0</v>
      </c>
      <c r="DT64" s="1026">
        <v>0</v>
      </c>
      <c r="DY64" s="1026">
        <v>3797920</v>
      </c>
      <c r="EA64" s="1026">
        <v>0</v>
      </c>
      <c r="EB64" s="1026">
        <v>0</v>
      </c>
      <c r="ED64" s="1026">
        <v>3716685</v>
      </c>
      <c r="EE64" s="1026">
        <v>81235</v>
      </c>
      <c r="EH64" s="1026">
        <v>8091167</v>
      </c>
      <c r="EI64" s="1026">
        <v>2568021</v>
      </c>
      <c r="EJ64" s="1026">
        <v>4912292</v>
      </c>
      <c r="EK64" s="1026">
        <v>610854</v>
      </c>
      <c r="EM64" s="1026">
        <v>18612431</v>
      </c>
      <c r="ES64" s="1027">
        <v>235143806</v>
      </c>
    </row>
    <row r="65" spans="5:149">
      <c r="E65" s="1419">
        <v>43556</v>
      </c>
      <c r="G65" s="1375">
        <v>673311</v>
      </c>
      <c r="I65" s="1026">
        <v>53624000</v>
      </c>
      <c r="J65" s="1026">
        <v>53624000</v>
      </c>
      <c r="M65" s="1026">
        <v>1740460</v>
      </c>
      <c r="N65" s="1026">
        <v>1740460</v>
      </c>
      <c r="O65" s="1026">
        <v>1740460</v>
      </c>
      <c r="Q65" s="1026">
        <v>0</v>
      </c>
      <c r="T65" s="1026">
        <v>0</v>
      </c>
      <c r="X65" s="1026">
        <v>0</v>
      </c>
      <c r="Y65" s="1026">
        <v>0</v>
      </c>
      <c r="AB65" s="1026">
        <v>0</v>
      </c>
      <c r="AF65" s="1026">
        <v>0</v>
      </c>
      <c r="AK65" s="1026">
        <v>0</v>
      </c>
      <c r="AO65" s="1026">
        <v>3456672</v>
      </c>
      <c r="AP65" s="1026">
        <v>940729</v>
      </c>
      <c r="AQ65" s="1026">
        <v>2515943</v>
      </c>
      <c r="AR65" s="1026">
        <v>2515943</v>
      </c>
      <c r="AS65" s="1026">
        <v>0</v>
      </c>
      <c r="AY65" s="1026">
        <v>54829170</v>
      </c>
      <c r="AZ65" s="1026">
        <v>0</v>
      </c>
      <c r="BC65" s="1026">
        <v>0</v>
      </c>
      <c r="BD65" s="1026">
        <v>54829170</v>
      </c>
      <c r="BE65" s="1026">
        <v>0</v>
      </c>
      <c r="BL65" s="1026">
        <v>0</v>
      </c>
      <c r="BM65" s="1026">
        <v>0</v>
      </c>
      <c r="BT65" s="1026">
        <v>0</v>
      </c>
      <c r="BU65" s="1026">
        <v>0</v>
      </c>
      <c r="CC65" s="1026">
        <v>0</v>
      </c>
      <c r="CD65" s="1026">
        <v>0</v>
      </c>
      <c r="CF65" s="1026">
        <v>0</v>
      </c>
      <c r="CJ65" s="1026">
        <v>0</v>
      </c>
      <c r="CL65" s="1026">
        <v>0</v>
      </c>
      <c r="CM65" s="1026">
        <v>0</v>
      </c>
      <c r="CQ65" s="1026">
        <v>1810801</v>
      </c>
      <c r="CS65" s="1026">
        <v>1810801</v>
      </c>
      <c r="CU65" s="1026">
        <v>111483565</v>
      </c>
      <c r="CV65" s="1026">
        <v>110832124</v>
      </c>
      <c r="CW65" s="1026">
        <v>651441</v>
      </c>
      <c r="CY65" s="1026">
        <v>0</v>
      </c>
      <c r="DA65" s="1026">
        <v>0</v>
      </c>
      <c r="DE65" s="1026">
        <v>0</v>
      </c>
      <c r="DI65" s="1026">
        <v>0</v>
      </c>
      <c r="DN65" s="1026">
        <v>0</v>
      </c>
      <c r="DP65" s="1026">
        <v>0</v>
      </c>
      <c r="DT65" s="1026">
        <v>0</v>
      </c>
      <c r="DY65" s="1026">
        <v>3860447</v>
      </c>
      <c r="EA65" s="1026">
        <v>0</v>
      </c>
      <c r="EB65" s="1026">
        <v>0</v>
      </c>
      <c r="ED65" s="1026">
        <v>3772830</v>
      </c>
      <c r="EE65" s="1026">
        <v>87617</v>
      </c>
      <c r="EH65" s="1026">
        <v>7954599</v>
      </c>
      <c r="EI65" s="1026">
        <v>2563336</v>
      </c>
      <c r="EJ65" s="1026">
        <v>4796869</v>
      </c>
      <c r="EK65" s="1026">
        <v>594394</v>
      </c>
      <c r="EM65" s="1026">
        <v>22467555</v>
      </c>
      <c r="ES65" s="1027">
        <v>261900580</v>
      </c>
    </row>
    <row r="66" spans="5:149">
      <c r="E66" s="1419">
        <v>43586</v>
      </c>
      <c r="G66" s="1375">
        <v>146826</v>
      </c>
      <c r="I66" s="1026">
        <v>38479073</v>
      </c>
      <c r="J66" s="1026">
        <v>38479073</v>
      </c>
      <c r="M66" s="1026">
        <v>7010596</v>
      </c>
      <c r="N66" s="1026">
        <v>7010596</v>
      </c>
      <c r="O66" s="1026">
        <v>7010596</v>
      </c>
      <c r="Q66" s="1026">
        <v>0</v>
      </c>
      <c r="T66" s="1026">
        <v>0</v>
      </c>
      <c r="X66" s="1026">
        <v>0</v>
      </c>
      <c r="Y66" s="1026">
        <v>0</v>
      </c>
      <c r="AB66" s="1026">
        <v>0</v>
      </c>
      <c r="AF66" s="1026">
        <v>0</v>
      </c>
      <c r="AK66" s="1026">
        <v>0</v>
      </c>
      <c r="AO66" s="1026">
        <v>4547440</v>
      </c>
      <c r="AP66" s="1026">
        <v>1134277</v>
      </c>
      <c r="AQ66" s="1026">
        <v>3413163</v>
      </c>
      <c r="AR66" s="1026">
        <v>3413163</v>
      </c>
      <c r="AS66" s="1026">
        <v>0</v>
      </c>
      <c r="AY66" s="1026">
        <v>54826362</v>
      </c>
      <c r="AZ66" s="1026">
        <v>0</v>
      </c>
      <c r="BC66" s="1026">
        <v>0</v>
      </c>
      <c r="BD66" s="1026">
        <v>54826362</v>
      </c>
      <c r="BE66" s="1026">
        <v>0</v>
      </c>
      <c r="BL66" s="1026">
        <v>0</v>
      </c>
      <c r="BM66" s="1026">
        <v>0</v>
      </c>
      <c r="BT66" s="1026">
        <v>0</v>
      </c>
      <c r="BU66" s="1026">
        <v>0</v>
      </c>
      <c r="CC66" s="1026">
        <v>0</v>
      </c>
      <c r="CD66" s="1026">
        <v>0</v>
      </c>
      <c r="CF66" s="1026">
        <v>0</v>
      </c>
      <c r="CJ66" s="1026">
        <v>0</v>
      </c>
      <c r="CL66" s="1026">
        <v>0</v>
      </c>
      <c r="CM66" s="1026">
        <v>0</v>
      </c>
      <c r="CQ66" s="1026">
        <v>4773008</v>
      </c>
      <c r="CS66" s="1026">
        <v>4773008</v>
      </c>
      <c r="CU66" s="1026">
        <v>114998969</v>
      </c>
      <c r="CV66" s="1026">
        <v>113658467</v>
      </c>
      <c r="CW66" s="1026">
        <v>1340502</v>
      </c>
      <c r="CY66" s="1026">
        <v>0</v>
      </c>
      <c r="DA66" s="1026">
        <v>0</v>
      </c>
      <c r="DE66" s="1026">
        <v>0</v>
      </c>
      <c r="DI66" s="1026">
        <v>0</v>
      </c>
      <c r="DN66" s="1026">
        <v>0</v>
      </c>
      <c r="DP66" s="1026">
        <v>0</v>
      </c>
      <c r="DT66" s="1026">
        <v>0</v>
      </c>
      <c r="DY66" s="1026">
        <v>6280220</v>
      </c>
      <c r="EA66" s="1026">
        <v>0</v>
      </c>
      <c r="EB66" s="1026">
        <v>0</v>
      </c>
      <c r="ED66" s="1026">
        <v>6139538</v>
      </c>
      <c r="EE66" s="1026">
        <v>140682</v>
      </c>
      <c r="EH66" s="1026">
        <v>7849437</v>
      </c>
      <c r="EI66" s="1026">
        <v>2558651</v>
      </c>
      <c r="EJ66" s="1026">
        <v>4713582</v>
      </c>
      <c r="EK66" s="1026">
        <v>577204</v>
      </c>
      <c r="EM66" s="1026">
        <v>23753552</v>
      </c>
      <c r="ES66" s="1027">
        <v>262665483</v>
      </c>
    </row>
    <row r="67" spans="5:149">
      <c r="E67" s="1419">
        <v>43617</v>
      </c>
      <c r="G67" s="1375">
        <v>292834</v>
      </c>
      <c r="I67" s="1026">
        <v>50957217</v>
      </c>
      <c r="J67" s="1026">
        <v>50957217</v>
      </c>
      <c r="M67" s="1026">
        <v>2291681</v>
      </c>
      <c r="N67" s="1026">
        <v>2291681</v>
      </c>
      <c r="O67" s="1026">
        <v>2291681</v>
      </c>
      <c r="Q67" s="1026">
        <v>0</v>
      </c>
      <c r="T67" s="1026">
        <v>0</v>
      </c>
      <c r="X67" s="1026">
        <v>0</v>
      </c>
      <c r="Y67" s="1026">
        <v>0</v>
      </c>
      <c r="AB67" s="1026">
        <v>0</v>
      </c>
      <c r="AF67" s="1026">
        <v>0</v>
      </c>
      <c r="AK67" s="1026">
        <v>0</v>
      </c>
      <c r="AO67" s="1026">
        <v>7281754</v>
      </c>
      <c r="AP67" s="1026">
        <v>1725314</v>
      </c>
      <c r="AQ67" s="1026">
        <v>5556440</v>
      </c>
      <c r="AR67" s="1026">
        <v>5556440</v>
      </c>
      <c r="AS67" s="1026">
        <v>0</v>
      </c>
      <c r="AY67" s="1026">
        <v>51861844</v>
      </c>
      <c r="AZ67" s="1026">
        <v>0</v>
      </c>
      <c r="BC67" s="1026">
        <v>0</v>
      </c>
      <c r="BD67" s="1026">
        <v>51861844</v>
      </c>
      <c r="BE67" s="1026">
        <v>0</v>
      </c>
      <c r="BL67" s="1026">
        <v>0</v>
      </c>
      <c r="BM67" s="1026">
        <v>0</v>
      </c>
      <c r="BT67" s="1026">
        <v>0</v>
      </c>
      <c r="BU67" s="1026">
        <v>0</v>
      </c>
      <c r="CC67" s="1026">
        <v>0</v>
      </c>
      <c r="CD67" s="1026">
        <v>0</v>
      </c>
      <c r="CF67" s="1026">
        <v>0</v>
      </c>
      <c r="CJ67" s="1026">
        <v>0</v>
      </c>
      <c r="CL67" s="1026">
        <v>0</v>
      </c>
      <c r="CM67" s="1026">
        <v>0</v>
      </c>
      <c r="CQ67" s="1026">
        <v>3785325</v>
      </c>
      <c r="CS67" s="1026">
        <v>3785325</v>
      </c>
      <c r="CU67" s="1026">
        <v>115681652</v>
      </c>
      <c r="CV67" s="1026">
        <v>114708069</v>
      </c>
      <c r="CW67" s="1026">
        <v>973583</v>
      </c>
      <c r="CY67" s="1026">
        <v>0</v>
      </c>
      <c r="DA67" s="1026">
        <v>0</v>
      </c>
      <c r="DE67" s="1026">
        <v>0</v>
      </c>
      <c r="DI67" s="1026">
        <v>0</v>
      </c>
      <c r="DN67" s="1026">
        <v>0</v>
      </c>
      <c r="DP67" s="1026">
        <v>0</v>
      </c>
      <c r="DT67" s="1026">
        <v>0</v>
      </c>
      <c r="DY67" s="1026">
        <v>6766090</v>
      </c>
      <c r="EA67" s="1026">
        <v>0</v>
      </c>
      <c r="EB67" s="1026">
        <v>0</v>
      </c>
      <c r="ED67" s="1026">
        <v>6585410</v>
      </c>
      <c r="EE67" s="1026">
        <v>180680</v>
      </c>
      <c r="EH67" s="1026">
        <v>7826486</v>
      </c>
      <c r="EI67" s="1026">
        <v>2553966</v>
      </c>
      <c r="EJ67" s="1026">
        <v>4711128</v>
      </c>
      <c r="EK67" s="1026">
        <v>561392</v>
      </c>
      <c r="EM67" s="1026">
        <v>25312867</v>
      </c>
      <c r="ES67" s="1027">
        <v>272057750</v>
      </c>
    </row>
    <row r="68" spans="5:149">
      <c r="E68" s="1419">
        <v>43647</v>
      </c>
      <c r="G68" s="1375">
        <v>1184134</v>
      </c>
      <c r="I68" s="1026">
        <v>48866669</v>
      </c>
      <c r="J68" s="1026">
        <v>48866669</v>
      </c>
      <c r="M68" s="1026">
        <v>3551625</v>
      </c>
      <c r="N68" s="1026">
        <v>3551625</v>
      </c>
      <c r="O68" s="1026">
        <v>3551625</v>
      </c>
      <c r="Q68" s="1026">
        <v>0</v>
      </c>
      <c r="T68" s="1026">
        <v>0</v>
      </c>
      <c r="X68" s="1026">
        <v>0</v>
      </c>
      <c r="Y68" s="1026">
        <v>0</v>
      </c>
      <c r="AB68" s="1026">
        <v>0</v>
      </c>
      <c r="AF68" s="1026">
        <v>0</v>
      </c>
      <c r="AK68" s="1026">
        <v>0</v>
      </c>
      <c r="AO68" s="1026">
        <v>6759639</v>
      </c>
      <c r="AP68" s="1026">
        <v>2739514</v>
      </c>
      <c r="AQ68" s="1026">
        <v>4020125</v>
      </c>
      <c r="AR68" s="1026">
        <v>4020125</v>
      </c>
      <c r="AS68" s="1026">
        <v>0</v>
      </c>
      <c r="AY68" s="1026">
        <v>61729792</v>
      </c>
      <c r="AZ68" s="1026">
        <v>0</v>
      </c>
      <c r="BC68" s="1026">
        <v>9870583</v>
      </c>
      <c r="BD68" s="1026">
        <v>51859209</v>
      </c>
      <c r="BE68" s="1026">
        <v>0</v>
      </c>
      <c r="BL68" s="1026">
        <v>0</v>
      </c>
      <c r="BM68" s="1026">
        <v>0</v>
      </c>
      <c r="BT68" s="1026">
        <v>0</v>
      </c>
      <c r="BU68" s="1026">
        <v>0</v>
      </c>
      <c r="CC68" s="1026">
        <v>0</v>
      </c>
      <c r="CD68" s="1026">
        <v>0</v>
      </c>
      <c r="CF68" s="1026">
        <v>0</v>
      </c>
      <c r="CJ68" s="1026">
        <v>0</v>
      </c>
      <c r="CL68" s="1026">
        <v>0</v>
      </c>
      <c r="CM68" s="1026">
        <v>0</v>
      </c>
      <c r="CQ68" s="1026">
        <v>3783496</v>
      </c>
      <c r="CS68" s="1026">
        <v>3783496</v>
      </c>
      <c r="CU68" s="1026">
        <v>114876279</v>
      </c>
      <c r="CV68" s="1026">
        <v>113521570</v>
      </c>
      <c r="CW68" s="1026">
        <v>1354709</v>
      </c>
      <c r="CY68" s="1026">
        <v>0</v>
      </c>
      <c r="DA68" s="1026">
        <v>0</v>
      </c>
      <c r="DE68" s="1026">
        <v>0</v>
      </c>
      <c r="DI68" s="1026">
        <v>0</v>
      </c>
      <c r="DN68" s="1026">
        <v>0</v>
      </c>
      <c r="DP68" s="1026">
        <v>0</v>
      </c>
      <c r="DT68" s="1026">
        <v>0</v>
      </c>
      <c r="DY68" s="1026">
        <v>5819839</v>
      </c>
      <c r="EA68" s="1026">
        <v>0</v>
      </c>
      <c r="EB68" s="1026">
        <v>0</v>
      </c>
      <c r="ED68" s="1026">
        <v>5533982</v>
      </c>
      <c r="EE68" s="1026">
        <v>285857</v>
      </c>
      <c r="EH68" s="1026">
        <v>38840796</v>
      </c>
      <c r="EI68" s="1026">
        <v>16827202</v>
      </c>
      <c r="EJ68" s="1026">
        <v>15091749</v>
      </c>
      <c r="EK68" s="1026">
        <v>6921845</v>
      </c>
      <c r="EM68" s="1026">
        <v>33358179</v>
      </c>
      <c r="ES68" s="1027">
        <v>318770448</v>
      </c>
    </row>
    <row r="69" spans="5:149">
      <c r="E69" s="1419">
        <v>43678</v>
      </c>
      <c r="G69" s="1375">
        <v>113426</v>
      </c>
      <c r="I69" s="1026">
        <v>74060544</v>
      </c>
      <c r="J69" s="1026">
        <v>74060544</v>
      </c>
      <c r="M69" s="1026">
        <v>3021493</v>
      </c>
      <c r="N69" s="1026">
        <v>3021493</v>
      </c>
      <c r="O69" s="1026">
        <v>3021493</v>
      </c>
      <c r="Q69" s="1026">
        <v>0</v>
      </c>
      <c r="T69" s="1026">
        <v>0</v>
      </c>
      <c r="X69" s="1026">
        <v>0</v>
      </c>
      <c r="Y69" s="1026">
        <v>0</v>
      </c>
      <c r="AB69" s="1026">
        <v>0</v>
      </c>
      <c r="AF69" s="1026">
        <v>0</v>
      </c>
      <c r="AK69" s="1026">
        <v>0</v>
      </c>
      <c r="AO69" s="1026">
        <v>11853444</v>
      </c>
      <c r="AP69" s="1026">
        <v>1895888</v>
      </c>
      <c r="AQ69" s="1026">
        <v>9957556</v>
      </c>
      <c r="AR69" s="1026">
        <v>9957556</v>
      </c>
      <c r="AS69" s="1026">
        <v>0</v>
      </c>
      <c r="AY69" s="1026">
        <v>52504167</v>
      </c>
      <c r="AZ69" s="1026">
        <v>0</v>
      </c>
      <c r="BC69" s="1026">
        <v>9869836</v>
      </c>
      <c r="BD69" s="1026">
        <v>42634331</v>
      </c>
      <c r="BE69" s="1026">
        <v>0</v>
      </c>
      <c r="BL69" s="1026">
        <v>0</v>
      </c>
      <c r="BM69" s="1026">
        <v>0</v>
      </c>
      <c r="BT69" s="1026">
        <v>0</v>
      </c>
      <c r="BU69" s="1026">
        <v>0</v>
      </c>
      <c r="CC69" s="1026">
        <v>0</v>
      </c>
      <c r="CD69" s="1026">
        <v>0</v>
      </c>
      <c r="CF69" s="1026">
        <v>0</v>
      </c>
      <c r="CJ69" s="1026">
        <v>0</v>
      </c>
      <c r="CL69" s="1026">
        <v>0</v>
      </c>
      <c r="CM69" s="1026">
        <v>0</v>
      </c>
      <c r="CQ69" s="1026">
        <v>9710246</v>
      </c>
      <c r="CS69" s="1026">
        <v>9710246</v>
      </c>
      <c r="CU69" s="1026">
        <v>115915080</v>
      </c>
      <c r="CV69" s="1026">
        <v>114420709</v>
      </c>
      <c r="CW69" s="1026">
        <v>1494371</v>
      </c>
      <c r="CY69" s="1026">
        <v>0</v>
      </c>
      <c r="DA69" s="1026">
        <v>0</v>
      </c>
      <c r="DE69" s="1026">
        <v>0</v>
      </c>
      <c r="DI69" s="1026">
        <v>0</v>
      </c>
      <c r="DN69" s="1026">
        <v>0</v>
      </c>
      <c r="DP69" s="1026">
        <v>0</v>
      </c>
      <c r="DT69" s="1026">
        <v>0</v>
      </c>
      <c r="DY69" s="1026">
        <v>4886735</v>
      </c>
      <c r="EA69" s="1026">
        <v>0</v>
      </c>
      <c r="EB69" s="1026">
        <v>0</v>
      </c>
      <c r="ED69" s="1026">
        <v>4497359</v>
      </c>
      <c r="EE69" s="1026">
        <v>389376</v>
      </c>
      <c r="EH69" s="1026">
        <v>48135081</v>
      </c>
      <c r="EI69" s="1026">
        <v>16798233</v>
      </c>
      <c r="EJ69" s="1026">
        <v>24041656</v>
      </c>
      <c r="EK69" s="1026">
        <v>7295192</v>
      </c>
      <c r="EM69" s="1026">
        <v>46073090</v>
      </c>
      <c r="ES69" s="1027">
        <v>366273306</v>
      </c>
    </row>
    <row r="70" spans="5:149">
      <c r="E70" s="1419">
        <v>43709</v>
      </c>
      <c r="G70" s="1375">
        <v>199418</v>
      </c>
      <c r="I70" s="1026">
        <v>49125677</v>
      </c>
      <c r="J70" s="1026">
        <v>49125677</v>
      </c>
      <c r="M70" s="1026">
        <v>80190</v>
      </c>
      <c r="N70" s="1026">
        <v>80190</v>
      </c>
      <c r="O70" s="1026">
        <v>80190</v>
      </c>
      <c r="Q70" s="1026">
        <v>0</v>
      </c>
      <c r="T70" s="1026">
        <v>0</v>
      </c>
      <c r="X70" s="1026">
        <v>0</v>
      </c>
      <c r="Y70" s="1026">
        <v>0</v>
      </c>
      <c r="AB70" s="1026">
        <v>0</v>
      </c>
      <c r="AF70" s="1026">
        <v>0</v>
      </c>
      <c r="AK70" s="1026">
        <v>0</v>
      </c>
      <c r="AO70" s="1026">
        <v>23772406</v>
      </c>
      <c r="AP70" s="1026">
        <v>12769281</v>
      </c>
      <c r="AQ70" s="1026">
        <v>11003125</v>
      </c>
      <c r="AR70" s="1026">
        <v>11003125</v>
      </c>
      <c r="AS70" s="1026">
        <v>0</v>
      </c>
      <c r="AY70" s="1026">
        <v>66662792</v>
      </c>
      <c r="AZ70" s="1026">
        <v>0</v>
      </c>
      <c r="BC70" s="1026">
        <v>9869112</v>
      </c>
      <c r="BD70" s="1026">
        <v>56793680</v>
      </c>
      <c r="BE70" s="1026">
        <v>0</v>
      </c>
      <c r="BL70" s="1026">
        <v>0</v>
      </c>
      <c r="BM70" s="1026">
        <v>0</v>
      </c>
      <c r="BT70" s="1026">
        <v>0</v>
      </c>
      <c r="BU70" s="1026">
        <v>0</v>
      </c>
      <c r="CC70" s="1026">
        <v>0</v>
      </c>
      <c r="CD70" s="1026">
        <v>0</v>
      </c>
      <c r="CF70" s="1026">
        <v>0</v>
      </c>
      <c r="CJ70" s="1026">
        <v>0</v>
      </c>
      <c r="CL70" s="1026">
        <v>0</v>
      </c>
      <c r="CM70" s="1026">
        <v>0</v>
      </c>
      <c r="CQ70" s="1026">
        <v>5760046</v>
      </c>
      <c r="CS70" s="1026">
        <v>5760046</v>
      </c>
      <c r="CU70" s="1026">
        <v>118684418</v>
      </c>
      <c r="CV70" s="1026">
        <v>116844084</v>
      </c>
      <c r="CW70" s="1026">
        <v>1840334</v>
      </c>
      <c r="CY70" s="1026">
        <v>0</v>
      </c>
      <c r="DA70" s="1026">
        <v>0</v>
      </c>
      <c r="DE70" s="1026">
        <v>0</v>
      </c>
      <c r="DI70" s="1026">
        <v>0</v>
      </c>
      <c r="DN70" s="1026">
        <v>0</v>
      </c>
      <c r="DP70" s="1026">
        <v>0</v>
      </c>
      <c r="DT70" s="1026">
        <v>0</v>
      </c>
      <c r="DY70" s="1026">
        <v>6996600</v>
      </c>
      <c r="EA70" s="1026">
        <v>0</v>
      </c>
      <c r="EB70" s="1026">
        <v>0</v>
      </c>
      <c r="ED70" s="1026">
        <v>6491448</v>
      </c>
      <c r="EE70" s="1026">
        <v>505152</v>
      </c>
      <c r="EH70" s="1026">
        <v>48861485</v>
      </c>
      <c r="EI70" s="1026">
        <v>16769263</v>
      </c>
      <c r="EJ70" s="1026">
        <v>24719196</v>
      </c>
      <c r="EK70" s="1026">
        <v>7373026</v>
      </c>
      <c r="EM70" s="1026">
        <v>48107095</v>
      </c>
      <c r="ES70" s="1027">
        <v>368250127</v>
      </c>
    </row>
    <row r="71" spans="5:149">
      <c r="E71" s="1419">
        <v>43739</v>
      </c>
      <c r="G71" s="1375">
        <v>26540</v>
      </c>
      <c r="I71" s="1026">
        <v>77052084</v>
      </c>
      <c r="J71" s="1026">
        <v>77052084</v>
      </c>
      <c r="M71" s="1026">
        <v>-623314</v>
      </c>
      <c r="N71" s="1026">
        <v>-623314</v>
      </c>
      <c r="O71" s="1026">
        <v>-623314</v>
      </c>
      <c r="Q71" s="1026">
        <v>0</v>
      </c>
      <c r="T71" s="1026">
        <v>0</v>
      </c>
      <c r="X71" s="1026">
        <v>0</v>
      </c>
      <c r="Y71" s="1026">
        <v>0</v>
      </c>
      <c r="AB71" s="1026">
        <v>0</v>
      </c>
      <c r="AF71" s="1026">
        <v>0</v>
      </c>
      <c r="AK71" s="1026">
        <v>0</v>
      </c>
      <c r="AO71" s="1026">
        <v>29295003</v>
      </c>
      <c r="AP71" s="1026">
        <v>4917164</v>
      </c>
      <c r="AQ71" s="1026">
        <v>24377839</v>
      </c>
      <c r="AR71" s="1026">
        <v>24377839</v>
      </c>
      <c r="AS71" s="1026">
        <v>0</v>
      </c>
      <c r="AY71" s="1026">
        <v>61663262</v>
      </c>
      <c r="AZ71" s="1026">
        <v>0</v>
      </c>
      <c r="BC71" s="1026">
        <v>6908533</v>
      </c>
      <c r="BD71" s="1026">
        <v>54754729</v>
      </c>
      <c r="BE71" s="1026">
        <v>0</v>
      </c>
      <c r="BL71" s="1026">
        <v>0</v>
      </c>
      <c r="BM71" s="1026">
        <v>0</v>
      </c>
      <c r="BT71" s="1026">
        <v>0</v>
      </c>
      <c r="BU71" s="1026">
        <v>0</v>
      </c>
      <c r="CC71" s="1026">
        <v>0</v>
      </c>
      <c r="CD71" s="1026">
        <v>0</v>
      </c>
      <c r="CF71" s="1026">
        <v>0</v>
      </c>
      <c r="CJ71" s="1026">
        <v>0</v>
      </c>
      <c r="CL71" s="1026">
        <v>0</v>
      </c>
      <c r="CM71" s="1026">
        <v>0</v>
      </c>
      <c r="CQ71" s="1026">
        <v>3889888</v>
      </c>
      <c r="CS71" s="1026">
        <v>3889888</v>
      </c>
      <c r="CU71" s="1026">
        <v>125891240</v>
      </c>
      <c r="CV71" s="1026">
        <v>123511050</v>
      </c>
      <c r="CW71" s="1026">
        <v>2380190</v>
      </c>
      <c r="CY71" s="1026">
        <v>0</v>
      </c>
      <c r="DA71" s="1026">
        <v>0</v>
      </c>
      <c r="DE71" s="1026">
        <v>0</v>
      </c>
      <c r="DI71" s="1026">
        <v>0</v>
      </c>
      <c r="DN71" s="1026">
        <v>0</v>
      </c>
      <c r="DP71" s="1026">
        <v>0</v>
      </c>
      <c r="DT71" s="1026">
        <v>0</v>
      </c>
      <c r="DY71" s="1026">
        <v>6443365</v>
      </c>
      <c r="EA71" s="1026">
        <v>0</v>
      </c>
      <c r="EB71" s="1026">
        <v>0</v>
      </c>
      <c r="ED71" s="1026">
        <v>5918087</v>
      </c>
      <c r="EE71" s="1026">
        <v>525278</v>
      </c>
      <c r="EH71" s="1026">
        <v>58744610</v>
      </c>
      <c r="EI71" s="1026">
        <v>16740294</v>
      </c>
      <c r="EJ71" s="1026">
        <v>30885247</v>
      </c>
      <c r="EK71" s="1026">
        <v>11119069</v>
      </c>
      <c r="EM71" s="1026">
        <v>54233315</v>
      </c>
      <c r="ES71" s="1027">
        <v>416615993</v>
      </c>
    </row>
    <row r="72" spans="5:149">
      <c r="E72" s="1419">
        <v>43770</v>
      </c>
      <c r="G72" s="1375">
        <v>3005417</v>
      </c>
      <c r="I72" s="1026">
        <v>113851682</v>
      </c>
      <c r="J72" s="1026">
        <v>113851682</v>
      </c>
      <c r="M72" s="1026">
        <v>921441</v>
      </c>
      <c r="N72" s="1026">
        <v>921441</v>
      </c>
      <c r="O72" s="1026">
        <v>921441</v>
      </c>
      <c r="Q72" s="1026">
        <v>0</v>
      </c>
      <c r="T72" s="1026">
        <v>0</v>
      </c>
      <c r="X72" s="1026">
        <v>0</v>
      </c>
      <c r="Y72" s="1026">
        <v>0</v>
      </c>
      <c r="AB72" s="1026">
        <v>0</v>
      </c>
      <c r="AF72" s="1026">
        <v>0</v>
      </c>
      <c r="AK72" s="1026">
        <v>0</v>
      </c>
      <c r="AO72" s="1026">
        <v>22680000</v>
      </c>
      <c r="AP72" s="1026">
        <v>8485075</v>
      </c>
      <c r="AQ72" s="1026">
        <v>14194925</v>
      </c>
      <c r="AR72" s="1026">
        <v>14194925</v>
      </c>
      <c r="AS72" s="1026">
        <v>0</v>
      </c>
      <c r="AY72" s="1026">
        <v>71531719</v>
      </c>
      <c r="AZ72" s="1026">
        <v>0</v>
      </c>
      <c r="BC72" s="1026">
        <v>6906293</v>
      </c>
      <c r="BD72" s="1026">
        <v>64625426</v>
      </c>
      <c r="BE72" s="1026">
        <v>0</v>
      </c>
      <c r="BL72" s="1026">
        <v>0</v>
      </c>
      <c r="BM72" s="1026">
        <v>0</v>
      </c>
      <c r="BT72" s="1026">
        <v>0</v>
      </c>
      <c r="BU72" s="1026">
        <v>0</v>
      </c>
      <c r="CC72" s="1026">
        <v>0</v>
      </c>
      <c r="CD72" s="1026">
        <v>0</v>
      </c>
      <c r="CF72" s="1026">
        <v>0</v>
      </c>
      <c r="CJ72" s="1026">
        <v>0</v>
      </c>
      <c r="CL72" s="1026">
        <v>0</v>
      </c>
      <c r="CM72" s="1026">
        <v>0</v>
      </c>
      <c r="CQ72" s="1026">
        <v>11803988</v>
      </c>
      <c r="CS72" s="1026">
        <v>11803988</v>
      </c>
      <c r="CU72" s="1026">
        <v>129784245</v>
      </c>
      <c r="CV72" s="1026">
        <v>127510021</v>
      </c>
      <c r="CW72" s="1026">
        <v>2274224</v>
      </c>
      <c r="CY72" s="1026">
        <v>0</v>
      </c>
      <c r="DA72" s="1026">
        <v>0</v>
      </c>
      <c r="DE72" s="1026">
        <v>0</v>
      </c>
      <c r="DI72" s="1026">
        <v>0</v>
      </c>
      <c r="DN72" s="1026">
        <v>0</v>
      </c>
      <c r="DP72" s="1026">
        <v>0</v>
      </c>
      <c r="DT72" s="1026">
        <v>0</v>
      </c>
      <c r="DY72" s="1026">
        <v>6391186</v>
      </c>
      <c r="EA72" s="1026">
        <v>0</v>
      </c>
      <c r="EB72" s="1026">
        <v>0</v>
      </c>
      <c r="ED72" s="1026">
        <v>5856242</v>
      </c>
      <c r="EE72" s="1026">
        <v>534944</v>
      </c>
      <c r="EH72" s="1026">
        <v>61689306</v>
      </c>
      <c r="EI72" s="1026">
        <v>16711324</v>
      </c>
      <c r="EJ72" s="1026">
        <v>31969992</v>
      </c>
      <c r="EK72" s="1026">
        <v>13007990</v>
      </c>
      <c r="EM72" s="1026">
        <v>55260663</v>
      </c>
      <c r="ES72" s="1027">
        <v>476919647</v>
      </c>
    </row>
    <row r="73" spans="5:149">
      <c r="E73" s="1419">
        <v>43800</v>
      </c>
      <c r="G73" s="1375">
        <v>2153239</v>
      </c>
      <c r="I73" s="1026">
        <f>+J73+K73</f>
        <v>154510782</v>
      </c>
      <c r="J73" s="1026">
        <v>154510782</v>
      </c>
      <c r="M73" s="1026">
        <f>+N73+Q73+T73</f>
        <v>172534</v>
      </c>
      <c r="N73" s="1026">
        <f>+O73+P73</f>
        <v>172534</v>
      </c>
      <c r="O73" s="1026">
        <v>172534</v>
      </c>
      <c r="Q73" s="1026">
        <f>+R73+S73</f>
        <v>0</v>
      </c>
      <c r="T73" s="1026">
        <f>+U73+V73</f>
        <v>0</v>
      </c>
      <c r="X73" s="1026">
        <f>+Y73+AB73</f>
        <v>0</v>
      </c>
      <c r="Y73" s="1026">
        <f>+Z73+AA73</f>
        <v>0</v>
      </c>
      <c r="AB73" s="1026">
        <f>+AC73+AD73</f>
        <v>0</v>
      </c>
      <c r="AF73" s="1026">
        <f>+AG73+AH73+AI73</f>
        <v>0</v>
      </c>
      <c r="AK73" s="1026">
        <f>+AL73+AM73</f>
        <v>0</v>
      </c>
      <c r="AO73" s="1026">
        <f>+AP73+AQ73+AT73+AU73+AV73+AW73</f>
        <v>27336604</v>
      </c>
      <c r="AP73" s="1026">
        <v>2322173</v>
      </c>
      <c r="AQ73" s="1026">
        <f>+AR73+AS73</f>
        <v>25014431</v>
      </c>
      <c r="AR73" s="1026">
        <v>25014431</v>
      </c>
      <c r="AS73" s="1026">
        <v>0</v>
      </c>
      <c r="AY73" s="1026">
        <f>+AZ73+BC73+BD73+BE73+BJ73</f>
        <v>62965311</v>
      </c>
      <c r="AZ73" s="1026">
        <f>+BA73+BB73</f>
        <v>0</v>
      </c>
      <c r="BC73" s="1026">
        <v>3947706</v>
      </c>
      <c r="BD73" s="1026">
        <v>59017605</v>
      </c>
      <c r="BE73" s="1026">
        <f>+BF73+BG73+BH73+BI73</f>
        <v>0</v>
      </c>
      <c r="BL73" s="1026">
        <f>+BM73+BQ73+BR73</f>
        <v>0</v>
      </c>
      <c r="BM73" s="1026">
        <f>+BN73+BO73+BP73</f>
        <v>0</v>
      </c>
      <c r="BT73" s="1026">
        <f>+BU73+BY73+BZ73+CA73</f>
        <v>0</v>
      </c>
      <c r="BU73" s="1026">
        <f>+BV73+BW73+BX73</f>
        <v>0</v>
      </c>
      <c r="CC73" s="1026">
        <f>+CD73+CJ73</f>
        <v>0</v>
      </c>
      <c r="CD73" s="1026">
        <f>+CE73+CF73+CG73+CH73+CI73</f>
        <v>0</v>
      </c>
      <c r="CF73" s="1026">
        <v>0</v>
      </c>
      <c r="CJ73" s="1026">
        <f>+CK73+CL73+CM73+CN73+CO73</f>
        <v>0</v>
      </c>
      <c r="CL73" s="1026">
        <v>0</v>
      </c>
      <c r="CM73" s="1026">
        <v>0</v>
      </c>
      <c r="CQ73" s="1026">
        <f>+CR73+CS73</f>
        <v>26589136</v>
      </c>
      <c r="CS73" s="1026">
        <v>26589136</v>
      </c>
      <c r="CU73" s="1026">
        <f>+CV73+CW73</f>
        <v>137861074</v>
      </c>
      <c r="CV73" s="1026">
        <v>134257766</v>
      </c>
      <c r="CW73" s="1026">
        <v>3603308</v>
      </c>
      <c r="CY73" s="1026">
        <f>+DA73+DE73+DI73</f>
        <v>0</v>
      </c>
      <c r="DA73" s="1026">
        <f>+DB73+DC73+DD73</f>
        <v>0</v>
      </c>
      <c r="DE73" s="1026">
        <f>+DF73+DG73+DH73</f>
        <v>0</v>
      </c>
      <c r="DI73" s="1026">
        <f>+DJ73+DK73+DL73</f>
        <v>0</v>
      </c>
      <c r="DN73" s="1026">
        <f>+DP73+DT73</f>
        <v>0</v>
      </c>
      <c r="DP73" s="1026">
        <f>+DQ73+DR73+DS73</f>
        <v>0</v>
      </c>
      <c r="DT73" s="1026">
        <f>+DU73+DV73+DW73</f>
        <v>0</v>
      </c>
      <c r="DY73" s="1026">
        <f>+EA73+EB73+EC73+ED73+EE73</f>
        <v>5895703</v>
      </c>
      <c r="EA73" s="1026">
        <v>0</v>
      </c>
      <c r="EB73" s="1026">
        <v>0</v>
      </c>
      <c r="ED73" s="1026">
        <v>5339248</v>
      </c>
      <c r="EE73" s="1026">
        <v>556455</v>
      </c>
      <c r="EH73" s="1026">
        <f>+EI73+EJ73+EK73</f>
        <v>62110181</v>
      </c>
      <c r="EI73" s="1026">
        <v>16682355</v>
      </c>
      <c r="EJ73" s="1026">
        <f>21669198+10770420</f>
        <v>32439618</v>
      </c>
      <c r="EK73" s="1026">
        <v>12988208</v>
      </c>
      <c r="EM73" s="1026">
        <v>61153974</v>
      </c>
      <c r="ES73" s="1027">
        <f>+G73+I73+M73+X73+AF73+AK73+AO73+AY73+BL73+BT73+CC73+CQ73+CU73+CY73+DN73+DY73+EH73+EM73</f>
        <v>540748538</v>
      </c>
    </row>
    <row r="76" spans="5:149">
      <c r="E76" s="1790">
        <v>43831</v>
      </c>
      <c r="G76" s="1375">
        <v>1291638</v>
      </c>
      <c r="I76" s="1026">
        <v>91787456</v>
      </c>
      <c r="J76" s="1026">
        <v>91787456</v>
      </c>
      <c r="M76" s="1026">
        <v>1829217</v>
      </c>
      <c r="N76" s="1026">
        <v>1829217</v>
      </c>
      <c r="O76" s="1026">
        <v>1829217</v>
      </c>
      <c r="Q76" s="1026">
        <v>0</v>
      </c>
      <c r="T76" s="1026">
        <v>0</v>
      </c>
      <c r="X76" s="1026">
        <v>0</v>
      </c>
      <c r="Y76" s="1026">
        <v>0</v>
      </c>
      <c r="AB76" s="1026">
        <v>0</v>
      </c>
      <c r="AF76" s="1026">
        <v>0</v>
      </c>
      <c r="AK76" s="1026">
        <v>0</v>
      </c>
      <c r="AO76" s="1026">
        <v>22330170</v>
      </c>
      <c r="AP76" s="1026">
        <v>8698205</v>
      </c>
      <c r="AQ76" s="1026">
        <v>13631965</v>
      </c>
      <c r="AR76" s="1026">
        <v>13631965</v>
      </c>
      <c r="AS76" s="1026">
        <v>0</v>
      </c>
      <c r="AY76" s="1026">
        <v>59010943</v>
      </c>
      <c r="AZ76" s="1026">
        <v>0</v>
      </c>
      <c r="BC76" s="1026">
        <v>3947404</v>
      </c>
      <c r="BD76" s="1026">
        <v>55063539</v>
      </c>
      <c r="BE76" s="1026">
        <v>0</v>
      </c>
      <c r="BL76" s="1026">
        <v>0</v>
      </c>
      <c r="BM76" s="1026">
        <v>0</v>
      </c>
      <c r="BT76" s="1026">
        <v>0</v>
      </c>
      <c r="BU76" s="1026">
        <v>0</v>
      </c>
      <c r="CC76" s="1026">
        <v>0</v>
      </c>
      <c r="CD76" s="1026">
        <v>0</v>
      </c>
      <c r="CF76" s="1026">
        <v>0</v>
      </c>
      <c r="CJ76" s="1026">
        <v>0</v>
      </c>
      <c r="CL76" s="1026">
        <v>0</v>
      </c>
      <c r="CM76" s="1026">
        <v>0</v>
      </c>
      <c r="CQ76" s="1026">
        <v>33007161</v>
      </c>
      <c r="CS76" s="1026">
        <v>33007161</v>
      </c>
      <c r="CU76" s="1026">
        <v>156041546</v>
      </c>
      <c r="CV76" s="1026">
        <v>147540572</v>
      </c>
      <c r="CW76" s="1026">
        <v>8500974</v>
      </c>
      <c r="CY76" s="1026">
        <v>0</v>
      </c>
      <c r="DA76" s="1026">
        <v>0</v>
      </c>
      <c r="DE76" s="1026">
        <v>0</v>
      </c>
      <c r="DI76" s="1026">
        <v>0</v>
      </c>
      <c r="DN76" s="1026">
        <v>0</v>
      </c>
      <c r="DP76" s="1026">
        <v>0</v>
      </c>
      <c r="DT76" s="1026">
        <v>0</v>
      </c>
      <c r="DY76" s="1026">
        <v>9416124</v>
      </c>
      <c r="EA76" s="1026">
        <v>0</v>
      </c>
      <c r="EB76" s="1026">
        <v>0</v>
      </c>
      <c r="ED76" s="1026">
        <v>8851676</v>
      </c>
      <c r="EE76" s="1026">
        <v>564448</v>
      </c>
      <c r="EH76" s="1026">
        <v>62484031</v>
      </c>
      <c r="EI76" s="1026">
        <v>16653385</v>
      </c>
      <c r="EJ76" s="1026">
        <v>32973454</v>
      </c>
      <c r="EK76" s="1026">
        <v>12857192</v>
      </c>
      <c r="EM76" s="1026">
        <v>64411418</v>
      </c>
      <c r="ES76" s="1027">
        <v>501609704</v>
      </c>
    </row>
    <row r="77" spans="5:149">
      <c r="E77" s="1790">
        <v>43862</v>
      </c>
      <c r="G77" s="1375">
        <v>899593</v>
      </c>
      <c r="I77" s="1026">
        <v>104543754</v>
      </c>
      <c r="J77" s="1026">
        <v>104543754</v>
      </c>
      <c r="M77" s="1026">
        <v>1264061</v>
      </c>
      <c r="N77" s="1026">
        <v>1264061</v>
      </c>
      <c r="O77" s="1026">
        <v>1264061</v>
      </c>
      <c r="Q77" s="1026">
        <v>0</v>
      </c>
      <c r="T77" s="1026">
        <v>0</v>
      </c>
      <c r="X77" s="1026">
        <v>0</v>
      </c>
      <c r="Y77" s="1026">
        <v>0</v>
      </c>
      <c r="AB77" s="1026">
        <v>0</v>
      </c>
      <c r="AF77" s="1026">
        <v>0</v>
      </c>
      <c r="AK77" s="1026">
        <v>0</v>
      </c>
      <c r="AO77" s="1026">
        <v>18905505</v>
      </c>
      <c r="AP77" s="1026">
        <v>11639558</v>
      </c>
      <c r="AQ77" s="1026">
        <v>7265947</v>
      </c>
      <c r="AR77" s="1026">
        <v>7265947</v>
      </c>
      <c r="AS77" s="1026">
        <v>0</v>
      </c>
      <c r="AY77" s="1026">
        <v>57924271</v>
      </c>
      <c r="AZ77" s="1026">
        <v>0</v>
      </c>
      <c r="BC77" s="1026">
        <v>3947132</v>
      </c>
      <c r="BD77" s="1026">
        <v>53977139</v>
      </c>
      <c r="BE77" s="1026">
        <v>0</v>
      </c>
      <c r="BL77" s="1026">
        <v>0</v>
      </c>
      <c r="BM77" s="1026">
        <v>0</v>
      </c>
      <c r="BT77" s="1026">
        <v>0</v>
      </c>
      <c r="BU77" s="1026">
        <v>0</v>
      </c>
      <c r="CC77" s="1026">
        <v>0</v>
      </c>
      <c r="CD77" s="1026">
        <v>0</v>
      </c>
      <c r="CF77" s="1026">
        <v>0</v>
      </c>
      <c r="CJ77" s="1026">
        <v>0</v>
      </c>
      <c r="CL77" s="1026">
        <v>0</v>
      </c>
      <c r="CM77" s="1026">
        <v>0</v>
      </c>
      <c r="CQ77" s="1026">
        <v>26094474</v>
      </c>
      <c r="CS77" s="1026">
        <v>26094474</v>
      </c>
      <c r="CU77" s="1026">
        <v>179823512</v>
      </c>
      <c r="CV77" s="1026">
        <v>170734546</v>
      </c>
      <c r="CW77" s="1026">
        <v>9088966</v>
      </c>
      <c r="CY77" s="1026">
        <v>0</v>
      </c>
      <c r="DA77" s="1026">
        <v>0</v>
      </c>
      <c r="DE77" s="1026">
        <v>0</v>
      </c>
      <c r="DI77" s="1026">
        <v>0</v>
      </c>
      <c r="DN77" s="1026">
        <v>0</v>
      </c>
      <c r="DP77" s="1026">
        <v>0</v>
      </c>
      <c r="DT77" s="1026">
        <v>0</v>
      </c>
      <c r="DY77" s="1026">
        <v>11216732</v>
      </c>
      <c r="EA77" s="1026">
        <v>0</v>
      </c>
      <c r="EB77" s="1026">
        <v>0</v>
      </c>
      <c r="ED77" s="1026">
        <v>10637273</v>
      </c>
      <c r="EE77" s="1026">
        <v>579459</v>
      </c>
      <c r="EH77" s="1026">
        <v>127935400</v>
      </c>
      <c r="EI77" s="1026">
        <v>36450973</v>
      </c>
      <c r="EJ77" s="1026">
        <v>72723541</v>
      </c>
      <c r="EK77" s="1026">
        <v>18760886</v>
      </c>
      <c r="EM77" s="1026">
        <v>96066316</v>
      </c>
      <c r="ES77" s="1027">
        <v>624673618</v>
      </c>
    </row>
    <row r="78" spans="5:149">
      <c r="E78" s="1790">
        <v>43891</v>
      </c>
      <c r="G78" s="1375">
        <v>1135056.997429</v>
      </c>
      <c r="I78" s="1026">
        <v>196654314.34094322</v>
      </c>
      <c r="J78" s="1026">
        <v>196654314.34094322</v>
      </c>
      <c r="M78" s="1026">
        <v>2105699.404631</v>
      </c>
      <c r="N78" s="1026">
        <v>2105699.404631</v>
      </c>
      <c r="O78" s="1026">
        <v>2105699.404631</v>
      </c>
      <c r="Q78" s="1026">
        <v>0</v>
      </c>
      <c r="T78" s="1026">
        <v>0</v>
      </c>
      <c r="X78" s="1026">
        <v>0</v>
      </c>
      <c r="Y78" s="1026">
        <v>0</v>
      </c>
      <c r="AB78" s="1026">
        <v>0</v>
      </c>
      <c r="AF78" s="1026">
        <v>0</v>
      </c>
      <c r="AK78" s="1026">
        <v>0</v>
      </c>
      <c r="AO78" s="1026">
        <v>32430887.249948699</v>
      </c>
      <c r="AP78" s="1026">
        <v>14285851.749948699</v>
      </c>
      <c r="AQ78" s="1026">
        <v>18145035.5</v>
      </c>
      <c r="AR78" s="1026">
        <v>18145035.5</v>
      </c>
      <c r="AS78" s="1026">
        <v>0</v>
      </c>
      <c r="AY78" s="1026">
        <v>57919517.972439945</v>
      </c>
      <c r="AZ78" s="1026">
        <v>0</v>
      </c>
      <c r="BC78" s="1026">
        <v>3946820.8333828337</v>
      </c>
      <c r="BD78" s="1026">
        <v>53972697.139057107</v>
      </c>
      <c r="BE78" s="1026">
        <v>0</v>
      </c>
      <c r="BL78" s="1026">
        <v>0</v>
      </c>
      <c r="BM78" s="1026">
        <v>0</v>
      </c>
      <c r="BT78" s="1026">
        <v>0</v>
      </c>
      <c r="BU78" s="1026">
        <v>0</v>
      </c>
      <c r="CC78" s="1026">
        <v>0</v>
      </c>
      <c r="CD78" s="1026">
        <v>0</v>
      </c>
      <c r="CF78" s="1026">
        <v>0</v>
      </c>
      <c r="CJ78" s="1026">
        <v>0</v>
      </c>
      <c r="CL78" s="1026">
        <v>0</v>
      </c>
      <c r="CM78" s="1026">
        <v>0</v>
      </c>
      <c r="CQ78" s="1026">
        <v>33500034.725247469</v>
      </c>
      <c r="CS78" s="1026">
        <v>33500034.725247469</v>
      </c>
      <c r="CU78" s="1026">
        <v>237257536.79274666</v>
      </c>
      <c r="CV78" s="1026">
        <v>225902553.37659729</v>
      </c>
      <c r="CW78" s="1026">
        <v>11354983.416149393</v>
      </c>
      <c r="CY78" s="1026">
        <v>0</v>
      </c>
      <c r="DA78" s="1026">
        <v>0</v>
      </c>
      <c r="DE78" s="1026">
        <v>0</v>
      </c>
      <c r="DI78" s="1026">
        <v>0</v>
      </c>
      <c r="DN78" s="1026">
        <v>0</v>
      </c>
      <c r="DP78" s="1026">
        <v>0</v>
      </c>
      <c r="DT78" s="1026">
        <v>0</v>
      </c>
      <c r="DY78" s="1026">
        <v>11423517.75</v>
      </c>
      <c r="EA78" s="1026">
        <v>0</v>
      </c>
      <c r="EB78" s="1026">
        <v>0</v>
      </c>
      <c r="ED78" s="1026">
        <v>10637273</v>
      </c>
      <c r="EE78" s="1026">
        <v>786244.75</v>
      </c>
      <c r="EH78" s="1026">
        <v>132488158.10000001</v>
      </c>
      <c r="EI78" s="1026">
        <v>41577093.090000004</v>
      </c>
      <c r="EJ78" s="1026">
        <v>72287872.090000004</v>
      </c>
      <c r="EK78" s="1026">
        <v>18623192.920000002</v>
      </c>
      <c r="EM78" s="1026">
        <v>141950067.06811121</v>
      </c>
      <c r="ES78" s="1027">
        <v>846864790.40149724</v>
      </c>
    </row>
    <row r="79" spans="5:149">
      <c r="E79" s="1790">
        <v>43922</v>
      </c>
      <c r="G79" s="1375">
        <v>2103709.5974289998</v>
      </c>
      <c r="I79" s="1026">
        <v>337664558.44459623</v>
      </c>
      <c r="J79" s="1026">
        <v>337664558.44459623</v>
      </c>
      <c r="M79" s="1026">
        <v>1389276.5560139976</v>
      </c>
      <c r="N79" s="1026">
        <v>1389276.5560139976</v>
      </c>
      <c r="O79" s="1026">
        <v>1389276.5560139976</v>
      </c>
      <c r="Q79" s="1026">
        <v>0</v>
      </c>
      <c r="T79" s="1026">
        <v>0</v>
      </c>
      <c r="X79" s="1026">
        <v>0</v>
      </c>
      <c r="Y79" s="1026">
        <v>0</v>
      </c>
      <c r="AB79" s="1026">
        <v>0</v>
      </c>
      <c r="AF79" s="1026">
        <v>0</v>
      </c>
      <c r="AK79" s="1026">
        <v>0</v>
      </c>
      <c r="AO79" s="1026">
        <v>29133531.38824793</v>
      </c>
      <c r="AP79" s="1026">
        <v>2125267.2767814305</v>
      </c>
      <c r="AQ79" s="1026">
        <v>27008264.111466501</v>
      </c>
      <c r="AR79" s="1026">
        <v>27008264.111466501</v>
      </c>
      <c r="AS79" s="1026">
        <v>0</v>
      </c>
      <c r="AY79" s="1026">
        <v>54290501.512059115</v>
      </c>
      <c r="AZ79" s="1026">
        <v>0</v>
      </c>
      <c r="BC79" s="1026">
        <v>3946529.1667207084</v>
      </c>
      <c r="BD79" s="1026">
        <v>50343972.345338404</v>
      </c>
      <c r="BE79" s="1026">
        <v>0</v>
      </c>
      <c r="BL79" s="1026">
        <v>0</v>
      </c>
      <c r="BM79" s="1026">
        <v>0</v>
      </c>
      <c r="BT79" s="1026">
        <v>0</v>
      </c>
      <c r="BU79" s="1026">
        <v>0</v>
      </c>
      <c r="CC79" s="1026">
        <v>0</v>
      </c>
      <c r="CD79" s="1026">
        <v>0</v>
      </c>
      <c r="CF79" s="1026">
        <v>0</v>
      </c>
      <c r="CJ79" s="1026">
        <v>0</v>
      </c>
      <c r="CL79" s="1026">
        <v>0</v>
      </c>
      <c r="CM79" s="1026">
        <v>0</v>
      </c>
      <c r="CQ79" s="1026">
        <v>9140714.6994619332</v>
      </c>
      <c r="CS79" s="1026">
        <v>9140714.6994619332</v>
      </c>
      <c r="CU79" s="1026">
        <v>232499214.2412273</v>
      </c>
      <c r="CV79" s="1026">
        <v>221743249.14350766</v>
      </c>
      <c r="CW79" s="1026">
        <v>10755965.097719649</v>
      </c>
      <c r="CY79" s="1026">
        <v>0</v>
      </c>
      <c r="DA79" s="1026">
        <v>0</v>
      </c>
      <c r="DE79" s="1026">
        <v>0</v>
      </c>
      <c r="DI79" s="1026">
        <v>0</v>
      </c>
      <c r="DN79" s="1026">
        <v>0</v>
      </c>
      <c r="DP79" s="1026">
        <v>0</v>
      </c>
      <c r="DT79" s="1026">
        <v>0</v>
      </c>
      <c r="DY79" s="1026">
        <v>12830625.960000001</v>
      </c>
      <c r="EA79" s="1026">
        <v>0</v>
      </c>
      <c r="EB79" s="1026">
        <v>0</v>
      </c>
      <c r="ED79" s="1026">
        <v>12073817.470000001</v>
      </c>
      <c r="EE79" s="1026">
        <v>756808.49</v>
      </c>
      <c r="EH79" s="1026">
        <v>131511903.05928816</v>
      </c>
      <c r="EI79" s="1026">
        <v>41453357.081124999</v>
      </c>
      <c r="EJ79" s="1026">
        <v>71747547.4859806</v>
      </c>
      <c r="EK79" s="1026">
        <v>18310998.492182564</v>
      </c>
      <c r="EM79" s="1026">
        <v>121223163.39185989</v>
      </c>
      <c r="ES79" s="1027">
        <v>931787198.85018349</v>
      </c>
    </row>
    <row r="80" spans="5:149">
      <c r="E80" s="1790">
        <v>43952</v>
      </c>
      <c r="G80" s="1375">
        <v>5972537.547429</v>
      </c>
      <c r="I80" s="1026">
        <v>300162845.64478451</v>
      </c>
      <c r="J80" s="1026">
        <v>300162845.64478451</v>
      </c>
      <c r="M80" s="1026">
        <v>1372728.7354197651</v>
      </c>
      <c r="N80" s="1026">
        <v>1372728.7354197651</v>
      </c>
      <c r="O80" s="1026">
        <v>1372728.7354197651</v>
      </c>
      <c r="Q80" s="1026">
        <v>0</v>
      </c>
      <c r="T80" s="1026">
        <v>0</v>
      </c>
      <c r="X80" s="1026">
        <v>0</v>
      </c>
      <c r="Y80" s="1026">
        <v>0</v>
      </c>
      <c r="AB80" s="1026">
        <v>0</v>
      </c>
      <c r="AF80" s="1026">
        <v>0</v>
      </c>
      <c r="AK80" s="1026">
        <v>0</v>
      </c>
      <c r="AO80" s="1026">
        <v>31649768.685797393</v>
      </c>
      <c r="AP80" s="1026">
        <v>2516455.0772838602</v>
      </c>
      <c r="AQ80" s="1026">
        <v>29133313.608513534</v>
      </c>
      <c r="AR80" s="1026">
        <v>29133313.608513534</v>
      </c>
      <c r="AS80" s="1026">
        <v>0</v>
      </c>
      <c r="AY80" s="1026">
        <v>35267747.945732452</v>
      </c>
      <c r="AZ80" s="1026">
        <v>0</v>
      </c>
      <c r="BC80" s="1026">
        <v>0</v>
      </c>
      <c r="BD80" s="1026">
        <v>35267747.945732452</v>
      </c>
      <c r="BE80" s="1026">
        <v>0</v>
      </c>
      <c r="BL80" s="1026">
        <v>0</v>
      </c>
      <c r="BM80" s="1026">
        <v>0</v>
      </c>
      <c r="BT80" s="1026">
        <v>0</v>
      </c>
      <c r="BU80" s="1026">
        <v>0</v>
      </c>
      <c r="CC80" s="1026">
        <v>0</v>
      </c>
      <c r="CD80" s="1026">
        <v>0</v>
      </c>
      <c r="CF80" s="1026">
        <v>0</v>
      </c>
      <c r="CJ80" s="1026">
        <v>0</v>
      </c>
      <c r="CL80" s="1026">
        <v>0</v>
      </c>
      <c r="CM80" s="1026">
        <v>0</v>
      </c>
      <c r="CQ80" s="1026">
        <v>25109249.013473362</v>
      </c>
      <c r="CS80" s="1026">
        <v>25109249.013473362</v>
      </c>
      <c r="CU80" s="1026">
        <v>235998379.46043411</v>
      </c>
      <c r="CV80" s="1026">
        <v>224684475.33269501</v>
      </c>
      <c r="CW80" s="1026">
        <v>11313904.127739102</v>
      </c>
      <c r="CY80" s="1026">
        <v>0</v>
      </c>
      <c r="DA80" s="1026">
        <v>0</v>
      </c>
      <c r="DE80" s="1026">
        <v>0</v>
      </c>
      <c r="DI80" s="1026">
        <v>0</v>
      </c>
      <c r="DN80" s="1026">
        <v>0</v>
      </c>
      <c r="DP80" s="1026">
        <v>0</v>
      </c>
      <c r="DT80" s="1026">
        <v>0</v>
      </c>
      <c r="DY80" s="1026">
        <v>54234865.899999999</v>
      </c>
      <c r="EA80" s="1026">
        <v>0</v>
      </c>
      <c r="EB80" s="1026">
        <v>0</v>
      </c>
      <c r="ED80" s="1026">
        <v>53463771.460000001</v>
      </c>
      <c r="EE80" s="1026">
        <v>771094.44</v>
      </c>
      <c r="EH80" s="1026">
        <v>130421445.77</v>
      </c>
      <c r="EI80" s="1026">
        <v>41535655.039999999</v>
      </c>
      <c r="EJ80" s="1026">
        <v>70886986.689999998</v>
      </c>
      <c r="EK80" s="1026">
        <v>17998804.040000003</v>
      </c>
      <c r="EM80" s="1026">
        <v>125005760.1871784</v>
      </c>
    </row>
    <row r="81" spans="5:149">
      <c r="E81" s="1790">
        <v>43983</v>
      </c>
      <c r="G81" s="1375">
        <v>2813622.9499999997</v>
      </c>
      <c r="I81" s="1026">
        <v>230391215.29816765</v>
      </c>
      <c r="J81" s="1026">
        <v>230391215.29816765</v>
      </c>
      <c r="M81" s="1026">
        <v>5538911.6252086479</v>
      </c>
      <c r="N81" s="1026">
        <v>5538911.6252086479</v>
      </c>
      <c r="O81" s="1026">
        <v>5538911.6252086479</v>
      </c>
      <c r="Q81" s="1026">
        <v>0</v>
      </c>
      <c r="T81" s="1026">
        <v>0</v>
      </c>
      <c r="X81" s="1026">
        <v>0</v>
      </c>
      <c r="Y81" s="1026">
        <v>0</v>
      </c>
      <c r="AB81" s="1026">
        <v>0</v>
      </c>
      <c r="AF81" s="1026">
        <v>0</v>
      </c>
      <c r="AK81" s="1026">
        <v>0</v>
      </c>
      <c r="AO81" s="1026">
        <v>58624219.264434747</v>
      </c>
      <c r="AP81" s="1026">
        <v>44479946.262166299</v>
      </c>
      <c r="AQ81" s="1026">
        <v>14144273.00226845</v>
      </c>
      <c r="AR81" s="1026">
        <v>14144273.00226845</v>
      </c>
      <c r="AS81" s="1026">
        <v>0</v>
      </c>
      <c r="AY81" s="1026">
        <v>36354804.033617675</v>
      </c>
      <c r="AZ81" s="1026">
        <v>0</v>
      </c>
      <c r="BC81" s="1026">
        <v>0</v>
      </c>
      <c r="BD81" s="1026">
        <v>36354804.033617675</v>
      </c>
      <c r="BE81" s="1026">
        <v>0</v>
      </c>
      <c r="BL81" s="1026">
        <v>0</v>
      </c>
      <c r="BM81" s="1026">
        <v>0</v>
      </c>
      <c r="BT81" s="1026">
        <v>0</v>
      </c>
      <c r="BU81" s="1026">
        <v>0</v>
      </c>
      <c r="CC81" s="1026">
        <v>0</v>
      </c>
      <c r="CD81" s="1026">
        <v>0</v>
      </c>
      <c r="CF81" s="1026">
        <v>0</v>
      </c>
      <c r="CJ81" s="1026">
        <v>0</v>
      </c>
      <c r="CL81" s="1026">
        <v>0</v>
      </c>
      <c r="CM81" s="1026">
        <v>0</v>
      </c>
      <c r="CQ81" s="1026">
        <v>54729954.39542903</v>
      </c>
      <c r="CS81" s="1026">
        <v>54729954.39542903</v>
      </c>
      <c r="CU81" s="1026">
        <v>242496381.37397051</v>
      </c>
      <c r="CV81" s="1026">
        <v>229886640.64116141</v>
      </c>
      <c r="CW81" s="1026">
        <v>12609740.732809089</v>
      </c>
      <c r="CY81" s="1026">
        <v>0</v>
      </c>
      <c r="DA81" s="1026">
        <v>0</v>
      </c>
      <c r="DE81" s="1026">
        <v>0</v>
      </c>
      <c r="DI81" s="1026">
        <v>0</v>
      </c>
      <c r="DN81" s="1026">
        <v>0</v>
      </c>
      <c r="DP81" s="1026">
        <v>0</v>
      </c>
      <c r="DT81" s="1026">
        <v>0</v>
      </c>
      <c r="DY81" s="1026">
        <v>71365449.900999993</v>
      </c>
      <c r="EA81" s="1026">
        <v>0</v>
      </c>
      <c r="EB81" s="1026">
        <v>0</v>
      </c>
      <c r="ED81" s="1026">
        <v>69817786.909999996</v>
      </c>
      <c r="EE81" s="1026">
        <v>1547662.9910000002</v>
      </c>
      <c r="EH81" s="1026">
        <v>129582191.8804433</v>
      </c>
      <c r="EI81" s="1026">
        <v>41863478.206875004</v>
      </c>
      <c r="EJ81" s="1026">
        <v>70032103.755859405</v>
      </c>
      <c r="EK81" s="1026">
        <v>17686609.9177089</v>
      </c>
      <c r="EM81" s="1026">
        <v>137706980.9096435</v>
      </c>
      <c r="ES81" s="1027">
        <v>969603731.63191509</v>
      </c>
    </row>
    <row r="82" spans="5:149">
      <c r="E82" s="1790">
        <v>44013</v>
      </c>
      <c r="G82" s="1375">
        <v>3746394.49</v>
      </c>
      <c r="I82" s="1026">
        <v>789904478.59357476</v>
      </c>
      <c r="J82" s="1026">
        <v>789904478.59357476</v>
      </c>
      <c r="M82" s="1026">
        <v>5046321.1298672818</v>
      </c>
      <c r="N82" s="1026">
        <v>5046321.1298672818</v>
      </c>
      <c r="O82" s="1026">
        <v>5046321.1298672818</v>
      </c>
      <c r="Q82" s="1026">
        <v>0</v>
      </c>
      <c r="T82" s="1026">
        <v>0</v>
      </c>
      <c r="X82" s="1026">
        <v>0</v>
      </c>
      <c r="Y82" s="1026">
        <v>0</v>
      </c>
      <c r="AB82" s="1026">
        <v>0</v>
      </c>
      <c r="AF82" s="1026">
        <v>0</v>
      </c>
      <c r="AK82" s="1026">
        <v>0</v>
      </c>
      <c r="AO82" s="1026">
        <v>60315722.640866712</v>
      </c>
      <c r="AP82" s="1026">
        <v>39846695.555766694</v>
      </c>
      <c r="AQ82" s="1026">
        <v>20469027.085100017</v>
      </c>
      <c r="AR82" s="1026">
        <v>20469027.085100017</v>
      </c>
      <c r="AS82" s="1026">
        <v>0</v>
      </c>
      <c r="AY82" s="1026">
        <v>54644173.97269991</v>
      </c>
      <c r="AZ82" s="1026">
        <v>0</v>
      </c>
      <c r="BC82" s="1026">
        <v>0</v>
      </c>
      <c r="BD82" s="1026">
        <v>54644173.97269991</v>
      </c>
      <c r="BE82" s="1026">
        <v>0</v>
      </c>
      <c r="BL82" s="1026">
        <v>0</v>
      </c>
      <c r="BM82" s="1026">
        <v>0</v>
      </c>
      <c r="BT82" s="1026">
        <v>0</v>
      </c>
      <c r="BU82" s="1026">
        <v>0</v>
      </c>
      <c r="CC82" s="1026">
        <v>0</v>
      </c>
      <c r="CD82" s="1026">
        <v>0</v>
      </c>
      <c r="CF82" s="1026">
        <v>0</v>
      </c>
      <c r="CJ82" s="1026">
        <v>0</v>
      </c>
      <c r="CL82" s="1026">
        <v>0</v>
      </c>
      <c r="CM82" s="1026">
        <v>0</v>
      </c>
      <c r="CQ82" s="1026">
        <v>34487937.121025845</v>
      </c>
      <c r="CS82" s="1026">
        <v>34487937.121025845</v>
      </c>
      <c r="CU82" s="1026">
        <v>251759763.27651218</v>
      </c>
      <c r="CV82" s="1026">
        <v>228526917.90034062</v>
      </c>
      <c r="CW82" s="1026">
        <v>23232845.376171563</v>
      </c>
      <c r="CY82" s="1026">
        <v>0</v>
      </c>
      <c r="DA82" s="1026">
        <v>0</v>
      </c>
      <c r="DE82" s="1026">
        <v>0</v>
      </c>
      <c r="DI82" s="1026">
        <v>0</v>
      </c>
      <c r="DN82" s="1026">
        <v>0</v>
      </c>
      <c r="DP82" s="1026">
        <v>0</v>
      </c>
      <c r="DT82" s="1026">
        <v>0</v>
      </c>
      <c r="DY82" s="1026">
        <v>71979071.069999993</v>
      </c>
      <c r="EA82" s="1026">
        <v>0</v>
      </c>
      <c r="EB82" s="1026">
        <v>0</v>
      </c>
      <c r="ED82" s="1026">
        <v>69817786.909999996</v>
      </c>
      <c r="EE82" s="1026">
        <v>2161284.16</v>
      </c>
      <c r="EH82" s="1026">
        <v>309532874.28999996</v>
      </c>
      <c r="EI82" s="1026">
        <v>130256095.36999999</v>
      </c>
      <c r="EJ82" s="1026">
        <v>120035940.03</v>
      </c>
      <c r="EK82" s="1026">
        <v>59240838.890000001</v>
      </c>
      <c r="EM82" s="1026">
        <v>242763056.84330428</v>
      </c>
      <c r="ES82" s="1027">
        <v>1824179793.4278507</v>
      </c>
    </row>
    <row r="83" spans="5:149">
      <c r="E83" s="1790">
        <v>44044</v>
      </c>
      <c r="G83" s="1375">
        <v>11058376.889999999</v>
      </c>
      <c r="I83" s="1026">
        <v>903496795.43218613</v>
      </c>
      <c r="J83" s="1026">
        <v>903496795.43218613</v>
      </c>
      <c r="M83" s="1026">
        <v>5024787.1511602663</v>
      </c>
      <c r="N83" s="1026">
        <v>5024787.1511602663</v>
      </c>
      <c r="O83" s="1026">
        <v>5024787.1511602663</v>
      </c>
      <c r="Q83" s="1026">
        <v>0</v>
      </c>
      <c r="T83" s="1026">
        <v>0</v>
      </c>
      <c r="X83" s="1026">
        <v>0</v>
      </c>
      <c r="Y83" s="1026">
        <v>0</v>
      </c>
      <c r="AB83" s="1026">
        <v>0</v>
      </c>
      <c r="AF83" s="1026">
        <v>0</v>
      </c>
      <c r="AK83" s="1026">
        <v>0</v>
      </c>
      <c r="AO83" s="1026">
        <v>106589227.66199194</v>
      </c>
      <c r="AP83" s="1026">
        <v>80775999.005769804</v>
      </c>
      <c r="AQ83" s="1026">
        <v>25813228.656222135</v>
      </c>
      <c r="AR83" s="1026">
        <v>25813228.656222135</v>
      </c>
      <c r="AS83" s="1026">
        <v>0</v>
      </c>
      <c r="AY83" s="1026">
        <v>103273117.74376936</v>
      </c>
      <c r="AZ83" s="1026">
        <v>0</v>
      </c>
      <c r="BC83" s="1026">
        <v>49363030.362314835</v>
      </c>
      <c r="BD83" s="1026">
        <v>53910087.381454527</v>
      </c>
      <c r="BE83" s="1026">
        <v>0</v>
      </c>
      <c r="BL83" s="1026">
        <v>0</v>
      </c>
      <c r="BM83" s="1026">
        <v>0</v>
      </c>
      <c r="BT83" s="1026">
        <v>0</v>
      </c>
      <c r="BU83" s="1026">
        <v>0</v>
      </c>
      <c r="CC83" s="1026">
        <v>0</v>
      </c>
      <c r="CD83" s="1026">
        <v>0</v>
      </c>
      <c r="CF83" s="1026">
        <v>0</v>
      </c>
      <c r="CJ83" s="1026">
        <v>0</v>
      </c>
      <c r="CL83" s="1026">
        <v>0</v>
      </c>
      <c r="CM83" s="1026">
        <v>0</v>
      </c>
      <c r="CQ83" s="1026">
        <v>24614395.627999999</v>
      </c>
      <c r="CS83" s="1026">
        <v>24614395.627999999</v>
      </c>
      <c r="CU83" s="1026">
        <v>311797791.47043401</v>
      </c>
      <c r="CV83" s="1026">
        <v>234002786.30700591</v>
      </c>
      <c r="CW83" s="1026">
        <v>77795005.163428098</v>
      </c>
      <c r="CY83" s="1026">
        <v>0</v>
      </c>
      <c r="DA83" s="1026">
        <v>0</v>
      </c>
      <c r="DE83" s="1026">
        <v>0</v>
      </c>
      <c r="DI83" s="1026">
        <v>0</v>
      </c>
      <c r="DN83" s="1026">
        <v>0</v>
      </c>
      <c r="DP83" s="1026">
        <v>0</v>
      </c>
      <c r="DT83" s="1026">
        <v>0</v>
      </c>
      <c r="DY83" s="1026">
        <v>49556212.47299999</v>
      </c>
      <c r="EA83" s="1026">
        <v>0</v>
      </c>
      <c r="EB83" s="1026">
        <v>0</v>
      </c>
      <c r="ED83" s="1026">
        <v>47172732.569999993</v>
      </c>
      <c r="EE83" s="1026">
        <v>2383479.9029999999</v>
      </c>
      <c r="EH83" s="1026">
        <v>307334806.73908305</v>
      </c>
      <c r="EI83" s="1026">
        <v>130889308.33352199</v>
      </c>
      <c r="EJ83" s="1026">
        <v>118273808.3328725</v>
      </c>
      <c r="EK83" s="1026">
        <v>58171690.072688602</v>
      </c>
      <c r="EM83" s="1026">
        <v>250296764.96320012</v>
      </c>
      <c r="ES83" s="1027">
        <v>2073042276.1528249</v>
      </c>
    </row>
    <row r="84" spans="5:149">
      <c r="E84" s="1790">
        <v>44075</v>
      </c>
      <c r="G84" s="1375">
        <v>13187694.539999999</v>
      </c>
      <c r="I84" s="1026">
        <v>962799348.54004562</v>
      </c>
      <c r="J84" s="1026">
        <v>962799348.54004562</v>
      </c>
      <c r="M84" s="1026">
        <v>11267531.532961994</v>
      </c>
      <c r="N84" s="1026">
        <v>11267531.532961994</v>
      </c>
      <c r="O84" s="1026">
        <v>11267531.532961994</v>
      </c>
      <c r="Q84" s="1026">
        <v>0</v>
      </c>
      <c r="T84" s="1026">
        <v>0</v>
      </c>
      <c r="X84" s="1026">
        <v>0</v>
      </c>
      <c r="Y84" s="1026">
        <v>0</v>
      </c>
      <c r="AB84" s="1026">
        <v>0</v>
      </c>
      <c r="AF84" s="1026">
        <v>0</v>
      </c>
      <c r="AK84" s="1026">
        <v>0</v>
      </c>
      <c r="AO84" s="1026">
        <v>184123736.43225241</v>
      </c>
      <c r="AP84" s="1026">
        <v>101281738.82580599</v>
      </c>
      <c r="AQ84" s="1026">
        <v>82841997.6064464</v>
      </c>
      <c r="AR84" s="1026">
        <v>82841997.6064464</v>
      </c>
      <c r="AS84" s="1026">
        <v>0</v>
      </c>
      <c r="AY84" s="1026">
        <v>103247977.89205649</v>
      </c>
      <c r="AZ84" s="1026">
        <v>0</v>
      </c>
      <c r="BC84" s="1026">
        <v>49345048.580455959</v>
      </c>
      <c r="BD84" s="1026">
        <v>53902929.311600536</v>
      </c>
      <c r="BE84" s="1026">
        <v>0</v>
      </c>
      <c r="BL84" s="1026">
        <v>0</v>
      </c>
      <c r="BM84" s="1026">
        <v>0</v>
      </c>
      <c r="BT84" s="1026">
        <v>0</v>
      </c>
      <c r="BU84" s="1026">
        <v>0</v>
      </c>
      <c r="CC84" s="1026">
        <v>0</v>
      </c>
      <c r="CD84" s="1026">
        <v>0</v>
      </c>
      <c r="CF84" s="1026">
        <v>0</v>
      </c>
      <c r="CJ84" s="1026">
        <v>0</v>
      </c>
      <c r="CL84" s="1026">
        <v>0</v>
      </c>
      <c r="CM84" s="1026">
        <v>0</v>
      </c>
      <c r="CQ84" s="1026">
        <v>64110998.405825064</v>
      </c>
      <c r="CS84" s="1026">
        <v>64110998.405825064</v>
      </c>
      <c r="CU84" s="1026">
        <v>378918220.670434</v>
      </c>
      <c r="CV84" s="1026">
        <v>274398247.11095136</v>
      </c>
      <c r="CW84" s="1026">
        <v>104519973.55948263</v>
      </c>
      <c r="CY84" s="1026">
        <v>0</v>
      </c>
      <c r="DA84" s="1026">
        <v>0</v>
      </c>
      <c r="DE84" s="1026">
        <v>0</v>
      </c>
      <c r="DI84" s="1026">
        <v>0</v>
      </c>
      <c r="DN84" s="1026">
        <v>0</v>
      </c>
      <c r="DP84" s="1026">
        <v>0</v>
      </c>
      <c r="DT84" s="1026">
        <v>0</v>
      </c>
      <c r="DY84" s="1026">
        <v>64214805.319999993</v>
      </c>
      <c r="EA84" s="1026">
        <v>0</v>
      </c>
      <c r="EB84" s="1026">
        <v>0</v>
      </c>
      <c r="ED84" s="1026">
        <v>61920649.819999993</v>
      </c>
      <c r="EE84" s="1026">
        <v>2294155.5</v>
      </c>
      <c r="EH84" s="1026">
        <v>302029278.25111079</v>
      </c>
      <c r="EI84" s="1026">
        <v>176957361.48184597</v>
      </c>
      <c r="EJ84" s="1026">
        <v>69756876.2964122</v>
      </c>
      <c r="EK84" s="1026">
        <v>55315040.47285261</v>
      </c>
      <c r="EM84" s="1026">
        <v>230374497.3577061</v>
      </c>
      <c r="ES84" s="1027">
        <v>2314274088.9423923</v>
      </c>
    </row>
    <row r="85" spans="5:149">
      <c r="E85" s="1790">
        <v>44105</v>
      </c>
      <c r="G85" s="1375">
        <v>18607228.890000001</v>
      </c>
      <c r="I85" s="1026">
        <v>1303187097.6799641</v>
      </c>
      <c r="J85" s="1026">
        <v>1303187097.6799641</v>
      </c>
      <c r="M85" s="1026">
        <v>63793735.81004253</v>
      </c>
      <c r="N85" s="1026">
        <v>63793735.81004253</v>
      </c>
      <c r="O85" s="1026">
        <v>63793735.81004253</v>
      </c>
      <c r="Q85" s="1026">
        <v>0</v>
      </c>
      <c r="T85" s="1026">
        <v>0</v>
      </c>
      <c r="X85" s="1026">
        <v>0</v>
      </c>
      <c r="Y85" s="1026">
        <v>0</v>
      </c>
      <c r="AB85" s="1026">
        <v>0</v>
      </c>
      <c r="AF85" s="1026">
        <v>0</v>
      </c>
      <c r="AK85" s="1026">
        <v>0</v>
      </c>
      <c r="AO85" s="1026">
        <v>171338967.23898125</v>
      </c>
      <c r="AP85" s="1026">
        <v>138267483.97381097</v>
      </c>
      <c r="AQ85" s="1026">
        <v>33071483.265170276</v>
      </c>
      <c r="AR85" s="1026">
        <v>33071483.265170276</v>
      </c>
      <c r="AS85" s="1026">
        <v>0</v>
      </c>
      <c r="AY85" s="1026">
        <v>97247977.892056495</v>
      </c>
      <c r="AZ85" s="1026">
        <v>0</v>
      </c>
      <c r="BC85" s="1026">
        <v>49345048.580455959</v>
      </c>
      <c r="BD85" s="1026">
        <v>47902929.311600536</v>
      </c>
      <c r="BE85" s="1026">
        <v>0</v>
      </c>
      <c r="BL85" s="1026">
        <v>0</v>
      </c>
      <c r="BM85" s="1026">
        <v>0</v>
      </c>
      <c r="BT85" s="1026">
        <v>0</v>
      </c>
      <c r="BU85" s="1026">
        <v>0</v>
      </c>
      <c r="CC85" s="1026">
        <v>0</v>
      </c>
      <c r="CD85" s="1026">
        <v>0</v>
      </c>
      <c r="CF85" s="1026">
        <v>0</v>
      </c>
      <c r="CJ85" s="1026">
        <v>0</v>
      </c>
      <c r="CL85" s="1026">
        <v>0</v>
      </c>
      <c r="CM85" s="1026">
        <v>0</v>
      </c>
      <c r="CQ85" s="1026">
        <v>54110998.405825064</v>
      </c>
      <c r="CS85" s="1026">
        <v>54110998.405825064</v>
      </c>
      <c r="CU85" s="1026">
        <v>482354865.65043378</v>
      </c>
      <c r="CV85" s="1026">
        <v>324885597.13843578</v>
      </c>
      <c r="CW85" s="1026">
        <v>157469268.511998</v>
      </c>
      <c r="CY85" s="1026">
        <v>0</v>
      </c>
      <c r="DA85" s="1026">
        <v>0</v>
      </c>
      <c r="DE85" s="1026">
        <v>0</v>
      </c>
      <c r="DI85" s="1026">
        <v>0</v>
      </c>
      <c r="DN85" s="1026">
        <v>0</v>
      </c>
      <c r="DP85" s="1026">
        <v>0</v>
      </c>
      <c r="DT85" s="1026">
        <v>0</v>
      </c>
      <c r="DY85" s="1026">
        <v>59088594.703999996</v>
      </c>
      <c r="EA85" s="1026">
        <v>0</v>
      </c>
      <c r="EB85" s="1026">
        <v>0</v>
      </c>
      <c r="ED85" s="1026">
        <v>56807154.899999999</v>
      </c>
      <c r="EE85" s="1026">
        <v>2281439.804</v>
      </c>
      <c r="EH85" s="1026">
        <v>299449389.19</v>
      </c>
      <c r="EI85" s="1026">
        <v>129391980.56999999</v>
      </c>
      <c r="EJ85" s="1026">
        <v>115778041.33000001</v>
      </c>
      <c r="EK85" s="1026">
        <v>54279367.289999999</v>
      </c>
      <c r="EM85" s="1026">
        <v>222839823.81520268</v>
      </c>
      <c r="ES85" s="1027">
        <v>2772018679.2765064</v>
      </c>
    </row>
    <row r="86" spans="5:149">
      <c r="E86" s="1790">
        <v>44136</v>
      </c>
      <c r="G86" s="1375">
        <v>39876533.990000002</v>
      </c>
      <c r="I86" s="1026">
        <v>888732984.85038888</v>
      </c>
      <c r="J86" s="1026">
        <v>888732984.85038888</v>
      </c>
      <c r="M86" s="1026">
        <v>10015894.607843533</v>
      </c>
      <c r="N86" s="1026">
        <v>10015894.607843533</v>
      </c>
      <c r="O86" s="1026">
        <v>10015894.607843533</v>
      </c>
      <c r="Q86" s="1026">
        <v>0</v>
      </c>
      <c r="T86" s="1026">
        <v>0</v>
      </c>
      <c r="X86" s="1026">
        <v>0</v>
      </c>
      <c r="Y86" s="1026">
        <v>0</v>
      </c>
      <c r="AB86" s="1026">
        <v>0</v>
      </c>
      <c r="AF86" s="1026">
        <v>0</v>
      </c>
      <c r="AK86" s="1026">
        <v>0</v>
      </c>
      <c r="AO86" s="1026">
        <v>208769613.37123299</v>
      </c>
      <c r="AP86" s="1026">
        <v>141376520.111691</v>
      </c>
      <c r="AQ86" s="1026">
        <v>67393093.259541973</v>
      </c>
      <c r="AR86" s="1026">
        <v>67393093.259541973</v>
      </c>
      <c r="AS86" s="1026">
        <v>0</v>
      </c>
      <c r="AY86" s="1026">
        <v>196027900.1899772</v>
      </c>
      <c r="AZ86" s="1026">
        <v>0</v>
      </c>
      <c r="BC86" s="1026">
        <v>49309075.342445053</v>
      </c>
      <c r="BD86" s="1026">
        <v>146718824.84753215</v>
      </c>
      <c r="BE86" s="1026">
        <v>0</v>
      </c>
      <c r="BL86" s="1026">
        <v>0</v>
      </c>
      <c r="BM86" s="1026">
        <v>0</v>
      </c>
      <c r="BT86" s="1026">
        <v>0</v>
      </c>
      <c r="BU86" s="1026">
        <v>0</v>
      </c>
      <c r="CC86" s="1026">
        <v>0</v>
      </c>
      <c r="CD86" s="1026">
        <v>0</v>
      </c>
      <c r="CF86" s="1026">
        <v>0</v>
      </c>
      <c r="CJ86" s="1026">
        <v>0</v>
      </c>
      <c r="CL86" s="1026">
        <v>0</v>
      </c>
      <c r="CM86" s="1026">
        <v>0</v>
      </c>
      <c r="CQ86" s="1026">
        <v>39324853.293875314</v>
      </c>
      <c r="CS86" s="1026">
        <v>39324853.293875314</v>
      </c>
      <c r="CU86" s="1026">
        <v>532768669.65199876</v>
      </c>
      <c r="CV86" s="1026">
        <v>363376386.77534425</v>
      </c>
      <c r="CW86" s="1026">
        <v>169392282.87665454</v>
      </c>
      <c r="CY86" s="1026">
        <v>0</v>
      </c>
      <c r="DA86" s="1026">
        <v>0</v>
      </c>
      <c r="DE86" s="1026">
        <v>0</v>
      </c>
      <c r="DI86" s="1026">
        <v>0</v>
      </c>
      <c r="DN86" s="1026">
        <v>0</v>
      </c>
      <c r="DP86" s="1026">
        <v>0</v>
      </c>
      <c r="DT86" s="1026">
        <v>0</v>
      </c>
      <c r="DY86" s="1026">
        <v>66080298.177999996</v>
      </c>
      <c r="EA86" s="1026">
        <v>0</v>
      </c>
      <c r="EB86" s="1026">
        <v>0</v>
      </c>
      <c r="ED86" s="1026">
        <v>63727755.159999996</v>
      </c>
      <c r="EE86" s="1026">
        <v>2352543.0180000002</v>
      </c>
      <c r="EH86" s="1026">
        <v>311795358.8179847</v>
      </c>
      <c r="EI86" s="1026">
        <v>130109452.588493</v>
      </c>
      <c r="EJ86" s="1026">
        <v>116753914.0101687</v>
      </c>
      <c r="EK86" s="1026">
        <v>64931992.219322965</v>
      </c>
      <c r="EM86" s="1026">
        <v>392620999.66002434</v>
      </c>
      <c r="ES86" s="1027">
        <v>2686013106.6113253</v>
      </c>
    </row>
    <row r="87" spans="5:149">
      <c r="E87" s="1790">
        <v>44166</v>
      </c>
      <c r="G87" s="1375">
        <v>41914274.240000002</v>
      </c>
      <c r="I87" s="1026">
        <v>598389661.95725965</v>
      </c>
      <c r="J87" s="1026">
        <v>598389661.95725965</v>
      </c>
      <c r="M87" s="1026">
        <v>7303101.7702919394</v>
      </c>
      <c r="N87" s="1026">
        <v>7303101.7702919394</v>
      </c>
      <c r="O87" s="1026">
        <v>7303101.7702919394</v>
      </c>
      <c r="Q87" s="1026">
        <v>0</v>
      </c>
      <c r="T87" s="1026">
        <v>0</v>
      </c>
      <c r="X87" s="1026">
        <v>0</v>
      </c>
      <c r="Y87" s="1026">
        <v>0</v>
      </c>
      <c r="AB87" s="1026">
        <v>0</v>
      </c>
      <c r="AF87" s="1026">
        <v>0</v>
      </c>
      <c r="AK87" s="1026">
        <v>0</v>
      </c>
      <c r="AO87" s="1026">
        <v>262511164.12047306</v>
      </c>
      <c r="AP87" s="1026">
        <v>168844355.352112</v>
      </c>
      <c r="AQ87" s="1026">
        <v>93666808.768361062</v>
      </c>
      <c r="AR87" s="1026">
        <v>93666808.768361062</v>
      </c>
      <c r="AS87" s="1026">
        <v>0</v>
      </c>
      <c r="AY87" s="1026">
        <v>255986509.03204435</v>
      </c>
      <c r="AZ87" s="1026">
        <v>0</v>
      </c>
      <c r="BC87" s="1026">
        <v>49290496.575315937</v>
      </c>
      <c r="BD87" s="1026">
        <v>206696012.45672843</v>
      </c>
      <c r="BE87" s="1026">
        <v>0</v>
      </c>
      <c r="BL87" s="1026">
        <v>0</v>
      </c>
      <c r="BM87" s="1026">
        <v>0</v>
      </c>
      <c r="BT87" s="1026">
        <v>0</v>
      </c>
      <c r="BU87" s="1026">
        <v>0</v>
      </c>
      <c r="CC87" s="1026">
        <v>0</v>
      </c>
      <c r="CD87" s="1026">
        <v>0</v>
      </c>
      <c r="CF87" s="1026">
        <v>0</v>
      </c>
      <c r="CJ87" s="1026">
        <v>0</v>
      </c>
      <c r="CL87" s="1026">
        <v>0</v>
      </c>
      <c r="CM87" s="1026">
        <v>0</v>
      </c>
      <c r="CQ87" s="1026">
        <v>78749988.235952586</v>
      </c>
      <c r="CS87" s="1026">
        <v>78749988.235952586</v>
      </c>
      <c r="CU87" s="1026">
        <v>804587939.47043395</v>
      </c>
      <c r="CV87" s="1026">
        <v>639145678.22451496</v>
      </c>
      <c r="CW87" s="1026">
        <v>165442261.24591902</v>
      </c>
      <c r="CY87" s="1026">
        <v>0</v>
      </c>
      <c r="DA87" s="1026">
        <v>0</v>
      </c>
      <c r="DE87" s="1026">
        <v>0</v>
      </c>
      <c r="DI87" s="1026">
        <v>0</v>
      </c>
      <c r="DN87" s="1026">
        <v>0</v>
      </c>
      <c r="DP87" s="1026">
        <v>0</v>
      </c>
      <c r="DT87" s="1026">
        <v>0</v>
      </c>
      <c r="DY87" s="1026">
        <v>100641225.617</v>
      </c>
      <c r="EA87" s="1026">
        <v>0</v>
      </c>
      <c r="EB87" s="1026">
        <v>0</v>
      </c>
      <c r="ED87" s="1026">
        <v>98227843.659999996</v>
      </c>
      <c r="EE87" s="1026">
        <v>2413381.9569999999</v>
      </c>
      <c r="EH87" s="1026">
        <v>349425178.71333712</v>
      </c>
      <c r="EI87" s="1026">
        <v>136062148.62681699</v>
      </c>
      <c r="EJ87" s="1026">
        <v>114917248.2167915</v>
      </c>
      <c r="EK87" s="1026">
        <v>98445781.86972861</v>
      </c>
      <c r="EM87" s="1026">
        <v>403306239.36158448</v>
      </c>
      <c r="ES87" s="1027">
        <v>2902815282.5183773</v>
      </c>
    </row>
    <row r="88" spans="5:149">
      <c r="E88" s="1790">
        <v>44197</v>
      </c>
      <c r="G88" s="1375">
        <v>57124678.040000007</v>
      </c>
      <c r="I88" s="1026">
        <v>540420022.87661207</v>
      </c>
      <c r="J88" s="1026">
        <v>540420022.87661207</v>
      </c>
      <c r="M88" s="1026">
        <v>12572608.489466697</v>
      </c>
      <c r="N88" s="1026">
        <v>12572608.489466697</v>
      </c>
      <c r="O88" s="1026">
        <v>12572608.489466697</v>
      </c>
      <c r="Q88" s="1026">
        <v>0</v>
      </c>
      <c r="T88" s="1026">
        <v>0</v>
      </c>
      <c r="X88" s="1026">
        <v>0</v>
      </c>
      <c r="Y88" s="1026">
        <v>0</v>
      </c>
      <c r="AB88" s="1026">
        <v>0</v>
      </c>
      <c r="AF88" s="1026">
        <v>0</v>
      </c>
      <c r="AK88" s="1026">
        <v>0</v>
      </c>
      <c r="AO88" s="1026">
        <v>360474455.9091903</v>
      </c>
      <c r="AP88" s="1026">
        <v>225034276.53851998</v>
      </c>
      <c r="AQ88" s="1026">
        <v>135440179.37067029</v>
      </c>
      <c r="AR88" s="1026">
        <v>135440179.37067029</v>
      </c>
      <c r="AS88" s="1026">
        <v>0</v>
      </c>
      <c r="AY88" s="1026">
        <v>256657878.14811757</v>
      </c>
      <c r="AZ88" s="1026">
        <v>0</v>
      </c>
      <c r="BC88" s="1026">
        <v>50000000</v>
      </c>
      <c r="BD88" s="1026">
        <v>206657878.14811757</v>
      </c>
      <c r="BE88" s="1026">
        <v>0</v>
      </c>
      <c r="BL88" s="1026">
        <v>0</v>
      </c>
      <c r="BM88" s="1026">
        <v>0</v>
      </c>
      <c r="BT88" s="1026">
        <v>0</v>
      </c>
      <c r="BU88" s="1026">
        <v>0</v>
      </c>
      <c r="CC88" s="1026">
        <v>0</v>
      </c>
      <c r="CD88" s="1026">
        <v>0</v>
      </c>
      <c r="CF88" s="1026">
        <v>0</v>
      </c>
      <c r="CJ88" s="1026">
        <v>0</v>
      </c>
      <c r="CL88" s="1026">
        <v>0</v>
      </c>
      <c r="CM88" s="1026">
        <v>0</v>
      </c>
      <c r="CQ88" s="1026">
        <v>29355337.483158331</v>
      </c>
      <c r="CS88" s="1026">
        <v>29355337.483158331</v>
      </c>
      <c r="CU88" s="1026">
        <v>861964879.39708173</v>
      </c>
      <c r="CV88" s="1026">
        <v>701678852.25066996</v>
      </c>
      <c r="CW88" s="1026">
        <v>160286027.14641175</v>
      </c>
      <c r="CY88" s="1026">
        <v>0</v>
      </c>
      <c r="DA88" s="1026">
        <v>0</v>
      </c>
      <c r="DE88" s="1026">
        <v>0</v>
      </c>
      <c r="DI88" s="1026">
        <v>0</v>
      </c>
      <c r="DN88" s="1026">
        <v>0</v>
      </c>
      <c r="DP88" s="1026">
        <v>0</v>
      </c>
      <c r="DT88" s="1026">
        <v>0</v>
      </c>
      <c r="DY88" s="1026">
        <v>149341126.37450799</v>
      </c>
      <c r="EA88" s="1026">
        <v>0</v>
      </c>
      <c r="EB88" s="1026">
        <v>0</v>
      </c>
      <c r="ED88" s="1026">
        <v>137936248.19999999</v>
      </c>
      <c r="EE88" s="1026">
        <v>11404878.174507998</v>
      </c>
      <c r="EH88" s="1026">
        <v>344889203.84000003</v>
      </c>
      <c r="EI88" s="1026">
        <v>135305634.16</v>
      </c>
      <c r="EJ88" s="1026">
        <v>112923998.18000001</v>
      </c>
      <c r="EK88" s="1026">
        <v>96659571.5</v>
      </c>
      <c r="EM88" s="1026">
        <v>557715223.54713905</v>
      </c>
      <c r="ES88" s="1027">
        <v>3170515414.1052737</v>
      </c>
    </row>
    <row r="89" spans="5:149">
      <c r="E89" s="1790">
        <v>44228</v>
      </c>
      <c r="G89" s="1375">
        <v>69432667.469999999</v>
      </c>
      <c r="I89" s="1026">
        <v>793719179.17366636</v>
      </c>
      <c r="J89" s="1026">
        <v>793719179.17366636</v>
      </c>
      <c r="M89" s="1026">
        <v>57815614.306666523</v>
      </c>
      <c r="N89" s="1026">
        <v>57815614.306666523</v>
      </c>
      <c r="O89" s="1026">
        <v>57815614.306666523</v>
      </c>
      <c r="Q89" s="1026">
        <v>0</v>
      </c>
      <c r="T89" s="1026">
        <v>0</v>
      </c>
      <c r="X89" s="1026">
        <v>0</v>
      </c>
      <c r="Y89" s="1026">
        <v>0</v>
      </c>
      <c r="AB89" s="1026">
        <v>0</v>
      </c>
      <c r="AF89" s="1026">
        <v>0</v>
      </c>
      <c r="AK89" s="1026">
        <v>0</v>
      </c>
      <c r="AO89" s="1026">
        <v>366091040.2727834</v>
      </c>
      <c r="AP89" s="1026">
        <v>317751559.32638395</v>
      </c>
      <c r="AQ89" s="1026">
        <v>48339480.94639948</v>
      </c>
      <c r="AR89" s="1026">
        <v>48339480.94639948</v>
      </c>
      <c r="AS89" s="1026">
        <v>0</v>
      </c>
      <c r="AY89" s="1026">
        <v>362505089.84222186</v>
      </c>
      <c r="AZ89" s="1026">
        <v>0</v>
      </c>
      <c r="BC89" s="1026">
        <v>155847211.69410431</v>
      </c>
      <c r="BD89" s="1026">
        <v>206657878.14811757</v>
      </c>
      <c r="BE89" s="1026">
        <v>0</v>
      </c>
      <c r="BL89" s="1026">
        <v>0</v>
      </c>
      <c r="BM89" s="1026">
        <v>0</v>
      </c>
      <c r="BT89" s="1026">
        <v>0</v>
      </c>
      <c r="BU89" s="1026">
        <v>0</v>
      </c>
      <c r="CC89" s="1026">
        <v>0</v>
      </c>
      <c r="CD89" s="1026">
        <v>0</v>
      </c>
      <c r="CF89" s="1026">
        <v>0</v>
      </c>
      <c r="CJ89" s="1026">
        <v>0</v>
      </c>
      <c r="CL89" s="1026">
        <v>0</v>
      </c>
      <c r="CM89" s="1026">
        <v>0</v>
      </c>
      <c r="CQ89" s="1026">
        <v>14380694.833158333</v>
      </c>
      <c r="CS89" s="1026">
        <v>14380694.833158333</v>
      </c>
      <c r="CU89" s="1026">
        <v>901425180.33708179</v>
      </c>
      <c r="CV89" s="1026">
        <v>759435093.43856001</v>
      </c>
      <c r="CW89" s="1026">
        <v>141990086.89852175</v>
      </c>
      <c r="CY89" s="1026">
        <v>0</v>
      </c>
      <c r="DA89" s="1026">
        <v>0</v>
      </c>
      <c r="DE89" s="1026">
        <v>0</v>
      </c>
      <c r="DI89" s="1026">
        <v>0</v>
      </c>
      <c r="DN89" s="1026">
        <v>0</v>
      </c>
      <c r="DP89" s="1026">
        <v>0</v>
      </c>
      <c r="DT89" s="1026">
        <v>0</v>
      </c>
      <c r="DY89" s="1026">
        <v>174966084.82932398</v>
      </c>
      <c r="EA89" s="1026">
        <v>0</v>
      </c>
      <c r="EB89" s="1026">
        <v>0</v>
      </c>
      <c r="ED89" s="1026">
        <v>163383853.22999999</v>
      </c>
      <c r="EE89" s="1026">
        <v>11582231.599323999</v>
      </c>
      <c r="EH89" s="1026">
        <v>483176218.01239181</v>
      </c>
      <c r="EI89" s="1026">
        <v>174027534.32220101</v>
      </c>
      <c r="EJ89" s="1026">
        <v>197281337.26407701</v>
      </c>
      <c r="EK89" s="1026">
        <v>111867346.42611375</v>
      </c>
      <c r="EM89" s="1026">
        <v>443666715.55111104</v>
      </c>
      <c r="ES89" s="1027">
        <v>3667178484.6284046</v>
      </c>
    </row>
    <row r="90" spans="5:149">
      <c r="E90" s="1790">
        <v>44256</v>
      </c>
      <c r="G90" s="1375">
        <v>44652614.770000003</v>
      </c>
      <c r="I90" s="1026">
        <v>239396519.35573703</v>
      </c>
      <c r="J90" s="1026">
        <v>239396519.35573703</v>
      </c>
      <c r="M90" s="1026">
        <v>23043663.650637731</v>
      </c>
      <c r="N90" s="1026">
        <v>23043663.650637731</v>
      </c>
      <c r="O90" s="1026">
        <v>23043663.650637731</v>
      </c>
      <c r="Q90" s="1026">
        <v>0</v>
      </c>
      <c r="T90" s="1026">
        <v>0</v>
      </c>
      <c r="X90" s="1026">
        <v>0</v>
      </c>
      <c r="Y90" s="1026">
        <v>0</v>
      </c>
      <c r="AB90" s="1026">
        <v>0</v>
      </c>
      <c r="AF90" s="1026">
        <v>0</v>
      </c>
      <c r="AK90" s="1026">
        <v>0</v>
      </c>
      <c r="AO90" s="1026">
        <v>392240191.90577626</v>
      </c>
      <c r="AP90" s="1026">
        <v>304891394.84850299</v>
      </c>
      <c r="AQ90" s="1026">
        <v>87348797.057273269</v>
      </c>
      <c r="AR90" s="1026">
        <v>87348797.057273269</v>
      </c>
      <c r="AS90" s="1026">
        <v>0</v>
      </c>
      <c r="AY90" s="1026">
        <v>370930969.57865059</v>
      </c>
      <c r="AZ90" s="1026">
        <v>0</v>
      </c>
      <c r="BC90" s="1026">
        <v>134677483.42246693</v>
      </c>
      <c r="BD90" s="1026">
        <v>236253486.15618363</v>
      </c>
      <c r="BE90" s="1026">
        <v>0</v>
      </c>
      <c r="BL90" s="1026">
        <v>0</v>
      </c>
      <c r="BM90" s="1026">
        <v>0</v>
      </c>
      <c r="BT90" s="1026">
        <v>0</v>
      </c>
      <c r="BU90" s="1026">
        <v>0</v>
      </c>
      <c r="CC90" s="1026">
        <v>0</v>
      </c>
      <c r="CD90" s="1026">
        <v>0</v>
      </c>
      <c r="CF90" s="1026">
        <v>0</v>
      </c>
      <c r="CJ90" s="1026">
        <v>0</v>
      </c>
      <c r="CL90" s="1026">
        <v>0</v>
      </c>
      <c r="CM90" s="1026">
        <v>0</v>
      </c>
      <c r="CQ90" s="1026">
        <v>54072688.756750003</v>
      </c>
      <c r="CS90" s="1026">
        <v>54072688.756750003</v>
      </c>
      <c r="CU90" s="1026">
        <v>1366041679.3251464</v>
      </c>
      <c r="CV90" s="1026">
        <v>1205904275.8082886</v>
      </c>
      <c r="CW90" s="1026">
        <v>160137403.51685786</v>
      </c>
      <c r="CY90" s="1026">
        <v>0</v>
      </c>
      <c r="DA90" s="1026">
        <v>0</v>
      </c>
      <c r="DE90" s="1026">
        <v>0</v>
      </c>
      <c r="DI90" s="1026">
        <v>0</v>
      </c>
      <c r="DN90" s="1026">
        <v>0</v>
      </c>
      <c r="DP90" s="1026">
        <v>0</v>
      </c>
      <c r="DT90" s="1026">
        <v>0</v>
      </c>
      <c r="DY90" s="1026">
        <v>249830927.12704298</v>
      </c>
      <c r="EA90" s="1026">
        <v>0</v>
      </c>
      <c r="EB90" s="1026">
        <v>0</v>
      </c>
      <c r="ED90" s="1026">
        <v>238268001.38999999</v>
      </c>
      <c r="EE90" s="1026">
        <v>11562925.737042999</v>
      </c>
      <c r="EH90" s="1026">
        <v>526680207.12318325</v>
      </c>
      <c r="EI90" s="1026">
        <v>173394090.94989401</v>
      </c>
      <c r="EJ90" s="1026">
        <v>211309424.42843401</v>
      </c>
      <c r="EK90" s="1026">
        <v>141976691.74485523</v>
      </c>
      <c r="EM90" s="1026">
        <v>436399633.50486094</v>
      </c>
      <c r="ES90" s="1027">
        <v>3703289095.097785</v>
      </c>
    </row>
    <row r="91" spans="5:149">
      <c r="E91" s="1790">
        <v>44287</v>
      </c>
      <c r="G91" s="1375">
        <v>61922994.619999997</v>
      </c>
      <c r="I91" s="1026">
        <v>434780742.68982828</v>
      </c>
      <c r="J91" s="1026">
        <v>434780742.68982828</v>
      </c>
      <c r="M91" s="1026">
        <v>35047422.510470316</v>
      </c>
      <c r="N91" s="1026">
        <v>35047422.510470316</v>
      </c>
      <c r="O91" s="1026">
        <v>35047422.510470316</v>
      </c>
      <c r="Q91" s="1026">
        <v>0</v>
      </c>
      <c r="T91" s="1026">
        <v>0</v>
      </c>
      <c r="X91" s="1026">
        <v>0</v>
      </c>
      <c r="Y91" s="1026">
        <v>0</v>
      </c>
      <c r="AB91" s="1026">
        <v>0</v>
      </c>
      <c r="AF91" s="1026">
        <v>0</v>
      </c>
      <c r="AK91" s="1026">
        <v>0</v>
      </c>
      <c r="AO91" s="1026">
        <v>337273642.83728671</v>
      </c>
      <c r="AP91" s="1026">
        <v>253356953.99199402</v>
      </c>
      <c r="AQ91" s="1026">
        <v>83916688.845292687</v>
      </c>
      <c r="AR91" s="1026">
        <v>83916688.845292687</v>
      </c>
      <c r="AS91" s="1026">
        <v>0</v>
      </c>
      <c r="AY91" s="1026">
        <v>245084985.10507351</v>
      </c>
      <c r="AZ91" s="1026">
        <v>0</v>
      </c>
      <c r="BC91" s="1026">
        <v>8831498.9488898851</v>
      </c>
      <c r="BD91" s="1026">
        <v>236253486.15618363</v>
      </c>
      <c r="BE91" s="1026">
        <v>0</v>
      </c>
      <c r="BL91" s="1026">
        <v>0</v>
      </c>
      <c r="BM91" s="1026">
        <v>0</v>
      </c>
      <c r="BT91" s="1026">
        <v>0</v>
      </c>
      <c r="BU91" s="1026">
        <v>0</v>
      </c>
      <c r="CC91" s="1026">
        <v>0</v>
      </c>
      <c r="CD91" s="1026">
        <v>0</v>
      </c>
      <c r="CF91" s="1026">
        <v>0</v>
      </c>
      <c r="CJ91" s="1026">
        <v>0</v>
      </c>
      <c r="CL91" s="1026">
        <v>0</v>
      </c>
      <c r="CM91" s="1026">
        <v>0</v>
      </c>
      <c r="CQ91" s="1026">
        <v>34325060.284444049</v>
      </c>
      <c r="CS91" s="1026">
        <v>34325060.284444049</v>
      </c>
      <c r="CU91" s="1026">
        <v>1423813786.462786</v>
      </c>
      <c r="CV91" s="1026">
        <v>1262573422.4452062</v>
      </c>
      <c r="CW91" s="1026">
        <v>161240364.01757985</v>
      </c>
      <c r="CY91" s="1026">
        <v>0</v>
      </c>
      <c r="DA91" s="1026">
        <v>0</v>
      </c>
      <c r="DE91" s="1026">
        <v>0</v>
      </c>
      <c r="DI91" s="1026">
        <v>0</v>
      </c>
      <c r="DN91" s="1026">
        <v>0</v>
      </c>
      <c r="DP91" s="1026">
        <v>0</v>
      </c>
      <c r="DT91" s="1026">
        <v>0</v>
      </c>
      <c r="DY91" s="1026">
        <v>230752815.33537599</v>
      </c>
      <c r="EA91" s="1026">
        <v>0</v>
      </c>
      <c r="EB91" s="1026">
        <v>0</v>
      </c>
      <c r="ED91" s="1026">
        <v>219092983.31</v>
      </c>
      <c r="EE91" s="1026">
        <v>11659832.025376001</v>
      </c>
      <c r="EH91" s="1026">
        <v>537359685.12812471</v>
      </c>
      <c r="EI91" s="1026">
        <v>175630314.447586</v>
      </c>
      <c r="EJ91" s="1026">
        <v>221932968.410492</v>
      </c>
      <c r="EK91" s="1026">
        <v>139796402.27004668</v>
      </c>
      <c r="EM91" s="1026">
        <v>478992953.69038874</v>
      </c>
      <c r="ES91" s="1027">
        <v>3819354088.6637778</v>
      </c>
    </row>
    <row r="92" spans="5:149">
      <c r="E92" s="1790">
        <v>44317</v>
      </c>
      <c r="G92" s="1375">
        <v>47707135.469999999</v>
      </c>
      <c r="I92" s="1026">
        <v>757133323.18565214</v>
      </c>
      <c r="J92" s="1026">
        <v>757133323.18565214</v>
      </c>
      <c r="M92" s="1026">
        <v>163322512.78430334</v>
      </c>
      <c r="N92" s="1026">
        <v>163322512.78430334</v>
      </c>
      <c r="O92" s="1026">
        <v>163322512.78430334</v>
      </c>
      <c r="Q92" s="1026">
        <v>0</v>
      </c>
      <c r="T92" s="1026">
        <v>0</v>
      </c>
      <c r="X92" s="1026">
        <v>0</v>
      </c>
      <c r="Y92" s="1026">
        <v>0</v>
      </c>
      <c r="AB92" s="1026">
        <v>0</v>
      </c>
      <c r="AF92" s="1026">
        <v>0</v>
      </c>
      <c r="AK92" s="1026">
        <v>0</v>
      </c>
      <c r="AO92" s="1026">
        <v>266953725.31476367</v>
      </c>
      <c r="AP92" s="1026">
        <v>214297480.55027699</v>
      </c>
      <c r="AQ92" s="1026">
        <v>52656244.76448667</v>
      </c>
      <c r="AR92" s="1026">
        <v>52656244.76448667</v>
      </c>
      <c r="AS92" s="1026">
        <v>0</v>
      </c>
      <c r="AY92" s="1026">
        <v>232920152.82618365</v>
      </c>
      <c r="AZ92" s="1026">
        <v>0</v>
      </c>
      <c r="BC92" s="1026">
        <v>0</v>
      </c>
      <c r="BD92" s="1026">
        <v>232920152.82618365</v>
      </c>
      <c r="BE92" s="1026">
        <v>0</v>
      </c>
      <c r="BL92" s="1026">
        <v>0</v>
      </c>
      <c r="BM92" s="1026">
        <v>0</v>
      </c>
      <c r="BT92" s="1026">
        <v>0</v>
      </c>
      <c r="BU92" s="1026">
        <v>0</v>
      </c>
      <c r="CC92" s="1026">
        <v>0</v>
      </c>
      <c r="CD92" s="1026">
        <v>0</v>
      </c>
      <c r="CF92" s="1026">
        <v>0</v>
      </c>
      <c r="CJ92" s="1026">
        <v>0</v>
      </c>
      <c r="CL92" s="1026">
        <v>0</v>
      </c>
      <c r="CM92" s="1026">
        <v>0</v>
      </c>
      <c r="CQ92" s="1026">
        <v>34275896.664451897</v>
      </c>
      <c r="CS92" s="1026">
        <v>34275896.664451897</v>
      </c>
      <c r="CU92" s="1026">
        <v>1407994202.5705614</v>
      </c>
      <c r="CV92" s="1026">
        <v>1274163007.1216063</v>
      </c>
      <c r="CW92" s="1026">
        <v>133831195.448955</v>
      </c>
      <c r="CY92" s="1026">
        <v>0</v>
      </c>
      <c r="DA92" s="1026">
        <v>0</v>
      </c>
      <c r="DE92" s="1026">
        <v>0</v>
      </c>
      <c r="DI92" s="1026">
        <v>0</v>
      </c>
      <c r="DN92" s="1026">
        <v>0</v>
      </c>
      <c r="DP92" s="1026">
        <v>0</v>
      </c>
      <c r="DT92" s="1026">
        <v>0</v>
      </c>
      <c r="DY92" s="1026">
        <v>273991413.20413703</v>
      </c>
      <c r="EA92" s="1026">
        <v>0</v>
      </c>
      <c r="EB92" s="1026">
        <v>0</v>
      </c>
      <c r="ED92" s="1026">
        <v>262283969.55000001</v>
      </c>
      <c r="EE92" s="1026">
        <v>11707443.654137</v>
      </c>
      <c r="EH92" s="1026">
        <v>540677972.3492111</v>
      </c>
      <c r="EI92" s="1026">
        <v>174638868.715278</v>
      </c>
      <c r="EJ92" s="1026">
        <v>217809310.28449601</v>
      </c>
      <c r="EK92" s="1026">
        <v>148229793.34943709</v>
      </c>
      <c r="EM92" s="1026">
        <v>565726423.72772002</v>
      </c>
      <c r="ES92" s="1027">
        <v>4290702758.0969839</v>
      </c>
    </row>
    <row r="93" spans="5:149">
      <c r="E93" s="1790">
        <v>44348</v>
      </c>
      <c r="G93" s="1375">
        <v>33879900.269999996</v>
      </c>
      <c r="I93" s="1026">
        <v>177981511.11744606</v>
      </c>
      <c r="J93" s="1026">
        <v>177981511.11744606</v>
      </c>
      <c r="M93" s="1026">
        <v>213220523.39261967</v>
      </c>
      <c r="N93" s="1026">
        <v>213220523.39261967</v>
      </c>
      <c r="O93" s="1026">
        <v>213220523.39261967</v>
      </c>
      <c r="Q93" s="1026">
        <v>0</v>
      </c>
      <c r="T93" s="1026">
        <v>0</v>
      </c>
      <c r="X93" s="1026">
        <v>0</v>
      </c>
      <c r="Y93" s="1026">
        <v>0</v>
      </c>
      <c r="AB93" s="1026">
        <v>0</v>
      </c>
      <c r="AF93" s="1026">
        <v>0</v>
      </c>
      <c r="AK93" s="1026">
        <v>0</v>
      </c>
      <c r="AO93" s="1026">
        <v>231216886.93686634</v>
      </c>
      <c r="AP93" s="1026">
        <v>153344138.77455699</v>
      </c>
      <c r="AQ93" s="1026">
        <v>77872748.162309334</v>
      </c>
      <c r="AR93" s="1026">
        <v>77872748.162309334</v>
      </c>
      <c r="AS93" s="1026">
        <v>0</v>
      </c>
      <c r="AY93" s="1026">
        <v>252915173.3865079</v>
      </c>
      <c r="AZ93" s="1026">
        <v>0</v>
      </c>
      <c r="BC93" s="1026">
        <v>0</v>
      </c>
      <c r="BD93" s="1026">
        <v>252915173.3865079</v>
      </c>
      <c r="BE93" s="1026">
        <v>0</v>
      </c>
      <c r="BL93" s="1026">
        <v>0</v>
      </c>
      <c r="BM93" s="1026">
        <v>0</v>
      </c>
      <c r="BT93" s="1026">
        <v>0</v>
      </c>
      <c r="BU93" s="1026">
        <v>0</v>
      </c>
      <c r="CC93" s="1026">
        <v>0</v>
      </c>
      <c r="CD93" s="1026">
        <v>0</v>
      </c>
      <c r="CF93" s="1026">
        <v>0</v>
      </c>
      <c r="CJ93" s="1026">
        <v>0</v>
      </c>
      <c r="CL93" s="1026">
        <v>0</v>
      </c>
      <c r="CM93" s="1026">
        <v>0</v>
      </c>
      <c r="CQ93" s="1026">
        <v>73770374.094999999</v>
      </c>
      <c r="CS93" s="1026">
        <v>73770374.094999999</v>
      </c>
      <c r="CU93" s="1026">
        <v>1553187459.1205668</v>
      </c>
      <c r="CV93" s="1026">
        <v>1265135204.5437</v>
      </c>
      <c r="CW93" s="1026">
        <v>288052254.57686698</v>
      </c>
      <c r="CY93" s="1026">
        <v>0</v>
      </c>
      <c r="DA93" s="1026">
        <v>0</v>
      </c>
      <c r="DE93" s="1026">
        <v>0</v>
      </c>
      <c r="DI93" s="1026">
        <v>0</v>
      </c>
      <c r="DN93" s="1026">
        <v>704289107.24000001</v>
      </c>
      <c r="DP93" s="1026">
        <v>704289107.24000001</v>
      </c>
      <c r="DQ93" s="1026">
        <v>704289107.24000001</v>
      </c>
      <c r="DT93" s="1026">
        <v>0</v>
      </c>
      <c r="DY93" s="1026">
        <v>292856813.10706204</v>
      </c>
      <c r="EA93" s="1026">
        <v>0</v>
      </c>
      <c r="EB93" s="1026">
        <v>0</v>
      </c>
      <c r="ED93" s="1026">
        <v>281113904.04000002</v>
      </c>
      <c r="EE93" s="1026">
        <v>11742909.067062</v>
      </c>
      <c r="EF93" s="1026">
        <v>0</v>
      </c>
      <c r="EH93" s="1026">
        <v>553132663.6603682</v>
      </c>
      <c r="EI93" s="1026">
        <v>195569667.72359598</v>
      </c>
      <c r="EJ93" s="1026">
        <v>213496812.417768</v>
      </c>
      <c r="EK93" s="1026">
        <v>144066183.5190042</v>
      </c>
      <c r="EM93" s="1026">
        <v>508129277.83956861</v>
      </c>
      <c r="ES93" s="1027">
        <v>4594579690.1660061</v>
      </c>
    </row>
    <row r="94" spans="5:149">
      <c r="E94" s="1790">
        <v>44378</v>
      </c>
      <c r="G94" s="1375">
        <v>61492463.920000002</v>
      </c>
      <c r="I94" s="1026">
        <v>359469524.93528599</v>
      </c>
      <c r="J94" s="1026">
        <v>359469524.93528599</v>
      </c>
      <c r="M94" s="1026">
        <v>11111241.825001836</v>
      </c>
      <c r="N94" s="1026">
        <v>11111241.825001836</v>
      </c>
      <c r="O94" s="1026">
        <v>11111241.825001836</v>
      </c>
      <c r="Q94" s="1026">
        <v>0</v>
      </c>
      <c r="T94" s="1026">
        <v>0</v>
      </c>
      <c r="X94" s="1026">
        <v>0</v>
      </c>
      <c r="Y94" s="1026">
        <v>0</v>
      </c>
      <c r="AB94" s="1026">
        <v>0</v>
      </c>
      <c r="AF94" s="1026">
        <v>0</v>
      </c>
      <c r="AK94" s="1026">
        <v>0</v>
      </c>
      <c r="AO94" s="1026">
        <v>416763757.07801515</v>
      </c>
      <c r="AP94" s="1026">
        <v>196186897.99778098</v>
      </c>
      <c r="AQ94" s="1026">
        <v>220576859.08023417</v>
      </c>
      <c r="AR94" s="1026">
        <v>220576859.08023417</v>
      </c>
      <c r="AS94" s="1026">
        <v>0</v>
      </c>
      <c r="AY94" s="1026">
        <v>351611293.99000001</v>
      </c>
      <c r="AZ94" s="1026">
        <v>0</v>
      </c>
      <c r="BC94" s="1026">
        <v>0</v>
      </c>
      <c r="BD94" s="1026">
        <v>351611293.99000001</v>
      </c>
      <c r="BE94" s="1026">
        <v>0</v>
      </c>
      <c r="BL94" s="1026">
        <v>0</v>
      </c>
      <c r="BM94" s="1026">
        <v>0</v>
      </c>
      <c r="BT94" s="1026">
        <v>0</v>
      </c>
      <c r="BU94" s="1026">
        <v>0</v>
      </c>
      <c r="CC94" s="1026">
        <v>0</v>
      </c>
      <c r="CD94" s="1026">
        <v>0</v>
      </c>
      <c r="CF94" s="1026">
        <v>0</v>
      </c>
      <c r="CJ94" s="1026">
        <v>0</v>
      </c>
      <c r="CL94" s="1026">
        <v>0</v>
      </c>
      <c r="CM94" s="1026">
        <v>0</v>
      </c>
      <c r="CQ94" s="1026">
        <v>49090174.439999998</v>
      </c>
      <c r="CS94" s="1026">
        <v>49090174.439999998</v>
      </c>
      <c r="CU94" s="1026">
        <v>1569402850.89044</v>
      </c>
      <c r="CV94" s="1026">
        <v>1308974846.9504399</v>
      </c>
      <c r="CW94" s="1026">
        <v>260428003.94</v>
      </c>
      <c r="CY94" s="1026">
        <v>0</v>
      </c>
      <c r="DA94" s="1026">
        <v>0</v>
      </c>
      <c r="DE94" s="1026">
        <v>0</v>
      </c>
      <c r="DI94" s="1026">
        <v>0</v>
      </c>
      <c r="DN94" s="1026">
        <v>769428936.45000005</v>
      </c>
      <c r="DP94" s="1026">
        <v>769428936.45000005</v>
      </c>
      <c r="DQ94" s="1026">
        <v>769428936.45000005</v>
      </c>
      <c r="DT94" s="1026">
        <v>0</v>
      </c>
      <c r="DY94" s="1026">
        <v>330796568.35328603</v>
      </c>
      <c r="EA94" s="1026">
        <v>0</v>
      </c>
      <c r="EB94" s="1026">
        <v>0</v>
      </c>
      <c r="ED94" s="1026">
        <v>319028584.43000001</v>
      </c>
      <c r="EE94" s="1026">
        <v>11767983.923286</v>
      </c>
      <c r="EF94" s="1026">
        <v>0</v>
      </c>
      <c r="EH94" s="1026">
        <v>567749245.28399992</v>
      </c>
      <c r="EI94" s="1026">
        <v>202499362.44</v>
      </c>
      <c r="EJ94" s="1026">
        <v>221982694.39999998</v>
      </c>
      <c r="EK94" s="1026">
        <v>143267188.44400001</v>
      </c>
      <c r="EM94" s="1026">
        <v>789463301.10206902</v>
      </c>
      <c r="ES94" s="1027">
        <v>5276379358.2680979</v>
      </c>
    </row>
    <row r="95" spans="5:149">
      <c r="E95" s="1790">
        <v>44409</v>
      </c>
      <c r="G95" s="1375">
        <v>60580617.009999998</v>
      </c>
      <c r="I95" s="1026">
        <v>494157929.9077571</v>
      </c>
      <c r="J95" s="1026">
        <v>494157929.9077571</v>
      </c>
      <c r="M95" s="1026">
        <v>269091409.19676799</v>
      </c>
      <c r="N95" s="1026">
        <v>269091409.19676799</v>
      </c>
      <c r="O95" s="1026">
        <v>269091409.19676799</v>
      </c>
      <c r="Q95" s="1026">
        <v>0</v>
      </c>
      <c r="T95" s="1026">
        <v>0</v>
      </c>
      <c r="X95" s="1026">
        <v>0</v>
      </c>
      <c r="Y95" s="1026">
        <v>0</v>
      </c>
      <c r="AB95" s="1026">
        <v>0</v>
      </c>
      <c r="AF95" s="1026">
        <v>0</v>
      </c>
      <c r="AK95" s="1026">
        <v>0</v>
      </c>
      <c r="AO95" s="1026">
        <v>225773551.01788503</v>
      </c>
      <c r="AP95" s="1026">
        <v>179744492.82626402</v>
      </c>
      <c r="AQ95" s="1026">
        <v>46029058.191621013</v>
      </c>
      <c r="AR95" s="1026">
        <v>46029058.191621013</v>
      </c>
      <c r="AS95" s="1026">
        <v>0</v>
      </c>
      <c r="AY95" s="1026">
        <v>400746495.83387321</v>
      </c>
      <c r="AZ95" s="1026">
        <v>0</v>
      </c>
      <c r="BC95" s="1026">
        <v>0</v>
      </c>
      <c r="BD95" s="1026">
        <v>400746495.83387321</v>
      </c>
      <c r="BE95" s="1026">
        <v>0</v>
      </c>
      <c r="BL95" s="1026">
        <v>0</v>
      </c>
      <c r="BM95" s="1026">
        <v>0</v>
      </c>
      <c r="BT95" s="1026">
        <v>0</v>
      </c>
      <c r="BU95" s="1026">
        <v>0</v>
      </c>
      <c r="CC95" s="1026">
        <v>0</v>
      </c>
      <c r="CD95" s="1026">
        <v>0</v>
      </c>
      <c r="CF95" s="1026">
        <v>0</v>
      </c>
      <c r="CJ95" s="1026">
        <v>0</v>
      </c>
      <c r="CL95" s="1026">
        <v>0</v>
      </c>
      <c r="CM95" s="1026">
        <v>0</v>
      </c>
      <c r="CQ95" s="1026">
        <v>98239932.186624989</v>
      </c>
      <c r="CS95" s="1026">
        <v>98239932.186624989</v>
      </c>
      <c r="CU95" s="1026">
        <v>1685341324.7883079</v>
      </c>
      <c r="CV95" s="1026">
        <v>1417664841.350626</v>
      </c>
      <c r="CW95" s="1026">
        <v>267676483.43768185</v>
      </c>
      <c r="CY95" s="1026">
        <v>0</v>
      </c>
      <c r="DA95" s="1026">
        <v>0</v>
      </c>
      <c r="DE95" s="1026">
        <v>0</v>
      </c>
      <c r="DI95" s="1026">
        <v>0</v>
      </c>
      <c r="DN95" s="1026">
        <v>660404060.00999999</v>
      </c>
      <c r="DP95" s="1026">
        <v>660404060.00999999</v>
      </c>
      <c r="DQ95" s="1026">
        <v>660404060.00999999</v>
      </c>
      <c r="DT95" s="1026">
        <v>0</v>
      </c>
      <c r="DY95" s="1026">
        <v>378103174.38561201</v>
      </c>
      <c r="EA95" s="1026">
        <v>0</v>
      </c>
      <c r="EB95" s="1026">
        <v>0</v>
      </c>
      <c r="ED95" s="1026">
        <v>366310094.56</v>
      </c>
      <c r="EE95" s="1026">
        <v>11793079.825611999</v>
      </c>
      <c r="EF95" s="1026">
        <v>0</v>
      </c>
      <c r="EH95" s="1026">
        <v>580112499.49377322</v>
      </c>
      <c r="EI95" s="1026">
        <v>202461740.45177701</v>
      </c>
      <c r="EJ95" s="1026">
        <v>236707124.69135702</v>
      </c>
      <c r="EK95" s="1026">
        <v>140943634.35063916</v>
      </c>
      <c r="EM95" s="1026">
        <v>813558660.35173702</v>
      </c>
      <c r="ES95" s="1027">
        <v>5666109654.1823387</v>
      </c>
    </row>
    <row r="96" spans="5:149">
      <c r="E96" s="1790">
        <v>44440</v>
      </c>
      <c r="G96" s="1375">
        <v>86112172.109999999</v>
      </c>
      <c r="I96" s="1026">
        <v>353113872.78827649</v>
      </c>
      <c r="J96" s="1026">
        <v>353113872.78827649</v>
      </c>
      <c r="M96" s="1026">
        <v>15615375.242427647</v>
      </c>
      <c r="N96" s="1026">
        <v>15615375.242427647</v>
      </c>
      <c r="O96" s="1026">
        <v>15615375.242427647</v>
      </c>
      <c r="Q96" s="1026">
        <v>0</v>
      </c>
      <c r="T96" s="1026">
        <v>0</v>
      </c>
      <c r="X96" s="1026">
        <v>0</v>
      </c>
      <c r="Y96" s="1026">
        <v>0</v>
      </c>
      <c r="AB96" s="1026">
        <v>0</v>
      </c>
      <c r="AF96" s="1026">
        <v>0</v>
      </c>
      <c r="AK96" s="1026">
        <v>0</v>
      </c>
      <c r="AO96" s="1026">
        <v>439737337.76351833</v>
      </c>
      <c r="AP96" s="1026">
        <v>313993714.80779999</v>
      </c>
      <c r="AQ96" s="1026">
        <v>125743622.95571834</v>
      </c>
      <c r="AR96" s="1026">
        <v>125743622.95571834</v>
      </c>
      <c r="AS96" s="1026">
        <v>0</v>
      </c>
      <c r="AY96" s="1026">
        <v>420469261.84100604</v>
      </c>
      <c r="AZ96" s="1026">
        <v>0</v>
      </c>
      <c r="BC96" s="1026">
        <v>0</v>
      </c>
      <c r="BD96" s="1026">
        <v>420469261.84100604</v>
      </c>
      <c r="BE96" s="1026">
        <v>0</v>
      </c>
      <c r="BL96" s="1026">
        <v>0</v>
      </c>
      <c r="BM96" s="1026">
        <v>0</v>
      </c>
      <c r="BT96" s="1026">
        <v>0</v>
      </c>
      <c r="BU96" s="1026">
        <v>0</v>
      </c>
      <c r="CC96" s="1026">
        <v>0</v>
      </c>
      <c r="CD96" s="1026">
        <v>0</v>
      </c>
      <c r="CF96" s="1026">
        <v>0</v>
      </c>
      <c r="CJ96" s="1026">
        <v>0</v>
      </c>
      <c r="CL96" s="1026">
        <v>0</v>
      </c>
      <c r="CM96" s="1026">
        <v>0</v>
      </c>
      <c r="CQ96" s="1026">
        <v>-503296.98</v>
      </c>
      <c r="CS96" s="1026">
        <v>-503296.98</v>
      </c>
      <c r="CU96" s="1026">
        <v>1970881971.4750624</v>
      </c>
      <c r="CV96" s="1026">
        <v>1601785720.6210985</v>
      </c>
      <c r="CW96" s="1026">
        <v>369096250.85396373</v>
      </c>
      <c r="CY96" s="1026">
        <v>0</v>
      </c>
      <c r="DA96" s="1026">
        <v>0</v>
      </c>
      <c r="DE96" s="1026">
        <v>0</v>
      </c>
      <c r="DI96" s="1026">
        <v>0</v>
      </c>
      <c r="DN96" s="1026">
        <v>685650009.48000002</v>
      </c>
      <c r="DP96" s="1026">
        <v>685650009.48000002</v>
      </c>
      <c r="DQ96" s="1026">
        <v>685650009.48000002</v>
      </c>
      <c r="DT96" s="1026">
        <v>0</v>
      </c>
      <c r="DY96" s="1026">
        <v>592116053.24607897</v>
      </c>
      <c r="EA96" s="1026">
        <v>0</v>
      </c>
      <c r="EB96" s="1026">
        <v>0</v>
      </c>
      <c r="ED96" s="1026">
        <v>580127260.38999999</v>
      </c>
      <c r="EE96" s="1026">
        <v>11988792.856078999</v>
      </c>
      <c r="EF96" s="1026">
        <v>0</v>
      </c>
      <c r="EH96" s="1026">
        <v>577471739.78513944</v>
      </c>
      <c r="EI96" s="1026">
        <v>202419243.49744502</v>
      </c>
      <c r="EJ96" s="1026">
        <v>236432414.859568</v>
      </c>
      <c r="EK96" s="1026">
        <v>138620081.42812642</v>
      </c>
      <c r="EM96" s="1026">
        <v>817914096.24401999</v>
      </c>
      <c r="ES96" s="1027">
        <v>5958578592.9955292</v>
      </c>
    </row>
    <row r="97" spans="5:149">
      <c r="E97" s="1790">
        <v>44470</v>
      </c>
      <c r="G97" s="1375">
        <v>206520568.06</v>
      </c>
      <c r="I97" s="1026">
        <v>316941002.05509329</v>
      </c>
      <c r="J97" s="1026">
        <v>316941002.05509329</v>
      </c>
      <c r="M97" s="1026">
        <v>57796045.700886533</v>
      </c>
      <c r="N97" s="1026">
        <v>57796045.700886533</v>
      </c>
      <c r="O97" s="1026">
        <v>57796045.700886533</v>
      </c>
      <c r="Q97" s="1026">
        <v>0</v>
      </c>
      <c r="T97" s="1026">
        <v>0</v>
      </c>
      <c r="X97" s="1026">
        <v>0</v>
      </c>
      <c r="Y97" s="1026">
        <v>0</v>
      </c>
      <c r="AB97" s="1026">
        <v>0</v>
      </c>
      <c r="AF97" s="1026">
        <v>0</v>
      </c>
      <c r="AK97" s="1026">
        <v>0</v>
      </c>
      <c r="AO97" s="1026">
        <v>397156097.12129045</v>
      </c>
      <c r="AP97" s="1026">
        <v>298855716.285537</v>
      </c>
      <c r="AQ97" s="1026">
        <v>98300380.835753456</v>
      </c>
      <c r="AR97" s="1026">
        <v>98300380.835753456</v>
      </c>
      <c r="AS97" s="1026">
        <v>0</v>
      </c>
      <c r="AY97" s="1026">
        <v>519116212.51416808</v>
      </c>
      <c r="AZ97" s="1026">
        <v>0</v>
      </c>
      <c r="BC97" s="1026">
        <v>0</v>
      </c>
      <c r="BD97" s="1026">
        <v>519116212.51416808</v>
      </c>
      <c r="BE97" s="1026">
        <v>0</v>
      </c>
      <c r="BL97" s="1026">
        <v>0</v>
      </c>
      <c r="BM97" s="1026">
        <v>0</v>
      </c>
      <c r="BT97" s="1026">
        <v>0</v>
      </c>
      <c r="BU97" s="1026">
        <v>0</v>
      </c>
      <c r="CC97" s="1026">
        <v>0</v>
      </c>
      <c r="CD97" s="1026">
        <v>0</v>
      </c>
      <c r="CF97" s="1026">
        <v>0</v>
      </c>
      <c r="CJ97" s="1026">
        <v>0</v>
      </c>
      <c r="CL97" s="1026">
        <v>0</v>
      </c>
      <c r="CM97" s="1026">
        <v>0</v>
      </c>
      <c r="CQ97" s="1026">
        <v>0</v>
      </c>
      <c r="CS97" s="1026">
        <v>0</v>
      </c>
      <c r="CU97" s="1026">
        <v>2136786979.3201609</v>
      </c>
      <c r="CV97" s="1026">
        <v>1719950647.0117304</v>
      </c>
      <c r="CW97" s="1026">
        <v>416836332.30843031</v>
      </c>
      <c r="CY97" s="1026">
        <v>0</v>
      </c>
      <c r="DA97" s="1026">
        <v>0</v>
      </c>
      <c r="DE97" s="1026">
        <v>0</v>
      </c>
      <c r="DI97" s="1026">
        <v>0</v>
      </c>
      <c r="DN97" s="1026">
        <v>661526136.44000006</v>
      </c>
      <c r="DP97" s="1026">
        <v>661526136.44000006</v>
      </c>
      <c r="DQ97" s="1026">
        <v>661526136.44000006</v>
      </c>
      <c r="DT97" s="1026">
        <v>0</v>
      </c>
      <c r="DY97" s="1026">
        <v>760056450.90052307</v>
      </c>
      <c r="EA97" s="1026">
        <v>0</v>
      </c>
      <c r="EB97" s="1026">
        <v>0</v>
      </c>
      <c r="ED97" s="1026">
        <v>746757070.23000002</v>
      </c>
      <c r="EE97" s="1026">
        <v>13299380.670522999</v>
      </c>
      <c r="EF97" s="1026">
        <v>0</v>
      </c>
      <c r="EH97" s="1026">
        <v>570652553.88</v>
      </c>
      <c r="EI97" s="1026">
        <v>200192165.52000001</v>
      </c>
      <c r="EJ97" s="1026">
        <v>206255848.86000001</v>
      </c>
      <c r="EK97" s="1026">
        <v>164204539.5</v>
      </c>
      <c r="EM97" s="1026">
        <v>881628638.98098719</v>
      </c>
      <c r="ES97" s="1027">
        <v>6508180684.9731102</v>
      </c>
    </row>
    <row r="98" spans="5:149">
      <c r="E98" s="1790">
        <v>44501</v>
      </c>
      <c r="G98" s="1375">
        <v>212830118.11000001</v>
      </c>
      <c r="I98" s="1026">
        <v>94037750.347109556</v>
      </c>
      <c r="J98" s="1026">
        <v>94037750.347109556</v>
      </c>
      <c r="M98" s="1026">
        <v>251205907.9848271</v>
      </c>
      <c r="N98" s="1026">
        <v>251205907.9848271</v>
      </c>
      <c r="O98" s="1026">
        <v>251205907.9848271</v>
      </c>
      <c r="Q98" s="1026">
        <v>0</v>
      </c>
      <c r="T98" s="1026">
        <v>0</v>
      </c>
      <c r="X98" s="1026">
        <v>0</v>
      </c>
      <c r="Y98" s="1026">
        <v>0</v>
      </c>
      <c r="AB98" s="1026">
        <v>0</v>
      </c>
      <c r="AF98" s="1026">
        <v>0</v>
      </c>
      <c r="AK98" s="1026">
        <v>0</v>
      </c>
      <c r="AO98" s="1026">
        <v>624199624.05452383</v>
      </c>
      <c r="AP98" s="1026">
        <v>518727970.63619494</v>
      </c>
      <c r="AQ98" s="1026">
        <v>105471653.4183289</v>
      </c>
      <c r="AR98" s="1026">
        <v>105471653.4183289</v>
      </c>
      <c r="AS98" s="1026">
        <v>0</v>
      </c>
      <c r="AY98" s="1026">
        <v>519439711.39809906</v>
      </c>
      <c r="AZ98" s="1026">
        <v>0</v>
      </c>
      <c r="BC98" s="1026">
        <v>0</v>
      </c>
      <c r="BD98" s="1026">
        <v>519439711.39809906</v>
      </c>
      <c r="BE98" s="1026">
        <v>0</v>
      </c>
      <c r="BL98" s="1026">
        <v>0</v>
      </c>
      <c r="BM98" s="1026">
        <v>0</v>
      </c>
      <c r="BT98" s="1026">
        <v>0</v>
      </c>
      <c r="BU98" s="1026">
        <v>0</v>
      </c>
      <c r="CC98" s="1026">
        <v>0</v>
      </c>
      <c r="CD98" s="1026">
        <v>0</v>
      </c>
      <c r="CF98" s="1026">
        <v>0</v>
      </c>
      <c r="CJ98" s="1026">
        <v>0</v>
      </c>
      <c r="CL98" s="1026">
        <v>0</v>
      </c>
      <c r="CM98" s="1026">
        <v>0</v>
      </c>
      <c r="CQ98" s="1026">
        <v>64261384.296678521</v>
      </c>
      <c r="CS98" s="1026">
        <v>64261384.296678521</v>
      </c>
      <c r="CU98" s="1026">
        <v>2329025277.3038578</v>
      </c>
      <c r="CV98" s="1026">
        <v>1811637376.6410871</v>
      </c>
      <c r="CW98" s="1026">
        <v>517387900.66277075</v>
      </c>
      <c r="CY98" s="1026">
        <v>0</v>
      </c>
      <c r="DA98" s="1026">
        <v>0</v>
      </c>
      <c r="DE98" s="1026">
        <v>0</v>
      </c>
      <c r="DI98" s="1026">
        <v>0</v>
      </c>
      <c r="DN98" s="1026">
        <v>1113177507.04</v>
      </c>
      <c r="DP98" s="1026">
        <v>1113177507.04</v>
      </c>
      <c r="DQ98" s="1026">
        <v>1113177507.04</v>
      </c>
      <c r="DT98" s="1026">
        <v>0</v>
      </c>
      <c r="DY98" s="1026">
        <v>766465846.33441198</v>
      </c>
      <c r="EA98" s="1026">
        <v>0</v>
      </c>
      <c r="EB98" s="1026">
        <v>0</v>
      </c>
      <c r="ED98" s="1026">
        <v>752089603.10000002</v>
      </c>
      <c r="EE98" s="1026">
        <v>14376243.234412</v>
      </c>
      <c r="EF98" s="1026">
        <v>0</v>
      </c>
      <c r="EH98" s="1026">
        <v>599064017.80434215</v>
      </c>
      <c r="EI98" s="1026">
        <v>197911259.69878101</v>
      </c>
      <c r="EJ98" s="1026">
        <v>267905680.14140499</v>
      </c>
      <c r="EK98" s="1026">
        <v>133247077.96415618</v>
      </c>
      <c r="EM98" s="1026">
        <v>856214494.68488109</v>
      </c>
      <c r="ES98" s="1027">
        <v>7429921639.3587303</v>
      </c>
    </row>
    <row r="99" spans="5:149">
      <c r="E99" s="1790">
        <v>44531</v>
      </c>
      <c r="G99" s="1375">
        <v>171883406.07000002</v>
      </c>
      <c r="I99" s="1026">
        <v>88645240.637056693</v>
      </c>
      <c r="J99" s="1026">
        <v>88645240.637056693</v>
      </c>
      <c r="M99" s="1026">
        <v>74485538.507163703</v>
      </c>
      <c r="N99" s="1026">
        <v>74485538.507163703</v>
      </c>
      <c r="O99" s="1026">
        <v>74485538.507163703</v>
      </c>
      <c r="Q99" s="1026">
        <v>0</v>
      </c>
      <c r="T99" s="1026">
        <v>0</v>
      </c>
      <c r="X99" s="1026">
        <v>0</v>
      </c>
      <c r="Y99" s="1026">
        <v>0</v>
      </c>
      <c r="AB99" s="1026">
        <v>0</v>
      </c>
      <c r="AF99" s="1026">
        <v>0</v>
      </c>
      <c r="AK99" s="1026">
        <v>0</v>
      </c>
      <c r="AO99" s="1026">
        <v>786117729.22617328</v>
      </c>
      <c r="AP99" s="1026">
        <v>400710948.62580299</v>
      </c>
      <c r="AQ99" s="1026">
        <v>385406780.60037029</v>
      </c>
      <c r="AR99" s="1026">
        <v>385406780.60037029</v>
      </c>
      <c r="AS99" s="1026">
        <v>0</v>
      </c>
      <c r="AY99" s="1026">
        <v>487648859.85587186</v>
      </c>
      <c r="AZ99" s="1026">
        <v>0</v>
      </c>
      <c r="BC99" s="1026">
        <v>0</v>
      </c>
      <c r="BD99" s="1026">
        <v>487648859.85587186</v>
      </c>
      <c r="BE99" s="1026">
        <v>0</v>
      </c>
      <c r="BL99" s="1026">
        <v>0</v>
      </c>
      <c r="BM99" s="1026">
        <v>0</v>
      </c>
      <c r="BT99" s="1026">
        <v>0</v>
      </c>
      <c r="BU99" s="1026">
        <v>0</v>
      </c>
      <c r="CC99" s="1026">
        <v>200000000</v>
      </c>
      <c r="CD99" s="1026">
        <v>200000000</v>
      </c>
      <c r="CE99" s="1026">
        <v>200000000</v>
      </c>
      <c r="CF99" s="1026">
        <v>0</v>
      </c>
      <c r="CJ99" s="1026">
        <v>0</v>
      </c>
      <c r="CL99" s="1026">
        <v>0</v>
      </c>
      <c r="CM99" s="1026">
        <v>0</v>
      </c>
      <c r="CQ99" s="1026">
        <v>115942527.24244027</v>
      </c>
      <c r="CS99" s="1026">
        <v>115942527.24244027</v>
      </c>
      <c r="CU99" s="1026">
        <v>2280636095.4093237</v>
      </c>
      <c r="CV99" s="1026">
        <v>1848670403.5285218</v>
      </c>
      <c r="CW99" s="1026">
        <v>431965691.88080198</v>
      </c>
      <c r="CY99" s="1026">
        <v>0</v>
      </c>
      <c r="DA99" s="1026">
        <v>0</v>
      </c>
      <c r="DE99" s="1026">
        <v>0</v>
      </c>
      <c r="DI99" s="1026">
        <v>0</v>
      </c>
      <c r="DN99" s="1026">
        <v>857306306.61999989</v>
      </c>
      <c r="DP99" s="1026">
        <v>857306306.61999989</v>
      </c>
      <c r="DQ99" s="1026">
        <v>857306306.61999989</v>
      </c>
      <c r="DT99" s="1026">
        <v>0</v>
      </c>
      <c r="DY99" s="1026">
        <v>824386916.84638</v>
      </c>
      <c r="EA99" s="1026">
        <v>0</v>
      </c>
      <c r="EB99" s="1026">
        <v>0</v>
      </c>
      <c r="ED99" s="1026">
        <v>809602848.14999998</v>
      </c>
      <c r="EE99" s="1026">
        <v>14784068.696379999</v>
      </c>
      <c r="EF99" s="1026">
        <v>0</v>
      </c>
      <c r="EH99" s="1026">
        <v>596311158.66114998</v>
      </c>
      <c r="EI99" s="1026">
        <v>198397093.63444901</v>
      </c>
      <c r="EJ99" s="1026">
        <v>265909615.838871</v>
      </c>
      <c r="EK99" s="1026">
        <v>132004449.18783</v>
      </c>
      <c r="EM99" s="1026">
        <v>1112260490.2830153</v>
      </c>
      <c r="ES99" s="1027">
        <v>7595624269.3585749</v>
      </c>
    </row>
    <row r="100" spans="5:149">
      <c r="E100" s="1790">
        <v>44562</v>
      </c>
      <c r="G100" s="1375">
        <v>207358326.36000001</v>
      </c>
      <c r="I100" s="1026">
        <v>28313750.739966929</v>
      </c>
      <c r="J100" s="1026">
        <v>28313750.739966929</v>
      </c>
      <c r="M100" s="1026">
        <v>110951922.40003371</v>
      </c>
      <c r="N100" s="1026">
        <v>110951922.40003371</v>
      </c>
      <c r="O100" s="1026">
        <v>110951922.40003371</v>
      </c>
      <c r="Q100" s="1026">
        <v>0</v>
      </c>
      <c r="T100" s="1026">
        <v>0</v>
      </c>
      <c r="X100" s="1026">
        <v>0</v>
      </c>
      <c r="Y100" s="1026">
        <v>0</v>
      </c>
      <c r="AB100" s="1026">
        <v>0</v>
      </c>
      <c r="AF100" s="1026">
        <v>0</v>
      </c>
      <c r="AK100" s="1026">
        <v>0</v>
      </c>
      <c r="AO100" s="1026">
        <v>896703653.47818732</v>
      </c>
      <c r="AP100" s="1026">
        <v>667948705.94439697</v>
      </c>
      <c r="AQ100" s="1026">
        <v>228754947.53379029</v>
      </c>
      <c r="AR100" s="1026">
        <v>228754947.53379029</v>
      </c>
      <c r="AS100" s="1026">
        <v>0</v>
      </c>
      <c r="AY100" s="1026">
        <v>493505295.08162278</v>
      </c>
      <c r="AZ100" s="1026">
        <v>0</v>
      </c>
      <c r="BC100" s="1026">
        <v>0</v>
      </c>
      <c r="BD100" s="1026">
        <v>493505295.08162278</v>
      </c>
      <c r="BE100" s="1026">
        <v>0</v>
      </c>
      <c r="BL100" s="1026">
        <v>0</v>
      </c>
      <c r="BM100" s="1026">
        <v>0</v>
      </c>
      <c r="BT100" s="1026">
        <v>0</v>
      </c>
      <c r="BU100" s="1026">
        <v>0</v>
      </c>
      <c r="CC100" s="1026">
        <v>394425226.05478543</v>
      </c>
      <c r="CD100" s="1026">
        <v>394425226.05478543</v>
      </c>
      <c r="CE100" s="1026">
        <v>394425226.05478543</v>
      </c>
      <c r="CF100" s="1026">
        <v>0</v>
      </c>
      <c r="CJ100" s="1026">
        <v>0</v>
      </c>
      <c r="CL100" s="1026">
        <v>0</v>
      </c>
      <c r="CM100" s="1026">
        <v>0</v>
      </c>
      <c r="CQ100" s="1026">
        <v>454225.74</v>
      </c>
      <c r="CS100" s="1026">
        <v>454225.74</v>
      </c>
      <c r="CU100" s="1026">
        <v>2459763360.984251</v>
      </c>
      <c r="CV100" s="1026">
        <v>1914555869.6701124</v>
      </c>
      <c r="CW100" s="1026">
        <v>545207491.31413853</v>
      </c>
      <c r="CY100" s="1026">
        <v>0</v>
      </c>
      <c r="DA100" s="1026">
        <v>0</v>
      </c>
      <c r="DE100" s="1026">
        <v>0</v>
      </c>
      <c r="DI100" s="1026">
        <v>0</v>
      </c>
      <c r="DN100" s="1026">
        <v>617850394.66999996</v>
      </c>
      <c r="DP100" s="1026">
        <v>617850394.66999996</v>
      </c>
      <c r="DQ100" s="1026">
        <v>617850394.66999996</v>
      </c>
      <c r="DT100" s="1026">
        <v>0</v>
      </c>
      <c r="DY100" s="1026">
        <v>1039403335.418589</v>
      </c>
      <c r="EA100" s="1026">
        <v>0</v>
      </c>
      <c r="EB100" s="1026">
        <v>0</v>
      </c>
      <c r="ED100" s="1026">
        <v>1023740806.85</v>
      </c>
      <c r="EE100" s="1026">
        <v>15662528.568589</v>
      </c>
      <c r="EF100" s="1026">
        <v>0</v>
      </c>
      <c r="EH100" s="1026">
        <v>862842998.54000008</v>
      </c>
      <c r="EI100" s="1026">
        <v>401047038</v>
      </c>
      <c r="EJ100" s="1026">
        <v>329833759.08000004</v>
      </c>
      <c r="EK100" s="1026">
        <v>131962201.46000001</v>
      </c>
      <c r="EM100" s="1026">
        <v>998523950.95749807</v>
      </c>
      <c r="ES100" s="1027">
        <v>8110096440.4249344</v>
      </c>
    </row>
    <row r="101" spans="5:149">
      <c r="E101" s="1790">
        <v>44593</v>
      </c>
      <c r="G101" s="1375">
        <v>194500987.64742899</v>
      </c>
      <c r="I101" s="1026">
        <v>185197175.19476774</v>
      </c>
      <c r="J101" s="1026">
        <v>185197175.19476774</v>
      </c>
      <c r="M101" s="1026">
        <v>91050765.263255119</v>
      </c>
      <c r="N101" s="1026">
        <v>91050765.263255119</v>
      </c>
      <c r="O101" s="1026">
        <v>91050765.263255119</v>
      </c>
      <c r="Q101" s="1026">
        <v>0</v>
      </c>
      <c r="T101" s="1026">
        <v>0</v>
      </c>
      <c r="X101" s="1026">
        <v>0</v>
      </c>
      <c r="Y101" s="1026">
        <v>0</v>
      </c>
      <c r="AB101" s="1026">
        <v>0</v>
      </c>
      <c r="AF101" s="1026">
        <v>0</v>
      </c>
      <c r="AK101" s="1026">
        <v>0</v>
      </c>
      <c r="AO101" s="1026">
        <v>863023940.01231492</v>
      </c>
      <c r="AP101" s="1026">
        <v>489425255.69332802</v>
      </c>
      <c r="AQ101" s="1026">
        <v>373598684.31898689</v>
      </c>
      <c r="AR101" s="1026">
        <v>373598684.31898689</v>
      </c>
      <c r="AS101" s="1026">
        <v>0</v>
      </c>
      <c r="AY101" s="1026">
        <v>487207819.32973373</v>
      </c>
      <c r="AZ101" s="1026">
        <v>0</v>
      </c>
      <c r="BC101" s="1026">
        <v>0</v>
      </c>
      <c r="BD101" s="1026">
        <v>487207819.32973373</v>
      </c>
      <c r="BE101" s="1026">
        <v>0</v>
      </c>
      <c r="BL101" s="1026">
        <v>0</v>
      </c>
      <c r="BM101" s="1026">
        <v>0</v>
      </c>
      <c r="BT101" s="1026">
        <v>0</v>
      </c>
      <c r="BU101" s="1026">
        <v>0</v>
      </c>
      <c r="CC101" s="1026">
        <v>394726027.13724494</v>
      </c>
      <c r="CD101" s="1026">
        <v>394726027.13724494</v>
      </c>
      <c r="CE101" s="1026">
        <v>394726027.13724494</v>
      </c>
      <c r="CF101" s="1026">
        <v>0</v>
      </c>
      <c r="CJ101" s="1026">
        <v>0</v>
      </c>
      <c r="CL101" s="1026">
        <v>0</v>
      </c>
      <c r="CM101" s="1026">
        <v>0</v>
      </c>
      <c r="CQ101" s="1026">
        <v>0</v>
      </c>
      <c r="CS101" s="1026">
        <v>0</v>
      </c>
      <c r="CU101" s="1026">
        <v>2733649377.1796341</v>
      </c>
      <c r="CV101" s="1026">
        <v>2056023155.78951</v>
      </c>
      <c r="CW101" s="1026">
        <v>677626221.39012384</v>
      </c>
      <c r="CY101" s="1026">
        <v>0</v>
      </c>
      <c r="DA101" s="1026">
        <v>0</v>
      </c>
      <c r="DE101" s="1026">
        <v>0</v>
      </c>
      <c r="DI101" s="1026">
        <v>0</v>
      </c>
      <c r="DN101" s="1026">
        <v>800484124.62</v>
      </c>
      <c r="DP101" s="1026">
        <v>800484124.62</v>
      </c>
      <c r="DQ101" s="1026">
        <v>800484124.62</v>
      </c>
      <c r="DT101" s="1026">
        <v>0</v>
      </c>
      <c r="DY101" s="1026">
        <v>1333049439.330127</v>
      </c>
      <c r="EA101" s="1026">
        <v>0</v>
      </c>
      <c r="EB101" s="1026">
        <v>0</v>
      </c>
      <c r="ED101" s="1026">
        <v>1316221861.53</v>
      </c>
      <c r="EE101" s="1026">
        <v>16827577.800127</v>
      </c>
      <c r="EF101" s="1026">
        <v>0</v>
      </c>
      <c r="EH101" s="1026">
        <v>1059401640.5738344</v>
      </c>
      <c r="EI101" s="1026">
        <v>398921573.77444899</v>
      </c>
      <c r="EJ101" s="1026">
        <v>458526712.79748201</v>
      </c>
      <c r="EK101" s="1026">
        <v>201953354.00190336</v>
      </c>
      <c r="EM101" s="1026">
        <v>1009540048.5960717</v>
      </c>
      <c r="ES101" s="1027">
        <v>9151831344.8844128</v>
      </c>
    </row>
    <row r="102" spans="5:149">
      <c r="E102" s="1790">
        <v>44621</v>
      </c>
      <c r="G102" s="1375">
        <v>215732466.84999999</v>
      </c>
      <c r="I102" s="1026">
        <v>653015505.62153494</v>
      </c>
      <c r="J102" s="1026">
        <v>653015505.62153494</v>
      </c>
      <c r="M102" s="1026">
        <v>24794460.7085917</v>
      </c>
      <c r="N102" s="1026">
        <v>24794460.7085917</v>
      </c>
      <c r="O102" s="1026">
        <v>24794460.7085917</v>
      </c>
      <c r="Q102" s="1026">
        <v>0</v>
      </c>
      <c r="T102" s="1026">
        <v>0</v>
      </c>
      <c r="X102" s="1026">
        <v>0</v>
      </c>
      <c r="Y102" s="1026">
        <v>0</v>
      </c>
      <c r="AB102" s="1026">
        <v>0</v>
      </c>
      <c r="AF102" s="1026">
        <v>0</v>
      </c>
      <c r="AK102" s="1026">
        <v>0</v>
      </c>
      <c r="AO102" s="1026">
        <v>1563735520.2621412</v>
      </c>
      <c r="AP102" s="1026">
        <v>1274249155.4322801</v>
      </c>
      <c r="AQ102" s="1026">
        <v>289486364.82986128</v>
      </c>
      <c r="AR102" s="1026">
        <v>289486364.82986128</v>
      </c>
      <c r="AS102" s="1026">
        <v>0</v>
      </c>
      <c r="AY102" s="1026">
        <v>457207819.32973373</v>
      </c>
      <c r="AZ102" s="1026">
        <v>0</v>
      </c>
      <c r="BC102" s="1026">
        <v>0</v>
      </c>
      <c r="BD102" s="1026">
        <v>457207819.32973373</v>
      </c>
      <c r="BE102" s="1026">
        <v>0</v>
      </c>
      <c r="BL102" s="1026">
        <v>0</v>
      </c>
      <c r="BM102" s="1026">
        <v>0</v>
      </c>
      <c r="BT102" s="1026">
        <v>0</v>
      </c>
      <c r="BU102" s="1026">
        <v>0</v>
      </c>
      <c r="CC102" s="1026">
        <v>394894555.62353998</v>
      </c>
      <c r="CD102" s="1026">
        <v>394894555.62353998</v>
      </c>
      <c r="CE102" s="1026">
        <v>394894555.62353998</v>
      </c>
      <c r="CF102" s="1026">
        <v>0</v>
      </c>
      <c r="CJ102" s="1026">
        <v>0</v>
      </c>
      <c r="CL102" s="1026">
        <v>0</v>
      </c>
      <c r="CM102" s="1026">
        <v>0</v>
      </c>
      <c r="CQ102" s="1026">
        <v>0</v>
      </c>
      <c r="CS102" s="1026">
        <v>0</v>
      </c>
      <c r="CU102" s="1026">
        <v>2843171171.2196336</v>
      </c>
      <c r="CV102" s="1026">
        <v>2166038157.4334841</v>
      </c>
      <c r="CW102" s="1026">
        <v>677133013.7861495</v>
      </c>
      <c r="CY102" s="1026">
        <v>0</v>
      </c>
      <c r="DA102" s="1026">
        <v>0</v>
      </c>
      <c r="DE102" s="1026">
        <v>0</v>
      </c>
      <c r="DI102" s="1026">
        <v>0</v>
      </c>
      <c r="DN102" s="1026">
        <v>0</v>
      </c>
      <c r="DP102" s="1026">
        <v>0</v>
      </c>
      <c r="DQ102" s="1026">
        <v>0</v>
      </c>
      <c r="DT102" s="1026">
        <v>0</v>
      </c>
      <c r="DY102" s="1026">
        <v>1410492397.2181909</v>
      </c>
      <c r="EA102" s="1026">
        <v>0</v>
      </c>
      <c r="EB102" s="1026">
        <v>0</v>
      </c>
      <c r="ED102" s="1026">
        <v>1391165501.78</v>
      </c>
      <c r="EE102" s="1026">
        <v>19326895.438190997</v>
      </c>
      <c r="EF102" s="1026">
        <v>0</v>
      </c>
      <c r="EH102" s="1026">
        <v>1057323558.8705349</v>
      </c>
      <c r="EI102" s="1026">
        <v>400914064.27444899</v>
      </c>
      <c r="EJ102" s="1026">
        <v>469027932.06545103</v>
      </c>
      <c r="EK102" s="1026">
        <v>187381562.53063485</v>
      </c>
      <c r="EM102" s="1026">
        <v>1136904545.7110214</v>
      </c>
      <c r="ES102" s="1027">
        <v>9757272001.4149227</v>
      </c>
    </row>
    <row r="103" spans="5:149">
      <c r="E103" s="1790">
        <v>44652</v>
      </c>
      <c r="G103" s="1375">
        <v>138779958.65000001</v>
      </c>
      <c r="I103" s="1026">
        <v>706984962.2432636</v>
      </c>
      <c r="J103" s="1026">
        <v>706984962.2432636</v>
      </c>
      <c r="M103" s="1026">
        <v>23098216.800237834</v>
      </c>
      <c r="N103" s="1026">
        <v>23098216.800237834</v>
      </c>
      <c r="O103" s="1026">
        <v>23098216.800237834</v>
      </c>
      <c r="Q103" s="1026">
        <v>0</v>
      </c>
      <c r="T103" s="1026">
        <v>0</v>
      </c>
      <c r="X103" s="1026">
        <v>0</v>
      </c>
      <c r="Y103" s="1026">
        <v>0</v>
      </c>
      <c r="AB103" s="1026">
        <v>0</v>
      </c>
      <c r="AF103" s="1026">
        <v>0</v>
      </c>
      <c r="AK103" s="1026">
        <v>0</v>
      </c>
      <c r="AO103" s="1026">
        <v>1846555501.979517</v>
      </c>
      <c r="AP103" s="1026">
        <v>1458325986.9326599</v>
      </c>
      <c r="AQ103" s="1026">
        <v>388229515.04685718</v>
      </c>
      <c r="AR103" s="1026">
        <v>388229515.04685718</v>
      </c>
      <c r="AS103" s="1026">
        <v>0</v>
      </c>
      <c r="AY103" s="1026">
        <v>457453766.15691519</v>
      </c>
      <c r="AZ103" s="1026">
        <v>0</v>
      </c>
      <c r="BC103" s="1026">
        <v>0</v>
      </c>
      <c r="BD103" s="1026">
        <v>457453766.15691519</v>
      </c>
      <c r="BE103" s="1026">
        <v>0</v>
      </c>
      <c r="BL103" s="1026">
        <v>0</v>
      </c>
      <c r="BM103" s="1026">
        <v>0</v>
      </c>
      <c r="BT103" s="1026">
        <v>0</v>
      </c>
      <c r="BU103" s="1026">
        <v>0</v>
      </c>
      <c r="CC103" s="1026">
        <v>400000000</v>
      </c>
      <c r="CD103" s="1026">
        <v>400000000</v>
      </c>
      <c r="CE103" s="1026">
        <v>400000000</v>
      </c>
      <c r="CF103" s="1026">
        <v>0</v>
      </c>
      <c r="CJ103" s="1026">
        <v>0</v>
      </c>
      <c r="CL103" s="1026">
        <v>0</v>
      </c>
      <c r="CM103" s="1026">
        <v>0</v>
      </c>
      <c r="CQ103" s="1026">
        <v>74391780.561888993</v>
      </c>
      <c r="CS103" s="1026">
        <v>74391780.561888993</v>
      </c>
      <c r="CU103" s="1026">
        <v>3084328234.4359756</v>
      </c>
      <c r="CV103" s="1026">
        <v>2375635789.0336761</v>
      </c>
      <c r="CW103" s="1026">
        <v>708692445.40229928</v>
      </c>
      <c r="CY103" s="1026">
        <v>0</v>
      </c>
      <c r="DA103" s="1026">
        <v>0</v>
      </c>
      <c r="DE103" s="1026">
        <v>0</v>
      </c>
      <c r="DI103" s="1026">
        <v>0</v>
      </c>
      <c r="DN103" s="1026">
        <v>0</v>
      </c>
      <c r="DP103" s="1026">
        <v>0</v>
      </c>
      <c r="DQ103" s="1026">
        <v>0</v>
      </c>
      <c r="DT103" s="1026">
        <v>0</v>
      </c>
      <c r="DY103" s="1026">
        <v>2625417516.9667258</v>
      </c>
      <c r="EA103" s="1026">
        <v>0</v>
      </c>
      <c r="EB103" s="1026">
        <v>0</v>
      </c>
      <c r="ED103" s="1026">
        <v>2604044566.4400001</v>
      </c>
      <c r="EE103" s="1026">
        <v>21372950.526725996</v>
      </c>
      <c r="EF103" s="1026">
        <v>0</v>
      </c>
      <c r="EH103" s="1026">
        <v>1063133106.5334824</v>
      </c>
      <c r="EI103" s="1026">
        <v>414336659.62444901</v>
      </c>
      <c r="EJ103" s="1026">
        <v>464555547.84966701</v>
      </c>
      <c r="EK103" s="1026">
        <v>184240899.05936635</v>
      </c>
      <c r="EM103" s="1026">
        <v>1316640111.9536579</v>
      </c>
    </row>
    <row r="104" spans="5:149">
      <c r="E104" s="1790">
        <v>44682</v>
      </c>
      <c r="G104" s="1375">
        <v>118397539.45</v>
      </c>
      <c r="I104" s="1026">
        <v>507491427.12800545</v>
      </c>
      <c r="J104" s="1026">
        <v>507491427.12800545</v>
      </c>
      <c r="M104" s="1026">
        <v>69406666.662524223</v>
      </c>
      <c r="N104" s="1026">
        <v>69406666.662524223</v>
      </c>
      <c r="O104" s="1026">
        <v>69406666.662524223</v>
      </c>
      <c r="Q104" s="1026">
        <v>0</v>
      </c>
      <c r="T104" s="1026">
        <v>0</v>
      </c>
      <c r="X104" s="1026">
        <v>0</v>
      </c>
      <c r="Y104" s="1026">
        <v>0</v>
      </c>
      <c r="AB104" s="1026">
        <v>0</v>
      </c>
      <c r="AF104" s="1026">
        <v>0</v>
      </c>
      <c r="AK104" s="1026">
        <v>0</v>
      </c>
      <c r="AO104" s="1026">
        <v>3240140672.339426</v>
      </c>
      <c r="AP104" s="1026">
        <v>1795832101.88081</v>
      </c>
      <c r="AQ104" s="1026">
        <v>1444308570.4586158</v>
      </c>
      <c r="AR104" s="1026">
        <v>1444308570.4586158</v>
      </c>
      <c r="AS104" s="1026">
        <v>0</v>
      </c>
      <c r="AY104" s="1026">
        <v>411566291.23533314</v>
      </c>
      <c r="AZ104" s="1026">
        <v>0</v>
      </c>
      <c r="BC104" s="1026">
        <v>0</v>
      </c>
      <c r="BD104" s="1026">
        <v>411566291.23533314</v>
      </c>
      <c r="BE104" s="1026">
        <v>0</v>
      </c>
      <c r="BL104" s="1026">
        <v>0</v>
      </c>
      <c r="BM104" s="1026">
        <v>0</v>
      </c>
      <c r="BT104" s="1026">
        <v>0</v>
      </c>
      <c r="BU104" s="1026">
        <v>0</v>
      </c>
      <c r="CC104" s="1026">
        <v>394221917.5481835</v>
      </c>
      <c r="CD104" s="1026">
        <v>394221917.5481835</v>
      </c>
      <c r="CE104" s="1026">
        <v>394221917.5481835</v>
      </c>
      <c r="CF104" s="1026">
        <v>0</v>
      </c>
      <c r="CJ104" s="1026">
        <v>0</v>
      </c>
      <c r="CL104" s="1026">
        <v>0</v>
      </c>
      <c r="CM104" s="1026">
        <v>0</v>
      </c>
      <c r="CQ104" s="1026">
        <v>0</v>
      </c>
      <c r="CS104" s="1026">
        <v>0</v>
      </c>
      <c r="CU104" s="1026">
        <v>3102080714.4268141</v>
      </c>
      <c r="CV104" s="1026">
        <v>2362158332.9202418</v>
      </c>
      <c r="CW104" s="1026">
        <v>739922381.50657213</v>
      </c>
      <c r="CY104" s="1026">
        <v>0</v>
      </c>
      <c r="DA104" s="1026">
        <v>0</v>
      </c>
      <c r="DE104" s="1026">
        <v>0</v>
      </c>
      <c r="DI104" s="1026">
        <v>0</v>
      </c>
      <c r="DN104" s="1026">
        <v>717360309.80999994</v>
      </c>
      <c r="DP104" s="1026">
        <v>717360309.80999994</v>
      </c>
      <c r="DQ104" s="1026">
        <v>717360309.80999994</v>
      </c>
      <c r="DT104" s="1026">
        <v>0</v>
      </c>
      <c r="DY104" s="1026">
        <v>2184026173.6886678</v>
      </c>
      <c r="EA104" s="1026">
        <v>0</v>
      </c>
      <c r="EB104" s="1026">
        <v>0</v>
      </c>
      <c r="ED104" s="1026">
        <v>2144842571.3099999</v>
      </c>
      <c r="EE104" s="1026">
        <v>39183602.378667995</v>
      </c>
      <c r="EF104" s="1026">
        <v>0</v>
      </c>
      <c r="EH104" s="1026">
        <v>1106335590.3099473</v>
      </c>
      <c r="EI104" s="1026">
        <v>414369148.52444899</v>
      </c>
      <c r="EJ104" s="1026">
        <v>511405185.27599001</v>
      </c>
      <c r="EK104" s="1026">
        <v>180561256.50950828</v>
      </c>
      <c r="EM104" s="1026">
        <v>1729897544.5420444</v>
      </c>
      <c r="ES104" s="1027">
        <v>13580924847.140945</v>
      </c>
    </row>
    <row r="105" spans="5:149">
      <c r="E105" s="1790">
        <v>44713</v>
      </c>
      <c r="G105" s="1375">
        <v>119525622.997429</v>
      </c>
      <c r="I105" s="1026">
        <v>84843016.542260081</v>
      </c>
      <c r="J105" s="1026">
        <v>84843016.542260081</v>
      </c>
      <c r="M105" s="1026">
        <v>1183299441.5035999</v>
      </c>
      <c r="N105" s="1026">
        <v>1183299441.5035999</v>
      </c>
      <c r="O105" s="1026">
        <v>1183299441.5035999</v>
      </c>
      <c r="Q105" s="1026">
        <v>0</v>
      </c>
      <c r="T105" s="1026">
        <v>0</v>
      </c>
      <c r="X105" s="1026">
        <v>0</v>
      </c>
      <c r="Y105" s="1026">
        <v>0</v>
      </c>
      <c r="AB105" s="1026">
        <v>0</v>
      </c>
      <c r="AF105" s="1026">
        <v>0</v>
      </c>
      <c r="AK105" s="1026">
        <v>0</v>
      </c>
      <c r="AO105" s="1026">
        <v>3171473637.4759312</v>
      </c>
      <c r="AP105" s="1026">
        <v>2043589110.328021</v>
      </c>
      <c r="AQ105" s="1026">
        <v>1127884527.1479099</v>
      </c>
      <c r="AR105" s="1026">
        <v>1127884527.1479099</v>
      </c>
      <c r="AS105" s="1026">
        <v>0</v>
      </c>
      <c r="AY105" s="1026">
        <v>559743336.31425881</v>
      </c>
      <c r="AZ105" s="1026">
        <v>0</v>
      </c>
      <c r="BC105" s="1026">
        <v>0</v>
      </c>
      <c r="BD105" s="1026">
        <v>559743336.31425881</v>
      </c>
      <c r="BE105" s="1026">
        <v>0</v>
      </c>
      <c r="BL105" s="1026">
        <v>0</v>
      </c>
      <c r="BM105" s="1026">
        <v>0</v>
      </c>
      <c r="BT105" s="1026">
        <v>0</v>
      </c>
      <c r="BU105" s="1026">
        <v>0</v>
      </c>
      <c r="CC105" s="1026">
        <v>394031237.58190566</v>
      </c>
      <c r="CD105" s="1026">
        <v>394031237.58190566</v>
      </c>
      <c r="CE105" s="1026">
        <v>394031237.58190566</v>
      </c>
      <c r="CF105" s="1026">
        <v>0</v>
      </c>
      <c r="CJ105" s="1026">
        <v>0</v>
      </c>
      <c r="CL105" s="1026">
        <v>0</v>
      </c>
      <c r="CM105" s="1026">
        <v>0</v>
      </c>
      <c r="CQ105" s="1026">
        <v>177761504.73804194</v>
      </c>
      <c r="CS105" s="1026">
        <v>177761504.73804194</v>
      </c>
      <c r="CU105" s="1026">
        <v>3318614648.4643908</v>
      </c>
      <c r="CV105" s="1026">
        <v>2492550311.6463428</v>
      </c>
      <c r="CW105" s="1026">
        <v>826064336.818048</v>
      </c>
      <c r="CY105" s="1026">
        <v>0</v>
      </c>
      <c r="DA105" s="1026">
        <v>0</v>
      </c>
      <c r="DE105" s="1026">
        <v>0</v>
      </c>
      <c r="DI105" s="1026">
        <v>0</v>
      </c>
      <c r="DN105" s="1026">
        <v>1798262354.3</v>
      </c>
      <c r="DP105" s="1026">
        <v>1798262354.3</v>
      </c>
      <c r="DQ105" s="1026">
        <v>1798262354.3</v>
      </c>
      <c r="DT105" s="1026">
        <v>0</v>
      </c>
      <c r="DY105" s="1026">
        <v>1739374936.657541</v>
      </c>
      <c r="EA105" s="1026">
        <v>0</v>
      </c>
      <c r="EB105" s="1026">
        <v>0</v>
      </c>
      <c r="ED105" s="1026">
        <v>1690297537.48</v>
      </c>
      <c r="EE105" s="1026">
        <v>49077399.177541003</v>
      </c>
      <c r="EF105" s="1026">
        <v>0</v>
      </c>
      <c r="EH105" s="1026">
        <v>1157033867.5797825</v>
      </c>
      <c r="EI105" s="1026">
        <v>431372813.58444899</v>
      </c>
      <c r="EJ105" s="1026">
        <v>537814191.16811097</v>
      </c>
      <c r="EK105" s="1026">
        <v>187846862.8272227</v>
      </c>
      <c r="EM105" s="1026">
        <v>1716787441.640825</v>
      </c>
      <c r="ES105" s="1027">
        <v>15420751045.795965</v>
      </c>
    </row>
    <row r="106" spans="5:149">
      <c r="E106" s="1790">
        <v>44743</v>
      </c>
      <c r="G106" s="1375">
        <v>148750887</v>
      </c>
      <c r="I106" s="1026">
        <v>259330110</v>
      </c>
      <c r="J106" s="1026">
        <v>259330110</v>
      </c>
      <c r="M106" s="1026">
        <v>42438155</v>
      </c>
      <c r="N106" s="1026">
        <v>42438155</v>
      </c>
      <c r="O106" s="1026">
        <v>42438155</v>
      </c>
      <c r="Q106" s="1026">
        <v>0</v>
      </c>
      <c r="T106" s="1026">
        <v>0</v>
      </c>
      <c r="X106" s="1026">
        <v>0</v>
      </c>
      <c r="Y106" s="1026">
        <v>0</v>
      </c>
      <c r="AB106" s="1026">
        <v>0</v>
      </c>
      <c r="AF106" s="1026">
        <v>0</v>
      </c>
      <c r="AK106" s="1026">
        <v>0</v>
      </c>
      <c r="AO106" s="1026">
        <v>4606485333</v>
      </c>
      <c r="AP106" s="1026">
        <v>1892212485</v>
      </c>
      <c r="AQ106" s="1026">
        <v>2714272848</v>
      </c>
      <c r="AR106" s="1026">
        <v>2714272848</v>
      </c>
      <c r="AS106" s="1026">
        <v>0</v>
      </c>
      <c r="AY106" s="1026">
        <v>459484945</v>
      </c>
      <c r="AZ106" s="1026">
        <v>0</v>
      </c>
      <c r="BC106" s="1026">
        <v>0</v>
      </c>
      <c r="BD106" s="1026">
        <v>459484945</v>
      </c>
      <c r="BE106" s="1026">
        <v>0</v>
      </c>
      <c r="BL106" s="1026">
        <v>0</v>
      </c>
      <c r="BM106" s="1026">
        <v>0</v>
      </c>
      <c r="BT106" s="1026">
        <v>0</v>
      </c>
      <c r="BU106" s="1026">
        <v>0</v>
      </c>
      <c r="CC106" s="1026">
        <v>394745015</v>
      </c>
      <c r="CD106" s="1026">
        <v>394745015</v>
      </c>
      <c r="CE106" s="1026">
        <v>394745015</v>
      </c>
      <c r="CF106" s="1026">
        <v>0</v>
      </c>
      <c r="CJ106" s="1026">
        <v>0</v>
      </c>
      <c r="CL106" s="1026">
        <v>0</v>
      </c>
      <c r="CM106" s="1026">
        <v>0</v>
      </c>
      <c r="CQ106" s="1026">
        <v>582697155</v>
      </c>
      <c r="CS106" s="1026">
        <v>582697155</v>
      </c>
      <c r="CU106" s="1026">
        <v>3569227092</v>
      </c>
      <c r="CV106" s="1026">
        <v>2658137506</v>
      </c>
      <c r="CW106" s="1026">
        <v>911089586</v>
      </c>
      <c r="CY106" s="1026">
        <v>0</v>
      </c>
      <c r="DA106" s="1026">
        <v>0</v>
      </c>
      <c r="DE106" s="1026">
        <v>0</v>
      </c>
      <c r="DI106" s="1026">
        <v>0</v>
      </c>
      <c r="DN106" s="1026">
        <v>1676852784</v>
      </c>
      <c r="DP106" s="1026">
        <v>1676852784</v>
      </c>
      <c r="DQ106" s="1026">
        <v>1676852784</v>
      </c>
      <c r="DT106" s="1026">
        <v>0</v>
      </c>
      <c r="DY106" s="1026">
        <v>1521262514</v>
      </c>
      <c r="EA106" s="1026">
        <v>0</v>
      </c>
      <c r="EB106" s="1026">
        <v>0</v>
      </c>
      <c r="ED106" s="1026">
        <v>1465719634</v>
      </c>
      <c r="EE106" s="1026">
        <v>55542880</v>
      </c>
      <c r="EF106" s="1026">
        <v>0</v>
      </c>
      <c r="EH106" s="1026">
        <v>3496765246</v>
      </c>
      <c r="EI106" s="1026">
        <v>1373176663</v>
      </c>
      <c r="EJ106" s="1026">
        <v>1421719573</v>
      </c>
      <c r="EK106" s="1026">
        <v>701869010</v>
      </c>
      <c r="EM106" s="1026">
        <v>3554341745</v>
      </c>
      <c r="ES106" s="1027">
        <v>20312380981</v>
      </c>
    </row>
    <row r="107" spans="5:149">
      <c r="E107" s="1790">
        <v>44774</v>
      </c>
      <c r="G107" s="1375">
        <v>146104403.59742901</v>
      </c>
      <c r="I107" s="1026">
        <v>657954283.76892614</v>
      </c>
      <c r="J107" s="1026">
        <v>657954283.76892614</v>
      </c>
      <c r="M107" s="1026">
        <v>36179223.149449825</v>
      </c>
      <c r="N107" s="1026">
        <v>36179223.149449825</v>
      </c>
      <c r="O107" s="1026">
        <v>36179223.149449825</v>
      </c>
      <c r="Q107" s="1026">
        <v>0</v>
      </c>
      <c r="T107" s="1026">
        <v>0</v>
      </c>
      <c r="X107" s="1026">
        <v>0</v>
      </c>
      <c r="Y107" s="1026">
        <v>0</v>
      </c>
      <c r="AB107" s="1026">
        <v>0</v>
      </c>
      <c r="AF107" s="1026">
        <v>0</v>
      </c>
      <c r="AK107" s="1026">
        <v>0</v>
      </c>
      <c r="AO107" s="1026">
        <v>4978025315.2571115</v>
      </c>
      <c r="AP107" s="1026">
        <v>2024853500.7771809</v>
      </c>
      <c r="AQ107" s="1026">
        <v>2953171814.4799304</v>
      </c>
      <c r="AR107" s="1026">
        <v>2953171814.4799304</v>
      </c>
      <c r="AS107" s="1026">
        <v>0</v>
      </c>
      <c r="AY107" s="1026">
        <v>460708533.33562505</v>
      </c>
      <c r="AZ107" s="1026">
        <v>0</v>
      </c>
      <c r="BC107" s="1026">
        <v>0</v>
      </c>
      <c r="BD107" s="1026">
        <v>460708533.33562505</v>
      </c>
      <c r="BE107" s="1026">
        <v>0</v>
      </c>
      <c r="BL107" s="1026">
        <v>0</v>
      </c>
      <c r="BM107" s="1026">
        <v>0</v>
      </c>
      <c r="BT107" s="1026">
        <v>0</v>
      </c>
      <c r="BU107" s="1026">
        <v>0</v>
      </c>
      <c r="CC107" s="1026">
        <v>394208061.01219469</v>
      </c>
      <c r="CD107" s="1026">
        <v>394208061.01219469</v>
      </c>
      <c r="CE107" s="1026">
        <v>394208061.01219469</v>
      </c>
      <c r="CF107" s="1026">
        <v>0</v>
      </c>
      <c r="CJ107" s="1026">
        <v>0</v>
      </c>
      <c r="CL107" s="1026">
        <v>0</v>
      </c>
      <c r="CM107" s="1026">
        <v>0</v>
      </c>
      <c r="CQ107" s="1026">
        <v>581904538.61355531</v>
      </c>
      <c r="CS107" s="1026">
        <v>581904538.61355531</v>
      </c>
      <c r="CU107" s="1026">
        <v>4158439508.0524921</v>
      </c>
      <c r="CV107" s="1026">
        <v>3153083254.5203209</v>
      </c>
      <c r="CW107" s="1026">
        <v>1005356253.5321712</v>
      </c>
      <c r="CY107" s="1026">
        <v>0</v>
      </c>
      <c r="DA107" s="1026">
        <v>0</v>
      </c>
      <c r="DE107" s="1026">
        <v>0</v>
      </c>
      <c r="DI107" s="1026">
        <v>0</v>
      </c>
      <c r="DN107" s="1026">
        <v>1248561936.4200001</v>
      </c>
      <c r="DP107" s="1026">
        <v>1248561936.4200001</v>
      </c>
      <c r="DQ107" s="1026">
        <v>1248561936.4200001</v>
      </c>
      <c r="DT107" s="1026">
        <v>0</v>
      </c>
      <c r="DY107" s="1026">
        <v>1278125919.9699221</v>
      </c>
      <c r="EA107" s="1026">
        <v>0</v>
      </c>
      <c r="EB107" s="1026">
        <v>0</v>
      </c>
      <c r="ED107" s="1026">
        <v>1205409263.1300001</v>
      </c>
      <c r="EE107" s="1026">
        <v>72716656.839921996</v>
      </c>
      <c r="EF107" s="1026">
        <v>0</v>
      </c>
      <c r="EH107" s="1026">
        <v>3619411118.939024</v>
      </c>
      <c r="EI107" s="1026">
        <v>1425428619.57445</v>
      </c>
      <c r="EJ107" s="1026">
        <v>1429394485.1373341</v>
      </c>
      <c r="EK107" s="1026">
        <v>764588014.22723937</v>
      </c>
      <c r="EM107" s="1026">
        <v>4090668816.7401323</v>
      </c>
      <c r="ES107" s="1027">
        <v>21650291658.855862</v>
      </c>
    </row>
    <row r="108" spans="5:149">
      <c r="E108" s="1790">
        <v>44805</v>
      </c>
      <c r="G108" s="1375">
        <v>152200300.59742901</v>
      </c>
      <c r="I108" s="1026">
        <v>858521256.91843653</v>
      </c>
      <c r="J108" s="1026">
        <v>858521256.91843653</v>
      </c>
      <c r="M108" s="1026">
        <v>-71075598.393265247</v>
      </c>
      <c r="N108" s="1026">
        <v>-71075598.393265247</v>
      </c>
      <c r="O108" s="1026">
        <v>-71075598.393265247</v>
      </c>
      <c r="Q108" s="1026">
        <v>0</v>
      </c>
      <c r="T108" s="1026">
        <v>0</v>
      </c>
      <c r="X108" s="1026">
        <v>0</v>
      </c>
      <c r="Y108" s="1026">
        <v>0</v>
      </c>
      <c r="AB108" s="1026">
        <v>0</v>
      </c>
      <c r="AF108" s="1026">
        <v>0</v>
      </c>
      <c r="AK108" s="1026">
        <v>0</v>
      </c>
      <c r="AO108" s="1026">
        <v>5226635010.716917</v>
      </c>
      <c r="AP108" s="1026">
        <v>3638054231.9560614</v>
      </c>
      <c r="AQ108" s="1026">
        <v>1588580778.7608552</v>
      </c>
      <c r="AR108" s="1026">
        <v>1588580778.7608552</v>
      </c>
      <c r="AS108" s="1026">
        <v>0</v>
      </c>
      <c r="AY108" s="1026">
        <v>609168050.71999991</v>
      </c>
      <c r="AZ108" s="1026">
        <v>0</v>
      </c>
      <c r="BC108" s="1026">
        <v>0</v>
      </c>
      <c r="BD108" s="1026">
        <v>609168050.71999991</v>
      </c>
      <c r="BE108" s="1026">
        <v>0</v>
      </c>
      <c r="BL108" s="1026">
        <v>0</v>
      </c>
      <c r="BM108" s="1026">
        <v>0</v>
      </c>
      <c r="BT108" s="1026">
        <v>0</v>
      </c>
      <c r="BU108" s="1026">
        <v>0</v>
      </c>
      <c r="CC108" s="1026">
        <v>295607726.65516305</v>
      </c>
      <c r="CD108" s="1026">
        <v>295607726.65516305</v>
      </c>
      <c r="CE108" s="1026">
        <v>295607726.65516305</v>
      </c>
      <c r="CF108" s="1026">
        <v>0</v>
      </c>
      <c r="CJ108" s="1026">
        <v>0</v>
      </c>
      <c r="CL108" s="1026">
        <v>0</v>
      </c>
      <c r="CM108" s="1026">
        <v>0</v>
      </c>
      <c r="CQ108" s="1026">
        <v>749320482.98771191</v>
      </c>
      <c r="CS108" s="1026">
        <v>749320482.98771191</v>
      </c>
      <c r="CU108" s="1026">
        <v>4374852354.2291498</v>
      </c>
      <c r="CV108" s="1026">
        <v>3625619584.1715341</v>
      </c>
      <c r="CW108" s="1026">
        <v>749232770.05761552</v>
      </c>
      <c r="CY108" s="1026">
        <v>0</v>
      </c>
      <c r="DA108" s="1026">
        <v>0</v>
      </c>
      <c r="DE108" s="1026">
        <v>0</v>
      </c>
      <c r="DI108" s="1026">
        <v>0</v>
      </c>
      <c r="DN108" s="1026">
        <v>2046632324.3199999</v>
      </c>
      <c r="DP108" s="1026">
        <v>2046632324.3199999</v>
      </c>
      <c r="DQ108" s="1026">
        <v>2046632324.3199999</v>
      </c>
      <c r="DT108" s="1026">
        <v>0</v>
      </c>
      <c r="DY108" s="1026">
        <v>1389053218.9928031</v>
      </c>
      <c r="EA108" s="1026">
        <v>0</v>
      </c>
      <c r="EB108" s="1026">
        <v>0</v>
      </c>
      <c r="ED108" s="1026">
        <v>1306719949.9200001</v>
      </c>
      <c r="EE108" s="1026">
        <v>82333269.072802991</v>
      </c>
      <c r="EF108" s="1026">
        <v>0</v>
      </c>
      <c r="EH108" s="1026">
        <v>4142468390.5327811</v>
      </c>
      <c r="EI108" s="1026">
        <v>1829219976.6844501</v>
      </c>
      <c r="EJ108" s="1026">
        <v>1474682661.0590789</v>
      </c>
      <c r="EK108" s="1026">
        <v>838565752.78925169</v>
      </c>
      <c r="EM108" s="1026">
        <v>4573454039.5195761</v>
      </c>
      <c r="ES108" s="1027">
        <v>24346837557.796703</v>
      </c>
    </row>
    <row r="109" spans="5:149">
      <c r="E109" s="1790">
        <v>44835</v>
      </c>
      <c r="G109" s="1375">
        <v>159497714.59742901</v>
      </c>
      <c r="I109" s="1026">
        <v>1467313001.4109566</v>
      </c>
      <c r="J109" s="1026">
        <v>1467313001.4109566</v>
      </c>
      <c r="M109" s="1026">
        <v>-130334050.32304716</v>
      </c>
      <c r="N109" s="1026">
        <v>-130334050.32304716</v>
      </c>
      <c r="O109" s="1026">
        <v>-130334050.32304716</v>
      </c>
      <c r="Q109" s="1026">
        <v>0</v>
      </c>
      <c r="T109" s="1026">
        <v>0</v>
      </c>
      <c r="X109" s="1026">
        <v>0</v>
      </c>
      <c r="Y109" s="1026">
        <v>0</v>
      </c>
      <c r="AB109" s="1026">
        <v>0</v>
      </c>
      <c r="AF109" s="1026">
        <v>0</v>
      </c>
      <c r="AK109" s="1026">
        <v>0</v>
      </c>
      <c r="AO109" s="1026">
        <v>6142326078.8568687</v>
      </c>
      <c r="AP109" s="1026">
        <v>4266952880.1953311</v>
      </c>
      <c r="AQ109" s="1026">
        <v>1875373198.6615372</v>
      </c>
      <c r="AR109" s="1026">
        <v>1875373198.6615372</v>
      </c>
      <c r="AS109" s="1026">
        <v>0</v>
      </c>
      <c r="AY109" s="1026">
        <v>707570179.30056393</v>
      </c>
      <c r="AZ109" s="1026">
        <v>0</v>
      </c>
      <c r="BC109" s="1026">
        <v>0</v>
      </c>
      <c r="BD109" s="1026">
        <v>707570179.30056393</v>
      </c>
      <c r="BE109" s="1026">
        <v>0</v>
      </c>
      <c r="BL109" s="1026">
        <v>0</v>
      </c>
      <c r="BM109" s="1026">
        <v>0</v>
      </c>
      <c r="BT109" s="1026">
        <v>0</v>
      </c>
      <c r="BU109" s="1026">
        <v>0</v>
      </c>
      <c r="CC109" s="1026">
        <v>98546487.303379118</v>
      </c>
      <c r="CD109" s="1026">
        <v>98546487.303379118</v>
      </c>
      <c r="CE109" s="1026">
        <v>98546487.303379118</v>
      </c>
      <c r="CF109" s="1026">
        <v>0</v>
      </c>
      <c r="CJ109" s="1026">
        <v>0</v>
      </c>
      <c r="CL109" s="1026">
        <v>0</v>
      </c>
      <c r="CM109" s="1026">
        <v>0</v>
      </c>
      <c r="CQ109" s="1026">
        <v>552307952.41012084</v>
      </c>
      <c r="CS109" s="1026">
        <v>552307952.41012084</v>
      </c>
      <c r="CU109" s="1026">
        <v>5198614365.1492119</v>
      </c>
      <c r="CV109" s="1026">
        <v>4705769449.2247944</v>
      </c>
      <c r="CW109" s="1026">
        <v>492844915.9244175</v>
      </c>
      <c r="CY109" s="1026">
        <v>0</v>
      </c>
      <c r="DA109" s="1026">
        <v>0</v>
      </c>
      <c r="DE109" s="1026">
        <v>0</v>
      </c>
      <c r="DI109" s="1026">
        <v>0</v>
      </c>
      <c r="DN109" s="1026">
        <v>1246712813.29</v>
      </c>
      <c r="DP109" s="1026">
        <v>1246712813.29</v>
      </c>
      <c r="DQ109" s="1026">
        <v>1246712813.29</v>
      </c>
      <c r="DT109" s="1026">
        <v>0</v>
      </c>
      <c r="DY109" s="1026">
        <v>1347177862.6039529</v>
      </c>
      <c r="EA109" s="1026">
        <v>0</v>
      </c>
      <c r="EB109" s="1026">
        <v>0</v>
      </c>
      <c r="ED109" s="1026">
        <v>1263248528.3299999</v>
      </c>
      <c r="EE109" s="1026">
        <v>83929334.273952991</v>
      </c>
      <c r="EF109" s="1026">
        <v>0</v>
      </c>
      <c r="EH109" s="1026">
        <v>4518180937.1499996</v>
      </c>
      <c r="EI109" s="1026">
        <v>1875297336.55</v>
      </c>
      <c r="EJ109" s="1026">
        <v>1818306390.3099999</v>
      </c>
      <c r="EK109" s="1026">
        <v>824577210.28999996</v>
      </c>
      <c r="EM109" s="1026">
        <v>4820282175.4594946</v>
      </c>
      <c r="ES109" s="1027">
        <v>26128195517.208931</v>
      </c>
    </row>
    <row r="110" spans="5:149">
      <c r="E110" s="1790">
        <v>44866</v>
      </c>
      <c r="G110" s="1375">
        <v>157135761.59742901</v>
      </c>
      <c r="I110" s="1026">
        <v>1048792807.2822417</v>
      </c>
      <c r="J110" s="1026">
        <v>1048792807.2822417</v>
      </c>
      <c r="M110" s="1026">
        <v>46281948.508099556</v>
      </c>
      <c r="N110" s="1026">
        <v>46281948.508099556</v>
      </c>
      <c r="O110" s="1026">
        <v>46281948.508099556</v>
      </c>
      <c r="Q110" s="1026">
        <v>0</v>
      </c>
      <c r="T110" s="1026">
        <v>0</v>
      </c>
      <c r="X110" s="1026">
        <v>0</v>
      </c>
      <c r="Y110" s="1026">
        <v>0</v>
      </c>
      <c r="AB110" s="1026">
        <v>0</v>
      </c>
      <c r="AF110" s="1026">
        <v>0</v>
      </c>
      <c r="AK110" s="1026">
        <v>0</v>
      </c>
      <c r="AO110" s="1026">
        <v>6556671599.6070213</v>
      </c>
      <c r="AP110" s="1026">
        <v>4799112723.7173109</v>
      </c>
      <c r="AQ110" s="1026">
        <v>1757558875.8897104</v>
      </c>
      <c r="AR110" s="1026">
        <v>1757558875.8897104</v>
      </c>
      <c r="AS110" s="1026">
        <v>0</v>
      </c>
      <c r="AY110" s="1026">
        <v>706893891.890625</v>
      </c>
      <c r="AZ110" s="1026">
        <v>0</v>
      </c>
      <c r="BC110" s="1026">
        <v>0</v>
      </c>
      <c r="BD110" s="1026">
        <v>706893891.890625</v>
      </c>
      <c r="BE110" s="1026">
        <v>0</v>
      </c>
      <c r="BL110" s="1026">
        <v>0</v>
      </c>
      <c r="BM110" s="1026">
        <v>0</v>
      </c>
      <c r="BT110" s="1026">
        <v>0</v>
      </c>
      <c r="BU110" s="1026">
        <v>0</v>
      </c>
      <c r="CC110" s="1026">
        <v>97835500.027374998</v>
      </c>
      <c r="CD110" s="1026">
        <v>97835500.027374998</v>
      </c>
      <c r="CE110" s="1026">
        <v>97835500.027374998</v>
      </c>
      <c r="CF110" s="1026">
        <v>0</v>
      </c>
      <c r="CJ110" s="1026">
        <v>0</v>
      </c>
      <c r="CL110" s="1026">
        <v>0</v>
      </c>
      <c r="CM110" s="1026">
        <v>0</v>
      </c>
      <c r="CQ110" s="1026">
        <v>0</v>
      </c>
      <c r="CS110" s="1026">
        <v>0</v>
      </c>
      <c r="CU110" s="1026">
        <v>5714165472.7229748</v>
      </c>
      <c r="CV110" s="1026">
        <v>5149026313.0233393</v>
      </c>
      <c r="CW110" s="1026">
        <v>565139159.69963515</v>
      </c>
      <c r="CY110" s="1026">
        <v>0</v>
      </c>
      <c r="DA110" s="1026">
        <v>0</v>
      </c>
      <c r="DE110" s="1026">
        <v>0</v>
      </c>
      <c r="DI110" s="1026">
        <v>0</v>
      </c>
      <c r="DN110" s="1026">
        <v>1700669768.6199999</v>
      </c>
      <c r="DP110" s="1026">
        <v>1700669768.6199999</v>
      </c>
      <c r="DQ110" s="1026">
        <v>1700669768.6199999</v>
      </c>
      <c r="DT110" s="1026">
        <v>0</v>
      </c>
      <c r="DY110" s="1026">
        <v>1311300664.928993</v>
      </c>
      <c r="EA110" s="1026">
        <v>0</v>
      </c>
      <c r="EB110" s="1026">
        <v>0</v>
      </c>
      <c r="ED110" s="1026">
        <v>1223710634.27</v>
      </c>
      <c r="EE110" s="1026">
        <v>87590030.658992991</v>
      </c>
      <c r="EF110" s="1026">
        <v>0</v>
      </c>
      <c r="EH110" s="1026">
        <v>4670992095.5999994</v>
      </c>
      <c r="EI110" s="1026">
        <v>1872208431.01</v>
      </c>
      <c r="EJ110" s="1026">
        <v>1988194997.0599999</v>
      </c>
      <c r="EK110" s="1026">
        <v>810588667.52999997</v>
      </c>
      <c r="EM110" s="1026">
        <v>4920120094.7891846</v>
      </c>
      <c r="ES110" s="1027">
        <v>26930859605.57394</v>
      </c>
    </row>
    <row r="111" spans="5:149">
      <c r="E111" s="1790">
        <v>44896</v>
      </c>
      <c r="G111" s="1375">
        <v>112242492.897429</v>
      </c>
      <c r="I111" s="1026">
        <v>614341665.33445525</v>
      </c>
      <c r="J111" s="1026">
        <v>614341665.33445525</v>
      </c>
      <c r="M111" s="1026">
        <v>55549024.662759304</v>
      </c>
      <c r="N111" s="1026">
        <v>55549024.662759304</v>
      </c>
      <c r="O111" s="1026">
        <v>55549024.662759304</v>
      </c>
      <c r="Q111" s="1026">
        <v>0</v>
      </c>
      <c r="T111" s="1026">
        <v>0</v>
      </c>
      <c r="X111" s="1026">
        <v>0</v>
      </c>
      <c r="Y111" s="1026">
        <v>0</v>
      </c>
      <c r="AB111" s="1026">
        <v>0</v>
      </c>
      <c r="AF111" s="1026">
        <v>0</v>
      </c>
      <c r="AK111" s="1026">
        <v>0</v>
      </c>
      <c r="AO111" s="1026">
        <v>11149324290.401882</v>
      </c>
      <c r="AP111" s="1026">
        <v>8558756866.156291</v>
      </c>
      <c r="AQ111" s="1026">
        <v>2590567424.2455907</v>
      </c>
      <c r="AR111" s="1026">
        <v>2590567424.2455907</v>
      </c>
      <c r="AS111" s="1026">
        <v>0</v>
      </c>
      <c r="AY111" s="1026">
        <v>707015061.56737494</v>
      </c>
      <c r="AZ111" s="1026">
        <v>0</v>
      </c>
      <c r="BC111" s="1026">
        <v>0</v>
      </c>
      <c r="BD111" s="1026">
        <v>707015061.56737494</v>
      </c>
      <c r="BE111" s="1026">
        <v>0</v>
      </c>
      <c r="BL111" s="1026">
        <v>0</v>
      </c>
      <c r="BM111" s="1026">
        <v>0</v>
      </c>
      <c r="BT111" s="1026">
        <v>0</v>
      </c>
      <c r="BU111" s="1026">
        <v>0</v>
      </c>
      <c r="CC111" s="1026">
        <v>0</v>
      </c>
      <c r="CD111" s="1026">
        <v>0</v>
      </c>
      <c r="CE111" s="1026">
        <v>0</v>
      </c>
      <c r="CF111" s="1026">
        <v>0</v>
      </c>
      <c r="CJ111" s="1026">
        <v>0</v>
      </c>
      <c r="CL111" s="1026">
        <v>0</v>
      </c>
      <c r="CM111" s="1026">
        <v>0</v>
      </c>
      <c r="CQ111" s="1026">
        <v>493383022.259</v>
      </c>
      <c r="CS111" s="1026">
        <v>493383022.259</v>
      </c>
      <c r="CU111" s="1026">
        <v>5962543954.9328041</v>
      </c>
      <c r="CV111" s="1026">
        <v>5683034838.9402981</v>
      </c>
      <c r="CW111" s="1026">
        <v>279509115.99250573</v>
      </c>
      <c r="CY111" s="1026">
        <v>0</v>
      </c>
      <c r="DA111" s="1026">
        <v>0</v>
      </c>
      <c r="DE111" s="1026">
        <v>0</v>
      </c>
      <c r="DI111" s="1026">
        <v>0</v>
      </c>
      <c r="DN111" s="1026">
        <v>2767690478.27</v>
      </c>
      <c r="DP111" s="1026">
        <v>2767690478.27</v>
      </c>
      <c r="DQ111" s="1026">
        <v>2767690478.27</v>
      </c>
      <c r="DT111" s="1026">
        <v>0</v>
      </c>
      <c r="DY111" s="1026">
        <v>1675768762.8580379</v>
      </c>
      <c r="EA111" s="1026">
        <v>0</v>
      </c>
      <c r="EB111" s="1026">
        <v>0</v>
      </c>
      <c r="ED111" s="1026">
        <v>1585524018.27</v>
      </c>
      <c r="EE111" s="1026">
        <v>90244744.588037997</v>
      </c>
      <c r="EF111" s="1026">
        <v>0</v>
      </c>
      <c r="EH111" s="1026">
        <v>4731486432.6300001</v>
      </c>
      <c r="EI111" s="1026">
        <v>1879347371.6100001</v>
      </c>
      <c r="EJ111" s="1026">
        <v>2055538936.25</v>
      </c>
      <c r="EK111" s="1026">
        <v>796600124.76999998</v>
      </c>
      <c r="EM111" s="1026">
        <v>5754820601.8644285</v>
      </c>
      <c r="ES111" s="1027">
        <v>34024165787.678177</v>
      </c>
    </row>
    <row r="113" spans="5:149">
      <c r="E113" s="1790">
        <v>44927</v>
      </c>
      <c r="G113" s="1375">
        <v>128983174.497429</v>
      </c>
      <c r="I113" s="1026">
        <v>2365696369.6697998</v>
      </c>
      <c r="J113" s="1026">
        <v>2365696369.6697998</v>
      </c>
      <c r="M113" s="1026">
        <v>113604237.84085464</v>
      </c>
      <c r="N113" s="1026">
        <v>113604237.84085464</v>
      </c>
      <c r="O113" s="1026">
        <v>113604237.84085464</v>
      </c>
      <c r="Q113" s="1026">
        <v>0</v>
      </c>
      <c r="T113" s="1026">
        <v>0</v>
      </c>
      <c r="X113" s="1026">
        <v>0</v>
      </c>
      <c r="Y113" s="1026">
        <v>0</v>
      </c>
      <c r="AB113" s="1026">
        <v>0</v>
      </c>
      <c r="AF113" s="1026">
        <v>0</v>
      </c>
      <c r="AK113" s="1026">
        <v>0</v>
      </c>
      <c r="AO113" s="1026">
        <v>10081076838.473747</v>
      </c>
      <c r="AP113" s="1026">
        <v>6483057388.9769611</v>
      </c>
      <c r="AQ113" s="1026">
        <v>3598019449.4967852</v>
      </c>
      <c r="AR113" s="1026">
        <v>3598019449.4967852</v>
      </c>
      <c r="AS113" s="1026">
        <v>0</v>
      </c>
      <c r="AY113" s="1026">
        <v>805035717.54487491</v>
      </c>
      <c r="AZ113" s="1026">
        <v>0</v>
      </c>
      <c r="BC113" s="1026">
        <v>0</v>
      </c>
      <c r="BD113" s="1026">
        <v>805035717.54487491</v>
      </c>
      <c r="BE113" s="1026">
        <v>0</v>
      </c>
      <c r="BL113" s="1026">
        <v>0</v>
      </c>
      <c r="BM113" s="1026">
        <v>0</v>
      </c>
      <c r="BT113" s="1026">
        <v>0</v>
      </c>
      <c r="BU113" s="1026">
        <v>0</v>
      </c>
      <c r="CC113" s="1026">
        <v>0</v>
      </c>
      <c r="CD113" s="1026">
        <v>0</v>
      </c>
      <c r="CE113" s="1026">
        <v>0</v>
      </c>
      <c r="CF113" s="1026">
        <v>0</v>
      </c>
      <c r="CJ113" s="1026">
        <v>0</v>
      </c>
      <c r="CL113" s="1026">
        <v>0</v>
      </c>
      <c r="CM113" s="1026">
        <v>0</v>
      </c>
      <c r="CQ113" s="1026">
        <v>473690000</v>
      </c>
      <c r="CS113" s="1026">
        <v>473690000</v>
      </c>
      <c r="CU113" s="1026">
        <v>7460944368.1415644</v>
      </c>
      <c r="CV113" s="1026">
        <v>6948777903.5748796</v>
      </c>
      <c r="CW113" s="1026">
        <v>512166464.56668472</v>
      </c>
      <c r="CY113" s="1026">
        <v>0</v>
      </c>
      <c r="DA113" s="1026">
        <v>0</v>
      </c>
      <c r="DE113" s="1026">
        <v>0</v>
      </c>
      <c r="DI113" s="1026">
        <v>0</v>
      </c>
      <c r="DN113" s="1026">
        <v>1344552578.4400001</v>
      </c>
      <c r="DP113" s="1026">
        <v>1344552578.4400001</v>
      </c>
      <c r="DQ113" s="1026">
        <v>1344552578.4400001</v>
      </c>
      <c r="DT113" s="1026">
        <v>0</v>
      </c>
      <c r="DY113" s="1026">
        <v>2113593883.6212449</v>
      </c>
      <c r="EA113" s="1026">
        <v>0</v>
      </c>
      <c r="EB113" s="1026">
        <v>0</v>
      </c>
      <c r="ED113" s="1026">
        <v>2006123641.5</v>
      </c>
      <c r="EE113" s="1026">
        <v>107470242.121245</v>
      </c>
      <c r="EF113" s="1026">
        <v>0</v>
      </c>
      <c r="EH113" s="1026">
        <v>7498865693.2999992</v>
      </c>
      <c r="EI113" s="1026">
        <v>2838138115.1599998</v>
      </c>
      <c r="EJ113" s="1026">
        <v>2791132041.2199998</v>
      </c>
      <c r="EK113" s="1026">
        <v>1869595536.9200001</v>
      </c>
      <c r="EM113" s="1026">
        <v>5047871150.5696354</v>
      </c>
      <c r="ES113" s="1027">
        <v>37433914012.099152</v>
      </c>
    </row>
    <row r="114" spans="5:149">
      <c r="E114" s="1790">
        <v>44958</v>
      </c>
      <c r="G114" s="1375">
        <v>174624042.34742901</v>
      </c>
      <c r="I114" s="1026">
        <v>1848024919.5861831</v>
      </c>
      <c r="J114" s="1026">
        <v>1848024919.5861831</v>
      </c>
      <c r="M114" s="1026">
        <v>401505418.98838186</v>
      </c>
      <c r="N114" s="1026">
        <v>401505418.98838186</v>
      </c>
      <c r="O114" s="1026">
        <v>401505418.98838186</v>
      </c>
      <c r="Q114" s="1026">
        <v>0</v>
      </c>
      <c r="T114" s="1026">
        <v>0</v>
      </c>
      <c r="X114" s="1026">
        <v>0</v>
      </c>
      <c r="Y114" s="1026">
        <v>0</v>
      </c>
      <c r="AB114" s="1026">
        <v>0</v>
      </c>
      <c r="AF114" s="1026">
        <v>0</v>
      </c>
      <c r="AK114" s="1026">
        <v>0</v>
      </c>
      <c r="AO114" s="1026">
        <v>12416816654.270189</v>
      </c>
      <c r="AP114" s="1026">
        <v>9832670409.2065716</v>
      </c>
      <c r="AQ114" s="1026">
        <v>2584146245.0636182</v>
      </c>
      <c r="AR114" s="1026">
        <v>2584146245.0636182</v>
      </c>
      <c r="AS114" s="1026">
        <v>0</v>
      </c>
      <c r="AY114" s="1026">
        <v>903248257.50612497</v>
      </c>
      <c r="AZ114" s="1026">
        <v>0</v>
      </c>
      <c r="BC114" s="1026">
        <v>0</v>
      </c>
      <c r="BD114" s="1026">
        <v>903248257.50612497</v>
      </c>
      <c r="BE114" s="1026">
        <v>0</v>
      </c>
      <c r="BL114" s="1026">
        <v>0</v>
      </c>
      <c r="BM114" s="1026">
        <v>0</v>
      </c>
      <c r="BT114" s="1026">
        <v>0</v>
      </c>
      <c r="BU114" s="1026">
        <v>0</v>
      </c>
      <c r="CC114" s="1026">
        <v>0</v>
      </c>
      <c r="CD114" s="1026">
        <v>0</v>
      </c>
      <c r="CE114" s="1026">
        <v>0</v>
      </c>
      <c r="CF114" s="1026">
        <v>0</v>
      </c>
      <c r="CJ114" s="1026">
        <v>0</v>
      </c>
      <c r="CL114" s="1026">
        <v>0</v>
      </c>
      <c r="CM114" s="1026">
        <v>0</v>
      </c>
      <c r="CQ114" s="1026">
        <v>471595995.84064627</v>
      </c>
      <c r="CS114" s="1026">
        <v>471595995.84064627</v>
      </c>
      <c r="CU114" s="1026">
        <v>9132263387.7521362</v>
      </c>
      <c r="CV114" s="1026">
        <v>7796590577.7121468</v>
      </c>
      <c r="CW114" s="1026">
        <v>1335672810.0399885</v>
      </c>
      <c r="CY114" s="1026">
        <v>0</v>
      </c>
      <c r="DA114" s="1026">
        <v>0</v>
      </c>
      <c r="DE114" s="1026">
        <v>0</v>
      </c>
      <c r="DI114" s="1026">
        <v>0</v>
      </c>
      <c r="DN114" s="1026">
        <v>997892824.23000002</v>
      </c>
      <c r="DP114" s="1026">
        <v>997892824.23000002</v>
      </c>
      <c r="DQ114" s="1026">
        <v>997892824.23000002</v>
      </c>
      <c r="DT114" s="1026">
        <v>0</v>
      </c>
      <c r="DY114" s="1026">
        <v>2542830329.6134853</v>
      </c>
      <c r="EA114" s="1026">
        <v>0</v>
      </c>
      <c r="EB114" s="1026">
        <v>0</v>
      </c>
      <c r="ED114" s="1026">
        <v>2423415376.0700002</v>
      </c>
      <c r="EE114" s="1026">
        <v>119414953.543485</v>
      </c>
      <c r="EF114" s="1026">
        <v>0</v>
      </c>
      <c r="EH114" s="1026">
        <v>8840625829.3213196</v>
      </c>
      <c r="EI114" s="1026">
        <v>2955975497.57445</v>
      </c>
      <c r="EJ114" s="1026">
        <v>4553026236.1803598</v>
      </c>
      <c r="EK114" s="1026">
        <v>1331624095.56651</v>
      </c>
      <c r="EM114" s="1026">
        <v>6262557297.5421219</v>
      </c>
      <c r="ES114" s="1027">
        <v>43991984956.998016</v>
      </c>
    </row>
  </sheetData>
  <customSheetViews>
    <customSheetView guid="{705E0D18-9A83-42CA-8732-90923BE2EC7D}">
      <pane xSplit="4" ySplit="5" topLeftCell="E43" activePane="bottomRight" state="frozen"/>
      <selection pane="bottomRight" activeCell="E51" sqref="E51:E52"/>
      <pageMargins left="0.7" right="0.7" top="0.75" bottom="0.75" header="0.3" footer="0.3"/>
    </customSheetView>
    <customSheetView guid="{D45E5F9E-4EA6-40A2-8A1D-3AC67FB8CE54}">
      <pane xSplit="4" ySplit="5" topLeftCell="E36" activePane="bottomRight" state="frozen"/>
      <selection pane="bottomRight" activeCell="E52" sqref="E52:ES52"/>
      <pageMargins left="0.7" right="0.7" top="0.75" bottom="0.75" header="0.3" footer="0.3"/>
    </customSheetView>
    <customSheetView guid="{89CA84C2-78F5-4B05-8F1D-B7C5F97BCB4E}">
      <pane xSplit="5" ySplit="5" topLeftCell="F36" activePane="bottomRight" state="frozen"/>
      <selection pane="bottomRight" activeCell="A45" sqref="A45:XFD45"/>
      <pageMargins left="0.7" right="0.7" top="0.75" bottom="0.75" header="0.3" footer="0.3"/>
    </customSheetView>
  </customSheetView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sheetPr>
  <dimension ref="B3:FL115"/>
  <sheetViews>
    <sheetView topLeftCell="A56" workbookViewId="0">
      <selection activeCell="B114" sqref="B114:B115"/>
    </sheetView>
  </sheetViews>
  <sheetFormatPr defaultColWidth="8.77734375" defaultRowHeight="15"/>
  <cols>
    <col min="1" max="1" width="8.77734375" style="1026"/>
    <col min="2" max="2" width="9.21875" style="1026" bestFit="1" customWidth="1"/>
    <col min="3" max="3" width="32.44140625" style="1026" bestFit="1" customWidth="1"/>
    <col min="4" max="4" width="16.21875" style="1026" customWidth="1"/>
    <col min="5" max="6" width="12" style="1026" bestFit="1" customWidth="1"/>
    <col min="7" max="14" width="8.77734375" style="1026"/>
    <col min="15" max="16" width="12" style="1026" bestFit="1" customWidth="1"/>
    <col min="17" max="18" width="11" style="1026" bestFit="1" customWidth="1"/>
    <col min="19" max="19" width="10.5546875" style="1026" bestFit="1" customWidth="1"/>
    <col min="20" max="20" width="8.77734375" style="1026"/>
    <col min="21" max="21" width="12" style="1026" bestFit="1" customWidth="1"/>
    <col min="22" max="22" width="11.21875" style="1026" bestFit="1" customWidth="1"/>
    <col min="23" max="23" width="11.77734375" style="1026" bestFit="1" customWidth="1"/>
    <col min="24" max="24" width="8.77734375" style="1026"/>
    <col min="25" max="25" width="9.5546875" style="1026" bestFit="1" customWidth="1"/>
    <col min="26" max="28" width="8.77734375" style="1026"/>
    <col min="29" max="29" width="11" style="1026" bestFit="1" customWidth="1"/>
    <col min="30" max="30" width="8.77734375" style="1026"/>
    <col min="31" max="31" width="11" style="1026" bestFit="1" customWidth="1"/>
    <col min="32" max="32" width="8.77734375" style="1026"/>
    <col min="33" max="34" width="11.77734375" style="1026" bestFit="1" customWidth="1"/>
    <col min="35" max="35" width="11" style="1026" bestFit="1" customWidth="1"/>
    <col min="36" max="36" width="8.77734375" style="1026"/>
    <col min="37" max="38" width="11" style="1026" bestFit="1" customWidth="1"/>
    <col min="39" max="39" width="10.6640625" style="1026" bestFit="1" customWidth="1"/>
    <col min="40" max="40" width="8.77734375" style="1026"/>
    <col min="41" max="42" width="11" style="1026" bestFit="1" customWidth="1"/>
    <col min="43" max="43" width="10.5546875" style="1026" bestFit="1" customWidth="1"/>
    <col min="44" max="44" width="8.77734375" style="1026"/>
    <col min="45" max="45" width="11.6640625" style="1026" bestFit="1" customWidth="1"/>
    <col min="46" max="46" width="11.44140625" style="1026" bestFit="1" customWidth="1"/>
    <col min="47" max="47" width="11" style="1026" bestFit="1" customWidth="1"/>
    <col min="48" max="48" width="8.77734375" style="1026"/>
    <col min="49" max="49" width="9.5546875" style="1026" bestFit="1" customWidth="1"/>
    <col min="50" max="53" width="8.77734375" style="1026"/>
    <col min="54" max="54" width="13.6640625" style="1026" customWidth="1"/>
    <col min="55" max="56" width="10.44140625" style="1026" bestFit="1" customWidth="1"/>
    <col min="57" max="57" width="9.5546875" style="1026" bestFit="1" customWidth="1"/>
    <col min="58" max="61" width="8.77734375" style="1026"/>
    <col min="62" max="62" width="9.5546875" style="1026" bestFit="1" customWidth="1"/>
    <col min="63" max="63" width="8.77734375" style="1026"/>
    <col min="64" max="64" width="9.5546875" style="1026" bestFit="1" customWidth="1"/>
    <col min="65" max="68" width="8.77734375" style="1026"/>
    <col min="69" max="69" width="9.5546875" style="1026" bestFit="1" customWidth="1"/>
    <col min="70" max="70" width="8.77734375" style="1026"/>
    <col min="71" max="71" width="9.5546875" style="1026" bestFit="1" customWidth="1"/>
    <col min="72" max="75" width="8.77734375" style="1026"/>
    <col min="76" max="76" width="9.5546875" style="1026" bestFit="1" customWidth="1"/>
    <col min="77" max="81" width="8.77734375" style="1026"/>
    <col min="82" max="82" width="15.44140625" style="1026" customWidth="1"/>
    <col min="83" max="83" width="9.5546875" style="1026" bestFit="1" customWidth="1"/>
    <col min="84" max="85" width="8.77734375" style="1026"/>
    <col min="86" max="86" width="9.5546875" style="1026" bestFit="1" customWidth="1"/>
    <col min="87" max="89" width="8.77734375" style="1026"/>
    <col min="90" max="90" width="9.5546875" style="1026" bestFit="1" customWidth="1"/>
    <col min="91" max="94" width="8.77734375" style="1026"/>
    <col min="95" max="95" width="14.5546875" style="1026" customWidth="1"/>
    <col min="96" max="96" width="9.5546875" style="1026" bestFit="1" customWidth="1"/>
    <col min="97" max="98" width="8.77734375" style="1026"/>
    <col min="99" max="99" width="9.5546875" style="1026" bestFit="1" customWidth="1"/>
    <col min="100" max="102" width="8.77734375" style="1026"/>
    <col min="103" max="103" width="23.6640625" style="1026" customWidth="1"/>
    <col min="104" max="104" width="8.77734375" style="1026"/>
    <col min="105" max="105" width="13" style="1026" customWidth="1"/>
    <col min="106" max="106" width="9.5546875" style="1026" bestFit="1" customWidth="1"/>
    <col min="107" max="111" width="8.77734375" style="1026"/>
    <col min="112" max="112" width="12.44140625" style="1026" bestFit="1" customWidth="1"/>
    <col min="113" max="113" width="11.6640625" style="1026" bestFit="1" customWidth="1"/>
    <col min="114" max="114" width="11" style="1026" bestFit="1" customWidth="1"/>
    <col min="115" max="115" width="11.6640625" style="1026" bestFit="1" customWidth="1"/>
    <col min="116" max="116" width="12" style="1026" bestFit="1" customWidth="1"/>
    <col min="117" max="117" width="8.77734375" style="1026"/>
    <col min="118" max="118" width="12" style="1026" bestFit="1" customWidth="1"/>
    <col min="119" max="120" width="8.77734375" style="1026"/>
    <col min="121" max="121" width="13" style="1026" bestFit="1" customWidth="1"/>
    <col min="122" max="122" width="9" style="1026" bestFit="1" customWidth="1"/>
    <col min="123" max="123" width="8.77734375" style="1026"/>
    <col min="124" max="124" width="9.21875" style="1026" bestFit="1" customWidth="1"/>
    <col min="125" max="126" width="8.77734375" style="1026"/>
    <col min="127" max="127" width="9" style="1026" bestFit="1" customWidth="1"/>
    <col min="128" max="131" width="8.77734375" style="1026"/>
    <col min="132" max="132" width="9" style="1026" bestFit="1" customWidth="1"/>
    <col min="133" max="135" width="8.77734375" style="1026"/>
    <col min="136" max="137" width="9" style="1026" bestFit="1" customWidth="1"/>
    <col min="138" max="139" width="8.77734375" style="1026"/>
    <col min="140" max="140" width="9" style="1026" bestFit="1" customWidth="1"/>
    <col min="141" max="142" width="8.77734375" style="1026"/>
    <col min="143" max="143" width="9" style="1026" bestFit="1" customWidth="1"/>
    <col min="144" max="148" width="8.77734375" style="1026"/>
    <col min="149" max="150" width="11.44140625" style="1026" bestFit="1" customWidth="1"/>
    <col min="151" max="151" width="10.44140625" style="1026" bestFit="1" customWidth="1"/>
    <col min="152" max="152" width="11.44140625" style="1026" bestFit="1" customWidth="1"/>
    <col min="153" max="155" width="9" style="1026" bestFit="1" customWidth="1"/>
    <col min="156" max="156" width="11.44140625" style="1026" bestFit="1" customWidth="1"/>
    <col min="157" max="157" width="10.44140625" style="1026" bestFit="1" customWidth="1"/>
    <col min="158" max="158" width="11.44140625" style="1026" bestFit="1" customWidth="1"/>
    <col min="159" max="159" width="12" style="1026" bestFit="1" customWidth="1"/>
    <col min="160" max="160" width="9.44140625" style="1026" bestFit="1" customWidth="1"/>
    <col min="161" max="161" width="8.77734375" style="1026"/>
    <col min="162" max="162" width="10.44140625" style="1026" bestFit="1" customWidth="1"/>
    <col min="163" max="167" width="8.77734375" style="1026"/>
    <col min="168" max="168" width="11.44140625" style="1026" bestFit="1" customWidth="1"/>
    <col min="169" max="16384" width="8.77734375" style="1026"/>
  </cols>
  <sheetData>
    <row r="3" spans="2:124">
      <c r="B3" s="1221"/>
      <c r="C3" s="1221" t="s">
        <v>1462</v>
      </c>
      <c r="D3" s="1221"/>
      <c r="E3" s="1221"/>
      <c r="F3" s="1221"/>
      <c r="G3" s="1221"/>
      <c r="H3" s="1221"/>
      <c r="I3" s="1221"/>
      <c r="J3" s="1221"/>
      <c r="K3" s="1221"/>
      <c r="L3" s="1221"/>
      <c r="M3" s="1221"/>
      <c r="N3" s="1221"/>
      <c r="O3" s="1221" t="s">
        <v>1611</v>
      </c>
      <c r="P3" s="1221"/>
      <c r="Q3" s="1221"/>
      <c r="R3" s="1221"/>
      <c r="S3" s="1221"/>
      <c r="T3" s="1221"/>
      <c r="U3" s="1221"/>
      <c r="V3" s="1221"/>
      <c r="W3" s="1221"/>
      <c r="X3" s="1221"/>
      <c r="Y3" s="1221"/>
      <c r="Z3" s="1221"/>
      <c r="AA3" s="1221"/>
      <c r="AB3" s="1221"/>
      <c r="AC3" s="1221"/>
      <c r="AD3" s="1221"/>
      <c r="AE3" s="1221"/>
      <c r="AF3" s="1221"/>
      <c r="AG3" s="1221"/>
      <c r="AH3" s="1221"/>
      <c r="AI3" s="1221"/>
      <c r="AJ3" s="1221"/>
      <c r="AK3" s="1221"/>
      <c r="AL3" s="1221"/>
      <c r="AM3" s="1221"/>
      <c r="AN3" s="1221"/>
      <c r="AO3" s="1221"/>
      <c r="AP3" s="1221"/>
      <c r="AQ3" s="1221"/>
      <c r="AR3" s="1221"/>
      <c r="AS3" s="1221"/>
      <c r="AT3" s="1221"/>
      <c r="AU3" s="1221"/>
      <c r="AV3" s="1221"/>
      <c r="AW3" s="1221"/>
      <c r="AX3" s="1221"/>
      <c r="AY3" s="1221"/>
      <c r="AZ3" s="1221"/>
      <c r="BA3" s="1221"/>
      <c r="BB3" s="1221" t="s">
        <v>1612</v>
      </c>
      <c r="BC3" s="1221"/>
      <c r="BD3" s="1221"/>
      <c r="BE3" s="1221"/>
      <c r="BF3" s="1221"/>
      <c r="BG3" s="1221"/>
      <c r="BH3" s="1221"/>
      <c r="BI3" s="1221"/>
      <c r="BJ3" s="1221"/>
      <c r="BK3" s="1221"/>
      <c r="BL3" s="1221"/>
      <c r="BM3" s="1221"/>
      <c r="BN3" s="1221"/>
      <c r="BO3" s="1221"/>
      <c r="BP3" s="1221"/>
      <c r="BQ3" s="1221"/>
      <c r="BR3" s="1221"/>
      <c r="BS3" s="1221"/>
      <c r="BT3" s="1221"/>
      <c r="BU3" s="1221"/>
      <c r="BV3" s="1221"/>
      <c r="BW3" s="1221"/>
      <c r="BX3" s="1221" t="s">
        <v>1613</v>
      </c>
      <c r="BY3" s="1221"/>
      <c r="BZ3" s="1221"/>
      <c r="CA3" s="1221"/>
      <c r="CB3" s="1221"/>
      <c r="CC3" s="1221"/>
      <c r="CD3" s="1221" t="s">
        <v>1664</v>
      </c>
      <c r="CE3" s="1221"/>
      <c r="CF3" s="1221"/>
      <c r="CG3" s="1221"/>
      <c r="CH3" s="1221"/>
      <c r="CI3" s="1221"/>
      <c r="CJ3" s="1221"/>
      <c r="CK3" s="1221"/>
      <c r="CL3" s="1221"/>
      <c r="CM3" s="1221"/>
      <c r="CN3" s="1221"/>
      <c r="CO3" s="1221"/>
      <c r="CP3" s="1221"/>
      <c r="CQ3" s="1221" t="s">
        <v>1665</v>
      </c>
      <c r="CR3" s="1221"/>
      <c r="CS3" s="1221"/>
      <c r="CT3" s="1221"/>
      <c r="CU3" s="1221"/>
      <c r="CV3" s="1221"/>
      <c r="CW3" s="1221"/>
      <c r="CX3" s="1221"/>
      <c r="CY3" s="1221" t="s">
        <v>1666</v>
      </c>
      <c r="CZ3" s="1221"/>
      <c r="DA3" s="1221" t="s">
        <v>1617</v>
      </c>
      <c r="DB3" s="1221"/>
      <c r="DC3" s="1221"/>
      <c r="DD3" s="1221"/>
      <c r="DE3" s="1221"/>
      <c r="DF3" s="1221"/>
      <c r="DG3" s="1221"/>
      <c r="DH3" s="1221" t="s">
        <v>1618</v>
      </c>
      <c r="DI3" s="1221"/>
      <c r="DJ3" s="1221"/>
      <c r="DK3" s="1221"/>
      <c r="DL3" s="1221"/>
      <c r="DM3" s="1221"/>
      <c r="DN3" s="1221" t="s">
        <v>1619</v>
      </c>
      <c r="DO3" s="1221"/>
      <c r="DP3" s="1221" t="s">
        <v>1424</v>
      </c>
      <c r="DQ3" s="1221" t="s">
        <v>296</v>
      </c>
      <c r="DR3" s="1221" t="s">
        <v>1424</v>
      </c>
      <c r="DS3" s="1221"/>
      <c r="DT3" s="1221"/>
    </row>
    <row r="4" spans="2:124">
      <c r="B4" s="1221"/>
      <c r="C4" s="1221" t="s">
        <v>1667</v>
      </c>
      <c r="D4" s="1221" t="s">
        <v>1668</v>
      </c>
      <c r="E4" s="1221" t="s">
        <v>1669</v>
      </c>
      <c r="F4" s="1221" t="s">
        <v>1670</v>
      </c>
      <c r="G4" s="1221" t="s">
        <v>1482</v>
      </c>
      <c r="H4" s="1221" t="s">
        <v>1483</v>
      </c>
      <c r="I4" s="1221" t="s">
        <v>1671</v>
      </c>
      <c r="J4" s="1221" t="s">
        <v>1484</v>
      </c>
      <c r="K4" s="1221" t="s">
        <v>1672</v>
      </c>
      <c r="L4" s="1221" t="s">
        <v>1485</v>
      </c>
      <c r="M4" s="1221" t="s">
        <v>1486</v>
      </c>
      <c r="N4" s="1221"/>
      <c r="O4" s="1221" t="s">
        <v>1673</v>
      </c>
      <c r="P4" s="1221" t="s">
        <v>1668</v>
      </c>
      <c r="Q4" s="1221" t="s">
        <v>1481</v>
      </c>
      <c r="R4" s="1221" t="s">
        <v>1487</v>
      </c>
      <c r="S4" s="1221" t="s">
        <v>1488</v>
      </c>
      <c r="T4" s="1221" t="s">
        <v>1489</v>
      </c>
      <c r="U4" s="1221" t="s">
        <v>1674</v>
      </c>
      <c r="V4" s="1221" t="s">
        <v>1490</v>
      </c>
      <c r="W4" s="1221" t="s">
        <v>1491</v>
      </c>
      <c r="X4" s="1221" t="s">
        <v>1492</v>
      </c>
      <c r="Y4" s="1221" t="s">
        <v>1482</v>
      </c>
      <c r="Z4" s="1221" t="s">
        <v>1474</v>
      </c>
      <c r="AA4" s="1221" t="s">
        <v>1475</v>
      </c>
      <c r="AB4" s="1221" t="s">
        <v>1476</v>
      </c>
      <c r="AC4" s="1221" t="s">
        <v>1483</v>
      </c>
      <c r="AD4" s="1221" t="s">
        <v>1474</v>
      </c>
      <c r="AE4" s="1221" t="s">
        <v>1475</v>
      </c>
      <c r="AF4" s="1221" t="s">
        <v>1476</v>
      </c>
      <c r="AG4" s="1221" t="s">
        <v>1675</v>
      </c>
      <c r="AH4" s="1221" t="s">
        <v>1474</v>
      </c>
      <c r="AI4" s="1221" t="s">
        <v>1475</v>
      </c>
      <c r="AJ4" s="1221" t="s">
        <v>1476</v>
      </c>
      <c r="AK4" s="1221" t="s">
        <v>1484</v>
      </c>
      <c r="AL4" s="1221" t="s">
        <v>1474</v>
      </c>
      <c r="AM4" s="1221" t="s">
        <v>1475</v>
      </c>
      <c r="AN4" s="1221" t="s">
        <v>1476</v>
      </c>
      <c r="AO4" s="1221" t="s">
        <v>1676</v>
      </c>
      <c r="AP4" s="1221" t="s">
        <v>1474</v>
      </c>
      <c r="AQ4" s="1221" t="s">
        <v>1475</v>
      </c>
      <c r="AR4" s="1221" t="s">
        <v>1476</v>
      </c>
      <c r="AS4" s="1221" t="s">
        <v>1677</v>
      </c>
      <c r="AT4" s="1221" t="s">
        <v>1474</v>
      </c>
      <c r="AU4" s="1221" t="s">
        <v>1475</v>
      </c>
      <c r="AV4" s="1221" t="s">
        <v>1476</v>
      </c>
      <c r="AW4" s="1221" t="s">
        <v>1678</v>
      </c>
      <c r="AX4" s="1221" t="s">
        <v>1474</v>
      </c>
      <c r="AY4" s="1221" t="s">
        <v>1475</v>
      </c>
      <c r="AZ4" s="1221" t="s">
        <v>1476</v>
      </c>
      <c r="BA4" s="1221"/>
      <c r="BB4" s="1221" t="s">
        <v>1493</v>
      </c>
      <c r="BC4" s="1221" t="s">
        <v>1436</v>
      </c>
      <c r="BD4" s="1221" t="s">
        <v>1494</v>
      </c>
      <c r="BE4" s="1221" t="s">
        <v>1365</v>
      </c>
      <c r="BF4" s="1221" t="s">
        <v>1437</v>
      </c>
      <c r="BG4" s="1221" t="s">
        <v>1495</v>
      </c>
      <c r="BH4" s="1221" t="s">
        <v>1496</v>
      </c>
      <c r="BI4" s="1221"/>
      <c r="BJ4" s="1221" t="s">
        <v>1447</v>
      </c>
      <c r="BK4" s="1221" t="s">
        <v>1494</v>
      </c>
      <c r="BL4" s="1221" t="s">
        <v>1365</v>
      </c>
      <c r="BM4" s="1221" t="s">
        <v>1437</v>
      </c>
      <c r="BN4" s="1221" t="s">
        <v>1495</v>
      </c>
      <c r="BO4" s="1221" t="s">
        <v>1496</v>
      </c>
      <c r="BP4" s="1221"/>
      <c r="BQ4" s="1221" t="s">
        <v>1497</v>
      </c>
      <c r="BR4" s="1221" t="s">
        <v>1494</v>
      </c>
      <c r="BS4" s="1221" t="s">
        <v>1365</v>
      </c>
      <c r="BT4" s="1221" t="s">
        <v>1437</v>
      </c>
      <c r="BU4" s="1221" t="s">
        <v>1495</v>
      </c>
      <c r="BV4" s="1221" t="s">
        <v>1496</v>
      </c>
      <c r="BW4" s="1221"/>
      <c r="BX4" s="1221" t="s">
        <v>1679</v>
      </c>
      <c r="BY4" s="1221" t="s">
        <v>1680</v>
      </c>
      <c r="BZ4" s="1221" t="s">
        <v>1498</v>
      </c>
      <c r="CA4" s="1221" t="s">
        <v>1499</v>
      </c>
      <c r="CB4" s="1221" t="s">
        <v>1500</v>
      </c>
      <c r="CC4" s="1221"/>
      <c r="CD4" s="1221" t="s">
        <v>1681</v>
      </c>
      <c r="CE4" s="1221" t="s">
        <v>1682</v>
      </c>
      <c r="CF4" s="1221" t="s">
        <v>1364</v>
      </c>
      <c r="CG4" s="1221" t="s">
        <v>1365</v>
      </c>
      <c r="CH4" s="1221" t="s">
        <v>1683</v>
      </c>
      <c r="CI4" s="1221" t="s">
        <v>1364</v>
      </c>
      <c r="CJ4" s="1221" t="s">
        <v>1365</v>
      </c>
      <c r="CK4" s="1221"/>
      <c r="CL4" s="1221" t="s">
        <v>1684</v>
      </c>
      <c r="CM4" s="1221" t="s">
        <v>1364</v>
      </c>
      <c r="CN4" s="1221" t="s">
        <v>1365</v>
      </c>
      <c r="CO4" s="1221"/>
      <c r="CP4" s="1221"/>
      <c r="CQ4" s="1221" t="s">
        <v>1685</v>
      </c>
      <c r="CR4" s="1221" t="s">
        <v>1686</v>
      </c>
      <c r="CS4" s="1221" t="s">
        <v>1364</v>
      </c>
      <c r="CT4" s="1221" t="s">
        <v>1365</v>
      </c>
      <c r="CU4" s="1221" t="s">
        <v>1687</v>
      </c>
      <c r="CV4" s="1221" t="s">
        <v>1364</v>
      </c>
      <c r="CW4" s="1221" t="s">
        <v>1365</v>
      </c>
      <c r="CX4" s="1221"/>
      <c r="CY4" s="1221" t="s">
        <v>1688</v>
      </c>
      <c r="CZ4" s="1221"/>
      <c r="DA4" s="1221" t="s">
        <v>1169</v>
      </c>
      <c r="DB4" s="1221" t="s">
        <v>1689</v>
      </c>
      <c r="DC4" s="1221" t="s">
        <v>1364</v>
      </c>
      <c r="DD4" s="1221" t="s">
        <v>1365</v>
      </c>
      <c r="DE4" s="1221" t="s">
        <v>1690</v>
      </c>
      <c r="DF4" s="1221"/>
      <c r="DG4" s="1221"/>
      <c r="DH4" s="1221" t="s">
        <v>1691</v>
      </c>
      <c r="DI4" s="1221" t="s">
        <v>1456</v>
      </c>
      <c r="DJ4" s="1221" t="s">
        <v>1457</v>
      </c>
      <c r="DK4" s="1221" t="s">
        <v>1692</v>
      </c>
      <c r="DL4" s="1221" t="s">
        <v>1458</v>
      </c>
      <c r="DM4" s="1221"/>
      <c r="DN4" s="1221" t="s">
        <v>1693</v>
      </c>
      <c r="DO4" s="1221"/>
      <c r="DP4" s="1221" t="s">
        <v>1424</v>
      </c>
      <c r="DQ4" s="1221" t="s">
        <v>1501</v>
      </c>
      <c r="DR4" s="1221" t="s">
        <v>1424</v>
      </c>
      <c r="DS4" s="1221"/>
      <c r="DT4" s="1221" t="s">
        <v>1502</v>
      </c>
    </row>
    <row r="5" spans="2:124">
      <c r="B5" s="1221"/>
      <c r="C5" s="1221"/>
      <c r="D5" s="1221"/>
      <c r="E5" s="1221"/>
      <c r="F5" s="1221"/>
      <c r="G5" s="1221"/>
      <c r="H5" s="1221"/>
      <c r="I5" s="1221"/>
      <c r="J5" s="1221"/>
      <c r="K5" s="1221"/>
      <c r="L5" s="1221"/>
      <c r="M5" s="1221"/>
      <c r="N5" s="1221"/>
      <c r="O5" s="1221"/>
      <c r="P5" s="1221"/>
      <c r="Q5" s="1221"/>
      <c r="R5" s="1221"/>
      <c r="S5" s="1221"/>
      <c r="T5" s="1221"/>
      <c r="U5" s="1221"/>
      <c r="V5" s="1221"/>
      <c r="W5" s="1221"/>
      <c r="X5" s="1221"/>
      <c r="Y5" s="1221"/>
      <c r="Z5" s="1221"/>
      <c r="AA5" s="1221"/>
      <c r="AB5" s="1221"/>
      <c r="AC5" s="1221"/>
      <c r="AD5" s="1221"/>
      <c r="AE5" s="1221"/>
      <c r="AF5" s="1221"/>
      <c r="AG5" s="1221"/>
      <c r="AH5" s="1221"/>
      <c r="AI5" s="1221"/>
      <c r="AJ5" s="1221"/>
      <c r="AK5" s="1221"/>
      <c r="AL5" s="1221"/>
      <c r="AM5" s="1221"/>
      <c r="AN5" s="1221"/>
      <c r="AO5" s="1221"/>
      <c r="AP5" s="1221"/>
      <c r="AQ5" s="1221"/>
      <c r="AR5" s="1221"/>
      <c r="AS5" s="1221"/>
      <c r="AT5" s="1221"/>
      <c r="AU5" s="1221"/>
      <c r="AV5" s="1221"/>
      <c r="AW5" s="1221"/>
      <c r="AX5" s="1221"/>
      <c r="AY5" s="1221"/>
      <c r="AZ5" s="1221"/>
      <c r="BA5" s="1221"/>
      <c r="BB5" s="1221"/>
      <c r="BC5" s="1221"/>
      <c r="BD5" s="1221"/>
      <c r="BE5" s="1221"/>
      <c r="BF5" s="1221"/>
      <c r="BG5" s="1221"/>
      <c r="BH5" s="1221"/>
      <c r="BI5" s="1221"/>
      <c r="BJ5" s="1221"/>
      <c r="BK5" s="1221"/>
      <c r="BL5" s="1221"/>
      <c r="BM5" s="1221"/>
      <c r="BN5" s="1221"/>
      <c r="BO5" s="1221"/>
      <c r="BP5" s="1221"/>
      <c r="BQ5" s="1221"/>
      <c r="BR5" s="1221"/>
      <c r="BS5" s="1221"/>
      <c r="BT5" s="1221"/>
      <c r="BU5" s="1221"/>
      <c r="BV5" s="1221"/>
      <c r="BW5" s="1221"/>
      <c r="BX5" s="1221"/>
      <c r="BY5" s="1221"/>
      <c r="BZ5" s="1221"/>
      <c r="CA5" s="1221"/>
      <c r="CB5" s="1221"/>
      <c r="CC5" s="1221"/>
      <c r="CD5" s="1221"/>
      <c r="CE5" s="1221"/>
      <c r="CF5" s="1221"/>
      <c r="CG5" s="1221"/>
      <c r="CH5" s="1221"/>
      <c r="CI5" s="1221"/>
      <c r="CJ5" s="1221"/>
      <c r="CK5" s="1221"/>
      <c r="CL5" s="1221"/>
      <c r="CM5" s="1221"/>
      <c r="CN5" s="1221"/>
      <c r="CO5" s="1221"/>
      <c r="CP5" s="1221"/>
      <c r="CQ5" s="1221"/>
      <c r="CR5" s="1221"/>
      <c r="CS5" s="1221"/>
      <c r="CT5" s="1221"/>
      <c r="CU5" s="1221"/>
      <c r="CV5" s="1221"/>
      <c r="CW5" s="1221"/>
      <c r="CX5" s="1221"/>
      <c r="CY5" s="1221"/>
      <c r="CZ5" s="1221"/>
      <c r="DA5" s="1221"/>
      <c r="DB5" s="1221"/>
      <c r="DC5" s="1221"/>
      <c r="DD5" s="1221"/>
      <c r="DE5" s="1221"/>
      <c r="DF5" s="1221"/>
      <c r="DG5" s="1221" t="s">
        <v>1424</v>
      </c>
      <c r="DH5" s="1221"/>
      <c r="DI5" s="1221"/>
      <c r="DJ5" s="1221"/>
      <c r="DK5" s="1221"/>
      <c r="DL5" s="1221"/>
      <c r="DM5" s="1221" t="s">
        <v>1424</v>
      </c>
      <c r="DN5" s="1221"/>
      <c r="DO5" s="1221"/>
      <c r="DP5" s="1221"/>
      <c r="DQ5" s="1221"/>
      <c r="DR5" s="1221"/>
      <c r="DS5" s="1221"/>
      <c r="DT5" s="1221"/>
    </row>
    <row r="6" spans="2:124">
      <c r="C6" s="1375"/>
      <c r="D6" s="1375"/>
      <c r="E6" s="1375"/>
      <c r="F6" s="1375"/>
      <c r="G6" s="1375"/>
      <c r="H6" s="1375"/>
      <c r="I6" s="1375"/>
      <c r="J6" s="1375"/>
      <c r="K6" s="1375"/>
      <c r="L6" s="1375"/>
      <c r="M6" s="1375"/>
      <c r="N6" s="1375"/>
      <c r="O6" s="1375"/>
      <c r="P6" s="1375"/>
      <c r="Q6" s="1375"/>
      <c r="R6" s="1375"/>
      <c r="S6" s="1375"/>
      <c r="T6" s="1375"/>
      <c r="U6" s="1375"/>
      <c r="V6" s="1375"/>
      <c r="W6" s="1375"/>
      <c r="X6" s="1375"/>
      <c r="Y6" s="1375"/>
      <c r="Z6" s="1375"/>
      <c r="AA6" s="1375"/>
      <c r="AB6" s="1375"/>
      <c r="AC6" s="1375"/>
      <c r="AD6" s="1375"/>
      <c r="AE6" s="1375"/>
      <c r="AF6" s="1375"/>
      <c r="AG6" s="1375"/>
      <c r="AH6" s="1375"/>
      <c r="AI6" s="1375"/>
      <c r="AJ6" s="1375"/>
      <c r="AK6" s="1375"/>
      <c r="AL6" s="1375"/>
      <c r="AM6" s="1375"/>
      <c r="AN6" s="1375"/>
      <c r="AO6" s="1375"/>
      <c r="AP6" s="1375"/>
      <c r="AQ6" s="1375"/>
      <c r="AR6" s="1375"/>
      <c r="AS6" s="1375"/>
      <c r="AT6" s="1375"/>
      <c r="AU6" s="1375"/>
      <c r="AV6" s="1375"/>
      <c r="AW6" s="1375"/>
      <c r="AX6" s="1375"/>
      <c r="AY6" s="1375"/>
      <c r="AZ6" s="1375"/>
      <c r="BA6" s="1375"/>
      <c r="BB6" s="1375"/>
      <c r="BC6" s="1375"/>
      <c r="BD6" s="1375"/>
      <c r="BE6" s="1375"/>
      <c r="BF6" s="1375"/>
      <c r="BG6" s="1375"/>
      <c r="BH6" s="1375"/>
      <c r="BI6" s="1375"/>
      <c r="BJ6" s="1375"/>
      <c r="BK6" s="1375"/>
      <c r="BL6" s="1375"/>
      <c r="BM6" s="1375"/>
      <c r="BN6" s="1375"/>
      <c r="BO6" s="1375"/>
      <c r="BP6" s="1375"/>
      <c r="BQ6" s="1375"/>
      <c r="BR6" s="1375"/>
      <c r="BS6" s="1375"/>
      <c r="BT6" s="1375"/>
      <c r="BU6" s="1375"/>
      <c r="BV6" s="1375"/>
      <c r="BW6" s="1375"/>
      <c r="BX6" s="1375"/>
      <c r="BY6" s="1375"/>
      <c r="BZ6" s="1375"/>
      <c r="CA6" s="1375"/>
      <c r="CB6" s="1375"/>
      <c r="CC6" s="1375"/>
      <c r="CD6" s="1375"/>
      <c r="CE6" s="1375"/>
      <c r="CF6" s="1375"/>
      <c r="CG6" s="1375"/>
      <c r="CH6" s="1375"/>
      <c r="CI6" s="1375"/>
      <c r="CJ6" s="1375"/>
      <c r="CK6" s="1375"/>
      <c r="CL6" s="1375"/>
      <c r="CM6" s="1375"/>
      <c r="CN6" s="1375"/>
      <c r="CO6" s="1375"/>
      <c r="CP6" s="1375"/>
      <c r="CQ6" s="1375"/>
      <c r="CR6" s="1375"/>
      <c r="CS6" s="1375"/>
      <c r="CT6" s="1375"/>
      <c r="CU6" s="1375"/>
      <c r="CV6" s="1375"/>
      <c r="CW6" s="1375"/>
      <c r="CX6" s="1375"/>
      <c r="CY6" s="1375"/>
      <c r="CZ6" s="1375"/>
      <c r="DA6" s="1375"/>
      <c r="DB6" s="1375"/>
      <c r="DC6" s="1375"/>
      <c r="DD6" s="1375"/>
      <c r="DE6" s="1375"/>
      <c r="DF6" s="1375"/>
      <c r="DG6" s="1375"/>
      <c r="DH6" s="1375"/>
      <c r="DI6" s="1375"/>
      <c r="DJ6" s="1375"/>
      <c r="DK6" s="1375"/>
      <c r="DL6" s="1375"/>
      <c r="DM6" s="1375"/>
      <c r="DN6" s="1375"/>
      <c r="DO6" s="1375"/>
      <c r="DP6" s="1375"/>
      <c r="DQ6" s="1375"/>
      <c r="DR6" s="1375"/>
      <c r="DS6" s="1375"/>
      <c r="DT6" s="1375"/>
    </row>
    <row r="7" spans="2:124">
      <c r="B7" s="1223">
        <v>42005</v>
      </c>
      <c r="C7" s="1423">
        <v>70144770</v>
      </c>
      <c r="D7" s="1423">
        <v>70144770</v>
      </c>
      <c r="E7" s="1423">
        <v>62180320</v>
      </c>
      <c r="F7" s="1423">
        <v>7964450</v>
      </c>
      <c r="G7" s="1423"/>
      <c r="H7" s="1423"/>
      <c r="I7" s="1423"/>
      <c r="J7" s="1423"/>
      <c r="K7" s="1423"/>
      <c r="L7" s="1423"/>
      <c r="M7" s="1423"/>
      <c r="N7" s="1423"/>
      <c r="O7" s="1423">
        <v>16138771</v>
      </c>
      <c r="P7" s="1423">
        <v>2720811</v>
      </c>
      <c r="Q7" s="1423">
        <v>2668572</v>
      </c>
      <c r="R7" s="1423">
        <v>1670735</v>
      </c>
      <c r="S7" s="1423">
        <v>997837</v>
      </c>
      <c r="T7" s="1423"/>
      <c r="U7" s="1423">
        <v>52239</v>
      </c>
      <c r="V7" s="1423">
        <v>52239</v>
      </c>
      <c r="W7" s="1423"/>
      <c r="X7" s="1423"/>
      <c r="Y7" s="1423">
        <v>0</v>
      </c>
      <c r="Z7" s="1423"/>
      <c r="AA7" s="1423"/>
      <c r="AB7" s="1423"/>
      <c r="AC7" s="1423">
        <v>0</v>
      </c>
      <c r="AD7" s="1423"/>
      <c r="AE7" s="1423"/>
      <c r="AF7" s="1423"/>
      <c r="AG7" s="1423">
        <v>2780608</v>
      </c>
      <c r="AH7" s="1423">
        <v>1660332</v>
      </c>
      <c r="AI7" s="1423">
        <v>1120276</v>
      </c>
      <c r="AJ7" s="1423"/>
      <c r="AK7" s="1423">
        <v>2398661</v>
      </c>
      <c r="AL7" s="1423">
        <v>2398661</v>
      </c>
      <c r="AM7" s="1423"/>
      <c r="AN7" s="1423"/>
      <c r="AO7" s="1423">
        <v>3145971</v>
      </c>
      <c r="AP7" s="1423">
        <v>3145971</v>
      </c>
      <c r="AQ7" s="1423"/>
      <c r="AR7" s="1423"/>
      <c r="AS7" s="1423">
        <v>5092720</v>
      </c>
      <c r="AT7" s="1423">
        <v>2152207</v>
      </c>
      <c r="AU7" s="1423">
        <v>2940513</v>
      </c>
      <c r="AV7" s="1423"/>
      <c r="AW7" s="1423">
        <v>0</v>
      </c>
      <c r="AX7" s="1423"/>
      <c r="AY7" s="1423"/>
      <c r="AZ7" s="1423"/>
      <c r="BA7" s="1423"/>
      <c r="BB7" s="1423">
        <v>0</v>
      </c>
      <c r="BC7" s="1423">
        <v>0</v>
      </c>
      <c r="BD7" s="1423"/>
      <c r="BE7" s="1423">
        <v>0</v>
      </c>
      <c r="BF7" s="1423"/>
      <c r="BG7" s="1423"/>
      <c r="BH7" s="1423"/>
      <c r="BI7" s="1423"/>
      <c r="BJ7" s="1423">
        <v>0</v>
      </c>
      <c r="BK7" s="1423"/>
      <c r="BL7" s="1423">
        <v>0</v>
      </c>
      <c r="BM7" s="1423"/>
      <c r="BN7" s="1423"/>
      <c r="BO7" s="1423"/>
      <c r="BP7" s="1423"/>
      <c r="BQ7" s="1423">
        <v>0</v>
      </c>
      <c r="BR7" s="1423"/>
      <c r="BS7" s="1423">
        <v>0</v>
      </c>
      <c r="BT7" s="1423"/>
      <c r="BU7" s="1423"/>
      <c r="BV7" s="1423"/>
      <c r="BW7" s="1423"/>
      <c r="BX7" s="1423">
        <v>0</v>
      </c>
      <c r="BY7" s="1423"/>
      <c r="BZ7" s="1423"/>
      <c r="CA7" s="1423"/>
      <c r="CB7" s="1423"/>
      <c r="CC7" s="1423"/>
      <c r="CD7" s="1423">
        <v>0</v>
      </c>
      <c r="CE7" s="1423">
        <v>0</v>
      </c>
      <c r="CF7" s="1423"/>
      <c r="CG7" s="1423"/>
      <c r="CH7" s="1423">
        <v>0</v>
      </c>
      <c r="CI7" s="1423"/>
      <c r="CJ7" s="1423"/>
      <c r="CK7" s="1423"/>
      <c r="CL7" s="1423">
        <v>0</v>
      </c>
      <c r="CM7" s="1423"/>
      <c r="CN7" s="1423"/>
      <c r="CO7" s="1423"/>
      <c r="CP7" s="1423"/>
      <c r="CQ7" s="1423">
        <v>0</v>
      </c>
      <c r="CR7" s="1423">
        <v>0</v>
      </c>
      <c r="CS7" s="1423"/>
      <c r="CT7" s="1423"/>
      <c r="CU7" s="1423">
        <v>0</v>
      </c>
      <c r="CV7" s="1423"/>
      <c r="CW7" s="1423"/>
      <c r="CX7" s="1423"/>
      <c r="CY7" s="1423">
        <v>2391375</v>
      </c>
      <c r="CZ7" s="1423"/>
      <c r="DA7" s="1423">
        <v>0</v>
      </c>
      <c r="DB7" s="1423">
        <v>0</v>
      </c>
      <c r="DC7" s="1423"/>
      <c r="DD7" s="1423"/>
      <c r="DE7" s="1423"/>
      <c r="DF7" s="1423"/>
      <c r="DG7" s="1423"/>
      <c r="DH7" s="1423">
        <v>13646174</v>
      </c>
      <c r="DI7" s="1423">
        <v>4635820</v>
      </c>
      <c r="DJ7" s="1423">
        <v>3306455</v>
      </c>
      <c r="DK7" s="1423">
        <v>387616</v>
      </c>
      <c r="DL7" s="1423">
        <v>5316283</v>
      </c>
      <c r="DM7" s="1423"/>
      <c r="DN7" s="1423">
        <v>5640456.5199999958</v>
      </c>
      <c r="DO7" s="1423"/>
      <c r="DP7" s="1423"/>
      <c r="DQ7" s="1423">
        <v>107961546.52</v>
      </c>
      <c r="DR7" s="1374"/>
      <c r="DS7" s="1374"/>
      <c r="DT7" s="1374">
        <v>0</v>
      </c>
    </row>
    <row r="8" spans="2:124">
      <c r="B8" s="1223">
        <v>42036</v>
      </c>
      <c r="C8" s="1423">
        <v>72839136</v>
      </c>
      <c r="D8" s="1423">
        <v>72839136</v>
      </c>
      <c r="E8" s="1423">
        <v>65853362</v>
      </c>
      <c r="F8" s="1423">
        <v>6985774</v>
      </c>
      <c r="G8" s="1423"/>
      <c r="H8" s="1423"/>
      <c r="I8" s="1423"/>
      <c r="J8" s="1423"/>
      <c r="K8" s="1423"/>
      <c r="L8" s="1423"/>
      <c r="M8" s="1423"/>
      <c r="N8" s="1423"/>
      <c r="O8" s="1423">
        <v>17519805</v>
      </c>
      <c r="P8" s="1423">
        <v>2795911</v>
      </c>
      <c r="Q8" s="1423">
        <v>2743216</v>
      </c>
      <c r="R8" s="1423">
        <v>1581388</v>
      </c>
      <c r="S8" s="1423">
        <v>1161828</v>
      </c>
      <c r="T8" s="1423"/>
      <c r="U8" s="1423">
        <v>52695</v>
      </c>
      <c r="V8" s="1423">
        <v>52695</v>
      </c>
      <c r="W8" s="1423"/>
      <c r="X8" s="1423"/>
      <c r="Y8" s="1423">
        <v>0</v>
      </c>
      <c r="Z8" s="1423"/>
      <c r="AA8" s="1423"/>
      <c r="AB8" s="1423"/>
      <c r="AC8" s="1423">
        <v>0</v>
      </c>
      <c r="AD8" s="1423"/>
      <c r="AE8" s="1423"/>
      <c r="AF8" s="1423"/>
      <c r="AG8" s="1423">
        <v>3520864</v>
      </c>
      <c r="AH8" s="1423">
        <v>2677552</v>
      </c>
      <c r="AI8" s="1423">
        <v>843312</v>
      </c>
      <c r="AJ8" s="1423"/>
      <c r="AK8" s="1423">
        <v>2410917</v>
      </c>
      <c r="AL8" s="1423">
        <v>2410917</v>
      </c>
      <c r="AM8" s="1423"/>
      <c r="AN8" s="1423"/>
      <c r="AO8" s="1423">
        <v>3730606</v>
      </c>
      <c r="AP8" s="1423">
        <v>3730606</v>
      </c>
      <c r="AQ8" s="1423"/>
      <c r="AR8" s="1423"/>
      <c r="AS8" s="1423">
        <v>5061507</v>
      </c>
      <c r="AT8" s="1423">
        <v>3226297</v>
      </c>
      <c r="AU8" s="1423">
        <v>1835210</v>
      </c>
      <c r="AV8" s="1423"/>
      <c r="AW8" s="1423">
        <v>0</v>
      </c>
      <c r="AX8" s="1423"/>
      <c r="AY8" s="1423"/>
      <c r="AZ8" s="1423"/>
      <c r="BA8" s="1423"/>
      <c r="BB8" s="1423">
        <v>0</v>
      </c>
      <c r="BC8" s="1423">
        <v>0</v>
      </c>
      <c r="BD8" s="1423"/>
      <c r="BE8" s="1423">
        <v>0</v>
      </c>
      <c r="BF8" s="1423"/>
      <c r="BG8" s="1423"/>
      <c r="BH8" s="1423"/>
      <c r="BI8" s="1423"/>
      <c r="BJ8" s="1423">
        <v>0</v>
      </c>
      <c r="BK8" s="1423"/>
      <c r="BL8" s="1423">
        <v>0</v>
      </c>
      <c r="BM8" s="1423"/>
      <c r="BN8" s="1423"/>
      <c r="BO8" s="1423"/>
      <c r="BP8" s="1423"/>
      <c r="BQ8" s="1423">
        <v>0</v>
      </c>
      <c r="BR8" s="1423"/>
      <c r="BS8" s="1423">
        <v>0</v>
      </c>
      <c r="BT8" s="1423"/>
      <c r="BU8" s="1423"/>
      <c r="BV8" s="1423"/>
      <c r="BW8" s="1423"/>
      <c r="BX8" s="1423">
        <v>0</v>
      </c>
      <c r="BY8" s="1423"/>
      <c r="BZ8" s="1423"/>
      <c r="CA8" s="1423"/>
      <c r="CB8" s="1423"/>
      <c r="CC8" s="1423"/>
      <c r="CD8" s="1423">
        <v>0</v>
      </c>
      <c r="CE8" s="1423">
        <v>0</v>
      </c>
      <c r="CF8" s="1423"/>
      <c r="CG8" s="1423"/>
      <c r="CH8" s="1423">
        <v>0</v>
      </c>
      <c r="CI8" s="1423"/>
      <c r="CJ8" s="1423"/>
      <c r="CK8" s="1423"/>
      <c r="CL8" s="1423">
        <v>0</v>
      </c>
      <c r="CM8" s="1423"/>
      <c r="CN8" s="1423"/>
      <c r="CO8" s="1423"/>
      <c r="CP8" s="1423"/>
      <c r="CQ8" s="1423">
        <v>0</v>
      </c>
      <c r="CR8" s="1423">
        <v>0</v>
      </c>
      <c r="CS8" s="1423"/>
      <c r="CT8" s="1423"/>
      <c r="CU8" s="1423">
        <v>0</v>
      </c>
      <c r="CV8" s="1423"/>
      <c r="CW8" s="1423"/>
      <c r="CX8" s="1423"/>
      <c r="CY8" s="1423">
        <v>2224109</v>
      </c>
      <c r="CZ8" s="1423"/>
      <c r="DA8" s="1423">
        <v>0</v>
      </c>
      <c r="DB8" s="1423">
        <v>0</v>
      </c>
      <c r="DC8" s="1423"/>
      <c r="DD8" s="1423"/>
      <c r="DE8" s="1423"/>
      <c r="DF8" s="1423"/>
      <c r="DG8" s="1423"/>
      <c r="DH8" s="1423">
        <v>14200556.199999999</v>
      </c>
      <c r="DI8" s="1423">
        <v>4694670</v>
      </c>
      <c r="DJ8" s="1423">
        <v>3309560</v>
      </c>
      <c r="DK8" s="1423">
        <v>916734</v>
      </c>
      <c r="DL8" s="1423">
        <v>5279592.2</v>
      </c>
      <c r="DM8" s="1423"/>
      <c r="DN8" s="1423">
        <v>6339329.950000003</v>
      </c>
      <c r="DO8" s="1423"/>
      <c r="DP8" s="1423"/>
      <c r="DQ8" s="1423">
        <v>113122936.15000001</v>
      </c>
      <c r="DR8" s="1374"/>
      <c r="DS8" s="1374"/>
      <c r="DT8" s="1374">
        <v>0</v>
      </c>
    </row>
    <row r="9" spans="2:124">
      <c r="B9" s="1223">
        <v>42064</v>
      </c>
      <c r="C9" s="1423">
        <v>75993377</v>
      </c>
      <c r="D9" s="1423">
        <v>75993377</v>
      </c>
      <c r="E9" s="1423">
        <v>68324688</v>
      </c>
      <c r="F9" s="1423">
        <v>7668689</v>
      </c>
      <c r="G9" s="1423"/>
      <c r="H9" s="1423"/>
      <c r="I9" s="1423"/>
      <c r="J9" s="1423"/>
      <c r="K9" s="1423"/>
      <c r="L9" s="1423"/>
      <c r="M9" s="1423"/>
      <c r="N9" s="1423"/>
      <c r="O9" s="1423">
        <v>17638489</v>
      </c>
      <c r="P9" s="1423">
        <v>2852589</v>
      </c>
      <c r="Q9" s="1423">
        <v>2759347</v>
      </c>
      <c r="R9" s="1423">
        <v>1842653</v>
      </c>
      <c r="S9" s="1423">
        <v>916694</v>
      </c>
      <c r="T9" s="1423"/>
      <c r="U9" s="1423">
        <v>93242</v>
      </c>
      <c r="V9" s="1423">
        <v>93242</v>
      </c>
      <c r="W9" s="1423"/>
      <c r="X9" s="1423"/>
      <c r="Y9" s="1423">
        <v>0</v>
      </c>
      <c r="Z9" s="1423"/>
      <c r="AA9" s="1423"/>
      <c r="AB9" s="1423"/>
      <c r="AC9" s="1423">
        <v>0</v>
      </c>
      <c r="AD9" s="1423"/>
      <c r="AE9" s="1423"/>
      <c r="AF9" s="1423"/>
      <c r="AG9" s="1423">
        <v>3437212</v>
      </c>
      <c r="AH9" s="1423">
        <v>3095259</v>
      </c>
      <c r="AI9" s="1423">
        <v>341953</v>
      </c>
      <c r="AJ9" s="1423"/>
      <c r="AK9" s="1423">
        <v>2458895</v>
      </c>
      <c r="AL9" s="1423">
        <v>2458895</v>
      </c>
      <c r="AM9" s="1423"/>
      <c r="AN9" s="1423"/>
      <c r="AO9" s="1423">
        <v>3704639</v>
      </c>
      <c r="AP9" s="1423">
        <v>3368401</v>
      </c>
      <c r="AQ9" s="1423">
        <v>336238</v>
      </c>
      <c r="AR9" s="1423"/>
      <c r="AS9" s="1423">
        <v>5185154</v>
      </c>
      <c r="AT9" s="1423">
        <v>1890231</v>
      </c>
      <c r="AU9" s="1423">
        <v>3294923</v>
      </c>
      <c r="AV9" s="1423"/>
      <c r="AW9" s="1423">
        <v>0</v>
      </c>
      <c r="AX9" s="1423"/>
      <c r="AY9" s="1423"/>
      <c r="AZ9" s="1423"/>
      <c r="BA9" s="1423"/>
      <c r="BB9" s="1423">
        <v>0</v>
      </c>
      <c r="BC9" s="1423">
        <v>0</v>
      </c>
      <c r="BD9" s="1423"/>
      <c r="BE9" s="1423">
        <v>0</v>
      </c>
      <c r="BF9" s="1423"/>
      <c r="BG9" s="1423"/>
      <c r="BH9" s="1423"/>
      <c r="BI9" s="1423"/>
      <c r="BJ9" s="1423">
        <v>0</v>
      </c>
      <c r="BK9" s="1423"/>
      <c r="BL9" s="1423">
        <v>0</v>
      </c>
      <c r="BM9" s="1423"/>
      <c r="BN9" s="1423"/>
      <c r="BO9" s="1423"/>
      <c r="BP9" s="1423"/>
      <c r="BQ9" s="1423">
        <v>0</v>
      </c>
      <c r="BR9" s="1423"/>
      <c r="BS9" s="1423">
        <v>0</v>
      </c>
      <c r="BT9" s="1423"/>
      <c r="BU9" s="1423"/>
      <c r="BV9" s="1423"/>
      <c r="BW9" s="1423"/>
      <c r="BX9" s="1423">
        <v>0</v>
      </c>
      <c r="BY9" s="1423"/>
      <c r="BZ9" s="1423"/>
      <c r="CA9" s="1423"/>
      <c r="CB9" s="1423"/>
      <c r="CC9" s="1423"/>
      <c r="CD9" s="1423">
        <v>0</v>
      </c>
      <c r="CE9" s="1423">
        <v>0</v>
      </c>
      <c r="CF9" s="1423"/>
      <c r="CG9" s="1423"/>
      <c r="CH9" s="1423">
        <v>0</v>
      </c>
      <c r="CI9" s="1423"/>
      <c r="CJ9" s="1423"/>
      <c r="CK9" s="1423"/>
      <c r="CL9" s="1423">
        <v>0</v>
      </c>
      <c r="CM9" s="1423"/>
      <c r="CN9" s="1423"/>
      <c r="CO9" s="1423"/>
      <c r="CP9" s="1423"/>
      <c r="CQ9" s="1423">
        <v>0</v>
      </c>
      <c r="CR9" s="1423">
        <v>0</v>
      </c>
      <c r="CS9" s="1423"/>
      <c r="CT9" s="1423"/>
      <c r="CU9" s="1423">
        <v>0</v>
      </c>
      <c r="CV9" s="1423"/>
      <c r="CW9" s="1423"/>
      <c r="CX9" s="1423"/>
      <c r="CY9" s="1423">
        <v>2058375</v>
      </c>
      <c r="CZ9" s="1423"/>
      <c r="DA9" s="1423">
        <v>0</v>
      </c>
      <c r="DB9" s="1423">
        <v>0</v>
      </c>
      <c r="DC9" s="1423"/>
      <c r="DD9" s="1423"/>
      <c r="DE9" s="1423"/>
      <c r="DF9" s="1423"/>
      <c r="DG9" s="1423"/>
      <c r="DH9" s="1423">
        <v>17086306</v>
      </c>
      <c r="DI9" s="1423">
        <v>4833707</v>
      </c>
      <c r="DJ9" s="1423">
        <v>1004135</v>
      </c>
      <c r="DK9" s="1423">
        <v>3912008</v>
      </c>
      <c r="DL9" s="1423">
        <v>7336456</v>
      </c>
      <c r="DM9" s="1423"/>
      <c r="DN9" s="1423">
        <v>7205475.900000006</v>
      </c>
      <c r="DO9" s="1423"/>
      <c r="DP9" s="1423"/>
      <c r="DQ9" s="1423">
        <v>119982022.90000001</v>
      </c>
      <c r="DR9" s="1374"/>
      <c r="DS9" s="1374"/>
      <c r="DT9" s="1374">
        <v>0</v>
      </c>
    </row>
    <row r="10" spans="2:124">
      <c r="B10" s="1223">
        <v>42095</v>
      </c>
      <c r="C10" s="1423">
        <v>74678115</v>
      </c>
      <c r="D10" s="1423">
        <v>74678115</v>
      </c>
      <c r="E10" s="1423">
        <v>67668878</v>
      </c>
      <c r="F10" s="1423">
        <v>7009237</v>
      </c>
      <c r="G10" s="1423"/>
      <c r="H10" s="1423"/>
      <c r="I10" s="1423"/>
      <c r="J10" s="1423"/>
      <c r="K10" s="1423"/>
      <c r="L10" s="1423"/>
      <c r="M10" s="1423"/>
      <c r="N10" s="1423"/>
      <c r="O10" s="1423">
        <v>15733789</v>
      </c>
      <c r="P10" s="1423">
        <v>2669156</v>
      </c>
      <c r="Q10" s="1423">
        <v>2489632</v>
      </c>
      <c r="R10" s="1423">
        <v>1476774</v>
      </c>
      <c r="S10" s="1423">
        <v>1012858</v>
      </c>
      <c r="T10" s="1423"/>
      <c r="U10" s="1423">
        <v>179524</v>
      </c>
      <c r="V10" s="1423">
        <v>163958</v>
      </c>
      <c r="W10" s="1423">
        <v>15566</v>
      </c>
      <c r="X10" s="1423"/>
      <c r="Y10" s="1423">
        <v>0</v>
      </c>
      <c r="Z10" s="1423"/>
      <c r="AA10" s="1423"/>
      <c r="AB10" s="1423"/>
      <c r="AC10" s="1423">
        <v>0</v>
      </c>
      <c r="AD10" s="1423"/>
      <c r="AE10" s="1423"/>
      <c r="AF10" s="1423"/>
      <c r="AG10" s="1423">
        <v>2123636</v>
      </c>
      <c r="AH10" s="1423">
        <v>1466303</v>
      </c>
      <c r="AI10" s="1423">
        <v>657333</v>
      </c>
      <c r="AJ10" s="1423"/>
      <c r="AK10" s="1423">
        <v>2478740</v>
      </c>
      <c r="AL10" s="1423">
        <v>2478740</v>
      </c>
      <c r="AM10" s="1423"/>
      <c r="AN10" s="1423"/>
      <c r="AO10" s="1423">
        <v>2245561</v>
      </c>
      <c r="AP10" s="1423">
        <v>1752482</v>
      </c>
      <c r="AQ10" s="1423">
        <v>493079</v>
      </c>
      <c r="AR10" s="1423"/>
      <c r="AS10" s="1423">
        <v>6216696</v>
      </c>
      <c r="AT10" s="1423">
        <v>1998919</v>
      </c>
      <c r="AU10" s="1423">
        <v>4217777</v>
      </c>
      <c r="AV10" s="1423"/>
      <c r="AW10" s="1423">
        <v>0</v>
      </c>
      <c r="AX10" s="1423"/>
      <c r="AY10" s="1423"/>
      <c r="AZ10" s="1423"/>
      <c r="BA10" s="1423"/>
      <c r="BB10" s="1423">
        <v>0</v>
      </c>
      <c r="BC10" s="1423">
        <v>0</v>
      </c>
      <c r="BD10" s="1423"/>
      <c r="BE10" s="1423">
        <v>0</v>
      </c>
      <c r="BF10" s="1423"/>
      <c r="BG10" s="1423"/>
      <c r="BH10" s="1423"/>
      <c r="BI10" s="1423"/>
      <c r="BJ10" s="1423">
        <v>0</v>
      </c>
      <c r="BK10" s="1423"/>
      <c r="BL10" s="1423">
        <v>0</v>
      </c>
      <c r="BM10" s="1423"/>
      <c r="BN10" s="1423"/>
      <c r="BO10" s="1423"/>
      <c r="BP10" s="1423"/>
      <c r="BQ10" s="1423">
        <v>0</v>
      </c>
      <c r="BR10" s="1423"/>
      <c r="BS10" s="1423">
        <v>0</v>
      </c>
      <c r="BT10" s="1423"/>
      <c r="BU10" s="1423"/>
      <c r="BV10" s="1423"/>
      <c r="BW10" s="1423"/>
      <c r="BX10" s="1423">
        <v>0</v>
      </c>
      <c r="BY10" s="1423"/>
      <c r="BZ10" s="1423"/>
      <c r="CA10" s="1423"/>
      <c r="CB10" s="1423"/>
      <c r="CC10" s="1423"/>
      <c r="CD10" s="1423">
        <v>0</v>
      </c>
      <c r="CE10" s="1423">
        <v>0</v>
      </c>
      <c r="CF10" s="1423"/>
      <c r="CG10" s="1423"/>
      <c r="CH10" s="1423">
        <v>0</v>
      </c>
      <c r="CI10" s="1423"/>
      <c r="CJ10" s="1423"/>
      <c r="CK10" s="1423"/>
      <c r="CL10" s="1423">
        <v>0</v>
      </c>
      <c r="CM10" s="1423"/>
      <c r="CN10" s="1423"/>
      <c r="CO10" s="1423"/>
      <c r="CP10" s="1423"/>
      <c r="CQ10" s="1423">
        <v>0</v>
      </c>
      <c r="CR10" s="1423">
        <v>0</v>
      </c>
      <c r="CS10" s="1423"/>
      <c r="CT10" s="1423"/>
      <c r="CU10" s="1423">
        <v>0</v>
      </c>
      <c r="CV10" s="1423"/>
      <c r="CW10" s="1423"/>
      <c r="CX10" s="1423"/>
      <c r="CY10" s="1423">
        <v>1888830</v>
      </c>
      <c r="CZ10" s="1423"/>
      <c r="DA10" s="1423">
        <v>0</v>
      </c>
      <c r="DB10" s="1423">
        <v>0</v>
      </c>
      <c r="DC10" s="1423"/>
      <c r="DD10" s="1423"/>
      <c r="DE10" s="1423"/>
      <c r="DF10" s="1423"/>
      <c r="DG10" s="1423"/>
      <c r="DH10" s="1423">
        <v>17608854</v>
      </c>
      <c r="DI10" s="1423">
        <v>4960285</v>
      </c>
      <c r="DJ10" s="1423">
        <v>1004135</v>
      </c>
      <c r="DK10" s="1423">
        <v>4350055</v>
      </c>
      <c r="DL10" s="1423">
        <v>7294379</v>
      </c>
      <c r="DM10" s="1423"/>
      <c r="DN10" s="1423">
        <v>6519770.3700000048</v>
      </c>
      <c r="DO10" s="1423"/>
      <c r="DP10" s="1423"/>
      <c r="DQ10" s="1423">
        <v>116429358.37</v>
      </c>
      <c r="DR10" s="1374"/>
      <c r="DS10" s="1374"/>
      <c r="DT10" s="1374">
        <v>0</v>
      </c>
    </row>
    <row r="11" spans="2:124">
      <c r="B11" s="1223">
        <v>42125</v>
      </c>
      <c r="C11" s="1423">
        <v>71195609</v>
      </c>
      <c r="D11" s="1423">
        <v>71195609</v>
      </c>
      <c r="E11" s="1423">
        <v>60271534</v>
      </c>
      <c r="F11" s="1423">
        <v>10924075</v>
      </c>
      <c r="G11" s="1423"/>
      <c r="H11" s="1423"/>
      <c r="I11" s="1423"/>
      <c r="J11" s="1423"/>
      <c r="K11" s="1423"/>
      <c r="L11" s="1423"/>
      <c r="M11" s="1423"/>
      <c r="N11" s="1423"/>
      <c r="O11" s="1423">
        <v>18011768</v>
      </c>
      <c r="P11" s="1423">
        <v>2940931</v>
      </c>
      <c r="Q11" s="1423">
        <v>2788832</v>
      </c>
      <c r="R11" s="1423">
        <v>1483323</v>
      </c>
      <c r="S11" s="1423">
        <v>1305509</v>
      </c>
      <c r="T11" s="1423"/>
      <c r="U11" s="1423">
        <v>152099</v>
      </c>
      <c r="V11" s="1423">
        <v>152099</v>
      </c>
      <c r="W11" s="1423"/>
      <c r="X11" s="1423"/>
      <c r="Y11" s="1423">
        <v>0</v>
      </c>
      <c r="Z11" s="1423"/>
      <c r="AA11" s="1423"/>
      <c r="AB11" s="1423"/>
      <c r="AC11" s="1423">
        <v>0</v>
      </c>
      <c r="AD11" s="1423"/>
      <c r="AE11" s="1423"/>
      <c r="AF11" s="1423"/>
      <c r="AG11" s="1423">
        <v>3108146</v>
      </c>
      <c r="AH11" s="1423">
        <v>1976469</v>
      </c>
      <c r="AI11" s="1423">
        <v>1131677</v>
      </c>
      <c r="AJ11" s="1423"/>
      <c r="AK11" s="1423">
        <v>2487346</v>
      </c>
      <c r="AL11" s="1423">
        <v>2487346</v>
      </c>
      <c r="AM11" s="1423"/>
      <c r="AN11" s="1423"/>
      <c r="AO11" s="1423">
        <v>2873306</v>
      </c>
      <c r="AP11" s="1423">
        <v>2532510</v>
      </c>
      <c r="AQ11" s="1423">
        <v>340796</v>
      </c>
      <c r="AR11" s="1423"/>
      <c r="AS11" s="1423">
        <v>6602039</v>
      </c>
      <c r="AT11" s="1423">
        <v>4495589</v>
      </c>
      <c r="AU11" s="1423">
        <v>2106450</v>
      </c>
      <c r="AV11" s="1423"/>
      <c r="AW11" s="1423">
        <v>0</v>
      </c>
      <c r="AX11" s="1423"/>
      <c r="AY11" s="1423"/>
      <c r="AZ11" s="1423"/>
      <c r="BA11" s="1423"/>
      <c r="BB11" s="1423">
        <v>0</v>
      </c>
      <c r="BC11" s="1423">
        <v>0</v>
      </c>
      <c r="BD11" s="1423"/>
      <c r="BE11" s="1423">
        <v>0</v>
      </c>
      <c r="BF11" s="1423"/>
      <c r="BG11" s="1423"/>
      <c r="BH11" s="1423"/>
      <c r="BI11" s="1423"/>
      <c r="BJ11" s="1423">
        <v>0</v>
      </c>
      <c r="BK11" s="1423"/>
      <c r="BL11" s="1423">
        <v>0</v>
      </c>
      <c r="BM11" s="1423"/>
      <c r="BN11" s="1423"/>
      <c r="BO11" s="1423"/>
      <c r="BP11" s="1423"/>
      <c r="BQ11" s="1423">
        <v>0</v>
      </c>
      <c r="BR11" s="1423"/>
      <c r="BS11" s="1423">
        <v>0</v>
      </c>
      <c r="BT11" s="1423"/>
      <c r="BU11" s="1423"/>
      <c r="BV11" s="1423"/>
      <c r="BW11" s="1423"/>
      <c r="BX11" s="1423">
        <v>0</v>
      </c>
      <c r="BY11" s="1423"/>
      <c r="BZ11" s="1423"/>
      <c r="CA11" s="1423"/>
      <c r="CB11" s="1423"/>
      <c r="CC11" s="1423"/>
      <c r="CD11" s="1423">
        <v>0</v>
      </c>
      <c r="CE11" s="1423">
        <v>0</v>
      </c>
      <c r="CF11" s="1423"/>
      <c r="CG11" s="1423"/>
      <c r="CH11" s="1423">
        <v>0</v>
      </c>
      <c r="CI11" s="1423"/>
      <c r="CJ11" s="1423"/>
      <c r="CK11" s="1423"/>
      <c r="CL11" s="1423">
        <v>0</v>
      </c>
      <c r="CM11" s="1423"/>
      <c r="CN11" s="1423"/>
      <c r="CO11" s="1423"/>
      <c r="CP11" s="1423"/>
      <c r="CQ11" s="1423">
        <v>0</v>
      </c>
      <c r="CR11" s="1423">
        <v>0</v>
      </c>
      <c r="CS11" s="1423"/>
      <c r="CT11" s="1423"/>
      <c r="CU11" s="1423">
        <v>0</v>
      </c>
      <c r="CV11" s="1423"/>
      <c r="CW11" s="1423"/>
      <c r="CX11" s="1423"/>
      <c r="CY11" s="1423">
        <v>1719139</v>
      </c>
      <c r="CZ11" s="1423"/>
      <c r="DA11" s="1423">
        <v>0</v>
      </c>
      <c r="DB11" s="1423">
        <v>0</v>
      </c>
      <c r="DC11" s="1423"/>
      <c r="DD11" s="1423"/>
      <c r="DE11" s="1423"/>
      <c r="DF11" s="1423"/>
      <c r="DG11" s="1423"/>
      <c r="DH11" s="1423">
        <v>9734538.1400000006</v>
      </c>
      <c r="DI11" s="1423">
        <v>5149173</v>
      </c>
      <c r="DJ11" s="1423">
        <v>9216139</v>
      </c>
      <c r="DK11" s="1423">
        <v>-3512895</v>
      </c>
      <c r="DL11" s="1423">
        <v>-1117878.8600000001</v>
      </c>
      <c r="DM11" s="1423"/>
      <c r="DN11" s="1423">
        <v>6903969</v>
      </c>
      <c r="DO11" s="1423"/>
      <c r="DP11" s="1423"/>
      <c r="DQ11" s="1423">
        <v>107565023.14</v>
      </c>
      <c r="DR11" s="1374"/>
      <c r="DS11" s="1374"/>
      <c r="DT11" s="1374">
        <v>0</v>
      </c>
    </row>
    <row r="12" spans="2:124">
      <c r="B12" s="1223">
        <v>42156</v>
      </c>
      <c r="C12" s="1423">
        <v>73397564</v>
      </c>
      <c r="D12" s="1423">
        <v>73397564</v>
      </c>
      <c r="E12" s="1423">
        <v>64444295</v>
      </c>
      <c r="F12" s="1423">
        <v>8953269</v>
      </c>
      <c r="G12" s="1423"/>
      <c r="H12" s="1423"/>
      <c r="I12" s="1423"/>
      <c r="J12" s="1423"/>
      <c r="K12" s="1423"/>
      <c r="L12" s="1423"/>
      <c r="M12" s="1423"/>
      <c r="N12" s="1423"/>
      <c r="O12" s="1423">
        <v>21694544</v>
      </c>
      <c r="P12" s="1423">
        <v>3134481</v>
      </c>
      <c r="Q12" s="1423">
        <v>2997816</v>
      </c>
      <c r="R12" s="1423">
        <v>1798877</v>
      </c>
      <c r="S12" s="1423">
        <v>1198939</v>
      </c>
      <c r="T12" s="1423"/>
      <c r="U12" s="1423">
        <v>136665</v>
      </c>
      <c r="V12" s="1423">
        <v>113824</v>
      </c>
      <c r="W12" s="1423">
        <v>22841</v>
      </c>
      <c r="X12" s="1423"/>
      <c r="Y12" s="1423">
        <v>0</v>
      </c>
      <c r="Z12" s="1423"/>
      <c r="AA12" s="1423"/>
      <c r="AB12" s="1423"/>
      <c r="AC12" s="1423">
        <v>4432919</v>
      </c>
      <c r="AD12" s="1423"/>
      <c r="AE12" s="1423">
        <v>4432919</v>
      </c>
      <c r="AF12" s="1423"/>
      <c r="AG12" s="1423">
        <v>4399498</v>
      </c>
      <c r="AH12" s="1423">
        <v>3264842</v>
      </c>
      <c r="AI12" s="1423">
        <v>1134656</v>
      </c>
      <c r="AJ12" s="1423"/>
      <c r="AK12" s="1423">
        <v>2500347</v>
      </c>
      <c r="AL12" s="1423">
        <v>2500347</v>
      </c>
      <c r="AM12" s="1423"/>
      <c r="AN12" s="1423"/>
      <c r="AO12" s="1423">
        <v>2917817</v>
      </c>
      <c r="AP12" s="1423">
        <v>2867575</v>
      </c>
      <c r="AQ12" s="1423">
        <v>50242</v>
      </c>
      <c r="AR12" s="1423"/>
      <c r="AS12" s="1423">
        <v>4309482</v>
      </c>
      <c r="AT12" s="1423">
        <v>2213703</v>
      </c>
      <c r="AU12" s="1423">
        <v>2095779</v>
      </c>
      <c r="AV12" s="1423"/>
      <c r="AW12" s="1423">
        <v>0</v>
      </c>
      <c r="AX12" s="1423"/>
      <c r="AY12" s="1423"/>
      <c r="AZ12" s="1423"/>
      <c r="BA12" s="1423"/>
      <c r="BB12" s="1423">
        <v>0</v>
      </c>
      <c r="BC12" s="1423">
        <v>0</v>
      </c>
      <c r="BD12" s="1423"/>
      <c r="BE12" s="1423">
        <v>0</v>
      </c>
      <c r="BF12" s="1423"/>
      <c r="BG12" s="1423"/>
      <c r="BH12" s="1423"/>
      <c r="BI12" s="1423"/>
      <c r="BJ12" s="1423">
        <v>0</v>
      </c>
      <c r="BK12" s="1423"/>
      <c r="BL12" s="1423">
        <v>0</v>
      </c>
      <c r="BM12" s="1423"/>
      <c r="BN12" s="1423"/>
      <c r="BO12" s="1423"/>
      <c r="BP12" s="1423"/>
      <c r="BQ12" s="1423">
        <v>0</v>
      </c>
      <c r="BR12" s="1423"/>
      <c r="BS12" s="1423">
        <v>0</v>
      </c>
      <c r="BT12" s="1423"/>
      <c r="BU12" s="1423"/>
      <c r="BV12" s="1423"/>
      <c r="BW12" s="1423"/>
      <c r="BX12" s="1423">
        <v>0</v>
      </c>
      <c r="BY12" s="1423"/>
      <c r="BZ12" s="1423"/>
      <c r="CA12" s="1423"/>
      <c r="CB12" s="1423"/>
      <c r="CC12" s="1423"/>
      <c r="CD12" s="1423">
        <v>0</v>
      </c>
      <c r="CE12" s="1423">
        <v>0</v>
      </c>
      <c r="CF12" s="1423"/>
      <c r="CG12" s="1423"/>
      <c r="CH12" s="1423">
        <v>0</v>
      </c>
      <c r="CI12" s="1423"/>
      <c r="CJ12" s="1423"/>
      <c r="CK12" s="1423"/>
      <c r="CL12" s="1423">
        <v>0</v>
      </c>
      <c r="CM12" s="1423"/>
      <c r="CN12" s="1423"/>
      <c r="CO12" s="1423"/>
      <c r="CP12" s="1423"/>
      <c r="CQ12" s="1423">
        <v>0</v>
      </c>
      <c r="CR12" s="1423">
        <v>0</v>
      </c>
      <c r="CS12" s="1423"/>
      <c r="CT12" s="1423"/>
      <c r="CU12" s="1423">
        <v>0</v>
      </c>
      <c r="CV12" s="1423"/>
      <c r="CW12" s="1423"/>
      <c r="CX12" s="1423"/>
      <c r="CY12" s="1423">
        <v>1594104</v>
      </c>
      <c r="CZ12" s="1423"/>
      <c r="DA12" s="1423">
        <v>0</v>
      </c>
      <c r="DB12" s="1423">
        <v>0</v>
      </c>
      <c r="DC12" s="1423"/>
      <c r="DD12" s="1423"/>
      <c r="DE12" s="1423"/>
      <c r="DF12" s="1423"/>
      <c r="DG12" s="1423"/>
      <c r="DH12" s="1423">
        <v>18669711</v>
      </c>
      <c r="DI12" s="1423">
        <v>5146944</v>
      </c>
      <c r="DJ12" s="1423">
        <v>1004135</v>
      </c>
      <c r="DK12" s="1423">
        <v>5459814</v>
      </c>
      <c r="DL12" s="1423">
        <v>7058818</v>
      </c>
      <c r="DM12" s="1423"/>
      <c r="DN12" s="1423">
        <v>7253550</v>
      </c>
      <c r="DO12" s="1423"/>
      <c r="DP12" s="1423"/>
      <c r="DQ12" s="1423">
        <v>122609473</v>
      </c>
      <c r="DR12" s="1374"/>
      <c r="DS12" s="1374"/>
      <c r="DT12" s="1374">
        <v>0</v>
      </c>
    </row>
    <row r="13" spans="2:124">
      <c r="B13" s="1223">
        <v>42186</v>
      </c>
      <c r="C13" s="1423">
        <v>68785675</v>
      </c>
      <c r="D13" s="1423">
        <v>68785675</v>
      </c>
      <c r="E13" s="1423">
        <v>62123532</v>
      </c>
      <c r="F13" s="1423">
        <v>6662143</v>
      </c>
      <c r="G13" s="1423"/>
      <c r="H13" s="1423"/>
      <c r="I13" s="1423"/>
      <c r="J13" s="1423"/>
      <c r="K13" s="1423"/>
      <c r="L13" s="1423"/>
      <c r="M13" s="1423"/>
      <c r="N13" s="1423"/>
      <c r="O13" s="1423">
        <v>23646514</v>
      </c>
      <c r="P13" s="1423">
        <v>6488911</v>
      </c>
      <c r="Q13" s="1423">
        <v>2997235</v>
      </c>
      <c r="R13" s="1423">
        <v>1795121</v>
      </c>
      <c r="S13" s="1423">
        <v>1202114</v>
      </c>
      <c r="T13" s="1423"/>
      <c r="U13" s="1423">
        <v>3491676</v>
      </c>
      <c r="V13" s="1423">
        <v>481343</v>
      </c>
      <c r="W13" s="1423">
        <v>3010333</v>
      </c>
      <c r="X13" s="1423"/>
      <c r="Y13" s="1423">
        <v>0</v>
      </c>
      <c r="Z13" s="1423"/>
      <c r="AA13" s="1423"/>
      <c r="AB13" s="1423"/>
      <c r="AC13" s="1423">
        <v>0</v>
      </c>
      <c r="AD13" s="1423"/>
      <c r="AE13" s="1423"/>
      <c r="AF13" s="1423"/>
      <c r="AG13" s="1423">
        <v>5324944</v>
      </c>
      <c r="AH13" s="1423">
        <v>4505367</v>
      </c>
      <c r="AI13" s="1423">
        <v>819577</v>
      </c>
      <c r="AJ13" s="1423"/>
      <c r="AK13" s="1423">
        <v>2519389</v>
      </c>
      <c r="AL13" s="1423">
        <v>2519389</v>
      </c>
      <c r="AM13" s="1423"/>
      <c r="AN13" s="1423"/>
      <c r="AO13" s="1423">
        <v>3047356</v>
      </c>
      <c r="AP13" s="1423">
        <v>2701940</v>
      </c>
      <c r="AQ13" s="1423">
        <v>345416</v>
      </c>
      <c r="AR13" s="1423"/>
      <c r="AS13" s="1423">
        <v>6265914</v>
      </c>
      <c r="AT13" s="1423">
        <v>3594359</v>
      </c>
      <c r="AU13" s="1423">
        <v>2671555</v>
      </c>
      <c r="AV13" s="1423"/>
      <c r="AW13" s="1423">
        <v>0</v>
      </c>
      <c r="AX13" s="1423"/>
      <c r="AY13" s="1423"/>
      <c r="AZ13" s="1423"/>
      <c r="BA13" s="1423"/>
      <c r="BB13" s="1423">
        <v>0</v>
      </c>
      <c r="BC13" s="1423">
        <v>0</v>
      </c>
      <c r="BD13" s="1423"/>
      <c r="BE13" s="1423">
        <v>0</v>
      </c>
      <c r="BF13" s="1423"/>
      <c r="BG13" s="1423"/>
      <c r="BH13" s="1423"/>
      <c r="BI13" s="1423"/>
      <c r="BJ13" s="1423">
        <v>0</v>
      </c>
      <c r="BK13" s="1423"/>
      <c r="BL13" s="1423">
        <v>0</v>
      </c>
      <c r="BM13" s="1423"/>
      <c r="BN13" s="1423"/>
      <c r="BO13" s="1423"/>
      <c r="BP13" s="1423"/>
      <c r="BQ13" s="1423">
        <v>0</v>
      </c>
      <c r="BR13" s="1423"/>
      <c r="BS13" s="1423">
        <v>0</v>
      </c>
      <c r="BT13" s="1423"/>
      <c r="BU13" s="1423"/>
      <c r="BV13" s="1423"/>
      <c r="BW13" s="1423"/>
      <c r="BX13" s="1423">
        <v>0</v>
      </c>
      <c r="BY13" s="1423"/>
      <c r="BZ13" s="1423"/>
      <c r="CA13" s="1423"/>
      <c r="CB13" s="1423"/>
      <c r="CC13" s="1423"/>
      <c r="CD13" s="1423">
        <v>0</v>
      </c>
      <c r="CE13" s="1423">
        <v>0</v>
      </c>
      <c r="CF13" s="1423"/>
      <c r="CG13" s="1423"/>
      <c r="CH13" s="1423">
        <v>0</v>
      </c>
      <c r="CI13" s="1423"/>
      <c r="CJ13" s="1423"/>
      <c r="CK13" s="1423"/>
      <c r="CL13" s="1423">
        <v>0</v>
      </c>
      <c r="CM13" s="1423"/>
      <c r="CN13" s="1423"/>
      <c r="CO13" s="1423"/>
      <c r="CP13" s="1423"/>
      <c r="CQ13" s="1423">
        <v>0</v>
      </c>
      <c r="CR13" s="1423">
        <v>0</v>
      </c>
      <c r="CS13" s="1423"/>
      <c r="CT13" s="1423"/>
      <c r="CU13" s="1423">
        <v>0</v>
      </c>
      <c r="CV13" s="1423"/>
      <c r="CW13" s="1423"/>
      <c r="CX13" s="1423"/>
      <c r="CY13" s="1423">
        <v>1468352</v>
      </c>
      <c r="CZ13" s="1423"/>
      <c r="DA13" s="1423">
        <v>0</v>
      </c>
      <c r="DB13" s="1423">
        <v>0</v>
      </c>
      <c r="DC13" s="1423"/>
      <c r="DD13" s="1423"/>
      <c r="DE13" s="1423"/>
      <c r="DF13" s="1423"/>
      <c r="DG13" s="1423"/>
      <c r="DH13" s="1423">
        <v>19625656</v>
      </c>
      <c r="DI13" s="1423">
        <v>5307376</v>
      </c>
      <c r="DJ13" s="1423">
        <v>1004135</v>
      </c>
      <c r="DK13" s="1423">
        <v>6899577</v>
      </c>
      <c r="DL13" s="1423">
        <v>6414568</v>
      </c>
      <c r="DM13" s="1423"/>
      <c r="DN13" s="1423">
        <v>4500852.8400000036</v>
      </c>
      <c r="DO13" s="1423"/>
      <c r="DP13" s="1423"/>
      <c r="DQ13" s="1423">
        <v>118027049.84</v>
      </c>
      <c r="DR13" s="1374"/>
      <c r="DS13" s="1374"/>
      <c r="DT13" s="1374">
        <v>0</v>
      </c>
    </row>
    <row r="14" spans="2:124">
      <c r="B14" s="1223">
        <v>42217</v>
      </c>
      <c r="C14" s="1423">
        <v>71554185</v>
      </c>
      <c r="D14" s="1423">
        <v>71554185</v>
      </c>
      <c r="E14" s="1423">
        <v>61205557</v>
      </c>
      <c r="F14" s="1423">
        <v>10348628</v>
      </c>
      <c r="G14" s="1423"/>
      <c r="H14" s="1423"/>
      <c r="I14" s="1423"/>
      <c r="J14" s="1423"/>
      <c r="K14" s="1423"/>
      <c r="L14" s="1423"/>
      <c r="M14" s="1423"/>
      <c r="N14" s="1423"/>
      <c r="O14" s="1423">
        <v>21540265</v>
      </c>
      <c r="P14" s="1423">
        <v>10755824</v>
      </c>
      <c r="Q14" s="1423">
        <v>3211812</v>
      </c>
      <c r="R14" s="1423">
        <v>1792539</v>
      </c>
      <c r="S14" s="1423">
        <v>1419273</v>
      </c>
      <c r="T14" s="1423"/>
      <c r="U14" s="1423">
        <v>7544012</v>
      </c>
      <c r="V14" s="1423">
        <v>499429</v>
      </c>
      <c r="W14" s="1423">
        <v>7044583</v>
      </c>
      <c r="X14" s="1423"/>
      <c r="Y14" s="1423">
        <v>0</v>
      </c>
      <c r="Z14" s="1423"/>
      <c r="AA14" s="1423"/>
      <c r="AB14" s="1423"/>
      <c r="AC14" s="1423">
        <v>0</v>
      </c>
      <c r="AD14" s="1423"/>
      <c r="AE14" s="1423"/>
      <c r="AF14" s="1423"/>
      <c r="AG14" s="1423">
        <v>3415941</v>
      </c>
      <c r="AH14" s="1423">
        <v>2536541</v>
      </c>
      <c r="AI14" s="1423">
        <v>879400</v>
      </c>
      <c r="AJ14" s="1423"/>
      <c r="AK14" s="1423">
        <v>2497902</v>
      </c>
      <c r="AL14" s="1423">
        <v>2497902</v>
      </c>
      <c r="AM14" s="1423"/>
      <c r="AN14" s="1423"/>
      <c r="AO14" s="1423">
        <v>2142769</v>
      </c>
      <c r="AP14" s="1423">
        <v>2142769</v>
      </c>
      <c r="AQ14" s="1423"/>
      <c r="AR14" s="1423"/>
      <c r="AS14" s="1423">
        <v>2727829</v>
      </c>
      <c r="AT14" s="1423">
        <v>2727829</v>
      </c>
      <c r="AU14" s="1423"/>
      <c r="AV14" s="1423"/>
      <c r="AW14" s="1423">
        <v>0</v>
      </c>
      <c r="AX14" s="1423"/>
      <c r="AY14" s="1423"/>
      <c r="AZ14" s="1423"/>
      <c r="BA14" s="1423"/>
      <c r="BB14" s="1423">
        <v>0</v>
      </c>
      <c r="BC14" s="1423">
        <v>0</v>
      </c>
      <c r="BD14" s="1423"/>
      <c r="BE14" s="1423">
        <v>0</v>
      </c>
      <c r="BF14" s="1423"/>
      <c r="BG14" s="1423"/>
      <c r="BH14" s="1423"/>
      <c r="BI14" s="1423"/>
      <c r="BJ14" s="1423">
        <v>0</v>
      </c>
      <c r="BK14" s="1423"/>
      <c r="BL14" s="1423">
        <v>0</v>
      </c>
      <c r="BM14" s="1423"/>
      <c r="BN14" s="1423"/>
      <c r="BO14" s="1423"/>
      <c r="BP14" s="1423"/>
      <c r="BQ14" s="1423">
        <v>0</v>
      </c>
      <c r="BR14" s="1423"/>
      <c r="BS14" s="1423">
        <v>0</v>
      </c>
      <c r="BT14" s="1423"/>
      <c r="BU14" s="1423"/>
      <c r="BV14" s="1423"/>
      <c r="BW14" s="1423"/>
      <c r="BX14" s="1423">
        <v>0</v>
      </c>
      <c r="BY14" s="1423"/>
      <c r="BZ14" s="1423"/>
      <c r="CA14" s="1423"/>
      <c r="CB14" s="1423"/>
      <c r="CC14" s="1423"/>
      <c r="CD14" s="1423">
        <v>0</v>
      </c>
      <c r="CE14" s="1423">
        <v>0</v>
      </c>
      <c r="CF14" s="1423"/>
      <c r="CG14" s="1423"/>
      <c r="CH14" s="1423">
        <v>0</v>
      </c>
      <c r="CI14" s="1423"/>
      <c r="CJ14" s="1423"/>
      <c r="CK14" s="1423"/>
      <c r="CL14" s="1423">
        <v>0</v>
      </c>
      <c r="CM14" s="1423"/>
      <c r="CN14" s="1423"/>
      <c r="CO14" s="1423"/>
      <c r="CP14" s="1423"/>
      <c r="CQ14" s="1423">
        <v>0</v>
      </c>
      <c r="CR14" s="1423">
        <v>0</v>
      </c>
      <c r="CS14" s="1423"/>
      <c r="CT14" s="1423"/>
      <c r="CU14" s="1423">
        <v>0</v>
      </c>
      <c r="CV14" s="1423"/>
      <c r="CW14" s="1423"/>
      <c r="CX14" s="1423"/>
      <c r="CY14" s="1423">
        <v>1341353</v>
      </c>
      <c r="CZ14" s="1423"/>
      <c r="DA14" s="1423">
        <v>0</v>
      </c>
      <c r="DB14" s="1423">
        <v>0</v>
      </c>
      <c r="DC14" s="1423"/>
      <c r="DD14" s="1423"/>
      <c r="DE14" s="1423"/>
      <c r="DF14" s="1423"/>
      <c r="DG14" s="1423"/>
      <c r="DH14" s="1423">
        <v>20226050</v>
      </c>
      <c r="DI14" s="1423">
        <v>5357333</v>
      </c>
      <c r="DJ14" s="1423">
        <v>1004135</v>
      </c>
      <c r="DK14" s="1423">
        <v>7587712</v>
      </c>
      <c r="DL14" s="1423">
        <v>6276870</v>
      </c>
      <c r="DM14" s="1423"/>
      <c r="DN14" s="1423">
        <v>5129733</v>
      </c>
      <c r="DO14" s="1423"/>
      <c r="DP14" s="1423"/>
      <c r="DQ14" s="1423">
        <v>119791586</v>
      </c>
      <c r="DR14" s="1374"/>
      <c r="DS14" s="1374"/>
      <c r="DT14" s="1374">
        <v>0</v>
      </c>
    </row>
    <row r="15" spans="2:124">
      <c r="B15" s="1223">
        <v>42248</v>
      </c>
      <c r="C15" s="1423">
        <v>77161539</v>
      </c>
      <c r="D15" s="1423">
        <v>77161539</v>
      </c>
      <c r="E15" s="1423">
        <v>65193563</v>
      </c>
      <c r="F15" s="1423">
        <v>11967976</v>
      </c>
      <c r="G15" s="1423"/>
      <c r="H15" s="1423"/>
      <c r="I15" s="1423"/>
      <c r="J15" s="1423"/>
      <c r="K15" s="1423"/>
      <c r="L15" s="1423"/>
      <c r="M15" s="1423"/>
      <c r="N15" s="1423"/>
      <c r="O15" s="1423">
        <v>24130002</v>
      </c>
      <c r="P15" s="1423">
        <v>10953946</v>
      </c>
      <c r="Q15" s="1423">
        <v>3089992</v>
      </c>
      <c r="R15" s="1423">
        <v>1801827</v>
      </c>
      <c r="S15" s="1423">
        <v>1288165</v>
      </c>
      <c r="T15" s="1423"/>
      <c r="U15" s="1423">
        <v>7863954</v>
      </c>
      <c r="V15" s="1423">
        <v>3507204</v>
      </c>
      <c r="W15" s="1423">
        <v>4356750</v>
      </c>
      <c r="X15" s="1423"/>
      <c r="Y15" s="1423">
        <v>0</v>
      </c>
      <c r="Z15" s="1423"/>
      <c r="AA15" s="1423"/>
      <c r="AB15" s="1423"/>
      <c r="AC15" s="1423">
        <v>110988</v>
      </c>
      <c r="AD15" s="1423"/>
      <c r="AE15" s="1423">
        <v>110988</v>
      </c>
      <c r="AF15" s="1423"/>
      <c r="AG15" s="1423">
        <v>4272625</v>
      </c>
      <c r="AH15" s="1423">
        <v>2379005</v>
      </c>
      <c r="AI15" s="1423">
        <v>1893620</v>
      </c>
      <c r="AJ15" s="1423"/>
      <c r="AK15" s="1423">
        <v>2501457</v>
      </c>
      <c r="AL15" s="1423">
        <v>2501457</v>
      </c>
      <c r="AM15" s="1423"/>
      <c r="AN15" s="1423"/>
      <c r="AO15" s="1423">
        <v>2366946</v>
      </c>
      <c r="AP15" s="1423">
        <v>2017137</v>
      </c>
      <c r="AQ15" s="1423">
        <v>349809</v>
      </c>
      <c r="AR15" s="1423"/>
      <c r="AS15" s="1423">
        <v>3924040</v>
      </c>
      <c r="AT15" s="1423">
        <v>1166363</v>
      </c>
      <c r="AU15" s="1423">
        <v>2757677</v>
      </c>
      <c r="AV15" s="1423"/>
      <c r="AW15" s="1423">
        <v>0</v>
      </c>
      <c r="AX15" s="1423"/>
      <c r="AY15" s="1423"/>
      <c r="AZ15" s="1423"/>
      <c r="BA15" s="1423"/>
      <c r="BB15" s="1423">
        <v>0</v>
      </c>
      <c r="BC15" s="1423">
        <v>0</v>
      </c>
      <c r="BD15" s="1423"/>
      <c r="BE15" s="1423">
        <v>0</v>
      </c>
      <c r="BF15" s="1423"/>
      <c r="BG15" s="1423"/>
      <c r="BH15" s="1423"/>
      <c r="BI15" s="1423"/>
      <c r="BJ15" s="1423">
        <v>0</v>
      </c>
      <c r="BK15" s="1423"/>
      <c r="BL15" s="1423">
        <v>0</v>
      </c>
      <c r="BM15" s="1423"/>
      <c r="BN15" s="1423"/>
      <c r="BO15" s="1423"/>
      <c r="BP15" s="1423"/>
      <c r="BQ15" s="1423">
        <v>0</v>
      </c>
      <c r="BR15" s="1423"/>
      <c r="BS15" s="1423">
        <v>0</v>
      </c>
      <c r="BT15" s="1423"/>
      <c r="BU15" s="1423"/>
      <c r="BV15" s="1423"/>
      <c r="BW15" s="1423"/>
      <c r="BX15" s="1423">
        <v>0</v>
      </c>
      <c r="BY15" s="1423"/>
      <c r="BZ15" s="1423"/>
      <c r="CA15" s="1423"/>
      <c r="CB15" s="1423"/>
      <c r="CC15" s="1423"/>
      <c r="CD15" s="1423">
        <v>0</v>
      </c>
      <c r="CE15" s="1423">
        <v>0</v>
      </c>
      <c r="CF15" s="1423"/>
      <c r="CG15" s="1423"/>
      <c r="CH15" s="1423">
        <v>0</v>
      </c>
      <c r="CI15" s="1423"/>
      <c r="CJ15" s="1423"/>
      <c r="CK15" s="1423"/>
      <c r="CL15" s="1423">
        <v>0</v>
      </c>
      <c r="CM15" s="1423"/>
      <c r="CN15" s="1423"/>
      <c r="CO15" s="1423"/>
      <c r="CP15" s="1423"/>
      <c r="CQ15" s="1423">
        <v>0</v>
      </c>
      <c r="CR15" s="1423">
        <v>0</v>
      </c>
      <c r="CS15" s="1423"/>
      <c r="CT15" s="1423"/>
      <c r="CU15" s="1423">
        <v>0</v>
      </c>
      <c r="CV15" s="1423"/>
      <c r="CW15" s="1423"/>
      <c r="CX15" s="1423"/>
      <c r="CY15" s="1423">
        <v>1212901</v>
      </c>
      <c r="CZ15" s="1423"/>
      <c r="DA15" s="1423">
        <v>0</v>
      </c>
      <c r="DB15" s="1423">
        <v>0</v>
      </c>
      <c r="DC15" s="1423"/>
      <c r="DD15" s="1423"/>
      <c r="DE15" s="1423"/>
      <c r="DF15" s="1423"/>
      <c r="DG15" s="1423"/>
      <c r="DH15" s="1423">
        <v>20898348</v>
      </c>
      <c r="DI15" s="1423">
        <v>5402984</v>
      </c>
      <c r="DJ15" s="1423">
        <v>1004135</v>
      </c>
      <c r="DK15" s="1423">
        <v>8291935</v>
      </c>
      <c r="DL15" s="1423">
        <v>6199294</v>
      </c>
      <c r="DM15" s="1423"/>
      <c r="DN15" s="1423">
        <v>5683603</v>
      </c>
      <c r="DO15" s="1423"/>
      <c r="DP15" s="1423"/>
      <c r="DQ15" s="1423">
        <v>129086393</v>
      </c>
      <c r="DR15" s="1374"/>
      <c r="DS15" s="1374"/>
      <c r="DT15" s="1374">
        <v>0</v>
      </c>
    </row>
    <row r="16" spans="2:124">
      <c r="B16" s="1223">
        <v>42278</v>
      </c>
      <c r="C16" s="1423">
        <v>73380492</v>
      </c>
      <c r="D16" s="1423">
        <v>73380492</v>
      </c>
      <c r="E16" s="1423">
        <v>62416859</v>
      </c>
      <c r="F16" s="1423">
        <v>10963633</v>
      </c>
      <c r="G16" s="1423"/>
      <c r="H16" s="1423"/>
      <c r="I16" s="1423"/>
      <c r="J16" s="1423"/>
      <c r="K16" s="1423"/>
      <c r="L16" s="1423"/>
      <c r="M16" s="1423"/>
      <c r="N16" s="1423"/>
      <c r="O16" s="1423">
        <v>24121472</v>
      </c>
      <c r="P16" s="1423">
        <v>11110875</v>
      </c>
      <c r="Q16" s="1423">
        <v>3139876</v>
      </c>
      <c r="R16" s="1423">
        <v>1762805</v>
      </c>
      <c r="S16" s="1423">
        <v>1377071</v>
      </c>
      <c r="T16" s="1423"/>
      <c r="U16" s="1423">
        <v>7970999</v>
      </c>
      <c r="V16" s="1423">
        <v>841402</v>
      </c>
      <c r="W16" s="1423">
        <v>7129597</v>
      </c>
      <c r="X16" s="1423"/>
      <c r="Y16" s="1423">
        <v>0</v>
      </c>
      <c r="Z16" s="1423"/>
      <c r="AA16" s="1423"/>
      <c r="AB16" s="1423"/>
      <c r="AC16" s="1423">
        <v>111223</v>
      </c>
      <c r="AD16" s="1423"/>
      <c r="AE16" s="1423">
        <v>111223</v>
      </c>
      <c r="AF16" s="1423"/>
      <c r="AG16" s="1423">
        <v>3636162</v>
      </c>
      <c r="AH16" s="1423">
        <v>2277560</v>
      </c>
      <c r="AI16" s="1423">
        <v>1358602</v>
      </c>
      <c r="AJ16" s="1423"/>
      <c r="AK16" s="1423">
        <v>2527608</v>
      </c>
      <c r="AL16" s="1423">
        <v>2527608</v>
      </c>
      <c r="AM16" s="1423"/>
      <c r="AN16" s="1423"/>
      <c r="AO16" s="1423">
        <v>2437046</v>
      </c>
      <c r="AP16" s="1423">
        <v>2385528</v>
      </c>
      <c r="AQ16" s="1423">
        <v>51518</v>
      </c>
      <c r="AR16" s="1423"/>
      <c r="AS16" s="1423">
        <v>4298558</v>
      </c>
      <c r="AT16" s="1423">
        <v>1154314</v>
      </c>
      <c r="AU16" s="1423">
        <v>3144244</v>
      </c>
      <c r="AV16" s="1423"/>
      <c r="AW16" s="1423">
        <v>0</v>
      </c>
      <c r="AX16" s="1423"/>
      <c r="AY16" s="1423"/>
      <c r="AZ16" s="1423"/>
      <c r="BA16" s="1423"/>
      <c r="BB16" s="1423">
        <v>0</v>
      </c>
      <c r="BC16" s="1423">
        <v>0</v>
      </c>
      <c r="BD16" s="1423"/>
      <c r="BE16" s="1423">
        <v>0</v>
      </c>
      <c r="BF16" s="1423"/>
      <c r="BG16" s="1423"/>
      <c r="BH16" s="1423"/>
      <c r="BI16" s="1423"/>
      <c r="BJ16" s="1423">
        <v>0</v>
      </c>
      <c r="BK16" s="1423"/>
      <c r="BL16" s="1423">
        <v>0</v>
      </c>
      <c r="BM16" s="1423"/>
      <c r="BN16" s="1423"/>
      <c r="BO16" s="1423"/>
      <c r="BP16" s="1423"/>
      <c r="BQ16" s="1423">
        <v>0</v>
      </c>
      <c r="BR16" s="1423"/>
      <c r="BS16" s="1423">
        <v>0</v>
      </c>
      <c r="BT16" s="1423"/>
      <c r="BU16" s="1423"/>
      <c r="BV16" s="1423"/>
      <c r="BW16" s="1423"/>
      <c r="BX16" s="1423">
        <v>0</v>
      </c>
      <c r="BY16" s="1423"/>
      <c r="BZ16" s="1423"/>
      <c r="CA16" s="1423"/>
      <c r="CB16" s="1423"/>
      <c r="CC16" s="1423"/>
      <c r="CD16" s="1423">
        <v>0</v>
      </c>
      <c r="CE16" s="1423">
        <v>0</v>
      </c>
      <c r="CF16" s="1423"/>
      <c r="CG16" s="1423"/>
      <c r="CH16" s="1423">
        <v>0</v>
      </c>
      <c r="CI16" s="1423"/>
      <c r="CJ16" s="1423"/>
      <c r="CK16" s="1423"/>
      <c r="CL16" s="1423">
        <v>0</v>
      </c>
      <c r="CM16" s="1423"/>
      <c r="CN16" s="1423"/>
      <c r="CO16" s="1423"/>
      <c r="CP16" s="1423"/>
      <c r="CQ16" s="1423">
        <v>0</v>
      </c>
      <c r="CR16" s="1423">
        <v>0</v>
      </c>
      <c r="CS16" s="1423"/>
      <c r="CT16" s="1423"/>
      <c r="CU16" s="1423">
        <v>0</v>
      </c>
      <c r="CV16" s="1423"/>
      <c r="CW16" s="1423"/>
      <c r="CX16" s="1423"/>
      <c r="CY16" s="1423">
        <v>1083046</v>
      </c>
      <c r="CZ16" s="1423"/>
      <c r="DA16" s="1423">
        <v>0</v>
      </c>
      <c r="DB16" s="1423">
        <v>0</v>
      </c>
      <c r="DC16" s="1423"/>
      <c r="DD16" s="1423"/>
      <c r="DE16" s="1423"/>
      <c r="DF16" s="1423"/>
      <c r="DG16" s="1423"/>
      <c r="DH16" s="1423">
        <v>21653882</v>
      </c>
      <c r="DI16" s="1423">
        <v>5476525</v>
      </c>
      <c r="DJ16" s="1423">
        <v>1004135</v>
      </c>
      <c r="DK16" s="1423">
        <v>9075843</v>
      </c>
      <c r="DL16" s="1423">
        <v>6097379</v>
      </c>
      <c r="DM16" s="1423"/>
      <c r="DN16" s="1423">
        <v>6439571</v>
      </c>
      <c r="DO16" s="1423"/>
      <c r="DP16" s="1423"/>
      <c r="DQ16" s="1423">
        <v>126678463</v>
      </c>
      <c r="DR16" s="1374"/>
      <c r="DS16" s="1374"/>
      <c r="DT16" s="1374">
        <v>0</v>
      </c>
    </row>
    <row r="17" spans="2:124">
      <c r="B17" s="1223">
        <v>42309</v>
      </c>
      <c r="C17" s="1423">
        <v>76307696</v>
      </c>
      <c r="D17" s="1423">
        <v>76307696</v>
      </c>
      <c r="E17" s="1423">
        <v>66161719</v>
      </c>
      <c r="F17" s="1423">
        <v>10145977</v>
      </c>
      <c r="G17" s="1423"/>
      <c r="H17" s="1423"/>
      <c r="I17" s="1423"/>
      <c r="J17" s="1423"/>
      <c r="K17" s="1423"/>
      <c r="L17" s="1423"/>
      <c r="M17" s="1423"/>
      <c r="N17" s="1423"/>
      <c r="O17" s="1423">
        <v>23679875</v>
      </c>
      <c r="P17" s="1423">
        <v>11727062</v>
      </c>
      <c r="Q17" s="1423">
        <v>3029363</v>
      </c>
      <c r="R17" s="1423">
        <v>1644965</v>
      </c>
      <c r="S17" s="1423">
        <v>1384398</v>
      </c>
      <c r="T17" s="1423"/>
      <c r="U17" s="1423">
        <v>8697699</v>
      </c>
      <c r="V17" s="1423">
        <v>487182</v>
      </c>
      <c r="W17" s="1423">
        <v>8210517</v>
      </c>
      <c r="X17" s="1423"/>
      <c r="Y17" s="1423">
        <v>0</v>
      </c>
      <c r="Z17" s="1423"/>
      <c r="AA17" s="1423"/>
      <c r="AB17" s="1423"/>
      <c r="AC17" s="1423">
        <v>11399</v>
      </c>
      <c r="AD17" s="1423"/>
      <c r="AE17" s="1423">
        <v>11399</v>
      </c>
      <c r="AF17" s="1423"/>
      <c r="AG17" s="1423">
        <v>3534562</v>
      </c>
      <c r="AH17" s="1423">
        <v>2030750</v>
      </c>
      <c r="AI17" s="1423">
        <v>1503812</v>
      </c>
      <c r="AJ17" s="1423"/>
      <c r="AK17" s="1423">
        <v>2525810</v>
      </c>
      <c r="AL17" s="1423">
        <v>2525810</v>
      </c>
      <c r="AM17" s="1423"/>
      <c r="AN17" s="1423"/>
      <c r="AO17" s="1423">
        <v>2461686</v>
      </c>
      <c r="AP17" s="1423">
        <v>2108012</v>
      </c>
      <c r="AQ17" s="1423">
        <v>353674</v>
      </c>
      <c r="AR17" s="1423"/>
      <c r="AS17" s="1423">
        <v>3419356</v>
      </c>
      <c r="AT17" s="1423">
        <v>1996478</v>
      </c>
      <c r="AU17" s="1423">
        <v>1422878</v>
      </c>
      <c r="AV17" s="1423"/>
      <c r="AW17" s="1423">
        <v>0</v>
      </c>
      <c r="AX17" s="1423"/>
      <c r="AY17" s="1423"/>
      <c r="AZ17" s="1423"/>
      <c r="BA17" s="1423"/>
      <c r="BB17" s="1423">
        <v>0</v>
      </c>
      <c r="BC17" s="1423">
        <v>0</v>
      </c>
      <c r="BD17" s="1423"/>
      <c r="BE17" s="1423">
        <v>0</v>
      </c>
      <c r="BF17" s="1423"/>
      <c r="BG17" s="1423"/>
      <c r="BH17" s="1423"/>
      <c r="BI17" s="1423"/>
      <c r="BJ17" s="1423">
        <v>0</v>
      </c>
      <c r="BK17" s="1423"/>
      <c r="BL17" s="1423">
        <v>0</v>
      </c>
      <c r="BM17" s="1423"/>
      <c r="BN17" s="1423"/>
      <c r="BO17" s="1423"/>
      <c r="BP17" s="1423"/>
      <c r="BQ17" s="1423">
        <v>0</v>
      </c>
      <c r="BR17" s="1423"/>
      <c r="BS17" s="1423">
        <v>0</v>
      </c>
      <c r="BT17" s="1423"/>
      <c r="BU17" s="1423"/>
      <c r="BV17" s="1423"/>
      <c r="BW17" s="1423"/>
      <c r="BX17" s="1423">
        <v>0</v>
      </c>
      <c r="BY17" s="1423"/>
      <c r="BZ17" s="1423"/>
      <c r="CA17" s="1423"/>
      <c r="CB17" s="1423"/>
      <c r="CC17" s="1423"/>
      <c r="CD17" s="1423">
        <v>0</v>
      </c>
      <c r="CE17" s="1423">
        <v>0</v>
      </c>
      <c r="CF17" s="1423"/>
      <c r="CG17" s="1423"/>
      <c r="CH17" s="1423">
        <v>0</v>
      </c>
      <c r="CI17" s="1423"/>
      <c r="CJ17" s="1423"/>
      <c r="CK17" s="1423"/>
      <c r="CL17" s="1423">
        <v>0</v>
      </c>
      <c r="CM17" s="1423"/>
      <c r="CN17" s="1423"/>
      <c r="CO17" s="1423"/>
      <c r="CP17" s="1423"/>
      <c r="CQ17" s="1423">
        <v>0</v>
      </c>
      <c r="CR17" s="1423">
        <v>0</v>
      </c>
      <c r="CS17" s="1423"/>
      <c r="CT17" s="1423"/>
      <c r="CU17" s="1423">
        <v>0</v>
      </c>
      <c r="CV17" s="1423"/>
      <c r="CW17" s="1423"/>
      <c r="CX17" s="1423"/>
      <c r="CY17" s="1423">
        <v>952142</v>
      </c>
      <c r="CZ17" s="1423"/>
      <c r="DA17" s="1423">
        <v>0</v>
      </c>
      <c r="DB17" s="1423">
        <v>0</v>
      </c>
      <c r="DC17" s="1423"/>
      <c r="DD17" s="1423"/>
      <c r="DE17" s="1423"/>
      <c r="DF17" s="1423"/>
      <c r="DG17" s="1423"/>
      <c r="DH17" s="1423">
        <v>21919605</v>
      </c>
      <c r="DI17" s="1423">
        <v>5377487</v>
      </c>
      <c r="DJ17" s="1423">
        <v>1004135</v>
      </c>
      <c r="DK17" s="1423">
        <v>9528475</v>
      </c>
      <c r="DL17" s="1423">
        <v>6009508</v>
      </c>
      <c r="DM17" s="1423"/>
      <c r="DN17" s="1423">
        <v>6385140</v>
      </c>
      <c r="DO17" s="1423"/>
      <c r="DP17" s="1423"/>
      <c r="DQ17" s="1423">
        <v>129244458</v>
      </c>
      <c r="DR17" s="1374"/>
      <c r="DS17" s="1374"/>
      <c r="DT17" s="1374">
        <v>0</v>
      </c>
    </row>
    <row r="18" spans="2:124">
      <c r="B18" s="1223">
        <v>42339</v>
      </c>
      <c r="C18" s="1423">
        <v>72505781</v>
      </c>
      <c r="D18" s="1423">
        <v>72505781</v>
      </c>
      <c r="E18" s="1423">
        <v>62081085</v>
      </c>
      <c r="F18" s="1423">
        <v>10424696</v>
      </c>
      <c r="G18" s="1423"/>
      <c r="H18" s="1423"/>
      <c r="I18" s="1423"/>
      <c r="J18" s="1423"/>
      <c r="K18" s="1423"/>
      <c r="L18" s="1423"/>
      <c r="M18" s="1423"/>
      <c r="N18" s="1423"/>
      <c r="O18" s="1423">
        <v>21862680</v>
      </c>
      <c r="P18" s="1423">
        <v>11770638</v>
      </c>
      <c r="Q18" s="1423">
        <v>3114697</v>
      </c>
      <c r="R18" s="1423">
        <v>1996824</v>
      </c>
      <c r="S18" s="1423">
        <v>1117873</v>
      </c>
      <c r="T18" s="1423"/>
      <c r="U18" s="1423">
        <v>8655941</v>
      </c>
      <c r="V18" s="1423">
        <v>4553301</v>
      </c>
      <c r="W18" s="1423">
        <v>4102640</v>
      </c>
      <c r="X18" s="1423"/>
      <c r="Y18" s="1423">
        <v>0</v>
      </c>
      <c r="Z18" s="1423"/>
      <c r="AA18" s="1423"/>
      <c r="AB18" s="1423"/>
      <c r="AC18" s="1423">
        <v>11423</v>
      </c>
      <c r="AD18" s="1423"/>
      <c r="AE18" s="1423">
        <v>11423</v>
      </c>
      <c r="AF18" s="1423"/>
      <c r="AG18" s="1423">
        <v>3923394</v>
      </c>
      <c r="AH18" s="1423">
        <v>2492368</v>
      </c>
      <c r="AI18" s="1423">
        <v>1431026</v>
      </c>
      <c r="AJ18" s="1423"/>
      <c r="AK18" s="1423">
        <v>2536643</v>
      </c>
      <c r="AL18" s="1423">
        <v>2536643</v>
      </c>
      <c r="AM18" s="1423"/>
      <c r="AN18" s="1423"/>
      <c r="AO18" s="1423">
        <v>1407579</v>
      </c>
      <c r="AP18" s="1423">
        <v>1355535</v>
      </c>
      <c r="AQ18" s="1423">
        <v>52044</v>
      </c>
      <c r="AR18" s="1423"/>
      <c r="AS18" s="1423">
        <v>2213003</v>
      </c>
      <c r="AT18" s="1423">
        <v>563122</v>
      </c>
      <c r="AU18" s="1423">
        <v>1649881</v>
      </c>
      <c r="AV18" s="1423"/>
      <c r="AW18" s="1423">
        <v>0</v>
      </c>
      <c r="AX18" s="1423"/>
      <c r="AY18" s="1423"/>
      <c r="AZ18" s="1423"/>
      <c r="BA18" s="1423"/>
      <c r="BB18" s="1423">
        <v>0</v>
      </c>
      <c r="BC18" s="1423">
        <v>0</v>
      </c>
      <c r="BD18" s="1423"/>
      <c r="BE18" s="1423">
        <v>0</v>
      </c>
      <c r="BF18" s="1423"/>
      <c r="BG18" s="1423"/>
      <c r="BH18" s="1423"/>
      <c r="BI18" s="1423"/>
      <c r="BJ18" s="1423">
        <v>0</v>
      </c>
      <c r="BK18" s="1423"/>
      <c r="BL18" s="1423">
        <v>0</v>
      </c>
      <c r="BM18" s="1423"/>
      <c r="BN18" s="1423"/>
      <c r="BO18" s="1423"/>
      <c r="BP18" s="1423"/>
      <c r="BQ18" s="1423">
        <v>0</v>
      </c>
      <c r="BR18" s="1423"/>
      <c r="BS18" s="1423">
        <v>0</v>
      </c>
      <c r="BT18" s="1423"/>
      <c r="BU18" s="1423"/>
      <c r="BV18" s="1423"/>
      <c r="BW18" s="1423"/>
      <c r="BX18" s="1423">
        <v>0</v>
      </c>
      <c r="BY18" s="1423"/>
      <c r="BZ18" s="1423"/>
      <c r="CA18" s="1423"/>
      <c r="CB18" s="1423"/>
      <c r="CC18" s="1423"/>
      <c r="CD18" s="1423">
        <v>0</v>
      </c>
      <c r="CE18" s="1423">
        <v>0</v>
      </c>
      <c r="CF18" s="1423"/>
      <c r="CG18" s="1423"/>
      <c r="CH18" s="1423">
        <v>0</v>
      </c>
      <c r="CI18" s="1423"/>
      <c r="CJ18" s="1423"/>
      <c r="CK18" s="1423"/>
      <c r="CL18" s="1423">
        <v>0</v>
      </c>
      <c r="CM18" s="1423"/>
      <c r="CN18" s="1423"/>
      <c r="CO18" s="1423"/>
      <c r="CP18" s="1423"/>
      <c r="CQ18" s="1423">
        <v>0</v>
      </c>
      <c r="CR18" s="1423">
        <v>0</v>
      </c>
      <c r="CS18" s="1423"/>
      <c r="CT18" s="1423"/>
      <c r="CU18" s="1423">
        <v>0</v>
      </c>
      <c r="CV18" s="1423"/>
      <c r="CW18" s="1423"/>
      <c r="CX18" s="1423"/>
      <c r="CY18" s="1423">
        <v>820243</v>
      </c>
      <c r="CZ18" s="1423"/>
      <c r="DA18" s="1423">
        <v>0</v>
      </c>
      <c r="DB18" s="1423">
        <v>0</v>
      </c>
      <c r="DC18" s="1423"/>
      <c r="DD18" s="1423"/>
      <c r="DE18" s="1423"/>
      <c r="DF18" s="1423"/>
      <c r="DG18" s="1423"/>
      <c r="DH18" s="1423">
        <v>42781306</v>
      </c>
      <c r="DI18" s="1423">
        <v>5546954</v>
      </c>
      <c r="DJ18" s="1423">
        <v>1004135</v>
      </c>
      <c r="DK18" s="1423">
        <v>10372519</v>
      </c>
      <c r="DL18" s="1423">
        <v>25857698</v>
      </c>
      <c r="DM18" s="1423"/>
      <c r="DN18" s="1423">
        <v>5510499</v>
      </c>
      <c r="DO18" s="1423"/>
      <c r="DP18" s="1423"/>
      <c r="DQ18" s="1423">
        <v>143480509</v>
      </c>
      <c r="DR18" s="1374"/>
      <c r="DS18" s="1374"/>
      <c r="DT18" s="1374">
        <v>0</v>
      </c>
    </row>
    <row r="19" spans="2:124">
      <c r="B19" s="1223"/>
      <c r="C19" s="1423"/>
      <c r="D19" s="1423"/>
      <c r="E19" s="1423"/>
      <c r="F19" s="1423"/>
      <c r="G19" s="1423"/>
      <c r="H19" s="1423"/>
      <c r="I19" s="1423"/>
      <c r="J19" s="1423"/>
      <c r="K19" s="1423"/>
      <c r="L19" s="1423"/>
      <c r="M19" s="1423"/>
      <c r="N19" s="1423"/>
      <c r="O19" s="1423"/>
      <c r="P19" s="1423"/>
      <c r="Q19" s="1423"/>
      <c r="R19" s="1423"/>
      <c r="S19" s="1423"/>
      <c r="T19" s="1423"/>
      <c r="U19" s="1423"/>
      <c r="V19" s="1423"/>
      <c r="W19" s="1423"/>
      <c r="X19" s="1423"/>
      <c r="Y19" s="1423"/>
      <c r="Z19" s="1423"/>
      <c r="AA19" s="1423"/>
      <c r="AB19" s="1423"/>
      <c r="AC19" s="1423"/>
      <c r="AD19" s="1423"/>
      <c r="AE19" s="1423"/>
      <c r="AF19" s="1423"/>
      <c r="AG19" s="1423"/>
      <c r="AH19" s="1423"/>
      <c r="AI19" s="1423"/>
      <c r="AJ19" s="1423"/>
      <c r="AK19" s="1423"/>
      <c r="AL19" s="1423"/>
      <c r="AM19" s="1423"/>
      <c r="AN19" s="1423"/>
      <c r="AO19" s="1423"/>
      <c r="AP19" s="1423"/>
      <c r="AQ19" s="1423"/>
      <c r="AR19" s="1423"/>
      <c r="AS19" s="1423"/>
      <c r="AT19" s="1423"/>
      <c r="AU19" s="1423"/>
      <c r="AV19" s="1423"/>
      <c r="AW19" s="1423"/>
      <c r="AX19" s="1423"/>
      <c r="AY19" s="1423"/>
      <c r="AZ19" s="1423"/>
      <c r="BA19" s="1423"/>
      <c r="BB19" s="1423"/>
      <c r="BC19" s="1423"/>
      <c r="BD19" s="1423"/>
      <c r="BE19" s="1423"/>
      <c r="BF19" s="1423"/>
      <c r="BG19" s="1423"/>
      <c r="BH19" s="1423"/>
      <c r="BI19" s="1423"/>
      <c r="BJ19" s="1423"/>
      <c r="BK19" s="1423"/>
      <c r="BL19" s="1423"/>
      <c r="BM19" s="1423"/>
      <c r="BN19" s="1423"/>
      <c r="BO19" s="1423"/>
      <c r="BP19" s="1423"/>
      <c r="BQ19" s="1423"/>
      <c r="BR19" s="1423"/>
      <c r="BS19" s="1423"/>
      <c r="BT19" s="1423"/>
      <c r="BU19" s="1423"/>
      <c r="BV19" s="1423"/>
      <c r="BW19" s="1423"/>
      <c r="BX19" s="1423"/>
      <c r="BY19" s="1423"/>
      <c r="BZ19" s="1423"/>
      <c r="CA19" s="1423"/>
      <c r="CB19" s="1423"/>
      <c r="CC19" s="1423"/>
      <c r="CD19" s="1423"/>
      <c r="CE19" s="1423"/>
      <c r="CF19" s="1423"/>
      <c r="CG19" s="1423"/>
      <c r="CH19" s="1423"/>
      <c r="CI19" s="1423"/>
      <c r="CJ19" s="1423"/>
      <c r="CK19" s="1423"/>
      <c r="CL19" s="1423"/>
      <c r="CM19" s="1423"/>
      <c r="CN19" s="1423"/>
      <c r="CO19" s="1423"/>
      <c r="CP19" s="1423"/>
      <c r="CQ19" s="1423"/>
      <c r="CR19" s="1423"/>
      <c r="CS19" s="1423"/>
      <c r="CT19" s="1423"/>
      <c r="CU19" s="1423"/>
      <c r="CV19" s="1423"/>
      <c r="CW19" s="1423"/>
      <c r="CX19" s="1423"/>
      <c r="CY19" s="1423"/>
      <c r="CZ19" s="1423"/>
      <c r="DA19" s="1423"/>
      <c r="DB19" s="1423"/>
      <c r="DC19" s="1423"/>
      <c r="DD19" s="1423"/>
      <c r="DE19" s="1423"/>
      <c r="DF19" s="1423"/>
      <c r="DG19" s="1423"/>
      <c r="DH19" s="1423"/>
      <c r="DI19" s="1423"/>
      <c r="DJ19" s="1423"/>
      <c r="DK19" s="1423"/>
      <c r="DL19" s="1423"/>
      <c r="DM19" s="1423"/>
      <c r="DN19" s="1423"/>
      <c r="DO19" s="1423"/>
      <c r="DP19" s="1423"/>
      <c r="DQ19" s="1423"/>
      <c r="DR19" s="1374"/>
      <c r="DS19" s="1374"/>
      <c r="DT19" s="1374"/>
    </row>
    <row r="20" spans="2:124">
      <c r="B20" s="1223"/>
      <c r="C20" s="1423"/>
      <c r="D20" s="1423"/>
      <c r="E20" s="1423"/>
      <c r="F20" s="1423"/>
      <c r="G20" s="1423"/>
      <c r="H20" s="1423"/>
      <c r="I20" s="1423"/>
      <c r="J20" s="1423"/>
      <c r="K20" s="1423"/>
      <c r="L20" s="1423"/>
      <c r="M20" s="1423"/>
      <c r="N20" s="1423"/>
      <c r="O20" s="1423"/>
      <c r="P20" s="1423"/>
      <c r="Q20" s="1423"/>
      <c r="R20" s="1423"/>
      <c r="S20" s="1423"/>
      <c r="T20" s="1423"/>
      <c r="U20" s="1423"/>
      <c r="V20" s="1423"/>
      <c r="W20" s="1423"/>
      <c r="X20" s="1423"/>
      <c r="Y20" s="1423"/>
      <c r="Z20" s="1423"/>
      <c r="AA20" s="1423"/>
      <c r="AB20" s="1423"/>
      <c r="AC20" s="1423"/>
      <c r="AD20" s="1423"/>
      <c r="AE20" s="1423"/>
      <c r="AF20" s="1423"/>
      <c r="AG20" s="1423"/>
      <c r="AH20" s="1423"/>
      <c r="AI20" s="1423"/>
      <c r="AJ20" s="1423"/>
      <c r="AK20" s="1423"/>
      <c r="AL20" s="1423"/>
      <c r="AM20" s="1423"/>
      <c r="AN20" s="1423"/>
      <c r="AO20" s="1423"/>
      <c r="AP20" s="1423"/>
      <c r="AQ20" s="1423"/>
      <c r="AR20" s="1423"/>
      <c r="AS20" s="1423"/>
      <c r="AT20" s="1423"/>
      <c r="AU20" s="1423"/>
      <c r="AV20" s="1423"/>
      <c r="AW20" s="1423"/>
      <c r="AX20" s="1423"/>
      <c r="AY20" s="1423"/>
      <c r="AZ20" s="1423"/>
      <c r="BA20" s="1423"/>
      <c r="BB20" s="1423"/>
      <c r="BC20" s="1423"/>
      <c r="BD20" s="1423"/>
      <c r="BE20" s="1423"/>
      <c r="BF20" s="1423"/>
      <c r="BG20" s="1423"/>
      <c r="BH20" s="1423"/>
      <c r="BI20" s="1423"/>
      <c r="BJ20" s="1423"/>
      <c r="BK20" s="1423"/>
      <c r="BL20" s="1423"/>
      <c r="BM20" s="1423"/>
      <c r="BN20" s="1423"/>
      <c r="BO20" s="1423"/>
      <c r="BP20" s="1423"/>
      <c r="BQ20" s="1423"/>
      <c r="BR20" s="1423"/>
      <c r="BS20" s="1423"/>
      <c r="BT20" s="1423"/>
      <c r="BU20" s="1423"/>
      <c r="BV20" s="1423"/>
      <c r="BW20" s="1423"/>
      <c r="BX20" s="1423"/>
      <c r="BY20" s="1423"/>
      <c r="BZ20" s="1423"/>
      <c r="CA20" s="1423"/>
      <c r="CB20" s="1423"/>
      <c r="CC20" s="1423"/>
      <c r="CD20" s="1423"/>
      <c r="CE20" s="1423"/>
      <c r="CF20" s="1423"/>
      <c r="CG20" s="1423"/>
      <c r="CH20" s="1423"/>
      <c r="CI20" s="1423"/>
      <c r="CJ20" s="1423"/>
      <c r="CK20" s="1423"/>
      <c r="CL20" s="1423"/>
      <c r="CM20" s="1423"/>
      <c r="CN20" s="1423"/>
      <c r="CO20" s="1423"/>
      <c r="CP20" s="1423"/>
      <c r="CQ20" s="1423"/>
      <c r="CR20" s="1423"/>
      <c r="CS20" s="1423"/>
      <c r="CT20" s="1423"/>
      <c r="CU20" s="1423"/>
      <c r="CV20" s="1423"/>
      <c r="CW20" s="1423"/>
      <c r="CX20" s="1423"/>
      <c r="CY20" s="1423"/>
      <c r="CZ20" s="1423"/>
      <c r="DA20" s="1423"/>
      <c r="DB20" s="1423"/>
      <c r="DC20" s="1423"/>
      <c r="DD20" s="1423"/>
      <c r="DE20" s="1423"/>
      <c r="DF20" s="1423"/>
      <c r="DG20" s="1423"/>
      <c r="DH20" s="1423"/>
      <c r="DI20" s="1423"/>
      <c r="DJ20" s="1423"/>
      <c r="DK20" s="1423"/>
      <c r="DL20" s="1423"/>
      <c r="DM20" s="1423"/>
      <c r="DN20" s="1423"/>
      <c r="DO20" s="1423"/>
      <c r="DP20" s="1423"/>
      <c r="DQ20" s="1423"/>
      <c r="DR20" s="1374"/>
      <c r="DS20" s="1374"/>
      <c r="DT20" s="1374"/>
    </row>
    <row r="21" spans="2:124">
      <c r="B21" s="1223">
        <v>42370</v>
      </c>
      <c r="C21" s="1423">
        <v>73735740</v>
      </c>
      <c r="D21" s="1423">
        <v>73735740</v>
      </c>
      <c r="E21" s="1423">
        <v>61020213</v>
      </c>
      <c r="F21" s="1423">
        <v>12715527</v>
      </c>
      <c r="G21" s="1423"/>
      <c r="H21" s="1423"/>
      <c r="I21" s="1423"/>
      <c r="J21" s="1423"/>
      <c r="K21" s="1423"/>
      <c r="L21" s="1423"/>
      <c r="M21" s="1423"/>
      <c r="N21" s="1423"/>
      <c r="O21" s="1423">
        <v>25838328</v>
      </c>
      <c r="P21" s="1423">
        <v>12243643</v>
      </c>
      <c r="Q21" s="1423">
        <v>2953466</v>
      </c>
      <c r="R21" s="1423">
        <v>1980311</v>
      </c>
      <c r="S21" s="1423">
        <v>973155</v>
      </c>
      <c r="T21" s="1423"/>
      <c r="U21" s="1423">
        <v>9290177</v>
      </c>
      <c r="V21" s="1423">
        <v>5191034</v>
      </c>
      <c r="W21" s="1423">
        <v>4099143</v>
      </c>
      <c r="X21" s="1423"/>
      <c r="Y21" s="1423">
        <v>0</v>
      </c>
      <c r="Z21" s="1423"/>
      <c r="AA21" s="1423"/>
      <c r="AB21" s="1423"/>
      <c r="AC21" s="1423">
        <v>511778</v>
      </c>
      <c r="AD21" s="1423"/>
      <c r="AE21" s="1423">
        <v>511778</v>
      </c>
      <c r="AF21" s="1423"/>
      <c r="AG21" s="1423">
        <v>4703061</v>
      </c>
      <c r="AH21" s="1423">
        <v>3607939</v>
      </c>
      <c r="AI21" s="1423">
        <v>1095122</v>
      </c>
      <c r="AJ21" s="1423"/>
      <c r="AK21" s="1423">
        <v>1559498</v>
      </c>
      <c r="AL21" s="1423">
        <v>1559498</v>
      </c>
      <c r="AM21" s="1423"/>
      <c r="AN21" s="1423"/>
      <c r="AO21" s="1423">
        <v>2215126</v>
      </c>
      <c r="AP21" s="1423">
        <v>1202721</v>
      </c>
      <c r="AQ21" s="1423">
        <v>1012405</v>
      </c>
      <c r="AR21" s="1423"/>
      <c r="AS21" s="1423">
        <v>4605222</v>
      </c>
      <c r="AT21" s="1423">
        <v>511933</v>
      </c>
      <c r="AU21" s="1423">
        <v>4093289</v>
      </c>
      <c r="AV21" s="1423"/>
      <c r="AW21" s="1423">
        <v>0</v>
      </c>
      <c r="AX21" s="1423"/>
      <c r="AY21" s="1423"/>
      <c r="AZ21" s="1423"/>
      <c r="BA21" s="1423"/>
      <c r="BB21" s="1423">
        <v>0</v>
      </c>
      <c r="BC21" s="1423">
        <v>0</v>
      </c>
      <c r="BD21" s="1423"/>
      <c r="BE21" s="1423">
        <v>0</v>
      </c>
      <c r="BF21" s="1423"/>
      <c r="BG21" s="1423"/>
      <c r="BH21" s="1423"/>
      <c r="BI21" s="1423"/>
      <c r="BJ21" s="1423">
        <v>0</v>
      </c>
      <c r="BK21" s="1423"/>
      <c r="BL21" s="1423">
        <v>0</v>
      </c>
      <c r="BM21" s="1423"/>
      <c r="BN21" s="1423"/>
      <c r="BO21" s="1423"/>
      <c r="BP21" s="1423"/>
      <c r="BQ21" s="1423">
        <v>0</v>
      </c>
      <c r="BR21" s="1423"/>
      <c r="BS21" s="1423">
        <v>0</v>
      </c>
      <c r="BT21" s="1423"/>
      <c r="BU21" s="1423"/>
      <c r="BV21" s="1423"/>
      <c r="BW21" s="1423"/>
      <c r="BX21" s="1423">
        <v>0</v>
      </c>
      <c r="BY21" s="1423"/>
      <c r="BZ21" s="1423"/>
      <c r="CA21" s="1423"/>
      <c r="CB21" s="1423"/>
      <c r="CC21" s="1423"/>
      <c r="CD21" s="1423">
        <v>0</v>
      </c>
      <c r="CE21" s="1423">
        <v>0</v>
      </c>
      <c r="CF21" s="1423"/>
      <c r="CG21" s="1423"/>
      <c r="CH21" s="1423">
        <v>0</v>
      </c>
      <c r="CI21" s="1423"/>
      <c r="CJ21" s="1423"/>
      <c r="CK21" s="1423"/>
      <c r="CL21" s="1423">
        <v>0</v>
      </c>
      <c r="CM21" s="1423"/>
      <c r="CN21" s="1423"/>
      <c r="CO21" s="1423"/>
      <c r="CP21" s="1423"/>
      <c r="CQ21" s="1423">
        <v>0</v>
      </c>
      <c r="CR21" s="1423">
        <v>0</v>
      </c>
      <c r="CS21" s="1423"/>
      <c r="CT21" s="1423"/>
      <c r="CU21" s="1423">
        <v>0</v>
      </c>
      <c r="CV21" s="1423"/>
      <c r="CW21" s="1423"/>
      <c r="CX21" s="1423"/>
      <c r="CY21" s="1423">
        <v>686665</v>
      </c>
      <c r="CZ21" s="1423"/>
      <c r="DA21" s="1423">
        <v>0</v>
      </c>
      <c r="DB21" s="1423">
        <v>0</v>
      </c>
      <c r="DC21" s="1423"/>
      <c r="DD21" s="1423"/>
      <c r="DE21" s="1423"/>
      <c r="DF21" s="1423"/>
      <c r="DG21" s="1423"/>
      <c r="DH21" s="1423">
        <v>43580230</v>
      </c>
      <c r="DI21" s="1423">
        <v>5627488</v>
      </c>
      <c r="DJ21" s="1423">
        <v>1004135</v>
      </c>
      <c r="DK21" s="1423">
        <v>601431</v>
      </c>
      <c r="DL21" s="1423">
        <v>36347176</v>
      </c>
      <c r="DM21" s="1423"/>
      <c r="DN21" s="1423">
        <v>4675613</v>
      </c>
      <c r="DO21" s="1423"/>
      <c r="DP21" s="1423"/>
      <c r="DQ21" s="1423">
        <v>148516576</v>
      </c>
      <c r="DR21" s="1374"/>
      <c r="DS21" s="1374"/>
      <c r="DT21" s="1374">
        <v>0</v>
      </c>
    </row>
    <row r="22" spans="2:124">
      <c r="B22" s="1223">
        <v>42401</v>
      </c>
      <c r="C22" s="1423">
        <v>73847949</v>
      </c>
      <c r="D22" s="1423">
        <v>73847949</v>
      </c>
      <c r="E22" s="1423">
        <v>62377197</v>
      </c>
      <c r="F22" s="1423">
        <v>11470752</v>
      </c>
      <c r="G22" s="1423"/>
      <c r="H22" s="1423"/>
      <c r="I22" s="1423"/>
      <c r="J22" s="1423"/>
      <c r="K22" s="1423"/>
      <c r="L22" s="1423"/>
      <c r="M22" s="1423"/>
      <c r="N22" s="1423"/>
      <c r="O22" s="1423">
        <v>25392671</v>
      </c>
      <c r="P22" s="1423">
        <v>11675950</v>
      </c>
      <c r="Q22" s="1423">
        <v>2844775</v>
      </c>
      <c r="R22" s="1423">
        <v>1747175</v>
      </c>
      <c r="S22" s="1423">
        <v>1097600</v>
      </c>
      <c r="T22" s="1423"/>
      <c r="U22" s="1423">
        <v>8831175</v>
      </c>
      <c r="V22" s="1423">
        <v>553827</v>
      </c>
      <c r="W22" s="1423">
        <v>8277348</v>
      </c>
      <c r="X22" s="1423"/>
      <c r="Y22" s="1423">
        <v>0</v>
      </c>
      <c r="Z22" s="1423"/>
      <c r="AA22" s="1423"/>
      <c r="AB22" s="1423"/>
      <c r="AC22" s="1423">
        <v>511519</v>
      </c>
      <c r="AD22" s="1423"/>
      <c r="AE22" s="1423">
        <v>511519</v>
      </c>
      <c r="AF22" s="1423"/>
      <c r="AG22" s="1423">
        <v>4552826</v>
      </c>
      <c r="AH22" s="1423">
        <v>3611863</v>
      </c>
      <c r="AI22" s="1423">
        <v>940963</v>
      </c>
      <c r="AJ22" s="1423"/>
      <c r="AK22" s="1423">
        <v>1547883</v>
      </c>
      <c r="AL22" s="1423">
        <v>1547883</v>
      </c>
      <c r="AM22" s="1423"/>
      <c r="AN22" s="1423"/>
      <c r="AO22" s="1423">
        <v>2756790</v>
      </c>
      <c r="AP22" s="1423">
        <v>2604205</v>
      </c>
      <c r="AQ22" s="1423">
        <v>152585</v>
      </c>
      <c r="AR22" s="1423"/>
      <c r="AS22" s="1423">
        <v>4347703</v>
      </c>
      <c r="AT22" s="1423">
        <v>3032473</v>
      </c>
      <c r="AU22" s="1423">
        <v>1315230</v>
      </c>
      <c r="AV22" s="1423"/>
      <c r="AW22" s="1423">
        <v>0</v>
      </c>
      <c r="AX22" s="1423"/>
      <c r="AY22" s="1423"/>
      <c r="AZ22" s="1423"/>
      <c r="BA22" s="1423"/>
      <c r="BB22" s="1423">
        <v>0</v>
      </c>
      <c r="BC22" s="1423">
        <v>0</v>
      </c>
      <c r="BD22" s="1423"/>
      <c r="BE22" s="1423">
        <v>0</v>
      </c>
      <c r="BF22" s="1423"/>
      <c r="BG22" s="1423"/>
      <c r="BH22" s="1423"/>
      <c r="BI22" s="1423"/>
      <c r="BJ22" s="1423">
        <v>0</v>
      </c>
      <c r="BK22" s="1423"/>
      <c r="BL22" s="1423">
        <v>0</v>
      </c>
      <c r="BM22" s="1423"/>
      <c r="BN22" s="1423"/>
      <c r="BO22" s="1423"/>
      <c r="BP22" s="1423"/>
      <c r="BQ22" s="1423">
        <v>0</v>
      </c>
      <c r="BR22" s="1423"/>
      <c r="BS22" s="1423">
        <v>0</v>
      </c>
      <c r="BT22" s="1423"/>
      <c r="BU22" s="1423"/>
      <c r="BV22" s="1423"/>
      <c r="BW22" s="1423"/>
      <c r="BX22" s="1423">
        <v>0</v>
      </c>
      <c r="BY22" s="1423"/>
      <c r="BZ22" s="1423"/>
      <c r="CA22" s="1423"/>
      <c r="CB22" s="1423"/>
      <c r="CC22" s="1423"/>
      <c r="CD22" s="1423">
        <v>0</v>
      </c>
      <c r="CE22" s="1423">
        <v>0</v>
      </c>
      <c r="CF22" s="1423"/>
      <c r="CG22" s="1423"/>
      <c r="CH22" s="1423">
        <v>0</v>
      </c>
      <c r="CI22" s="1423"/>
      <c r="CJ22" s="1423"/>
      <c r="CK22" s="1423"/>
      <c r="CL22" s="1423">
        <v>0</v>
      </c>
      <c r="CM22" s="1423"/>
      <c r="CN22" s="1423"/>
      <c r="CO22" s="1423"/>
      <c r="CP22" s="1423"/>
      <c r="CQ22" s="1423">
        <v>0</v>
      </c>
      <c r="CR22" s="1423">
        <v>0</v>
      </c>
      <c r="CS22" s="1423"/>
      <c r="CT22" s="1423"/>
      <c r="CU22" s="1423">
        <v>0</v>
      </c>
      <c r="CV22" s="1423"/>
      <c r="CW22" s="1423"/>
      <c r="CX22" s="1423"/>
      <c r="CY22" s="1423">
        <v>551764</v>
      </c>
      <c r="CZ22" s="1423"/>
      <c r="DA22" s="1423">
        <v>0</v>
      </c>
      <c r="DB22" s="1423">
        <v>0</v>
      </c>
      <c r="DC22" s="1423"/>
      <c r="DD22" s="1423"/>
      <c r="DE22" s="1423"/>
      <c r="DF22" s="1423"/>
      <c r="DG22" s="1423"/>
      <c r="DH22" s="1423">
        <v>41587667</v>
      </c>
      <c r="DI22" s="1423">
        <v>5791343</v>
      </c>
      <c r="DJ22" s="1423">
        <v>3420408</v>
      </c>
      <c r="DK22" s="1423">
        <v>995842</v>
      </c>
      <c r="DL22" s="1423">
        <v>31380074</v>
      </c>
      <c r="DM22" s="1423"/>
      <c r="DN22" s="1423">
        <v>4552827</v>
      </c>
      <c r="DO22" s="1423"/>
      <c r="DP22" s="1423"/>
      <c r="DQ22" s="1423">
        <v>145932878</v>
      </c>
      <c r="DR22" s="1374"/>
      <c r="DS22" s="1374"/>
      <c r="DT22" s="1374">
        <v>0</v>
      </c>
    </row>
    <row r="23" spans="2:124">
      <c r="B23" s="1223">
        <v>42430</v>
      </c>
      <c r="C23" s="1423">
        <v>74405884</v>
      </c>
      <c r="D23" s="1423">
        <v>74405884</v>
      </c>
      <c r="E23" s="1423">
        <v>64226522</v>
      </c>
      <c r="F23" s="1423">
        <v>10179362</v>
      </c>
      <c r="G23" s="1423"/>
      <c r="H23" s="1423"/>
      <c r="I23" s="1423"/>
      <c r="J23" s="1423"/>
      <c r="K23" s="1423"/>
      <c r="L23" s="1423"/>
      <c r="M23" s="1423"/>
      <c r="N23" s="1423"/>
      <c r="O23" s="1423">
        <v>25152519</v>
      </c>
      <c r="P23" s="1423">
        <v>12537419</v>
      </c>
      <c r="Q23" s="1423">
        <v>2769822</v>
      </c>
      <c r="R23" s="1423">
        <v>2281796</v>
      </c>
      <c r="S23" s="1423">
        <v>488026</v>
      </c>
      <c r="T23" s="1423"/>
      <c r="U23" s="1423">
        <v>9767597</v>
      </c>
      <c r="V23" s="1423">
        <v>5589089</v>
      </c>
      <c r="W23" s="1423">
        <v>4178508</v>
      </c>
      <c r="X23" s="1423"/>
      <c r="Y23" s="1423">
        <v>0</v>
      </c>
      <c r="Z23" s="1423"/>
      <c r="AA23" s="1423"/>
      <c r="AB23" s="1423"/>
      <c r="AC23" s="1423">
        <v>511594</v>
      </c>
      <c r="AD23" s="1423"/>
      <c r="AE23" s="1423">
        <v>511594</v>
      </c>
      <c r="AF23" s="1423"/>
      <c r="AG23" s="1423">
        <v>5258234</v>
      </c>
      <c r="AH23" s="1423">
        <v>3438280</v>
      </c>
      <c r="AI23" s="1423">
        <v>1819954</v>
      </c>
      <c r="AJ23" s="1423"/>
      <c r="AK23" s="1423">
        <v>1555373</v>
      </c>
      <c r="AL23" s="1423">
        <v>1555373</v>
      </c>
      <c r="AM23" s="1423"/>
      <c r="AN23" s="1423"/>
      <c r="AO23" s="1423">
        <v>3020294</v>
      </c>
      <c r="AP23" s="1423">
        <v>3020294</v>
      </c>
      <c r="AQ23" s="1423">
        <v>0</v>
      </c>
      <c r="AR23" s="1423"/>
      <c r="AS23" s="1423">
        <v>2269605</v>
      </c>
      <c r="AT23" s="1423">
        <v>1321778</v>
      </c>
      <c r="AU23" s="1423">
        <v>947827</v>
      </c>
      <c r="AV23" s="1423"/>
      <c r="AW23" s="1423">
        <v>0</v>
      </c>
      <c r="AX23" s="1423"/>
      <c r="AY23" s="1423"/>
      <c r="AZ23" s="1423"/>
      <c r="BA23" s="1423"/>
      <c r="BB23" s="1423">
        <v>0</v>
      </c>
      <c r="BC23" s="1423">
        <v>0</v>
      </c>
      <c r="BD23" s="1423"/>
      <c r="BE23" s="1423">
        <v>0</v>
      </c>
      <c r="BF23" s="1423"/>
      <c r="BG23" s="1423"/>
      <c r="BH23" s="1423"/>
      <c r="BI23" s="1423"/>
      <c r="BJ23" s="1423">
        <v>0</v>
      </c>
      <c r="BK23" s="1423"/>
      <c r="BL23" s="1423">
        <v>0</v>
      </c>
      <c r="BM23" s="1423"/>
      <c r="BN23" s="1423"/>
      <c r="BO23" s="1423"/>
      <c r="BP23" s="1423"/>
      <c r="BQ23" s="1423">
        <v>0</v>
      </c>
      <c r="BR23" s="1423"/>
      <c r="BS23" s="1423">
        <v>0</v>
      </c>
      <c r="BT23" s="1423"/>
      <c r="BU23" s="1423"/>
      <c r="BV23" s="1423"/>
      <c r="BW23" s="1423"/>
      <c r="BX23" s="1423">
        <v>0</v>
      </c>
      <c r="BY23" s="1423"/>
      <c r="BZ23" s="1423"/>
      <c r="CA23" s="1423"/>
      <c r="CB23" s="1423"/>
      <c r="CC23" s="1423"/>
      <c r="CD23" s="1423">
        <v>0</v>
      </c>
      <c r="CE23" s="1423">
        <v>0</v>
      </c>
      <c r="CF23" s="1423"/>
      <c r="CG23" s="1423"/>
      <c r="CH23" s="1423">
        <v>0</v>
      </c>
      <c r="CI23" s="1423"/>
      <c r="CJ23" s="1423"/>
      <c r="CK23" s="1423"/>
      <c r="CL23" s="1423">
        <v>0</v>
      </c>
      <c r="CM23" s="1423"/>
      <c r="CN23" s="1423"/>
      <c r="CO23" s="1423"/>
      <c r="CP23" s="1423"/>
      <c r="CQ23" s="1423">
        <v>0</v>
      </c>
      <c r="CR23" s="1423">
        <v>0</v>
      </c>
      <c r="CS23" s="1423"/>
      <c r="CT23" s="1423"/>
      <c r="CU23" s="1423">
        <v>0</v>
      </c>
      <c r="CV23" s="1423"/>
      <c r="CW23" s="1423"/>
      <c r="CX23" s="1423"/>
      <c r="CY23" s="1423">
        <v>415922</v>
      </c>
      <c r="CZ23" s="1423"/>
      <c r="DA23" s="1423">
        <v>0</v>
      </c>
      <c r="DB23" s="1423">
        <v>0</v>
      </c>
      <c r="DC23" s="1423"/>
      <c r="DD23" s="1423"/>
      <c r="DE23" s="1423"/>
      <c r="DF23" s="1423"/>
      <c r="DG23" s="1423"/>
      <c r="DH23" s="1423">
        <v>34498248</v>
      </c>
      <c r="DI23" s="1423">
        <v>5868397</v>
      </c>
      <c r="DJ23" s="1423">
        <v>3383255</v>
      </c>
      <c r="DK23" s="1423">
        <v>1681089</v>
      </c>
      <c r="DL23" s="1423">
        <v>23565507</v>
      </c>
      <c r="DM23" s="1423"/>
      <c r="DN23" s="1423">
        <v>5006042</v>
      </c>
      <c r="DO23" s="1423"/>
      <c r="DP23" s="1423"/>
      <c r="DQ23" s="1423">
        <v>139478615</v>
      </c>
      <c r="DR23" s="1374"/>
      <c r="DS23" s="1374"/>
      <c r="DT23" s="1374">
        <v>0</v>
      </c>
    </row>
    <row r="24" spans="2:124">
      <c r="B24" s="1223">
        <v>42461</v>
      </c>
      <c r="C24" s="1423">
        <v>80067644</v>
      </c>
      <c r="D24" s="1423">
        <v>80067644</v>
      </c>
      <c r="E24" s="1423">
        <v>67899219</v>
      </c>
      <c r="F24" s="1423">
        <v>12168425</v>
      </c>
      <c r="G24" s="1423"/>
      <c r="H24" s="1423"/>
      <c r="I24" s="1423"/>
      <c r="J24" s="1423"/>
      <c r="K24" s="1423"/>
      <c r="L24" s="1423"/>
      <c r="M24" s="1423"/>
      <c r="N24" s="1423"/>
      <c r="O24" s="1423">
        <v>23834657</v>
      </c>
      <c r="P24" s="1423">
        <v>11597311</v>
      </c>
      <c r="Q24" s="1423">
        <v>2623329</v>
      </c>
      <c r="R24" s="1423">
        <v>1783074</v>
      </c>
      <c r="S24" s="1423">
        <v>840255</v>
      </c>
      <c r="T24" s="1423"/>
      <c r="U24" s="1423">
        <v>8973982</v>
      </c>
      <c r="V24" s="1423">
        <v>612752</v>
      </c>
      <c r="W24" s="1423">
        <v>8361230</v>
      </c>
      <c r="X24" s="1423"/>
      <c r="Y24" s="1423">
        <v>0</v>
      </c>
      <c r="Z24" s="1423"/>
      <c r="AA24" s="1423"/>
      <c r="AB24" s="1423"/>
      <c r="AC24" s="1423">
        <v>513316</v>
      </c>
      <c r="AD24" s="1423"/>
      <c r="AE24" s="1423">
        <v>513316</v>
      </c>
      <c r="AF24" s="1423"/>
      <c r="AG24" s="1423">
        <v>5270054</v>
      </c>
      <c r="AH24" s="1423">
        <v>2957426</v>
      </c>
      <c r="AI24" s="1423">
        <v>2312628</v>
      </c>
      <c r="AJ24" s="1423"/>
      <c r="AK24" s="1423">
        <v>1555797</v>
      </c>
      <c r="AL24" s="1423">
        <v>1555797</v>
      </c>
      <c r="AM24" s="1423"/>
      <c r="AN24" s="1423"/>
      <c r="AO24" s="1423">
        <v>3200440</v>
      </c>
      <c r="AP24" s="1423">
        <v>3081111</v>
      </c>
      <c r="AQ24" s="1423">
        <v>119329</v>
      </c>
      <c r="AR24" s="1423"/>
      <c r="AS24" s="1423">
        <v>1697739</v>
      </c>
      <c r="AT24" s="1423">
        <v>1697739</v>
      </c>
      <c r="AU24" s="1423">
        <v>0</v>
      </c>
      <c r="AV24" s="1423"/>
      <c r="AW24" s="1423">
        <v>0</v>
      </c>
      <c r="AX24" s="1423"/>
      <c r="AY24" s="1423"/>
      <c r="AZ24" s="1423"/>
      <c r="BA24" s="1423"/>
      <c r="BB24" s="1423">
        <v>0</v>
      </c>
      <c r="BC24" s="1423">
        <v>0</v>
      </c>
      <c r="BD24" s="1423"/>
      <c r="BE24" s="1423">
        <v>0</v>
      </c>
      <c r="BF24" s="1423"/>
      <c r="BG24" s="1423"/>
      <c r="BH24" s="1423"/>
      <c r="BI24" s="1423"/>
      <c r="BJ24" s="1423">
        <v>0</v>
      </c>
      <c r="BK24" s="1423"/>
      <c r="BL24" s="1423">
        <v>0</v>
      </c>
      <c r="BM24" s="1423"/>
      <c r="BN24" s="1423"/>
      <c r="BO24" s="1423"/>
      <c r="BP24" s="1423"/>
      <c r="BQ24" s="1423">
        <v>0</v>
      </c>
      <c r="BR24" s="1423"/>
      <c r="BS24" s="1423">
        <v>0</v>
      </c>
      <c r="BT24" s="1423"/>
      <c r="BU24" s="1423"/>
      <c r="BV24" s="1423"/>
      <c r="BW24" s="1423"/>
      <c r="BX24" s="1423">
        <v>0</v>
      </c>
      <c r="BY24" s="1423"/>
      <c r="BZ24" s="1423"/>
      <c r="CA24" s="1423"/>
      <c r="CB24" s="1423"/>
      <c r="CC24" s="1423"/>
      <c r="CD24" s="1423">
        <v>0</v>
      </c>
      <c r="CE24" s="1423">
        <v>0</v>
      </c>
      <c r="CF24" s="1423"/>
      <c r="CG24" s="1423"/>
      <c r="CH24" s="1423">
        <v>0</v>
      </c>
      <c r="CI24" s="1423"/>
      <c r="CJ24" s="1423"/>
      <c r="CK24" s="1423"/>
      <c r="CL24" s="1423">
        <v>0</v>
      </c>
      <c r="CM24" s="1423"/>
      <c r="CN24" s="1423"/>
      <c r="CO24" s="1423"/>
      <c r="CP24" s="1423"/>
      <c r="CQ24" s="1423">
        <v>0</v>
      </c>
      <c r="CR24" s="1423">
        <v>0</v>
      </c>
      <c r="CS24" s="1423"/>
      <c r="CT24" s="1423"/>
      <c r="CU24" s="1423">
        <v>0</v>
      </c>
      <c r="CV24" s="1423"/>
      <c r="CW24" s="1423"/>
      <c r="CX24" s="1423"/>
      <c r="CY24" s="1423">
        <v>277102</v>
      </c>
      <c r="CZ24" s="1423"/>
      <c r="DA24" s="1423">
        <v>0</v>
      </c>
      <c r="DB24" s="1423">
        <v>0</v>
      </c>
      <c r="DC24" s="1423"/>
      <c r="DD24" s="1423"/>
      <c r="DE24" s="1423"/>
      <c r="DF24" s="1423"/>
      <c r="DG24" s="1423"/>
      <c r="DH24" s="1423">
        <v>35212421</v>
      </c>
      <c r="DI24" s="1423">
        <v>6094140</v>
      </c>
      <c r="DJ24" s="1423">
        <v>3264031</v>
      </c>
      <c r="DK24" s="1423">
        <v>2510674</v>
      </c>
      <c r="DL24" s="1423">
        <v>23343576</v>
      </c>
      <c r="DM24" s="1423"/>
      <c r="DN24" s="1423">
        <v>7926709</v>
      </c>
      <c r="DO24" s="1423"/>
      <c r="DP24" s="1423"/>
      <c r="DQ24" s="1423">
        <v>147318533</v>
      </c>
      <c r="DR24" s="1374"/>
      <c r="DS24" s="1374"/>
      <c r="DT24" s="1374">
        <v>0</v>
      </c>
    </row>
    <row r="25" spans="2:124">
      <c r="B25" s="1223">
        <v>42491</v>
      </c>
      <c r="C25" s="1423">
        <v>79203426</v>
      </c>
      <c r="D25" s="1423">
        <v>79203426</v>
      </c>
      <c r="E25" s="1423">
        <v>64952084</v>
      </c>
      <c r="F25" s="1423">
        <v>14251342</v>
      </c>
      <c r="G25" s="1423"/>
      <c r="H25" s="1423"/>
      <c r="I25" s="1423"/>
      <c r="J25" s="1423"/>
      <c r="K25" s="1423"/>
      <c r="L25" s="1423"/>
      <c r="M25" s="1423"/>
      <c r="N25" s="1423"/>
      <c r="O25" s="1423">
        <v>26943395</v>
      </c>
      <c r="P25" s="1423">
        <v>11414019</v>
      </c>
      <c r="Q25" s="1423">
        <v>2257875</v>
      </c>
      <c r="R25" s="1423">
        <v>1565135</v>
      </c>
      <c r="S25" s="1423">
        <v>692740</v>
      </c>
      <c r="T25" s="1423"/>
      <c r="U25" s="1423">
        <v>9156144</v>
      </c>
      <c r="V25" s="1423">
        <v>757273</v>
      </c>
      <c r="W25" s="1423">
        <v>8398871</v>
      </c>
      <c r="X25" s="1423"/>
      <c r="Y25" s="1423">
        <v>0</v>
      </c>
      <c r="Z25" s="1423"/>
      <c r="AA25" s="1423"/>
      <c r="AB25" s="1423"/>
      <c r="AC25" s="1423">
        <v>512503</v>
      </c>
      <c r="AD25" s="1423"/>
      <c r="AE25" s="1423">
        <v>512503</v>
      </c>
      <c r="AF25" s="1423"/>
      <c r="AG25" s="1423">
        <v>5274709</v>
      </c>
      <c r="AH25" s="1423">
        <v>2060834</v>
      </c>
      <c r="AI25" s="1423">
        <v>3213875</v>
      </c>
      <c r="AJ25" s="1423"/>
      <c r="AK25" s="1423">
        <v>1580339</v>
      </c>
      <c r="AL25" s="1423">
        <v>1580339</v>
      </c>
      <c r="AM25" s="1423"/>
      <c r="AN25" s="1423"/>
      <c r="AO25" s="1423">
        <v>3543702</v>
      </c>
      <c r="AP25" s="1423">
        <v>2919884</v>
      </c>
      <c r="AQ25" s="1423">
        <v>623818</v>
      </c>
      <c r="AR25" s="1423"/>
      <c r="AS25" s="1423">
        <v>4618123</v>
      </c>
      <c r="AT25" s="1423">
        <v>609362</v>
      </c>
      <c r="AU25" s="1423">
        <v>4008761</v>
      </c>
      <c r="AV25" s="1423"/>
      <c r="AW25" s="1423">
        <v>0</v>
      </c>
      <c r="AX25" s="1423"/>
      <c r="AY25" s="1423"/>
      <c r="AZ25" s="1423"/>
      <c r="BA25" s="1423"/>
      <c r="BB25" s="1423">
        <v>0</v>
      </c>
      <c r="BC25" s="1423">
        <v>0</v>
      </c>
      <c r="BD25" s="1423"/>
      <c r="BE25" s="1423">
        <v>0</v>
      </c>
      <c r="BF25" s="1423"/>
      <c r="BG25" s="1423"/>
      <c r="BH25" s="1423"/>
      <c r="BI25" s="1423"/>
      <c r="BJ25" s="1423">
        <v>0</v>
      </c>
      <c r="BK25" s="1423"/>
      <c r="BL25" s="1423">
        <v>0</v>
      </c>
      <c r="BM25" s="1423"/>
      <c r="BN25" s="1423"/>
      <c r="BO25" s="1423"/>
      <c r="BP25" s="1423"/>
      <c r="BQ25" s="1423">
        <v>0</v>
      </c>
      <c r="BR25" s="1423"/>
      <c r="BS25" s="1423">
        <v>0</v>
      </c>
      <c r="BT25" s="1423"/>
      <c r="BU25" s="1423"/>
      <c r="BV25" s="1423"/>
      <c r="BW25" s="1423"/>
      <c r="BX25" s="1423">
        <v>0</v>
      </c>
      <c r="BY25" s="1423"/>
      <c r="BZ25" s="1423"/>
      <c r="CA25" s="1423"/>
      <c r="CB25" s="1423"/>
      <c r="CC25" s="1423"/>
      <c r="CD25" s="1423">
        <v>0</v>
      </c>
      <c r="CE25" s="1423">
        <v>0</v>
      </c>
      <c r="CF25" s="1423"/>
      <c r="CG25" s="1423"/>
      <c r="CH25" s="1423">
        <v>0</v>
      </c>
      <c r="CI25" s="1423"/>
      <c r="CJ25" s="1423"/>
      <c r="CK25" s="1423"/>
      <c r="CL25" s="1423">
        <v>0</v>
      </c>
      <c r="CM25" s="1423"/>
      <c r="CN25" s="1423"/>
      <c r="CO25" s="1423"/>
      <c r="CP25" s="1423"/>
      <c r="CQ25" s="1423">
        <v>0</v>
      </c>
      <c r="CR25" s="1423">
        <v>0</v>
      </c>
      <c r="CS25" s="1423"/>
      <c r="CT25" s="1423"/>
      <c r="CU25" s="1423">
        <v>0</v>
      </c>
      <c r="CV25" s="1423"/>
      <c r="CW25" s="1423"/>
      <c r="CX25" s="1423"/>
      <c r="CY25" s="1423">
        <v>139960</v>
      </c>
      <c r="CZ25" s="1423"/>
      <c r="DA25" s="1423">
        <v>0</v>
      </c>
      <c r="DB25" s="1423">
        <v>0</v>
      </c>
      <c r="DC25" s="1423"/>
      <c r="DD25" s="1423"/>
      <c r="DE25" s="1423"/>
      <c r="DF25" s="1423"/>
      <c r="DG25" s="1423"/>
      <c r="DH25" s="1423">
        <v>34448593</v>
      </c>
      <c r="DI25" s="1423">
        <v>5895771</v>
      </c>
      <c r="DJ25" s="1423">
        <v>3246321</v>
      </c>
      <c r="DK25" s="1423">
        <v>3715979</v>
      </c>
      <c r="DL25" s="1423">
        <v>21590522</v>
      </c>
      <c r="DM25" s="1423"/>
      <c r="DN25" s="1423">
        <v>5607380</v>
      </c>
      <c r="DO25" s="1423"/>
      <c r="DP25" s="1423"/>
      <c r="DQ25" s="1423">
        <v>146342754</v>
      </c>
      <c r="DR25" s="1374"/>
      <c r="DS25" s="1374"/>
      <c r="DT25" s="1374">
        <v>0</v>
      </c>
    </row>
    <row r="26" spans="2:124">
      <c r="B26" s="1223">
        <v>42522</v>
      </c>
      <c r="C26" s="1423">
        <v>79502732</v>
      </c>
      <c r="D26" s="1423">
        <v>79502732</v>
      </c>
      <c r="E26" s="1423">
        <v>67315372</v>
      </c>
      <c r="F26" s="1423">
        <v>12187360</v>
      </c>
      <c r="G26" s="1423"/>
      <c r="H26" s="1423"/>
      <c r="I26" s="1423"/>
      <c r="J26" s="1423"/>
      <c r="K26" s="1423"/>
      <c r="L26" s="1423"/>
      <c r="M26" s="1423"/>
      <c r="N26" s="1423"/>
      <c r="O26" s="1423">
        <v>28788053</v>
      </c>
      <c r="P26" s="1423">
        <v>13587837</v>
      </c>
      <c r="Q26" s="1423">
        <v>2177985</v>
      </c>
      <c r="R26" s="1423">
        <v>1738874</v>
      </c>
      <c r="S26" s="1423">
        <v>439111</v>
      </c>
      <c r="T26" s="1423"/>
      <c r="U26" s="1423">
        <v>11409852</v>
      </c>
      <c r="V26" s="1423">
        <v>5056098</v>
      </c>
      <c r="W26" s="1423">
        <v>6353754</v>
      </c>
      <c r="X26" s="1423"/>
      <c r="Y26" s="1423">
        <v>0</v>
      </c>
      <c r="Z26" s="1423"/>
      <c r="AA26" s="1423"/>
      <c r="AB26" s="1423"/>
      <c r="AC26" s="1423">
        <v>613140</v>
      </c>
      <c r="AD26" s="1423"/>
      <c r="AE26" s="1423">
        <v>613140</v>
      </c>
      <c r="AF26" s="1423"/>
      <c r="AG26" s="1423">
        <v>5175684</v>
      </c>
      <c r="AH26" s="1423">
        <v>1038392</v>
      </c>
      <c r="AI26" s="1423">
        <v>4137292</v>
      </c>
      <c r="AJ26" s="1423"/>
      <c r="AK26" s="1423">
        <v>1594284</v>
      </c>
      <c r="AL26" s="1423">
        <v>1594284</v>
      </c>
      <c r="AM26" s="1423"/>
      <c r="AN26" s="1423"/>
      <c r="AO26" s="1423">
        <v>3209793</v>
      </c>
      <c r="AP26" s="1423">
        <v>3156422</v>
      </c>
      <c r="AQ26" s="1423">
        <v>53371</v>
      </c>
      <c r="AR26" s="1423"/>
      <c r="AS26" s="1423">
        <v>4607315</v>
      </c>
      <c r="AT26" s="1423">
        <v>1318345</v>
      </c>
      <c r="AU26" s="1423">
        <v>3288970</v>
      </c>
      <c r="AV26" s="1423"/>
      <c r="AW26" s="1423">
        <v>0</v>
      </c>
      <c r="AX26" s="1423"/>
      <c r="AY26" s="1423"/>
      <c r="AZ26" s="1423"/>
      <c r="BA26" s="1423"/>
      <c r="BB26" s="1423">
        <v>0</v>
      </c>
      <c r="BC26" s="1423">
        <v>0</v>
      </c>
      <c r="BD26" s="1423"/>
      <c r="BE26" s="1423">
        <v>0</v>
      </c>
      <c r="BF26" s="1423"/>
      <c r="BG26" s="1423"/>
      <c r="BH26" s="1423"/>
      <c r="BI26" s="1423"/>
      <c r="BJ26" s="1423">
        <v>0</v>
      </c>
      <c r="BK26" s="1423"/>
      <c r="BL26" s="1423">
        <v>0</v>
      </c>
      <c r="BM26" s="1423"/>
      <c r="BN26" s="1423"/>
      <c r="BO26" s="1423"/>
      <c r="BP26" s="1423"/>
      <c r="BQ26" s="1423">
        <v>0</v>
      </c>
      <c r="BR26" s="1423"/>
      <c r="BS26" s="1423">
        <v>0</v>
      </c>
      <c r="BT26" s="1423"/>
      <c r="BU26" s="1423"/>
      <c r="BV26" s="1423"/>
      <c r="BW26" s="1423"/>
      <c r="BX26" s="1423">
        <v>0</v>
      </c>
      <c r="BY26" s="1423"/>
      <c r="BZ26" s="1423"/>
      <c r="CA26" s="1423"/>
      <c r="CB26" s="1423"/>
      <c r="CC26" s="1423"/>
      <c r="CD26" s="1423">
        <v>0</v>
      </c>
      <c r="CE26" s="1423">
        <v>0</v>
      </c>
      <c r="CF26" s="1423"/>
      <c r="CG26" s="1423"/>
      <c r="CH26" s="1423">
        <v>0</v>
      </c>
      <c r="CI26" s="1423"/>
      <c r="CJ26" s="1423"/>
      <c r="CK26" s="1423"/>
      <c r="CL26" s="1423">
        <v>0</v>
      </c>
      <c r="CM26" s="1423"/>
      <c r="CN26" s="1423"/>
      <c r="CO26" s="1423"/>
      <c r="CP26" s="1423"/>
      <c r="CQ26" s="1423">
        <v>0</v>
      </c>
      <c r="CR26" s="1423">
        <v>0</v>
      </c>
      <c r="CS26" s="1423"/>
      <c r="CT26" s="1423"/>
      <c r="CU26" s="1423">
        <v>0</v>
      </c>
      <c r="CV26" s="1423"/>
      <c r="CW26" s="1423"/>
      <c r="CX26" s="1423"/>
      <c r="CY26" s="1423">
        <v>0</v>
      </c>
      <c r="CZ26" s="1423"/>
      <c r="DA26" s="1423">
        <v>0</v>
      </c>
      <c r="DB26" s="1423">
        <v>0</v>
      </c>
      <c r="DC26" s="1423"/>
      <c r="DD26" s="1423"/>
      <c r="DE26" s="1423"/>
      <c r="DF26" s="1423"/>
      <c r="DG26" s="1423"/>
      <c r="DH26" s="1423">
        <v>34878707</v>
      </c>
      <c r="DI26" s="1423">
        <v>5950908</v>
      </c>
      <c r="DJ26" s="1423">
        <v>3263934</v>
      </c>
      <c r="DK26" s="1423">
        <v>4173221</v>
      </c>
      <c r="DL26" s="1423">
        <v>21490644</v>
      </c>
      <c r="DM26" s="1423"/>
      <c r="DN26" s="1423">
        <v>5780983</v>
      </c>
      <c r="DO26" s="1423"/>
      <c r="DP26" s="1423"/>
      <c r="DQ26" s="1423">
        <v>148950475</v>
      </c>
      <c r="DR26" s="1374"/>
      <c r="DS26" s="1374"/>
      <c r="DT26" s="1374">
        <v>0</v>
      </c>
    </row>
    <row r="27" spans="2:124">
      <c r="B27" s="1223">
        <v>42552</v>
      </c>
      <c r="C27" s="1423">
        <v>75483286</v>
      </c>
      <c r="D27" s="1423">
        <v>75483286</v>
      </c>
      <c r="E27" s="1423">
        <v>65951690</v>
      </c>
      <c r="F27" s="1423">
        <v>9531596</v>
      </c>
      <c r="G27" s="1423"/>
      <c r="H27" s="1423"/>
      <c r="I27" s="1423"/>
      <c r="J27" s="1423"/>
      <c r="K27" s="1423"/>
      <c r="L27" s="1423"/>
      <c r="M27" s="1423"/>
      <c r="N27" s="1423"/>
      <c r="O27" s="1423">
        <v>29902843</v>
      </c>
      <c r="P27" s="1423">
        <v>13440652</v>
      </c>
      <c r="Q27" s="1423">
        <v>2087558</v>
      </c>
      <c r="R27" s="1423">
        <v>1553477</v>
      </c>
      <c r="S27" s="1423">
        <v>534081</v>
      </c>
      <c r="T27" s="1423"/>
      <c r="U27" s="1423">
        <v>11353094</v>
      </c>
      <c r="V27" s="1423">
        <v>5008063</v>
      </c>
      <c r="W27" s="1423">
        <v>6345031</v>
      </c>
      <c r="X27" s="1423"/>
      <c r="Y27" s="1423">
        <v>0</v>
      </c>
      <c r="Z27" s="1423"/>
      <c r="AA27" s="1423"/>
      <c r="AB27" s="1423"/>
      <c r="AC27" s="1423">
        <v>11560</v>
      </c>
      <c r="AD27" s="1423"/>
      <c r="AE27" s="1423">
        <v>11560</v>
      </c>
      <c r="AF27" s="1423"/>
      <c r="AG27" s="1423">
        <v>4206923</v>
      </c>
      <c r="AH27" s="1423">
        <v>1394509</v>
      </c>
      <c r="AI27" s="1423">
        <v>2812414</v>
      </c>
      <c r="AJ27" s="1423"/>
      <c r="AK27" s="1423">
        <v>1603156</v>
      </c>
      <c r="AL27" s="1423">
        <v>1603156</v>
      </c>
      <c r="AM27" s="1423"/>
      <c r="AN27" s="1423"/>
      <c r="AO27" s="1423">
        <v>6220421</v>
      </c>
      <c r="AP27" s="1423">
        <v>6220421</v>
      </c>
      <c r="AQ27" s="1423">
        <v>0</v>
      </c>
      <c r="AR27" s="1423"/>
      <c r="AS27" s="1423">
        <v>4420131</v>
      </c>
      <c r="AT27" s="1423">
        <v>2297185</v>
      </c>
      <c r="AU27" s="1423">
        <v>2122946</v>
      </c>
      <c r="AV27" s="1423"/>
      <c r="AW27" s="1423">
        <v>0</v>
      </c>
      <c r="AX27" s="1423"/>
      <c r="AY27" s="1423"/>
      <c r="AZ27" s="1423"/>
      <c r="BA27" s="1423"/>
      <c r="BB27" s="1423">
        <v>0</v>
      </c>
      <c r="BC27" s="1423">
        <v>0</v>
      </c>
      <c r="BD27" s="1423"/>
      <c r="BE27" s="1423">
        <v>0</v>
      </c>
      <c r="BF27" s="1423"/>
      <c r="BG27" s="1423"/>
      <c r="BH27" s="1423"/>
      <c r="BI27" s="1423"/>
      <c r="BJ27" s="1423">
        <v>0</v>
      </c>
      <c r="BK27" s="1423"/>
      <c r="BL27" s="1423">
        <v>0</v>
      </c>
      <c r="BM27" s="1423"/>
      <c r="BN27" s="1423"/>
      <c r="BO27" s="1423"/>
      <c r="BP27" s="1423"/>
      <c r="BQ27" s="1423">
        <v>0</v>
      </c>
      <c r="BR27" s="1423"/>
      <c r="BS27" s="1423">
        <v>0</v>
      </c>
      <c r="BT27" s="1423"/>
      <c r="BU27" s="1423"/>
      <c r="BV27" s="1423"/>
      <c r="BW27" s="1423"/>
      <c r="BX27" s="1423">
        <v>0</v>
      </c>
      <c r="BY27" s="1423"/>
      <c r="BZ27" s="1423"/>
      <c r="CA27" s="1423"/>
      <c r="CB27" s="1423"/>
      <c r="CC27" s="1423"/>
      <c r="CD27" s="1423">
        <v>0</v>
      </c>
      <c r="CE27" s="1423">
        <v>0</v>
      </c>
      <c r="CF27" s="1423"/>
      <c r="CG27" s="1423"/>
      <c r="CH27" s="1423">
        <v>0</v>
      </c>
      <c r="CI27" s="1423"/>
      <c r="CJ27" s="1423"/>
      <c r="CK27" s="1423"/>
      <c r="CL27" s="1423">
        <v>0</v>
      </c>
      <c r="CM27" s="1423"/>
      <c r="CN27" s="1423"/>
      <c r="CO27" s="1423"/>
      <c r="CP27" s="1423"/>
      <c r="CQ27" s="1423">
        <v>0</v>
      </c>
      <c r="CR27" s="1423">
        <v>0</v>
      </c>
      <c r="CS27" s="1423"/>
      <c r="CT27" s="1423"/>
      <c r="CU27" s="1423">
        <v>0</v>
      </c>
      <c r="CV27" s="1423"/>
      <c r="CW27" s="1423"/>
      <c r="CX27" s="1423"/>
      <c r="CY27" s="1423">
        <v>0</v>
      </c>
      <c r="CZ27" s="1423"/>
      <c r="DA27" s="1423">
        <v>0</v>
      </c>
      <c r="DB27" s="1423">
        <v>0</v>
      </c>
      <c r="DC27" s="1423"/>
      <c r="DD27" s="1423"/>
      <c r="DE27" s="1423"/>
      <c r="DF27" s="1423"/>
      <c r="DG27" s="1423"/>
      <c r="DH27" s="1423">
        <v>35715373</v>
      </c>
      <c r="DI27" s="1423">
        <v>6216400</v>
      </c>
      <c r="DJ27" s="1423">
        <v>3231828</v>
      </c>
      <c r="DK27" s="1423">
        <v>5114291</v>
      </c>
      <c r="DL27" s="1423">
        <v>21152854</v>
      </c>
      <c r="DM27" s="1423"/>
      <c r="DN27" s="1423">
        <v>6340905</v>
      </c>
      <c r="DO27" s="1423"/>
      <c r="DP27" s="1423"/>
      <c r="DQ27" s="1423">
        <v>147442407</v>
      </c>
      <c r="DR27" s="1374"/>
      <c r="DS27" s="1374"/>
      <c r="DT27" s="1374">
        <v>-1</v>
      </c>
    </row>
    <row r="28" spans="2:124">
      <c r="B28" s="1223">
        <v>42583</v>
      </c>
      <c r="C28" s="1423">
        <v>74820394</v>
      </c>
      <c r="D28" s="1423">
        <v>74820394</v>
      </c>
      <c r="E28" s="1423">
        <v>63462960</v>
      </c>
      <c r="F28" s="1423">
        <v>11357434</v>
      </c>
      <c r="G28" s="1423"/>
      <c r="H28" s="1423"/>
      <c r="I28" s="1423"/>
      <c r="J28" s="1423"/>
      <c r="K28" s="1423"/>
      <c r="L28" s="1423"/>
      <c r="M28" s="1423"/>
      <c r="N28" s="1423"/>
      <c r="O28" s="1423">
        <v>30579613</v>
      </c>
      <c r="P28" s="1423">
        <v>13712410</v>
      </c>
      <c r="Q28" s="1423">
        <v>1597030</v>
      </c>
      <c r="R28" s="1423">
        <v>952733</v>
      </c>
      <c r="S28" s="1423">
        <v>644297</v>
      </c>
      <c r="T28" s="1423"/>
      <c r="U28" s="1423">
        <v>12115380</v>
      </c>
      <c r="V28" s="1423">
        <v>557585</v>
      </c>
      <c r="W28" s="1423">
        <v>11557795</v>
      </c>
      <c r="X28" s="1423"/>
      <c r="Y28" s="1423">
        <v>0</v>
      </c>
      <c r="Z28" s="1423"/>
      <c r="AA28" s="1423"/>
      <c r="AB28" s="1423"/>
      <c r="AC28" s="1423">
        <v>0</v>
      </c>
      <c r="AD28" s="1423"/>
      <c r="AE28" s="1423">
        <v>0</v>
      </c>
      <c r="AF28" s="1423"/>
      <c r="AG28" s="1423">
        <v>6747459</v>
      </c>
      <c r="AH28" s="1423">
        <v>2833078</v>
      </c>
      <c r="AI28" s="1423">
        <v>3914381</v>
      </c>
      <c r="AJ28" s="1423"/>
      <c r="AK28" s="1423">
        <v>1612360</v>
      </c>
      <c r="AL28" s="1423">
        <v>1612360</v>
      </c>
      <c r="AM28" s="1423"/>
      <c r="AN28" s="1423"/>
      <c r="AO28" s="1423">
        <v>3787227</v>
      </c>
      <c r="AP28" s="1423">
        <v>3480610</v>
      </c>
      <c r="AQ28" s="1423">
        <v>306617</v>
      </c>
      <c r="AR28" s="1423"/>
      <c r="AS28" s="1423">
        <v>4720157</v>
      </c>
      <c r="AT28" s="1423">
        <v>1306780</v>
      </c>
      <c r="AU28" s="1423">
        <v>3413377</v>
      </c>
      <c r="AV28" s="1423"/>
      <c r="AW28" s="1423">
        <v>0</v>
      </c>
      <c r="AX28" s="1423"/>
      <c r="AY28" s="1423"/>
      <c r="AZ28" s="1423"/>
      <c r="BA28" s="1423"/>
      <c r="BB28" s="1423">
        <v>0</v>
      </c>
      <c r="BC28" s="1423">
        <v>0</v>
      </c>
      <c r="BD28" s="1423"/>
      <c r="BE28" s="1423">
        <v>0</v>
      </c>
      <c r="BF28" s="1423"/>
      <c r="BG28" s="1423"/>
      <c r="BH28" s="1423"/>
      <c r="BI28" s="1423"/>
      <c r="BJ28" s="1423">
        <v>0</v>
      </c>
      <c r="BK28" s="1423"/>
      <c r="BL28" s="1423">
        <v>0</v>
      </c>
      <c r="BM28" s="1423"/>
      <c r="BN28" s="1423"/>
      <c r="BO28" s="1423"/>
      <c r="BP28" s="1423"/>
      <c r="BQ28" s="1423">
        <v>0</v>
      </c>
      <c r="BR28" s="1423"/>
      <c r="BS28" s="1423">
        <v>0</v>
      </c>
      <c r="BT28" s="1423"/>
      <c r="BU28" s="1423"/>
      <c r="BV28" s="1423"/>
      <c r="BW28" s="1423"/>
      <c r="BX28" s="1423">
        <v>0</v>
      </c>
      <c r="BY28" s="1423"/>
      <c r="BZ28" s="1423"/>
      <c r="CA28" s="1423"/>
      <c r="CB28" s="1423"/>
      <c r="CC28" s="1423"/>
      <c r="CD28" s="1423">
        <v>0</v>
      </c>
      <c r="CE28" s="1423">
        <v>0</v>
      </c>
      <c r="CF28" s="1423"/>
      <c r="CG28" s="1423"/>
      <c r="CH28" s="1423">
        <v>0</v>
      </c>
      <c r="CI28" s="1423"/>
      <c r="CJ28" s="1423"/>
      <c r="CK28" s="1423"/>
      <c r="CL28" s="1423">
        <v>0</v>
      </c>
      <c r="CM28" s="1423"/>
      <c r="CN28" s="1423"/>
      <c r="CO28" s="1423"/>
      <c r="CP28" s="1423"/>
      <c r="CQ28" s="1423">
        <v>0</v>
      </c>
      <c r="CR28" s="1423">
        <v>0</v>
      </c>
      <c r="CS28" s="1423"/>
      <c r="CT28" s="1423"/>
      <c r="CU28" s="1423">
        <v>0</v>
      </c>
      <c r="CV28" s="1423"/>
      <c r="CW28" s="1423"/>
      <c r="CX28" s="1423"/>
      <c r="CY28" s="1423">
        <v>0</v>
      </c>
      <c r="CZ28" s="1423"/>
      <c r="DA28" s="1423">
        <v>0</v>
      </c>
      <c r="DB28" s="1423">
        <v>0</v>
      </c>
      <c r="DC28" s="1423"/>
      <c r="DD28" s="1423"/>
      <c r="DE28" s="1423"/>
      <c r="DF28" s="1423"/>
      <c r="DG28" s="1423"/>
      <c r="DH28" s="1423">
        <v>36531974</v>
      </c>
      <c r="DI28" s="1423">
        <v>6484809</v>
      </c>
      <c r="DJ28" s="1423">
        <v>3175860</v>
      </c>
      <c r="DK28" s="1423">
        <v>5926657</v>
      </c>
      <c r="DL28" s="1423">
        <v>20944648</v>
      </c>
      <c r="DM28" s="1423"/>
      <c r="DN28" s="1423">
        <v>6904205</v>
      </c>
      <c r="DO28" s="1423"/>
      <c r="DP28" s="1423"/>
      <c r="DQ28" s="1423">
        <v>148836186</v>
      </c>
      <c r="DR28" s="1374"/>
      <c r="DS28" s="1374"/>
      <c r="DT28" s="1374">
        <v>0</v>
      </c>
    </row>
    <row r="29" spans="2:124">
      <c r="B29" s="1223">
        <v>42614</v>
      </c>
      <c r="C29" s="1423">
        <v>74238601</v>
      </c>
      <c r="D29" s="1423">
        <v>74238601</v>
      </c>
      <c r="E29" s="1423">
        <v>62101740</v>
      </c>
      <c r="F29" s="1423">
        <v>12136861</v>
      </c>
      <c r="G29" s="1423"/>
      <c r="H29" s="1423"/>
      <c r="I29" s="1423"/>
      <c r="J29" s="1423"/>
      <c r="K29" s="1423"/>
      <c r="L29" s="1423"/>
      <c r="M29" s="1423"/>
      <c r="N29" s="1423"/>
      <c r="O29" s="1423">
        <v>30126769</v>
      </c>
      <c r="P29" s="1423">
        <v>12746186</v>
      </c>
      <c r="Q29" s="1423">
        <v>1786358</v>
      </c>
      <c r="R29" s="1423">
        <v>1420196</v>
      </c>
      <c r="S29" s="1423">
        <v>366162</v>
      </c>
      <c r="T29" s="1423"/>
      <c r="U29" s="1423">
        <v>10959828</v>
      </c>
      <c r="V29" s="1423">
        <v>354612</v>
      </c>
      <c r="W29" s="1423">
        <v>10605216</v>
      </c>
      <c r="X29" s="1423"/>
      <c r="Y29" s="1423">
        <v>0</v>
      </c>
      <c r="Z29" s="1423"/>
      <c r="AA29" s="1423"/>
      <c r="AB29" s="1423"/>
      <c r="AC29" s="1423">
        <v>0</v>
      </c>
      <c r="AD29" s="1423"/>
      <c r="AE29" s="1423">
        <v>0</v>
      </c>
      <c r="AF29" s="1423"/>
      <c r="AG29" s="1423">
        <v>6276593</v>
      </c>
      <c r="AH29" s="1423">
        <v>2337377</v>
      </c>
      <c r="AI29" s="1423">
        <v>3939216</v>
      </c>
      <c r="AJ29" s="1423"/>
      <c r="AK29" s="1423">
        <v>1618522</v>
      </c>
      <c r="AL29" s="1423">
        <v>1618522</v>
      </c>
      <c r="AM29" s="1423"/>
      <c r="AN29" s="1423"/>
      <c r="AO29" s="1423">
        <v>5004748</v>
      </c>
      <c r="AP29" s="1423">
        <v>3623679</v>
      </c>
      <c r="AQ29" s="1423">
        <v>1381069</v>
      </c>
      <c r="AR29" s="1423"/>
      <c r="AS29" s="1423">
        <v>4480720</v>
      </c>
      <c r="AT29" s="1423">
        <v>1524031</v>
      </c>
      <c r="AU29" s="1423">
        <v>2956689</v>
      </c>
      <c r="AV29" s="1423"/>
      <c r="AW29" s="1423">
        <v>0</v>
      </c>
      <c r="AX29" s="1423"/>
      <c r="AY29" s="1423"/>
      <c r="AZ29" s="1423"/>
      <c r="BA29" s="1423"/>
      <c r="BB29" s="1423">
        <v>0</v>
      </c>
      <c r="BC29" s="1423">
        <v>0</v>
      </c>
      <c r="BD29" s="1423"/>
      <c r="BE29" s="1423">
        <v>0</v>
      </c>
      <c r="BF29" s="1423"/>
      <c r="BG29" s="1423"/>
      <c r="BH29" s="1423"/>
      <c r="BI29" s="1423"/>
      <c r="BJ29" s="1423">
        <v>0</v>
      </c>
      <c r="BK29" s="1423"/>
      <c r="BL29" s="1423">
        <v>0</v>
      </c>
      <c r="BM29" s="1423"/>
      <c r="BN29" s="1423"/>
      <c r="BO29" s="1423"/>
      <c r="BP29" s="1423"/>
      <c r="BQ29" s="1423">
        <v>0</v>
      </c>
      <c r="BR29" s="1423"/>
      <c r="BS29" s="1423">
        <v>0</v>
      </c>
      <c r="BT29" s="1423"/>
      <c r="BU29" s="1423"/>
      <c r="BV29" s="1423"/>
      <c r="BW29" s="1423"/>
      <c r="BX29" s="1423">
        <v>0</v>
      </c>
      <c r="BY29" s="1423"/>
      <c r="BZ29" s="1423"/>
      <c r="CA29" s="1423"/>
      <c r="CB29" s="1423"/>
      <c r="CC29" s="1423"/>
      <c r="CD29" s="1423">
        <v>0</v>
      </c>
      <c r="CE29" s="1423">
        <v>0</v>
      </c>
      <c r="CF29" s="1423"/>
      <c r="CG29" s="1423"/>
      <c r="CH29" s="1423">
        <v>0</v>
      </c>
      <c r="CI29" s="1423"/>
      <c r="CJ29" s="1423"/>
      <c r="CK29" s="1423"/>
      <c r="CL29" s="1423">
        <v>0</v>
      </c>
      <c r="CM29" s="1423"/>
      <c r="CN29" s="1423"/>
      <c r="CO29" s="1423"/>
      <c r="CP29" s="1423"/>
      <c r="CQ29" s="1423">
        <v>0</v>
      </c>
      <c r="CR29" s="1423">
        <v>0</v>
      </c>
      <c r="CS29" s="1423"/>
      <c r="CT29" s="1423"/>
      <c r="CU29" s="1423">
        <v>0</v>
      </c>
      <c r="CV29" s="1423"/>
      <c r="CW29" s="1423"/>
      <c r="CX29" s="1423"/>
      <c r="CY29" s="1423">
        <v>0</v>
      </c>
      <c r="CZ29" s="1423"/>
      <c r="DA29" s="1423">
        <v>0</v>
      </c>
      <c r="DB29" s="1423">
        <v>0</v>
      </c>
      <c r="DC29" s="1423"/>
      <c r="DD29" s="1423"/>
      <c r="DE29" s="1423"/>
      <c r="DF29" s="1423"/>
      <c r="DG29" s="1423"/>
      <c r="DH29" s="1423">
        <v>37472840</v>
      </c>
      <c r="DI29" s="1423">
        <v>5944828</v>
      </c>
      <c r="DJ29" s="1423">
        <v>3117394</v>
      </c>
      <c r="DK29" s="1423">
        <v>6863501</v>
      </c>
      <c r="DL29" s="1423">
        <v>21547117</v>
      </c>
      <c r="DM29" s="1423"/>
      <c r="DN29" s="1423">
        <v>13855085</v>
      </c>
      <c r="DO29" s="1423"/>
      <c r="DP29" s="1423"/>
      <c r="DQ29" s="1423">
        <v>155693295</v>
      </c>
      <c r="DR29" s="1374"/>
      <c r="DS29" s="1374"/>
      <c r="DT29" s="1374">
        <v>0</v>
      </c>
    </row>
    <row r="30" spans="2:124">
      <c r="B30" s="1223">
        <v>42644</v>
      </c>
      <c r="C30" s="1423">
        <v>70818067</v>
      </c>
      <c r="D30" s="1423">
        <v>70818067</v>
      </c>
      <c r="E30" s="1423">
        <v>58980599</v>
      </c>
      <c r="F30" s="1423">
        <v>11837468</v>
      </c>
      <c r="G30" s="1423"/>
      <c r="H30" s="1423"/>
      <c r="I30" s="1423"/>
      <c r="J30" s="1423"/>
      <c r="K30" s="1423"/>
      <c r="L30" s="1423"/>
      <c r="M30" s="1423"/>
      <c r="N30" s="1423"/>
      <c r="O30" s="1423">
        <v>32425862</v>
      </c>
      <c r="P30" s="1423">
        <v>13025973</v>
      </c>
      <c r="Q30" s="1423">
        <v>2095610</v>
      </c>
      <c r="R30" s="1423">
        <v>1498861</v>
      </c>
      <c r="S30" s="1423">
        <v>596749</v>
      </c>
      <c r="T30" s="1423"/>
      <c r="U30" s="1423">
        <v>10930363</v>
      </c>
      <c r="V30" s="1423">
        <v>268667</v>
      </c>
      <c r="W30" s="1423">
        <v>10661696</v>
      </c>
      <c r="X30" s="1423"/>
      <c r="Y30" s="1423">
        <v>0</v>
      </c>
      <c r="Z30" s="1423"/>
      <c r="AA30" s="1423"/>
      <c r="AB30" s="1423"/>
      <c r="AC30" s="1423">
        <v>0</v>
      </c>
      <c r="AD30" s="1423"/>
      <c r="AE30" s="1423">
        <v>0</v>
      </c>
      <c r="AF30" s="1423"/>
      <c r="AG30" s="1423">
        <v>8040065</v>
      </c>
      <c r="AH30" s="1423">
        <v>5811560</v>
      </c>
      <c r="AI30" s="1423">
        <v>2228505</v>
      </c>
      <c r="AJ30" s="1423"/>
      <c r="AK30" s="1423">
        <v>1630042</v>
      </c>
      <c r="AL30" s="1423">
        <v>1630042</v>
      </c>
      <c r="AM30" s="1423"/>
      <c r="AN30" s="1423"/>
      <c r="AO30" s="1423">
        <v>5278243</v>
      </c>
      <c r="AP30" s="1423">
        <v>4061660</v>
      </c>
      <c r="AQ30" s="1423">
        <v>1216583</v>
      </c>
      <c r="AR30" s="1423"/>
      <c r="AS30" s="1423">
        <v>4451539</v>
      </c>
      <c r="AT30" s="1423">
        <v>2107076</v>
      </c>
      <c r="AU30" s="1423">
        <v>2344463</v>
      </c>
      <c r="AV30" s="1423"/>
      <c r="AW30" s="1423">
        <v>0</v>
      </c>
      <c r="AX30" s="1423"/>
      <c r="AY30" s="1423"/>
      <c r="AZ30" s="1423"/>
      <c r="BA30" s="1423"/>
      <c r="BB30" s="1423">
        <v>0</v>
      </c>
      <c r="BC30" s="1423">
        <v>0</v>
      </c>
      <c r="BD30" s="1423"/>
      <c r="BE30" s="1423">
        <v>0</v>
      </c>
      <c r="BF30" s="1423"/>
      <c r="BG30" s="1423"/>
      <c r="BH30" s="1423"/>
      <c r="BI30" s="1423"/>
      <c r="BJ30" s="1423">
        <v>0</v>
      </c>
      <c r="BK30" s="1423"/>
      <c r="BL30" s="1423">
        <v>0</v>
      </c>
      <c r="BM30" s="1423"/>
      <c r="BN30" s="1423"/>
      <c r="BO30" s="1423"/>
      <c r="BP30" s="1423"/>
      <c r="BQ30" s="1423">
        <v>0</v>
      </c>
      <c r="BR30" s="1423"/>
      <c r="BS30" s="1423">
        <v>0</v>
      </c>
      <c r="BT30" s="1423"/>
      <c r="BU30" s="1423"/>
      <c r="BV30" s="1423"/>
      <c r="BW30" s="1423"/>
      <c r="BX30" s="1423">
        <v>0</v>
      </c>
      <c r="BY30" s="1423"/>
      <c r="BZ30" s="1423"/>
      <c r="CA30" s="1423"/>
      <c r="CB30" s="1423"/>
      <c r="CC30" s="1423"/>
      <c r="CD30" s="1423">
        <v>0</v>
      </c>
      <c r="CE30" s="1423">
        <v>0</v>
      </c>
      <c r="CF30" s="1423"/>
      <c r="CG30" s="1423"/>
      <c r="CH30" s="1423">
        <v>0</v>
      </c>
      <c r="CI30" s="1423"/>
      <c r="CJ30" s="1423"/>
      <c r="CK30" s="1423"/>
      <c r="CL30" s="1423">
        <v>0</v>
      </c>
      <c r="CM30" s="1423"/>
      <c r="CN30" s="1423"/>
      <c r="CO30" s="1423"/>
      <c r="CP30" s="1423"/>
      <c r="CQ30" s="1423">
        <v>0</v>
      </c>
      <c r="CR30" s="1423">
        <v>0</v>
      </c>
      <c r="CS30" s="1423"/>
      <c r="CT30" s="1423"/>
      <c r="CU30" s="1423">
        <v>0</v>
      </c>
      <c r="CV30" s="1423"/>
      <c r="CW30" s="1423"/>
      <c r="CX30" s="1423"/>
      <c r="CY30" s="1423">
        <v>0</v>
      </c>
      <c r="CZ30" s="1423"/>
      <c r="DA30" s="1423">
        <v>0</v>
      </c>
      <c r="DB30" s="1423">
        <v>0</v>
      </c>
      <c r="DC30" s="1423"/>
      <c r="DD30" s="1423"/>
      <c r="DE30" s="1423"/>
      <c r="DF30" s="1423"/>
      <c r="DG30" s="1423"/>
      <c r="DH30" s="1423">
        <v>38641751</v>
      </c>
      <c r="DI30" s="1423">
        <v>6111126</v>
      </c>
      <c r="DJ30" s="1423">
        <v>3034810</v>
      </c>
      <c r="DK30" s="1423">
        <v>7881272</v>
      </c>
      <c r="DL30" s="1423">
        <v>21614543</v>
      </c>
      <c r="DM30" s="1423"/>
      <c r="DN30" s="1423">
        <v>6918032</v>
      </c>
      <c r="DO30" s="1423"/>
      <c r="DP30" s="1423"/>
      <c r="DQ30" s="1423">
        <v>148803712</v>
      </c>
      <c r="DR30" s="1374"/>
      <c r="DS30" s="1374"/>
      <c r="DT30" s="1374">
        <v>0</v>
      </c>
    </row>
    <row r="31" spans="2:124">
      <c r="B31" s="1223">
        <v>42675</v>
      </c>
      <c r="C31" s="1423">
        <v>74466932</v>
      </c>
      <c r="D31" s="1423">
        <v>74466932</v>
      </c>
      <c r="E31" s="1423">
        <v>62356949</v>
      </c>
      <c r="F31" s="1423">
        <v>12109983</v>
      </c>
      <c r="G31" s="1423"/>
      <c r="H31" s="1423"/>
      <c r="I31" s="1423"/>
      <c r="J31" s="1423"/>
      <c r="K31" s="1423"/>
      <c r="L31" s="1423"/>
      <c r="M31" s="1423"/>
      <c r="N31" s="1423"/>
      <c r="O31" s="1423">
        <v>32027846</v>
      </c>
      <c r="P31" s="1423">
        <v>13935259</v>
      </c>
      <c r="Q31" s="1423">
        <v>1717468</v>
      </c>
      <c r="R31" s="1423">
        <v>1144661</v>
      </c>
      <c r="S31" s="1423">
        <v>572807</v>
      </c>
      <c r="T31" s="1423"/>
      <c r="U31" s="1423">
        <v>12217791</v>
      </c>
      <c r="V31" s="1423">
        <v>2537910</v>
      </c>
      <c r="W31" s="1423">
        <v>9679881</v>
      </c>
      <c r="X31" s="1423"/>
      <c r="Y31" s="1423">
        <v>0</v>
      </c>
      <c r="Z31" s="1423"/>
      <c r="AA31" s="1423"/>
      <c r="AB31" s="1423"/>
      <c r="AC31" s="1423">
        <v>3</v>
      </c>
      <c r="AD31" s="1423"/>
      <c r="AE31" s="1423">
        <v>3</v>
      </c>
      <c r="AF31" s="1423"/>
      <c r="AG31" s="1423">
        <v>7651158</v>
      </c>
      <c r="AH31" s="1423">
        <v>6121943</v>
      </c>
      <c r="AI31" s="1423">
        <v>1529215</v>
      </c>
      <c r="AJ31" s="1423"/>
      <c r="AK31" s="1423">
        <v>1637563</v>
      </c>
      <c r="AL31" s="1423">
        <v>1637563</v>
      </c>
      <c r="AM31" s="1423"/>
      <c r="AN31" s="1423"/>
      <c r="AO31" s="1423">
        <v>4548216</v>
      </c>
      <c r="AP31" s="1423">
        <v>4548216</v>
      </c>
      <c r="AQ31" s="1423">
        <v>0</v>
      </c>
      <c r="AR31" s="1423"/>
      <c r="AS31" s="1423">
        <v>4255647</v>
      </c>
      <c r="AT31" s="1423">
        <v>548547</v>
      </c>
      <c r="AU31" s="1423">
        <v>3707100</v>
      </c>
      <c r="AV31" s="1423"/>
      <c r="AW31" s="1423">
        <v>0</v>
      </c>
      <c r="AX31" s="1423"/>
      <c r="AY31" s="1423"/>
      <c r="AZ31" s="1423"/>
      <c r="BA31" s="1423"/>
      <c r="BB31" s="1423">
        <v>0</v>
      </c>
      <c r="BC31" s="1423">
        <v>0</v>
      </c>
      <c r="BD31" s="1423"/>
      <c r="BE31" s="1423">
        <v>0</v>
      </c>
      <c r="BF31" s="1423"/>
      <c r="BG31" s="1423"/>
      <c r="BH31" s="1423"/>
      <c r="BI31" s="1423"/>
      <c r="BJ31" s="1423">
        <v>0</v>
      </c>
      <c r="BK31" s="1423"/>
      <c r="BL31" s="1423">
        <v>0</v>
      </c>
      <c r="BM31" s="1423"/>
      <c r="BN31" s="1423"/>
      <c r="BO31" s="1423"/>
      <c r="BP31" s="1423"/>
      <c r="BQ31" s="1423">
        <v>0</v>
      </c>
      <c r="BR31" s="1423"/>
      <c r="BS31" s="1423">
        <v>0</v>
      </c>
      <c r="BT31" s="1423"/>
      <c r="BU31" s="1423"/>
      <c r="BV31" s="1423"/>
      <c r="BW31" s="1423"/>
      <c r="BX31" s="1423">
        <v>0</v>
      </c>
      <c r="BY31" s="1423"/>
      <c r="BZ31" s="1423"/>
      <c r="CA31" s="1423"/>
      <c r="CB31" s="1423"/>
      <c r="CC31" s="1423"/>
      <c r="CD31" s="1423">
        <v>0</v>
      </c>
      <c r="CE31" s="1423">
        <v>0</v>
      </c>
      <c r="CF31" s="1423"/>
      <c r="CG31" s="1423"/>
      <c r="CH31" s="1423">
        <v>0</v>
      </c>
      <c r="CI31" s="1423"/>
      <c r="CJ31" s="1423"/>
      <c r="CK31" s="1423"/>
      <c r="CL31" s="1423">
        <v>0</v>
      </c>
      <c r="CM31" s="1423"/>
      <c r="CN31" s="1423"/>
      <c r="CO31" s="1423"/>
      <c r="CP31" s="1423"/>
      <c r="CQ31" s="1423">
        <v>0</v>
      </c>
      <c r="CR31" s="1423">
        <v>0</v>
      </c>
      <c r="CS31" s="1423"/>
      <c r="CT31" s="1423"/>
      <c r="CU31" s="1423">
        <v>0</v>
      </c>
      <c r="CV31" s="1423"/>
      <c r="CW31" s="1423"/>
      <c r="CX31" s="1423"/>
      <c r="CY31" s="1423">
        <v>0</v>
      </c>
      <c r="CZ31" s="1423"/>
      <c r="DA31" s="1423">
        <v>0</v>
      </c>
      <c r="DB31" s="1423">
        <v>0</v>
      </c>
      <c r="DC31" s="1423"/>
      <c r="DD31" s="1423"/>
      <c r="DE31" s="1423"/>
      <c r="DF31" s="1423"/>
      <c r="DG31" s="1423"/>
      <c r="DH31" s="1423">
        <v>39326072</v>
      </c>
      <c r="DI31" s="1423">
        <v>6142312</v>
      </c>
      <c r="DJ31" s="1423">
        <v>3089131</v>
      </c>
      <c r="DK31" s="1423">
        <v>8484863</v>
      </c>
      <c r="DL31" s="1423">
        <v>21609766</v>
      </c>
      <c r="DM31" s="1423"/>
      <c r="DN31" s="1423">
        <v>6912488</v>
      </c>
      <c r="DO31" s="1423"/>
      <c r="DP31" s="1423"/>
      <c r="DQ31" s="1423">
        <v>152733338</v>
      </c>
      <c r="DR31" s="1374"/>
      <c r="DS31" s="1374"/>
      <c r="DT31" s="1374">
        <v>0</v>
      </c>
    </row>
    <row r="32" spans="2:124">
      <c r="B32" s="1223">
        <v>42705</v>
      </c>
      <c r="C32" s="1423">
        <v>77733107</v>
      </c>
      <c r="D32" s="1423">
        <v>77733107</v>
      </c>
      <c r="E32" s="1423">
        <v>63039731</v>
      </c>
      <c r="F32" s="1423">
        <v>14693376</v>
      </c>
      <c r="G32" s="1423"/>
      <c r="H32" s="1423"/>
      <c r="I32" s="1423"/>
      <c r="J32" s="1423"/>
      <c r="K32" s="1423"/>
      <c r="L32" s="1423"/>
      <c r="M32" s="1423"/>
      <c r="N32" s="1423"/>
      <c r="O32" s="1423">
        <v>37421538</v>
      </c>
      <c r="P32" s="1423">
        <v>14396998</v>
      </c>
      <c r="Q32" s="1423">
        <v>1682975</v>
      </c>
      <c r="R32" s="1423">
        <v>1303772</v>
      </c>
      <c r="S32" s="1423">
        <v>379203</v>
      </c>
      <c r="T32" s="1423"/>
      <c r="U32" s="1423">
        <v>12714023</v>
      </c>
      <c r="V32" s="1423">
        <v>6281772</v>
      </c>
      <c r="W32" s="1423">
        <v>6432251</v>
      </c>
      <c r="X32" s="1423"/>
      <c r="Y32" s="1423">
        <v>0</v>
      </c>
      <c r="Z32" s="1423"/>
      <c r="AA32" s="1423"/>
      <c r="AB32" s="1423"/>
      <c r="AC32" s="1423">
        <v>3</v>
      </c>
      <c r="AD32" s="1423"/>
      <c r="AE32" s="1423">
        <v>3</v>
      </c>
      <c r="AF32" s="1423"/>
      <c r="AG32" s="1423">
        <v>4248183</v>
      </c>
      <c r="AH32" s="1423">
        <v>3197337</v>
      </c>
      <c r="AI32" s="1423">
        <v>1050846</v>
      </c>
      <c r="AJ32" s="1423"/>
      <c r="AK32" s="1423">
        <v>5983107</v>
      </c>
      <c r="AL32" s="1423">
        <v>5983107</v>
      </c>
      <c r="AM32" s="1423"/>
      <c r="AN32" s="1423"/>
      <c r="AO32" s="1423">
        <v>8352714</v>
      </c>
      <c r="AP32" s="1423">
        <v>8352714</v>
      </c>
      <c r="AQ32" s="1423">
        <v>0</v>
      </c>
      <c r="AR32" s="1423"/>
      <c r="AS32" s="1423">
        <v>4440533</v>
      </c>
      <c r="AT32" s="1423">
        <v>1938517</v>
      </c>
      <c r="AU32" s="1423">
        <v>2502016</v>
      </c>
      <c r="AV32" s="1423"/>
      <c r="AW32" s="1423">
        <v>0</v>
      </c>
      <c r="AX32" s="1423"/>
      <c r="AY32" s="1423"/>
      <c r="AZ32" s="1423"/>
      <c r="BA32" s="1423"/>
      <c r="BB32" s="1423">
        <v>0</v>
      </c>
      <c r="BC32" s="1423">
        <v>0</v>
      </c>
      <c r="BD32" s="1423"/>
      <c r="BE32" s="1423">
        <v>0</v>
      </c>
      <c r="BF32" s="1423"/>
      <c r="BG32" s="1423"/>
      <c r="BH32" s="1423"/>
      <c r="BI32" s="1423"/>
      <c r="BJ32" s="1423">
        <v>0</v>
      </c>
      <c r="BK32" s="1423"/>
      <c r="BL32" s="1423">
        <v>0</v>
      </c>
      <c r="BM32" s="1423"/>
      <c r="BN32" s="1423"/>
      <c r="BO32" s="1423"/>
      <c r="BP32" s="1423"/>
      <c r="BQ32" s="1423">
        <v>0</v>
      </c>
      <c r="BR32" s="1423"/>
      <c r="BS32" s="1423">
        <v>0</v>
      </c>
      <c r="BT32" s="1423"/>
      <c r="BU32" s="1423"/>
      <c r="BV32" s="1423"/>
      <c r="BW32" s="1423"/>
      <c r="BX32" s="1423">
        <v>0</v>
      </c>
      <c r="BY32" s="1423"/>
      <c r="BZ32" s="1423"/>
      <c r="CA32" s="1423"/>
      <c r="CB32" s="1423"/>
      <c r="CC32" s="1423"/>
      <c r="CD32" s="1423">
        <v>0</v>
      </c>
      <c r="CE32" s="1423">
        <v>0</v>
      </c>
      <c r="CF32" s="1423"/>
      <c r="CG32" s="1423"/>
      <c r="CH32" s="1423">
        <v>0</v>
      </c>
      <c r="CI32" s="1423"/>
      <c r="CJ32" s="1423"/>
      <c r="CK32" s="1423"/>
      <c r="CL32" s="1423">
        <v>0</v>
      </c>
      <c r="CM32" s="1423"/>
      <c r="CN32" s="1423"/>
      <c r="CO32" s="1423"/>
      <c r="CP32" s="1423"/>
      <c r="CQ32" s="1423">
        <v>0</v>
      </c>
      <c r="CR32" s="1423">
        <v>0</v>
      </c>
      <c r="CS32" s="1423"/>
      <c r="CT32" s="1423"/>
      <c r="CU32" s="1423">
        <v>0</v>
      </c>
      <c r="CV32" s="1423"/>
      <c r="CW32" s="1423"/>
      <c r="CX32" s="1423"/>
      <c r="CY32" s="1423">
        <v>0</v>
      </c>
      <c r="CZ32" s="1423"/>
      <c r="DA32" s="1423">
        <v>0</v>
      </c>
      <c r="DB32" s="1423">
        <v>0</v>
      </c>
      <c r="DC32" s="1423"/>
      <c r="DD32" s="1423"/>
      <c r="DE32" s="1423"/>
      <c r="DF32" s="1423"/>
      <c r="DG32" s="1423"/>
      <c r="DH32" s="1423">
        <v>41188576</v>
      </c>
      <c r="DI32" s="1423">
        <v>6145743</v>
      </c>
      <c r="DJ32" s="1423">
        <v>3144367</v>
      </c>
      <c r="DK32" s="1423">
        <v>9672804</v>
      </c>
      <c r="DL32" s="1423">
        <v>22225662</v>
      </c>
      <c r="DM32" s="1423"/>
      <c r="DN32" s="1423">
        <v>7986066</v>
      </c>
      <c r="DO32" s="1423"/>
      <c r="DP32" s="1423"/>
      <c r="DQ32" s="1423">
        <v>164329287</v>
      </c>
      <c r="DR32" s="1374"/>
      <c r="DS32" s="1374"/>
      <c r="DT32" s="1374">
        <v>-0.43000000715255737</v>
      </c>
    </row>
    <row r="33" spans="2:124">
      <c r="C33" s="1424"/>
      <c r="D33" s="1424"/>
      <c r="E33" s="1424"/>
      <c r="F33" s="1424"/>
      <c r="G33" s="1424"/>
      <c r="H33" s="1424"/>
      <c r="I33" s="1424"/>
      <c r="J33" s="1424"/>
      <c r="K33" s="1424"/>
      <c r="L33" s="1424"/>
      <c r="M33" s="1424"/>
      <c r="N33" s="1424"/>
      <c r="O33" s="1424"/>
      <c r="P33" s="1424"/>
      <c r="Q33" s="1424"/>
      <c r="R33" s="1424"/>
      <c r="S33" s="1424"/>
      <c r="T33" s="1424"/>
      <c r="U33" s="1424"/>
      <c r="V33" s="1424"/>
      <c r="W33" s="1424"/>
      <c r="X33" s="1424"/>
      <c r="Y33" s="1424"/>
      <c r="Z33" s="1424"/>
      <c r="AA33" s="1424"/>
      <c r="AB33" s="1424"/>
      <c r="AC33" s="1424"/>
      <c r="AD33" s="1424"/>
      <c r="AE33" s="1424"/>
      <c r="AF33" s="1424"/>
      <c r="AG33" s="1424"/>
      <c r="AH33" s="1424"/>
      <c r="AI33" s="1424"/>
      <c r="AJ33" s="1424"/>
      <c r="AK33" s="1424"/>
      <c r="AL33" s="1424"/>
      <c r="AM33" s="1424"/>
      <c r="AN33" s="1424"/>
      <c r="AO33" s="1424"/>
      <c r="AP33" s="1424"/>
      <c r="AQ33" s="1424"/>
      <c r="AR33" s="1424"/>
      <c r="AS33" s="1424"/>
      <c r="AT33" s="1424"/>
      <c r="AU33" s="1424"/>
      <c r="AV33" s="1424"/>
      <c r="AW33" s="1424"/>
      <c r="AX33" s="1424"/>
      <c r="AY33" s="1424"/>
      <c r="AZ33" s="1424"/>
      <c r="BA33" s="1424"/>
      <c r="BB33" s="1424"/>
      <c r="BC33" s="1424"/>
      <c r="BD33" s="1424"/>
      <c r="BE33" s="1424"/>
      <c r="BF33" s="1424"/>
      <c r="BG33" s="1424"/>
      <c r="BH33" s="1424"/>
      <c r="BI33" s="1424"/>
      <c r="BJ33" s="1424"/>
      <c r="BK33" s="1424"/>
      <c r="BL33" s="1424"/>
      <c r="BM33" s="1424"/>
      <c r="BN33" s="1424"/>
      <c r="BO33" s="1424"/>
      <c r="BP33" s="1424"/>
      <c r="BQ33" s="1424"/>
      <c r="BR33" s="1424"/>
      <c r="BS33" s="1424"/>
      <c r="BT33" s="1424"/>
      <c r="BU33" s="1424"/>
      <c r="BV33" s="1424"/>
      <c r="BW33" s="1424"/>
      <c r="BX33" s="1424"/>
      <c r="BY33" s="1424"/>
      <c r="BZ33" s="1424"/>
      <c r="CA33" s="1424"/>
      <c r="CB33" s="1424"/>
      <c r="CC33" s="1424"/>
      <c r="CD33" s="1424"/>
      <c r="CE33" s="1424"/>
      <c r="CF33" s="1424"/>
      <c r="CG33" s="1424"/>
      <c r="CH33" s="1424"/>
      <c r="CI33" s="1424"/>
      <c r="CJ33" s="1424"/>
      <c r="CK33" s="1424"/>
      <c r="CL33" s="1424"/>
      <c r="CM33" s="1424"/>
      <c r="CN33" s="1424"/>
      <c r="CO33" s="1424"/>
      <c r="CP33" s="1424"/>
      <c r="CQ33" s="1424"/>
      <c r="CR33" s="1424"/>
      <c r="CS33" s="1424"/>
      <c r="CT33" s="1424"/>
      <c r="CU33" s="1424"/>
      <c r="CV33" s="1424"/>
      <c r="CW33" s="1424"/>
      <c r="CX33" s="1424"/>
      <c r="CY33" s="1424"/>
      <c r="CZ33" s="1424"/>
      <c r="DA33" s="1424"/>
      <c r="DB33" s="1424"/>
      <c r="DC33" s="1424"/>
      <c r="DD33" s="1424"/>
      <c r="DE33" s="1424"/>
      <c r="DF33" s="1424"/>
      <c r="DG33" s="1424"/>
      <c r="DH33" s="1424"/>
      <c r="DI33" s="1424"/>
      <c r="DJ33" s="1424"/>
      <c r="DK33" s="1424"/>
      <c r="DL33" s="1424"/>
      <c r="DM33" s="1424"/>
      <c r="DN33" s="1424"/>
      <c r="DO33" s="1424"/>
      <c r="DP33" s="1424"/>
      <c r="DQ33" s="1424"/>
      <c r="DR33" s="1375"/>
      <c r="DS33" s="1375"/>
      <c r="DT33" s="1375"/>
    </row>
    <row r="34" spans="2:124">
      <c r="C34" s="1424"/>
      <c r="D34" s="1424"/>
      <c r="E34" s="1424"/>
      <c r="F34" s="1424"/>
      <c r="G34" s="1424"/>
      <c r="H34" s="1424"/>
      <c r="I34" s="1424"/>
      <c r="J34" s="1424"/>
      <c r="K34" s="1424"/>
      <c r="L34" s="1424"/>
      <c r="M34" s="1424"/>
      <c r="N34" s="1424"/>
      <c r="O34" s="1424"/>
      <c r="P34" s="1424"/>
      <c r="Q34" s="1424"/>
      <c r="R34" s="1424"/>
      <c r="S34" s="1424"/>
      <c r="T34" s="1424"/>
      <c r="U34" s="1424"/>
      <c r="V34" s="1424"/>
      <c r="W34" s="1424"/>
      <c r="X34" s="1424"/>
      <c r="Y34" s="1424"/>
      <c r="Z34" s="1424"/>
      <c r="AA34" s="1424"/>
      <c r="AB34" s="1424"/>
      <c r="AC34" s="1424"/>
      <c r="AD34" s="1424"/>
      <c r="AE34" s="1424"/>
      <c r="AF34" s="1424"/>
      <c r="AG34" s="1424"/>
      <c r="AH34" s="1424"/>
      <c r="AI34" s="1424"/>
      <c r="AJ34" s="1424"/>
      <c r="AK34" s="1424"/>
      <c r="AL34" s="1424"/>
      <c r="AM34" s="1424"/>
      <c r="AN34" s="1424"/>
      <c r="AO34" s="1424"/>
      <c r="AP34" s="1424"/>
      <c r="AQ34" s="1424"/>
      <c r="AR34" s="1424"/>
      <c r="AS34" s="1424"/>
      <c r="AT34" s="1424"/>
      <c r="AU34" s="1424"/>
      <c r="AV34" s="1424"/>
      <c r="AW34" s="1424"/>
      <c r="AX34" s="1424"/>
      <c r="AY34" s="1424"/>
      <c r="AZ34" s="1424"/>
      <c r="BA34" s="1424"/>
      <c r="BB34" s="1424"/>
      <c r="BC34" s="1424"/>
      <c r="BD34" s="1424"/>
      <c r="BE34" s="1424"/>
      <c r="BF34" s="1424"/>
      <c r="BG34" s="1424"/>
      <c r="BH34" s="1424"/>
      <c r="BI34" s="1424"/>
      <c r="BJ34" s="1424"/>
      <c r="BK34" s="1424"/>
      <c r="BL34" s="1424"/>
      <c r="BM34" s="1424"/>
      <c r="BN34" s="1424"/>
      <c r="BO34" s="1424"/>
      <c r="BP34" s="1424"/>
      <c r="BQ34" s="1424"/>
      <c r="BR34" s="1424"/>
      <c r="BS34" s="1424"/>
      <c r="BT34" s="1424"/>
      <c r="BU34" s="1424"/>
      <c r="BV34" s="1424"/>
      <c r="BW34" s="1424"/>
      <c r="BX34" s="1424"/>
      <c r="BY34" s="1424"/>
      <c r="BZ34" s="1424"/>
      <c r="CA34" s="1424"/>
      <c r="CB34" s="1424"/>
      <c r="CC34" s="1424"/>
      <c r="CD34" s="1424"/>
      <c r="CE34" s="1424"/>
      <c r="CF34" s="1424"/>
      <c r="CG34" s="1424"/>
      <c r="CH34" s="1424"/>
      <c r="CI34" s="1424"/>
      <c r="CJ34" s="1424"/>
      <c r="CK34" s="1424"/>
      <c r="CL34" s="1424"/>
      <c r="CM34" s="1424"/>
      <c r="CN34" s="1424"/>
      <c r="CO34" s="1424"/>
      <c r="CP34" s="1424"/>
      <c r="CQ34" s="1424"/>
      <c r="CR34" s="1424"/>
      <c r="CS34" s="1424"/>
      <c r="CT34" s="1424"/>
      <c r="CU34" s="1424"/>
      <c r="CV34" s="1424"/>
      <c r="CW34" s="1424"/>
      <c r="CX34" s="1424"/>
      <c r="CY34" s="1424"/>
      <c r="CZ34" s="1424"/>
      <c r="DA34" s="1424"/>
      <c r="DB34" s="1424"/>
      <c r="DC34" s="1424"/>
      <c r="DD34" s="1424"/>
      <c r="DE34" s="1424"/>
      <c r="DF34" s="1424"/>
      <c r="DG34" s="1424"/>
      <c r="DH34" s="1424"/>
      <c r="DI34" s="1424"/>
      <c r="DJ34" s="1424"/>
      <c r="DK34" s="1424"/>
      <c r="DL34" s="1424"/>
      <c r="DM34" s="1424"/>
      <c r="DN34" s="1424"/>
      <c r="DO34" s="1424"/>
      <c r="DP34" s="1424"/>
      <c r="DQ34" s="1424"/>
      <c r="DR34" s="1375"/>
      <c r="DS34" s="1375"/>
      <c r="DT34" s="1375"/>
    </row>
    <row r="35" spans="2:124">
      <c r="B35" s="1223">
        <v>42736</v>
      </c>
      <c r="C35" s="1423">
        <v>77253142</v>
      </c>
      <c r="D35" s="1423">
        <v>77253142</v>
      </c>
      <c r="E35" s="1423">
        <v>59595334</v>
      </c>
      <c r="F35" s="1423">
        <v>17657808</v>
      </c>
      <c r="G35" s="1423"/>
      <c r="H35" s="1423"/>
      <c r="I35" s="1423"/>
      <c r="J35" s="1423"/>
      <c r="K35" s="1423"/>
      <c r="L35" s="1423"/>
      <c r="M35" s="1423"/>
      <c r="N35" s="1423"/>
      <c r="O35" s="1423">
        <v>35835163</v>
      </c>
      <c r="P35" s="1423">
        <v>13874456</v>
      </c>
      <c r="Q35" s="1423">
        <v>1769895</v>
      </c>
      <c r="R35" s="1423">
        <v>1195189</v>
      </c>
      <c r="S35" s="1423">
        <v>574706</v>
      </c>
      <c r="T35" s="1423"/>
      <c r="U35" s="1423">
        <v>12104561</v>
      </c>
      <c r="V35" s="1423">
        <v>5673234</v>
      </c>
      <c r="W35" s="1423">
        <v>6431327</v>
      </c>
      <c r="X35" s="1423"/>
      <c r="Y35" s="1423">
        <v>0</v>
      </c>
      <c r="Z35" s="1423"/>
      <c r="AA35" s="1423"/>
      <c r="AB35" s="1423"/>
      <c r="AC35" s="1423">
        <v>0</v>
      </c>
      <c r="AD35" s="1423"/>
      <c r="AE35" s="1423">
        <v>0</v>
      </c>
      <c r="AF35" s="1423"/>
      <c r="AG35" s="1423">
        <v>3827190</v>
      </c>
      <c r="AH35" s="1423">
        <v>2110283</v>
      </c>
      <c r="AI35" s="1423">
        <v>1716907</v>
      </c>
      <c r="AJ35" s="1423"/>
      <c r="AK35" s="1423">
        <v>5995031</v>
      </c>
      <c r="AL35" s="1423">
        <v>5995031</v>
      </c>
      <c r="AM35" s="1423"/>
      <c r="AN35" s="1423"/>
      <c r="AO35" s="1423">
        <v>4909484</v>
      </c>
      <c r="AP35" s="1423">
        <v>4909484</v>
      </c>
      <c r="AQ35" s="1423">
        <v>0</v>
      </c>
      <c r="AR35" s="1423"/>
      <c r="AS35" s="1423">
        <v>7229002</v>
      </c>
      <c r="AT35" s="1423">
        <v>5652637</v>
      </c>
      <c r="AU35" s="1423">
        <v>1576365</v>
      </c>
      <c r="AV35" s="1423"/>
      <c r="AW35" s="1423">
        <v>0</v>
      </c>
      <c r="AX35" s="1423"/>
      <c r="AY35" s="1423"/>
      <c r="AZ35" s="1423"/>
      <c r="BA35" s="1423"/>
      <c r="BB35" s="1423">
        <v>0</v>
      </c>
      <c r="BC35" s="1423">
        <v>0</v>
      </c>
      <c r="BD35" s="1423"/>
      <c r="BE35" s="1423">
        <v>0</v>
      </c>
      <c r="BF35" s="1423"/>
      <c r="BG35" s="1423"/>
      <c r="BH35" s="1423"/>
      <c r="BI35" s="1423"/>
      <c r="BJ35" s="1423">
        <v>0</v>
      </c>
      <c r="BK35" s="1423"/>
      <c r="BL35" s="1423">
        <v>0</v>
      </c>
      <c r="BM35" s="1423"/>
      <c r="BN35" s="1423"/>
      <c r="BO35" s="1423"/>
      <c r="BP35" s="1423"/>
      <c r="BQ35" s="1423">
        <v>0</v>
      </c>
      <c r="BR35" s="1423"/>
      <c r="BS35" s="1423">
        <v>0</v>
      </c>
      <c r="BT35" s="1423"/>
      <c r="BU35" s="1423"/>
      <c r="BV35" s="1423"/>
      <c r="BW35" s="1423"/>
      <c r="BX35" s="1423">
        <v>0</v>
      </c>
      <c r="BY35" s="1423"/>
      <c r="BZ35" s="1423"/>
      <c r="CA35" s="1423"/>
      <c r="CB35" s="1423"/>
      <c r="CC35" s="1423"/>
      <c r="CD35" s="1423">
        <v>0</v>
      </c>
      <c r="CE35" s="1423">
        <v>0</v>
      </c>
      <c r="CF35" s="1423"/>
      <c r="CG35" s="1423"/>
      <c r="CH35" s="1423">
        <v>0</v>
      </c>
      <c r="CI35" s="1423"/>
      <c r="CJ35" s="1423"/>
      <c r="CK35" s="1423"/>
      <c r="CL35" s="1423">
        <v>0</v>
      </c>
      <c r="CM35" s="1423"/>
      <c r="CN35" s="1423"/>
      <c r="CO35" s="1423"/>
      <c r="CP35" s="1423"/>
      <c r="CQ35" s="1423">
        <v>0</v>
      </c>
      <c r="CR35" s="1423">
        <v>0</v>
      </c>
      <c r="CS35" s="1423"/>
      <c r="CT35" s="1423"/>
      <c r="CU35" s="1423">
        <v>0</v>
      </c>
      <c r="CV35" s="1423"/>
      <c r="CW35" s="1423"/>
      <c r="CX35" s="1423"/>
      <c r="CY35" s="1423">
        <v>0</v>
      </c>
      <c r="CZ35" s="1423"/>
      <c r="DA35" s="1423">
        <v>0</v>
      </c>
      <c r="DB35" s="1423">
        <v>0</v>
      </c>
      <c r="DC35" s="1423"/>
      <c r="DD35" s="1423"/>
      <c r="DE35" s="1423"/>
      <c r="DF35" s="1423"/>
      <c r="DG35" s="1423"/>
      <c r="DH35" s="1423">
        <v>41919768</v>
      </c>
      <c r="DI35" s="1423">
        <v>6486434</v>
      </c>
      <c r="DJ35" s="1423">
        <v>3084340</v>
      </c>
      <c r="DK35" s="1423">
        <v>875496</v>
      </c>
      <c r="DL35" s="1423">
        <v>31473498</v>
      </c>
      <c r="DM35" s="1423"/>
      <c r="DN35" s="1423">
        <v>6825202.6399999997</v>
      </c>
      <c r="DO35" s="1423"/>
      <c r="DP35" s="1423"/>
      <c r="DQ35" s="1423">
        <v>161833275.63999999</v>
      </c>
      <c r="DR35" s="1374"/>
      <c r="DS35" s="1374"/>
      <c r="DT35" s="1374"/>
    </row>
    <row r="36" spans="2:124">
      <c r="B36" s="1223">
        <v>42767</v>
      </c>
      <c r="C36" s="1423">
        <v>77529897</v>
      </c>
      <c r="D36" s="1423">
        <v>77529897</v>
      </c>
      <c r="E36" s="1423">
        <v>60597191</v>
      </c>
      <c r="F36" s="1423">
        <v>16932706</v>
      </c>
      <c r="G36" s="1423"/>
      <c r="H36" s="1423"/>
      <c r="I36" s="1423"/>
      <c r="J36" s="1423"/>
      <c r="K36" s="1423"/>
      <c r="L36" s="1423"/>
      <c r="M36" s="1423"/>
      <c r="N36" s="1423"/>
      <c r="O36" s="1423">
        <v>35885660</v>
      </c>
      <c r="P36" s="1423">
        <v>13988202</v>
      </c>
      <c r="Q36" s="1423">
        <v>1851552</v>
      </c>
      <c r="R36" s="1423">
        <v>1033220</v>
      </c>
      <c r="S36" s="1423">
        <v>818332</v>
      </c>
      <c r="T36" s="1423"/>
      <c r="U36" s="1423">
        <v>12136650</v>
      </c>
      <c r="V36" s="1423">
        <v>1263078</v>
      </c>
      <c r="W36" s="1423">
        <v>10873572</v>
      </c>
      <c r="X36" s="1423"/>
      <c r="Y36" s="1423">
        <v>0</v>
      </c>
      <c r="Z36" s="1423"/>
      <c r="AA36" s="1423"/>
      <c r="AB36" s="1423"/>
      <c r="AC36" s="1423">
        <v>0</v>
      </c>
      <c r="AD36" s="1423"/>
      <c r="AE36" s="1423">
        <v>0</v>
      </c>
      <c r="AF36" s="1423"/>
      <c r="AG36" s="1423">
        <v>8126726</v>
      </c>
      <c r="AH36" s="1423">
        <v>6120148</v>
      </c>
      <c r="AI36" s="1423">
        <v>2006578</v>
      </c>
      <c r="AJ36" s="1423"/>
      <c r="AK36" s="1423">
        <v>5989657</v>
      </c>
      <c r="AL36" s="1423">
        <v>5989657</v>
      </c>
      <c r="AM36" s="1423"/>
      <c r="AN36" s="1423"/>
      <c r="AO36" s="1423">
        <v>4296805</v>
      </c>
      <c r="AP36" s="1423">
        <v>4296805</v>
      </c>
      <c r="AQ36" s="1423">
        <v>0</v>
      </c>
      <c r="AR36" s="1423"/>
      <c r="AS36" s="1423">
        <v>3484270</v>
      </c>
      <c r="AT36" s="1423">
        <v>1942846</v>
      </c>
      <c r="AU36" s="1423">
        <v>1541424</v>
      </c>
      <c r="AV36" s="1423"/>
      <c r="AW36" s="1423">
        <v>0</v>
      </c>
      <c r="AX36" s="1423"/>
      <c r="AY36" s="1423"/>
      <c r="AZ36" s="1423"/>
      <c r="BA36" s="1423"/>
      <c r="BB36" s="1423">
        <v>0</v>
      </c>
      <c r="BC36" s="1423">
        <v>0</v>
      </c>
      <c r="BD36" s="1423"/>
      <c r="BE36" s="1423">
        <v>0</v>
      </c>
      <c r="BF36" s="1423"/>
      <c r="BG36" s="1423"/>
      <c r="BH36" s="1423"/>
      <c r="BI36" s="1423"/>
      <c r="BJ36" s="1423">
        <v>0</v>
      </c>
      <c r="BK36" s="1423"/>
      <c r="BL36" s="1423">
        <v>0</v>
      </c>
      <c r="BM36" s="1423"/>
      <c r="BN36" s="1423"/>
      <c r="BO36" s="1423"/>
      <c r="BP36" s="1423"/>
      <c r="BQ36" s="1423">
        <v>0</v>
      </c>
      <c r="BR36" s="1423"/>
      <c r="BS36" s="1423">
        <v>0</v>
      </c>
      <c r="BT36" s="1423"/>
      <c r="BU36" s="1423"/>
      <c r="BV36" s="1423"/>
      <c r="BW36" s="1423"/>
      <c r="BX36" s="1423">
        <v>0</v>
      </c>
      <c r="BY36" s="1423"/>
      <c r="BZ36" s="1423"/>
      <c r="CA36" s="1423"/>
      <c r="CB36" s="1423"/>
      <c r="CC36" s="1423"/>
      <c r="CD36" s="1423">
        <v>0</v>
      </c>
      <c r="CE36" s="1423">
        <v>0</v>
      </c>
      <c r="CF36" s="1423"/>
      <c r="CG36" s="1423"/>
      <c r="CH36" s="1423">
        <v>0</v>
      </c>
      <c r="CI36" s="1423"/>
      <c r="CJ36" s="1423"/>
      <c r="CK36" s="1423"/>
      <c r="CL36" s="1423">
        <v>0</v>
      </c>
      <c r="CM36" s="1423"/>
      <c r="CN36" s="1423"/>
      <c r="CO36" s="1423"/>
      <c r="CP36" s="1423"/>
      <c r="CQ36" s="1423">
        <v>0</v>
      </c>
      <c r="CR36" s="1423">
        <v>0</v>
      </c>
      <c r="CS36" s="1423"/>
      <c r="CT36" s="1423"/>
      <c r="CU36" s="1423">
        <v>0</v>
      </c>
      <c r="CV36" s="1423"/>
      <c r="CW36" s="1423"/>
      <c r="CX36" s="1423"/>
      <c r="CY36" s="1423">
        <v>0</v>
      </c>
      <c r="CZ36" s="1423"/>
      <c r="DA36" s="1423">
        <v>0</v>
      </c>
      <c r="DB36" s="1423">
        <v>0</v>
      </c>
      <c r="DC36" s="1423"/>
      <c r="DD36" s="1423"/>
      <c r="DE36" s="1423"/>
      <c r="DF36" s="1423"/>
      <c r="DG36" s="1423"/>
      <c r="DH36" s="1423">
        <v>42604985</v>
      </c>
      <c r="DI36" s="1423">
        <v>6543159</v>
      </c>
      <c r="DJ36" s="1423">
        <v>3040722</v>
      </c>
      <c r="DK36" s="1423">
        <v>1591555</v>
      </c>
      <c r="DL36" s="1423">
        <v>31429549</v>
      </c>
      <c r="DM36" s="1423"/>
      <c r="DN36" s="1423">
        <v>7387287.150000006</v>
      </c>
      <c r="DO36" s="1423"/>
      <c r="DP36" s="1423"/>
      <c r="DQ36" s="1423">
        <v>163407829.15000001</v>
      </c>
      <c r="DR36" s="1374"/>
      <c r="DS36" s="1374"/>
      <c r="DT36" s="1374"/>
    </row>
    <row r="37" spans="2:124">
      <c r="B37" s="1223">
        <v>42795</v>
      </c>
      <c r="C37" s="1423">
        <v>82627427</v>
      </c>
      <c r="D37" s="1423">
        <v>82627427</v>
      </c>
      <c r="E37" s="1423">
        <v>59964924</v>
      </c>
      <c r="F37" s="1423">
        <v>22662503</v>
      </c>
      <c r="G37" s="1423"/>
      <c r="H37" s="1423"/>
      <c r="I37" s="1423"/>
      <c r="J37" s="1423"/>
      <c r="K37" s="1423"/>
      <c r="L37" s="1423"/>
      <c r="M37" s="1423"/>
      <c r="N37" s="1423"/>
      <c r="O37" s="1423">
        <v>36087865</v>
      </c>
      <c r="P37" s="1423">
        <v>13864827</v>
      </c>
      <c r="Q37" s="1423">
        <v>1734279</v>
      </c>
      <c r="R37" s="1423">
        <v>1309338</v>
      </c>
      <c r="S37" s="1423">
        <v>424941</v>
      </c>
      <c r="T37" s="1423"/>
      <c r="U37" s="1423">
        <v>12130548</v>
      </c>
      <c r="V37" s="1423">
        <v>1199744</v>
      </c>
      <c r="W37" s="1423">
        <v>10930804</v>
      </c>
      <c r="X37" s="1423"/>
      <c r="Y37" s="1423">
        <v>0</v>
      </c>
      <c r="Z37" s="1423"/>
      <c r="AA37" s="1423"/>
      <c r="AB37" s="1423"/>
      <c r="AC37" s="1423">
        <v>0</v>
      </c>
      <c r="AD37" s="1423"/>
      <c r="AE37" s="1423">
        <v>0</v>
      </c>
      <c r="AF37" s="1423"/>
      <c r="AG37" s="1423">
        <v>8257735</v>
      </c>
      <c r="AH37" s="1423">
        <v>5425658</v>
      </c>
      <c r="AI37" s="1423">
        <v>2832077</v>
      </c>
      <c r="AJ37" s="1423"/>
      <c r="AK37" s="1423">
        <v>5978093</v>
      </c>
      <c r="AL37" s="1423">
        <v>5978093</v>
      </c>
      <c r="AM37" s="1423"/>
      <c r="AN37" s="1423"/>
      <c r="AO37" s="1423">
        <v>4510633</v>
      </c>
      <c r="AP37" s="1423">
        <v>4510633</v>
      </c>
      <c r="AQ37" s="1423">
        <v>0</v>
      </c>
      <c r="AR37" s="1423"/>
      <c r="AS37" s="1423">
        <v>3476577</v>
      </c>
      <c r="AT37" s="1423">
        <v>1874652</v>
      </c>
      <c r="AU37" s="1423">
        <v>1601925</v>
      </c>
      <c r="AV37" s="1423"/>
      <c r="AW37" s="1423">
        <v>0</v>
      </c>
      <c r="AX37" s="1423"/>
      <c r="AY37" s="1423"/>
      <c r="AZ37" s="1423"/>
      <c r="BA37" s="1423"/>
      <c r="BB37" s="1423">
        <v>0</v>
      </c>
      <c r="BC37" s="1423">
        <v>0</v>
      </c>
      <c r="BD37" s="1423"/>
      <c r="BE37" s="1423">
        <v>0</v>
      </c>
      <c r="BF37" s="1423"/>
      <c r="BG37" s="1423"/>
      <c r="BH37" s="1423"/>
      <c r="BI37" s="1423"/>
      <c r="BJ37" s="1423">
        <v>0</v>
      </c>
      <c r="BK37" s="1423"/>
      <c r="BL37" s="1423">
        <v>0</v>
      </c>
      <c r="BM37" s="1423"/>
      <c r="BN37" s="1423"/>
      <c r="BO37" s="1423"/>
      <c r="BP37" s="1423"/>
      <c r="BQ37" s="1423">
        <v>0</v>
      </c>
      <c r="BR37" s="1423"/>
      <c r="BS37" s="1423">
        <v>0</v>
      </c>
      <c r="BT37" s="1423"/>
      <c r="BU37" s="1423"/>
      <c r="BV37" s="1423"/>
      <c r="BW37" s="1423"/>
      <c r="BX37" s="1423">
        <v>0</v>
      </c>
      <c r="BY37" s="1423"/>
      <c r="BZ37" s="1423"/>
      <c r="CA37" s="1423"/>
      <c r="CB37" s="1423"/>
      <c r="CC37" s="1423"/>
      <c r="CD37" s="1423">
        <v>0</v>
      </c>
      <c r="CE37" s="1423">
        <v>0</v>
      </c>
      <c r="CF37" s="1423"/>
      <c r="CG37" s="1423"/>
      <c r="CH37" s="1423">
        <v>0</v>
      </c>
      <c r="CI37" s="1423"/>
      <c r="CJ37" s="1423"/>
      <c r="CK37" s="1423"/>
      <c r="CL37" s="1423">
        <v>0</v>
      </c>
      <c r="CM37" s="1423"/>
      <c r="CN37" s="1423"/>
      <c r="CO37" s="1423"/>
      <c r="CP37" s="1423"/>
      <c r="CQ37" s="1423">
        <v>0</v>
      </c>
      <c r="CR37" s="1423">
        <v>0</v>
      </c>
      <c r="CS37" s="1423"/>
      <c r="CT37" s="1423"/>
      <c r="CU37" s="1423">
        <v>0</v>
      </c>
      <c r="CV37" s="1423"/>
      <c r="CW37" s="1423"/>
      <c r="CX37" s="1423"/>
      <c r="CY37" s="1423">
        <v>0</v>
      </c>
      <c r="CZ37" s="1423"/>
      <c r="DA37" s="1423">
        <v>0</v>
      </c>
      <c r="DB37" s="1423">
        <v>0</v>
      </c>
      <c r="DC37" s="1423"/>
      <c r="DD37" s="1423"/>
      <c r="DE37" s="1423"/>
      <c r="DF37" s="1423"/>
      <c r="DG37" s="1423"/>
      <c r="DH37" s="1423">
        <v>43558826</v>
      </c>
      <c r="DI37" s="1423">
        <v>6571603</v>
      </c>
      <c r="DJ37" s="1423">
        <v>3010596</v>
      </c>
      <c r="DK37" s="1423">
        <v>2336608</v>
      </c>
      <c r="DL37" s="1423">
        <v>31640019</v>
      </c>
      <c r="DM37" s="1423"/>
      <c r="DN37" s="1423">
        <v>8115601.2899999917</v>
      </c>
      <c r="DO37" s="1423"/>
      <c r="DP37" s="1423"/>
      <c r="DQ37" s="1423">
        <v>170389719.28999999</v>
      </c>
      <c r="DR37" s="1374"/>
      <c r="DS37" s="1374"/>
      <c r="DT37" s="1374">
        <v>0</v>
      </c>
    </row>
    <row r="38" spans="2:124">
      <c r="B38" s="1223">
        <v>42826</v>
      </c>
      <c r="C38" s="1423">
        <v>85638050</v>
      </c>
      <c r="D38" s="1423">
        <v>85638050</v>
      </c>
      <c r="E38" s="1423">
        <v>64327419</v>
      </c>
      <c r="F38" s="1423">
        <v>21310631</v>
      </c>
      <c r="G38" s="1423"/>
      <c r="H38" s="1423"/>
      <c r="I38" s="1423"/>
      <c r="J38" s="1423"/>
      <c r="K38" s="1423"/>
      <c r="L38" s="1423"/>
      <c r="M38" s="1423"/>
      <c r="N38" s="1423"/>
      <c r="O38" s="1423">
        <v>37627100</v>
      </c>
      <c r="P38" s="1423">
        <v>14565870</v>
      </c>
      <c r="Q38" s="1423">
        <v>1852521</v>
      </c>
      <c r="R38" s="1423">
        <v>1162204</v>
      </c>
      <c r="S38" s="1423">
        <v>690317</v>
      </c>
      <c r="T38" s="1423"/>
      <c r="U38" s="1423">
        <v>12713349</v>
      </c>
      <c r="V38" s="1423">
        <v>1726112</v>
      </c>
      <c r="W38" s="1423">
        <v>10987237</v>
      </c>
      <c r="X38" s="1423"/>
      <c r="Y38" s="1423">
        <v>0</v>
      </c>
      <c r="Z38" s="1423"/>
      <c r="AA38" s="1423"/>
      <c r="AB38" s="1423"/>
      <c r="AC38" s="1423">
        <v>0</v>
      </c>
      <c r="AD38" s="1423"/>
      <c r="AE38" s="1423">
        <v>0</v>
      </c>
      <c r="AF38" s="1423"/>
      <c r="AG38" s="1423">
        <v>8695991</v>
      </c>
      <c r="AH38" s="1423">
        <v>6911598</v>
      </c>
      <c r="AI38" s="1423">
        <v>1784393</v>
      </c>
      <c r="AJ38" s="1423"/>
      <c r="AK38" s="1423">
        <v>5990123</v>
      </c>
      <c r="AL38" s="1423">
        <v>5990123</v>
      </c>
      <c r="AM38" s="1423"/>
      <c r="AN38" s="1423"/>
      <c r="AO38" s="1423">
        <v>4645368</v>
      </c>
      <c r="AP38" s="1423">
        <v>4645368</v>
      </c>
      <c r="AQ38" s="1423">
        <v>0</v>
      </c>
      <c r="AR38" s="1423"/>
      <c r="AS38" s="1423">
        <v>3729748</v>
      </c>
      <c r="AT38" s="1423">
        <v>1647484</v>
      </c>
      <c r="AU38" s="1423">
        <v>2082264</v>
      </c>
      <c r="AV38" s="1423"/>
      <c r="AW38" s="1423">
        <v>0</v>
      </c>
      <c r="AX38" s="1423"/>
      <c r="AY38" s="1423"/>
      <c r="AZ38" s="1423"/>
      <c r="BA38" s="1423"/>
      <c r="BB38" s="1423">
        <v>0</v>
      </c>
      <c r="BC38" s="1423">
        <v>0</v>
      </c>
      <c r="BD38" s="1423"/>
      <c r="BE38" s="1423">
        <v>0</v>
      </c>
      <c r="BF38" s="1423"/>
      <c r="BG38" s="1423"/>
      <c r="BH38" s="1423"/>
      <c r="BI38" s="1423"/>
      <c r="BJ38" s="1423">
        <v>0</v>
      </c>
      <c r="BK38" s="1423"/>
      <c r="BL38" s="1423">
        <v>0</v>
      </c>
      <c r="BM38" s="1423"/>
      <c r="BN38" s="1423"/>
      <c r="BO38" s="1423"/>
      <c r="BP38" s="1423"/>
      <c r="BQ38" s="1423">
        <v>0</v>
      </c>
      <c r="BR38" s="1423"/>
      <c r="BS38" s="1423">
        <v>0</v>
      </c>
      <c r="BT38" s="1423"/>
      <c r="BU38" s="1423"/>
      <c r="BV38" s="1423"/>
      <c r="BW38" s="1423"/>
      <c r="BX38" s="1423">
        <v>0</v>
      </c>
      <c r="BY38" s="1423"/>
      <c r="BZ38" s="1423"/>
      <c r="CA38" s="1423"/>
      <c r="CB38" s="1423"/>
      <c r="CC38" s="1423"/>
      <c r="CD38" s="1423">
        <v>0</v>
      </c>
      <c r="CE38" s="1423">
        <v>0</v>
      </c>
      <c r="CF38" s="1423"/>
      <c r="CG38" s="1423"/>
      <c r="CH38" s="1423">
        <v>0</v>
      </c>
      <c r="CI38" s="1423"/>
      <c r="CJ38" s="1423"/>
      <c r="CK38" s="1423"/>
      <c r="CL38" s="1423">
        <v>0</v>
      </c>
      <c r="CM38" s="1423"/>
      <c r="CN38" s="1423"/>
      <c r="CO38" s="1423"/>
      <c r="CP38" s="1423"/>
      <c r="CQ38" s="1423">
        <v>0</v>
      </c>
      <c r="CR38" s="1423">
        <v>0</v>
      </c>
      <c r="CS38" s="1423"/>
      <c r="CT38" s="1423"/>
      <c r="CU38" s="1423">
        <v>0</v>
      </c>
      <c r="CV38" s="1423"/>
      <c r="CW38" s="1423"/>
      <c r="CX38" s="1423"/>
      <c r="CY38" s="1423">
        <v>0</v>
      </c>
      <c r="CZ38" s="1423"/>
      <c r="DA38" s="1423">
        <v>0</v>
      </c>
      <c r="DB38" s="1423">
        <v>0</v>
      </c>
      <c r="DC38" s="1423"/>
      <c r="DD38" s="1423"/>
      <c r="DE38" s="1423"/>
      <c r="DF38" s="1423"/>
      <c r="DG38" s="1423"/>
      <c r="DH38" s="1423">
        <v>44223509</v>
      </c>
      <c r="DI38" s="1423">
        <v>6648238</v>
      </c>
      <c r="DJ38" s="1423">
        <v>2980547</v>
      </c>
      <c r="DK38" s="1423">
        <v>2929030</v>
      </c>
      <c r="DL38" s="1423">
        <v>31665694</v>
      </c>
      <c r="DM38" s="1423"/>
      <c r="DN38" s="1423">
        <v>9549081.9199999869</v>
      </c>
      <c r="DO38" s="1423"/>
      <c r="DP38" s="1423"/>
      <c r="DQ38" s="1423">
        <v>177037740.91999999</v>
      </c>
      <c r="DR38" s="1374"/>
      <c r="DS38" s="1374"/>
      <c r="DT38" s="1374"/>
    </row>
    <row r="39" spans="2:124">
      <c r="B39" s="1223">
        <v>42856</v>
      </c>
      <c r="C39" s="1423">
        <v>89490357</v>
      </c>
      <c r="D39" s="1423">
        <v>89490357</v>
      </c>
      <c r="E39" s="1423">
        <v>64741174</v>
      </c>
      <c r="F39" s="1423">
        <v>24749183</v>
      </c>
      <c r="G39" s="1423"/>
      <c r="H39" s="1423"/>
      <c r="I39" s="1423"/>
      <c r="J39" s="1423"/>
      <c r="K39" s="1423"/>
      <c r="L39" s="1423"/>
      <c r="M39" s="1423"/>
      <c r="N39" s="1423"/>
      <c r="O39" s="1423">
        <v>36992863</v>
      </c>
      <c r="P39" s="1423">
        <v>14468410</v>
      </c>
      <c r="Q39" s="1423">
        <v>1722651</v>
      </c>
      <c r="R39" s="1423">
        <v>1081589</v>
      </c>
      <c r="S39" s="1423">
        <v>641062</v>
      </c>
      <c r="T39" s="1423"/>
      <c r="U39" s="1423">
        <v>12745759</v>
      </c>
      <c r="V39" s="1423">
        <v>3318024</v>
      </c>
      <c r="W39" s="1423">
        <v>9427735</v>
      </c>
      <c r="X39" s="1423"/>
      <c r="Y39" s="1423">
        <v>0</v>
      </c>
      <c r="Z39" s="1423"/>
      <c r="AA39" s="1423"/>
      <c r="AB39" s="1423"/>
      <c r="AC39" s="1423">
        <v>0</v>
      </c>
      <c r="AD39" s="1423"/>
      <c r="AE39" s="1423">
        <v>0</v>
      </c>
      <c r="AF39" s="1423"/>
      <c r="AG39" s="1423">
        <v>7954832</v>
      </c>
      <c r="AH39" s="1423">
        <v>6069143</v>
      </c>
      <c r="AI39" s="1423">
        <v>1885689</v>
      </c>
      <c r="AJ39" s="1423"/>
      <c r="AK39" s="1423">
        <v>5570157</v>
      </c>
      <c r="AL39" s="1423">
        <v>5570157</v>
      </c>
      <c r="AM39" s="1423"/>
      <c r="AN39" s="1423"/>
      <c r="AO39" s="1423">
        <v>5306411</v>
      </c>
      <c r="AP39" s="1423">
        <v>4704836</v>
      </c>
      <c r="AQ39" s="1423">
        <v>601575</v>
      </c>
      <c r="AR39" s="1423"/>
      <c r="AS39" s="1423">
        <v>3693053</v>
      </c>
      <c r="AT39" s="1423">
        <v>1261570</v>
      </c>
      <c r="AU39" s="1423">
        <v>2431483</v>
      </c>
      <c r="AV39" s="1423"/>
      <c r="AW39" s="1423">
        <v>0</v>
      </c>
      <c r="AX39" s="1423"/>
      <c r="AY39" s="1423"/>
      <c r="AZ39" s="1423"/>
      <c r="BA39" s="1423"/>
      <c r="BB39" s="1423">
        <v>0</v>
      </c>
      <c r="BC39" s="1423">
        <v>0</v>
      </c>
      <c r="BD39" s="1423"/>
      <c r="BE39" s="1423">
        <v>0</v>
      </c>
      <c r="BF39" s="1423"/>
      <c r="BG39" s="1423"/>
      <c r="BH39" s="1423"/>
      <c r="BI39" s="1423"/>
      <c r="BJ39" s="1423">
        <v>0</v>
      </c>
      <c r="BK39" s="1423"/>
      <c r="BL39" s="1423">
        <v>0</v>
      </c>
      <c r="BM39" s="1423"/>
      <c r="BN39" s="1423"/>
      <c r="BO39" s="1423"/>
      <c r="BP39" s="1423"/>
      <c r="BQ39" s="1423">
        <v>0</v>
      </c>
      <c r="BR39" s="1423"/>
      <c r="BS39" s="1423">
        <v>0</v>
      </c>
      <c r="BT39" s="1423"/>
      <c r="BU39" s="1423"/>
      <c r="BV39" s="1423"/>
      <c r="BW39" s="1423"/>
      <c r="BX39" s="1423">
        <v>0</v>
      </c>
      <c r="BY39" s="1423"/>
      <c r="BZ39" s="1423"/>
      <c r="CA39" s="1423"/>
      <c r="CB39" s="1423"/>
      <c r="CC39" s="1423"/>
      <c r="CD39" s="1423">
        <v>0</v>
      </c>
      <c r="CE39" s="1423">
        <v>0</v>
      </c>
      <c r="CF39" s="1423"/>
      <c r="CG39" s="1423"/>
      <c r="CH39" s="1423">
        <v>0</v>
      </c>
      <c r="CI39" s="1423"/>
      <c r="CJ39" s="1423"/>
      <c r="CK39" s="1423"/>
      <c r="CL39" s="1423">
        <v>0</v>
      </c>
      <c r="CM39" s="1423"/>
      <c r="CN39" s="1423"/>
      <c r="CO39" s="1423"/>
      <c r="CP39" s="1423"/>
      <c r="CQ39" s="1423">
        <v>0</v>
      </c>
      <c r="CR39" s="1423">
        <v>0</v>
      </c>
      <c r="CS39" s="1423"/>
      <c r="CT39" s="1423"/>
      <c r="CU39" s="1423">
        <v>0</v>
      </c>
      <c r="CV39" s="1423"/>
      <c r="CW39" s="1423"/>
      <c r="CX39" s="1423"/>
      <c r="CY39" s="1423">
        <v>0</v>
      </c>
      <c r="CZ39" s="1423"/>
      <c r="DA39" s="1423">
        <v>0</v>
      </c>
      <c r="DB39" s="1423">
        <v>0</v>
      </c>
      <c r="DC39" s="1423"/>
      <c r="DD39" s="1423"/>
      <c r="DE39" s="1423"/>
      <c r="DF39" s="1423"/>
      <c r="DG39" s="1423"/>
      <c r="DH39" s="1423">
        <v>44842715</v>
      </c>
      <c r="DI39" s="1423">
        <v>6737512</v>
      </c>
      <c r="DJ39" s="1423">
        <v>2945601</v>
      </c>
      <c r="DK39" s="1423">
        <v>3134226</v>
      </c>
      <c r="DL39" s="1423">
        <v>32025376</v>
      </c>
      <c r="DM39" s="1423"/>
      <c r="DN39" s="1423">
        <v>9234604.1100000143</v>
      </c>
      <c r="DO39" s="1423"/>
      <c r="DP39" s="1423"/>
      <c r="DQ39" s="1423">
        <v>180560539.11000001</v>
      </c>
      <c r="DR39" s="1374"/>
      <c r="DS39" s="1374"/>
      <c r="DT39" s="1374">
        <v>0</v>
      </c>
    </row>
    <row r="40" spans="2:124" s="947" customFormat="1" ht="15.75">
      <c r="B40" s="1223">
        <v>42887</v>
      </c>
      <c r="C40" s="1423">
        <v>91088267</v>
      </c>
      <c r="D40" s="1423">
        <v>91088267</v>
      </c>
      <c r="E40" s="1423">
        <v>67869139</v>
      </c>
      <c r="F40" s="1423">
        <v>23219128</v>
      </c>
      <c r="G40" s="1423"/>
      <c r="H40" s="1423"/>
      <c r="I40" s="1423"/>
      <c r="J40" s="1423"/>
      <c r="K40" s="1423"/>
      <c r="L40" s="1423"/>
      <c r="M40" s="1423"/>
      <c r="N40" s="1423"/>
      <c r="O40" s="1423">
        <v>41875045</v>
      </c>
      <c r="P40" s="1423">
        <v>15205393</v>
      </c>
      <c r="Q40" s="1423">
        <v>1787158</v>
      </c>
      <c r="R40" s="1423">
        <v>1257013</v>
      </c>
      <c r="S40" s="1423">
        <v>530145</v>
      </c>
      <c r="T40" s="1423"/>
      <c r="U40" s="1423">
        <v>13418235</v>
      </c>
      <c r="V40" s="1423">
        <v>5900957</v>
      </c>
      <c r="W40" s="1423">
        <v>7517278</v>
      </c>
      <c r="X40" s="1423"/>
      <c r="Y40" s="1423">
        <v>0</v>
      </c>
      <c r="Z40" s="1423"/>
      <c r="AA40" s="1423"/>
      <c r="AB40" s="1423"/>
      <c r="AC40" s="1423">
        <v>3000709</v>
      </c>
      <c r="AD40" s="1423"/>
      <c r="AE40" s="1423">
        <v>3000709</v>
      </c>
      <c r="AF40" s="1423"/>
      <c r="AG40" s="1423">
        <v>4264318</v>
      </c>
      <c r="AH40" s="1423">
        <v>2377347</v>
      </c>
      <c r="AI40" s="1423">
        <v>1886971</v>
      </c>
      <c r="AJ40" s="1423"/>
      <c r="AK40" s="1423">
        <v>5514773</v>
      </c>
      <c r="AL40" s="1423">
        <v>5514773</v>
      </c>
      <c r="AM40" s="1423"/>
      <c r="AN40" s="1423"/>
      <c r="AO40" s="1423">
        <v>5573462</v>
      </c>
      <c r="AP40" s="1423">
        <v>4970137</v>
      </c>
      <c r="AQ40" s="1423">
        <v>603325</v>
      </c>
      <c r="AR40" s="1423"/>
      <c r="AS40" s="1423">
        <v>8316390</v>
      </c>
      <c r="AT40" s="1423">
        <v>5994207</v>
      </c>
      <c r="AU40" s="1423">
        <v>2322183</v>
      </c>
      <c r="AV40" s="1423"/>
      <c r="AW40" s="1423">
        <v>0</v>
      </c>
      <c r="AX40" s="1423"/>
      <c r="AY40" s="1423"/>
      <c r="AZ40" s="1423"/>
      <c r="BA40" s="1423"/>
      <c r="BB40" s="1423">
        <v>0</v>
      </c>
      <c r="BC40" s="1423">
        <v>0</v>
      </c>
      <c r="BD40" s="1423"/>
      <c r="BE40" s="1423">
        <v>0</v>
      </c>
      <c r="BF40" s="1423"/>
      <c r="BG40" s="1423"/>
      <c r="BH40" s="1423"/>
      <c r="BI40" s="1423"/>
      <c r="BJ40" s="1423">
        <v>0</v>
      </c>
      <c r="BK40" s="1423"/>
      <c r="BL40" s="1423">
        <v>0</v>
      </c>
      <c r="BM40" s="1423"/>
      <c r="BN40" s="1423"/>
      <c r="BO40" s="1423"/>
      <c r="BP40" s="1423"/>
      <c r="BQ40" s="1423">
        <v>0</v>
      </c>
      <c r="BR40" s="1423"/>
      <c r="BS40" s="1423">
        <v>0</v>
      </c>
      <c r="BT40" s="1423"/>
      <c r="BU40" s="1423"/>
      <c r="BV40" s="1423"/>
      <c r="BW40" s="1423"/>
      <c r="BX40" s="1423">
        <v>0</v>
      </c>
      <c r="BY40" s="1423"/>
      <c r="BZ40" s="1423"/>
      <c r="CA40" s="1423"/>
      <c r="CB40" s="1423"/>
      <c r="CC40" s="1423"/>
      <c r="CD40" s="1423">
        <v>0</v>
      </c>
      <c r="CE40" s="1423">
        <v>0</v>
      </c>
      <c r="CF40" s="1423"/>
      <c r="CG40" s="1423"/>
      <c r="CH40" s="1423">
        <v>0</v>
      </c>
      <c r="CI40" s="1423"/>
      <c r="CJ40" s="1423"/>
      <c r="CK40" s="1423"/>
      <c r="CL40" s="1423">
        <v>0</v>
      </c>
      <c r="CM40" s="1423"/>
      <c r="CN40" s="1423"/>
      <c r="CO40" s="1423"/>
      <c r="CP40" s="1423"/>
      <c r="CQ40" s="1423">
        <v>0</v>
      </c>
      <c r="CR40" s="1423">
        <v>0</v>
      </c>
      <c r="CS40" s="1423"/>
      <c r="CT40" s="1423"/>
      <c r="CU40" s="1423">
        <v>0</v>
      </c>
      <c r="CV40" s="1423"/>
      <c r="CW40" s="1423"/>
      <c r="CX40" s="1423"/>
      <c r="CY40" s="1423">
        <v>0</v>
      </c>
      <c r="CZ40" s="1423"/>
      <c r="DA40" s="1423">
        <v>0</v>
      </c>
      <c r="DB40" s="1423">
        <v>0</v>
      </c>
      <c r="DC40" s="1423"/>
      <c r="DD40" s="1423"/>
      <c r="DE40" s="1423"/>
      <c r="DF40" s="1423"/>
      <c r="DG40" s="1423"/>
      <c r="DH40" s="1423">
        <v>45505500.120000005</v>
      </c>
      <c r="DI40" s="1423">
        <v>6764789</v>
      </c>
      <c r="DJ40" s="1423">
        <v>2910511</v>
      </c>
      <c r="DK40" s="1423">
        <v>3834206</v>
      </c>
      <c r="DL40" s="1423">
        <v>31995994.120000001</v>
      </c>
      <c r="DM40" s="1423"/>
      <c r="DN40" s="1423">
        <v>10284720</v>
      </c>
      <c r="DO40" s="1423"/>
      <c r="DP40" s="1423"/>
      <c r="DQ40" s="1423">
        <v>188753532.12</v>
      </c>
      <c r="DR40" s="1374"/>
      <c r="DS40" s="1374"/>
      <c r="DT40" s="1374"/>
    </row>
    <row r="41" spans="2:124" s="947" customFormat="1" ht="15.75">
      <c r="B41" s="1223">
        <v>42917</v>
      </c>
      <c r="C41" s="1423">
        <v>80896162</v>
      </c>
      <c r="D41" s="1423">
        <v>80896162</v>
      </c>
      <c r="E41" s="1423">
        <v>64202600</v>
      </c>
      <c r="F41" s="1423">
        <v>16693562</v>
      </c>
      <c r="G41" s="1423"/>
      <c r="H41" s="1423"/>
      <c r="I41" s="1423"/>
      <c r="J41" s="1423"/>
      <c r="K41" s="1423"/>
      <c r="L41" s="1423"/>
      <c r="M41" s="1423"/>
      <c r="N41" s="1423"/>
      <c r="O41" s="1423">
        <v>41375455</v>
      </c>
      <c r="P41" s="1423">
        <v>15177546</v>
      </c>
      <c r="Q41" s="1423">
        <v>1663658</v>
      </c>
      <c r="R41" s="1423">
        <v>993840</v>
      </c>
      <c r="S41" s="1423">
        <v>669818</v>
      </c>
      <c r="T41" s="1423"/>
      <c r="U41" s="1423">
        <v>13513888</v>
      </c>
      <c r="V41" s="1423">
        <v>5971575</v>
      </c>
      <c r="W41" s="1423">
        <v>7542313</v>
      </c>
      <c r="X41" s="1423"/>
      <c r="Y41" s="1423">
        <v>0</v>
      </c>
      <c r="Z41" s="1423"/>
      <c r="AA41" s="1423"/>
      <c r="AB41" s="1423"/>
      <c r="AC41" s="1423">
        <v>0</v>
      </c>
      <c r="AD41" s="1423"/>
      <c r="AE41" s="1423">
        <v>0</v>
      </c>
      <c r="AF41" s="1423"/>
      <c r="AG41" s="1423">
        <v>9087827</v>
      </c>
      <c r="AH41" s="1423">
        <v>7974419</v>
      </c>
      <c r="AI41" s="1423">
        <v>1113408</v>
      </c>
      <c r="AJ41" s="1423"/>
      <c r="AK41" s="1423">
        <v>5771855</v>
      </c>
      <c r="AL41" s="1423">
        <v>5771855</v>
      </c>
      <c r="AM41" s="1423"/>
      <c r="AN41" s="1423"/>
      <c r="AO41" s="1423">
        <v>6658499</v>
      </c>
      <c r="AP41" s="1423">
        <v>6658499</v>
      </c>
      <c r="AQ41" s="1423">
        <v>0</v>
      </c>
      <c r="AR41" s="1423"/>
      <c r="AS41" s="1423">
        <v>4679728</v>
      </c>
      <c r="AT41" s="1423">
        <v>1350982</v>
      </c>
      <c r="AU41" s="1423">
        <v>3328746</v>
      </c>
      <c r="AV41" s="1423"/>
      <c r="AW41" s="1423">
        <v>0</v>
      </c>
      <c r="AX41" s="1423"/>
      <c r="AY41" s="1423"/>
      <c r="AZ41" s="1423"/>
      <c r="BA41" s="1423"/>
      <c r="BB41" s="1423">
        <v>0</v>
      </c>
      <c r="BC41" s="1423">
        <v>0</v>
      </c>
      <c r="BD41" s="1423"/>
      <c r="BE41" s="1423">
        <v>0</v>
      </c>
      <c r="BF41" s="1423"/>
      <c r="BG41" s="1423"/>
      <c r="BH41" s="1423"/>
      <c r="BI41" s="1423"/>
      <c r="BJ41" s="1423">
        <v>0</v>
      </c>
      <c r="BK41" s="1423"/>
      <c r="BL41" s="1423">
        <v>0</v>
      </c>
      <c r="BM41" s="1423"/>
      <c r="BN41" s="1423"/>
      <c r="BO41" s="1423"/>
      <c r="BP41" s="1423"/>
      <c r="BQ41" s="1423">
        <v>0</v>
      </c>
      <c r="BR41" s="1423"/>
      <c r="BS41" s="1423">
        <v>0</v>
      </c>
      <c r="BT41" s="1423"/>
      <c r="BU41" s="1423"/>
      <c r="BV41" s="1423"/>
      <c r="BW41" s="1423"/>
      <c r="BX41" s="1423">
        <v>0</v>
      </c>
      <c r="BY41" s="1423"/>
      <c r="BZ41" s="1423"/>
      <c r="CA41" s="1423"/>
      <c r="CB41" s="1423"/>
      <c r="CC41" s="1423"/>
      <c r="CD41" s="1423">
        <v>0</v>
      </c>
      <c r="CE41" s="1423">
        <v>0</v>
      </c>
      <c r="CF41" s="1423"/>
      <c r="CG41" s="1423"/>
      <c r="CH41" s="1423">
        <v>0</v>
      </c>
      <c r="CI41" s="1423"/>
      <c r="CJ41" s="1423"/>
      <c r="CK41" s="1423"/>
      <c r="CL41" s="1423">
        <v>0</v>
      </c>
      <c r="CM41" s="1423"/>
      <c r="CN41" s="1423"/>
      <c r="CO41" s="1423"/>
      <c r="CP41" s="1423"/>
      <c r="CQ41" s="1423">
        <v>0</v>
      </c>
      <c r="CR41" s="1423">
        <v>0</v>
      </c>
      <c r="CS41" s="1423"/>
      <c r="CT41" s="1423"/>
      <c r="CU41" s="1423">
        <v>0</v>
      </c>
      <c r="CV41" s="1423"/>
      <c r="CW41" s="1423"/>
      <c r="CX41" s="1423"/>
      <c r="CY41" s="1423">
        <v>0</v>
      </c>
      <c r="CZ41" s="1423"/>
      <c r="DA41" s="1423">
        <v>0</v>
      </c>
      <c r="DB41" s="1423">
        <v>0</v>
      </c>
      <c r="DC41" s="1423"/>
      <c r="DD41" s="1423"/>
      <c r="DE41" s="1423"/>
      <c r="DF41" s="1423"/>
      <c r="DG41" s="1423"/>
      <c r="DH41" s="1423">
        <v>46604936</v>
      </c>
      <c r="DI41" s="1423">
        <v>6675370</v>
      </c>
      <c r="DJ41" s="1423">
        <v>2884840</v>
      </c>
      <c r="DK41" s="1423">
        <v>4821952</v>
      </c>
      <c r="DL41" s="1423">
        <v>32222774</v>
      </c>
      <c r="DM41" s="1423"/>
      <c r="DN41" s="1423">
        <v>8798216.6399999857</v>
      </c>
      <c r="DO41" s="1423"/>
      <c r="DP41" s="1423"/>
      <c r="DQ41" s="1423">
        <v>177674769.63999999</v>
      </c>
      <c r="DR41" s="1374"/>
      <c r="DS41" s="1374"/>
      <c r="DT41" s="1374">
        <v>0</v>
      </c>
    </row>
    <row r="42" spans="2:124">
      <c r="B42" s="1223">
        <v>42948</v>
      </c>
      <c r="C42" s="1423">
        <v>89506213</v>
      </c>
      <c r="D42" s="1423">
        <v>89506213</v>
      </c>
      <c r="E42" s="1423">
        <v>68495104</v>
      </c>
      <c r="F42" s="1423">
        <v>21011109</v>
      </c>
      <c r="G42" s="1423"/>
      <c r="H42" s="1423"/>
      <c r="I42" s="1423"/>
      <c r="J42" s="1423"/>
      <c r="K42" s="1423"/>
      <c r="L42" s="1423"/>
      <c r="M42" s="1423"/>
      <c r="N42" s="1423"/>
      <c r="O42" s="1423">
        <v>42554971</v>
      </c>
      <c r="P42" s="1423">
        <v>15589809</v>
      </c>
      <c r="Q42" s="1423">
        <v>1672236</v>
      </c>
      <c r="R42" s="1423">
        <v>1014613</v>
      </c>
      <c r="S42" s="1423">
        <v>657623</v>
      </c>
      <c r="T42" s="1423"/>
      <c r="U42" s="1423">
        <v>13917573</v>
      </c>
      <c r="V42" s="1423">
        <v>2035926</v>
      </c>
      <c r="W42" s="1423">
        <v>11881647</v>
      </c>
      <c r="X42" s="1423"/>
      <c r="Y42" s="1423">
        <v>0</v>
      </c>
      <c r="Z42" s="1423"/>
      <c r="AA42" s="1423"/>
      <c r="AB42" s="1423"/>
      <c r="AC42" s="1423">
        <v>0</v>
      </c>
      <c r="AD42" s="1423"/>
      <c r="AE42" s="1423">
        <v>0</v>
      </c>
      <c r="AF42" s="1423"/>
      <c r="AG42" s="1423">
        <v>5089723</v>
      </c>
      <c r="AH42" s="1423">
        <v>1950595</v>
      </c>
      <c r="AI42" s="1423">
        <v>3139128</v>
      </c>
      <c r="AJ42" s="1423"/>
      <c r="AK42" s="1423">
        <v>5783361</v>
      </c>
      <c r="AL42" s="1423">
        <v>5783361</v>
      </c>
      <c r="AM42" s="1423"/>
      <c r="AN42" s="1423"/>
      <c r="AO42" s="1423">
        <v>6749221</v>
      </c>
      <c r="AP42" s="1423">
        <v>6749221</v>
      </c>
      <c r="AQ42" s="1423">
        <v>0</v>
      </c>
      <c r="AR42" s="1423"/>
      <c r="AS42" s="1423">
        <v>9342857</v>
      </c>
      <c r="AT42" s="1423">
        <v>6022023</v>
      </c>
      <c r="AU42" s="1423">
        <v>3320834</v>
      </c>
      <c r="AV42" s="1423"/>
      <c r="AW42" s="1423">
        <v>0</v>
      </c>
      <c r="AX42" s="1423"/>
      <c r="AY42" s="1423"/>
      <c r="AZ42" s="1423"/>
      <c r="BA42" s="1423"/>
      <c r="BB42" s="1423">
        <v>0</v>
      </c>
      <c r="BC42" s="1423">
        <v>0</v>
      </c>
      <c r="BD42" s="1423"/>
      <c r="BE42" s="1423">
        <v>0</v>
      </c>
      <c r="BF42" s="1423"/>
      <c r="BG42" s="1423"/>
      <c r="BH42" s="1423"/>
      <c r="BI42" s="1423"/>
      <c r="BJ42" s="1423">
        <v>0</v>
      </c>
      <c r="BK42" s="1423"/>
      <c r="BL42" s="1423">
        <v>0</v>
      </c>
      <c r="BM42" s="1423"/>
      <c r="BN42" s="1423"/>
      <c r="BO42" s="1423"/>
      <c r="BP42" s="1423"/>
      <c r="BQ42" s="1423">
        <v>0</v>
      </c>
      <c r="BR42" s="1423"/>
      <c r="BS42" s="1423">
        <v>0</v>
      </c>
      <c r="BT42" s="1423"/>
      <c r="BU42" s="1423"/>
      <c r="BV42" s="1423"/>
      <c r="BW42" s="1423"/>
      <c r="BX42" s="1423">
        <v>0</v>
      </c>
      <c r="BY42" s="1423"/>
      <c r="BZ42" s="1423"/>
      <c r="CA42" s="1423"/>
      <c r="CB42" s="1423"/>
      <c r="CC42" s="1423"/>
      <c r="CD42" s="1423">
        <v>0</v>
      </c>
      <c r="CE42" s="1423">
        <v>0</v>
      </c>
      <c r="CF42" s="1423"/>
      <c r="CG42" s="1423"/>
      <c r="CH42" s="1423">
        <v>0</v>
      </c>
      <c r="CI42" s="1423"/>
      <c r="CJ42" s="1423"/>
      <c r="CK42" s="1423"/>
      <c r="CL42" s="1423">
        <v>0</v>
      </c>
      <c r="CM42" s="1423"/>
      <c r="CN42" s="1423"/>
      <c r="CO42" s="1423"/>
      <c r="CP42" s="1423"/>
      <c r="CQ42" s="1423">
        <v>0</v>
      </c>
      <c r="CR42" s="1423">
        <v>0</v>
      </c>
      <c r="CS42" s="1423"/>
      <c r="CT42" s="1423"/>
      <c r="CU42" s="1423">
        <v>0</v>
      </c>
      <c r="CV42" s="1423"/>
      <c r="CW42" s="1423"/>
      <c r="CX42" s="1423"/>
      <c r="CY42" s="1423">
        <v>0</v>
      </c>
      <c r="CZ42" s="1423"/>
      <c r="DA42" s="1423">
        <v>0</v>
      </c>
      <c r="DB42" s="1423">
        <v>0</v>
      </c>
      <c r="DC42" s="1423"/>
      <c r="DD42" s="1423"/>
      <c r="DE42" s="1423"/>
      <c r="DF42" s="1423"/>
      <c r="DG42" s="1423"/>
      <c r="DH42" s="1423">
        <v>47962485</v>
      </c>
      <c r="DI42" s="1423">
        <v>6754692</v>
      </c>
      <c r="DJ42" s="1423">
        <v>2865656</v>
      </c>
      <c r="DK42" s="1423">
        <v>5914824</v>
      </c>
      <c r="DL42" s="1423">
        <v>32427313</v>
      </c>
      <c r="DM42" s="1423"/>
      <c r="DN42" s="1423">
        <v>9397898.3100000005</v>
      </c>
      <c r="DO42" s="1423"/>
      <c r="DP42" s="1423"/>
      <c r="DQ42" s="1423">
        <v>189421567.31</v>
      </c>
      <c r="DR42" s="1374"/>
      <c r="DS42" s="1374"/>
      <c r="DT42" s="1374"/>
    </row>
    <row r="43" spans="2:124">
      <c r="B43" s="1223">
        <v>42979</v>
      </c>
      <c r="C43" s="1424">
        <v>88309171</v>
      </c>
      <c r="D43" s="1424">
        <v>88309171</v>
      </c>
      <c r="E43" s="1424">
        <v>68798614</v>
      </c>
      <c r="F43" s="1424">
        <v>19510557</v>
      </c>
      <c r="G43" s="1424"/>
      <c r="H43" s="1424"/>
      <c r="I43" s="1424"/>
      <c r="J43" s="1424"/>
      <c r="K43" s="1424"/>
      <c r="L43" s="1424"/>
      <c r="M43" s="1424"/>
      <c r="N43" s="1424"/>
      <c r="O43" s="1424">
        <v>44320304</v>
      </c>
      <c r="P43" s="1424">
        <v>16668834</v>
      </c>
      <c r="Q43" s="1424">
        <v>1610694</v>
      </c>
      <c r="R43" s="1424">
        <v>1358504</v>
      </c>
      <c r="S43" s="1424">
        <v>252190</v>
      </c>
      <c r="T43" s="1424"/>
      <c r="U43" s="1424">
        <v>15058140</v>
      </c>
      <c r="V43" s="1424">
        <v>7081209</v>
      </c>
      <c r="W43" s="1424">
        <v>7976931</v>
      </c>
      <c r="X43" s="1424"/>
      <c r="Y43" s="1424">
        <v>0</v>
      </c>
      <c r="Z43" s="1424"/>
      <c r="AA43" s="1424"/>
      <c r="AB43" s="1424"/>
      <c r="AC43" s="1424">
        <v>0</v>
      </c>
      <c r="AD43" s="1424"/>
      <c r="AE43" s="1424">
        <v>0</v>
      </c>
      <c r="AF43" s="1424"/>
      <c r="AG43" s="1424">
        <v>5602116</v>
      </c>
      <c r="AH43" s="1424">
        <v>5044684</v>
      </c>
      <c r="AI43" s="1424">
        <v>557432</v>
      </c>
      <c r="AJ43" s="1424"/>
      <c r="AK43" s="1424">
        <v>5798293</v>
      </c>
      <c r="AL43" s="1424">
        <v>5798293</v>
      </c>
      <c r="AM43" s="1424"/>
      <c r="AN43" s="1424"/>
      <c r="AO43" s="1424">
        <v>6804747</v>
      </c>
      <c r="AP43" s="1424">
        <v>6804747</v>
      </c>
      <c r="AQ43" s="1424">
        <v>0</v>
      </c>
      <c r="AR43" s="1424"/>
      <c r="AS43" s="1424">
        <v>9446314</v>
      </c>
      <c r="AT43" s="1424">
        <v>7333417</v>
      </c>
      <c r="AU43" s="1424">
        <v>2112897</v>
      </c>
      <c r="AV43" s="1424"/>
      <c r="AW43" s="1424">
        <v>0</v>
      </c>
      <c r="AX43" s="1424"/>
      <c r="AY43" s="1424"/>
      <c r="AZ43" s="1424"/>
      <c r="BA43" s="1424"/>
      <c r="BB43" s="1424">
        <v>0</v>
      </c>
      <c r="BC43" s="1424">
        <v>0</v>
      </c>
      <c r="BD43" s="1424"/>
      <c r="BE43" s="1424">
        <v>0</v>
      </c>
      <c r="BF43" s="1424"/>
      <c r="BG43" s="1424"/>
      <c r="BH43" s="1424"/>
      <c r="BI43" s="1424"/>
      <c r="BJ43" s="1424">
        <v>0</v>
      </c>
      <c r="BK43" s="1424"/>
      <c r="BL43" s="1424">
        <v>0</v>
      </c>
      <c r="BM43" s="1424"/>
      <c r="BN43" s="1424"/>
      <c r="BO43" s="1424"/>
      <c r="BP43" s="1424"/>
      <c r="BQ43" s="1424">
        <v>0</v>
      </c>
      <c r="BR43" s="1424"/>
      <c r="BS43" s="1424">
        <v>0</v>
      </c>
      <c r="BT43" s="1424"/>
      <c r="BU43" s="1424"/>
      <c r="BV43" s="1424"/>
      <c r="BW43" s="1424"/>
      <c r="BX43" s="1424">
        <v>0</v>
      </c>
      <c r="BY43" s="1424"/>
      <c r="BZ43" s="1424"/>
      <c r="CA43" s="1424"/>
      <c r="CB43" s="1424"/>
      <c r="CC43" s="1424"/>
      <c r="CD43" s="1424">
        <v>0</v>
      </c>
      <c r="CE43" s="1424">
        <v>0</v>
      </c>
      <c r="CF43" s="1424"/>
      <c r="CG43" s="1424"/>
      <c r="CH43" s="1424">
        <v>0</v>
      </c>
      <c r="CI43" s="1424"/>
      <c r="CJ43" s="1424"/>
      <c r="CK43" s="1424"/>
      <c r="CL43" s="1424">
        <v>0</v>
      </c>
      <c r="CM43" s="1424"/>
      <c r="CN43" s="1424"/>
      <c r="CO43" s="1424"/>
      <c r="CP43" s="1424"/>
      <c r="CQ43" s="1424">
        <v>0</v>
      </c>
      <c r="CR43" s="1424">
        <v>0</v>
      </c>
      <c r="CS43" s="1424"/>
      <c r="CT43" s="1424"/>
      <c r="CU43" s="1424">
        <v>0</v>
      </c>
      <c r="CV43" s="1424"/>
      <c r="CW43" s="1424"/>
      <c r="CX43" s="1424"/>
      <c r="CY43" s="1424">
        <v>0</v>
      </c>
      <c r="CZ43" s="1424"/>
      <c r="DA43" s="1424">
        <v>0</v>
      </c>
      <c r="DB43" s="1424">
        <v>0</v>
      </c>
      <c r="DC43" s="1424"/>
      <c r="DD43" s="1424"/>
      <c r="DE43" s="1424"/>
      <c r="DF43" s="1424"/>
      <c r="DG43" s="1424"/>
      <c r="DH43" s="1424">
        <v>50250917</v>
      </c>
      <c r="DI43" s="1424">
        <v>6879726</v>
      </c>
      <c r="DJ43" s="1424">
        <v>2857730</v>
      </c>
      <c r="DK43" s="1424">
        <v>6854803</v>
      </c>
      <c r="DL43" s="1424">
        <v>33658658</v>
      </c>
      <c r="DM43" s="1424"/>
      <c r="DN43" s="1424">
        <v>10513927.029999999</v>
      </c>
      <c r="DO43" s="1424"/>
      <c r="DP43" s="1424"/>
      <c r="DQ43" s="1424">
        <v>193394319.03</v>
      </c>
      <c r="DR43" s="1375"/>
      <c r="DS43" s="1375"/>
      <c r="DT43" s="1375"/>
    </row>
    <row r="44" spans="2:124">
      <c r="B44" s="1226">
        <v>43009</v>
      </c>
      <c r="C44" s="1425">
        <v>86940666</v>
      </c>
      <c r="D44" s="1425">
        <v>86940666</v>
      </c>
      <c r="E44" s="1425">
        <v>69011822</v>
      </c>
      <c r="F44" s="1425">
        <v>17928844</v>
      </c>
      <c r="G44" s="1425"/>
      <c r="H44" s="1425"/>
      <c r="I44" s="1425"/>
      <c r="J44" s="1425"/>
      <c r="K44" s="1425"/>
      <c r="L44" s="1425"/>
      <c r="M44" s="1425"/>
      <c r="N44" s="1425"/>
      <c r="O44" s="1425">
        <v>52314191</v>
      </c>
      <c r="P44" s="1425">
        <v>25856227</v>
      </c>
      <c r="Q44" s="1425">
        <v>1697153</v>
      </c>
      <c r="R44" s="1425">
        <v>1126458</v>
      </c>
      <c r="S44" s="1425">
        <v>570695</v>
      </c>
      <c r="T44" s="1425"/>
      <c r="U44" s="1425">
        <v>24159074</v>
      </c>
      <c r="V44" s="1425">
        <v>6674643</v>
      </c>
      <c r="W44" s="1425">
        <v>17484431</v>
      </c>
      <c r="X44" s="1425"/>
      <c r="Y44" s="1425">
        <v>0</v>
      </c>
      <c r="Z44" s="1425"/>
      <c r="AA44" s="1425"/>
      <c r="AB44" s="1425"/>
      <c r="AC44" s="1425">
        <v>0</v>
      </c>
      <c r="AD44" s="1425"/>
      <c r="AE44" s="1425">
        <v>0</v>
      </c>
      <c r="AF44" s="1425"/>
      <c r="AG44" s="1425">
        <v>9471214</v>
      </c>
      <c r="AH44" s="1425">
        <v>7180864</v>
      </c>
      <c r="AI44" s="1425">
        <v>2290350</v>
      </c>
      <c r="AJ44" s="1425"/>
      <c r="AK44" s="1425">
        <v>5797165</v>
      </c>
      <c r="AL44" s="1425">
        <v>5797165</v>
      </c>
      <c r="AM44" s="1425"/>
      <c r="AN44" s="1425"/>
      <c r="AO44" s="1425">
        <v>6850866</v>
      </c>
      <c r="AP44" s="1425">
        <v>6850866</v>
      </c>
      <c r="AQ44" s="1425">
        <v>0</v>
      </c>
      <c r="AR44" s="1425"/>
      <c r="AS44" s="1425">
        <v>4338719</v>
      </c>
      <c r="AT44" s="1425">
        <v>2256007</v>
      </c>
      <c r="AU44" s="1425">
        <v>2082712</v>
      </c>
      <c r="AV44" s="1425"/>
      <c r="AW44" s="1425">
        <v>0</v>
      </c>
      <c r="AX44" s="1425"/>
      <c r="AY44" s="1425"/>
      <c r="AZ44" s="1425"/>
      <c r="BA44" s="1425"/>
      <c r="BB44" s="1425">
        <v>0</v>
      </c>
      <c r="BC44" s="1425">
        <v>0</v>
      </c>
      <c r="BD44" s="1425"/>
      <c r="BE44" s="1425">
        <v>0</v>
      </c>
      <c r="BF44" s="1425"/>
      <c r="BG44" s="1425"/>
      <c r="BH44" s="1425"/>
      <c r="BI44" s="1425"/>
      <c r="BJ44" s="1425">
        <v>0</v>
      </c>
      <c r="BK44" s="1425"/>
      <c r="BL44" s="1425">
        <v>0</v>
      </c>
      <c r="BM44" s="1425"/>
      <c r="BN44" s="1425"/>
      <c r="BO44" s="1425"/>
      <c r="BP44" s="1425"/>
      <c r="BQ44" s="1425">
        <v>0</v>
      </c>
      <c r="BR44" s="1425"/>
      <c r="BS44" s="1425">
        <v>0</v>
      </c>
      <c r="BT44" s="1425"/>
      <c r="BU44" s="1425"/>
      <c r="BV44" s="1425"/>
      <c r="BW44" s="1425"/>
      <c r="BX44" s="1425">
        <v>0</v>
      </c>
      <c r="BY44" s="1425"/>
      <c r="BZ44" s="1425"/>
      <c r="CA44" s="1425"/>
      <c r="CB44" s="1425"/>
      <c r="CC44" s="1425"/>
      <c r="CD44" s="1425">
        <v>0</v>
      </c>
      <c r="CE44" s="1425">
        <v>0</v>
      </c>
      <c r="CF44" s="1425"/>
      <c r="CG44" s="1425"/>
      <c r="CH44" s="1425">
        <v>0</v>
      </c>
      <c r="CI44" s="1425"/>
      <c r="CJ44" s="1425"/>
      <c r="CK44" s="1425"/>
      <c r="CL44" s="1425">
        <v>0</v>
      </c>
      <c r="CM44" s="1425"/>
      <c r="CN44" s="1425"/>
      <c r="CO44" s="1425"/>
      <c r="CP44" s="1425"/>
      <c r="CQ44" s="1425">
        <v>0</v>
      </c>
      <c r="CR44" s="1425">
        <v>0</v>
      </c>
      <c r="CS44" s="1425"/>
      <c r="CT44" s="1425"/>
      <c r="CU44" s="1425">
        <v>0</v>
      </c>
      <c r="CV44" s="1425"/>
      <c r="CW44" s="1425"/>
      <c r="CX44" s="1425"/>
      <c r="CY44" s="1425">
        <v>0</v>
      </c>
      <c r="CZ44" s="1425"/>
      <c r="DA44" s="1425">
        <v>0</v>
      </c>
      <c r="DB44" s="1425">
        <v>0</v>
      </c>
      <c r="DC44" s="1425"/>
      <c r="DD44" s="1425"/>
      <c r="DE44" s="1425"/>
      <c r="DF44" s="1425"/>
      <c r="DG44" s="1425"/>
      <c r="DH44" s="1425">
        <v>53419145</v>
      </c>
      <c r="DI44" s="1425">
        <v>6758261</v>
      </c>
      <c r="DJ44" s="1425">
        <v>2835460</v>
      </c>
      <c r="DK44" s="1425">
        <v>8098470</v>
      </c>
      <c r="DL44" s="1425">
        <v>35726954</v>
      </c>
      <c r="DM44" s="1425"/>
      <c r="DN44" s="1425">
        <v>10636894.74</v>
      </c>
      <c r="DO44" s="1425"/>
      <c r="DP44" s="1425"/>
      <c r="DQ44" s="1425">
        <v>203310896.74000001</v>
      </c>
      <c r="DR44" s="1376"/>
      <c r="DS44" s="1376"/>
      <c r="DT44" s="1376"/>
    </row>
    <row r="45" spans="2:124" s="1377" customFormat="1">
      <c r="B45" s="1378">
        <v>43040</v>
      </c>
      <c r="C45" s="1428">
        <v>97477577</v>
      </c>
      <c r="D45" s="1428">
        <v>97477577</v>
      </c>
      <c r="E45" s="1428">
        <v>73304162</v>
      </c>
      <c r="F45" s="1428">
        <v>24173415</v>
      </c>
      <c r="G45" s="1428"/>
      <c r="H45" s="1428"/>
      <c r="I45" s="1428"/>
      <c r="J45" s="1428"/>
      <c r="K45" s="1428"/>
      <c r="L45" s="1428"/>
      <c r="M45" s="1428"/>
      <c r="N45" s="1428"/>
      <c r="O45" s="1428">
        <v>52341375</v>
      </c>
      <c r="P45" s="1428">
        <v>24863850</v>
      </c>
      <c r="Q45" s="1428">
        <v>1186347</v>
      </c>
      <c r="R45" s="1428">
        <v>711023</v>
      </c>
      <c r="S45" s="1428">
        <v>475324</v>
      </c>
      <c r="T45" s="1428"/>
      <c r="U45" s="1428">
        <v>23677503</v>
      </c>
      <c r="V45" s="1428">
        <v>4215048</v>
      </c>
      <c r="W45" s="1428">
        <v>19462455</v>
      </c>
      <c r="X45" s="1428"/>
      <c r="Y45" s="1428">
        <v>0</v>
      </c>
      <c r="Z45" s="1428"/>
      <c r="AA45" s="1428"/>
      <c r="AB45" s="1428"/>
      <c r="AC45" s="1428">
        <v>0</v>
      </c>
      <c r="AD45" s="1428"/>
      <c r="AE45" s="1428">
        <v>0</v>
      </c>
      <c r="AF45" s="1428"/>
      <c r="AG45" s="1428">
        <v>11883467</v>
      </c>
      <c r="AH45" s="1428">
        <v>10366779</v>
      </c>
      <c r="AI45" s="1428">
        <v>1516688</v>
      </c>
      <c r="AJ45" s="1428"/>
      <c r="AK45" s="1428">
        <v>5795536</v>
      </c>
      <c r="AL45" s="1428">
        <v>5795536</v>
      </c>
      <c r="AM45" s="1428"/>
      <c r="AN45" s="1428"/>
      <c r="AO45" s="1428">
        <v>5386079</v>
      </c>
      <c r="AP45" s="1428">
        <v>5386079</v>
      </c>
      <c r="AQ45" s="1428">
        <v>0</v>
      </c>
      <c r="AR45" s="1428"/>
      <c r="AS45" s="1428">
        <v>4412443</v>
      </c>
      <c r="AT45" s="1428">
        <v>911424</v>
      </c>
      <c r="AU45" s="1428">
        <v>3501019</v>
      </c>
      <c r="AV45" s="1428"/>
      <c r="AW45" s="1428">
        <v>0</v>
      </c>
      <c r="AX45" s="1428"/>
      <c r="AY45" s="1428"/>
      <c r="AZ45" s="1428"/>
      <c r="BA45" s="1428"/>
      <c r="BB45" s="1428">
        <v>0</v>
      </c>
      <c r="BC45" s="1428">
        <v>0</v>
      </c>
      <c r="BD45" s="1428"/>
      <c r="BE45" s="1428">
        <v>0</v>
      </c>
      <c r="BF45" s="1428"/>
      <c r="BG45" s="1428"/>
      <c r="BH45" s="1428"/>
      <c r="BI45" s="1428"/>
      <c r="BJ45" s="1428">
        <v>0</v>
      </c>
      <c r="BK45" s="1428"/>
      <c r="BL45" s="1428">
        <v>0</v>
      </c>
      <c r="BM45" s="1428"/>
      <c r="BN45" s="1428"/>
      <c r="BO45" s="1428"/>
      <c r="BP45" s="1428"/>
      <c r="BQ45" s="1428">
        <v>0</v>
      </c>
      <c r="BR45" s="1428"/>
      <c r="BS45" s="1428">
        <v>0</v>
      </c>
      <c r="BT45" s="1428"/>
      <c r="BU45" s="1428"/>
      <c r="BV45" s="1428"/>
      <c r="BW45" s="1428"/>
      <c r="BX45" s="1428">
        <v>0</v>
      </c>
      <c r="BY45" s="1428"/>
      <c r="BZ45" s="1428"/>
      <c r="CA45" s="1428"/>
      <c r="CB45" s="1428"/>
      <c r="CC45" s="1428"/>
      <c r="CD45" s="1428">
        <v>0</v>
      </c>
      <c r="CE45" s="1428">
        <v>0</v>
      </c>
      <c r="CF45" s="1428"/>
      <c r="CG45" s="1428"/>
      <c r="CH45" s="1428">
        <v>0</v>
      </c>
      <c r="CI45" s="1428"/>
      <c r="CJ45" s="1428"/>
      <c r="CK45" s="1428"/>
      <c r="CL45" s="1428">
        <v>0</v>
      </c>
      <c r="CM45" s="1428"/>
      <c r="CN45" s="1428"/>
      <c r="CO45" s="1428"/>
      <c r="CP45" s="1428"/>
      <c r="CQ45" s="1428">
        <v>0</v>
      </c>
      <c r="CR45" s="1428">
        <v>0</v>
      </c>
      <c r="CS45" s="1428"/>
      <c r="CT45" s="1428"/>
      <c r="CU45" s="1428">
        <v>0</v>
      </c>
      <c r="CV45" s="1428"/>
      <c r="CW45" s="1428"/>
      <c r="CX45" s="1428"/>
      <c r="CY45" s="1428">
        <v>0</v>
      </c>
      <c r="CZ45" s="1428"/>
      <c r="DA45" s="1428">
        <v>0</v>
      </c>
      <c r="DB45" s="1428">
        <v>0</v>
      </c>
      <c r="DC45" s="1428"/>
      <c r="DD45" s="1428"/>
      <c r="DE45" s="1428"/>
      <c r="DF45" s="1428"/>
      <c r="DG45" s="1428"/>
      <c r="DH45" s="1428">
        <v>53042917</v>
      </c>
      <c r="DI45" s="1428">
        <v>6839561</v>
      </c>
      <c r="DJ45" s="1428">
        <v>2819147</v>
      </c>
      <c r="DK45" s="1428">
        <v>9369164</v>
      </c>
      <c r="DL45" s="1428">
        <v>34015045</v>
      </c>
      <c r="DM45" s="1428"/>
      <c r="DN45" s="1428">
        <v>10957352.15</v>
      </c>
      <c r="DO45" s="1428"/>
      <c r="DP45" s="1428"/>
      <c r="DQ45" s="1428">
        <v>213819221.15000001</v>
      </c>
      <c r="DR45" s="1382"/>
      <c r="DS45" s="1382"/>
      <c r="DT45" s="1382"/>
    </row>
    <row r="46" spans="2:124" s="1369" customFormat="1">
      <c r="B46" s="1370">
        <v>43070</v>
      </c>
      <c r="C46" s="1420">
        <v>110028286</v>
      </c>
      <c r="D46" s="1420">
        <v>110028286</v>
      </c>
      <c r="E46" s="1420">
        <v>77940481</v>
      </c>
      <c r="F46" s="1420">
        <v>32087805</v>
      </c>
      <c r="G46" s="1420"/>
      <c r="H46" s="1420"/>
      <c r="I46" s="1420"/>
      <c r="J46" s="1420"/>
      <c r="K46" s="1420"/>
      <c r="L46" s="1420"/>
      <c r="M46" s="1420"/>
      <c r="N46" s="1420"/>
      <c r="O46" s="1420">
        <v>49500604</v>
      </c>
      <c r="P46" s="1420">
        <v>22673501</v>
      </c>
      <c r="Q46" s="1420">
        <v>1454568</v>
      </c>
      <c r="R46" s="1420">
        <v>1315113</v>
      </c>
      <c r="S46" s="1420">
        <v>139455</v>
      </c>
      <c r="T46" s="1420"/>
      <c r="U46" s="1420">
        <v>21218933</v>
      </c>
      <c r="V46" s="1420">
        <v>6356934</v>
      </c>
      <c r="W46" s="1420">
        <v>14861999</v>
      </c>
      <c r="X46" s="1420"/>
      <c r="Y46" s="1420">
        <v>0</v>
      </c>
      <c r="Z46" s="1420"/>
      <c r="AA46" s="1420"/>
      <c r="AB46" s="1420"/>
      <c r="AC46" s="1420">
        <v>0</v>
      </c>
      <c r="AD46" s="1420"/>
      <c r="AE46" s="1420">
        <v>0</v>
      </c>
      <c r="AF46" s="1420"/>
      <c r="AG46" s="1420">
        <v>12184585</v>
      </c>
      <c r="AH46" s="1420">
        <v>9862823</v>
      </c>
      <c r="AI46" s="1420">
        <v>2321762</v>
      </c>
      <c r="AJ46" s="1420"/>
      <c r="AK46" s="1420">
        <v>5989693</v>
      </c>
      <c r="AL46" s="1420">
        <v>5989693</v>
      </c>
      <c r="AM46" s="1420"/>
      <c r="AN46" s="1420"/>
      <c r="AO46" s="1420">
        <v>4819465</v>
      </c>
      <c r="AP46" s="1420">
        <v>4272090</v>
      </c>
      <c r="AQ46" s="1420">
        <v>547375</v>
      </c>
      <c r="AR46" s="1420"/>
      <c r="AS46" s="1420">
        <v>3833360</v>
      </c>
      <c r="AT46" s="1420">
        <v>1489939</v>
      </c>
      <c r="AU46" s="1420">
        <v>2343421</v>
      </c>
      <c r="AV46" s="1420"/>
      <c r="AW46" s="1420">
        <v>0</v>
      </c>
      <c r="AX46" s="1420"/>
      <c r="AY46" s="1420"/>
      <c r="AZ46" s="1420"/>
      <c r="BA46" s="1420"/>
      <c r="BB46" s="1420">
        <v>0</v>
      </c>
      <c r="BC46" s="1420">
        <v>0</v>
      </c>
      <c r="BD46" s="1420"/>
      <c r="BE46" s="1420">
        <v>0</v>
      </c>
      <c r="BF46" s="1420"/>
      <c r="BG46" s="1420"/>
      <c r="BH46" s="1420"/>
      <c r="BI46" s="1420"/>
      <c r="BJ46" s="1420">
        <v>0</v>
      </c>
      <c r="BK46" s="1420"/>
      <c r="BL46" s="1420">
        <v>0</v>
      </c>
      <c r="BM46" s="1420"/>
      <c r="BN46" s="1420"/>
      <c r="BO46" s="1420"/>
      <c r="BP46" s="1420"/>
      <c r="BQ46" s="1420">
        <v>0</v>
      </c>
      <c r="BR46" s="1420"/>
      <c r="BS46" s="1420">
        <v>0</v>
      </c>
      <c r="BT46" s="1420"/>
      <c r="BU46" s="1420"/>
      <c r="BV46" s="1420"/>
      <c r="BW46" s="1420"/>
      <c r="BX46" s="1420">
        <v>0</v>
      </c>
      <c r="BY46" s="1420"/>
      <c r="BZ46" s="1420"/>
      <c r="CA46" s="1420"/>
      <c r="CB46" s="1420"/>
      <c r="CC46" s="1420"/>
      <c r="CD46" s="1420">
        <v>0</v>
      </c>
      <c r="CE46" s="1420">
        <v>0</v>
      </c>
      <c r="CF46" s="1420"/>
      <c r="CG46" s="1420"/>
      <c r="CH46" s="1420">
        <v>0</v>
      </c>
      <c r="CI46" s="1420"/>
      <c r="CJ46" s="1420"/>
      <c r="CK46" s="1420"/>
      <c r="CL46" s="1420">
        <v>0</v>
      </c>
      <c r="CM46" s="1420"/>
      <c r="CN46" s="1420"/>
      <c r="CO46" s="1420"/>
      <c r="CP46" s="1420"/>
      <c r="CQ46" s="1420">
        <v>0</v>
      </c>
      <c r="CR46" s="1420">
        <v>0</v>
      </c>
      <c r="CS46" s="1420"/>
      <c r="CT46" s="1420"/>
      <c r="CU46" s="1420">
        <v>0</v>
      </c>
      <c r="CV46" s="1420"/>
      <c r="CW46" s="1420"/>
      <c r="CX46" s="1420"/>
      <c r="CY46" s="1420">
        <v>0</v>
      </c>
      <c r="CZ46" s="1420"/>
      <c r="DA46" s="1420">
        <v>0</v>
      </c>
      <c r="DB46" s="1420">
        <v>0</v>
      </c>
      <c r="DC46" s="1420"/>
      <c r="DD46" s="1420"/>
      <c r="DE46" s="1420"/>
      <c r="DF46" s="1420"/>
      <c r="DG46" s="1420"/>
      <c r="DH46" s="1420">
        <v>54449964.57</v>
      </c>
      <c r="DI46" s="1420">
        <v>6918830</v>
      </c>
      <c r="DJ46" s="1420">
        <v>2820797</v>
      </c>
      <c r="DK46" s="1420">
        <v>11352959</v>
      </c>
      <c r="DL46" s="1420">
        <v>33357378.57</v>
      </c>
      <c r="DM46" s="1420"/>
      <c r="DN46" s="1420">
        <v>12728165</v>
      </c>
      <c r="DO46" s="1420"/>
      <c r="DP46" s="1420"/>
      <c r="DQ46" s="1420">
        <v>226707019.56999999</v>
      </c>
      <c r="DR46" s="1371"/>
      <c r="DS46" s="1371"/>
      <c r="DT46" s="1371"/>
    </row>
    <row r="47" spans="2:124" s="1377" customFormat="1">
      <c r="C47" s="1428"/>
      <c r="D47" s="1428"/>
      <c r="E47" s="1428"/>
      <c r="F47" s="1428"/>
      <c r="G47" s="1428"/>
      <c r="H47" s="1428"/>
      <c r="I47" s="1428"/>
      <c r="J47" s="1428"/>
      <c r="K47" s="1428"/>
      <c r="L47" s="1428"/>
      <c r="M47" s="1428"/>
      <c r="N47" s="1428"/>
      <c r="O47" s="1428"/>
      <c r="P47" s="1428"/>
      <c r="Q47" s="1428"/>
      <c r="R47" s="1428"/>
      <c r="S47" s="1428"/>
      <c r="T47" s="1428"/>
      <c r="U47" s="1428"/>
      <c r="V47" s="1428"/>
      <c r="W47" s="1428"/>
      <c r="X47" s="1428"/>
      <c r="Y47" s="1428"/>
      <c r="Z47" s="1428"/>
      <c r="AA47" s="1428"/>
      <c r="AB47" s="1428"/>
      <c r="AC47" s="1428"/>
      <c r="AD47" s="1428"/>
      <c r="AE47" s="1428"/>
      <c r="AF47" s="1428"/>
      <c r="AG47" s="1428"/>
      <c r="AH47" s="1428"/>
      <c r="AI47" s="1428"/>
      <c r="AJ47" s="1428"/>
      <c r="AK47" s="1428"/>
      <c r="AL47" s="1428"/>
      <c r="AM47" s="1428"/>
      <c r="AN47" s="1428"/>
      <c r="AO47" s="1428"/>
      <c r="AP47" s="1428"/>
      <c r="AQ47" s="1428"/>
      <c r="AR47" s="1428"/>
      <c r="AS47" s="1428"/>
      <c r="AT47" s="1428"/>
      <c r="AU47" s="1428"/>
      <c r="AV47" s="1428"/>
      <c r="AW47" s="1428"/>
      <c r="AX47" s="1428"/>
      <c r="AY47" s="1428"/>
      <c r="AZ47" s="1428"/>
      <c r="BA47" s="1428"/>
      <c r="BB47" s="1428"/>
      <c r="BC47" s="1428"/>
      <c r="BD47" s="1428"/>
      <c r="BE47" s="1428"/>
      <c r="BF47" s="1428"/>
      <c r="BG47" s="1428"/>
      <c r="BH47" s="1428"/>
      <c r="BI47" s="1428"/>
      <c r="BJ47" s="1428"/>
      <c r="BK47" s="1428"/>
      <c r="BL47" s="1428"/>
      <c r="BM47" s="1428"/>
      <c r="BN47" s="1428"/>
      <c r="BO47" s="1428"/>
      <c r="BP47" s="1428"/>
      <c r="BQ47" s="1428"/>
      <c r="BR47" s="1428"/>
      <c r="BS47" s="1428"/>
      <c r="BT47" s="1428"/>
      <c r="BU47" s="1428"/>
      <c r="BV47" s="1428"/>
      <c r="BW47" s="1428"/>
      <c r="BX47" s="1428"/>
      <c r="BY47" s="1428"/>
      <c r="BZ47" s="1428"/>
      <c r="CA47" s="1428"/>
      <c r="CB47" s="1428"/>
      <c r="CC47" s="1428"/>
      <c r="CD47" s="1428"/>
      <c r="CE47" s="1428"/>
      <c r="CF47" s="1428"/>
      <c r="CG47" s="1428"/>
      <c r="CH47" s="1428"/>
      <c r="CI47" s="1428"/>
      <c r="CJ47" s="1428"/>
      <c r="CK47" s="1428"/>
      <c r="CL47" s="1428"/>
      <c r="CM47" s="1428"/>
      <c r="CN47" s="1428"/>
      <c r="CO47" s="1428"/>
      <c r="CP47" s="1428"/>
      <c r="CQ47" s="1428"/>
      <c r="CR47" s="1428"/>
      <c r="CS47" s="1428"/>
      <c r="CT47" s="1428"/>
      <c r="CU47" s="1428"/>
      <c r="CV47" s="1428"/>
      <c r="CW47" s="1428"/>
      <c r="CX47" s="1428"/>
      <c r="CY47" s="1428"/>
      <c r="CZ47" s="1428"/>
      <c r="DA47" s="1428"/>
      <c r="DB47" s="1428"/>
      <c r="DC47" s="1428"/>
      <c r="DD47" s="1428"/>
      <c r="DE47" s="1428"/>
      <c r="DF47" s="1428"/>
      <c r="DG47" s="1428"/>
      <c r="DH47" s="1428"/>
      <c r="DI47" s="1428"/>
      <c r="DJ47" s="1428"/>
      <c r="DK47" s="1428"/>
      <c r="DL47" s="1428"/>
      <c r="DM47" s="1428"/>
      <c r="DN47" s="1428"/>
      <c r="DO47" s="1428"/>
      <c r="DP47" s="1428"/>
      <c r="DQ47" s="1428"/>
      <c r="DR47" s="1382"/>
      <c r="DS47" s="1382"/>
      <c r="DT47" s="1382"/>
    </row>
    <row r="48" spans="2:124" s="1377" customFormat="1">
      <c r="C48" s="1428"/>
      <c r="D48" s="1428"/>
      <c r="E48" s="1428"/>
      <c r="F48" s="1428"/>
      <c r="G48" s="1428"/>
      <c r="H48" s="1428"/>
      <c r="I48" s="1428"/>
      <c r="J48" s="1428"/>
      <c r="K48" s="1428"/>
      <c r="L48" s="1428"/>
      <c r="M48" s="1428"/>
      <c r="N48" s="1428"/>
      <c r="O48" s="1428"/>
      <c r="P48" s="1428"/>
      <c r="Q48" s="1428"/>
      <c r="R48" s="1428"/>
      <c r="S48" s="1428"/>
      <c r="T48" s="1428"/>
      <c r="U48" s="1428"/>
      <c r="V48" s="1428"/>
      <c r="W48" s="1428"/>
      <c r="X48" s="1428"/>
      <c r="Y48" s="1428"/>
      <c r="Z48" s="1428"/>
      <c r="AA48" s="1428"/>
      <c r="AB48" s="1428"/>
      <c r="AC48" s="1428"/>
      <c r="AD48" s="1428"/>
      <c r="AE48" s="1428"/>
      <c r="AF48" s="1428"/>
      <c r="AG48" s="1428"/>
      <c r="AH48" s="1428"/>
      <c r="AI48" s="1428"/>
      <c r="AJ48" s="1428"/>
      <c r="AK48" s="1428"/>
      <c r="AL48" s="1428"/>
      <c r="AM48" s="1428"/>
      <c r="AN48" s="1428"/>
      <c r="AO48" s="1428"/>
      <c r="AP48" s="1428"/>
      <c r="AQ48" s="1428"/>
      <c r="AR48" s="1428"/>
      <c r="AS48" s="1428"/>
      <c r="AT48" s="1428"/>
      <c r="AU48" s="1428"/>
      <c r="AV48" s="1428"/>
      <c r="AW48" s="1428"/>
      <c r="AX48" s="1428"/>
      <c r="AY48" s="1428"/>
      <c r="AZ48" s="1428"/>
      <c r="BA48" s="1428"/>
      <c r="BB48" s="1428"/>
      <c r="BC48" s="1428"/>
      <c r="BD48" s="1428"/>
      <c r="BE48" s="1428"/>
      <c r="BF48" s="1428"/>
      <c r="BG48" s="1428"/>
      <c r="BH48" s="1428"/>
      <c r="BI48" s="1428"/>
      <c r="BJ48" s="1428"/>
      <c r="BK48" s="1428"/>
      <c r="BL48" s="1428"/>
      <c r="BM48" s="1428"/>
      <c r="BN48" s="1428"/>
      <c r="BO48" s="1428"/>
      <c r="BP48" s="1428"/>
      <c r="BQ48" s="1428"/>
      <c r="BR48" s="1428"/>
      <c r="BS48" s="1428"/>
      <c r="BT48" s="1428"/>
      <c r="BU48" s="1428"/>
      <c r="BV48" s="1428"/>
      <c r="BW48" s="1428"/>
      <c r="BX48" s="1428"/>
      <c r="BY48" s="1428"/>
      <c r="BZ48" s="1428"/>
      <c r="CA48" s="1428"/>
      <c r="CB48" s="1428"/>
      <c r="CC48" s="1428"/>
      <c r="CD48" s="1428"/>
      <c r="CE48" s="1428"/>
      <c r="CF48" s="1428"/>
      <c r="CG48" s="1428"/>
      <c r="CH48" s="1428"/>
      <c r="CI48" s="1428"/>
      <c r="CJ48" s="1428"/>
      <c r="CK48" s="1428"/>
      <c r="CL48" s="1428"/>
      <c r="CM48" s="1428"/>
      <c r="CN48" s="1428"/>
      <c r="CO48" s="1428"/>
      <c r="CP48" s="1428"/>
      <c r="CQ48" s="1428"/>
      <c r="CR48" s="1428"/>
      <c r="CS48" s="1428"/>
      <c r="CT48" s="1428"/>
      <c r="CU48" s="1428"/>
      <c r="CV48" s="1428"/>
      <c r="CW48" s="1428"/>
      <c r="CX48" s="1428"/>
      <c r="CY48" s="1428"/>
      <c r="CZ48" s="1428"/>
      <c r="DA48" s="1428"/>
      <c r="DB48" s="1428"/>
      <c r="DC48" s="1428"/>
      <c r="DD48" s="1428"/>
      <c r="DE48" s="1428"/>
      <c r="DF48" s="1428"/>
      <c r="DG48" s="1428"/>
      <c r="DH48" s="1428"/>
      <c r="DI48" s="1428"/>
      <c r="DJ48" s="1428"/>
      <c r="DK48" s="1428"/>
      <c r="DL48" s="1428"/>
      <c r="DM48" s="1428"/>
      <c r="DN48" s="1428"/>
      <c r="DO48" s="1428"/>
      <c r="DP48" s="1428"/>
      <c r="DQ48" s="1428"/>
      <c r="DR48" s="1382"/>
      <c r="DS48" s="1382"/>
      <c r="DT48" s="1382"/>
    </row>
    <row r="49" spans="2:124" s="1377" customFormat="1">
      <c r="B49" s="1370">
        <v>43101</v>
      </c>
      <c r="C49" s="1428">
        <v>94159842</v>
      </c>
      <c r="D49" s="1428">
        <v>94159842</v>
      </c>
      <c r="E49" s="1428">
        <v>72261790</v>
      </c>
      <c r="F49" s="1428">
        <v>21898052</v>
      </c>
      <c r="G49" s="1428"/>
      <c r="H49" s="1428"/>
      <c r="I49" s="1428"/>
      <c r="J49" s="1428"/>
      <c r="K49" s="1428"/>
      <c r="L49" s="1428"/>
      <c r="M49" s="1428"/>
      <c r="N49" s="1428"/>
      <c r="O49" s="1428">
        <v>48317822</v>
      </c>
      <c r="P49" s="1428">
        <v>22915699</v>
      </c>
      <c r="Q49" s="1428">
        <v>1571024</v>
      </c>
      <c r="R49" s="1428">
        <v>1044293</v>
      </c>
      <c r="S49" s="1428">
        <v>526731</v>
      </c>
      <c r="T49" s="1428"/>
      <c r="U49" s="1428">
        <v>21344675</v>
      </c>
      <c r="V49" s="1428">
        <v>6479299</v>
      </c>
      <c r="W49" s="1428">
        <v>14865376</v>
      </c>
      <c r="X49" s="1428"/>
      <c r="Y49" s="1428">
        <v>0</v>
      </c>
      <c r="Z49" s="1428"/>
      <c r="AA49" s="1428"/>
      <c r="AB49" s="1428"/>
      <c r="AC49" s="1428">
        <v>0</v>
      </c>
      <c r="AD49" s="1428"/>
      <c r="AE49" s="1428">
        <v>0</v>
      </c>
      <c r="AF49" s="1428"/>
      <c r="AG49" s="1428">
        <v>10167844</v>
      </c>
      <c r="AH49" s="1428">
        <v>8746945</v>
      </c>
      <c r="AI49" s="1428">
        <v>1420899</v>
      </c>
      <c r="AJ49" s="1428"/>
      <c r="AK49" s="1428">
        <v>5949059</v>
      </c>
      <c r="AL49" s="1428">
        <v>5949059</v>
      </c>
      <c r="AM49" s="1428"/>
      <c r="AN49" s="1428"/>
      <c r="AO49" s="1428">
        <v>4823860</v>
      </c>
      <c r="AP49" s="1428">
        <v>4770618</v>
      </c>
      <c r="AQ49" s="1428">
        <v>53242</v>
      </c>
      <c r="AR49" s="1428"/>
      <c r="AS49" s="1428">
        <v>4461360</v>
      </c>
      <c r="AT49" s="1428">
        <v>1503369</v>
      </c>
      <c r="AU49" s="1428">
        <v>2957991</v>
      </c>
      <c r="AV49" s="1428"/>
      <c r="AW49" s="1428">
        <v>0</v>
      </c>
      <c r="AX49" s="1428"/>
      <c r="AY49" s="1428"/>
      <c r="AZ49" s="1428"/>
      <c r="BA49" s="1428"/>
      <c r="BB49" s="1428">
        <v>0</v>
      </c>
      <c r="BC49" s="1428">
        <v>0</v>
      </c>
      <c r="BD49" s="1428"/>
      <c r="BE49" s="1428">
        <v>0</v>
      </c>
      <c r="BF49" s="1428"/>
      <c r="BG49" s="1428"/>
      <c r="BH49" s="1428"/>
      <c r="BI49" s="1428"/>
      <c r="BJ49" s="1428">
        <v>0</v>
      </c>
      <c r="BK49" s="1428"/>
      <c r="BL49" s="1428">
        <v>0</v>
      </c>
      <c r="BM49" s="1428"/>
      <c r="BN49" s="1428"/>
      <c r="BO49" s="1428"/>
      <c r="BP49" s="1428"/>
      <c r="BQ49" s="1428">
        <v>0</v>
      </c>
      <c r="BR49" s="1428"/>
      <c r="BS49" s="1428">
        <v>0</v>
      </c>
      <c r="BT49" s="1428"/>
      <c r="BU49" s="1428"/>
      <c r="BV49" s="1428"/>
      <c r="BW49" s="1428"/>
      <c r="BX49" s="1428">
        <v>0</v>
      </c>
      <c r="BY49" s="1428"/>
      <c r="BZ49" s="1428"/>
      <c r="CA49" s="1428"/>
      <c r="CB49" s="1428"/>
      <c r="CC49" s="1428"/>
      <c r="CD49" s="1428">
        <v>0</v>
      </c>
      <c r="CE49" s="1428">
        <v>0</v>
      </c>
      <c r="CF49" s="1428"/>
      <c r="CG49" s="1428"/>
      <c r="CH49" s="1428">
        <v>0</v>
      </c>
      <c r="CI49" s="1428"/>
      <c r="CJ49" s="1428"/>
      <c r="CK49" s="1428"/>
      <c r="CL49" s="1428">
        <v>0</v>
      </c>
      <c r="CM49" s="1428"/>
      <c r="CN49" s="1428"/>
      <c r="CO49" s="1428"/>
      <c r="CP49" s="1428"/>
      <c r="CQ49" s="1428">
        <v>0</v>
      </c>
      <c r="CR49" s="1428">
        <v>0</v>
      </c>
      <c r="CS49" s="1428"/>
      <c r="CT49" s="1428"/>
      <c r="CU49" s="1428">
        <v>0</v>
      </c>
      <c r="CV49" s="1428"/>
      <c r="CW49" s="1428"/>
      <c r="CX49" s="1428"/>
      <c r="CY49" s="1428">
        <v>0</v>
      </c>
      <c r="CZ49" s="1428"/>
      <c r="DA49" s="1428">
        <v>0</v>
      </c>
      <c r="DB49" s="1428">
        <v>0</v>
      </c>
      <c r="DC49" s="1428"/>
      <c r="DD49" s="1428"/>
      <c r="DE49" s="1428"/>
      <c r="DF49" s="1428"/>
      <c r="DG49" s="1428"/>
      <c r="DH49" s="1428">
        <v>51379435</v>
      </c>
      <c r="DI49" s="1428">
        <v>8090978</v>
      </c>
      <c r="DJ49" s="1428">
        <v>5468095</v>
      </c>
      <c r="DK49" s="1428">
        <v>1262958</v>
      </c>
      <c r="DL49" s="1428">
        <v>36557404</v>
      </c>
      <c r="DM49" s="1428"/>
      <c r="DN49" s="1428">
        <v>11516495.610000014</v>
      </c>
      <c r="DO49" s="1428"/>
      <c r="DP49" s="1428"/>
      <c r="DQ49" s="1428">
        <v>205373594.61000001</v>
      </c>
      <c r="DR49" s="1382"/>
      <c r="DS49" s="1382"/>
      <c r="DT49" s="1382"/>
    </row>
    <row r="50" spans="2:124" s="1377" customFormat="1">
      <c r="B50" s="1370">
        <v>43132</v>
      </c>
      <c r="C50" s="1428">
        <v>101419610</v>
      </c>
      <c r="D50" s="1428">
        <v>101419610</v>
      </c>
      <c r="E50" s="1428">
        <v>77228117</v>
      </c>
      <c r="F50" s="1428">
        <v>24191493</v>
      </c>
      <c r="G50" s="1428"/>
      <c r="H50" s="1428"/>
      <c r="I50" s="1428"/>
      <c r="J50" s="1428"/>
      <c r="K50" s="1428"/>
      <c r="L50" s="1428"/>
      <c r="M50" s="1428"/>
      <c r="N50" s="1428"/>
      <c r="O50" s="1428">
        <v>52663419</v>
      </c>
      <c r="P50" s="1428">
        <v>24953608</v>
      </c>
      <c r="Q50" s="1428">
        <v>2743444</v>
      </c>
      <c r="R50" s="1428">
        <v>1191061</v>
      </c>
      <c r="S50" s="1428">
        <v>1552383</v>
      </c>
      <c r="T50" s="1428"/>
      <c r="U50" s="1428">
        <v>22210164</v>
      </c>
      <c r="V50" s="1428">
        <v>6949589</v>
      </c>
      <c r="W50" s="1428">
        <v>15260575</v>
      </c>
      <c r="X50" s="1428"/>
      <c r="Y50" s="1428">
        <v>0</v>
      </c>
      <c r="Z50" s="1428"/>
      <c r="AA50" s="1428"/>
      <c r="AB50" s="1428"/>
      <c r="AC50" s="1428">
        <v>0</v>
      </c>
      <c r="AD50" s="1428"/>
      <c r="AE50" s="1428">
        <v>0</v>
      </c>
      <c r="AF50" s="1428"/>
      <c r="AG50" s="1428">
        <v>10690137</v>
      </c>
      <c r="AH50" s="1428">
        <v>7696953</v>
      </c>
      <c r="AI50" s="1428">
        <v>2993184</v>
      </c>
      <c r="AJ50" s="1428"/>
      <c r="AK50" s="1428">
        <v>5829055</v>
      </c>
      <c r="AL50" s="1428">
        <v>5717199</v>
      </c>
      <c r="AM50" s="1428">
        <v>111856</v>
      </c>
      <c r="AN50" s="1428"/>
      <c r="AO50" s="1428">
        <v>5907690</v>
      </c>
      <c r="AP50" s="1428">
        <v>4233145</v>
      </c>
      <c r="AQ50" s="1428">
        <v>1674545</v>
      </c>
      <c r="AR50" s="1428"/>
      <c r="AS50" s="1428">
        <v>5282929</v>
      </c>
      <c r="AT50" s="1428">
        <v>1633272</v>
      </c>
      <c r="AU50" s="1428">
        <v>3649657</v>
      </c>
      <c r="AV50" s="1428"/>
      <c r="AW50" s="1428">
        <v>0</v>
      </c>
      <c r="AX50" s="1428"/>
      <c r="AY50" s="1428"/>
      <c r="AZ50" s="1428"/>
      <c r="BA50" s="1428"/>
      <c r="BB50" s="1428">
        <v>0</v>
      </c>
      <c r="BC50" s="1428">
        <v>0</v>
      </c>
      <c r="BD50" s="1428"/>
      <c r="BE50" s="1428">
        <v>0</v>
      </c>
      <c r="BF50" s="1428"/>
      <c r="BG50" s="1428"/>
      <c r="BH50" s="1428"/>
      <c r="BI50" s="1428"/>
      <c r="BJ50" s="1428">
        <v>0</v>
      </c>
      <c r="BK50" s="1428"/>
      <c r="BL50" s="1428">
        <v>0</v>
      </c>
      <c r="BM50" s="1428"/>
      <c r="BN50" s="1428"/>
      <c r="BO50" s="1428"/>
      <c r="BP50" s="1428"/>
      <c r="BQ50" s="1428">
        <v>0</v>
      </c>
      <c r="BR50" s="1428"/>
      <c r="BS50" s="1428">
        <v>0</v>
      </c>
      <c r="BT50" s="1428"/>
      <c r="BU50" s="1428"/>
      <c r="BV50" s="1428"/>
      <c r="BW50" s="1428"/>
      <c r="BX50" s="1428">
        <v>0</v>
      </c>
      <c r="BY50" s="1428"/>
      <c r="BZ50" s="1428"/>
      <c r="CA50" s="1428"/>
      <c r="CB50" s="1428"/>
      <c r="CC50" s="1428"/>
      <c r="CD50" s="1428">
        <v>0</v>
      </c>
      <c r="CE50" s="1428">
        <v>0</v>
      </c>
      <c r="CF50" s="1428"/>
      <c r="CG50" s="1428"/>
      <c r="CH50" s="1428">
        <v>0</v>
      </c>
      <c r="CI50" s="1428"/>
      <c r="CJ50" s="1428"/>
      <c r="CK50" s="1428"/>
      <c r="CL50" s="1428">
        <v>0</v>
      </c>
      <c r="CM50" s="1428"/>
      <c r="CN50" s="1428"/>
      <c r="CO50" s="1428"/>
      <c r="CP50" s="1428"/>
      <c r="CQ50" s="1428">
        <v>0</v>
      </c>
      <c r="CR50" s="1428">
        <v>0</v>
      </c>
      <c r="CS50" s="1428"/>
      <c r="CT50" s="1428"/>
      <c r="CU50" s="1428">
        <v>0</v>
      </c>
      <c r="CV50" s="1428"/>
      <c r="CW50" s="1428"/>
      <c r="CX50" s="1428"/>
      <c r="CY50" s="1428">
        <v>0</v>
      </c>
      <c r="CZ50" s="1428"/>
      <c r="DA50" s="1428">
        <v>0</v>
      </c>
      <c r="DB50" s="1428">
        <v>0</v>
      </c>
      <c r="DC50" s="1428"/>
      <c r="DD50" s="1428"/>
      <c r="DE50" s="1428"/>
      <c r="DF50" s="1428"/>
      <c r="DG50" s="1428"/>
      <c r="DH50" s="1428">
        <v>52267461</v>
      </c>
      <c r="DI50" s="1428">
        <v>7453639</v>
      </c>
      <c r="DJ50" s="1428">
        <v>6221399</v>
      </c>
      <c r="DK50" s="1428">
        <v>2138147</v>
      </c>
      <c r="DL50" s="1428">
        <v>36454276</v>
      </c>
      <c r="DM50" s="1428"/>
      <c r="DN50" s="1428">
        <v>11794863.919999987</v>
      </c>
      <c r="DO50" s="1428"/>
      <c r="DP50" s="1428"/>
      <c r="DQ50" s="1428">
        <v>218145353.91999999</v>
      </c>
      <c r="DR50" s="1382"/>
      <c r="DS50" s="1382"/>
      <c r="DT50" s="1382"/>
    </row>
    <row r="51" spans="2:124" s="1377" customFormat="1">
      <c r="B51" s="1370">
        <v>43160</v>
      </c>
      <c r="C51" s="1428">
        <v>103537422</v>
      </c>
      <c r="D51" s="1428">
        <v>103537422</v>
      </c>
      <c r="E51" s="1428">
        <v>76002643</v>
      </c>
      <c r="F51" s="1428">
        <v>27534779</v>
      </c>
      <c r="G51" s="1428"/>
      <c r="H51" s="1428"/>
      <c r="I51" s="1428"/>
      <c r="J51" s="1428"/>
      <c r="K51" s="1428"/>
      <c r="L51" s="1428"/>
      <c r="M51" s="1428"/>
      <c r="N51" s="1428"/>
      <c r="O51" s="1428">
        <v>47012822</v>
      </c>
      <c r="P51" s="1428">
        <v>18212835</v>
      </c>
      <c r="Q51" s="1428">
        <v>1724433</v>
      </c>
      <c r="R51" s="1428">
        <v>1544239</v>
      </c>
      <c r="S51" s="1428">
        <v>180194</v>
      </c>
      <c r="T51" s="1428"/>
      <c r="U51" s="1428">
        <v>16488402</v>
      </c>
      <c r="V51" s="1428">
        <v>10899705</v>
      </c>
      <c r="W51" s="1428">
        <v>5588697</v>
      </c>
      <c r="X51" s="1428"/>
      <c r="Y51" s="1428">
        <v>0</v>
      </c>
      <c r="Z51" s="1428"/>
      <c r="AA51" s="1428"/>
      <c r="AB51" s="1428"/>
      <c r="AC51" s="1428">
        <v>0</v>
      </c>
      <c r="AD51" s="1428"/>
      <c r="AE51" s="1428">
        <v>0</v>
      </c>
      <c r="AF51" s="1428"/>
      <c r="AG51" s="1428">
        <v>13962753</v>
      </c>
      <c r="AH51" s="1428">
        <v>11337660</v>
      </c>
      <c r="AI51" s="1428">
        <v>2625093</v>
      </c>
      <c r="AJ51" s="1428"/>
      <c r="AK51" s="1428">
        <v>5798769</v>
      </c>
      <c r="AL51" s="1428">
        <v>5686528</v>
      </c>
      <c r="AM51" s="1428">
        <v>112241</v>
      </c>
      <c r="AN51" s="1428"/>
      <c r="AO51" s="1428">
        <v>5097824</v>
      </c>
      <c r="AP51" s="1428">
        <v>4661108</v>
      </c>
      <c r="AQ51" s="1428">
        <v>436716</v>
      </c>
      <c r="AR51" s="1428"/>
      <c r="AS51" s="1428">
        <v>3940641</v>
      </c>
      <c r="AT51" s="1428">
        <v>2289794</v>
      </c>
      <c r="AU51" s="1428">
        <v>1650847</v>
      </c>
      <c r="AV51" s="1428"/>
      <c r="AW51" s="1428">
        <v>0</v>
      </c>
      <c r="AX51" s="1428"/>
      <c r="AY51" s="1428"/>
      <c r="AZ51" s="1428"/>
      <c r="BA51" s="1428"/>
      <c r="BB51" s="1428">
        <v>0</v>
      </c>
      <c r="BC51" s="1428">
        <v>0</v>
      </c>
      <c r="BD51" s="1428"/>
      <c r="BE51" s="1428">
        <v>0</v>
      </c>
      <c r="BF51" s="1428"/>
      <c r="BG51" s="1428"/>
      <c r="BH51" s="1428"/>
      <c r="BI51" s="1428"/>
      <c r="BJ51" s="1428">
        <v>0</v>
      </c>
      <c r="BK51" s="1428"/>
      <c r="BL51" s="1428">
        <v>0</v>
      </c>
      <c r="BM51" s="1428"/>
      <c r="BN51" s="1428"/>
      <c r="BO51" s="1428"/>
      <c r="BP51" s="1428"/>
      <c r="BQ51" s="1428">
        <v>0</v>
      </c>
      <c r="BR51" s="1428"/>
      <c r="BS51" s="1428">
        <v>0</v>
      </c>
      <c r="BT51" s="1428"/>
      <c r="BU51" s="1428"/>
      <c r="BV51" s="1428"/>
      <c r="BW51" s="1428"/>
      <c r="BX51" s="1428">
        <v>0</v>
      </c>
      <c r="BY51" s="1428"/>
      <c r="BZ51" s="1428"/>
      <c r="CA51" s="1428"/>
      <c r="CB51" s="1428"/>
      <c r="CC51" s="1428"/>
      <c r="CD51" s="1428">
        <v>0</v>
      </c>
      <c r="CE51" s="1428">
        <v>0</v>
      </c>
      <c r="CF51" s="1428"/>
      <c r="CG51" s="1428"/>
      <c r="CH51" s="1428">
        <v>0</v>
      </c>
      <c r="CI51" s="1428"/>
      <c r="CJ51" s="1428"/>
      <c r="CK51" s="1428"/>
      <c r="CL51" s="1428">
        <v>0</v>
      </c>
      <c r="CM51" s="1428"/>
      <c r="CN51" s="1428"/>
      <c r="CO51" s="1428"/>
      <c r="CP51" s="1428"/>
      <c r="CQ51" s="1428">
        <v>0</v>
      </c>
      <c r="CR51" s="1428">
        <v>0</v>
      </c>
      <c r="CS51" s="1428"/>
      <c r="CT51" s="1428"/>
      <c r="CU51" s="1428">
        <v>0</v>
      </c>
      <c r="CV51" s="1428"/>
      <c r="CW51" s="1428"/>
      <c r="CX51" s="1428"/>
      <c r="CY51" s="1428">
        <v>0</v>
      </c>
      <c r="CZ51" s="1428"/>
      <c r="DA51" s="1428">
        <v>0</v>
      </c>
      <c r="DB51" s="1428">
        <v>0</v>
      </c>
      <c r="DC51" s="1428"/>
      <c r="DD51" s="1428"/>
      <c r="DE51" s="1428"/>
      <c r="DF51" s="1428"/>
      <c r="DG51" s="1428"/>
      <c r="DH51" s="1428">
        <v>53176904</v>
      </c>
      <c r="DI51" s="1428">
        <v>7972999</v>
      </c>
      <c r="DJ51" s="1428">
        <v>6165707</v>
      </c>
      <c r="DK51" s="1428">
        <v>2921781</v>
      </c>
      <c r="DL51" s="1428">
        <v>36116417</v>
      </c>
      <c r="DM51" s="1428"/>
      <c r="DN51" s="1428">
        <v>14643797.479999989</v>
      </c>
      <c r="DO51" s="1428"/>
      <c r="DP51" s="1428"/>
      <c r="DQ51" s="1428">
        <v>218370945.47999999</v>
      </c>
      <c r="DR51" s="1382"/>
      <c r="DS51" s="1382"/>
      <c r="DT51" s="1382"/>
    </row>
    <row r="52" spans="2:124" s="1377" customFormat="1">
      <c r="B52" s="1370">
        <v>43191</v>
      </c>
      <c r="C52" s="1428">
        <v>104276397</v>
      </c>
      <c r="D52" s="1428">
        <v>104276397</v>
      </c>
      <c r="E52" s="1428">
        <v>77136703</v>
      </c>
      <c r="F52" s="1428">
        <v>27139694</v>
      </c>
      <c r="G52" s="1428"/>
      <c r="H52" s="1428"/>
      <c r="I52" s="1428"/>
      <c r="J52" s="1428"/>
      <c r="K52" s="1428"/>
      <c r="L52" s="1428"/>
      <c r="M52" s="1428"/>
      <c r="N52" s="1428"/>
      <c r="O52" s="1428">
        <v>41804426</v>
      </c>
      <c r="P52" s="1428">
        <v>14993227</v>
      </c>
      <c r="Q52" s="1428">
        <v>1490403</v>
      </c>
      <c r="R52" s="1428">
        <v>1143172</v>
      </c>
      <c r="S52" s="1428">
        <v>347231</v>
      </c>
      <c r="T52" s="1428"/>
      <c r="U52" s="1428">
        <v>13502824</v>
      </c>
      <c r="V52" s="1428">
        <v>1493404</v>
      </c>
      <c r="W52" s="1428">
        <v>12009420</v>
      </c>
      <c r="X52" s="1428"/>
      <c r="Y52" s="1428">
        <v>0</v>
      </c>
      <c r="Z52" s="1428"/>
      <c r="AA52" s="1428"/>
      <c r="AB52" s="1428"/>
      <c r="AC52" s="1428">
        <v>0</v>
      </c>
      <c r="AD52" s="1428"/>
      <c r="AE52" s="1428">
        <v>0</v>
      </c>
      <c r="AF52" s="1428"/>
      <c r="AG52" s="1428">
        <v>14283735</v>
      </c>
      <c r="AH52" s="1428">
        <v>11619137</v>
      </c>
      <c r="AI52" s="1428">
        <v>2664598</v>
      </c>
      <c r="AJ52" s="1428"/>
      <c r="AK52" s="1428">
        <v>5786801</v>
      </c>
      <c r="AL52" s="1428">
        <v>5786801</v>
      </c>
      <c r="AM52" s="1428">
        <v>0</v>
      </c>
      <c r="AN52" s="1428"/>
      <c r="AO52" s="1428">
        <v>4043872</v>
      </c>
      <c r="AP52" s="1428">
        <v>4043872</v>
      </c>
      <c r="AQ52" s="1428">
        <v>0</v>
      </c>
      <c r="AR52" s="1428"/>
      <c r="AS52" s="1428">
        <v>2696791</v>
      </c>
      <c r="AT52" s="1428">
        <v>992126</v>
      </c>
      <c r="AU52" s="1428">
        <v>1704665</v>
      </c>
      <c r="AV52" s="1428"/>
      <c r="AW52" s="1428">
        <v>0</v>
      </c>
      <c r="AX52" s="1428"/>
      <c r="AY52" s="1428"/>
      <c r="AZ52" s="1428"/>
      <c r="BA52" s="1428"/>
      <c r="BB52" s="1428">
        <v>0</v>
      </c>
      <c r="BC52" s="1428">
        <v>0</v>
      </c>
      <c r="BD52" s="1428"/>
      <c r="BE52" s="1428">
        <v>0</v>
      </c>
      <c r="BF52" s="1428"/>
      <c r="BG52" s="1428"/>
      <c r="BH52" s="1428"/>
      <c r="BI52" s="1428"/>
      <c r="BJ52" s="1428">
        <v>0</v>
      </c>
      <c r="BK52" s="1428"/>
      <c r="BL52" s="1428">
        <v>0</v>
      </c>
      <c r="BM52" s="1428"/>
      <c r="BN52" s="1428"/>
      <c r="BO52" s="1428"/>
      <c r="BP52" s="1428"/>
      <c r="BQ52" s="1428">
        <v>0</v>
      </c>
      <c r="BR52" s="1428"/>
      <c r="BS52" s="1428">
        <v>0</v>
      </c>
      <c r="BT52" s="1428"/>
      <c r="BU52" s="1428"/>
      <c r="BV52" s="1428"/>
      <c r="BW52" s="1428"/>
      <c r="BX52" s="1428">
        <v>0</v>
      </c>
      <c r="BY52" s="1428"/>
      <c r="BZ52" s="1428"/>
      <c r="CA52" s="1428"/>
      <c r="CB52" s="1428"/>
      <c r="CC52" s="1428"/>
      <c r="CD52" s="1428">
        <v>0</v>
      </c>
      <c r="CE52" s="1428">
        <v>0</v>
      </c>
      <c r="CF52" s="1428"/>
      <c r="CG52" s="1428"/>
      <c r="CH52" s="1428">
        <v>0</v>
      </c>
      <c r="CI52" s="1428"/>
      <c r="CJ52" s="1428"/>
      <c r="CK52" s="1428"/>
      <c r="CL52" s="1428">
        <v>0</v>
      </c>
      <c r="CM52" s="1428"/>
      <c r="CN52" s="1428"/>
      <c r="CO52" s="1428"/>
      <c r="CP52" s="1428"/>
      <c r="CQ52" s="1428">
        <v>0</v>
      </c>
      <c r="CR52" s="1428">
        <v>0</v>
      </c>
      <c r="CS52" s="1428"/>
      <c r="CT52" s="1428"/>
      <c r="CU52" s="1428">
        <v>0</v>
      </c>
      <c r="CV52" s="1428"/>
      <c r="CW52" s="1428"/>
      <c r="CX52" s="1428"/>
      <c r="CY52" s="1428">
        <v>0</v>
      </c>
      <c r="CZ52" s="1428"/>
      <c r="DA52" s="1428">
        <v>0</v>
      </c>
      <c r="DB52" s="1428">
        <v>0</v>
      </c>
      <c r="DC52" s="1428"/>
      <c r="DD52" s="1428"/>
      <c r="DE52" s="1428"/>
      <c r="DF52" s="1428"/>
      <c r="DG52" s="1428"/>
      <c r="DH52" s="1428">
        <v>54891366</v>
      </c>
      <c r="DI52" s="1428">
        <v>8009063</v>
      </c>
      <c r="DJ52" s="1428">
        <v>6273826</v>
      </c>
      <c r="DK52" s="1428">
        <v>4121652</v>
      </c>
      <c r="DL52" s="1428">
        <v>36486825</v>
      </c>
      <c r="DM52" s="1428"/>
      <c r="DN52" s="1428">
        <v>11843736</v>
      </c>
      <c r="DO52" s="1428"/>
      <c r="DP52" s="1428"/>
      <c r="DQ52" s="1428">
        <v>212815925</v>
      </c>
      <c r="DR52" s="1382"/>
      <c r="DS52" s="1382"/>
      <c r="DT52" s="1382"/>
    </row>
    <row r="53" spans="2:124" s="1383" customFormat="1">
      <c r="B53" s="1370">
        <v>43221</v>
      </c>
      <c r="C53" s="1420">
        <v>108252670</v>
      </c>
      <c r="D53" s="1420">
        <v>108252670</v>
      </c>
      <c r="E53" s="1420">
        <v>80086517</v>
      </c>
      <c r="F53" s="1420">
        <v>28166153</v>
      </c>
      <c r="G53" s="1420"/>
      <c r="H53" s="1420"/>
      <c r="I53" s="1420"/>
      <c r="J53" s="1420"/>
      <c r="K53" s="1420"/>
      <c r="L53" s="1420"/>
      <c r="M53" s="1420"/>
      <c r="N53" s="1420"/>
      <c r="O53" s="1420">
        <v>44576170</v>
      </c>
      <c r="P53" s="1420">
        <v>17472842</v>
      </c>
      <c r="Q53" s="1420">
        <v>1610292</v>
      </c>
      <c r="R53" s="1420">
        <v>1311812</v>
      </c>
      <c r="S53" s="1420">
        <v>298480</v>
      </c>
      <c r="T53" s="1420"/>
      <c r="U53" s="1420">
        <v>15862550</v>
      </c>
      <c r="V53" s="1420">
        <v>4104424</v>
      </c>
      <c r="W53" s="1420">
        <v>11758126</v>
      </c>
      <c r="X53" s="1420"/>
      <c r="Y53" s="1420">
        <v>0</v>
      </c>
      <c r="Z53" s="1420"/>
      <c r="AA53" s="1420"/>
      <c r="AB53" s="1420"/>
      <c r="AC53" s="1420">
        <v>0</v>
      </c>
      <c r="AD53" s="1420"/>
      <c r="AE53" s="1420">
        <v>0</v>
      </c>
      <c r="AF53" s="1420"/>
      <c r="AG53" s="1420">
        <v>13924346</v>
      </c>
      <c r="AH53" s="1420">
        <v>11158908</v>
      </c>
      <c r="AI53" s="1420">
        <v>2765438</v>
      </c>
      <c r="AJ53" s="1420"/>
      <c r="AK53" s="1420">
        <v>5778654</v>
      </c>
      <c r="AL53" s="1420">
        <v>5778654</v>
      </c>
      <c r="AM53" s="1420">
        <v>0</v>
      </c>
      <c r="AN53" s="1420"/>
      <c r="AO53" s="1420">
        <v>5850216</v>
      </c>
      <c r="AP53" s="1420">
        <v>5248349</v>
      </c>
      <c r="AQ53" s="1420">
        <v>601867</v>
      </c>
      <c r="AR53" s="1420"/>
      <c r="AS53" s="1420">
        <v>1550112</v>
      </c>
      <c r="AT53" s="1420">
        <v>1196381</v>
      </c>
      <c r="AU53" s="1420">
        <v>353731</v>
      </c>
      <c r="AV53" s="1420"/>
      <c r="AW53" s="1420">
        <v>0</v>
      </c>
      <c r="AX53" s="1420"/>
      <c r="AY53" s="1420"/>
      <c r="AZ53" s="1420"/>
      <c r="BA53" s="1420"/>
      <c r="BB53" s="1420">
        <v>0</v>
      </c>
      <c r="BC53" s="1420">
        <v>0</v>
      </c>
      <c r="BD53" s="1420"/>
      <c r="BE53" s="1420">
        <v>0</v>
      </c>
      <c r="BF53" s="1420"/>
      <c r="BG53" s="1420"/>
      <c r="BH53" s="1420"/>
      <c r="BI53" s="1420"/>
      <c r="BJ53" s="1420">
        <v>0</v>
      </c>
      <c r="BK53" s="1420"/>
      <c r="BL53" s="1420">
        <v>0</v>
      </c>
      <c r="BM53" s="1420"/>
      <c r="BN53" s="1420"/>
      <c r="BO53" s="1420"/>
      <c r="BP53" s="1420"/>
      <c r="BQ53" s="1420">
        <v>0</v>
      </c>
      <c r="BR53" s="1420"/>
      <c r="BS53" s="1420">
        <v>0</v>
      </c>
      <c r="BT53" s="1420"/>
      <c r="BU53" s="1420"/>
      <c r="BV53" s="1420"/>
      <c r="BW53" s="1420"/>
      <c r="BX53" s="1420">
        <v>0</v>
      </c>
      <c r="BY53" s="1420"/>
      <c r="BZ53" s="1420"/>
      <c r="CA53" s="1420"/>
      <c r="CB53" s="1420"/>
      <c r="CC53" s="1420"/>
      <c r="CD53" s="1420">
        <v>0</v>
      </c>
      <c r="CE53" s="1420">
        <v>0</v>
      </c>
      <c r="CF53" s="1420"/>
      <c r="CG53" s="1420"/>
      <c r="CH53" s="1420">
        <v>0</v>
      </c>
      <c r="CI53" s="1420"/>
      <c r="CJ53" s="1420"/>
      <c r="CK53" s="1420"/>
      <c r="CL53" s="1420">
        <v>0</v>
      </c>
      <c r="CM53" s="1420"/>
      <c r="CN53" s="1420"/>
      <c r="CO53" s="1420"/>
      <c r="CP53" s="1420"/>
      <c r="CQ53" s="1420">
        <v>0</v>
      </c>
      <c r="CR53" s="1420">
        <v>0</v>
      </c>
      <c r="CS53" s="1420"/>
      <c r="CT53" s="1420"/>
      <c r="CU53" s="1420">
        <v>0</v>
      </c>
      <c r="CV53" s="1420"/>
      <c r="CW53" s="1420"/>
      <c r="CX53" s="1420"/>
      <c r="CY53" s="1420">
        <v>0</v>
      </c>
      <c r="CZ53" s="1420"/>
      <c r="DA53" s="1420">
        <v>0</v>
      </c>
      <c r="DB53" s="1420">
        <v>0</v>
      </c>
      <c r="DC53" s="1420"/>
      <c r="DD53" s="1420"/>
      <c r="DE53" s="1420"/>
      <c r="DF53" s="1420"/>
      <c r="DG53" s="1420"/>
      <c r="DH53" s="1420">
        <v>56806550</v>
      </c>
      <c r="DI53" s="1420">
        <v>9828996</v>
      </c>
      <c r="DJ53" s="1420">
        <v>4305573</v>
      </c>
      <c r="DK53" s="1420">
        <v>7294547</v>
      </c>
      <c r="DL53" s="1420">
        <v>35377434</v>
      </c>
      <c r="DM53" s="1420"/>
      <c r="DN53" s="1420">
        <v>12538606.680000007</v>
      </c>
      <c r="DO53" s="1420"/>
      <c r="DP53" s="1420"/>
      <c r="DQ53" s="1420">
        <v>222173996.68000001</v>
      </c>
      <c r="DR53" s="1382"/>
      <c r="DS53" s="1382"/>
      <c r="DT53" s="1382"/>
    </row>
    <row r="54" spans="2:124" s="1377" customFormat="1">
      <c r="B54" s="1370">
        <v>43252</v>
      </c>
      <c r="C54" s="1428">
        <v>111841107</v>
      </c>
      <c r="D54" s="1428">
        <v>111841107</v>
      </c>
      <c r="E54" s="1428">
        <v>83615943</v>
      </c>
      <c r="F54" s="1428">
        <v>28225164</v>
      </c>
      <c r="G54" s="1428"/>
      <c r="H54" s="1428"/>
      <c r="I54" s="1428"/>
      <c r="J54" s="1428"/>
      <c r="K54" s="1428"/>
      <c r="L54" s="1428"/>
      <c r="M54" s="1428"/>
      <c r="N54" s="1428"/>
      <c r="O54" s="1428">
        <v>48532758</v>
      </c>
      <c r="P54" s="1428">
        <v>21060651</v>
      </c>
      <c r="Q54" s="1428">
        <v>1430073</v>
      </c>
      <c r="R54" s="1428">
        <v>1187737</v>
      </c>
      <c r="S54" s="1428">
        <v>242336</v>
      </c>
      <c r="T54" s="1428"/>
      <c r="U54" s="1428">
        <v>19630578</v>
      </c>
      <c r="V54" s="1428">
        <v>1504859</v>
      </c>
      <c r="W54" s="1428">
        <v>18125719</v>
      </c>
      <c r="X54" s="1428"/>
      <c r="Y54" s="1428">
        <v>0</v>
      </c>
      <c r="Z54" s="1428"/>
      <c r="AA54" s="1428"/>
      <c r="AB54" s="1428"/>
      <c r="AC54" s="1428">
        <v>0</v>
      </c>
      <c r="AD54" s="1428"/>
      <c r="AE54" s="1428">
        <v>0</v>
      </c>
      <c r="AF54" s="1428"/>
      <c r="AG54" s="1428">
        <v>14754274</v>
      </c>
      <c r="AH54" s="1428">
        <v>10574959</v>
      </c>
      <c r="AI54" s="1428">
        <v>4179315</v>
      </c>
      <c r="AJ54" s="1428"/>
      <c r="AK54" s="1428">
        <v>5956498</v>
      </c>
      <c r="AL54" s="1428">
        <v>5956498</v>
      </c>
      <c r="AM54" s="1428">
        <v>0</v>
      </c>
      <c r="AN54" s="1428"/>
      <c r="AO54" s="1428">
        <v>5429942</v>
      </c>
      <c r="AP54" s="1428">
        <v>5429942</v>
      </c>
      <c r="AQ54" s="1428">
        <v>0</v>
      </c>
      <c r="AR54" s="1428"/>
      <c r="AS54" s="1428">
        <v>1331393</v>
      </c>
      <c r="AT54" s="1428">
        <v>727776</v>
      </c>
      <c r="AU54" s="1428">
        <v>603617</v>
      </c>
      <c r="AV54" s="1428"/>
      <c r="AW54" s="1428">
        <v>0</v>
      </c>
      <c r="AX54" s="1428"/>
      <c r="AY54" s="1428"/>
      <c r="AZ54" s="1428"/>
      <c r="BA54" s="1428"/>
      <c r="BB54" s="1428">
        <v>0</v>
      </c>
      <c r="BC54" s="1428">
        <v>0</v>
      </c>
      <c r="BD54" s="1428"/>
      <c r="BE54" s="1428">
        <v>0</v>
      </c>
      <c r="BF54" s="1428"/>
      <c r="BG54" s="1428"/>
      <c r="BH54" s="1428"/>
      <c r="BI54" s="1428"/>
      <c r="BJ54" s="1428">
        <v>0</v>
      </c>
      <c r="BK54" s="1428"/>
      <c r="BL54" s="1428">
        <v>0</v>
      </c>
      <c r="BM54" s="1428"/>
      <c r="BN54" s="1428"/>
      <c r="BO54" s="1428"/>
      <c r="BP54" s="1428"/>
      <c r="BQ54" s="1428">
        <v>0</v>
      </c>
      <c r="BR54" s="1428"/>
      <c r="BS54" s="1428">
        <v>0</v>
      </c>
      <c r="BT54" s="1428"/>
      <c r="BU54" s="1428"/>
      <c r="BV54" s="1428"/>
      <c r="BW54" s="1428"/>
      <c r="BX54" s="1428">
        <v>0</v>
      </c>
      <c r="BY54" s="1428"/>
      <c r="BZ54" s="1428"/>
      <c r="CA54" s="1428"/>
      <c r="CB54" s="1428"/>
      <c r="CC54" s="1428"/>
      <c r="CD54" s="1428">
        <v>0</v>
      </c>
      <c r="CE54" s="1428">
        <v>0</v>
      </c>
      <c r="CF54" s="1428"/>
      <c r="CG54" s="1428"/>
      <c r="CH54" s="1428">
        <v>0</v>
      </c>
      <c r="CI54" s="1428"/>
      <c r="CJ54" s="1428"/>
      <c r="CK54" s="1428"/>
      <c r="CL54" s="1428">
        <v>0</v>
      </c>
      <c r="CM54" s="1428"/>
      <c r="CN54" s="1428"/>
      <c r="CO54" s="1428"/>
      <c r="CP54" s="1428"/>
      <c r="CQ54" s="1428">
        <v>0</v>
      </c>
      <c r="CR54" s="1428">
        <v>0</v>
      </c>
      <c r="CS54" s="1428"/>
      <c r="CT54" s="1428"/>
      <c r="CU54" s="1428">
        <v>0</v>
      </c>
      <c r="CV54" s="1428"/>
      <c r="CW54" s="1428"/>
      <c r="CX54" s="1428"/>
      <c r="CY54" s="1428">
        <v>0</v>
      </c>
      <c r="CZ54" s="1428"/>
      <c r="DA54" s="1428">
        <v>0</v>
      </c>
      <c r="DB54" s="1428">
        <v>0</v>
      </c>
      <c r="DC54" s="1428"/>
      <c r="DD54" s="1428"/>
      <c r="DE54" s="1428"/>
      <c r="DF54" s="1428"/>
      <c r="DG54" s="1428"/>
      <c r="DH54" s="1428">
        <v>57708404</v>
      </c>
      <c r="DI54" s="1428">
        <v>9934672</v>
      </c>
      <c r="DJ54" s="1428">
        <v>4309333</v>
      </c>
      <c r="DK54" s="1428">
        <v>8113696</v>
      </c>
      <c r="DL54" s="1428">
        <v>35350703</v>
      </c>
      <c r="DM54" s="1428"/>
      <c r="DN54" s="1428">
        <v>14509761</v>
      </c>
      <c r="DO54" s="1428"/>
      <c r="DP54" s="1428"/>
      <c r="DQ54" s="1428">
        <v>232592030</v>
      </c>
      <c r="DR54" s="1382"/>
      <c r="DS54" s="1382"/>
      <c r="DT54" s="1382">
        <v>0</v>
      </c>
    </row>
    <row r="55" spans="2:124">
      <c r="B55" s="1370">
        <v>43282</v>
      </c>
      <c r="C55" s="1220">
        <v>118145762</v>
      </c>
      <c r="D55" s="1220">
        <v>118145762</v>
      </c>
      <c r="E55" s="1220">
        <v>91481385</v>
      </c>
      <c r="F55" s="1220">
        <v>26664377</v>
      </c>
      <c r="G55" s="1220"/>
      <c r="H55" s="1220"/>
      <c r="I55" s="1220"/>
      <c r="J55" s="1220"/>
      <c r="K55" s="1220"/>
      <c r="L55" s="1220"/>
      <c r="M55" s="1220"/>
      <c r="N55" s="1220"/>
      <c r="O55" s="1220">
        <v>52241074</v>
      </c>
      <c r="P55" s="1220">
        <v>22529296</v>
      </c>
      <c r="Q55" s="1220">
        <v>1464314</v>
      </c>
      <c r="R55" s="1220">
        <v>1137078</v>
      </c>
      <c r="S55" s="1220">
        <v>327236</v>
      </c>
      <c r="T55" s="1220"/>
      <c r="U55" s="1220">
        <v>21064982</v>
      </c>
      <c r="V55" s="1220">
        <v>5532912</v>
      </c>
      <c r="W55" s="1220">
        <v>15532070</v>
      </c>
      <c r="X55" s="1220"/>
      <c r="Y55" s="1220">
        <v>0</v>
      </c>
      <c r="Z55" s="1220"/>
      <c r="AA55" s="1220"/>
      <c r="AB55" s="1220"/>
      <c r="AC55" s="1220">
        <v>0</v>
      </c>
      <c r="AD55" s="1220"/>
      <c r="AE55" s="1220">
        <v>0</v>
      </c>
      <c r="AF55" s="1220"/>
      <c r="AG55" s="1220">
        <v>13529069</v>
      </c>
      <c r="AH55" s="1220">
        <v>11440852</v>
      </c>
      <c r="AI55" s="1220">
        <v>2088217</v>
      </c>
      <c r="AJ55" s="1220"/>
      <c r="AK55" s="1220">
        <v>5933628</v>
      </c>
      <c r="AL55" s="1220">
        <v>5933628</v>
      </c>
      <c r="AM55" s="1220">
        <v>0</v>
      </c>
      <c r="AN55" s="1220"/>
      <c r="AO55" s="1220">
        <v>6740063</v>
      </c>
      <c r="AP55" s="1220">
        <v>6740063</v>
      </c>
      <c r="AQ55" s="1220">
        <v>0</v>
      </c>
      <c r="AR55" s="1220"/>
      <c r="AS55" s="1220">
        <v>3509018</v>
      </c>
      <c r="AT55" s="1220">
        <v>343228</v>
      </c>
      <c r="AU55" s="1220">
        <v>3165790</v>
      </c>
      <c r="AV55" s="1220"/>
      <c r="AW55" s="1220">
        <v>0</v>
      </c>
      <c r="AX55" s="1220"/>
      <c r="AY55" s="1220"/>
      <c r="AZ55" s="1220"/>
      <c r="BA55" s="1220"/>
      <c r="BB55" s="1220">
        <v>0</v>
      </c>
      <c r="BC55" s="1220">
        <v>0</v>
      </c>
      <c r="BD55" s="1220"/>
      <c r="BE55" s="1220">
        <v>0</v>
      </c>
      <c r="BF55" s="1220"/>
      <c r="BG55" s="1220"/>
      <c r="BH55" s="1220"/>
      <c r="BI55" s="1220"/>
      <c r="BJ55" s="1220">
        <v>0</v>
      </c>
      <c r="BK55" s="1220"/>
      <c r="BL55" s="1220">
        <v>0</v>
      </c>
      <c r="BM55" s="1220"/>
      <c r="BN55" s="1220"/>
      <c r="BO55" s="1220"/>
      <c r="BP55" s="1220"/>
      <c r="BQ55" s="1220">
        <v>0</v>
      </c>
      <c r="BR55" s="1220"/>
      <c r="BS55" s="1220">
        <v>0</v>
      </c>
      <c r="BT55" s="1220"/>
      <c r="BU55" s="1220"/>
      <c r="BV55" s="1220"/>
      <c r="BW55" s="1220"/>
      <c r="BX55" s="1220">
        <v>0</v>
      </c>
      <c r="BY55" s="1220"/>
      <c r="BZ55" s="1220"/>
      <c r="CA55" s="1220"/>
      <c r="CB55" s="1220"/>
      <c r="CC55" s="1220"/>
      <c r="CD55" s="1220">
        <v>0</v>
      </c>
      <c r="CE55" s="1220">
        <v>0</v>
      </c>
      <c r="CF55" s="1220"/>
      <c r="CG55" s="1220"/>
      <c r="CH55" s="1220">
        <v>0</v>
      </c>
      <c r="CI55" s="1220"/>
      <c r="CJ55" s="1220"/>
      <c r="CK55" s="1220"/>
      <c r="CL55" s="1220">
        <v>0</v>
      </c>
      <c r="CM55" s="1220"/>
      <c r="CN55" s="1220"/>
      <c r="CO55" s="1220"/>
      <c r="CP55" s="1220"/>
      <c r="CQ55" s="1220">
        <v>0</v>
      </c>
      <c r="CR55" s="1220">
        <v>0</v>
      </c>
      <c r="CS55" s="1220"/>
      <c r="CT55" s="1220"/>
      <c r="CU55" s="1220">
        <v>0</v>
      </c>
      <c r="CV55" s="1220"/>
      <c r="CW55" s="1220"/>
      <c r="CX55" s="1220"/>
      <c r="CY55" s="1220">
        <v>0</v>
      </c>
      <c r="CZ55" s="1220"/>
      <c r="DA55" s="1220">
        <v>0</v>
      </c>
      <c r="DB55" s="1220">
        <v>0</v>
      </c>
      <c r="DC55" s="1220"/>
      <c r="DD55" s="1220"/>
      <c r="DE55" s="1220"/>
      <c r="DF55" s="1220"/>
      <c r="DG55" s="1220"/>
      <c r="DH55" s="1220">
        <v>59534970</v>
      </c>
      <c r="DI55" s="1220">
        <v>10144069</v>
      </c>
      <c r="DJ55" s="1220">
        <v>4383042</v>
      </c>
      <c r="DK55" s="1220">
        <v>9425557</v>
      </c>
      <c r="DL55" s="1220">
        <v>35582302</v>
      </c>
      <c r="DM55" s="1220"/>
      <c r="DN55" s="1220">
        <v>13436790.110000014</v>
      </c>
      <c r="DO55" s="1220"/>
      <c r="DP55" s="1220"/>
      <c r="DQ55" s="1220">
        <v>243358596.11000001</v>
      </c>
      <c r="DT55" s="1026">
        <v>0</v>
      </c>
    </row>
    <row r="56" spans="2:124">
      <c r="B56" s="1370">
        <v>43313</v>
      </c>
      <c r="C56" s="1220">
        <v>118379958</v>
      </c>
      <c r="D56" s="1220">
        <v>118379958</v>
      </c>
      <c r="E56" s="1220">
        <v>90793066</v>
      </c>
      <c r="F56" s="1220">
        <v>27586892</v>
      </c>
      <c r="G56" s="1220"/>
      <c r="H56" s="1220"/>
      <c r="I56" s="1220"/>
      <c r="J56" s="1220"/>
      <c r="K56" s="1220"/>
      <c r="L56" s="1220"/>
      <c r="M56" s="1220"/>
      <c r="N56" s="1220"/>
      <c r="O56" s="1220">
        <v>53458162</v>
      </c>
      <c r="P56" s="1220">
        <v>21754881</v>
      </c>
      <c r="Q56" s="1220">
        <v>1461505</v>
      </c>
      <c r="R56" s="1220">
        <v>1201587</v>
      </c>
      <c r="S56" s="1220">
        <v>259918</v>
      </c>
      <c r="T56" s="1220"/>
      <c r="U56" s="1220">
        <v>20293376</v>
      </c>
      <c r="V56" s="1220">
        <v>5085780</v>
      </c>
      <c r="W56" s="1220">
        <v>15207596</v>
      </c>
      <c r="X56" s="1220"/>
      <c r="Y56" s="1220">
        <v>0</v>
      </c>
      <c r="Z56" s="1220"/>
      <c r="AA56" s="1220"/>
      <c r="AB56" s="1220"/>
      <c r="AC56" s="1220">
        <v>0</v>
      </c>
      <c r="AD56" s="1220"/>
      <c r="AE56" s="1220">
        <v>0</v>
      </c>
      <c r="AF56" s="1220"/>
      <c r="AG56" s="1220">
        <v>6682867</v>
      </c>
      <c r="AH56" s="1220">
        <v>5064739</v>
      </c>
      <c r="AI56" s="1220">
        <v>1618128</v>
      </c>
      <c r="AJ56" s="1220"/>
      <c r="AK56" s="1220">
        <v>5907436</v>
      </c>
      <c r="AL56" s="1220">
        <v>5907436</v>
      </c>
      <c r="AM56" s="1220">
        <v>0</v>
      </c>
      <c r="AN56" s="1220"/>
      <c r="AO56" s="1220">
        <v>6547910</v>
      </c>
      <c r="AP56" s="1220">
        <v>5815286</v>
      </c>
      <c r="AQ56" s="1220">
        <v>732624</v>
      </c>
      <c r="AR56" s="1220"/>
      <c r="AS56" s="1220">
        <v>12565068</v>
      </c>
      <c r="AT56" s="1220">
        <v>7437950</v>
      </c>
      <c r="AU56" s="1220">
        <v>5127118</v>
      </c>
      <c r="AV56" s="1220"/>
      <c r="AW56" s="1220">
        <v>0</v>
      </c>
      <c r="AX56" s="1220"/>
      <c r="AY56" s="1220"/>
      <c r="AZ56" s="1220"/>
      <c r="BA56" s="1220"/>
      <c r="BB56" s="1220">
        <v>0</v>
      </c>
      <c r="BC56" s="1220">
        <v>0</v>
      </c>
      <c r="BD56" s="1220"/>
      <c r="BE56" s="1220">
        <v>0</v>
      </c>
      <c r="BF56" s="1220"/>
      <c r="BG56" s="1220"/>
      <c r="BH56" s="1220"/>
      <c r="BI56" s="1220"/>
      <c r="BJ56" s="1220">
        <v>0</v>
      </c>
      <c r="BK56" s="1220"/>
      <c r="BL56" s="1220">
        <v>0</v>
      </c>
      <c r="BM56" s="1220"/>
      <c r="BN56" s="1220"/>
      <c r="BO56" s="1220"/>
      <c r="BP56" s="1220"/>
      <c r="BQ56" s="1220">
        <v>0</v>
      </c>
      <c r="BR56" s="1220"/>
      <c r="BS56" s="1220">
        <v>0</v>
      </c>
      <c r="BT56" s="1220"/>
      <c r="BU56" s="1220"/>
      <c r="BV56" s="1220"/>
      <c r="BW56" s="1220"/>
      <c r="BX56" s="1220">
        <v>0</v>
      </c>
      <c r="BY56" s="1220"/>
      <c r="BZ56" s="1220"/>
      <c r="CA56" s="1220"/>
      <c r="CB56" s="1220"/>
      <c r="CC56" s="1220"/>
      <c r="CD56" s="1220">
        <v>0</v>
      </c>
      <c r="CE56" s="1220">
        <v>0</v>
      </c>
      <c r="CF56" s="1220"/>
      <c r="CG56" s="1220"/>
      <c r="CH56" s="1220">
        <v>0</v>
      </c>
      <c r="CI56" s="1220"/>
      <c r="CJ56" s="1220"/>
      <c r="CK56" s="1220"/>
      <c r="CL56" s="1220">
        <v>0</v>
      </c>
      <c r="CM56" s="1220"/>
      <c r="CN56" s="1220"/>
      <c r="CO56" s="1220"/>
      <c r="CP56" s="1220"/>
      <c r="CQ56" s="1220">
        <v>0</v>
      </c>
      <c r="CR56" s="1220">
        <v>0</v>
      </c>
      <c r="CS56" s="1220"/>
      <c r="CT56" s="1220"/>
      <c r="CU56" s="1220">
        <v>0</v>
      </c>
      <c r="CV56" s="1220"/>
      <c r="CW56" s="1220"/>
      <c r="CX56" s="1220"/>
      <c r="CY56" s="1220">
        <v>0</v>
      </c>
      <c r="CZ56" s="1220"/>
      <c r="DA56" s="1220">
        <v>0</v>
      </c>
      <c r="DB56" s="1220">
        <v>0</v>
      </c>
      <c r="DC56" s="1220"/>
      <c r="DD56" s="1220"/>
      <c r="DE56" s="1220"/>
      <c r="DF56" s="1220"/>
      <c r="DG56" s="1220"/>
      <c r="DH56" s="1220">
        <v>60998072</v>
      </c>
      <c r="DI56" s="1220">
        <v>10482748</v>
      </c>
      <c r="DJ56" s="1220">
        <v>4412358</v>
      </c>
      <c r="DK56" s="1220">
        <v>10889456</v>
      </c>
      <c r="DL56" s="1220">
        <v>35213510</v>
      </c>
      <c r="DM56" s="1220"/>
      <c r="DN56" s="1220">
        <v>14489905.129999995</v>
      </c>
      <c r="DO56" s="1220"/>
      <c r="DP56" s="1220"/>
      <c r="DQ56" s="1220">
        <v>247326097.13</v>
      </c>
      <c r="DT56" s="1026">
        <v>0</v>
      </c>
    </row>
    <row r="57" spans="2:124">
      <c r="B57" s="1370">
        <v>43344</v>
      </c>
      <c r="C57" s="1220">
        <v>115473737</v>
      </c>
      <c r="D57" s="1220">
        <v>115473737</v>
      </c>
      <c r="E57" s="1220">
        <v>86737056</v>
      </c>
      <c r="F57" s="1220">
        <v>28736681</v>
      </c>
      <c r="G57" s="1220"/>
      <c r="H57" s="1220"/>
      <c r="I57" s="1220"/>
      <c r="J57" s="1220"/>
      <c r="K57" s="1220"/>
      <c r="L57" s="1220"/>
      <c r="M57" s="1220"/>
      <c r="N57" s="1220"/>
      <c r="O57" s="1220">
        <v>54289627</v>
      </c>
      <c r="P57" s="1220">
        <v>25518000</v>
      </c>
      <c r="Q57" s="1220">
        <v>1383288</v>
      </c>
      <c r="R57" s="1220">
        <v>1245533</v>
      </c>
      <c r="S57" s="1220">
        <v>137755</v>
      </c>
      <c r="T57" s="1220"/>
      <c r="U57" s="1220">
        <v>24134712</v>
      </c>
      <c r="V57" s="1220">
        <v>7577142</v>
      </c>
      <c r="W57" s="1220">
        <v>16557570</v>
      </c>
      <c r="X57" s="1220"/>
      <c r="Y57" s="1220">
        <v>0</v>
      </c>
      <c r="Z57" s="1220"/>
      <c r="AA57" s="1220"/>
      <c r="AB57" s="1220"/>
      <c r="AC57" s="1220">
        <v>0</v>
      </c>
      <c r="AD57" s="1220"/>
      <c r="AE57" s="1220">
        <v>0</v>
      </c>
      <c r="AF57" s="1220"/>
      <c r="AG57" s="1220">
        <v>4957980</v>
      </c>
      <c r="AH57" s="1220">
        <v>2912388</v>
      </c>
      <c r="AI57" s="1220">
        <v>2045592</v>
      </c>
      <c r="AJ57" s="1220"/>
      <c r="AK57" s="1220">
        <v>6058048</v>
      </c>
      <c r="AL57" s="1220">
        <v>2045548</v>
      </c>
      <c r="AM57" s="1220">
        <v>4012500</v>
      </c>
      <c r="AN57" s="1220"/>
      <c r="AO57" s="1220">
        <v>5892951</v>
      </c>
      <c r="AP57" s="1220">
        <v>5892951</v>
      </c>
      <c r="AQ57" s="1220">
        <v>0</v>
      </c>
      <c r="AR57" s="1220"/>
      <c r="AS57" s="1220">
        <v>11862648</v>
      </c>
      <c r="AT57" s="1220">
        <v>10077391</v>
      </c>
      <c r="AU57" s="1220">
        <v>1785257</v>
      </c>
      <c r="AV57" s="1220"/>
      <c r="AW57" s="1220">
        <v>0</v>
      </c>
      <c r="AX57" s="1220"/>
      <c r="AY57" s="1220"/>
      <c r="AZ57" s="1220"/>
      <c r="BA57" s="1220"/>
      <c r="BB57" s="1220">
        <v>0</v>
      </c>
      <c r="BC57" s="1220">
        <v>0</v>
      </c>
      <c r="BD57" s="1220"/>
      <c r="BE57" s="1220">
        <v>0</v>
      </c>
      <c r="BF57" s="1220"/>
      <c r="BG57" s="1220"/>
      <c r="BH57" s="1220"/>
      <c r="BI57" s="1220"/>
      <c r="BJ57" s="1220">
        <v>0</v>
      </c>
      <c r="BK57" s="1220"/>
      <c r="BL57" s="1220">
        <v>0</v>
      </c>
      <c r="BM57" s="1220"/>
      <c r="BN57" s="1220"/>
      <c r="BO57" s="1220"/>
      <c r="BP57" s="1220"/>
      <c r="BQ57" s="1220">
        <v>0</v>
      </c>
      <c r="BR57" s="1220"/>
      <c r="BS57" s="1220">
        <v>0</v>
      </c>
      <c r="BT57" s="1220"/>
      <c r="BU57" s="1220"/>
      <c r="BV57" s="1220"/>
      <c r="BW57" s="1220"/>
      <c r="BX57" s="1220">
        <v>0</v>
      </c>
      <c r="BY57" s="1220"/>
      <c r="BZ57" s="1220"/>
      <c r="CA57" s="1220"/>
      <c r="CB57" s="1220"/>
      <c r="CC57" s="1220"/>
      <c r="CD57" s="1220">
        <v>0</v>
      </c>
      <c r="CE57" s="1220">
        <v>0</v>
      </c>
      <c r="CF57" s="1220"/>
      <c r="CG57" s="1220"/>
      <c r="CH57" s="1220">
        <v>0</v>
      </c>
      <c r="CI57" s="1220"/>
      <c r="CJ57" s="1220"/>
      <c r="CK57" s="1220"/>
      <c r="CL57" s="1220">
        <v>0</v>
      </c>
      <c r="CM57" s="1220"/>
      <c r="CN57" s="1220"/>
      <c r="CO57" s="1220"/>
      <c r="CP57" s="1220"/>
      <c r="CQ57" s="1220">
        <v>0</v>
      </c>
      <c r="CR57" s="1220">
        <v>0</v>
      </c>
      <c r="CS57" s="1220"/>
      <c r="CT57" s="1220"/>
      <c r="CU57" s="1220">
        <v>0</v>
      </c>
      <c r="CV57" s="1220"/>
      <c r="CW57" s="1220"/>
      <c r="CX57" s="1220"/>
      <c r="CY57" s="1220">
        <v>0</v>
      </c>
      <c r="CZ57" s="1220"/>
      <c r="DA57" s="1220">
        <v>0</v>
      </c>
      <c r="DB57" s="1220">
        <v>0</v>
      </c>
      <c r="DC57" s="1220"/>
      <c r="DD57" s="1220"/>
      <c r="DE57" s="1220"/>
      <c r="DF57" s="1220"/>
      <c r="DG57" s="1220"/>
      <c r="DH57" s="1220">
        <v>62491622</v>
      </c>
      <c r="DI57" s="1220">
        <v>10516307</v>
      </c>
      <c r="DJ57" s="1220">
        <v>4317575</v>
      </c>
      <c r="DK57" s="1220">
        <v>12414829</v>
      </c>
      <c r="DL57" s="1220">
        <v>35242911</v>
      </c>
      <c r="DM57" s="1220"/>
      <c r="DN57" s="1220">
        <v>15996793.01</v>
      </c>
      <c r="DO57" s="1220"/>
      <c r="DP57" s="1220"/>
      <c r="DQ57" s="1220">
        <v>248251779.00999999</v>
      </c>
      <c r="DT57" s="1026">
        <v>0</v>
      </c>
    </row>
    <row r="58" spans="2:124" s="1" customFormat="1">
      <c r="B58" s="1419">
        <v>43374</v>
      </c>
      <c r="C58" s="947">
        <v>113386822</v>
      </c>
      <c r="D58" s="947">
        <v>113386822</v>
      </c>
      <c r="E58" s="947">
        <v>86221912</v>
      </c>
      <c r="F58" s="947">
        <v>27164910</v>
      </c>
      <c r="G58" s="947"/>
      <c r="H58" s="947"/>
      <c r="I58" s="947"/>
      <c r="J58" s="947"/>
      <c r="K58" s="947"/>
      <c r="L58" s="947"/>
      <c r="M58" s="947"/>
      <c r="N58" s="947"/>
      <c r="O58" s="947">
        <v>52541775</v>
      </c>
      <c r="P58" s="947">
        <v>25469119</v>
      </c>
      <c r="Q58" s="947">
        <v>2516736</v>
      </c>
      <c r="R58" s="947">
        <v>2252917</v>
      </c>
      <c r="S58" s="947">
        <v>263819</v>
      </c>
      <c r="T58" s="947"/>
      <c r="U58" s="947">
        <v>22952383</v>
      </c>
      <c r="V58" s="947">
        <v>8092283</v>
      </c>
      <c r="W58" s="947">
        <v>14860100</v>
      </c>
      <c r="X58" s="947"/>
      <c r="Y58" s="947">
        <v>0</v>
      </c>
      <c r="Z58" s="947"/>
      <c r="AA58" s="947"/>
      <c r="AB58" s="947"/>
      <c r="AC58" s="947">
        <v>0</v>
      </c>
      <c r="AD58" s="947"/>
      <c r="AE58" s="947">
        <v>0</v>
      </c>
      <c r="AF58" s="947"/>
      <c r="AG58" s="947">
        <v>3741561</v>
      </c>
      <c r="AH58" s="947">
        <v>2870796</v>
      </c>
      <c r="AI58" s="947">
        <v>870765</v>
      </c>
      <c r="AJ58" s="947"/>
      <c r="AK58" s="947">
        <v>5997491</v>
      </c>
      <c r="AL58" s="947">
        <v>1969491</v>
      </c>
      <c r="AM58" s="947">
        <v>4028000</v>
      </c>
      <c r="AN58" s="947"/>
      <c r="AO58" s="947">
        <v>2477800</v>
      </c>
      <c r="AP58" s="947">
        <v>2477800</v>
      </c>
      <c r="AQ58" s="947">
        <v>0</v>
      </c>
      <c r="AR58" s="947"/>
      <c r="AS58" s="947">
        <v>14855804</v>
      </c>
      <c r="AT58" s="947">
        <v>9347793</v>
      </c>
      <c r="AU58" s="947">
        <v>5508011</v>
      </c>
      <c r="AV58" s="947"/>
      <c r="AW58" s="947">
        <v>0</v>
      </c>
      <c r="AX58" s="947"/>
      <c r="AY58" s="947"/>
      <c r="AZ58" s="947"/>
      <c r="BA58" s="947"/>
      <c r="BB58" s="947">
        <v>0</v>
      </c>
      <c r="BC58" s="947">
        <v>0</v>
      </c>
      <c r="BD58" s="947"/>
      <c r="BE58" s="947">
        <v>0</v>
      </c>
      <c r="BF58" s="947"/>
      <c r="BG58" s="947"/>
      <c r="BH58" s="947"/>
      <c r="BI58" s="947"/>
      <c r="BJ58" s="947">
        <v>0</v>
      </c>
      <c r="BK58" s="947"/>
      <c r="BL58" s="947">
        <v>0</v>
      </c>
      <c r="BM58" s="947"/>
      <c r="BN58" s="947"/>
      <c r="BO58" s="947"/>
      <c r="BP58" s="947"/>
      <c r="BQ58" s="947">
        <v>0</v>
      </c>
      <c r="BR58" s="947"/>
      <c r="BS58" s="947">
        <v>0</v>
      </c>
      <c r="BT58" s="947"/>
      <c r="BU58" s="947"/>
      <c r="BV58" s="947"/>
      <c r="BW58" s="947"/>
      <c r="BX58" s="947">
        <v>0</v>
      </c>
      <c r="BY58" s="947"/>
      <c r="BZ58" s="947"/>
      <c r="CA58" s="947"/>
      <c r="CB58" s="947"/>
      <c r="CC58" s="947"/>
      <c r="CD58" s="947">
        <v>0</v>
      </c>
      <c r="CE58" s="947">
        <v>0</v>
      </c>
      <c r="CF58" s="947"/>
      <c r="CG58" s="947"/>
      <c r="CH58" s="947">
        <v>0</v>
      </c>
      <c r="CI58" s="947"/>
      <c r="CJ58" s="947"/>
      <c r="CK58" s="947"/>
      <c r="CL58" s="947">
        <v>0</v>
      </c>
      <c r="CM58" s="947"/>
      <c r="CN58" s="947"/>
      <c r="CO58" s="947"/>
      <c r="CP58" s="947"/>
      <c r="CQ58" s="947">
        <v>0</v>
      </c>
      <c r="CR58" s="947">
        <v>0</v>
      </c>
      <c r="CS58" s="947"/>
      <c r="CT58" s="947"/>
      <c r="CU58" s="947">
        <v>0</v>
      </c>
      <c r="CV58" s="947"/>
      <c r="CW58" s="947"/>
      <c r="CX58" s="947"/>
      <c r="CY58" s="947">
        <v>0</v>
      </c>
      <c r="CZ58" s="947"/>
      <c r="DA58" s="947">
        <v>0</v>
      </c>
      <c r="DB58" s="947">
        <v>0</v>
      </c>
      <c r="DC58" s="947"/>
      <c r="DD58" s="947"/>
      <c r="DE58" s="947"/>
      <c r="DF58" s="947"/>
      <c r="DG58" s="947"/>
      <c r="DH58" s="947">
        <v>65595067</v>
      </c>
      <c r="DI58" s="947">
        <v>10676726</v>
      </c>
      <c r="DJ58" s="947">
        <v>4210689</v>
      </c>
      <c r="DK58" s="947">
        <v>13492808</v>
      </c>
      <c r="DL58" s="947">
        <v>37214844</v>
      </c>
      <c r="DM58" s="947"/>
      <c r="DN58" s="947">
        <v>13367682</v>
      </c>
      <c r="DO58" s="947"/>
      <c r="DP58" s="947"/>
      <c r="DQ58" s="947">
        <v>244891346</v>
      </c>
      <c r="DT58" s="1">
        <v>0</v>
      </c>
    </row>
    <row r="59" spans="2:124" s="1" customFormat="1">
      <c r="B59" s="1419">
        <v>43405</v>
      </c>
      <c r="C59" s="1">
        <v>134248102</v>
      </c>
      <c r="D59" s="1">
        <v>134248102</v>
      </c>
      <c r="E59" s="1">
        <v>95965255</v>
      </c>
      <c r="F59" s="1">
        <v>38282847</v>
      </c>
      <c r="O59" s="1">
        <v>52328379</v>
      </c>
      <c r="P59" s="1">
        <v>20615123</v>
      </c>
      <c r="Q59" s="1">
        <v>1669976</v>
      </c>
      <c r="R59" s="1">
        <v>1368683</v>
      </c>
      <c r="S59" s="1">
        <v>301293</v>
      </c>
      <c r="U59" s="1">
        <v>18945147</v>
      </c>
      <c r="V59" s="1">
        <v>7026820</v>
      </c>
      <c r="W59" s="1">
        <v>11918327</v>
      </c>
      <c r="Y59" s="1">
        <v>0</v>
      </c>
      <c r="AC59" s="1">
        <v>0</v>
      </c>
      <c r="AE59" s="1">
        <v>0</v>
      </c>
      <c r="AG59" s="1">
        <v>3249105</v>
      </c>
      <c r="AH59" s="1">
        <v>1885075</v>
      </c>
      <c r="AI59" s="1">
        <v>1364030</v>
      </c>
      <c r="AK59" s="1">
        <v>6043463</v>
      </c>
      <c r="AL59" s="1">
        <v>2003963</v>
      </c>
      <c r="AM59" s="1">
        <v>4039500</v>
      </c>
      <c r="AO59" s="1">
        <v>6546614</v>
      </c>
      <c r="AP59" s="1">
        <v>6546614</v>
      </c>
      <c r="AQ59" s="1">
        <v>0</v>
      </c>
      <c r="AS59" s="1">
        <v>15874074</v>
      </c>
      <c r="AT59" s="1">
        <v>9065014</v>
      </c>
      <c r="AU59" s="1">
        <v>6809060</v>
      </c>
      <c r="AW59" s="1">
        <v>0</v>
      </c>
      <c r="BB59" s="1">
        <v>0</v>
      </c>
      <c r="BC59" s="1">
        <v>0</v>
      </c>
      <c r="BE59" s="1">
        <v>0</v>
      </c>
      <c r="BJ59" s="1">
        <v>0</v>
      </c>
      <c r="BL59" s="1">
        <v>0</v>
      </c>
      <c r="BQ59" s="1">
        <v>0</v>
      </c>
      <c r="BS59" s="1">
        <v>0</v>
      </c>
      <c r="BX59" s="1">
        <v>0</v>
      </c>
      <c r="CD59" s="1">
        <v>0</v>
      </c>
      <c r="CE59" s="1">
        <v>0</v>
      </c>
      <c r="CH59" s="1">
        <v>0</v>
      </c>
      <c r="CL59" s="1">
        <v>0</v>
      </c>
      <c r="CQ59" s="1">
        <v>0</v>
      </c>
      <c r="CR59" s="1">
        <v>0</v>
      </c>
      <c r="CU59" s="1">
        <v>0</v>
      </c>
      <c r="CY59" s="1">
        <v>0</v>
      </c>
      <c r="DA59" s="1">
        <v>0</v>
      </c>
      <c r="DB59" s="1">
        <v>0</v>
      </c>
      <c r="DH59" s="1">
        <v>66569485</v>
      </c>
      <c r="DI59" s="1">
        <v>10579253</v>
      </c>
      <c r="DJ59" s="1">
        <v>4207148</v>
      </c>
      <c r="DK59" s="1">
        <v>13492808</v>
      </c>
      <c r="DL59" s="1">
        <v>38290276</v>
      </c>
      <c r="DN59" s="1">
        <v>14854688</v>
      </c>
      <c r="DQ59" s="1">
        <v>268000654</v>
      </c>
      <c r="DT59" s="1">
        <v>0</v>
      </c>
    </row>
    <row r="60" spans="2:124" s="1" customFormat="1">
      <c r="B60" s="1419">
        <v>43435</v>
      </c>
      <c r="C60" s="1">
        <v>132836823.97</v>
      </c>
      <c r="D60" s="1">
        <v>132836823.97</v>
      </c>
      <c r="E60" s="1">
        <v>87026137</v>
      </c>
      <c r="F60" s="1">
        <v>45810686.969999999</v>
      </c>
      <c r="O60" s="1">
        <v>53216809</v>
      </c>
      <c r="P60" s="1">
        <v>21484276</v>
      </c>
      <c r="Q60" s="1">
        <v>1651817</v>
      </c>
      <c r="R60" s="1">
        <v>1532775</v>
      </c>
      <c r="S60" s="1">
        <v>119042</v>
      </c>
      <c r="U60" s="1">
        <v>19832459</v>
      </c>
      <c r="V60" s="1">
        <v>6455338</v>
      </c>
      <c r="W60" s="1">
        <v>13377121</v>
      </c>
      <c r="Y60" s="1">
        <v>0</v>
      </c>
      <c r="AC60" s="1">
        <v>0</v>
      </c>
      <c r="AE60" s="1">
        <v>0</v>
      </c>
      <c r="AG60" s="1">
        <v>3738854</v>
      </c>
      <c r="AH60" s="1">
        <v>2401223</v>
      </c>
      <c r="AI60" s="1">
        <v>1337631</v>
      </c>
      <c r="AK60" s="1">
        <v>6475336</v>
      </c>
      <c r="AL60" s="1">
        <v>2416836</v>
      </c>
      <c r="AM60" s="1">
        <v>4058500</v>
      </c>
      <c r="AO60" s="1">
        <v>8683472</v>
      </c>
      <c r="AP60" s="1">
        <v>6720436</v>
      </c>
      <c r="AQ60" s="1">
        <v>1963036</v>
      </c>
      <c r="AS60" s="1">
        <v>12834871</v>
      </c>
      <c r="AT60" s="1">
        <v>10127630</v>
      </c>
      <c r="AU60" s="1">
        <v>2707241</v>
      </c>
      <c r="AW60" s="1">
        <v>0</v>
      </c>
      <c r="BB60" s="1">
        <v>15364.029999999999</v>
      </c>
      <c r="BC60" s="1">
        <v>15364.029999999999</v>
      </c>
      <c r="BD60" s="1">
        <v>15364.029999999999</v>
      </c>
      <c r="BE60" s="1">
        <v>0</v>
      </c>
      <c r="BJ60" s="1">
        <v>0</v>
      </c>
      <c r="BL60" s="1">
        <v>0</v>
      </c>
      <c r="BQ60" s="1">
        <v>0</v>
      </c>
      <c r="BS60" s="1">
        <v>0</v>
      </c>
      <c r="BX60" s="1">
        <v>0</v>
      </c>
      <c r="CD60" s="1">
        <v>0</v>
      </c>
      <c r="CE60" s="1">
        <v>0</v>
      </c>
      <c r="CH60" s="1">
        <v>0</v>
      </c>
      <c r="CL60" s="1">
        <v>0</v>
      </c>
      <c r="CQ60" s="1">
        <v>0</v>
      </c>
      <c r="CR60" s="1">
        <v>0</v>
      </c>
      <c r="CU60" s="1">
        <v>0</v>
      </c>
      <c r="CY60" s="1">
        <v>0</v>
      </c>
      <c r="DA60" s="1">
        <v>0</v>
      </c>
      <c r="DB60" s="1">
        <v>0</v>
      </c>
      <c r="DH60" s="1">
        <v>69741335</v>
      </c>
      <c r="DI60" s="1">
        <v>10855357</v>
      </c>
      <c r="DJ60" s="1">
        <v>4747823</v>
      </c>
      <c r="DK60" s="1">
        <v>16854813</v>
      </c>
      <c r="DL60" s="1">
        <v>37283342</v>
      </c>
      <c r="DN60" s="1">
        <v>13452779</v>
      </c>
      <c r="DQ60" s="1">
        <v>269263111</v>
      </c>
    </row>
    <row r="63" spans="2:124" s="1375" customFormat="1" ht="15.75">
      <c r="B63" s="1419">
        <v>43466</v>
      </c>
      <c r="C63" s="1375">
        <v>104266912</v>
      </c>
      <c r="D63" s="1375">
        <v>104266912</v>
      </c>
      <c r="E63" s="1375">
        <v>78882696</v>
      </c>
      <c r="F63" s="1375">
        <v>25384216</v>
      </c>
      <c r="O63" s="1375">
        <v>52414491</v>
      </c>
      <c r="P63" s="1375">
        <v>20760375</v>
      </c>
      <c r="Q63" s="1375">
        <v>2012902</v>
      </c>
      <c r="R63" s="1375">
        <v>1738512</v>
      </c>
      <c r="S63" s="1375">
        <v>274390</v>
      </c>
      <c r="U63" s="1375">
        <v>18747473</v>
      </c>
      <c r="V63" s="1375">
        <v>6525267</v>
      </c>
      <c r="W63" s="1375">
        <v>12222206</v>
      </c>
      <c r="Y63" s="1375">
        <v>0</v>
      </c>
      <c r="AC63" s="1375">
        <v>0</v>
      </c>
      <c r="AE63" s="1375">
        <v>0</v>
      </c>
      <c r="AG63" s="1375">
        <v>4518770</v>
      </c>
      <c r="AH63" s="1375">
        <v>3497784</v>
      </c>
      <c r="AI63" s="1375">
        <v>1020986</v>
      </c>
      <c r="AK63" s="1375">
        <v>6637900</v>
      </c>
      <c r="AL63" s="1375">
        <v>2563900</v>
      </c>
      <c r="AM63" s="1375">
        <v>4074000</v>
      </c>
      <c r="AO63" s="1375">
        <v>8102982</v>
      </c>
      <c r="AP63" s="1375">
        <v>8102982</v>
      </c>
      <c r="AQ63" s="1375">
        <v>0</v>
      </c>
      <c r="AS63" s="1375">
        <v>12394464</v>
      </c>
      <c r="AT63" s="1375">
        <v>11788747</v>
      </c>
      <c r="AU63" s="1375">
        <v>605717</v>
      </c>
      <c r="AW63" s="1375">
        <v>0</v>
      </c>
      <c r="BB63" s="1375">
        <v>25987</v>
      </c>
      <c r="BC63" s="1375">
        <v>25987</v>
      </c>
      <c r="BD63" s="1375">
        <v>25987</v>
      </c>
      <c r="BE63" s="1375">
        <v>0</v>
      </c>
      <c r="BJ63" s="1375">
        <v>0</v>
      </c>
      <c r="BL63" s="1375">
        <v>0</v>
      </c>
      <c r="BQ63" s="1375">
        <v>0</v>
      </c>
      <c r="BS63" s="1375">
        <v>0</v>
      </c>
      <c r="BX63" s="1375">
        <v>0</v>
      </c>
      <c r="CD63" s="1375">
        <v>0</v>
      </c>
      <c r="CE63" s="1375">
        <v>0</v>
      </c>
      <c r="CH63" s="1375">
        <v>0</v>
      </c>
      <c r="CL63" s="1375">
        <v>0</v>
      </c>
      <c r="CQ63" s="1375">
        <v>0</v>
      </c>
      <c r="CR63" s="1375">
        <v>0</v>
      </c>
      <c r="CU63" s="1375">
        <v>0</v>
      </c>
      <c r="CY63" s="1375">
        <v>0</v>
      </c>
      <c r="DA63" s="1375">
        <v>0</v>
      </c>
      <c r="DB63" s="1375">
        <v>0</v>
      </c>
      <c r="DH63" s="1375">
        <v>71524223</v>
      </c>
      <c r="DI63" s="1375">
        <v>11215050</v>
      </c>
      <c r="DJ63" s="1375">
        <v>4385850</v>
      </c>
      <c r="DK63" s="1375">
        <v>1413399</v>
      </c>
      <c r="DL63" s="1375">
        <v>54509924</v>
      </c>
      <c r="DN63" s="1375">
        <v>13066400</v>
      </c>
      <c r="DQ63" s="1375">
        <v>241298013</v>
      </c>
    </row>
    <row r="64" spans="2:124" ht="15.75">
      <c r="B64" s="1419">
        <v>43497</v>
      </c>
      <c r="C64" s="1026">
        <v>106681997</v>
      </c>
      <c r="D64" s="1026">
        <v>106681997</v>
      </c>
      <c r="E64" s="1026">
        <v>81395240</v>
      </c>
      <c r="F64" s="1026">
        <v>25286757</v>
      </c>
      <c r="O64" s="1026">
        <v>52490012</v>
      </c>
      <c r="P64" s="1026">
        <v>22969800</v>
      </c>
      <c r="Q64" s="1026">
        <v>1628671</v>
      </c>
      <c r="R64" s="1026">
        <v>1358882</v>
      </c>
      <c r="S64" s="1026">
        <v>269789</v>
      </c>
      <c r="U64" s="1026">
        <v>21341129</v>
      </c>
      <c r="V64" s="1026">
        <v>5913059</v>
      </c>
      <c r="W64" s="1026">
        <v>15428070</v>
      </c>
      <c r="Y64" s="1026">
        <v>0</v>
      </c>
      <c r="AC64" s="1026">
        <v>0</v>
      </c>
      <c r="AE64" s="1026">
        <v>0</v>
      </c>
      <c r="AG64" s="1026">
        <v>3496641</v>
      </c>
      <c r="AH64" s="1026">
        <v>2173185</v>
      </c>
      <c r="AI64" s="1026">
        <v>1323456</v>
      </c>
      <c r="AK64" s="1026">
        <v>6648234</v>
      </c>
      <c r="AL64" s="1026">
        <v>2560234</v>
      </c>
      <c r="AM64" s="1026">
        <v>4088000</v>
      </c>
      <c r="AO64" s="1026">
        <v>8230151</v>
      </c>
      <c r="AP64" s="1026">
        <v>8127801</v>
      </c>
      <c r="AQ64" s="1026">
        <v>102350</v>
      </c>
      <c r="AS64" s="1026">
        <v>11145186</v>
      </c>
      <c r="AT64" s="1026">
        <v>8577567</v>
      </c>
      <c r="AU64" s="1026">
        <v>2567619</v>
      </c>
      <c r="AW64" s="1026">
        <v>0</v>
      </c>
      <c r="BB64" s="1026">
        <v>102109</v>
      </c>
      <c r="BC64" s="1026">
        <v>102109</v>
      </c>
      <c r="BD64" s="1026">
        <v>102109</v>
      </c>
      <c r="BE64" s="1026">
        <v>0</v>
      </c>
      <c r="BJ64" s="1026">
        <v>0</v>
      </c>
      <c r="BL64" s="1026">
        <v>0</v>
      </c>
      <c r="BQ64" s="1026">
        <v>0</v>
      </c>
      <c r="BS64" s="1026">
        <v>0</v>
      </c>
      <c r="BX64" s="1026">
        <v>0</v>
      </c>
      <c r="CD64" s="1026">
        <v>0</v>
      </c>
      <c r="CE64" s="1026">
        <v>0</v>
      </c>
      <c r="CH64" s="1026">
        <v>0</v>
      </c>
      <c r="CL64" s="1026">
        <v>0</v>
      </c>
      <c r="CQ64" s="1026">
        <v>0</v>
      </c>
      <c r="CR64" s="1026">
        <v>0</v>
      </c>
      <c r="CU64" s="1026">
        <v>0</v>
      </c>
      <c r="CY64" s="1026">
        <v>0</v>
      </c>
      <c r="DA64" s="1026">
        <v>0</v>
      </c>
      <c r="DB64" s="1026">
        <v>0</v>
      </c>
      <c r="DH64" s="1026">
        <v>72354427</v>
      </c>
      <c r="DI64" s="1026">
        <v>10953359</v>
      </c>
      <c r="DJ64" s="1026">
        <v>4355703</v>
      </c>
      <c r="DK64" s="1026">
        <v>2591707</v>
      </c>
      <c r="DL64" s="1026">
        <v>54453658</v>
      </c>
      <c r="DN64" s="1026">
        <v>11669575</v>
      </c>
      <c r="DQ64" s="1026">
        <v>243298120</v>
      </c>
      <c r="DT64" s="1026">
        <v>0</v>
      </c>
    </row>
    <row r="65" spans="2:168" ht="15.75">
      <c r="B65" s="1419">
        <v>43525</v>
      </c>
      <c r="C65" s="1026">
        <v>104110286</v>
      </c>
      <c r="D65" s="1026">
        <v>104110286</v>
      </c>
      <c r="E65" s="1026">
        <v>77299331</v>
      </c>
      <c r="F65" s="1026">
        <v>26810955</v>
      </c>
      <c r="O65" s="1026">
        <v>43407626</v>
      </c>
      <c r="P65" s="1026">
        <v>15621302</v>
      </c>
      <c r="Q65" s="1026">
        <v>1609772</v>
      </c>
      <c r="R65" s="1026">
        <v>1369991</v>
      </c>
      <c r="S65" s="1026">
        <v>239781</v>
      </c>
      <c r="U65" s="1026">
        <v>14011530</v>
      </c>
      <c r="V65" s="1026">
        <v>4542048</v>
      </c>
      <c r="W65" s="1026">
        <v>9469482</v>
      </c>
      <c r="Y65" s="1026">
        <v>0</v>
      </c>
      <c r="AC65" s="1026">
        <v>0</v>
      </c>
      <c r="AE65" s="1026">
        <v>0</v>
      </c>
      <c r="AG65" s="1026">
        <v>1319729</v>
      </c>
      <c r="AH65" s="1026">
        <v>1284686</v>
      </c>
      <c r="AI65" s="1026">
        <v>35043</v>
      </c>
      <c r="AK65" s="1026">
        <v>6543698</v>
      </c>
      <c r="AL65" s="1026">
        <v>2531198</v>
      </c>
      <c r="AM65" s="1026">
        <v>4012500</v>
      </c>
      <c r="AO65" s="1026">
        <v>8184902</v>
      </c>
      <c r="AP65" s="1026">
        <v>8184902</v>
      </c>
      <c r="AQ65" s="1026">
        <v>0</v>
      </c>
      <c r="AS65" s="1026">
        <v>11737995</v>
      </c>
      <c r="AT65" s="1026">
        <v>9251979</v>
      </c>
      <c r="AU65" s="1026">
        <v>2486016</v>
      </c>
      <c r="AW65" s="1026">
        <v>0</v>
      </c>
      <c r="BB65" s="1026">
        <v>583307</v>
      </c>
      <c r="BC65" s="1026">
        <v>583307</v>
      </c>
      <c r="BD65" s="1026">
        <v>583307</v>
      </c>
      <c r="BE65" s="1026">
        <v>0</v>
      </c>
      <c r="BJ65" s="1026">
        <v>0</v>
      </c>
      <c r="BL65" s="1026">
        <v>0</v>
      </c>
      <c r="BQ65" s="1026">
        <v>0</v>
      </c>
      <c r="BS65" s="1026">
        <v>0</v>
      </c>
      <c r="BX65" s="1026">
        <v>0</v>
      </c>
      <c r="CD65" s="1026">
        <v>0</v>
      </c>
      <c r="CE65" s="1026">
        <v>0</v>
      </c>
      <c r="CH65" s="1026">
        <v>0</v>
      </c>
      <c r="CL65" s="1026">
        <v>0</v>
      </c>
      <c r="CQ65" s="1026">
        <v>0</v>
      </c>
      <c r="CR65" s="1026">
        <v>0</v>
      </c>
      <c r="CU65" s="1026">
        <v>0</v>
      </c>
      <c r="CY65" s="1026">
        <v>0</v>
      </c>
      <c r="DA65" s="1026">
        <v>0</v>
      </c>
      <c r="DB65" s="1026">
        <v>0</v>
      </c>
      <c r="DH65" s="1026">
        <v>73660624</v>
      </c>
      <c r="DI65" s="1026">
        <v>10941238</v>
      </c>
      <c r="DJ65" s="1026">
        <v>4396374</v>
      </c>
      <c r="DK65" s="1026">
        <v>5249257</v>
      </c>
      <c r="DL65" s="1026">
        <v>53073755</v>
      </c>
      <c r="DN65" s="1026">
        <v>13381963</v>
      </c>
      <c r="DQ65" s="1026">
        <v>235143806</v>
      </c>
      <c r="DT65" s="1026">
        <v>0</v>
      </c>
    </row>
    <row r="66" spans="2:168" ht="15.75">
      <c r="B66" s="1419">
        <v>43556</v>
      </c>
      <c r="C66" s="1026">
        <v>119006963</v>
      </c>
      <c r="D66" s="1026">
        <v>119006963</v>
      </c>
      <c r="E66" s="1026">
        <v>79590282</v>
      </c>
      <c r="F66" s="1026">
        <v>39416681</v>
      </c>
      <c r="O66" s="1026">
        <v>50542996</v>
      </c>
      <c r="P66" s="1026">
        <v>9544295</v>
      </c>
      <c r="Q66" s="1026">
        <v>2975120</v>
      </c>
      <c r="R66" s="1026">
        <v>2607591</v>
      </c>
      <c r="S66" s="1026">
        <v>367529</v>
      </c>
      <c r="U66" s="1026">
        <v>6569175</v>
      </c>
      <c r="V66" s="1026">
        <v>2664818</v>
      </c>
      <c r="W66" s="1026">
        <v>3904357</v>
      </c>
      <c r="Y66" s="1026">
        <v>0</v>
      </c>
      <c r="AC66" s="1026">
        <v>0</v>
      </c>
      <c r="AE66" s="1026">
        <v>0</v>
      </c>
      <c r="AG66" s="1026">
        <v>776491</v>
      </c>
      <c r="AH66" s="1026">
        <v>291600</v>
      </c>
      <c r="AI66" s="1026">
        <v>484891</v>
      </c>
      <c r="AK66" s="1026">
        <v>6550237</v>
      </c>
      <c r="AL66" s="1026">
        <v>2523253</v>
      </c>
      <c r="AM66" s="1026">
        <v>4026984</v>
      </c>
      <c r="AO66" s="1026">
        <v>9573655</v>
      </c>
      <c r="AP66" s="1026">
        <v>9573655</v>
      </c>
      <c r="AQ66" s="1026">
        <v>0</v>
      </c>
      <c r="AS66" s="1026">
        <v>24098318</v>
      </c>
      <c r="AT66" s="1026">
        <v>12604730</v>
      </c>
      <c r="AU66" s="1026">
        <v>11493588</v>
      </c>
      <c r="AW66" s="1026">
        <v>0</v>
      </c>
      <c r="BB66" s="1026">
        <v>1223422</v>
      </c>
      <c r="BC66" s="1026">
        <v>1223422</v>
      </c>
      <c r="BD66" s="1026">
        <v>1223422</v>
      </c>
      <c r="BE66" s="1026">
        <v>0</v>
      </c>
      <c r="BJ66" s="1026">
        <v>0</v>
      </c>
      <c r="BL66" s="1026">
        <v>0</v>
      </c>
      <c r="BQ66" s="1026">
        <v>0</v>
      </c>
      <c r="BS66" s="1026">
        <v>0</v>
      </c>
      <c r="BX66" s="1026">
        <v>0</v>
      </c>
      <c r="CD66" s="1026">
        <v>0</v>
      </c>
      <c r="CE66" s="1026">
        <v>0</v>
      </c>
      <c r="CH66" s="1026">
        <v>0</v>
      </c>
      <c r="CL66" s="1026">
        <v>0</v>
      </c>
      <c r="CQ66" s="1026">
        <v>0</v>
      </c>
      <c r="CR66" s="1026">
        <v>0</v>
      </c>
      <c r="CU66" s="1026">
        <v>0</v>
      </c>
      <c r="CY66" s="1026">
        <v>0</v>
      </c>
      <c r="DA66" s="1026">
        <v>0</v>
      </c>
      <c r="DB66" s="1026">
        <v>0</v>
      </c>
      <c r="DH66" s="1026">
        <v>77696852</v>
      </c>
      <c r="DI66" s="1026">
        <v>10892474</v>
      </c>
      <c r="DJ66" s="1026">
        <v>1902649</v>
      </c>
      <c r="DK66" s="1026">
        <v>9229339</v>
      </c>
      <c r="DL66" s="1026">
        <v>55672390</v>
      </c>
      <c r="DN66" s="1026">
        <v>13430347</v>
      </c>
      <c r="DQ66" s="1026">
        <v>261900580</v>
      </c>
      <c r="DT66" s="1026">
        <v>0</v>
      </c>
    </row>
    <row r="67" spans="2:168" ht="15.75">
      <c r="B67" s="1419">
        <v>43586</v>
      </c>
      <c r="C67" s="1026">
        <v>111458616</v>
      </c>
      <c r="D67" s="1026">
        <v>111458616</v>
      </c>
      <c r="E67" s="1026">
        <v>80656264</v>
      </c>
      <c r="F67" s="1026">
        <v>30802352</v>
      </c>
      <c r="O67" s="1026">
        <v>50438685</v>
      </c>
      <c r="P67" s="1026">
        <v>11498290</v>
      </c>
      <c r="Q67" s="1026">
        <v>1774932</v>
      </c>
      <c r="R67" s="1026">
        <v>1314979</v>
      </c>
      <c r="S67" s="1026">
        <v>459953</v>
      </c>
      <c r="U67" s="1026">
        <v>9723358</v>
      </c>
      <c r="V67" s="1026">
        <v>5099756</v>
      </c>
      <c r="W67" s="1026">
        <v>4623602</v>
      </c>
      <c r="Y67" s="1026">
        <v>0</v>
      </c>
      <c r="AC67" s="1026">
        <v>0</v>
      </c>
      <c r="AE67" s="1026">
        <v>0</v>
      </c>
      <c r="AG67" s="1026">
        <v>685646</v>
      </c>
      <c r="AH67" s="1026">
        <v>179524</v>
      </c>
      <c r="AI67" s="1026">
        <v>506122</v>
      </c>
      <c r="AK67" s="1026">
        <v>6310404</v>
      </c>
      <c r="AL67" s="1026">
        <v>2270014</v>
      </c>
      <c r="AM67" s="1026">
        <v>4040390</v>
      </c>
      <c r="AO67" s="1026">
        <v>8302263</v>
      </c>
      <c r="AP67" s="1026">
        <v>8302263</v>
      </c>
      <c r="AQ67" s="1026">
        <v>0</v>
      </c>
      <c r="AS67" s="1026">
        <v>23642082</v>
      </c>
      <c r="AT67" s="1026">
        <v>16229737</v>
      </c>
      <c r="AU67" s="1026">
        <v>7412345</v>
      </c>
      <c r="AW67" s="1026">
        <v>0</v>
      </c>
      <c r="BB67" s="1026">
        <v>1739348</v>
      </c>
      <c r="BC67" s="1026">
        <v>1739348</v>
      </c>
      <c r="BD67" s="1026">
        <v>1739348</v>
      </c>
      <c r="BE67" s="1026">
        <v>0</v>
      </c>
      <c r="BJ67" s="1026">
        <v>0</v>
      </c>
      <c r="BL67" s="1026">
        <v>0</v>
      </c>
      <c r="BQ67" s="1026">
        <v>0</v>
      </c>
      <c r="BS67" s="1026">
        <v>0</v>
      </c>
      <c r="BX67" s="1026">
        <v>0</v>
      </c>
      <c r="CD67" s="1026">
        <v>0</v>
      </c>
      <c r="CE67" s="1026">
        <v>0</v>
      </c>
      <c r="CH67" s="1026">
        <v>0</v>
      </c>
      <c r="CL67" s="1026">
        <v>0</v>
      </c>
      <c r="CQ67" s="1026">
        <v>0</v>
      </c>
      <c r="CR67" s="1026">
        <v>0</v>
      </c>
      <c r="CU67" s="1026">
        <v>0</v>
      </c>
      <c r="CY67" s="1026">
        <v>0</v>
      </c>
      <c r="DA67" s="1026">
        <v>0</v>
      </c>
      <c r="DB67" s="1026">
        <v>0</v>
      </c>
      <c r="DH67" s="1026">
        <v>83486336</v>
      </c>
      <c r="DI67" s="1026">
        <v>10679290</v>
      </c>
      <c r="DJ67" s="1026">
        <v>1974186</v>
      </c>
      <c r="DK67" s="1026">
        <v>12652116</v>
      </c>
      <c r="DL67" s="1026">
        <v>58180744</v>
      </c>
      <c r="DN67" s="1026">
        <v>15542498</v>
      </c>
      <c r="DQ67" s="1026">
        <v>262665483</v>
      </c>
      <c r="DT67" s="1026">
        <v>0</v>
      </c>
    </row>
    <row r="68" spans="2:168" ht="15.75">
      <c r="B68" s="1419">
        <v>43617</v>
      </c>
      <c r="C68" s="1026">
        <v>112093987</v>
      </c>
      <c r="D68" s="1026">
        <v>112093987</v>
      </c>
      <c r="E68" s="1026">
        <v>76447191</v>
      </c>
      <c r="F68" s="1026">
        <v>35646796</v>
      </c>
      <c r="O68" s="1026">
        <v>45729333</v>
      </c>
      <c r="P68" s="1026">
        <v>8848816</v>
      </c>
      <c r="Q68" s="1026">
        <v>1379085</v>
      </c>
      <c r="R68" s="1026">
        <v>929449</v>
      </c>
      <c r="S68" s="1026">
        <v>449636</v>
      </c>
      <c r="U68" s="1026">
        <v>7469731</v>
      </c>
      <c r="V68" s="1026">
        <v>3865063</v>
      </c>
      <c r="W68" s="1026">
        <v>3604668</v>
      </c>
      <c r="Y68" s="1026">
        <v>0</v>
      </c>
      <c r="AC68" s="1026">
        <v>0</v>
      </c>
      <c r="AE68" s="1026">
        <v>0</v>
      </c>
      <c r="AG68" s="1026">
        <v>935920</v>
      </c>
      <c r="AH68" s="1026">
        <v>900577</v>
      </c>
      <c r="AI68" s="1026">
        <v>35343</v>
      </c>
      <c r="AK68" s="1026">
        <v>6363873</v>
      </c>
      <c r="AL68" s="1026">
        <v>2306873</v>
      </c>
      <c r="AM68" s="1026">
        <v>4057000</v>
      </c>
      <c r="AO68" s="1026">
        <v>8358925</v>
      </c>
      <c r="AP68" s="1026">
        <v>8358925</v>
      </c>
      <c r="AQ68" s="1026">
        <v>0</v>
      </c>
      <c r="AS68" s="1026">
        <v>21221799</v>
      </c>
      <c r="AT68" s="1026">
        <v>15743707</v>
      </c>
      <c r="AU68" s="1026">
        <v>5478092</v>
      </c>
      <c r="AW68" s="1026">
        <v>0</v>
      </c>
      <c r="BB68" s="1026">
        <v>3007833</v>
      </c>
      <c r="BC68" s="1026">
        <v>3007833</v>
      </c>
      <c r="BD68" s="1026">
        <v>3007833</v>
      </c>
      <c r="BE68" s="1026">
        <v>0</v>
      </c>
      <c r="BJ68" s="1026">
        <v>0</v>
      </c>
      <c r="BL68" s="1026">
        <v>0</v>
      </c>
      <c r="BQ68" s="1026">
        <v>0</v>
      </c>
      <c r="BS68" s="1026">
        <v>0</v>
      </c>
      <c r="BX68" s="1026">
        <v>0</v>
      </c>
      <c r="CD68" s="1026">
        <v>0</v>
      </c>
      <c r="CE68" s="1026">
        <v>0</v>
      </c>
      <c r="CH68" s="1026">
        <v>0</v>
      </c>
      <c r="CL68" s="1026">
        <v>0</v>
      </c>
      <c r="CQ68" s="1026">
        <v>0</v>
      </c>
      <c r="CR68" s="1026">
        <v>0</v>
      </c>
      <c r="CU68" s="1026">
        <v>0</v>
      </c>
      <c r="CY68" s="1026">
        <v>0</v>
      </c>
      <c r="DA68" s="1026">
        <v>0</v>
      </c>
      <c r="DB68" s="1026">
        <v>0</v>
      </c>
      <c r="DH68" s="1026">
        <v>85374776</v>
      </c>
      <c r="DI68" s="1026">
        <v>10609092</v>
      </c>
      <c r="DJ68" s="1026">
        <v>1906596</v>
      </c>
      <c r="DK68" s="1026">
        <v>18316893</v>
      </c>
      <c r="DL68" s="1026">
        <v>54542195</v>
      </c>
      <c r="DN68" s="1026">
        <v>25851821</v>
      </c>
      <c r="DQ68" s="1026">
        <v>272057750</v>
      </c>
      <c r="DT68" s="1026">
        <v>0</v>
      </c>
    </row>
    <row r="69" spans="2:168" ht="15.75">
      <c r="B69" s="1419">
        <v>43647</v>
      </c>
      <c r="C69" s="1026">
        <v>131140357</v>
      </c>
      <c r="D69" s="1026">
        <v>131140357</v>
      </c>
      <c r="E69" s="1026">
        <v>94063698</v>
      </c>
      <c r="F69" s="1026">
        <v>37076659</v>
      </c>
      <c r="O69" s="1026">
        <v>38359770</v>
      </c>
      <c r="P69" s="1026">
        <v>9875352</v>
      </c>
      <c r="Q69" s="1026">
        <v>1387328</v>
      </c>
      <c r="R69" s="1026">
        <v>948993</v>
      </c>
      <c r="S69" s="1026">
        <v>438335</v>
      </c>
      <c r="U69" s="1026">
        <v>8488024</v>
      </c>
      <c r="V69" s="1026">
        <v>6791583</v>
      </c>
      <c r="W69" s="1026">
        <v>1696441</v>
      </c>
      <c r="Y69" s="1026">
        <v>0</v>
      </c>
      <c r="AC69" s="1026">
        <v>0</v>
      </c>
      <c r="AE69" s="1026">
        <v>0</v>
      </c>
      <c r="AG69" s="1026">
        <v>351216</v>
      </c>
      <c r="AH69" s="1026">
        <v>0</v>
      </c>
      <c r="AI69" s="1026">
        <v>351216</v>
      </c>
      <c r="AK69" s="1026">
        <v>6249601</v>
      </c>
      <c r="AL69" s="1026">
        <v>2176101</v>
      </c>
      <c r="AM69" s="1026">
        <v>4073500</v>
      </c>
      <c r="AO69" s="1026">
        <v>8034635</v>
      </c>
      <c r="AP69" s="1026">
        <v>8034635</v>
      </c>
      <c r="AQ69" s="1026">
        <v>0</v>
      </c>
      <c r="AS69" s="1026">
        <v>13848966</v>
      </c>
      <c r="AT69" s="1026">
        <v>13243191</v>
      </c>
      <c r="AU69" s="1026">
        <v>605775</v>
      </c>
      <c r="AW69" s="1026">
        <v>0</v>
      </c>
      <c r="BB69" s="1026">
        <v>4200297</v>
      </c>
      <c r="BC69" s="1026">
        <v>4200297</v>
      </c>
      <c r="BD69" s="1026">
        <v>4200297</v>
      </c>
      <c r="BE69" s="1026">
        <v>0</v>
      </c>
      <c r="BJ69" s="1026">
        <v>0</v>
      </c>
      <c r="BL69" s="1026">
        <v>0</v>
      </c>
      <c r="BQ69" s="1026">
        <v>0</v>
      </c>
      <c r="BS69" s="1026">
        <v>0</v>
      </c>
      <c r="BX69" s="1026">
        <v>0</v>
      </c>
      <c r="CD69" s="1026">
        <v>0</v>
      </c>
      <c r="CE69" s="1026">
        <v>0</v>
      </c>
      <c r="CH69" s="1026">
        <v>0</v>
      </c>
      <c r="CL69" s="1026">
        <v>0</v>
      </c>
      <c r="CQ69" s="1026">
        <v>0</v>
      </c>
      <c r="CR69" s="1026">
        <v>0</v>
      </c>
      <c r="CU69" s="1026">
        <v>0</v>
      </c>
      <c r="CY69" s="1026">
        <v>0</v>
      </c>
      <c r="DA69" s="1026">
        <v>0</v>
      </c>
      <c r="DB69" s="1026">
        <v>0</v>
      </c>
      <c r="DH69" s="1026">
        <v>122299430</v>
      </c>
      <c r="DI69" s="1026">
        <v>10937107</v>
      </c>
      <c r="DJ69" s="1026">
        <v>1859858</v>
      </c>
      <c r="DK69" s="1026">
        <v>24629747</v>
      </c>
      <c r="DL69" s="1026">
        <v>84872718</v>
      </c>
      <c r="DN69" s="1026">
        <v>22770594</v>
      </c>
      <c r="DQ69" s="1026">
        <v>318770448</v>
      </c>
      <c r="DT69" s="1026">
        <v>0</v>
      </c>
    </row>
    <row r="70" spans="2:168" ht="15.75">
      <c r="B70" s="1419">
        <v>43678</v>
      </c>
      <c r="C70" s="1026">
        <v>144424785</v>
      </c>
      <c r="D70" s="1026">
        <v>144424785</v>
      </c>
      <c r="E70" s="1026">
        <v>97903611</v>
      </c>
      <c r="F70" s="1026">
        <v>46521174</v>
      </c>
      <c r="O70" s="1026">
        <v>44413324</v>
      </c>
      <c r="P70" s="1026">
        <v>6310366</v>
      </c>
      <c r="Q70" s="1026">
        <v>1330106</v>
      </c>
      <c r="R70" s="1026">
        <v>1010729</v>
      </c>
      <c r="S70" s="1026">
        <v>319377</v>
      </c>
      <c r="U70" s="1026">
        <v>4980260</v>
      </c>
      <c r="V70" s="1026">
        <v>4879555</v>
      </c>
      <c r="W70" s="1026">
        <v>100705</v>
      </c>
      <c r="Y70" s="1026">
        <v>0</v>
      </c>
      <c r="AC70" s="1026">
        <v>0</v>
      </c>
      <c r="AE70" s="1026">
        <v>0</v>
      </c>
      <c r="AG70" s="1026">
        <v>0</v>
      </c>
      <c r="AH70" s="1026">
        <v>0</v>
      </c>
      <c r="AI70" s="1026">
        <v>0</v>
      </c>
      <c r="AK70" s="1026">
        <v>6143940</v>
      </c>
      <c r="AL70" s="1026">
        <v>2054940</v>
      </c>
      <c r="AM70" s="1026">
        <v>4089000</v>
      </c>
      <c r="AO70" s="1026">
        <v>454885</v>
      </c>
      <c r="AP70" s="1026">
        <v>436011</v>
      </c>
      <c r="AQ70" s="1026">
        <v>18874</v>
      </c>
      <c r="AS70" s="1026">
        <v>31504133</v>
      </c>
      <c r="AT70" s="1026">
        <v>22907693</v>
      </c>
      <c r="AU70" s="1026">
        <v>8596440</v>
      </c>
      <c r="AW70" s="1026">
        <v>0</v>
      </c>
      <c r="BB70" s="1026">
        <v>2416520</v>
      </c>
      <c r="BC70" s="1026">
        <v>2416520</v>
      </c>
      <c r="BD70" s="1026">
        <v>2416520</v>
      </c>
      <c r="BE70" s="1026">
        <v>0</v>
      </c>
      <c r="BJ70" s="1026">
        <v>0</v>
      </c>
      <c r="BL70" s="1026">
        <v>0</v>
      </c>
      <c r="BQ70" s="1026">
        <v>0</v>
      </c>
      <c r="BS70" s="1026">
        <v>0</v>
      </c>
      <c r="BX70" s="1026">
        <v>0</v>
      </c>
      <c r="CD70" s="1026">
        <v>0</v>
      </c>
      <c r="CE70" s="1026">
        <v>0</v>
      </c>
      <c r="CH70" s="1026">
        <v>0</v>
      </c>
      <c r="CL70" s="1026">
        <v>0</v>
      </c>
      <c r="CQ70" s="1026">
        <v>0</v>
      </c>
      <c r="CR70" s="1026">
        <v>0</v>
      </c>
      <c r="CU70" s="1026">
        <v>0</v>
      </c>
      <c r="CY70" s="1026">
        <v>0</v>
      </c>
      <c r="DA70" s="1026">
        <v>0</v>
      </c>
      <c r="DB70" s="1026">
        <v>0</v>
      </c>
      <c r="DH70" s="1026">
        <v>141401447</v>
      </c>
      <c r="DI70" s="1026">
        <v>11082683</v>
      </c>
      <c r="DJ70" s="1026">
        <v>1920401</v>
      </c>
      <c r="DK70" s="1026">
        <v>30912136</v>
      </c>
      <c r="DL70" s="1026">
        <v>97486227</v>
      </c>
      <c r="DN70" s="1026">
        <v>33617230</v>
      </c>
      <c r="DQ70" s="1026">
        <v>366273306</v>
      </c>
    </row>
    <row r="71" spans="2:168" s="947" customFormat="1" ht="15.75">
      <c r="B71" s="1419">
        <v>43709</v>
      </c>
      <c r="C71" s="1220">
        <v>137665092</v>
      </c>
      <c r="D71" s="1220">
        <v>137665092</v>
      </c>
      <c r="E71" s="1220">
        <v>92166323</v>
      </c>
      <c r="F71" s="1220">
        <v>45498769</v>
      </c>
      <c r="O71" s="947">
        <v>40669753</v>
      </c>
      <c r="P71" s="947">
        <v>5123359</v>
      </c>
      <c r="Q71" s="947">
        <v>1286435</v>
      </c>
      <c r="R71" s="947">
        <v>1105706</v>
      </c>
      <c r="S71" s="947">
        <v>180729</v>
      </c>
      <c r="U71" s="947">
        <v>3836924</v>
      </c>
      <c r="V71" s="947">
        <v>3588055</v>
      </c>
      <c r="W71" s="947">
        <v>248869</v>
      </c>
      <c r="Y71" s="947">
        <v>0</v>
      </c>
      <c r="AC71" s="947">
        <v>0</v>
      </c>
      <c r="AE71" s="947">
        <v>0</v>
      </c>
      <c r="AG71" s="947">
        <v>0</v>
      </c>
      <c r="AH71" s="947">
        <v>0</v>
      </c>
      <c r="AI71" s="947">
        <v>0</v>
      </c>
      <c r="AK71" s="947">
        <v>6117965</v>
      </c>
      <c r="AL71" s="947">
        <v>1647648</v>
      </c>
      <c r="AM71" s="947">
        <v>4470317</v>
      </c>
      <c r="AO71" s="947">
        <v>7242656</v>
      </c>
      <c r="AP71" s="947">
        <v>7242656</v>
      </c>
      <c r="AQ71" s="947">
        <v>0</v>
      </c>
      <c r="AS71" s="947">
        <v>22185773</v>
      </c>
      <c r="AT71" s="947">
        <v>16713169</v>
      </c>
      <c r="AU71" s="947">
        <v>5472604</v>
      </c>
      <c r="AW71" s="947">
        <v>0</v>
      </c>
      <c r="BB71" s="947">
        <v>6833731</v>
      </c>
      <c r="BC71" s="947">
        <v>6833731</v>
      </c>
      <c r="BD71" s="947">
        <v>6833731</v>
      </c>
      <c r="BE71" s="947">
        <v>0</v>
      </c>
      <c r="BJ71" s="947">
        <v>0</v>
      </c>
      <c r="BL71" s="947">
        <v>0</v>
      </c>
      <c r="BQ71" s="947">
        <v>0</v>
      </c>
      <c r="BS71" s="947">
        <v>0</v>
      </c>
      <c r="BX71" s="947">
        <v>0</v>
      </c>
      <c r="CD71" s="947">
        <v>0</v>
      </c>
      <c r="CE71" s="947">
        <v>0</v>
      </c>
      <c r="CH71" s="947">
        <v>0</v>
      </c>
      <c r="CL71" s="947">
        <v>0</v>
      </c>
      <c r="CQ71" s="947">
        <v>0</v>
      </c>
      <c r="CR71" s="947">
        <v>0</v>
      </c>
      <c r="CU71" s="947">
        <v>0</v>
      </c>
      <c r="CY71" s="947">
        <v>0</v>
      </c>
      <c r="DA71" s="947">
        <v>0</v>
      </c>
      <c r="DB71" s="947">
        <v>0</v>
      </c>
      <c r="DH71" s="947">
        <v>146619584</v>
      </c>
      <c r="DI71" s="947">
        <v>11194255</v>
      </c>
      <c r="DJ71" s="947">
        <v>1848643</v>
      </c>
      <c r="DK71" s="947">
        <v>34136184</v>
      </c>
      <c r="DL71" s="947">
        <v>99440502</v>
      </c>
      <c r="DN71" s="947">
        <v>36461967</v>
      </c>
      <c r="DQ71" s="947">
        <v>368250127</v>
      </c>
      <c r="DR71" s="947">
        <v>0</v>
      </c>
      <c r="DT71" s="947">
        <v>0</v>
      </c>
      <c r="DW71" s="947">
        <v>0</v>
      </c>
      <c r="EB71" s="947">
        <v>0</v>
      </c>
      <c r="EF71" s="947">
        <v>0</v>
      </c>
      <c r="EG71" s="947">
        <v>0</v>
      </c>
      <c r="EJ71" s="947">
        <v>0</v>
      </c>
      <c r="EM71" s="947">
        <v>0</v>
      </c>
      <c r="ES71" s="947">
        <v>77809430.620000005</v>
      </c>
      <c r="ET71" s="947">
        <v>49730108</v>
      </c>
      <c r="EU71" s="947">
        <v>4978411.0000000009</v>
      </c>
      <c r="EV71" s="947">
        <v>44751697</v>
      </c>
      <c r="EW71" s="947">
        <v>0</v>
      </c>
      <c r="EX71" s="947">
        <v>0</v>
      </c>
      <c r="EY71" s="947">
        <v>0</v>
      </c>
      <c r="EZ71" s="947">
        <v>27916227.432500012</v>
      </c>
      <c r="FA71" s="947">
        <v>1389425.2700000005</v>
      </c>
      <c r="FB71" s="947">
        <v>39598034.040000007</v>
      </c>
      <c r="FC71" s="947">
        <v>-13071231.877499998</v>
      </c>
      <c r="FD71" s="947">
        <v>163095.18749999258</v>
      </c>
      <c r="FF71" s="947">
        <v>3049097.589999998</v>
      </c>
      <c r="FL71" s="947">
        <v>80858528.210000008</v>
      </c>
    </row>
    <row r="72" spans="2:168" s="1220" customFormat="1" ht="15.75">
      <c r="B72" s="1419">
        <v>43739</v>
      </c>
      <c r="C72" s="1220">
        <v>171795947</v>
      </c>
      <c r="D72" s="1220">
        <v>171795947</v>
      </c>
      <c r="E72" s="1220">
        <v>118869891</v>
      </c>
      <c r="F72" s="1220">
        <v>52926056</v>
      </c>
      <c r="O72" s="1220">
        <v>45440924</v>
      </c>
      <c r="P72" s="1220">
        <v>10259194</v>
      </c>
      <c r="Q72" s="1220">
        <v>1303997</v>
      </c>
      <c r="R72" s="1220">
        <v>1097618</v>
      </c>
      <c r="S72" s="1220">
        <v>206379</v>
      </c>
      <c r="U72" s="1220">
        <v>8955197</v>
      </c>
      <c r="V72" s="1220">
        <v>3325931</v>
      </c>
      <c r="W72" s="1220">
        <v>5629266</v>
      </c>
      <c r="Y72" s="1220">
        <v>0</v>
      </c>
      <c r="AC72" s="1220">
        <v>0</v>
      </c>
      <c r="AE72" s="1220">
        <v>0</v>
      </c>
      <c r="AG72" s="1220">
        <v>0</v>
      </c>
      <c r="AH72" s="1220">
        <v>0</v>
      </c>
      <c r="AI72" s="1220">
        <v>0</v>
      </c>
      <c r="AK72" s="1220">
        <v>6231165</v>
      </c>
      <c r="AL72" s="1220">
        <v>1734006</v>
      </c>
      <c r="AM72" s="1220">
        <v>4497159</v>
      </c>
      <c r="AO72" s="1220">
        <v>5795748</v>
      </c>
      <c r="AP72" s="1220">
        <v>5795748</v>
      </c>
      <c r="AQ72" s="1220">
        <v>0</v>
      </c>
      <c r="AS72" s="1220">
        <v>23154817</v>
      </c>
      <c r="AT72" s="1220">
        <v>15597884</v>
      </c>
      <c r="AU72" s="1220">
        <v>7556933</v>
      </c>
      <c r="AW72" s="1220">
        <v>0</v>
      </c>
      <c r="BB72" s="1220">
        <v>8024682</v>
      </c>
      <c r="BC72" s="1220">
        <v>8024682</v>
      </c>
      <c r="BD72" s="1220">
        <v>8024682</v>
      </c>
      <c r="BE72" s="1220">
        <v>0</v>
      </c>
      <c r="BJ72" s="1220">
        <v>0</v>
      </c>
      <c r="BL72" s="1220">
        <v>0</v>
      </c>
      <c r="BQ72" s="1220">
        <v>0</v>
      </c>
      <c r="BS72" s="1220">
        <v>0</v>
      </c>
      <c r="BX72" s="1220">
        <v>0</v>
      </c>
      <c r="CD72" s="1220">
        <v>0</v>
      </c>
      <c r="CE72" s="1220">
        <v>0</v>
      </c>
      <c r="CH72" s="1220">
        <v>0</v>
      </c>
      <c r="CL72" s="1220">
        <v>0</v>
      </c>
      <c r="CQ72" s="1220">
        <v>0</v>
      </c>
      <c r="CR72" s="1220">
        <v>0</v>
      </c>
      <c r="CU72" s="1220">
        <v>0</v>
      </c>
      <c r="CY72" s="1220">
        <v>0</v>
      </c>
      <c r="DA72" s="1220">
        <v>0</v>
      </c>
      <c r="DB72" s="1220">
        <v>0</v>
      </c>
      <c r="DH72" s="1220">
        <v>151353806</v>
      </c>
      <c r="DI72" s="1220">
        <v>11641910</v>
      </c>
      <c r="DJ72" s="1220">
        <v>1647698</v>
      </c>
      <c r="DK72" s="1220">
        <v>39443667</v>
      </c>
      <c r="DL72" s="1220">
        <v>98620531</v>
      </c>
      <c r="DN72" s="1220">
        <v>40000634</v>
      </c>
      <c r="DQ72" s="1220">
        <v>416615993</v>
      </c>
    </row>
    <row r="73" spans="2:168" ht="15.75">
      <c r="B73" s="1419">
        <v>43770</v>
      </c>
      <c r="C73" s="1026">
        <v>227123944</v>
      </c>
      <c r="D73" s="1026">
        <v>227123944</v>
      </c>
      <c r="E73" s="1026">
        <v>148533739</v>
      </c>
      <c r="F73" s="1026">
        <v>78590205</v>
      </c>
      <c r="O73" s="1026">
        <v>42708977</v>
      </c>
      <c r="P73" s="1026">
        <v>10553350</v>
      </c>
      <c r="Q73" s="1026">
        <v>1281625</v>
      </c>
      <c r="R73" s="1026">
        <v>1130970</v>
      </c>
      <c r="S73" s="1026">
        <v>150655</v>
      </c>
      <c r="U73" s="1026">
        <v>9271725</v>
      </c>
      <c r="V73" s="1026">
        <v>2780535</v>
      </c>
      <c r="W73" s="1026">
        <v>6491190</v>
      </c>
      <c r="Y73" s="1026">
        <v>0</v>
      </c>
      <c r="AC73" s="1026">
        <v>0</v>
      </c>
      <c r="AE73" s="1026">
        <v>0</v>
      </c>
      <c r="AG73" s="1026">
        <v>0</v>
      </c>
      <c r="AH73" s="1026">
        <v>0</v>
      </c>
      <c r="AI73" s="1026">
        <v>0</v>
      </c>
      <c r="AK73" s="1026">
        <v>5215592</v>
      </c>
      <c r="AL73" s="1026">
        <v>1161220</v>
      </c>
      <c r="AM73" s="1026">
        <v>4054372</v>
      </c>
      <c r="AO73" s="1026">
        <v>5830614</v>
      </c>
      <c r="AP73" s="1026">
        <v>5830614</v>
      </c>
      <c r="AQ73" s="1026">
        <v>0</v>
      </c>
      <c r="AS73" s="1026">
        <v>21109421</v>
      </c>
      <c r="AT73" s="1026">
        <v>14978120</v>
      </c>
      <c r="AU73" s="1026">
        <v>6131301</v>
      </c>
      <c r="AW73" s="1026">
        <v>0</v>
      </c>
      <c r="BB73" s="1026">
        <v>7341313</v>
      </c>
      <c r="BC73" s="1026">
        <v>7341313</v>
      </c>
      <c r="BD73" s="1026">
        <v>7341313</v>
      </c>
      <c r="BE73" s="1026">
        <v>0</v>
      </c>
      <c r="BJ73" s="1026">
        <v>0</v>
      </c>
      <c r="BL73" s="1026">
        <v>0</v>
      </c>
      <c r="BQ73" s="1026">
        <v>0</v>
      </c>
      <c r="BS73" s="1026">
        <v>0</v>
      </c>
      <c r="BX73" s="1026">
        <v>0</v>
      </c>
      <c r="CD73" s="1026">
        <v>0</v>
      </c>
      <c r="CE73" s="1026">
        <v>0</v>
      </c>
      <c r="CH73" s="1026">
        <v>0</v>
      </c>
      <c r="CL73" s="1026">
        <v>0</v>
      </c>
      <c r="CQ73" s="1026">
        <v>0</v>
      </c>
      <c r="CR73" s="1026">
        <v>0</v>
      </c>
      <c r="CU73" s="1026">
        <v>0</v>
      </c>
      <c r="CY73" s="1026">
        <v>0</v>
      </c>
      <c r="DA73" s="1026">
        <v>0</v>
      </c>
      <c r="DB73" s="1026">
        <v>0</v>
      </c>
      <c r="DH73" s="1026">
        <v>149570734</v>
      </c>
      <c r="DI73" s="1026">
        <v>11641910</v>
      </c>
      <c r="DJ73" s="1026">
        <v>1647698</v>
      </c>
      <c r="DK73" s="1026">
        <v>39443667</v>
      </c>
      <c r="DL73" s="1026">
        <v>96837459</v>
      </c>
      <c r="DN73" s="1026">
        <v>50174679</v>
      </c>
      <c r="DQ73" s="1026">
        <v>476919647</v>
      </c>
    </row>
    <row r="74" spans="2:168" ht="15.75">
      <c r="B74" s="1419">
        <v>43800</v>
      </c>
      <c r="C74" s="1026">
        <v>268013412</v>
      </c>
      <c r="D74" s="1026">
        <v>268013412</v>
      </c>
      <c r="E74" s="1026">
        <v>148717760</v>
      </c>
      <c r="F74" s="1026">
        <v>119295652</v>
      </c>
      <c r="O74" s="1026">
        <v>61022846</v>
      </c>
      <c r="P74" s="1026">
        <v>13685421</v>
      </c>
      <c r="Q74" s="1026">
        <v>1306630</v>
      </c>
      <c r="R74" s="1026">
        <v>1115044</v>
      </c>
      <c r="S74" s="1026">
        <v>191586</v>
      </c>
      <c r="U74" s="1026">
        <v>12378791</v>
      </c>
      <c r="V74" s="1026">
        <v>10458365</v>
      </c>
      <c r="W74" s="1026">
        <v>1920426</v>
      </c>
      <c r="Y74" s="1026">
        <v>0</v>
      </c>
      <c r="AC74" s="1026">
        <v>0</v>
      </c>
      <c r="AE74" s="1026">
        <v>0</v>
      </c>
      <c r="AG74" s="1026">
        <v>0</v>
      </c>
      <c r="AH74" s="1026">
        <v>0</v>
      </c>
      <c r="AI74" s="1026">
        <v>0</v>
      </c>
      <c r="AK74" s="1026">
        <v>569035</v>
      </c>
      <c r="AL74" s="1026">
        <v>569035</v>
      </c>
      <c r="AM74" s="1026">
        <v>0</v>
      </c>
      <c r="AO74" s="1026">
        <v>5822804</v>
      </c>
      <c r="AP74" s="1026">
        <v>5822804</v>
      </c>
      <c r="AQ74" s="1026">
        <v>0</v>
      </c>
      <c r="AS74" s="1026">
        <v>40945586</v>
      </c>
      <c r="AT74" s="1026">
        <v>14771195</v>
      </c>
      <c r="AU74" s="1026">
        <v>26174391</v>
      </c>
      <c r="AW74" s="1026">
        <v>0</v>
      </c>
      <c r="BB74" s="1026">
        <v>6413060</v>
      </c>
      <c r="BC74" s="1026">
        <v>6413060</v>
      </c>
      <c r="BD74" s="1026">
        <v>6413060</v>
      </c>
      <c r="BE74" s="1026">
        <v>0</v>
      </c>
      <c r="BJ74" s="1026">
        <v>0</v>
      </c>
      <c r="BL74" s="1026">
        <v>0</v>
      </c>
      <c r="BQ74" s="1026">
        <v>0</v>
      </c>
      <c r="BS74" s="1026">
        <v>0</v>
      </c>
      <c r="BX74" s="1026">
        <v>0</v>
      </c>
      <c r="CD74" s="1026">
        <v>0</v>
      </c>
      <c r="CE74" s="1026">
        <v>0</v>
      </c>
      <c r="CH74" s="1026">
        <v>0</v>
      </c>
      <c r="CL74" s="1026">
        <v>0</v>
      </c>
      <c r="CQ74" s="1026">
        <v>0</v>
      </c>
      <c r="CR74" s="1026">
        <v>0</v>
      </c>
      <c r="CU74" s="1026">
        <v>0</v>
      </c>
      <c r="CY74" s="1026">
        <v>0</v>
      </c>
      <c r="DA74" s="1026">
        <v>0</v>
      </c>
      <c r="DB74" s="1026">
        <v>0</v>
      </c>
      <c r="DH74" s="1026">
        <v>155204984</v>
      </c>
      <c r="DI74" s="1026">
        <v>12283940</v>
      </c>
      <c r="DJ74" s="1026">
        <v>1910432</v>
      </c>
      <c r="DK74" s="1026">
        <v>43873784</v>
      </c>
      <c r="DL74" s="1026">
        <v>97136828</v>
      </c>
      <c r="DN74" s="1026">
        <v>50094236</v>
      </c>
      <c r="DQ74" s="1026">
        <v>540748538</v>
      </c>
      <c r="DT74" s="1026">
        <v>0</v>
      </c>
    </row>
    <row r="77" spans="2:168">
      <c r="B77" s="1790">
        <v>43831</v>
      </c>
      <c r="C77" s="1026">
        <v>217233915</v>
      </c>
      <c r="D77" s="1026">
        <v>217233915</v>
      </c>
      <c r="E77" s="1026">
        <v>142033344</v>
      </c>
      <c r="F77" s="1026">
        <v>75200571</v>
      </c>
      <c r="O77" s="1026">
        <v>70230101</v>
      </c>
      <c r="P77" s="1026">
        <v>15224503</v>
      </c>
      <c r="Q77" s="1026">
        <v>1286457</v>
      </c>
      <c r="R77" s="1026">
        <v>1098405</v>
      </c>
      <c r="S77" s="1026">
        <v>188052</v>
      </c>
      <c r="U77" s="1026">
        <v>13938046</v>
      </c>
      <c r="V77" s="1026">
        <v>13146824</v>
      </c>
      <c r="W77" s="1026">
        <v>791222</v>
      </c>
      <c r="Y77" s="1026">
        <v>0</v>
      </c>
      <c r="AC77" s="1026">
        <v>0</v>
      </c>
      <c r="AE77" s="1026">
        <v>0</v>
      </c>
      <c r="AG77" s="1026">
        <v>0</v>
      </c>
      <c r="AH77" s="1026">
        <v>0</v>
      </c>
      <c r="AI77" s="1026">
        <v>0</v>
      </c>
      <c r="AK77" s="1026">
        <v>1301441</v>
      </c>
      <c r="AL77" s="1026">
        <v>1301441</v>
      </c>
      <c r="AM77" s="1026">
        <v>0</v>
      </c>
      <c r="AO77" s="1026">
        <v>21573567</v>
      </c>
      <c r="AP77" s="1026">
        <v>19270679</v>
      </c>
      <c r="AQ77" s="1026">
        <v>2302888</v>
      </c>
      <c r="AS77" s="1026">
        <v>32130590</v>
      </c>
      <c r="AT77" s="1026">
        <v>20660888</v>
      </c>
      <c r="AU77" s="1026">
        <v>11469702</v>
      </c>
      <c r="AW77" s="1026">
        <v>0</v>
      </c>
      <c r="BB77" s="1026">
        <v>4024227</v>
      </c>
      <c r="BC77" s="1026">
        <v>4024227</v>
      </c>
      <c r="BD77" s="1026">
        <v>4024227</v>
      </c>
      <c r="BE77" s="1026">
        <v>0</v>
      </c>
      <c r="BJ77" s="1026">
        <v>0</v>
      </c>
      <c r="BL77" s="1026">
        <v>0</v>
      </c>
      <c r="BQ77" s="1026">
        <v>0</v>
      </c>
      <c r="BS77" s="1026">
        <v>0</v>
      </c>
      <c r="BX77" s="1026">
        <v>0</v>
      </c>
      <c r="CD77" s="1026">
        <v>0</v>
      </c>
      <c r="CE77" s="1026">
        <v>0</v>
      </c>
      <c r="CH77" s="1026">
        <v>0</v>
      </c>
      <c r="CL77" s="1026">
        <v>0</v>
      </c>
      <c r="CQ77" s="1026">
        <v>0</v>
      </c>
      <c r="CR77" s="1026">
        <v>0</v>
      </c>
      <c r="CU77" s="1026">
        <v>0</v>
      </c>
      <c r="CY77" s="1026">
        <v>0</v>
      </c>
      <c r="DA77" s="1026">
        <v>0</v>
      </c>
      <c r="DB77" s="1026">
        <v>0</v>
      </c>
      <c r="DH77" s="1026">
        <v>156369886</v>
      </c>
      <c r="DI77" s="1026">
        <v>12874561</v>
      </c>
      <c r="DJ77" s="1026">
        <v>1946777</v>
      </c>
      <c r="DK77" s="1026">
        <v>-1334536</v>
      </c>
      <c r="DL77" s="1026">
        <v>142883084</v>
      </c>
      <c r="DN77" s="1026">
        <v>53751575</v>
      </c>
      <c r="DQ77" s="1026">
        <v>501609704</v>
      </c>
      <c r="DT77" s="1026">
        <v>0</v>
      </c>
    </row>
    <row r="78" spans="2:168">
      <c r="B78" s="1790">
        <v>43862</v>
      </c>
      <c r="C78" s="1026">
        <v>244275739</v>
      </c>
      <c r="D78" s="1026">
        <v>244275739</v>
      </c>
      <c r="E78" s="1026">
        <v>156465119</v>
      </c>
      <c r="F78" s="1026">
        <v>87810620</v>
      </c>
      <c r="O78" s="1026">
        <v>59800723</v>
      </c>
      <c r="P78" s="1026">
        <v>16557741</v>
      </c>
      <c r="Q78" s="1026">
        <v>1301639</v>
      </c>
      <c r="R78" s="1026">
        <v>1142789</v>
      </c>
      <c r="S78" s="1026">
        <v>158850</v>
      </c>
      <c r="U78" s="1026">
        <v>15256102</v>
      </c>
      <c r="V78" s="1026">
        <v>9509010</v>
      </c>
      <c r="W78" s="1026">
        <v>5747092</v>
      </c>
      <c r="Y78" s="1026">
        <v>0</v>
      </c>
      <c r="AC78" s="1026">
        <v>0</v>
      </c>
      <c r="AE78" s="1026">
        <v>0</v>
      </c>
      <c r="AG78" s="1026">
        <v>0</v>
      </c>
      <c r="AH78" s="1026">
        <v>0</v>
      </c>
      <c r="AI78" s="1026">
        <v>0</v>
      </c>
      <c r="AK78" s="1026">
        <v>1004906</v>
      </c>
      <c r="AL78" s="1026">
        <v>1004906</v>
      </c>
      <c r="AM78" s="1026">
        <v>0</v>
      </c>
      <c r="AO78" s="1026">
        <v>11070159</v>
      </c>
      <c r="AP78" s="1026">
        <v>6506557</v>
      </c>
      <c r="AQ78" s="1026">
        <v>4563602</v>
      </c>
      <c r="AS78" s="1026">
        <v>31167917</v>
      </c>
      <c r="AT78" s="1026">
        <v>25732706</v>
      </c>
      <c r="AU78" s="1026">
        <v>5435211</v>
      </c>
      <c r="AW78" s="1026">
        <v>0</v>
      </c>
      <c r="BB78" s="1026">
        <v>5746280</v>
      </c>
      <c r="BC78" s="1026">
        <v>5746280</v>
      </c>
      <c r="BD78" s="1026">
        <v>5746280</v>
      </c>
      <c r="BE78" s="1026">
        <v>0</v>
      </c>
      <c r="BJ78" s="1026">
        <v>0</v>
      </c>
      <c r="BL78" s="1026">
        <v>0</v>
      </c>
      <c r="BQ78" s="1026">
        <v>0</v>
      </c>
      <c r="BS78" s="1026">
        <v>0</v>
      </c>
      <c r="BX78" s="1026">
        <v>0</v>
      </c>
      <c r="CD78" s="1026">
        <v>0</v>
      </c>
      <c r="CE78" s="1026">
        <v>0</v>
      </c>
      <c r="CH78" s="1026">
        <v>0</v>
      </c>
      <c r="CL78" s="1026">
        <v>0</v>
      </c>
      <c r="CQ78" s="1026">
        <v>0</v>
      </c>
      <c r="CR78" s="1026">
        <v>0</v>
      </c>
      <c r="CU78" s="1026">
        <v>0</v>
      </c>
      <c r="CY78" s="1026">
        <v>0</v>
      </c>
      <c r="DA78" s="1026">
        <v>0</v>
      </c>
      <c r="DB78" s="1026">
        <v>0</v>
      </c>
      <c r="DH78" s="1026">
        <v>258397227</v>
      </c>
      <c r="DI78" s="1026">
        <v>16074977</v>
      </c>
      <c r="DJ78" s="1026">
        <v>1849793</v>
      </c>
      <c r="DK78" s="1026">
        <v>1149335</v>
      </c>
      <c r="DL78" s="1026">
        <v>239323122</v>
      </c>
      <c r="DN78" s="1026">
        <v>56453649</v>
      </c>
      <c r="DQ78" s="1026">
        <v>624673618</v>
      </c>
      <c r="DT78" s="1026">
        <v>0</v>
      </c>
    </row>
    <row r="79" spans="2:168">
      <c r="B79" s="1790">
        <v>43891</v>
      </c>
      <c r="C79" s="1026">
        <v>421501680.22641432</v>
      </c>
      <c r="D79" s="1026">
        <v>421501680.22641432</v>
      </c>
      <c r="E79" s="1026">
        <v>206433369.19069928</v>
      </c>
      <c r="F79" s="1026">
        <v>215068311.03571501</v>
      </c>
      <c r="O79" s="1026">
        <v>59700949.281162649</v>
      </c>
      <c r="P79" s="1026">
        <v>15542061.564875361</v>
      </c>
      <c r="Q79" s="1026">
        <v>1264928.8019464379</v>
      </c>
      <c r="R79" s="1026">
        <v>1105010.2931123001</v>
      </c>
      <c r="S79" s="1026">
        <v>159918.50883413781</v>
      </c>
      <c r="U79" s="1026">
        <v>14277132.762928922</v>
      </c>
      <c r="V79" s="1026">
        <v>8903138.2327018958</v>
      </c>
      <c r="W79" s="1026">
        <v>5373994.5302270269</v>
      </c>
      <c r="Y79" s="1026">
        <v>0</v>
      </c>
      <c r="AC79" s="1026">
        <v>0</v>
      </c>
      <c r="AE79" s="1026">
        <v>0</v>
      </c>
      <c r="AG79" s="1026">
        <v>0</v>
      </c>
      <c r="AH79" s="1026">
        <v>0</v>
      </c>
      <c r="AI79" s="1026">
        <v>0</v>
      </c>
      <c r="AK79" s="1026">
        <v>910998.04999999993</v>
      </c>
      <c r="AL79" s="1026">
        <v>910998.04999999993</v>
      </c>
      <c r="AM79" s="1026">
        <v>0</v>
      </c>
      <c r="AO79" s="1026">
        <v>18057409.339320131</v>
      </c>
      <c r="AP79" s="1026">
        <v>18057409.339320131</v>
      </c>
      <c r="AQ79" s="1026">
        <v>0</v>
      </c>
      <c r="AS79" s="1026">
        <v>25190480.326967154</v>
      </c>
      <c r="AT79" s="1026">
        <v>23401538.813589141</v>
      </c>
      <c r="AU79" s="1026">
        <v>1788941.5133780139</v>
      </c>
      <c r="AW79" s="1026">
        <v>0</v>
      </c>
      <c r="BB79" s="1026">
        <v>8027049.5794784352</v>
      </c>
      <c r="BC79" s="1026">
        <v>8027049.5794784352</v>
      </c>
      <c r="BD79" s="1026">
        <v>8027049.5794784352</v>
      </c>
      <c r="BE79" s="1026">
        <v>0</v>
      </c>
      <c r="BJ79" s="1026">
        <v>0</v>
      </c>
      <c r="BL79" s="1026">
        <v>0</v>
      </c>
      <c r="BQ79" s="1026">
        <v>0</v>
      </c>
      <c r="BS79" s="1026">
        <v>0</v>
      </c>
      <c r="BX79" s="1026">
        <v>0</v>
      </c>
      <c r="CD79" s="1026">
        <v>0</v>
      </c>
      <c r="CE79" s="1026">
        <v>0</v>
      </c>
      <c r="CH79" s="1026">
        <v>0</v>
      </c>
      <c r="CL79" s="1026">
        <v>0</v>
      </c>
      <c r="CQ79" s="1026">
        <v>0</v>
      </c>
      <c r="CR79" s="1026">
        <v>0</v>
      </c>
      <c r="CU79" s="1026">
        <v>0</v>
      </c>
      <c r="CY79" s="1026">
        <v>0</v>
      </c>
      <c r="DA79" s="1026">
        <v>0</v>
      </c>
      <c r="DB79" s="1026">
        <v>0</v>
      </c>
      <c r="DH79" s="1026">
        <v>270130184.93469667</v>
      </c>
      <c r="DI79" s="1026">
        <v>17994244.600000001</v>
      </c>
      <c r="DJ79" s="1026">
        <v>1948986.91</v>
      </c>
      <c r="DK79" s="1026">
        <v>12717524.658445701</v>
      </c>
      <c r="DL79" s="1026">
        <v>237469428.76625097</v>
      </c>
      <c r="DN79" s="1026">
        <v>87504926.379745111</v>
      </c>
      <c r="DQ79" s="1026">
        <v>846864790.40149724</v>
      </c>
      <c r="DT79" s="1026">
        <v>0</v>
      </c>
    </row>
    <row r="80" spans="2:168">
      <c r="B80" s="1790">
        <v>43922</v>
      </c>
      <c r="C80" s="1026">
        <v>473323258.32581037</v>
      </c>
      <c r="D80" s="1026">
        <v>473323258.32581037</v>
      </c>
      <c r="E80" s="1026">
        <v>229880812.08813781</v>
      </c>
      <c r="F80" s="1026">
        <v>243442446.23767257</v>
      </c>
      <c r="O80" s="1026">
        <v>60405208.299002916</v>
      </c>
      <c r="P80" s="1026">
        <v>15969131.657647915</v>
      </c>
      <c r="Q80" s="1026">
        <v>1272453.9461493054</v>
      </c>
      <c r="R80" s="1026">
        <v>1066308.7546013887</v>
      </c>
      <c r="S80" s="1026">
        <v>206145.19154791668</v>
      </c>
      <c r="U80" s="1026">
        <v>14696677.711498611</v>
      </c>
      <c r="V80" s="1026">
        <v>8319833.9605538892</v>
      </c>
      <c r="W80" s="1026">
        <v>6376843.7509447224</v>
      </c>
      <c r="Y80" s="1026">
        <v>0</v>
      </c>
      <c r="AC80" s="1026">
        <v>0</v>
      </c>
      <c r="AE80" s="1026">
        <v>0</v>
      </c>
      <c r="AG80" s="1026">
        <v>0</v>
      </c>
      <c r="AH80" s="1026">
        <v>0</v>
      </c>
      <c r="AI80" s="1026">
        <v>0</v>
      </c>
      <c r="AK80" s="1026">
        <v>4438698.63</v>
      </c>
      <c r="AL80" s="1026">
        <v>4438698.63</v>
      </c>
      <c r="AM80" s="1026">
        <v>0</v>
      </c>
      <c r="AO80" s="1026">
        <v>18198862.401768889</v>
      </c>
      <c r="AP80" s="1026">
        <v>18198862.401768889</v>
      </c>
      <c r="AQ80" s="1026">
        <v>0</v>
      </c>
      <c r="AS80" s="1026">
        <v>21798515.609586112</v>
      </c>
      <c r="AT80" s="1026">
        <v>19485846.792919446</v>
      </c>
      <c r="AU80" s="1026">
        <v>2312668.8166666664</v>
      </c>
      <c r="AW80" s="1026">
        <v>0</v>
      </c>
      <c r="BB80" s="1026">
        <v>7134945.8503136607</v>
      </c>
      <c r="BC80" s="1026">
        <v>7134945.8503136607</v>
      </c>
      <c r="BD80" s="1026">
        <v>7134945.8503136607</v>
      </c>
      <c r="BE80" s="1026">
        <v>0</v>
      </c>
      <c r="BJ80" s="1026">
        <v>0</v>
      </c>
      <c r="BL80" s="1026">
        <v>0</v>
      </c>
      <c r="BQ80" s="1026">
        <v>0</v>
      </c>
      <c r="BS80" s="1026">
        <v>0</v>
      </c>
      <c r="BX80" s="1026">
        <v>0</v>
      </c>
      <c r="CD80" s="1026">
        <v>0</v>
      </c>
      <c r="CE80" s="1026">
        <v>0</v>
      </c>
      <c r="CH80" s="1026">
        <v>0</v>
      </c>
      <c r="CL80" s="1026">
        <v>0</v>
      </c>
      <c r="CQ80" s="1026">
        <v>0</v>
      </c>
      <c r="CR80" s="1026">
        <v>0</v>
      </c>
      <c r="CU80" s="1026">
        <v>0</v>
      </c>
      <c r="CY80" s="1026">
        <v>0</v>
      </c>
      <c r="DA80" s="1026">
        <v>0</v>
      </c>
      <c r="DB80" s="1026">
        <v>0</v>
      </c>
      <c r="DH80" s="1026">
        <v>293599167.35814148</v>
      </c>
      <c r="DI80" s="1026">
        <v>18278227.649999999</v>
      </c>
      <c r="DJ80" s="1026">
        <v>1593354.03</v>
      </c>
      <c r="DK80" s="1026">
        <v>34750186.879094511</v>
      </c>
      <c r="DL80" s="1026">
        <v>238977398.79904699</v>
      </c>
      <c r="DN80" s="1026">
        <v>97324619.016915053</v>
      </c>
      <c r="DQ80" s="1026">
        <v>931787198.85018349</v>
      </c>
      <c r="DT80" s="1026">
        <v>0</v>
      </c>
    </row>
    <row r="81" spans="2:124">
      <c r="B81" s="1790">
        <v>43952</v>
      </c>
      <c r="C81" s="1026">
        <v>438389706.71605563</v>
      </c>
      <c r="D81" s="1026">
        <v>438389706.71605563</v>
      </c>
      <c r="E81" s="1026">
        <v>250792244.94489658</v>
      </c>
      <c r="F81" s="1026">
        <v>187597461.77115908</v>
      </c>
      <c r="O81" s="1026">
        <v>64586554.993240282</v>
      </c>
      <c r="P81" s="1026">
        <v>18952433.599592503</v>
      </c>
      <c r="Q81" s="1026">
        <v>1276576.5723330558</v>
      </c>
      <c r="R81" s="1026">
        <v>1107409.9480280557</v>
      </c>
      <c r="S81" s="1026">
        <v>169166.624305</v>
      </c>
      <c r="U81" s="1026">
        <v>17675857.027259447</v>
      </c>
      <c r="V81" s="1026">
        <v>10358126.43462014</v>
      </c>
      <c r="W81" s="1026">
        <v>7317730.5926393056</v>
      </c>
      <c r="Y81" s="1026">
        <v>0</v>
      </c>
      <c r="AC81" s="1026">
        <v>0</v>
      </c>
      <c r="AE81" s="1026">
        <v>0</v>
      </c>
      <c r="AG81" s="1026">
        <v>0</v>
      </c>
      <c r="AH81" s="1026">
        <v>0</v>
      </c>
      <c r="AI81" s="1026">
        <v>0</v>
      </c>
      <c r="AK81" s="1026">
        <v>4288200</v>
      </c>
      <c r="AL81" s="1026">
        <v>4288200</v>
      </c>
      <c r="AM81" s="1026">
        <v>0</v>
      </c>
      <c r="AO81" s="1026">
        <v>18297931.581771113</v>
      </c>
      <c r="AP81" s="1026">
        <v>18297931.581771113</v>
      </c>
      <c r="AQ81" s="1026">
        <v>0</v>
      </c>
      <c r="AS81" s="1026">
        <v>23047989.811876666</v>
      </c>
      <c r="AT81" s="1026">
        <v>22445481.478543334</v>
      </c>
      <c r="AU81" s="1026">
        <v>602508.33333333337</v>
      </c>
      <c r="AW81" s="1026">
        <v>0</v>
      </c>
      <c r="BB81" s="1026">
        <v>9147331.75</v>
      </c>
      <c r="BC81" s="1026">
        <v>9147331.75</v>
      </c>
      <c r="BD81" s="1026">
        <v>9147331.75</v>
      </c>
      <c r="BE81" s="1026">
        <v>0</v>
      </c>
      <c r="BJ81" s="1026">
        <v>0</v>
      </c>
      <c r="BL81" s="1026">
        <v>0</v>
      </c>
      <c r="BQ81" s="1026">
        <v>0</v>
      </c>
      <c r="BS81" s="1026">
        <v>0</v>
      </c>
      <c r="BX81" s="1026">
        <v>0</v>
      </c>
      <c r="CD81" s="1026">
        <v>0</v>
      </c>
      <c r="CE81" s="1026">
        <v>0</v>
      </c>
      <c r="CH81" s="1026">
        <v>0</v>
      </c>
      <c r="CL81" s="1026">
        <v>0</v>
      </c>
      <c r="CQ81" s="1026">
        <v>0</v>
      </c>
      <c r="CR81" s="1026">
        <v>0</v>
      </c>
      <c r="CU81" s="1026">
        <v>0</v>
      </c>
      <c r="CY81" s="1026">
        <v>0</v>
      </c>
      <c r="DA81" s="1026">
        <v>0</v>
      </c>
      <c r="DB81" s="1026">
        <v>0</v>
      </c>
      <c r="DH81" s="1026">
        <v>324669992</v>
      </c>
      <c r="DI81" s="1026">
        <v>21475068.129999999</v>
      </c>
      <c r="DJ81" s="1026">
        <v>1544472.07</v>
      </c>
      <c r="DK81" s="1026">
        <v>37954168.114982992</v>
      </c>
      <c r="DL81" s="1026">
        <v>263696283.68501702</v>
      </c>
      <c r="DN81" s="1026">
        <v>108401743.43092901</v>
      </c>
      <c r="DQ81" s="1026">
        <v>945195328.89022493</v>
      </c>
      <c r="DT81" s="1026">
        <v>2.3961067199707031E-5</v>
      </c>
    </row>
    <row r="82" spans="2:124">
      <c r="B82" s="1790">
        <v>43983</v>
      </c>
      <c r="C82" s="1026">
        <v>408702023.66775143</v>
      </c>
      <c r="D82" s="1026">
        <v>408702023.66775143</v>
      </c>
      <c r="E82" s="1026">
        <v>259281258.04798755</v>
      </c>
      <c r="F82" s="1026">
        <v>149420765.61976385</v>
      </c>
      <c r="O82" s="1026">
        <v>72990060.092131421</v>
      </c>
      <c r="P82" s="1026">
        <v>22516422.926430691</v>
      </c>
      <c r="Q82" s="1026">
        <v>1282668.8896031943</v>
      </c>
      <c r="R82" s="1026">
        <v>1115495.2886036111</v>
      </c>
      <c r="S82" s="1026">
        <v>167173.60099958332</v>
      </c>
      <c r="U82" s="1026">
        <v>21233754.036827497</v>
      </c>
      <c r="V82" s="1026">
        <v>11874482.205424305</v>
      </c>
      <c r="W82" s="1026">
        <v>9359271.831403194</v>
      </c>
      <c r="Y82" s="1026">
        <v>0</v>
      </c>
      <c r="AC82" s="1026">
        <v>0</v>
      </c>
      <c r="AE82" s="1026">
        <v>0</v>
      </c>
      <c r="AG82" s="1026">
        <v>0</v>
      </c>
      <c r="AH82" s="1026">
        <v>0</v>
      </c>
      <c r="AI82" s="1026">
        <v>0</v>
      </c>
      <c r="AK82" s="1026">
        <v>11306959.769991841</v>
      </c>
      <c r="AL82" s="1026">
        <v>11306959.769991841</v>
      </c>
      <c r="AM82" s="1026">
        <v>0</v>
      </c>
      <c r="AO82" s="1026">
        <v>18436194.890893333</v>
      </c>
      <c r="AP82" s="1026">
        <v>18436194.890893333</v>
      </c>
      <c r="AQ82" s="1026">
        <v>0</v>
      </c>
      <c r="AS82" s="1026">
        <v>20730482.50481556</v>
      </c>
      <c r="AT82" s="1026">
        <v>20125990.838148892</v>
      </c>
      <c r="AU82" s="1026">
        <v>604491.66666666663</v>
      </c>
      <c r="AW82" s="1026">
        <v>0</v>
      </c>
      <c r="BB82" s="1026">
        <v>26674587.441919912</v>
      </c>
      <c r="BC82" s="1026">
        <v>26674587.441919912</v>
      </c>
      <c r="BD82" s="1026">
        <v>26674587.441919912</v>
      </c>
      <c r="BE82" s="1026">
        <v>0</v>
      </c>
      <c r="BJ82" s="1026">
        <v>0</v>
      </c>
      <c r="BL82" s="1026">
        <v>0</v>
      </c>
      <c r="BQ82" s="1026">
        <v>0</v>
      </c>
      <c r="BS82" s="1026">
        <v>0</v>
      </c>
      <c r="BX82" s="1026">
        <v>0</v>
      </c>
      <c r="CD82" s="1026">
        <v>0</v>
      </c>
      <c r="CE82" s="1026">
        <v>0</v>
      </c>
      <c r="CH82" s="1026">
        <v>0</v>
      </c>
      <c r="CL82" s="1026">
        <v>0</v>
      </c>
      <c r="CQ82" s="1026">
        <v>0</v>
      </c>
      <c r="CR82" s="1026">
        <v>0</v>
      </c>
      <c r="CU82" s="1026">
        <v>0</v>
      </c>
      <c r="CY82" s="1026">
        <v>0</v>
      </c>
      <c r="DA82" s="1026">
        <v>0</v>
      </c>
      <c r="DB82" s="1026">
        <v>0</v>
      </c>
      <c r="DH82" s="1026">
        <v>342190275.084427</v>
      </c>
      <c r="DI82" s="1026">
        <v>22462727.41</v>
      </c>
      <c r="DJ82" s="1026">
        <v>1936712.93</v>
      </c>
      <c r="DK82" s="1026">
        <v>44119376.123478115</v>
      </c>
      <c r="DL82" s="1026">
        <v>273671458.62094885</v>
      </c>
      <c r="DN82" s="1026">
        <v>119046785.37996499</v>
      </c>
      <c r="DQ82" s="1026">
        <v>969603731.6661948</v>
      </c>
    </row>
    <row r="83" spans="2:124">
      <c r="B83" s="1790">
        <v>44013</v>
      </c>
      <c r="C83" s="1026">
        <v>546592483.48506629</v>
      </c>
      <c r="D83" s="1026">
        <v>546592483.48506629</v>
      </c>
      <c r="E83" s="1026">
        <v>389384065.84506363</v>
      </c>
      <c r="F83" s="1026">
        <v>157208417.6400027</v>
      </c>
      <c r="O83" s="1026">
        <v>69720932.883124307</v>
      </c>
      <c r="P83" s="1026">
        <v>14483260.075537641</v>
      </c>
      <c r="Q83" s="1026">
        <v>1292747.1715398612</v>
      </c>
      <c r="R83" s="1026">
        <v>1115835.7407120834</v>
      </c>
      <c r="S83" s="1026">
        <v>176911.43082777777</v>
      </c>
      <c r="U83" s="1026">
        <v>13190512.903997779</v>
      </c>
      <c r="V83" s="1026">
        <v>6581294.1508077774</v>
      </c>
      <c r="W83" s="1026">
        <v>6609218.7531900005</v>
      </c>
      <c r="Y83" s="1026">
        <v>0</v>
      </c>
      <c r="AC83" s="1026">
        <v>0</v>
      </c>
      <c r="AE83" s="1026">
        <v>0</v>
      </c>
      <c r="AG83" s="1026">
        <v>0</v>
      </c>
      <c r="AH83" s="1026">
        <v>0</v>
      </c>
      <c r="AI83" s="1026">
        <v>0</v>
      </c>
      <c r="AK83" s="1026">
        <v>14477170.044326665</v>
      </c>
      <c r="AL83" s="1026">
        <v>9749945.543143332</v>
      </c>
      <c r="AM83" s="1026">
        <v>4727224.5011833329</v>
      </c>
      <c r="AO83" s="1026">
        <v>20031862.089429446</v>
      </c>
      <c r="AP83" s="1026">
        <v>20031862.089429446</v>
      </c>
      <c r="AQ83" s="1026">
        <v>0</v>
      </c>
      <c r="AS83" s="1026">
        <v>20728640.673830554</v>
      </c>
      <c r="AT83" s="1026">
        <v>18057974.01049722</v>
      </c>
      <c r="AU83" s="1026">
        <v>2670666.6633333331</v>
      </c>
      <c r="AW83" s="1026">
        <v>0</v>
      </c>
      <c r="BB83" s="1026">
        <v>401911365.44960493</v>
      </c>
      <c r="BC83" s="1026">
        <v>401911365.44960493</v>
      </c>
      <c r="BD83" s="1026">
        <v>401911365.44960493</v>
      </c>
      <c r="BE83" s="1026">
        <v>0</v>
      </c>
      <c r="BJ83" s="1026">
        <v>0</v>
      </c>
      <c r="BL83" s="1026">
        <v>0</v>
      </c>
      <c r="BQ83" s="1026">
        <v>0</v>
      </c>
      <c r="BS83" s="1026">
        <v>0</v>
      </c>
      <c r="BX83" s="1026">
        <v>0</v>
      </c>
      <c r="CD83" s="1026">
        <v>0</v>
      </c>
      <c r="CE83" s="1026">
        <v>0</v>
      </c>
      <c r="CH83" s="1026">
        <v>0</v>
      </c>
      <c r="CL83" s="1026">
        <v>0</v>
      </c>
      <c r="CQ83" s="1026">
        <v>0</v>
      </c>
      <c r="CR83" s="1026">
        <v>0</v>
      </c>
      <c r="CU83" s="1026">
        <v>0</v>
      </c>
      <c r="CY83" s="1026">
        <v>0</v>
      </c>
      <c r="DA83" s="1026">
        <v>0</v>
      </c>
      <c r="DB83" s="1026">
        <v>0</v>
      </c>
      <c r="DH83" s="1026">
        <v>633997137.97465003</v>
      </c>
      <c r="DI83" s="1026">
        <v>24158309.622643851</v>
      </c>
      <c r="DJ83" s="1026">
        <v>1917403.8701960808</v>
      </c>
      <c r="DK83" s="1026">
        <v>128131080.59064659</v>
      </c>
      <c r="DL83" s="1026">
        <v>479790343.89116347</v>
      </c>
      <c r="DN83" s="1026">
        <v>171957873.63540518</v>
      </c>
      <c r="DQ83" s="1026">
        <v>1824179793.4278507</v>
      </c>
    </row>
    <row r="84" spans="2:124">
      <c r="B84" s="1790">
        <v>44044</v>
      </c>
      <c r="C84" s="1026">
        <f>+D84+G84+H84+I84+J84+K84+L84+M84</f>
        <v>705867074.32445145</v>
      </c>
      <c r="D84" s="1026">
        <f>+E84+F84</f>
        <v>705867074.32445145</v>
      </c>
      <c r="E84" s="1026">
        <v>419162566.00274295</v>
      </c>
      <c r="F84" s="1026">
        <v>286704508.32170844</v>
      </c>
      <c r="O84" s="1026">
        <f>+P84+Y84+AC84+AG84+AK84+AO84+AS84+AW84</f>
        <v>81215055.610877782</v>
      </c>
      <c r="P84" s="1026">
        <f>+Q84+U84</f>
        <v>28600430.404360417</v>
      </c>
      <c r="Q84" s="1026">
        <f>+R84+S84+T84</f>
        <v>10995024.949697223</v>
      </c>
      <c r="R84" s="1026">
        <v>10868396.4636425</v>
      </c>
      <c r="S84" s="1026">
        <v>126628.48605472222</v>
      </c>
      <c r="U84" s="1026">
        <f>+V84+W84+X84</f>
        <v>17605405.454663195</v>
      </c>
      <c r="V84" s="1026">
        <v>3583413.0065788887</v>
      </c>
      <c r="W84" s="1026">
        <v>14021992.448084306</v>
      </c>
      <c r="Y84" s="1026">
        <f>+Z84+AA84+AB84</f>
        <v>0</v>
      </c>
      <c r="AC84" s="1026">
        <f>+AD84+AE84+AF84</f>
        <v>0</v>
      </c>
      <c r="AE84" s="1026">
        <v>0</v>
      </c>
      <c r="AG84" s="1026">
        <f>+AH84+AI84+AJ84</f>
        <v>0</v>
      </c>
      <c r="AH84" s="1026">
        <v>0</v>
      </c>
      <c r="AI84" s="1026">
        <v>0</v>
      </c>
      <c r="AK84" s="1026">
        <f>+AL84+AM84+AN84</f>
        <v>11051568.733666666</v>
      </c>
      <c r="AL84" s="1026">
        <v>11051568.733666666</v>
      </c>
      <c r="AO84" s="1026">
        <f>+AP84+AQ84+AR84</f>
        <v>16767787.896781666</v>
      </c>
      <c r="AP84" s="1026">
        <v>16767787.896781666</v>
      </c>
      <c r="AQ84" s="1026">
        <v>0</v>
      </c>
      <c r="AS84" s="1026">
        <f>+AT84+AU84+AV84</f>
        <v>24795268.576069023</v>
      </c>
      <c r="AT84" s="1026">
        <v>22116827.916236106</v>
      </c>
      <c r="AU84" s="1026">
        <v>2678440.6598329167</v>
      </c>
      <c r="AW84" s="1026">
        <f>+AX84+AY84+AZ84</f>
        <v>0</v>
      </c>
      <c r="BB84" s="1026">
        <f>+BC84+BJ84+BQ84</f>
        <v>407597971</v>
      </c>
      <c r="BC84" s="1026">
        <f>+BD84+BE84</f>
        <v>407597971</v>
      </c>
      <c r="BD84" s="1026">
        <v>407597971</v>
      </c>
      <c r="BE84" s="1026">
        <f>+BF84+BG84+BH84</f>
        <v>0</v>
      </c>
      <c r="BJ84" s="1026">
        <f>+BK84+BL84</f>
        <v>0</v>
      </c>
      <c r="BL84" s="1026">
        <f>+BM84+BN84+BO84</f>
        <v>0</v>
      </c>
      <c r="BQ84" s="1026">
        <f>+BR84+BS84</f>
        <v>0</v>
      </c>
      <c r="BS84" s="1026">
        <f>+BT84+BU84+BV84</f>
        <v>0</v>
      </c>
      <c r="BX84" s="1026">
        <f>+BZ84+CA84+CB84</f>
        <v>0</v>
      </c>
      <c r="CD84" s="1026">
        <f>+CE84+CH84+CL84</f>
        <v>0</v>
      </c>
      <c r="CE84" s="1026">
        <f>+CF84+CG84</f>
        <v>0</v>
      </c>
      <c r="CH84" s="1026">
        <f>+CI84+CJ84</f>
        <v>0</v>
      </c>
      <c r="CL84" s="1026">
        <f>+CM84+CN84</f>
        <v>0</v>
      </c>
      <c r="CQ84" s="1026">
        <f>+CR84+CU84</f>
        <v>0</v>
      </c>
      <c r="CR84" s="1026">
        <f>+CS84+CT84</f>
        <v>0</v>
      </c>
      <c r="CU84" s="1026">
        <f>+CV84+CW84</f>
        <v>0</v>
      </c>
      <c r="CY84" s="1026">
        <v>0</v>
      </c>
      <c r="DA84" s="1026">
        <f>+DB84+DE84</f>
        <v>0</v>
      </c>
      <c r="DB84" s="1026">
        <f>+DC84+DD84</f>
        <v>0</v>
      </c>
      <c r="DH84" s="1026">
        <f>+DI84+DJ84+DK84+DL84</f>
        <v>631248410</v>
      </c>
      <c r="DI84" s="1026">
        <v>31310475.859999999</v>
      </c>
      <c r="DJ84" s="1026">
        <v>2425442.16</v>
      </c>
      <c r="DK84" s="1026">
        <v>237416218.22289437</v>
      </c>
      <c r="DL84" s="1026">
        <f>631248410-DI84-DJ84-DK84</f>
        <v>360096273.75710565</v>
      </c>
      <c r="DN84" s="1026">
        <v>247113765.21749559</v>
      </c>
      <c r="DQ84" s="1026">
        <f>(+C84+O84+BB84+BX84+CD84+CQ84+CY84+DA84+DH84+DN84)</f>
        <v>2073042276.1528249</v>
      </c>
    </row>
    <row r="85" spans="2:124">
      <c r="B85" s="1790">
        <v>44075</v>
      </c>
      <c r="C85" s="1026">
        <v>827759636.32604408</v>
      </c>
      <c r="D85" s="1026">
        <v>827759636.32604408</v>
      </c>
      <c r="E85" s="1026">
        <v>448678736.1943596</v>
      </c>
      <c r="F85" s="1026">
        <v>379080900.13168448</v>
      </c>
      <c r="O85" s="1026">
        <v>98625670.611813486</v>
      </c>
      <c r="P85" s="1026">
        <v>14440735.284212083</v>
      </c>
      <c r="Q85" s="1026">
        <v>1305172.0474061109</v>
      </c>
      <c r="R85" s="1026">
        <v>1111985.9521568054</v>
      </c>
      <c r="S85" s="1026">
        <v>193186.09524930554</v>
      </c>
      <c r="U85" s="1026">
        <v>13135563.236805972</v>
      </c>
      <c r="V85" s="1026">
        <v>1102568.8294395832</v>
      </c>
      <c r="W85" s="1026">
        <v>12032994.407366389</v>
      </c>
      <c r="Y85" s="1026">
        <v>0</v>
      </c>
      <c r="AC85" s="1026">
        <v>0</v>
      </c>
      <c r="AE85" s="1026">
        <v>0</v>
      </c>
      <c r="AG85" s="1026">
        <v>0</v>
      </c>
      <c r="AH85" s="1026">
        <v>0</v>
      </c>
      <c r="AI85" s="1026">
        <v>0</v>
      </c>
      <c r="AK85" s="1026">
        <v>20132849.650350001</v>
      </c>
      <c r="AL85" s="1026">
        <v>20132849.650350001</v>
      </c>
      <c r="AO85" s="1026">
        <v>39172763.629071109</v>
      </c>
      <c r="AP85" s="1026">
        <v>39172763.629071109</v>
      </c>
      <c r="AQ85" s="1026">
        <v>0</v>
      </c>
      <c r="AS85" s="1026">
        <v>24879322.048180275</v>
      </c>
      <c r="AT85" s="1026">
        <v>18851535.752927776</v>
      </c>
      <c r="AU85" s="1026">
        <v>6027786.2952525001</v>
      </c>
      <c r="AW85" s="1026">
        <v>0</v>
      </c>
      <c r="BB85" s="1026">
        <v>521489221.79510188</v>
      </c>
      <c r="BC85" s="1026">
        <v>521489221.79510188</v>
      </c>
      <c r="BD85" s="1026">
        <v>521489221.79510188</v>
      </c>
      <c r="BE85" s="1026">
        <v>0</v>
      </c>
      <c r="BJ85" s="1026">
        <v>0</v>
      </c>
      <c r="BL85" s="1026">
        <v>0</v>
      </c>
      <c r="BQ85" s="1026">
        <v>0</v>
      </c>
      <c r="BS85" s="1026">
        <v>0</v>
      </c>
      <c r="BX85" s="1026">
        <v>0</v>
      </c>
      <c r="CD85" s="1026">
        <v>0</v>
      </c>
      <c r="CE85" s="1026">
        <v>0</v>
      </c>
      <c r="CH85" s="1026">
        <v>0</v>
      </c>
      <c r="CL85" s="1026">
        <v>0</v>
      </c>
      <c r="CQ85" s="1026">
        <v>0</v>
      </c>
      <c r="CR85" s="1026">
        <v>0</v>
      </c>
      <c r="CU85" s="1026">
        <v>0</v>
      </c>
      <c r="CY85" s="1026">
        <v>0</v>
      </c>
      <c r="DA85" s="1026">
        <v>0</v>
      </c>
      <c r="DB85" s="1026">
        <v>0</v>
      </c>
      <c r="DH85" s="1026">
        <v>670359649</v>
      </c>
      <c r="DI85" s="1026">
        <v>44685348.460000001</v>
      </c>
      <c r="DJ85" s="1026">
        <v>2953979.23</v>
      </c>
      <c r="DK85" s="1026">
        <v>187376664.89042187</v>
      </c>
      <c r="DL85" s="1026">
        <v>435343656.41957808</v>
      </c>
      <c r="DN85" s="1026">
        <v>196039911.20943266</v>
      </c>
      <c r="DQ85" s="1026">
        <v>2314274088.9423923</v>
      </c>
      <c r="DT85" s="1026">
        <v>0</v>
      </c>
    </row>
    <row r="86" spans="2:124">
      <c r="B86" s="1790">
        <v>44105</v>
      </c>
      <c r="C86" s="1026">
        <v>1100925247.8799081</v>
      </c>
      <c r="D86" s="1026">
        <v>1100925247.8799081</v>
      </c>
      <c r="E86" s="1026">
        <v>670896073.07272243</v>
      </c>
      <c r="F86" s="1026">
        <v>430029174.80718553</v>
      </c>
      <c r="O86" s="1026">
        <v>104538854.34020096</v>
      </c>
      <c r="P86" s="1026">
        <v>21232546.54819319</v>
      </c>
      <c r="Q86" s="1026">
        <v>2821574.950104584</v>
      </c>
      <c r="R86" s="1026">
        <v>2670641.0452191671</v>
      </c>
      <c r="S86" s="1026">
        <v>150933.90488541668</v>
      </c>
      <c r="U86" s="1026">
        <v>18410971.598088607</v>
      </c>
      <c r="V86" s="1026">
        <v>12850169.857372776</v>
      </c>
      <c r="W86" s="1026">
        <v>5560801.7407158334</v>
      </c>
      <c r="Y86" s="1026">
        <v>0</v>
      </c>
      <c r="AC86" s="1026">
        <v>0</v>
      </c>
      <c r="AE86" s="1026">
        <v>0</v>
      </c>
      <c r="AG86" s="1026">
        <v>0</v>
      </c>
      <c r="AH86" s="1026">
        <v>0</v>
      </c>
      <c r="AI86" s="1026">
        <v>0</v>
      </c>
      <c r="AK86" s="1026">
        <v>17552049.671631943</v>
      </c>
      <c r="AL86" s="1026">
        <v>17552049.671631943</v>
      </c>
      <c r="AO86" s="1026">
        <v>26047458.064953335</v>
      </c>
      <c r="AP86" s="1026">
        <v>26047458.064953335</v>
      </c>
      <c r="AQ86" s="1026">
        <v>0</v>
      </c>
      <c r="AS86" s="1026">
        <v>39706800.0554225</v>
      </c>
      <c r="AT86" s="1026">
        <v>33311175.055422504</v>
      </c>
      <c r="AU86" s="1026">
        <v>6395625</v>
      </c>
      <c r="AW86" s="1026">
        <v>0</v>
      </c>
      <c r="BB86" s="1026">
        <v>268295822.40265945</v>
      </c>
      <c r="BC86" s="1026">
        <v>268295822.40265945</v>
      </c>
      <c r="BD86" s="1026">
        <v>268295822.40265945</v>
      </c>
      <c r="BE86" s="1026">
        <v>0</v>
      </c>
      <c r="BJ86" s="1026">
        <v>0</v>
      </c>
      <c r="BL86" s="1026">
        <v>0</v>
      </c>
      <c r="BQ86" s="1026">
        <v>0</v>
      </c>
      <c r="BS86" s="1026">
        <v>0</v>
      </c>
      <c r="BX86" s="1026">
        <v>0</v>
      </c>
      <c r="CD86" s="1026">
        <v>0</v>
      </c>
      <c r="CE86" s="1026">
        <v>0</v>
      </c>
      <c r="CH86" s="1026">
        <v>0</v>
      </c>
      <c r="CL86" s="1026">
        <v>0</v>
      </c>
      <c r="CQ86" s="1026">
        <v>0</v>
      </c>
      <c r="CR86" s="1026">
        <v>0</v>
      </c>
      <c r="CU86" s="1026">
        <v>0</v>
      </c>
      <c r="CY86" s="1026">
        <v>0</v>
      </c>
      <c r="DA86" s="1026">
        <v>0</v>
      </c>
      <c r="DB86" s="1026">
        <v>0</v>
      </c>
      <c r="DH86" s="1026">
        <v>697881747.40170503</v>
      </c>
      <c r="DI86" s="1026">
        <v>69579990.090000004</v>
      </c>
      <c r="DJ86" s="1026">
        <v>2953979.23</v>
      </c>
      <c r="DK86" s="1026">
        <v>220012346.37850207</v>
      </c>
      <c r="DL86" s="1026">
        <v>405335431.7032029</v>
      </c>
      <c r="DN86" s="1026">
        <v>600377007.21446669</v>
      </c>
      <c r="DQ86" s="1026">
        <v>2772018679.2389398</v>
      </c>
      <c r="DT86" s="1026">
        <v>3.7566661834716797E-2</v>
      </c>
    </row>
    <row r="87" spans="2:124">
      <c r="B87" s="1790">
        <v>44136</v>
      </c>
      <c r="C87" s="1026">
        <v>1224358450.4429793</v>
      </c>
      <c r="D87" s="1026">
        <v>1224358450.4429793</v>
      </c>
      <c r="E87" s="1026">
        <v>696773750.23507452</v>
      </c>
      <c r="F87" s="1026">
        <v>527584700.20790493</v>
      </c>
      <c r="O87" s="1026">
        <v>104406324.1949185</v>
      </c>
      <c r="P87" s="1026">
        <v>13763878.994907083</v>
      </c>
      <c r="Q87" s="1026">
        <v>1376985.324708333</v>
      </c>
      <c r="R87" s="1026">
        <v>1211693.7376487497</v>
      </c>
      <c r="S87" s="1026">
        <v>165291.58705958334</v>
      </c>
      <c r="U87" s="1026">
        <v>12386893.67019875</v>
      </c>
      <c r="V87" s="1026">
        <v>736685.60464055557</v>
      </c>
      <c r="W87" s="1026">
        <v>11650208.065558195</v>
      </c>
      <c r="Y87" s="1026">
        <v>0</v>
      </c>
      <c r="AC87" s="1026">
        <v>0</v>
      </c>
      <c r="AE87" s="1026">
        <v>0</v>
      </c>
      <c r="AG87" s="1026">
        <v>18532432.262765832</v>
      </c>
      <c r="AH87" s="1026">
        <v>10906342.170381667</v>
      </c>
      <c r="AI87" s="1026">
        <v>7626090.092384167</v>
      </c>
      <c r="AK87" s="1026">
        <v>16618587.877083333</v>
      </c>
      <c r="AL87" s="1026">
        <v>16618587.877083333</v>
      </c>
      <c r="AO87" s="1026">
        <v>21226970.792816669</v>
      </c>
      <c r="AP87" s="1026">
        <v>6098766.8429899998</v>
      </c>
      <c r="AQ87" s="1026">
        <v>15128203.949826667</v>
      </c>
      <c r="AS87" s="1026">
        <v>34264454.267345592</v>
      </c>
      <c r="AT87" s="1026">
        <v>30157165.378456701</v>
      </c>
      <c r="AU87" s="1026">
        <v>4107288.888888889</v>
      </c>
      <c r="AW87" s="1026">
        <v>0</v>
      </c>
      <c r="BB87" s="1026">
        <v>226382425.15692633</v>
      </c>
      <c r="BC87" s="1026">
        <v>226382425.15692633</v>
      </c>
      <c r="BD87" s="1026">
        <v>226382425.15692633</v>
      </c>
      <c r="BE87" s="1026">
        <v>0</v>
      </c>
      <c r="BJ87" s="1026">
        <v>0</v>
      </c>
      <c r="BL87" s="1026">
        <v>0</v>
      </c>
      <c r="BQ87" s="1026">
        <v>0</v>
      </c>
      <c r="BS87" s="1026">
        <v>0</v>
      </c>
      <c r="BX87" s="1026">
        <v>0</v>
      </c>
      <c r="CD87" s="1026">
        <v>0</v>
      </c>
      <c r="CE87" s="1026">
        <v>0</v>
      </c>
      <c r="CH87" s="1026">
        <v>0</v>
      </c>
      <c r="CL87" s="1026">
        <v>0</v>
      </c>
      <c r="CQ87" s="1026">
        <v>0</v>
      </c>
      <c r="CR87" s="1026">
        <v>0</v>
      </c>
      <c r="CU87" s="1026">
        <v>0</v>
      </c>
      <c r="CY87" s="1026">
        <v>0</v>
      </c>
      <c r="DA87" s="1026">
        <v>0</v>
      </c>
      <c r="DB87" s="1026">
        <v>0</v>
      </c>
      <c r="DH87" s="1026">
        <v>762017277.34029198</v>
      </c>
      <c r="DI87" s="1026">
        <v>88204598.129999995</v>
      </c>
      <c r="DJ87" s="1026">
        <v>3864395.78</v>
      </c>
      <c r="DK87" s="1026">
        <v>252227276.04889232</v>
      </c>
      <c r="DL87" s="1026">
        <v>417721007.38139969</v>
      </c>
      <c r="DN87" s="1026">
        <v>368848629.47620934</v>
      </c>
      <c r="DQ87" s="1026">
        <v>2686013106.6113253</v>
      </c>
      <c r="DT87" s="1026">
        <v>0</v>
      </c>
    </row>
    <row r="88" spans="2:124">
      <c r="B88" s="1790">
        <v>44166</v>
      </c>
      <c r="C88" s="1026">
        <v>1341914330.3396358</v>
      </c>
      <c r="D88" s="1026">
        <v>1341914330.3396358</v>
      </c>
      <c r="E88" s="1026">
        <v>955259600.27330291</v>
      </c>
      <c r="F88" s="1026">
        <v>386654730.06633294</v>
      </c>
      <c r="O88" s="1026">
        <v>228483394.16377568</v>
      </c>
      <c r="P88" s="1026">
        <v>143403273.03379595</v>
      </c>
      <c r="Q88" s="1026">
        <v>1332086.6478333334</v>
      </c>
      <c r="R88" s="1026">
        <v>1166795.0607737501</v>
      </c>
      <c r="S88" s="1026">
        <v>165291.58705958334</v>
      </c>
      <c r="U88" s="1026">
        <v>142071186.38596261</v>
      </c>
      <c r="V88" s="1026">
        <v>23022580.501515552</v>
      </c>
      <c r="W88" s="1026">
        <v>119048605.88444707</v>
      </c>
      <c r="Y88" s="1026">
        <v>0</v>
      </c>
      <c r="AC88" s="1026">
        <v>0</v>
      </c>
      <c r="AE88" s="1026">
        <v>0</v>
      </c>
      <c r="AG88" s="1026">
        <v>14548252.386099167</v>
      </c>
      <c r="AH88" s="1026">
        <v>6922162.2937150002</v>
      </c>
      <c r="AI88" s="1026">
        <v>7626090.092384167</v>
      </c>
      <c r="AK88" s="1026">
        <v>15139862.767083334</v>
      </c>
      <c r="AL88" s="1026">
        <v>15139862.767083334</v>
      </c>
      <c r="AO88" s="1026">
        <v>24275337.059451666</v>
      </c>
      <c r="AP88" s="1026">
        <v>9135533.4396249987</v>
      </c>
      <c r="AQ88" s="1026">
        <v>15139803.619826667</v>
      </c>
      <c r="AS88" s="1026">
        <v>31116668.917345557</v>
      </c>
      <c r="AT88" s="1026">
        <v>27009380.028456669</v>
      </c>
      <c r="AU88" s="1026">
        <v>4107288.888888889</v>
      </c>
      <c r="AW88" s="1026">
        <v>0</v>
      </c>
      <c r="BB88" s="1026">
        <v>175144431.9471685</v>
      </c>
      <c r="BC88" s="1026">
        <v>175144431.9471685</v>
      </c>
      <c r="BD88" s="1026">
        <v>175144431.9471685</v>
      </c>
      <c r="BE88" s="1026">
        <v>0</v>
      </c>
      <c r="BJ88" s="1026">
        <v>0</v>
      </c>
      <c r="BL88" s="1026">
        <v>0</v>
      </c>
      <c r="BQ88" s="1026">
        <v>0</v>
      </c>
      <c r="BS88" s="1026">
        <v>0</v>
      </c>
      <c r="BX88" s="1026">
        <v>0</v>
      </c>
      <c r="CD88" s="1026">
        <v>0</v>
      </c>
      <c r="CE88" s="1026">
        <v>0</v>
      </c>
      <c r="CH88" s="1026">
        <v>0</v>
      </c>
      <c r="CL88" s="1026">
        <v>0</v>
      </c>
      <c r="CQ88" s="1026">
        <v>0</v>
      </c>
      <c r="CR88" s="1026">
        <v>0</v>
      </c>
      <c r="CU88" s="1026">
        <v>0</v>
      </c>
      <c r="CY88" s="1026">
        <v>0</v>
      </c>
      <c r="DA88" s="1026">
        <v>0</v>
      </c>
      <c r="DB88" s="1026">
        <v>0</v>
      </c>
      <c r="DH88" s="1026">
        <v>784097630.08572698</v>
      </c>
      <c r="DI88" s="1026">
        <v>98529316.629999995</v>
      </c>
      <c r="DJ88" s="1026">
        <v>5175041.84</v>
      </c>
      <c r="DK88" s="1026">
        <v>257696925.80180568</v>
      </c>
      <c r="DL88" s="1026">
        <v>422696345.81392133</v>
      </c>
      <c r="DN88" s="1026">
        <v>373175495.98340487</v>
      </c>
      <c r="DQ88" s="1026">
        <v>2902815282.5197124</v>
      </c>
      <c r="DT88" s="1026">
        <v>-1.33514404296875E-3</v>
      </c>
    </row>
    <row r="89" spans="2:124">
      <c r="B89" s="1790">
        <v>44197</v>
      </c>
      <c r="C89" s="1026">
        <v>1418953965.6950197</v>
      </c>
      <c r="D89" s="1026">
        <v>1418953965.6950197</v>
      </c>
      <c r="E89" s="1026">
        <v>881757911.97770107</v>
      </c>
      <c r="F89" s="1026">
        <v>537196053.71731853</v>
      </c>
      <c r="O89" s="1026">
        <v>245312504.60129401</v>
      </c>
      <c r="P89" s="1026">
        <v>132093339.08457153</v>
      </c>
      <c r="Q89" s="1026">
        <v>1714102.8435300002</v>
      </c>
      <c r="R89" s="1026">
        <v>1460353.2037822225</v>
      </c>
      <c r="S89" s="1026">
        <v>253749.63974777778</v>
      </c>
      <c r="U89" s="1026">
        <v>130379236.24104153</v>
      </c>
      <c r="V89" s="1026">
        <v>6710821.4297388885</v>
      </c>
      <c r="W89" s="1026">
        <v>123668414.81130263</v>
      </c>
      <c r="Y89" s="1026">
        <v>0</v>
      </c>
      <c r="AC89" s="1026">
        <v>0</v>
      </c>
      <c r="AE89" s="1026">
        <v>0</v>
      </c>
      <c r="AG89" s="1026">
        <v>16184324.364778055</v>
      </c>
      <c r="AH89" s="1026">
        <v>14576644.865708055</v>
      </c>
      <c r="AI89" s="1026">
        <v>1607679.4990699999</v>
      </c>
      <c r="AK89" s="1026">
        <v>15229088.272624444</v>
      </c>
      <c r="AL89" s="1026">
        <v>10715953.897624444</v>
      </c>
      <c r="AM89" s="1026">
        <v>4513134.375</v>
      </c>
      <c r="AO89" s="1026">
        <v>24626508.025428336</v>
      </c>
      <c r="AP89" s="1026">
        <v>24626508.025428336</v>
      </c>
      <c r="AQ89" s="1026">
        <v>0</v>
      </c>
      <c r="AS89" s="1026">
        <v>57179244.853891671</v>
      </c>
      <c r="AT89" s="1026">
        <v>57179244.853891671</v>
      </c>
      <c r="AU89" s="1026">
        <v>0</v>
      </c>
      <c r="AW89" s="1026">
        <v>0</v>
      </c>
      <c r="BB89" s="1026">
        <v>179762785.34878638</v>
      </c>
      <c r="BC89" s="1026">
        <v>179762785.34878638</v>
      </c>
      <c r="BD89" s="1026">
        <v>179762785.34878638</v>
      </c>
      <c r="BE89" s="1026">
        <v>0</v>
      </c>
      <c r="BJ89" s="1026">
        <v>0</v>
      </c>
      <c r="BL89" s="1026">
        <v>0</v>
      </c>
      <c r="BQ89" s="1026">
        <v>0</v>
      </c>
      <c r="BS89" s="1026">
        <v>0</v>
      </c>
      <c r="BX89" s="1026">
        <v>0</v>
      </c>
      <c r="CD89" s="1026">
        <v>0</v>
      </c>
      <c r="CE89" s="1026">
        <v>0</v>
      </c>
      <c r="CH89" s="1026">
        <v>0</v>
      </c>
      <c r="CL89" s="1026">
        <v>0</v>
      </c>
      <c r="CQ89" s="1026">
        <v>0</v>
      </c>
      <c r="CR89" s="1026">
        <v>0</v>
      </c>
      <c r="CU89" s="1026">
        <v>0</v>
      </c>
      <c r="CY89" s="1026">
        <v>0</v>
      </c>
      <c r="DA89" s="1026">
        <v>0</v>
      </c>
      <c r="DB89" s="1026">
        <v>0</v>
      </c>
      <c r="DH89" s="1026">
        <v>922660457.80187905</v>
      </c>
      <c r="DI89" s="1026">
        <v>115035735.53</v>
      </c>
      <c r="DJ89" s="1026">
        <v>3873560.66</v>
      </c>
      <c r="DK89" s="1026">
        <v>58099254.877102792</v>
      </c>
      <c r="DL89" s="1026">
        <v>745651906.73477626</v>
      </c>
      <c r="DN89" s="1026">
        <v>403825700.65444875</v>
      </c>
      <c r="DQ89" s="1026">
        <v>3170515414.101428</v>
      </c>
    </row>
    <row r="90" spans="2:124">
      <c r="B90" s="1790">
        <v>44228</v>
      </c>
      <c r="C90" s="1026">
        <v>1623635599.3750765</v>
      </c>
      <c r="D90" s="1026">
        <v>1623635599.3750765</v>
      </c>
      <c r="E90" s="1026">
        <v>1087742396.0734522</v>
      </c>
      <c r="F90" s="1026">
        <v>535893203.30162436</v>
      </c>
      <c r="O90" s="1026">
        <v>280836870.02792197</v>
      </c>
      <c r="P90" s="1026">
        <v>166492715.07277918</v>
      </c>
      <c r="Q90" s="1026">
        <v>6297032.1648902781</v>
      </c>
      <c r="R90" s="1026">
        <v>6117384.3103394443</v>
      </c>
      <c r="S90" s="1026">
        <v>179647.85455083335</v>
      </c>
      <c r="U90" s="1026">
        <v>160195682.90788889</v>
      </c>
      <c r="V90" s="1026">
        <v>145786285.98941362</v>
      </c>
      <c r="W90" s="1026">
        <v>14409396.918475278</v>
      </c>
      <c r="Y90" s="1026">
        <v>0</v>
      </c>
      <c r="AC90" s="1026">
        <v>0</v>
      </c>
      <c r="AE90" s="1026">
        <v>0</v>
      </c>
      <c r="AG90" s="1026">
        <v>13384755.922177501</v>
      </c>
      <c r="AH90" s="1026">
        <v>13273761.677870834</v>
      </c>
      <c r="AI90" s="1026">
        <v>110994.24430666667</v>
      </c>
      <c r="AK90" s="1026">
        <v>10734291.373572223</v>
      </c>
      <c r="AL90" s="1026">
        <v>10734291.373572223</v>
      </c>
      <c r="AM90" s="1026">
        <v>0</v>
      </c>
      <c r="AO90" s="1026">
        <v>19887015.987164166</v>
      </c>
      <c r="AP90" s="1026">
        <v>19887015.987164166</v>
      </c>
      <c r="AQ90" s="1026">
        <v>0</v>
      </c>
      <c r="AS90" s="1026">
        <v>70338091.672228903</v>
      </c>
      <c r="AT90" s="1026">
        <v>65270591.672228895</v>
      </c>
      <c r="AU90" s="1026">
        <v>5067500</v>
      </c>
      <c r="AW90" s="1026">
        <v>0</v>
      </c>
      <c r="BB90" s="1026">
        <v>176812909.07910162</v>
      </c>
      <c r="BC90" s="1026">
        <v>176812909.07910162</v>
      </c>
      <c r="BD90" s="1026">
        <v>176812909.07910162</v>
      </c>
      <c r="BE90" s="1026">
        <v>0</v>
      </c>
      <c r="BJ90" s="1026">
        <v>0</v>
      </c>
      <c r="BL90" s="1026">
        <v>0</v>
      </c>
      <c r="BQ90" s="1026">
        <v>0</v>
      </c>
      <c r="BS90" s="1026">
        <v>0</v>
      </c>
      <c r="BX90" s="1026">
        <v>0</v>
      </c>
      <c r="CD90" s="1026">
        <v>0</v>
      </c>
      <c r="CE90" s="1026">
        <v>0</v>
      </c>
      <c r="CH90" s="1026">
        <v>0</v>
      </c>
      <c r="CL90" s="1026">
        <v>0</v>
      </c>
      <c r="CQ90" s="1026">
        <v>0</v>
      </c>
      <c r="CR90" s="1026">
        <v>0</v>
      </c>
      <c r="CU90" s="1026">
        <v>0</v>
      </c>
      <c r="CY90" s="1026">
        <v>0</v>
      </c>
      <c r="DA90" s="1026">
        <v>0</v>
      </c>
      <c r="DB90" s="1026">
        <v>0</v>
      </c>
      <c r="DH90" s="1026">
        <v>1110232201.4203</v>
      </c>
      <c r="DI90" s="1026">
        <v>99696323.900000006</v>
      </c>
      <c r="DJ90" s="1026">
        <v>6011928.79</v>
      </c>
      <c r="DK90" s="1026">
        <v>51492374.481058747</v>
      </c>
      <c r="DL90" s="1026">
        <v>953031574.24924135</v>
      </c>
      <c r="DN90" s="1026">
        <v>475660904.72922403</v>
      </c>
      <c r="DQ90" s="1026">
        <v>3667178484.6316242</v>
      </c>
      <c r="DT90" s="1026">
        <v>-3.2196044921875E-3</v>
      </c>
    </row>
    <row r="91" spans="2:124">
      <c r="B91" s="1790">
        <v>44256</v>
      </c>
      <c r="C91" s="1026">
        <v>1570789285.634398</v>
      </c>
      <c r="D91" s="1026">
        <v>1570789285.634398</v>
      </c>
      <c r="E91" s="1026">
        <v>1100894837.3989542</v>
      </c>
      <c r="F91" s="1026">
        <v>469894448.23544389</v>
      </c>
      <c r="O91" s="1026">
        <v>362428440</v>
      </c>
      <c r="P91" s="1026">
        <v>133376132.80161083</v>
      </c>
      <c r="Q91" s="1026">
        <v>1739581.84482694</v>
      </c>
      <c r="R91" s="1026">
        <v>1574169.8853706899</v>
      </c>
      <c r="S91" s="1026">
        <v>165411.95945624998</v>
      </c>
      <c r="U91" s="1026">
        <v>131636550.95678389</v>
      </c>
      <c r="V91" s="1026">
        <v>121522176.23740639</v>
      </c>
      <c r="W91" s="1026">
        <v>10114374.719377499</v>
      </c>
      <c r="Y91" s="1026">
        <v>0</v>
      </c>
      <c r="AC91" s="1026">
        <v>0</v>
      </c>
      <c r="AE91" s="1026">
        <v>0</v>
      </c>
      <c r="AG91" s="1026">
        <v>27800489.724083614</v>
      </c>
      <c r="AH91" s="1026">
        <v>26459727.797247779</v>
      </c>
      <c r="AI91" s="1026">
        <v>1340761.9268358334</v>
      </c>
      <c r="AK91" s="1026">
        <v>15481531.280768333</v>
      </c>
      <c r="AL91" s="1026">
        <v>10805946.595128333</v>
      </c>
      <c r="AM91" s="1026">
        <v>4675584.6856399998</v>
      </c>
      <c r="AO91" s="1026">
        <v>115711752.50344166</v>
      </c>
      <c r="AP91" s="1026">
        <v>115711752.50344166</v>
      </c>
      <c r="AQ91" s="1026">
        <v>0</v>
      </c>
      <c r="AS91" s="1026">
        <v>70058533.690095559</v>
      </c>
      <c r="AT91" s="1026">
        <v>59250425.356762223</v>
      </c>
      <c r="AU91" s="1026">
        <v>10808108.333333334</v>
      </c>
      <c r="AW91" s="1026">
        <v>0</v>
      </c>
      <c r="BB91" s="1026">
        <v>200200316.96487519</v>
      </c>
      <c r="BC91" s="1026">
        <v>200200316.96487519</v>
      </c>
      <c r="BD91" s="1026">
        <v>200200316.96487519</v>
      </c>
      <c r="BE91" s="1026">
        <v>0</v>
      </c>
      <c r="BJ91" s="1026">
        <v>0</v>
      </c>
      <c r="BL91" s="1026">
        <v>0</v>
      </c>
      <c r="BQ91" s="1026">
        <v>0</v>
      </c>
      <c r="BS91" s="1026">
        <v>0</v>
      </c>
      <c r="BX91" s="1026">
        <v>0</v>
      </c>
      <c r="CD91" s="1026">
        <v>0</v>
      </c>
      <c r="CE91" s="1026">
        <v>0</v>
      </c>
      <c r="CH91" s="1026">
        <v>0</v>
      </c>
      <c r="CL91" s="1026">
        <v>0</v>
      </c>
      <c r="CQ91" s="1026">
        <v>0</v>
      </c>
      <c r="CR91" s="1026">
        <v>0</v>
      </c>
      <c r="CU91" s="1026">
        <v>0</v>
      </c>
      <c r="CY91" s="1026">
        <v>0</v>
      </c>
      <c r="DA91" s="1026">
        <v>0</v>
      </c>
      <c r="DB91" s="1026">
        <v>0</v>
      </c>
      <c r="DH91" s="1026">
        <v>1129821388.8763499</v>
      </c>
      <c r="DI91" s="1026">
        <v>113561438.45999999</v>
      </c>
      <c r="DJ91" s="1026">
        <v>6290741.8899999997</v>
      </c>
      <c r="DK91" s="1026">
        <v>38666160.655484319</v>
      </c>
      <c r="DL91" s="1026">
        <v>971303047.87086558</v>
      </c>
      <c r="DN91" s="1026">
        <v>440049663.61778551</v>
      </c>
      <c r="DQ91" s="1026">
        <v>3703289095.0934086</v>
      </c>
      <c r="DT91" s="1026">
        <v>4.3764114379882813E-3</v>
      </c>
    </row>
    <row r="92" spans="2:124">
      <c r="B92" s="1790">
        <v>44287</v>
      </c>
      <c r="C92" s="1026">
        <v>1707727612.4573131</v>
      </c>
      <c r="D92" s="1026">
        <v>1707727612.4573131</v>
      </c>
      <c r="E92" s="1026">
        <v>1151813505.6860418</v>
      </c>
      <c r="F92" s="1026">
        <v>555914106.77127135</v>
      </c>
      <c r="O92" s="1026">
        <v>379492478.53467393</v>
      </c>
      <c r="P92" s="1026">
        <v>128772690.94292778</v>
      </c>
      <c r="Q92" s="1026">
        <v>2097915.3852433334</v>
      </c>
      <c r="R92" s="1026">
        <v>1909716.80668125</v>
      </c>
      <c r="S92" s="1026">
        <v>188198.57856208336</v>
      </c>
      <c r="U92" s="1026">
        <v>126674775.55768445</v>
      </c>
      <c r="V92" s="1026">
        <v>116314163.34166194</v>
      </c>
      <c r="W92" s="1026">
        <v>10360612.216022501</v>
      </c>
      <c r="Y92" s="1026">
        <v>0</v>
      </c>
      <c r="AC92" s="1026">
        <v>30172500.489999998</v>
      </c>
      <c r="AD92" s="1026">
        <v>30172500.489999998</v>
      </c>
      <c r="AE92" s="1026">
        <v>0</v>
      </c>
      <c r="AG92" s="1026">
        <v>7624719.4997247225</v>
      </c>
      <c r="AH92" s="1026">
        <v>7624719.4997247225</v>
      </c>
      <c r="AI92" s="1026">
        <v>0</v>
      </c>
      <c r="AK92" s="1026">
        <v>20848317.372135002</v>
      </c>
      <c r="AL92" s="1026">
        <v>15903430.541945001</v>
      </c>
      <c r="AM92" s="1026">
        <v>4944886.8301900001</v>
      </c>
      <c r="AO92" s="1026">
        <v>119004568.19947916</v>
      </c>
      <c r="AP92" s="1026">
        <v>37535679.313929163</v>
      </c>
      <c r="AQ92" s="1026">
        <v>81468888.885549992</v>
      </c>
      <c r="AS92" s="1026">
        <v>73069682.03040722</v>
      </c>
      <c r="AT92" s="1026">
        <v>62150328.905407228</v>
      </c>
      <c r="AU92" s="1026">
        <v>10919353.125</v>
      </c>
      <c r="AW92" s="1026">
        <v>0</v>
      </c>
      <c r="BB92" s="1026">
        <v>165318703.85722369</v>
      </c>
      <c r="BC92" s="1026">
        <v>165318703.85722369</v>
      </c>
      <c r="BD92" s="1026">
        <v>165318703.85722369</v>
      </c>
      <c r="BE92" s="1026">
        <v>0</v>
      </c>
      <c r="BJ92" s="1026">
        <v>0</v>
      </c>
      <c r="BL92" s="1026">
        <v>0</v>
      </c>
      <c r="BQ92" s="1026">
        <v>0</v>
      </c>
      <c r="BS92" s="1026">
        <v>0</v>
      </c>
      <c r="BX92" s="1026">
        <v>0</v>
      </c>
      <c r="CD92" s="1026">
        <v>0</v>
      </c>
      <c r="CE92" s="1026">
        <v>0</v>
      </c>
      <c r="CH92" s="1026">
        <v>0</v>
      </c>
      <c r="CL92" s="1026">
        <v>0</v>
      </c>
      <c r="CQ92" s="1026">
        <v>0</v>
      </c>
      <c r="CR92" s="1026">
        <v>0</v>
      </c>
      <c r="CU92" s="1026">
        <v>0</v>
      </c>
      <c r="CY92" s="1026">
        <v>0</v>
      </c>
      <c r="DA92" s="1026">
        <v>0</v>
      </c>
      <c r="DB92" s="1026">
        <v>0</v>
      </c>
      <c r="DH92" s="1026">
        <v>1186253996.0169101</v>
      </c>
      <c r="DI92" s="1026">
        <v>96152517.482360795</v>
      </c>
      <c r="DJ92" s="1026">
        <v>4445245.09946902</v>
      </c>
      <c r="DK92" s="1026">
        <v>94926677.068134785</v>
      </c>
      <c r="DL92" s="1026">
        <v>990729556.36694551</v>
      </c>
      <c r="DN92" s="1026">
        <v>380561297.79765695</v>
      </c>
      <c r="DQ92" s="1026">
        <v>3819354088.6637778</v>
      </c>
    </row>
    <row r="93" spans="2:124">
      <c r="B93" s="1790">
        <v>44317</v>
      </c>
      <c r="C93" s="1026">
        <v>1986842338.7500105</v>
      </c>
      <c r="D93" s="1026">
        <v>1986842338.7500105</v>
      </c>
      <c r="E93" s="1026">
        <v>1213888637.558419</v>
      </c>
      <c r="F93" s="1026">
        <v>772953701.1915915</v>
      </c>
      <c r="O93" s="1026">
        <v>435570090.9531427</v>
      </c>
      <c r="P93" s="1026">
        <v>139594763.82602081</v>
      </c>
      <c r="Q93" s="1026">
        <v>3429225.0712916669</v>
      </c>
      <c r="R93" s="1026">
        <v>1734855.2412300003</v>
      </c>
      <c r="S93" s="1026">
        <v>1694369.8300616667</v>
      </c>
      <c r="U93" s="1026">
        <v>136165538.75472915</v>
      </c>
      <c r="V93" s="1026">
        <v>116096231.57395443</v>
      </c>
      <c r="W93" s="1026">
        <v>20069307.180774722</v>
      </c>
      <c r="Y93" s="1026">
        <v>0</v>
      </c>
      <c r="AC93" s="1026">
        <v>0</v>
      </c>
      <c r="AD93" s="1026">
        <v>0</v>
      </c>
      <c r="AE93" s="1026">
        <v>0</v>
      </c>
      <c r="AG93" s="1026">
        <v>0</v>
      </c>
      <c r="AH93" s="1026">
        <v>0</v>
      </c>
      <c r="AI93" s="1026">
        <v>0</v>
      </c>
      <c r="AK93" s="1026">
        <v>15439046.191608334</v>
      </c>
      <c r="AL93" s="1026">
        <v>15439046.191608334</v>
      </c>
      <c r="AM93" s="1026">
        <v>0</v>
      </c>
      <c r="AO93" s="1026">
        <v>209236835.1876736</v>
      </c>
      <c r="AP93" s="1026">
        <v>209236835.1876736</v>
      </c>
      <c r="AQ93" s="1026">
        <v>0</v>
      </c>
      <c r="AS93" s="1026">
        <v>71299445.747840002</v>
      </c>
      <c r="AT93" s="1026">
        <v>71299445.747840002</v>
      </c>
      <c r="AU93" s="1026">
        <v>0</v>
      </c>
      <c r="AW93" s="1026">
        <v>0</v>
      </c>
      <c r="BB93" s="1026">
        <v>166384765.04371271</v>
      </c>
      <c r="BC93" s="1026">
        <v>166384765.04371271</v>
      </c>
      <c r="BD93" s="1026">
        <v>166384765.04371271</v>
      </c>
      <c r="BE93" s="1026">
        <v>0</v>
      </c>
      <c r="BJ93" s="1026">
        <v>0</v>
      </c>
      <c r="BL93" s="1026">
        <v>0</v>
      </c>
      <c r="BQ93" s="1026">
        <v>0</v>
      </c>
      <c r="BS93" s="1026">
        <v>0</v>
      </c>
      <c r="BX93" s="1026">
        <v>0</v>
      </c>
      <c r="CD93" s="1026">
        <v>0</v>
      </c>
      <c r="CE93" s="1026">
        <v>0</v>
      </c>
      <c r="CH93" s="1026">
        <v>0</v>
      </c>
      <c r="CL93" s="1026">
        <v>0</v>
      </c>
      <c r="CQ93" s="1026">
        <v>0</v>
      </c>
      <c r="CR93" s="1026">
        <v>0</v>
      </c>
      <c r="CU93" s="1026">
        <v>0</v>
      </c>
      <c r="CY93" s="1026">
        <v>0</v>
      </c>
      <c r="DA93" s="1026">
        <v>0</v>
      </c>
      <c r="DB93" s="1026">
        <v>0</v>
      </c>
      <c r="DH93" s="1026">
        <v>1300105293.13782</v>
      </c>
      <c r="DI93" s="1026">
        <v>87520108.794867307</v>
      </c>
      <c r="DJ93" s="1026">
        <v>4334904.5905990498</v>
      </c>
      <c r="DK93" s="1026">
        <v>165586987.95103061</v>
      </c>
      <c r="DL93" s="1026">
        <v>1042663291.8013231</v>
      </c>
      <c r="DN93" s="1026">
        <v>401800270.20783991</v>
      </c>
      <c r="DQ93" s="1026">
        <v>4290702758.0925255</v>
      </c>
    </row>
    <row r="94" spans="2:124">
      <c r="B94" s="1790">
        <v>44348</v>
      </c>
      <c r="C94" s="1026">
        <v>2144176711.2785811</v>
      </c>
      <c r="D94" s="1026">
        <v>2144176711.2785811</v>
      </c>
      <c r="E94" s="1026">
        <v>1361473997.4634624</v>
      </c>
      <c r="F94" s="1026">
        <v>782702713.81511891</v>
      </c>
      <c r="O94" s="1026">
        <v>479363489.08248627</v>
      </c>
      <c r="P94" s="1026">
        <v>149597231.17222208</v>
      </c>
      <c r="Q94" s="1026">
        <v>5935041.5957945827</v>
      </c>
      <c r="R94" s="1026">
        <v>2476185.1996459723</v>
      </c>
      <c r="S94" s="1026">
        <v>3458856.3961486109</v>
      </c>
      <c r="U94" s="1026">
        <v>143662189.57642749</v>
      </c>
      <c r="V94" s="1026">
        <v>143570579.34160581</v>
      </c>
      <c r="W94" s="1026">
        <v>91610.234821666658</v>
      </c>
      <c r="Y94" s="1026">
        <v>0</v>
      </c>
      <c r="AC94" s="1026">
        <v>0</v>
      </c>
      <c r="AD94" s="1026">
        <v>0</v>
      </c>
      <c r="AE94" s="1026">
        <v>0</v>
      </c>
      <c r="AG94" s="1026">
        <v>0</v>
      </c>
      <c r="AH94" s="1026">
        <v>0</v>
      </c>
      <c r="AI94" s="1026">
        <v>0</v>
      </c>
      <c r="AK94" s="1026">
        <v>22536968.32402667</v>
      </c>
      <c r="AL94" s="1026">
        <v>17648644.530266669</v>
      </c>
      <c r="AM94" s="1026">
        <v>4888323.7937600007</v>
      </c>
      <c r="AO94" s="1026">
        <v>204753154.84377864</v>
      </c>
      <c r="AP94" s="1026">
        <v>204753154.84377864</v>
      </c>
      <c r="AQ94" s="1026">
        <v>0</v>
      </c>
      <c r="AS94" s="1026">
        <v>102476134.74245888</v>
      </c>
      <c r="AT94" s="1026">
        <v>75590509.74245888</v>
      </c>
      <c r="AU94" s="1026">
        <v>26885625</v>
      </c>
      <c r="AW94" s="1026">
        <v>0</v>
      </c>
      <c r="BB94" s="1026">
        <v>158400322.29815999</v>
      </c>
      <c r="BC94" s="1026">
        <v>158400322.29815999</v>
      </c>
      <c r="BD94" s="1026">
        <v>158400322.29815999</v>
      </c>
      <c r="BE94" s="1026">
        <v>0</v>
      </c>
      <c r="BJ94" s="1026">
        <v>0</v>
      </c>
      <c r="BL94" s="1026">
        <v>0</v>
      </c>
      <c r="BQ94" s="1026">
        <v>0</v>
      </c>
      <c r="BS94" s="1026">
        <v>0</v>
      </c>
      <c r="BX94" s="1026">
        <v>0</v>
      </c>
      <c r="CD94" s="1026">
        <v>0</v>
      </c>
      <c r="CE94" s="1026">
        <v>0</v>
      </c>
      <c r="CH94" s="1026">
        <v>0</v>
      </c>
      <c r="CL94" s="1026">
        <v>0</v>
      </c>
      <c r="CQ94" s="1026">
        <v>0</v>
      </c>
      <c r="CR94" s="1026">
        <v>0</v>
      </c>
      <c r="CU94" s="1026">
        <v>0</v>
      </c>
      <c r="CY94" s="1026">
        <v>0</v>
      </c>
      <c r="DA94" s="1026">
        <v>0</v>
      </c>
      <c r="DB94" s="1026">
        <v>0</v>
      </c>
      <c r="DH94" s="1026">
        <v>1364004392.1469297</v>
      </c>
      <c r="DI94" s="1026">
        <v>102693724.324867</v>
      </c>
      <c r="DJ94" s="1026">
        <v>4845464.4805990504</v>
      </c>
      <c r="DK94" s="1026">
        <v>210656152.46248615</v>
      </c>
      <c r="DL94" s="1026">
        <v>1045809050.8789777</v>
      </c>
      <c r="DN94" s="1026">
        <v>448634775.36310899</v>
      </c>
      <c r="DQ94" s="1026">
        <v>4594579690.1692657</v>
      </c>
    </row>
    <row r="95" spans="2:124">
      <c r="B95" s="1790">
        <v>44378</v>
      </c>
      <c r="C95" s="1026">
        <v>2393631601.7345309</v>
      </c>
      <c r="D95" s="1026">
        <v>2393631601.7345309</v>
      </c>
      <c r="E95" s="1026">
        <v>1551000153.8901329</v>
      </c>
      <c r="F95" s="1026">
        <v>842631447.84439802</v>
      </c>
      <c r="O95" s="1026">
        <v>520687791.77999997</v>
      </c>
      <c r="P95" s="1026">
        <v>152288299.84999999</v>
      </c>
      <c r="Q95" s="1026">
        <v>6054333.7699999996</v>
      </c>
      <c r="R95" s="1026">
        <v>4029442.53</v>
      </c>
      <c r="S95" s="1026">
        <v>2024891.24</v>
      </c>
      <c r="U95" s="1026">
        <v>146233966.07999998</v>
      </c>
      <c r="V95" s="1026">
        <v>136191673.41999999</v>
      </c>
      <c r="W95" s="1026">
        <v>10042292.66</v>
      </c>
      <c r="Y95" s="1026">
        <v>0</v>
      </c>
      <c r="AC95" s="1026">
        <v>0</v>
      </c>
      <c r="AD95" s="1026">
        <v>0</v>
      </c>
      <c r="AE95" s="1026">
        <v>0</v>
      </c>
      <c r="AG95" s="1026">
        <v>0</v>
      </c>
      <c r="AH95" s="1026">
        <v>0</v>
      </c>
      <c r="AI95" s="1026">
        <v>0</v>
      </c>
      <c r="AK95" s="1026">
        <v>23480056.909999996</v>
      </c>
      <c r="AL95" s="1026">
        <v>23480056.909999996</v>
      </c>
      <c r="AM95" s="1026">
        <v>0</v>
      </c>
      <c r="AO95" s="1026">
        <v>219799325.41999999</v>
      </c>
      <c r="AP95" s="1026">
        <v>219799325.41999999</v>
      </c>
      <c r="AQ95" s="1026">
        <v>0</v>
      </c>
      <c r="AS95" s="1026">
        <v>125120109.59999999</v>
      </c>
      <c r="AT95" s="1026">
        <v>70905160.640000001</v>
      </c>
      <c r="AU95" s="1026">
        <v>54214948.960000001</v>
      </c>
      <c r="AW95" s="1026">
        <v>0</v>
      </c>
      <c r="BB95" s="1026">
        <v>214784193.12146398</v>
      </c>
      <c r="BC95" s="1026">
        <v>214784193.12146398</v>
      </c>
      <c r="BD95" s="1026">
        <v>214784193.12146398</v>
      </c>
      <c r="BE95" s="1026">
        <v>0</v>
      </c>
      <c r="BJ95" s="1026">
        <v>0</v>
      </c>
      <c r="BL95" s="1026">
        <v>0</v>
      </c>
      <c r="BQ95" s="1026">
        <v>0</v>
      </c>
      <c r="BS95" s="1026">
        <v>0</v>
      </c>
      <c r="BX95" s="1026">
        <v>0</v>
      </c>
      <c r="CD95" s="1026">
        <v>0</v>
      </c>
      <c r="CE95" s="1026">
        <v>0</v>
      </c>
      <c r="CH95" s="1026">
        <v>0</v>
      </c>
      <c r="CL95" s="1026">
        <v>0</v>
      </c>
      <c r="CQ95" s="1026">
        <v>0</v>
      </c>
      <c r="CR95" s="1026">
        <v>0</v>
      </c>
      <c r="CU95" s="1026">
        <v>0</v>
      </c>
      <c r="CY95" s="1026">
        <v>0</v>
      </c>
      <c r="DA95" s="1026">
        <v>0</v>
      </c>
      <c r="DB95" s="1026">
        <v>0</v>
      </c>
      <c r="DH95" s="1026">
        <v>1675733123</v>
      </c>
      <c r="DI95" s="1026">
        <v>107429469.144867</v>
      </c>
      <c r="DJ95" s="1026">
        <v>5829490.79059905</v>
      </c>
      <c r="DK95" s="1026">
        <v>210656152.46248615</v>
      </c>
      <c r="DL95" s="1026">
        <v>1351818010.6020479</v>
      </c>
      <c r="DN95" s="1026">
        <v>471542648.31035602</v>
      </c>
      <c r="DQ95" s="1026">
        <v>5276379357.9463511</v>
      </c>
    </row>
    <row r="96" spans="2:124">
      <c r="B96" s="1790">
        <v>44409</v>
      </c>
      <c r="C96" s="1026">
        <v>2576016038.9091892</v>
      </c>
      <c r="D96" s="1026">
        <v>2576016038.9091892</v>
      </c>
      <c r="E96" s="1026">
        <v>1730922000.5211329</v>
      </c>
      <c r="F96" s="1026">
        <v>845094038.38805652</v>
      </c>
      <c r="O96" s="1026">
        <v>617823336.53328347</v>
      </c>
      <c r="P96" s="1026">
        <v>159910725.28327623</v>
      </c>
      <c r="Q96" s="1026">
        <v>7152470.2969526378</v>
      </c>
      <c r="R96" s="1026">
        <v>4370712.8819351383</v>
      </c>
      <c r="S96" s="1026">
        <v>2781757.4150174996</v>
      </c>
      <c r="U96" s="1026">
        <v>152758254.9863236</v>
      </c>
      <c r="V96" s="1026">
        <v>141812954.84876776</v>
      </c>
      <c r="W96" s="1026">
        <v>10945300.137555834</v>
      </c>
      <c r="Y96" s="1026">
        <v>0</v>
      </c>
      <c r="AC96" s="1026">
        <v>0</v>
      </c>
      <c r="AD96" s="1026">
        <v>0</v>
      </c>
      <c r="AE96" s="1026">
        <v>0</v>
      </c>
      <c r="AG96" s="1026">
        <v>0</v>
      </c>
      <c r="AH96" s="1026">
        <v>0</v>
      </c>
      <c r="AI96" s="1026">
        <v>0</v>
      </c>
      <c r="AK96" s="1026">
        <v>23467173.258254997</v>
      </c>
      <c r="AL96" s="1026">
        <v>18427224.484874997</v>
      </c>
      <c r="AM96" s="1026">
        <v>5039948.7733800001</v>
      </c>
      <c r="AO96" s="1026">
        <v>284586872.56290364</v>
      </c>
      <c r="AP96" s="1026">
        <v>283579789.22957033</v>
      </c>
      <c r="AQ96" s="1026">
        <v>1007083.3333333334</v>
      </c>
      <c r="AS96" s="1026">
        <v>149858565.42884862</v>
      </c>
      <c r="AT96" s="1026">
        <v>102742398.76218195</v>
      </c>
      <c r="AU96" s="1026">
        <v>47116166.666666664</v>
      </c>
      <c r="AW96" s="1026">
        <v>0</v>
      </c>
      <c r="BB96" s="1026">
        <v>160437129.35614401</v>
      </c>
      <c r="BC96" s="1026">
        <v>160437129.35614401</v>
      </c>
      <c r="BD96" s="1026">
        <v>160437129.35614401</v>
      </c>
      <c r="BE96" s="1026">
        <v>0</v>
      </c>
      <c r="BJ96" s="1026">
        <v>0</v>
      </c>
      <c r="BL96" s="1026">
        <v>0</v>
      </c>
      <c r="BQ96" s="1026">
        <v>0</v>
      </c>
      <c r="BS96" s="1026">
        <v>0</v>
      </c>
      <c r="BX96" s="1026">
        <v>0</v>
      </c>
      <c r="CD96" s="1026">
        <v>0</v>
      </c>
      <c r="CE96" s="1026">
        <v>0</v>
      </c>
      <c r="CH96" s="1026">
        <v>0</v>
      </c>
      <c r="CL96" s="1026">
        <v>0</v>
      </c>
      <c r="CQ96" s="1026">
        <v>0</v>
      </c>
      <c r="CR96" s="1026">
        <v>0</v>
      </c>
      <c r="CU96" s="1026">
        <v>0</v>
      </c>
      <c r="CY96" s="1026">
        <v>0</v>
      </c>
      <c r="DA96" s="1026">
        <v>0</v>
      </c>
      <c r="DB96" s="1026">
        <v>0</v>
      </c>
      <c r="DH96" s="1026">
        <v>1755337501.16677</v>
      </c>
      <c r="DI96" s="1026">
        <v>116313445.32486731</v>
      </c>
      <c r="DJ96" s="1026">
        <v>7320489.9463845193</v>
      </c>
      <c r="DK96" s="1026">
        <v>531048872.35088289</v>
      </c>
      <c r="DL96" s="1026">
        <v>1100654693.5446353</v>
      </c>
      <c r="DN96" s="1026">
        <v>556495648.31030107</v>
      </c>
      <c r="DQ96" s="1026">
        <v>5666109654.2756872</v>
      </c>
    </row>
    <row r="97" spans="2:124">
      <c r="B97" s="1790">
        <v>44440</v>
      </c>
      <c r="C97" s="1026">
        <v>2706003996.8984962</v>
      </c>
      <c r="D97" s="1026">
        <v>2706003996.8984962</v>
      </c>
      <c r="E97" s="1026">
        <v>1714993266.6976547</v>
      </c>
      <c r="F97" s="1026">
        <v>991010730.20084143</v>
      </c>
      <c r="O97" s="1026">
        <v>605371544.86074102</v>
      </c>
      <c r="P97" s="1026">
        <v>159267806.4176726</v>
      </c>
      <c r="Q97" s="1026">
        <v>7932625.2030937504</v>
      </c>
      <c r="R97" s="1026">
        <v>4885343.529166528</v>
      </c>
      <c r="S97" s="1026">
        <v>3047281.6739272224</v>
      </c>
      <c r="U97" s="1026">
        <v>151335181.21457887</v>
      </c>
      <c r="V97" s="1026">
        <v>147874409.76235053</v>
      </c>
      <c r="W97" s="1026">
        <v>3460771.4522283333</v>
      </c>
      <c r="Y97" s="1026">
        <v>0</v>
      </c>
      <c r="AC97" s="1026">
        <v>0</v>
      </c>
      <c r="AD97" s="1026">
        <v>0</v>
      </c>
      <c r="AE97" s="1026">
        <v>0</v>
      </c>
      <c r="AG97" s="1026">
        <v>0</v>
      </c>
      <c r="AH97" s="1026">
        <v>0</v>
      </c>
      <c r="AI97" s="1026">
        <v>0</v>
      </c>
      <c r="AK97" s="1026">
        <v>28699489.917830005</v>
      </c>
      <c r="AL97" s="1026">
        <v>28699489.917830005</v>
      </c>
      <c r="AO97" s="1026">
        <v>285529301.99303836</v>
      </c>
      <c r="AP97" s="1026">
        <v>283478438.55236501</v>
      </c>
      <c r="AQ97" s="1026">
        <v>2050863.4406733334</v>
      </c>
      <c r="AS97" s="1026">
        <v>131874946.53220001</v>
      </c>
      <c r="AT97" s="1026">
        <v>104988878.82386668</v>
      </c>
      <c r="AU97" s="1026">
        <v>26886067.708333332</v>
      </c>
      <c r="AW97" s="1026">
        <v>0</v>
      </c>
      <c r="BB97" s="1026">
        <v>161320399.886702</v>
      </c>
      <c r="BC97" s="1026">
        <v>161320399.886702</v>
      </c>
      <c r="BD97" s="1026">
        <v>161320399.886702</v>
      </c>
      <c r="BE97" s="1026">
        <v>0</v>
      </c>
      <c r="BJ97" s="1026">
        <v>0</v>
      </c>
      <c r="BL97" s="1026">
        <v>0</v>
      </c>
      <c r="BQ97" s="1026">
        <v>0</v>
      </c>
      <c r="BS97" s="1026">
        <v>0</v>
      </c>
      <c r="BX97" s="1026">
        <v>0</v>
      </c>
      <c r="CD97" s="1026">
        <v>0</v>
      </c>
      <c r="CE97" s="1026">
        <v>0</v>
      </c>
      <c r="CH97" s="1026">
        <v>0</v>
      </c>
      <c r="CL97" s="1026">
        <v>0</v>
      </c>
      <c r="CQ97" s="1026">
        <v>0</v>
      </c>
      <c r="CR97" s="1026">
        <v>0</v>
      </c>
      <c r="CU97" s="1026">
        <v>0</v>
      </c>
      <c r="CY97" s="1026">
        <v>0</v>
      </c>
      <c r="DA97" s="1026">
        <v>0</v>
      </c>
      <c r="DB97" s="1026">
        <v>0</v>
      </c>
      <c r="DH97" s="1026">
        <v>1969920393.1798301</v>
      </c>
      <c r="DI97" s="1026">
        <v>116313445.32486731</v>
      </c>
      <c r="DJ97" s="1026">
        <v>7320489.9463845193</v>
      </c>
      <c r="DK97" s="1026">
        <v>531048872.35088289</v>
      </c>
      <c r="DL97" s="1026">
        <v>1315237585.5576954</v>
      </c>
      <c r="DN97" s="1026">
        <v>515962257.77699941</v>
      </c>
      <c r="DQ97" s="1026">
        <v>5958578592.6027689</v>
      </c>
    </row>
    <row r="98" spans="2:124">
      <c r="B98" s="1790">
        <v>44470</v>
      </c>
      <c r="C98" s="1026">
        <v>2629161184.159513</v>
      </c>
      <c r="D98" s="1026">
        <v>2629161184.159513</v>
      </c>
      <c r="E98" s="1026">
        <v>1667430371.4917307</v>
      </c>
      <c r="F98" s="1026">
        <v>961730812.66778243</v>
      </c>
      <c r="G98" s="1026">
        <v>0</v>
      </c>
      <c r="O98" s="1026">
        <v>930834215.3178916</v>
      </c>
      <c r="P98" s="1026">
        <v>161007674.54326224</v>
      </c>
      <c r="Q98" s="1026">
        <v>6628803.4447311107</v>
      </c>
      <c r="R98" s="1026">
        <v>4616582.8945141668</v>
      </c>
      <c r="S98" s="1026">
        <v>2012220.5502169444</v>
      </c>
      <c r="U98" s="1026">
        <v>154378871.09853113</v>
      </c>
      <c r="V98" s="1026">
        <v>143129325.45510083</v>
      </c>
      <c r="W98" s="1026">
        <v>11249545.643430278</v>
      </c>
      <c r="Y98" s="1026">
        <v>0</v>
      </c>
      <c r="AC98" s="1026">
        <v>0</v>
      </c>
      <c r="AD98" s="1026">
        <v>0</v>
      </c>
      <c r="AE98" s="1026">
        <v>0</v>
      </c>
      <c r="AG98" s="1026">
        <v>0</v>
      </c>
      <c r="AH98" s="1026">
        <v>0</v>
      </c>
      <c r="AI98" s="1026">
        <v>0</v>
      </c>
      <c r="AK98" s="1026">
        <v>109096456.98095</v>
      </c>
      <c r="AL98" s="1026">
        <v>103907872.01645</v>
      </c>
      <c r="AM98" s="1026">
        <v>5188584.9645000007</v>
      </c>
      <c r="AO98" s="1026">
        <v>268140871.48996389</v>
      </c>
      <c r="AP98" s="1026">
        <v>267120093.7121861</v>
      </c>
      <c r="AQ98" s="1026">
        <v>1020777.7777777778</v>
      </c>
      <c r="AS98" s="1026">
        <v>392589212.30371547</v>
      </c>
      <c r="AT98" s="1026">
        <v>91850907.19775556</v>
      </c>
      <c r="AU98" s="1026">
        <v>300738305.10595989</v>
      </c>
      <c r="AW98" s="1026">
        <v>0</v>
      </c>
      <c r="BB98" s="1026">
        <v>165959288.178408</v>
      </c>
      <c r="BC98" s="1026">
        <v>165959288.178408</v>
      </c>
      <c r="BD98" s="1026">
        <v>165959288.178408</v>
      </c>
      <c r="BE98" s="1026">
        <v>0</v>
      </c>
      <c r="BJ98" s="1026">
        <v>0</v>
      </c>
      <c r="BL98" s="1026">
        <v>0</v>
      </c>
      <c r="BQ98" s="1026">
        <v>0</v>
      </c>
      <c r="BS98" s="1026">
        <v>0</v>
      </c>
      <c r="BX98" s="1026">
        <v>0</v>
      </c>
      <c r="CD98" s="1026">
        <v>0</v>
      </c>
      <c r="CE98" s="1026">
        <v>0</v>
      </c>
      <c r="CH98" s="1026">
        <v>0</v>
      </c>
      <c r="CL98" s="1026">
        <v>0</v>
      </c>
      <c r="CQ98" s="1026">
        <v>0</v>
      </c>
      <c r="CR98" s="1026">
        <v>0</v>
      </c>
      <c r="CU98" s="1026">
        <v>0</v>
      </c>
      <c r="CY98" s="1026">
        <v>0</v>
      </c>
      <c r="DA98" s="1026">
        <v>0</v>
      </c>
      <c r="DB98" s="1026">
        <v>0</v>
      </c>
      <c r="DH98" s="1026">
        <v>2196711600.4289098</v>
      </c>
      <c r="DI98" s="1026">
        <v>156664208.09486699</v>
      </c>
      <c r="DJ98" s="1026">
        <v>7190701.2805990502</v>
      </c>
      <c r="DK98" s="1026">
        <v>659157325.13389659</v>
      </c>
      <c r="DL98" s="1026">
        <v>1373699365.9195471</v>
      </c>
      <c r="DN98" s="1026">
        <v>585514396.88461208</v>
      </c>
      <c r="DQ98" s="1026">
        <v>6508180684.9693346</v>
      </c>
      <c r="DT98" s="1026">
        <v>3.7755966186523438E-3</v>
      </c>
    </row>
    <row r="99" spans="2:124">
      <c r="B99" s="1790">
        <v>44501</v>
      </c>
      <c r="C99" s="1026">
        <v>2731608991.2350273</v>
      </c>
      <c r="D99" s="1026">
        <v>2731608991.2350273</v>
      </c>
      <c r="E99" s="1026">
        <v>1788532798.0910158</v>
      </c>
      <c r="F99" s="1026">
        <v>943076193.14401162</v>
      </c>
      <c r="G99" s="1026">
        <v>0</v>
      </c>
      <c r="O99" s="1026">
        <v>1129453076.4321041</v>
      </c>
      <c r="P99" s="1026">
        <v>159230480.25654429</v>
      </c>
      <c r="Q99" s="1026">
        <v>7373507.9494238887</v>
      </c>
      <c r="R99" s="1026">
        <v>4417948.478445556</v>
      </c>
      <c r="S99" s="1026">
        <v>2955559.4709783331</v>
      </c>
      <c r="U99" s="1026">
        <v>151856972.30712041</v>
      </c>
      <c r="V99" s="1026">
        <v>137020743.36699501</v>
      </c>
      <c r="W99" s="1026">
        <v>14836228.940125419</v>
      </c>
      <c r="Y99" s="1026">
        <v>0</v>
      </c>
      <c r="AC99" s="1026">
        <v>0</v>
      </c>
      <c r="AD99" s="1026">
        <v>0</v>
      </c>
      <c r="AE99" s="1026">
        <v>0</v>
      </c>
      <c r="AG99" s="1026">
        <v>0</v>
      </c>
      <c r="AH99" s="1026">
        <v>0</v>
      </c>
      <c r="AI99" s="1026">
        <v>0</v>
      </c>
      <c r="AK99" s="1026">
        <v>119221402.55082665</v>
      </c>
      <c r="AL99" s="1026">
        <v>119221402.55082665</v>
      </c>
      <c r="AM99" s="1026">
        <v>0</v>
      </c>
      <c r="AO99" s="1026">
        <v>610296887.26285553</v>
      </c>
      <c r="AP99" s="1026">
        <v>353449665.04063338</v>
      </c>
      <c r="AQ99" s="1026">
        <v>256847222.22222221</v>
      </c>
      <c r="AS99" s="1026">
        <v>240704306.3618778</v>
      </c>
      <c r="AT99" s="1026">
        <v>100956297.77159999</v>
      </c>
      <c r="AU99" s="1026">
        <v>139748008.59027779</v>
      </c>
      <c r="AW99" s="1026">
        <v>0</v>
      </c>
      <c r="BB99" s="1026">
        <v>784836765.57609606</v>
      </c>
      <c r="BC99" s="1026">
        <v>784836765.57609606</v>
      </c>
      <c r="BD99" s="1026">
        <v>784836765.57609606</v>
      </c>
      <c r="BE99" s="1026">
        <v>0</v>
      </c>
      <c r="BJ99" s="1026">
        <v>0</v>
      </c>
      <c r="BL99" s="1026">
        <v>0</v>
      </c>
      <c r="BQ99" s="1026">
        <v>0</v>
      </c>
      <c r="BS99" s="1026">
        <v>0</v>
      </c>
      <c r="BX99" s="1026">
        <v>0</v>
      </c>
      <c r="CD99" s="1026">
        <v>0</v>
      </c>
      <c r="CE99" s="1026">
        <v>0</v>
      </c>
      <c r="CH99" s="1026">
        <v>0</v>
      </c>
      <c r="CL99" s="1026">
        <v>0</v>
      </c>
      <c r="CQ99" s="1026">
        <v>0</v>
      </c>
      <c r="CR99" s="1026">
        <v>0</v>
      </c>
      <c r="CU99" s="1026">
        <v>0</v>
      </c>
      <c r="CY99" s="1026">
        <v>0</v>
      </c>
      <c r="DA99" s="1026">
        <v>0</v>
      </c>
      <c r="DB99" s="1026">
        <v>0</v>
      </c>
      <c r="DH99" s="1026">
        <v>2288765915.9945302</v>
      </c>
      <c r="DI99" s="1026">
        <v>175699892.114867</v>
      </c>
      <c r="DJ99" s="1026">
        <v>8389379.4805990495</v>
      </c>
      <c r="DK99" s="1026">
        <v>745879107.83679914</v>
      </c>
      <c r="DL99" s="1026">
        <v>1358797536.5622649</v>
      </c>
      <c r="DN99" s="1026">
        <v>495256890.119802</v>
      </c>
      <c r="DQ99" s="1026">
        <v>7429921639.3575592</v>
      </c>
    </row>
    <row r="100" spans="2:124">
      <c r="B100" s="1790">
        <v>44531</v>
      </c>
      <c r="C100" s="1026">
        <v>3023703252.1870303</v>
      </c>
      <c r="D100" s="1026">
        <v>3023703252.1870303</v>
      </c>
      <c r="E100" s="1026">
        <v>1996578716.1428041</v>
      </c>
      <c r="F100" s="1026">
        <v>1027124536.0442263</v>
      </c>
      <c r="G100" s="1026">
        <v>0</v>
      </c>
      <c r="O100" s="1026">
        <v>1199734863.9935312</v>
      </c>
      <c r="P100" s="1026">
        <v>166898184.28365347</v>
      </c>
      <c r="Q100" s="1026">
        <v>7320935.6444790456</v>
      </c>
      <c r="R100" s="1026">
        <v>4179909.5393181955</v>
      </c>
      <c r="S100" s="1026">
        <v>3141026.1051608501</v>
      </c>
      <c r="U100" s="1026">
        <v>159577248.63917443</v>
      </c>
      <c r="V100" s="1026">
        <v>152350242.48922443</v>
      </c>
      <c r="W100" s="1026">
        <v>7227006.1499500005</v>
      </c>
      <c r="Y100" s="1026">
        <v>0</v>
      </c>
      <c r="AC100" s="1026">
        <v>0</v>
      </c>
      <c r="AD100" s="1026">
        <v>0</v>
      </c>
      <c r="AE100" s="1026">
        <v>0</v>
      </c>
      <c r="AG100" s="1026">
        <v>0</v>
      </c>
      <c r="AH100" s="1026">
        <v>0</v>
      </c>
      <c r="AI100" s="1026">
        <v>0</v>
      </c>
      <c r="AK100" s="1026">
        <v>150006375.14204445</v>
      </c>
      <c r="AL100" s="1026">
        <v>144646670.78691113</v>
      </c>
      <c r="AM100" s="1026">
        <v>5359704.3551333332</v>
      </c>
      <c r="AO100" s="1026">
        <v>639518981.76065552</v>
      </c>
      <c r="AP100" s="1026">
        <v>639518981.76065552</v>
      </c>
      <c r="AQ100" s="1026">
        <v>0</v>
      </c>
      <c r="AS100" s="1026">
        <v>243311322.80717778</v>
      </c>
      <c r="AT100" s="1026">
        <v>102752314.56328887</v>
      </c>
      <c r="AU100" s="1026">
        <v>140559008.24388891</v>
      </c>
      <c r="AW100" s="1026">
        <v>0</v>
      </c>
      <c r="BB100" s="1026">
        <v>453241736.04545999</v>
      </c>
      <c r="BC100" s="1026">
        <v>453241736.04545999</v>
      </c>
      <c r="BD100" s="1026">
        <v>453241736.04545999</v>
      </c>
      <c r="BE100" s="1026">
        <v>0</v>
      </c>
      <c r="BJ100" s="1026">
        <v>0</v>
      </c>
      <c r="BL100" s="1026">
        <v>0</v>
      </c>
      <c r="BQ100" s="1026">
        <v>0</v>
      </c>
      <c r="BS100" s="1026">
        <v>0</v>
      </c>
      <c r="BX100" s="1026">
        <v>0</v>
      </c>
      <c r="CD100" s="1026">
        <v>0</v>
      </c>
      <c r="CE100" s="1026">
        <v>0</v>
      </c>
      <c r="CH100" s="1026">
        <v>0</v>
      </c>
      <c r="CL100" s="1026">
        <v>0</v>
      </c>
      <c r="CQ100" s="1026">
        <v>0</v>
      </c>
      <c r="CR100" s="1026">
        <v>0</v>
      </c>
      <c r="CU100" s="1026">
        <v>0</v>
      </c>
      <c r="CY100" s="1026">
        <v>0</v>
      </c>
      <c r="DA100" s="1026">
        <v>0</v>
      </c>
      <c r="DB100" s="1026">
        <v>0</v>
      </c>
      <c r="DH100" s="1026">
        <v>2508416702.0484896</v>
      </c>
      <c r="DI100" s="1026">
        <v>169489813.23486701</v>
      </c>
      <c r="DJ100" s="1026">
        <v>10995530.680599101</v>
      </c>
      <c r="DK100" s="1026">
        <v>908016648.83683133</v>
      </c>
      <c r="DL100" s="1026">
        <v>1419914709.2961924</v>
      </c>
      <c r="DN100" s="1026">
        <v>410527714.54256773</v>
      </c>
      <c r="DQ100" s="1026">
        <v>7595624268.8170795</v>
      </c>
    </row>
    <row r="101" spans="2:124">
      <c r="B101" s="1790">
        <v>44562</v>
      </c>
      <c r="C101" s="1026">
        <v>2774397262.122076</v>
      </c>
      <c r="D101" s="1026">
        <v>2774397262.122076</v>
      </c>
      <c r="E101" s="1026">
        <v>1828654589.2017269</v>
      </c>
      <c r="F101" s="1026">
        <v>945742672.920349</v>
      </c>
      <c r="G101" s="1026">
        <v>0</v>
      </c>
      <c r="O101" s="1026">
        <v>1240153659.2350454</v>
      </c>
      <c r="P101" s="1026">
        <v>178040024.0585233</v>
      </c>
      <c r="Q101" s="1026">
        <v>24271680.974222224</v>
      </c>
      <c r="R101" s="1026">
        <v>20885151.876200002</v>
      </c>
      <c r="S101" s="1026">
        <v>3386529.0980222221</v>
      </c>
      <c r="U101" s="1026">
        <v>153768343.08430108</v>
      </c>
      <c r="V101" s="1026">
        <v>142010953.4781622</v>
      </c>
      <c r="W101" s="1026">
        <v>11757389.606138889</v>
      </c>
      <c r="Y101" s="1026">
        <v>0</v>
      </c>
      <c r="AC101" s="1026">
        <v>0</v>
      </c>
      <c r="AD101" s="1026">
        <v>0</v>
      </c>
      <c r="AE101" s="1026">
        <v>0</v>
      </c>
      <c r="AG101" s="1026">
        <v>0</v>
      </c>
      <c r="AH101" s="1026">
        <v>0</v>
      </c>
      <c r="AI101" s="1026">
        <v>0</v>
      </c>
      <c r="AK101" s="1026">
        <v>147181328.48308891</v>
      </c>
      <c r="AL101" s="1026">
        <v>147181328.48308891</v>
      </c>
      <c r="AM101" s="1026">
        <v>0</v>
      </c>
      <c r="AO101" s="1026">
        <v>644348145.90954995</v>
      </c>
      <c r="AP101" s="1026">
        <v>390459257.02066106</v>
      </c>
      <c r="AQ101" s="1026">
        <v>253888888.8888889</v>
      </c>
      <c r="AS101" s="1026">
        <v>270584160.78388333</v>
      </c>
      <c r="AT101" s="1026">
        <v>205584160.78388333</v>
      </c>
      <c r="AU101" s="1026">
        <v>65000000</v>
      </c>
      <c r="AW101" s="1026">
        <v>0</v>
      </c>
      <c r="BB101" s="1026">
        <v>502425559.60235995</v>
      </c>
      <c r="BC101" s="1026">
        <v>502425559.60235995</v>
      </c>
      <c r="BD101" s="1026">
        <v>502425559.60235995</v>
      </c>
      <c r="BE101" s="1026">
        <v>0</v>
      </c>
      <c r="BJ101" s="1026">
        <v>0</v>
      </c>
      <c r="BL101" s="1026">
        <v>0</v>
      </c>
      <c r="BQ101" s="1026">
        <v>0</v>
      </c>
      <c r="BS101" s="1026">
        <v>0</v>
      </c>
      <c r="BX101" s="1026">
        <v>0</v>
      </c>
      <c r="CD101" s="1026">
        <v>0</v>
      </c>
      <c r="CE101" s="1026">
        <v>0</v>
      </c>
      <c r="CH101" s="1026">
        <v>0</v>
      </c>
      <c r="CL101" s="1026">
        <v>0</v>
      </c>
      <c r="CQ101" s="1026">
        <v>0</v>
      </c>
      <c r="CR101" s="1026">
        <v>0</v>
      </c>
      <c r="CU101" s="1026">
        <v>0</v>
      </c>
      <c r="CY101" s="1026">
        <v>0</v>
      </c>
      <c r="DA101" s="1026">
        <v>0</v>
      </c>
      <c r="DB101" s="1026">
        <v>0</v>
      </c>
      <c r="DH101" s="1026">
        <v>2908321148.4790597</v>
      </c>
      <c r="DI101" s="1026">
        <v>194975744.75486699</v>
      </c>
      <c r="DJ101" s="1026">
        <v>6202170.8905990999</v>
      </c>
      <c r="DK101" s="1026">
        <v>26964099.007516682</v>
      </c>
      <c r="DL101" s="1026">
        <v>2680179133.826077</v>
      </c>
      <c r="DN101" s="1026">
        <v>684798810.94100201</v>
      </c>
      <c r="DQ101" s="1026">
        <v>8110096440.3795433</v>
      </c>
      <c r="DT101" s="1026">
        <v>4.5391082763671875E-2</v>
      </c>
    </row>
    <row r="102" spans="2:124">
      <c r="B102" s="1790">
        <v>44593</v>
      </c>
      <c r="C102" s="1026">
        <v>3280916830.6444378</v>
      </c>
      <c r="D102" s="1026">
        <v>3280916830.6444378</v>
      </c>
      <c r="E102" s="1026">
        <v>2149844751.6248708</v>
      </c>
      <c r="F102" s="1026">
        <v>1131072079.019567</v>
      </c>
      <c r="G102" s="1026">
        <v>0</v>
      </c>
      <c r="O102" s="1026">
        <v>1235725532.8360472</v>
      </c>
      <c r="P102" s="1026">
        <v>172511827.79255834</v>
      </c>
      <c r="Q102" s="1026">
        <v>23399559.482927777</v>
      </c>
      <c r="R102" s="1026">
        <v>1688566.8818555556</v>
      </c>
      <c r="S102" s="1026">
        <v>21710992.601072222</v>
      </c>
      <c r="U102" s="1026">
        <v>149112268.30963057</v>
      </c>
      <c r="V102" s="1026">
        <v>35296.768777777776</v>
      </c>
      <c r="W102" s="1026">
        <v>149076971.54085279</v>
      </c>
      <c r="Y102" s="1026">
        <v>0</v>
      </c>
      <c r="AC102" s="1026">
        <v>0</v>
      </c>
      <c r="AD102" s="1026">
        <v>0</v>
      </c>
      <c r="AE102" s="1026">
        <v>0</v>
      </c>
      <c r="AG102" s="1026">
        <v>900419.17</v>
      </c>
      <c r="AH102" s="1026">
        <v>900419.17</v>
      </c>
      <c r="AI102" s="1026">
        <v>0</v>
      </c>
      <c r="AK102" s="1026">
        <v>144022584.90416664</v>
      </c>
      <c r="AL102" s="1026">
        <v>138665815.76499999</v>
      </c>
      <c r="AM102" s="1026">
        <v>5356769.1391666671</v>
      </c>
      <c r="AO102" s="1026">
        <v>386334029.50898331</v>
      </c>
      <c r="AP102" s="1026">
        <v>218152762.78973889</v>
      </c>
      <c r="AQ102" s="1026">
        <v>168181266.71924442</v>
      </c>
      <c r="AS102" s="1026">
        <v>531956671.46033889</v>
      </c>
      <c r="AT102" s="1026">
        <v>1777544.8847333333</v>
      </c>
      <c r="AU102" s="1026">
        <v>530179126.57560557</v>
      </c>
      <c r="AW102" s="1026">
        <v>0</v>
      </c>
      <c r="BB102" s="1026">
        <v>585925224.67799997</v>
      </c>
      <c r="BC102" s="1026">
        <v>585925224.67799997</v>
      </c>
      <c r="BD102" s="1026">
        <v>585925224.67799997</v>
      </c>
      <c r="BE102" s="1026">
        <v>0</v>
      </c>
      <c r="BJ102" s="1026">
        <v>0</v>
      </c>
      <c r="BL102" s="1026">
        <v>0</v>
      </c>
      <c r="BQ102" s="1026">
        <v>0</v>
      </c>
      <c r="BS102" s="1026">
        <v>0</v>
      </c>
      <c r="BX102" s="1026">
        <v>0</v>
      </c>
      <c r="CD102" s="1026">
        <v>0</v>
      </c>
      <c r="CE102" s="1026">
        <v>0</v>
      </c>
      <c r="CH102" s="1026">
        <v>0</v>
      </c>
      <c r="CL102" s="1026">
        <v>0</v>
      </c>
      <c r="CQ102" s="1026">
        <v>0</v>
      </c>
      <c r="CR102" s="1026">
        <v>0</v>
      </c>
      <c r="CU102" s="1026">
        <v>0</v>
      </c>
      <c r="CY102" s="1026">
        <v>0</v>
      </c>
      <c r="DA102" s="1026">
        <v>0</v>
      </c>
      <c r="DB102" s="1026">
        <v>0</v>
      </c>
      <c r="DH102" s="1026">
        <v>3445196399.9275699</v>
      </c>
      <c r="DI102" s="1026">
        <v>200844147.54486701</v>
      </c>
      <c r="DJ102" s="1026">
        <v>12653071.2905991</v>
      </c>
      <c r="DK102" s="1026">
        <v>60422700.010277152</v>
      </c>
      <c r="DL102" s="1026">
        <v>3171276481.0818267</v>
      </c>
      <c r="DN102" s="1026">
        <v>604067356.75979435</v>
      </c>
      <c r="DQ102" s="1026">
        <v>9151831344.84585</v>
      </c>
    </row>
    <row r="103" spans="2:124">
      <c r="B103" s="1790">
        <v>44621</v>
      </c>
      <c r="C103" s="1026">
        <v>3206742965.8873768</v>
      </c>
      <c r="D103" s="1026">
        <v>3206742965.8873768</v>
      </c>
      <c r="E103" s="1026">
        <v>2080308172.9313235</v>
      </c>
      <c r="F103" s="1026">
        <v>1126434792.9560533</v>
      </c>
      <c r="G103" s="1026">
        <v>0</v>
      </c>
      <c r="O103" s="1026">
        <v>1271499920.3632162</v>
      </c>
      <c r="P103" s="1026">
        <v>227318732.69808671</v>
      </c>
      <c r="Q103" s="1026">
        <v>65301805.724577777</v>
      </c>
      <c r="R103" s="1026">
        <v>2464301.0543277776</v>
      </c>
      <c r="S103" s="1026">
        <v>62837504.670249999</v>
      </c>
      <c r="U103" s="1026">
        <v>162016926.97350892</v>
      </c>
      <c r="V103" s="1026">
        <v>20118.079999999998</v>
      </c>
      <c r="W103" s="1026">
        <v>161996808.89350891</v>
      </c>
      <c r="Y103" s="1026">
        <v>0</v>
      </c>
      <c r="AC103" s="1026">
        <v>0</v>
      </c>
      <c r="AD103" s="1026">
        <v>0</v>
      </c>
      <c r="AE103" s="1026">
        <v>0</v>
      </c>
      <c r="AG103" s="1026">
        <v>1326452.8</v>
      </c>
      <c r="AH103" s="1026">
        <v>1326452.8</v>
      </c>
      <c r="AI103" s="1026">
        <v>0</v>
      </c>
      <c r="AK103" s="1026">
        <v>144157740.28764448</v>
      </c>
      <c r="AL103" s="1026">
        <v>138663430.73000002</v>
      </c>
      <c r="AM103" s="1026">
        <v>5494309.5576444454</v>
      </c>
      <c r="AO103" s="1026">
        <v>657665493.27360559</v>
      </c>
      <c r="AP103" s="1026">
        <v>395443271.05138338</v>
      </c>
      <c r="AQ103" s="1026">
        <v>262222222.22222221</v>
      </c>
      <c r="AS103" s="1026">
        <v>241031501.30387932</v>
      </c>
      <c r="AT103" s="1026">
        <v>118636537.89920154</v>
      </c>
      <c r="AU103" s="1026">
        <v>122394963.40467778</v>
      </c>
      <c r="AW103" s="1026">
        <v>0</v>
      </c>
      <c r="BB103" s="1026">
        <v>974567163.97281599</v>
      </c>
      <c r="BC103" s="1026">
        <v>974567163.97281599</v>
      </c>
      <c r="BD103" s="1026">
        <v>974567163.97281599</v>
      </c>
      <c r="BE103" s="1026">
        <v>0</v>
      </c>
      <c r="BJ103" s="1026">
        <v>0</v>
      </c>
      <c r="BL103" s="1026">
        <v>0</v>
      </c>
      <c r="BQ103" s="1026">
        <v>0</v>
      </c>
      <c r="BS103" s="1026">
        <v>0</v>
      </c>
      <c r="BX103" s="1026">
        <v>0</v>
      </c>
      <c r="CD103" s="1026">
        <v>0</v>
      </c>
      <c r="CE103" s="1026">
        <v>0</v>
      </c>
      <c r="CH103" s="1026">
        <v>0</v>
      </c>
      <c r="CL103" s="1026">
        <v>0</v>
      </c>
      <c r="CQ103" s="1026">
        <v>0</v>
      </c>
      <c r="CR103" s="1026">
        <v>0</v>
      </c>
      <c r="CU103" s="1026">
        <v>0</v>
      </c>
      <c r="CY103" s="1026">
        <v>0</v>
      </c>
      <c r="DA103" s="1026">
        <v>0</v>
      </c>
      <c r="DB103" s="1026">
        <v>0</v>
      </c>
      <c r="DH103" s="1026">
        <v>3711461866.7350893</v>
      </c>
      <c r="DI103" s="1026">
        <v>205745042.75486699</v>
      </c>
      <c r="DJ103" s="1026">
        <v>12484542.8105991</v>
      </c>
      <c r="DK103" s="1026">
        <v>251744526.57181609</v>
      </c>
      <c r="DL103" s="1026">
        <v>3241487754.5978074</v>
      </c>
      <c r="DN103" s="1026">
        <v>593000084.41210008</v>
      </c>
      <c r="DQ103" s="1026">
        <v>9757272001.3705997</v>
      </c>
    </row>
    <row r="104" spans="2:124">
      <c r="B104" s="1790">
        <v>44652</v>
      </c>
      <c r="C104" s="1026">
        <v>3765659933.6801262</v>
      </c>
      <c r="D104" s="1026">
        <v>3765659933.6801262</v>
      </c>
      <c r="E104" s="1026">
        <v>2282434590.7816515</v>
      </c>
      <c r="F104" s="1026">
        <v>1483225342.8984749</v>
      </c>
      <c r="G104" s="1026">
        <v>0</v>
      </c>
      <c r="O104" s="1026">
        <v>1031085748.4113218</v>
      </c>
      <c r="P104" s="1026">
        <v>185160899.17060417</v>
      </c>
      <c r="Q104" s="1026">
        <v>22093188.558426388</v>
      </c>
      <c r="R104" s="1026">
        <v>3029501.5167972227</v>
      </c>
      <c r="S104" s="1026">
        <v>19063687.041629165</v>
      </c>
      <c r="U104" s="1026">
        <v>163067710.61217779</v>
      </c>
      <c r="V104" s="1026">
        <v>206883.26123611108</v>
      </c>
      <c r="W104" s="1026">
        <v>162860827.35094169</v>
      </c>
      <c r="Y104" s="1026">
        <v>0</v>
      </c>
      <c r="AC104" s="1026">
        <v>0</v>
      </c>
      <c r="AD104" s="1026">
        <v>0</v>
      </c>
      <c r="AE104" s="1026">
        <v>0</v>
      </c>
      <c r="AG104" s="1026">
        <v>129146.22000000009</v>
      </c>
      <c r="AH104" s="1026">
        <v>129146.22000000009</v>
      </c>
      <c r="AI104" s="1026">
        <v>0</v>
      </c>
      <c r="AK104" s="1026">
        <v>155124023.15691671</v>
      </c>
      <c r="AL104" s="1026">
        <v>149565947.13568059</v>
      </c>
      <c r="AM104" s="1026">
        <v>5558076.0212361114</v>
      </c>
      <c r="AO104" s="1026">
        <v>403317817.22569257</v>
      </c>
      <c r="AP104" s="1026">
        <v>105438470.23097222</v>
      </c>
      <c r="AQ104" s="1026">
        <v>297879346.99472034</v>
      </c>
      <c r="AS104" s="1026">
        <v>287353862.63810837</v>
      </c>
      <c r="AT104" s="1026">
        <v>124007551.51209722</v>
      </c>
      <c r="AU104" s="1026">
        <v>163346311.12601113</v>
      </c>
      <c r="AW104" s="1026">
        <v>0</v>
      </c>
      <c r="BB104" s="1026">
        <v>1318121466.39481</v>
      </c>
      <c r="BC104" s="1026">
        <v>1318121466.39481</v>
      </c>
      <c r="BD104" s="1026">
        <v>1318121466.39481</v>
      </c>
      <c r="BE104" s="1026">
        <v>0</v>
      </c>
      <c r="BJ104" s="1026">
        <v>0</v>
      </c>
      <c r="BL104" s="1026">
        <v>0</v>
      </c>
      <c r="BQ104" s="1026">
        <v>0</v>
      </c>
      <c r="BS104" s="1026">
        <v>0</v>
      </c>
      <c r="BX104" s="1026">
        <v>0</v>
      </c>
      <c r="CD104" s="1026">
        <v>0</v>
      </c>
      <c r="CE104" s="1026">
        <v>0</v>
      </c>
      <c r="CH104" s="1026">
        <v>0</v>
      </c>
      <c r="CL104" s="1026">
        <v>0</v>
      </c>
      <c r="CQ104" s="1026">
        <v>0</v>
      </c>
      <c r="CR104" s="1026">
        <v>0</v>
      </c>
      <c r="CU104" s="1026">
        <v>0</v>
      </c>
      <c r="CY104" s="1026">
        <v>0</v>
      </c>
      <c r="DA104" s="1026">
        <v>0</v>
      </c>
      <c r="DB104" s="1026">
        <v>0</v>
      </c>
      <c r="DH104" s="1026">
        <v>4745275482.7277098</v>
      </c>
      <c r="DI104" s="1026">
        <v>213489089.93486699</v>
      </c>
      <c r="DJ104" s="1026">
        <v>12741371.0405991</v>
      </c>
      <c r="DK104" s="1026">
        <v>72679077.901724815</v>
      </c>
      <c r="DL104" s="1026">
        <v>4446365943.8505192</v>
      </c>
      <c r="DN104" s="1026">
        <v>876640525.01871538</v>
      </c>
      <c r="DQ104" s="1026">
        <v>11736783156.232681</v>
      </c>
      <c r="DT104" s="1026">
        <v>4.8982620239257813E-2</v>
      </c>
    </row>
    <row r="105" spans="2:124">
      <c r="B105" s="1790">
        <v>44682</v>
      </c>
      <c r="C105" s="1026">
        <v>4300151203.9877243</v>
      </c>
      <c r="D105" s="1026">
        <v>4300151203.9877243</v>
      </c>
      <c r="E105" s="1026">
        <v>2331745990.0554395</v>
      </c>
      <c r="F105" s="1026">
        <v>1968405213.9322844</v>
      </c>
      <c r="G105" s="1026">
        <v>0</v>
      </c>
      <c r="O105" s="1026">
        <v>1133736312.5404069</v>
      </c>
      <c r="P105" s="1026">
        <v>193339715.16315696</v>
      </c>
      <c r="Q105" s="1026">
        <v>22569959.592961114</v>
      </c>
      <c r="R105" s="1026">
        <v>2585094.6286319443</v>
      </c>
      <c r="S105" s="1026">
        <v>19984864.964329168</v>
      </c>
      <c r="U105" s="1026">
        <v>170769755.57019585</v>
      </c>
      <c r="V105" s="1026">
        <v>208066.78933333332</v>
      </c>
      <c r="W105" s="1026">
        <v>170561688.78086251</v>
      </c>
      <c r="Y105" s="1026">
        <v>0</v>
      </c>
      <c r="AC105" s="1026">
        <v>0</v>
      </c>
      <c r="AD105" s="1026">
        <v>0</v>
      </c>
      <c r="AE105" s="1026">
        <v>0</v>
      </c>
      <c r="AG105" s="1026">
        <v>2940740.7199999997</v>
      </c>
      <c r="AH105" s="1026">
        <v>2940740.7199999997</v>
      </c>
      <c r="AI105" s="1026">
        <v>0</v>
      </c>
      <c r="AK105" s="1026">
        <v>152677032.93904167</v>
      </c>
      <c r="AL105" s="1026">
        <v>147103791.63050002</v>
      </c>
      <c r="AM105" s="1026">
        <v>5573241.3085416676</v>
      </c>
      <c r="AO105" s="1026">
        <v>412340407.22859728</v>
      </c>
      <c r="AP105" s="1026">
        <v>221670714.56931251</v>
      </c>
      <c r="AQ105" s="1026">
        <v>190669692.65928474</v>
      </c>
      <c r="AS105" s="1026">
        <v>372438416.48961109</v>
      </c>
      <c r="AT105" s="1026">
        <v>126425124.76183333</v>
      </c>
      <c r="AU105" s="1026">
        <v>246013291.72777775</v>
      </c>
      <c r="AW105" s="1026">
        <v>0</v>
      </c>
      <c r="BB105" s="1026">
        <v>2187350714.618484</v>
      </c>
      <c r="BC105" s="1026">
        <v>2187350714.618484</v>
      </c>
      <c r="BD105" s="1026">
        <v>2187350714.618484</v>
      </c>
      <c r="BE105" s="1026">
        <v>0</v>
      </c>
      <c r="BJ105" s="1026">
        <v>0</v>
      </c>
      <c r="BL105" s="1026">
        <v>0</v>
      </c>
      <c r="BQ105" s="1026">
        <v>0</v>
      </c>
      <c r="BS105" s="1026">
        <v>0</v>
      </c>
      <c r="BX105" s="1026">
        <v>0</v>
      </c>
      <c r="CD105" s="1026">
        <v>0</v>
      </c>
      <c r="CE105" s="1026">
        <v>0</v>
      </c>
      <c r="CH105" s="1026">
        <v>0</v>
      </c>
      <c r="CL105" s="1026">
        <v>0</v>
      </c>
      <c r="CQ105" s="1026">
        <v>0</v>
      </c>
      <c r="CR105" s="1026">
        <v>0</v>
      </c>
      <c r="CU105" s="1026">
        <v>0</v>
      </c>
      <c r="CY105" s="1026">
        <v>0</v>
      </c>
      <c r="DA105" s="1026">
        <v>0</v>
      </c>
      <c r="DB105" s="1026">
        <v>0</v>
      </c>
      <c r="DH105" s="1026">
        <v>4791339172.5923004</v>
      </c>
      <c r="DI105" s="1026">
        <v>202095524.894867</v>
      </c>
      <c r="DJ105" s="1026">
        <v>12132042.3105991</v>
      </c>
      <c r="DK105" s="1026">
        <v>577944762.89559054</v>
      </c>
      <c r="DL105" s="1026">
        <v>3999166842.4912434</v>
      </c>
      <c r="DN105" s="1026">
        <v>1168347442.8807473</v>
      </c>
      <c r="DQ105" s="1026">
        <v>13580924846.619663</v>
      </c>
      <c r="DT105" s="1026">
        <v>0.52128219604492188</v>
      </c>
    </row>
    <row r="106" spans="2:124">
      <c r="B106" s="1790">
        <v>44713</v>
      </c>
      <c r="C106" s="1026">
        <v>5648741613.789052</v>
      </c>
      <c r="D106" s="1026">
        <v>5648741613.789052</v>
      </c>
      <c r="E106" s="1026">
        <v>3810821320.9536777</v>
      </c>
      <c r="F106" s="1026">
        <v>1837920292.8353746</v>
      </c>
      <c r="G106" s="1026">
        <v>0</v>
      </c>
      <c r="O106" s="1026">
        <v>1204858171.0513017</v>
      </c>
      <c r="P106" s="1026">
        <v>200645282.75210154</v>
      </c>
      <c r="Q106" s="1026">
        <v>22639555.262195833</v>
      </c>
      <c r="R106" s="1026">
        <v>1691505.9359722224</v>
      </c>
      <c r="S106" s="1026">
        <v>20948049.326223612</v>
      </c>
      <c r="U106" s="1026">
        <v>178005727.48990571</v>
      </c>
      <c r="V106" s="1026">
        <v>148480386.35174599</v>
      </c>
      <c r="W106" s="1026">
        <v>29525341.138159722</v>
      </c>
      <c r="Y106" s="1026">
        <v>0</v>
      </c>
      <c r="AC106" s="1026">
        <v>0</v>
      </c>
      <c r="AD106" s="1026">
        <v>0</v>
      </c>
      <c r="AE106" s="1026">
        <v>0</v>
      </c>
      <c r="AG106" s="1026">
        <v>11872390.060000021</v>
      </c>
      <c r="AH106" s="1026">
        <v>11872390.060000021</v>
      </c>
      <c r="AI106" s="1026">
        <v>0</v>
      </c>
      <c r="AK106" s="1026">
        <v>193189550.50551391</v>
      </c>
      <c r="AL106" s="1026">
        <v>187463780.26000002</v>
      </c>
      <c r="AM106" s="1026">
        <v>5725770.245513889</v>
      </c>
      <c r="AO106" s="1026">
        <v>422508568.72909725</v>
      </c>
      <c r="AP106" s="1026">
        <v>309816879.44662505</v>
      </c>
      <c r="AQ106" s="1026">
        <v>112691689.28247221</v>
      </c>
      <c r="AS106" s="1026">
        <v>376642379.0045889</v>
      </c>
      <c r="AT106" s="1026">
        <v>0</v>
      </c>
      <c r="AU106" s="1026">
        <v>376642379.0045889</v>
      </c>
      <c r="AW106" s="1026">
        <v>0</v>
      </c>
      <c r="BB106" s="1026">
        <v>2813124289.0243363</v>
      </c>
      <c r="BC106" s="1026">
        <v>2813124289.0243363</v>
      </c>
      <c r="BD106" s="1026">
        <v>2813124289.0243363</v>
      </c>
      <c r="BE106" s="1026">
        <v>0</v>
      </c>
      <c r="BJ106" s="1026">
        <v>0</v>
      </c>
      <c r="BL106" s="1026">
        <v>0</v>
      </c>
      <c r="BQ106" s="1026">
        <v>0</v>
      </c>
      <c r="BS106" s="1026">
        <v>0</v>
      </c>
      <c r="BX106" s="1026">
        <v>0</v>
      </c>
      <c r="CD106" s="1026">
        <v>0</v>
      </c>
      <c r="CE106" s="1026">
        <v>0</v>
      </c>
      <c r="CH106" s="1026">
        <v>0</v>
      </c>
      <c r="CL106" s="1026">
        <v>0</v>
      </c>
      <c r="CQ106" s="1026">
        <v>0</v>
      </c>
      <c r="CR106" s="1026">
        <v>0</v>
      </c>
      <c r="CU106" s="1026">
        <v>0</v>
      </c>
      <c r="CY106" s="1026">
        <v>0</v>
      </c>
      <c r="DA106" s="1026">
        <v>0</v>
      </c>
      <c r="DB106" s="1026">
        <v>0</v>
      </c>
      <c r="DH106" s="1026">
        <v>4375543851.9950895</v>
      </c>
      <c r="DI106" s="1026">
        <v>213008110.98486701</v>
      </c>
      <c r="DJ106" s="1026">
        <v>16384172.4605991</v>
      </c>
      <c r="DK106" s="1026">
        <v>577944762.89559054</v>
      </c>
      <c r="DL106" s="1026">
        <v>3568206805.6540327</v>
      </c>
      <c r="DN106" s="1026">
        <v>1378483119.8943901</v>
      </c>
      <c r="DQ106" s="1026">
        <v>15420751045.754169</v>
      </c>
    </row>
    <row r="107" spans="2:124">
      <c r="B107" s="1790">
        <v>44743</v>
      </c>
      <c r="C107" s="1026">
        <v>5692757012</v>
      </c>
      <c r="D107" s="1026">
        <v>5692757012</v>
      </c>
      <c r="E107" s="1026">
        <v>3743529502</v>
      </c>
      <c r="F107" s="1026">
        <v>1949227510</v>
      </c>
      <c r="G107" s="1026">
        <v>0</v>
      </c>
      <c r="O107" s="1026">
        <v>1229608552</v>
      </c>
      <c r="P107" s="1026">
        <v>197948212</v>
      </c>
      <c r="Q107" s="1026">
        <v>27573305</v>
      </c>
      <c r="R107" s="1026">
        <v>20142639</v>
      </c>
      <c r="S107" s="1026">
        <v>7430666</v>
      </c>
      <c r="U107" s="1026">
        <v>170374907</v>
      </c>
      <c r="V107" s="1026">
        <v>164169127</v>
      </c>
      <c r="W107" s="1026">
        <v>6205780</v>
      </c>
      <c r="Y107" s="1026">
        <v>0</v>
      </c>
      <c r="AC107" s="1026">
        <v>0</v>
      </c>
      <c r="AD107" s="1026">
        <v>0</v>
      </c>
      <c r="AE107" s="1026">
        <v>0</v>
      </c>
      <c r="AG107" s="1026">
        <v>9697344</v>
      </c>
      <c r="AH107" s="1026">
        <v>9697344</v>
      </c>
      <c r="AI107" s="1026">
        <v>0</v>
      </c>
      <c r="AK107" s="1026">
        <v>194702479</v>
      </c>
      <c r="AL107" s="1026">
        <v>188943463</v>
      </c>
      <c r="AM107" s="1026">
        <v>5759016</v>
      </c>
      <c r="AO107" s="1026">
        <v>432727174</v>
      </c>
      <c r="AP107" s="1026">
        <v>304030100</v>
      </c>
      <c r="AQ107" s="1026">
        <v>128697074</v>
      </c>
      <c r="AS107" s="1026">
        <v>394533343</v>
      </c>
      <c r="AT107" s="1026">
        <v>0</v>
      </c>
      <c r="AU107" s="1026">
        <v>394533343</v>
      </c>
      <c r="AW107" s="1026">
        <v>0</v>
      </c>
      <c r="BB107" s="1026">
        <v>3619141338</v>
      </c>
      <c r="BC107" s="1026">
        <v>3619141338</v>
      </c>
      <c r="BD107" s="1026">
        <v>3619141338</v>
      </c>
      <c r="BE107" s="1026">
        <v>0</v>
      </c>
      <c r="BJ107" s="1026">
        <v>0</v>
      </c>
      <c r="BL107" s="1026">
        <v>0</v>
      </c>
      <c r="BQ107" s="1026">
        <v>0</v>
      </c>
      <c r="BS107" s="1026">
        <v>0</v>
      </c>
      <c r="BX107" s="1026">
        <v>0</v>
      </c>
      <c r="CD107" s="1026">
        <v>0</v>
      </c>
      <c r="CE107" s="1026">
        <v>0</v>
      </c>
      <c r="CH107" s="1026">
        <v>0</v>
      </c>
      <c r="CL107" s="1026">
        <v>0</v>
      </c>
      <c r="CQ107" s="1026">
        <v>0</v>
      </c>
      <c r="CR107" s="1026">
        <v>0</v>
      </c>
      <c r="CU107" s="1026">
        <v>0</v>
      </c>
      <c r="CY107" s="1026">
        <v>0</v>
      </c>
      <c r="DA107" s="1026">
        <v>0</v>
      </c>
      <c r="DB107" s="1026">
        <v>0</v>
      </c>
      <c r="DH107" s="1026">
        <v>8038842446</v>
      </c>
      <c r="DI107" s="1026">
        <v>218441271</v>
      </c>
      <c r="DJ107" s="1026">
        <v>20993136</v>
      </c>
      <c r="DK107" s="1026">
        <v>2177422340</v>
      </c>
      <c r="DL107" s="1026">
        <v>5621985699</v>
      </c>
      <c r="DN107" s="1026">
        <v>1732031632</v>
      </c>
      <c r="DQ107" s="1026">
        <v>20312380980</v>
      </c>
    </row>
    <row r="108" spans="2:124">
      <c r="B108" s="1790">
        <v>44774</v>
      </c>
      <c r="C108" s="1026">
        <v>5898158262.9941082</v>
      </c>
      <c r="D108" s="1026">
        <v>5898158262.9941082</v>
      </c>
      <c r="E108" s="1026">
        <v>4117093241.9566011</v>
      </c>
      <c r="F108" s="1026">
        <v>1781065021.0375068</v>
      </c>
      <c r="G108" s="1026">
        <v>0</v>
      </c>
      <c r="O108" s="1026">
        <v>1180354545.7956586</v>
      </c>
      <c r="P108" s="1026">
        <v>219816596.61368072</v>
      </c>
      <c r="Q108" s="1026">
        <v>34304509.621218055</v>
      </c>
      <c r="R108" s="1026">
        <v>3076583.3123055557</v>
      </c>
      <c r="S108" s="1026">
        <v>31227926.308912501</v>
      </c>
      <c r="U108" s="1026">
        <v>185512086.99246266</v>
      </c>
      <c r="V108" s="1026">
        <v>543920.25726666662</v>
      </c>
      <c r="W108" s="1026">
        <v>184968166.73519599</v>
      </c>
      <c r="Y108" s="1026">
        <v>0</v>
      </c>
      <c r="AC108" s="1026">
        <v>0</v>
      </c>
      <c r="AD108" s="1026">
        <v>0</v>
      </c>
      <c r="AE108" s="1026">
        <v>0</v>
      </c>
      <c r="AG108" s="1026">
        <v>7055633.8799999999</v>
      </c>
      <c r="AH108" s="1026">
        <v>7055633.8799999999</v>
      </c>
      <c r="AI108" s="1026">
        <v>0</v>
      </c>
      <c r="AK108" s="1026">
        <v>202184915.44622225</v>
      </c>
      <c r="AL108" s="1026">
        <v>202184915.44622225</v>
      </c>
      <c r="AM108" s="1026">
        <v>0</v>
      </c>
      <c r="AO108" s="1026">
        <v>349570325.91435558</v>
      </c>
      <c r="AP108" s="1026">
        <v>264802939.02371112</v>
      </c>
      <c r="AQ108" s="1026">
        <v>84767386.890644446</v>
      </c>
      <c r="AS108" s="1026">
        <v>401727073.94139999</v>
      </c>
      <c r="AT108" s="1026">
        <v>0</v>
      </c>
      <c r="AU108" s="1026">
        <v>401727073.94139999</v>
      </c>
      <c r="AW108" s="1026">
        <v>0</v>
      </c>
      <c r="BB108" s="1026">
        <v>4132582012.777482</v>
      </c>
      <c r="BC108" s="1026">
        <v>4132582012.777482</v>
      </c>
      <c r="BD108" s="1026">
        <v>4132582012.777482</v>
      </c>
      <c r="BE108" s="1026">
        <v>0</v>
      </c>
      <c r="BJ108" s="1026">
        <v>0</v>
      </c>
      <c r="BL108" s="1026">
        <v>0</v>
      </c>
      <c r="BQ108" s="1026">
        <v>0</v>
      </c>
      <c r="BS108" s="1026">
        <v>0</v>
      </c>
      <c r="BX108" s="1026">
        <v>0</v>
      </c>
      <c r="CD108" s="1026">
        <v>0</v>
      </c>
      <c r="CE108" s="1026">
        <v>0</v>
      </c>
      <c r="CH108" s="1026">
        <v>0</v>
      </c>
      <c r="CL108" s="1026">
        <v>0</v>
      </c>
      <c r="CQ108" s="1026">
        <v>0</v>
      </c>
      <c r="CR108" s="1026">
        <v>0</v>
      </c>
      <c r="CU108" s="1026">
        <v>0</v>
      </c>
      <c r="CY108" s="1026">
        <v>0</v>
      </c>
      <c r="DA108" s="1026">
        <v>0</v>
      </c>
      <c r="DB108" s="1026">
        <v>0</v>
      </c>
      <c r="DH108" s="1026">
        <v>8198601055.3753605</v>
      </c>
      <c r="DI108" s="1026">
        <v>272604873.18486702</v>
      </c>
      <c r="DJ108" s="1026">
        <v>21099118.120599099</v>
      </c>
      <c r="DK108" s="1026">
        <v>2597491320.9898262</v>
      </c>
      <c r="DL108" s="1026">
        <v>5307405743.0800676</v>
      </c>
      <c r="DN108" s="1026">
        <v>2240595781.9320102</v>
      </c>
      <c r="DQ108" s="1026">
        <v>21650291658.874622</v>
      </c>
    </row>
    <row r="109" spans="2:124">
      <c r="B109" s="1790">
        <v>44805</v>
      </c>
      <c r="C109" s="1026">
        <v>6944107170.4398708</v>
      </c>
      <c r="D109" s="1026">
        <v>6944107170.4398708</v>
      </c>
      <c r="E109" s="1026">
        <v>4768548859.6817665</v>
      </c>
      <c r="F109" s="1026">
        <v>2175558310.7581048</v>
      </c>
      <c r="G109" s="1026">
        <v>0</v>
      </c>
      <c r="O109" s="1026">
        <v>1283372777.6757917</v>
      </c>
      <c r="P109" s="1026">
        <v>251703689.02223611</v>
      </c>
      <c r="Q109" s="1026">
        <v>26179320.614966668</v>
      </c>
      <c r="R109" s="1026">
        <v>2005718.3288</v>
      </c>
      <c r="S109" s="1026">
        <v>24173602.286166668</v>
      </c>
      <c r="U109" s="1026">
        <v>225524368.40726945</v>
      </c>
      <c r="V109" s="1026">
        <v>219378594.99087778</v>
      </c>
      <c r="W109" s="1026">
        <v>6145773.416391667</v>
      </c>
      <c r="Y109" s="1026">
        <v>0</v>
      </c>
      <c r="AC109" s="1026">
        <v>0</v>
      </c>
      <c r="AD109" s="1026">
        <v>0</v>
      </c>
      <c r="AE109" s="1026">
        <v>0</v>
      </c>
      <c r="AG109" s="1026">
        <v>7402408.4500000225</v>
      </c>
      <c r="AH109" s="1026">
        <v>7402408.4500000225</v>
      </c>
      <c r="AI109" s="1026">
        <v>0</v>
      </c>
      <c r="AK109" s="1026">
        <v>219207657.2409111</v>
      </c>
      <c r="AL109" s="1026">
        <v>212815415.91</v>
      </c>
      <c r="AM109" s="1026">
        <v>6392241.3309111111</v>
      </c>
      <c r="AO109" s="1026">
        <v>394305653.88353336</v>
      </c>
      <c r="AP109" s="1026">
        <v>234725401.01686668</v>
      </c>
      <c r="AQ109" s="1026">
        <v>159580252.86666667</v>
      </c>
      <c r="AS109" s="1026">
        <v>410753369.0791111</v>
      </c>
      <c r="AT109" s="1026">
        <v>0</v>
      </c>
      <c r="AU109" s="1026">
        <v>410753369.0791111</v>
      </c>
      <c r="AW109" s="1026">
        <v>0</v>
      </c>
      <c r="BB109" s="1026">
        <v>4881663082.8804092</v>
      </c>
      <c r="BC109" s="1026">
        <v>4881663082.8804092</v>
      </c>
      <c r="BD109" s="1026">
        <v>4881663082.8804092</v>
      </c>
      <c r="BE109" s="1026">
        <v>0</v>
      </c>
      <c r="BJ109" s="1026">
        <v>0</v>
      </c>
      <c r="BL109" s="1026">
        <v>0</v>
      </c>
      <c r="BQ109" s="1026">
        <v>0</v>
      </c>
      <c r="BS109" s="1026">
        <v>0</v>
      </c>
      <c r="BX109" s="1026">
        <v>0</v>
      </c>
      <c r="CD109" s="1026">
        <v>0</v>
      </c>
      <c r="CE109" s="1026">
        <v>0</v>
      </c>
      <c r="CH109" s="1026">
        <v>0</v>
      </c>
      <c r="CL109" s="1026">
        <v>0</v>
      </c>
      <c r="CQ109" s="1026">
        <v>0</v>
      </c>
      <c r="CR109" s="1026">
        <v>0</v>
      </c>
      <c r="CU109" s="1026">
        <v>0</v>
      </c>
      <c r="CY109" s="1026">
        <v>0</v>
      </c>
      <c r="DA109" s="1026">
        <v>0</v>
      </c>
      <c r="DB109" s="1026">
        <v>0</v>
      </c>
      <c r="DH109" s="1026">
        <v>8467499711.4909897</v>
      </c>
      <c r="DI109" s="1026">
        <v>289724508.15486699</v>
      </c>
      <c r="DJ109" s="1026">
        <v>23823990.730599102</v>
      </c>
      <c r="DK109" s="1026">
        <v>2765079290.3152399</v>
      </c>
      <c r="DL109" s="1026">
        <v>5388871922.2902832</v>
      </c>
      <c r="DN109" s="1026">
        <v>2770194815.3130693</v>
      </c>
      <c r="DQ109" s="1026">
        <v>24346837557.800129</v>
      </c>
    </row>
    <row r="110" spans="2:124">
      <c r="B110" s="1790">
        <v>44835</v>
      </c>
      <c r="C110" s="1026">
        <v>6827047836.2732706</v>
      </c>
      <c r="D110" s="1026">
        <v>6827047836.2732706</v>
      </c>
      <c r="E110" s="1026">
        <v>4930437730.9635687</v>
      </c>
      <c r="F110" s="1026">
        <v>1896610105.3097019</v>
      </c>
      <c r="G110" s="1026">
        <v>0</v>
      </c>
      <c r="O110" s="1026">
        <v>1670752915.5939074</v>
      </c>
      <c r="P110" s="1026">
        <v>375055218.55863678</v>
      </c>
      <c r="Q110" s="1026">
        <v>67244939.620961115</v>
      </c>
      <c r="R110" s="1026">
        <v>21754033.434155557</v>
      </c>
      <c r="S110" s="1026">
        <v>45490906.186805561</v>
      </c>
      <c r="U110" s="1026">
        <v>307810278.93767565</v>
      </c>
      <c r="V110" s="1026">
        <v>301282153.60969234</v>
      </c>
      <c r="W110" s="1026">
        <v>6528125.3279833328</v>
      </c>
      <c r="Y110" s="1026">
        <v>0</v>
      </c>
      <c r="AC110" s="1026">
        <v>0</v>
      </c>
      <c r="AD110" s="1026">
        <v>0</v>
      </c>
      <c r="AE110" s="1026">
        <v>0</v>
      </c>
      <c r="AG110" s="1026">
        <v>14916323.159999998</v>
      </c>
      <c r="AH110" s="1026">
        <v>14916323.159999998</v>
      </c>
      <c r="AI110" s="1026">
        <v>0</v>
      </c>
      <c r="AK110" s="1026">
        <v>344322482.74124444</v>
      </c>
      <c r="AL110" s="1026">
        <v>337267889.89857775</v>
      </c>
      <c r="AM110" s="1026">
        <v>7054592.842666667</v>
      </c>
      <c r="AO110" s="1026">
        <v>420919442.37937784</v>
      </c>
      <c r="AP110" s="1026">
        <v>288240585.30233335</v>
      </c>
      <c r="AQ110" s="1026">
        <v>132678857.07704449</v>
      </c>
      <c r="AS110" s="1026">
        <v>515539448.75464821</v>
      </c>
      <c r="AT110" s="1026">
        <v>21244444.44444444</v>
      </c>
      <c r="AU110" s="1026">
        <v>494295004.31020379</v>
      </c>
      <c r="AW110" s="1026">
        <v>0</v>
      </c>
      <c r="BB110" s="1026">
        <v>6344185283.0777121</v>
      </c>
      <c r="BC110" s="1026">
        <v>5712048183.0777121</v>
      </c>
      <c r="BD110" s="1026">
        <v>5712048183.0777121</v>
      </c>
      <c r="BE110" s="1026">
        <v>0</v>
      </c>
      <c r="BJ110" s="1026">
        <v>632137100</v>
      </c>
      <c r="BL110" s="1026">
        <v>632137100</v>
      </c>
      <c r="BM110" s="1026">
        <v>632137100</v>
      </c>
      <c r="BQ110" s="1026">
        <v>0</v>
      </c>
      <c r="BS110" s="1026">
        <v>0</v>
      </c>
      <c r="BX110" s="1026">
        <v>0</v>
      </c>
      <c r="CD110" s="1026">
        <v>0</v>
      </c>
      <c r="CE110" s="1026">
        <v>0</v>
      </c>
      <c r="CH110" s="1026">
        <v>0</v>
      </c>
      <c r="CL110" s="1026">
        <v>0</v>
      </c>
      <c r="CQ110" s="1026">
        <v>0</v>
      </c>
      <c r="CR110" s="1026">
        <v>0</v>
      </c>
      <c r="CU110" s="1026">
        <v>0</v>
      </c>
      <c r="CY110" s="1026">
        <v>0</v>
      </c>
      <c r="DA110" s="1026">
        <v>0</v>
      </c>
      <c r="DB110" s="1026">
        <v>0</v>
      </c>
      <c r="DH110" s="1026">
        <v>7476838776.0536003</v>
      </c>
      <c r="DI110" s="1026">
        <v>289724508.15486699</v>
      </c>
      <c r="DJ110" s="1026">
        <v>23823990.730599102</v>
      </c>
      <c r="DK110" s="1026">
        <v>2765079290.3152399</v>
      </c>
      <c r="DL110" s="1026">
        <v>4398210986.8528938</v>
      </c>
      <c r="DN110" s="1026">
        <v>3809370706.1587081</v>
      </c>
      <c r="DQ110" s="1026">
        <v>26128195517.157196</v>
      </c>
      <c r="DT110" s="1026">
        <v>5.173492431640625E-2</v>
      </c>
    </row>
    <row r="111" spans="2:124">
      <c r="B111" s="1790">
        <v>44866</v>
      </c>
      <c r="C111" s="1026">
        <v>7599446340.8831739</v>
      </c>
      <c r="D111" s="1026">
        <v>7599446340.8831739</v>
      </c>
      <c r="E111" s="1026">
        <v>5604829526.3813486</v>
      </c>
      <c r="F111" s="1026">
        <v>1994616814.5018253</v>
      </c>
      <c r="G111" s="1026">
        <v>0</v>
      </c>
      <c r="O111" s="1026">
        <v>1887550447.304817</v>
      </c>
      <c r="P111" s="1026">
        <v>585881312.24412811</v>
      </c>
      <c r="Q111" s="1026">
        <v>186368195.04011112</v>
      </c>
      <c r="R111" s="1026">
        <v>151540163.78153333</v>
      </c>
      <c r="S111" s="1026">
        <v>34828031.258577779</v>
      </c>
      <c r="U111" s="1026">
        <v>399513117.20401698</v>
      </c>
      <c r="V111" s="1026">
        <v>35536215.812822215</v>
      </c>
      <c r="W111" s="1026">
        <v>363976901.39119476</v>
      </c>
      <c r="Y111" s="1026">
        <v>0</v>
      </c>
      <c r="AC111" s="1026">
        <v>0</v>
      </c>
      <c r="AD111" s="1026">
        <v>0</v>
      </c>
      <c r="AE111" s="1026">
        <v>0</v>
      </c>
      <c r="AG111" s="1026">
        <v>12633541.66</v>
      </c>
      <c r="AH111" s="1026">
        <v>12633541.66</v>
      </c>
      <c r="AI111" s="1026">
        <v>0</v>
      </c>
      <c r="AK111" s="1026">
        <v>351715447.96008891</v>
      </c>
      <c r="AL111" s="1026">
        <v>344219943.06475556</v>
      </c>
      <c r="AM111" s="1026">
        <v>7495504.8953333329</v>
      </c>
      <c r="AO111" s="1026">
        <v>443022083.49704438</v>
      </c>
      <c r="AP111" s="1026">
        <v>323842402.97115552</v>
      </c>
      <c r="AQ111" s="1026">
        <v>119179680.52588888</v>
      </c>
      <c r="AS111" s="1026">
        <v>494298061.94355559</v>
      </c>
      <c r="AT111" s="1026">
        <v>265476141.26799998</v>
      </c>
      <c r="AU111" s="1026">
        <v>228821920.67555559</v>
      </c>
      <c r="AW111" s="1026">
        <v>0</v>
      </c>
      <c r="BB111" s="1026">
        <v>6844274610.684123</v>
      </c>
      <c r="BC111" s="1026">
        <v>6187008336.467906</v>
      </c>
      <c r="BD111" s="1026">
        <v>6187008336.467906</v>
      </c>
      <c r="BE111" s="1026">
        <v>0</v>
      </c>
      <c r="BJ111" s="1026">
        <v>657266274.21621704</v>
      </c>
      <c r="BL111" s="1026">
        <v>657266274.21621704</v>
      </c>
      <c r="BM111" s="1026">
        <v>657266274.21621704</v>
      </c>
      <c r="BQ111" s="1026">
        <v>0</v>
      </c>
      <c r="BS111" s="1026">
        <v>0</v>
      </c>
      <c r="BX111" s="1026">
        <v>0</v>
      </c>
      <c r="CD111" s="1026">
        <v>0</v>
      </c>
      <c r="CE111" s="1026">
        <v>0</v>
      </c>
      <c r="CH111" s="1026">
        <v>0</v>
      </c>
      <c r="CL111" s="1026">
        <v>0</v>
      </c>
      <c r="CQ111" s="1026">
        <v>0</v>
      </c>
      <c r="CR111" s="1026">
        <v>0</v>
      </c>
      <c r="CU111" s="1026">
        <v>0</v>
      </c>
      <c r="CY111" s="1026">
        <v>0</v>
      </c>
      <c r="DA111" s="1026">
        <v>0</v>
      </c>
      <c r="DB111" s="1026">
        <v>0</v>
      </c>
      <c r="DH111" s="1026">
        <v>7796935278.49475</v>
      </c>
      <c r="DI111" s="1026">
        <v>348364056.78486699</v>
      </c>
      <c r="DJ111" s="1026">
        <v>12736633.440599101</v>
      </c>
      <c r="DK111" s="1026">
        <v>2322781202.4618306</v>
      </c>
      <c r="DL111" s="1026">
        <v>5113053385.8074532</v>
      </c>
      <c r="DN111" s="1026">
        <v>2802652928.1466799</v>
      </c>
      <c r="DQ111" s="1026">
        <v>26930859605.513542</v>
      </c>
      <c r="DT111" s="1026">
        <v>6.0398101806640625E-2</v>
      </c>
    </row>
    <row r="112" spans="2:124">
      <c r="B112" s="1790">
        <v>44896</v>
      </c>
      <c r="C112" s="1026">
        <v>9228670442.0922279</v>
      </c>
      <c r="D112" s="1026">
        <v>9228670442.0922279</v>
      </c>
      <c r="E112" s="1026">
        <v>6232080581.8955441</v>
      </c>
      <c r="F112" s="1026">
        <v>2996589860.1966848</v>
      </c>
      <c r="G112" s="1026">
        <v>0</v>
      </c>
      <c r="O112" s="1026">
        <v>2074126377.3490405</v>
      </c>
      <c r="P112" s="1026">
        <v>680050868.70528471</v>
      </c>
      <c r="Q112" s="1026">
        <v>171395202.68544447</v>
      </c>
      <c r="R112" s="1026">
        <v>72593987.049666673</v>
      </c>
      <c r="S112" s="1026">
        <v>98801215.635777786</v>
      </c>
      <c r="U112" s="1026">
        <v>508655666.01984024</v>
      </c>
      <c r="V112" s="1026">
        <v>112037560.38904445</v>
      </c>
      <c r="W112" s="1026">
        <v>396618105.63079578</v>
      </c>
      <c r="Y112" s="1026">
        <v>0</v>
      </c>
      <c r="AC112" s="1026">
        <v>0</v>
      </c>
      <c r="AD112" s="1026">
        <v>0</v>
      </c>
      <c r="AE112" s="1026">
        <v>0</v>
      </c>
      <c r="AG112" s="1026">
        <v>4846561.8599999994</v>
      </c>
      <c r="AH112" s="1026">
        <v>4846561.8599999994</v>
      </c>
      <c r="AI112" s="1026">
        <v>0</v>
      </c>
      <c r="AK112" s="1026">
        <v>363396158.15193337</v>
      </c>
      <c r="AL112" s="1026">
        <v>355406721.24000001</v>
      </c>
      <c r="AM112" s="1026">
        <v>7989436.9119333355</v>
      </c>
      <c r="AO112" s="1026">
        <v>491825538.11004454</v>
      </c>
      <c r="AP112" s="1026">
        <v>150628463.4120667</v>
      </c>
      <c r="AQ112" s="1026">
        <v>341197074.69797784</v>
      </c>
      <c r="AS112" s="1026">
        <v>534007250.52177775</v>
      </c>
      <c r="AT112" s="1026">
        <v>280041452.55844438</v>
      </c>
      <c r="AU112" s="1026">
        <v>253965797.96333334</v>
      </c>
      <c r="AW112" s="1026">
        <v>0</v>
      </c>
      <c r="BB112" s="1026">
        <v>10072987956.96316</v>
      </c>
      <c r="BC112" s="1026">
        <v>9399079383.8583374</v>
      </c>
      <c r="BD112" s="1026">
        <v>9384643281.9583378</v>
      </c>
      <c r="BE112" s="1026">
        <v>14436101.9</v>
      </c>
      <c r="BF112" s="1026">
        <v>14436101.9</v>
      </c>
      <c r="BJ112" s="1026">
        <v>673908573.10482204</v>
      </c>
      <c r="BL112" s="1026">
        <v>673908573.10482204</v>
      </c>
      <c r="BM112" s="1026">
        <v>673908573.10482204</v>
      </c>
      <c r="BQ112" s="1026">
        <v>0</v>
      </c>
      <c r="BS112" s="1026">
        <v>0</v>
      </c>
      <c r="BX112" s="1026">
        <v>0</v>
      </c>
      <c r="CD112" s="1026">
        <v>0</v>
      </c>
      <c r="CE112" s="1026">
        <v>0</v>
      </c>
      <c r="CH112" s="1026">
        <v>0</v>
      </c>
      <c r="CL112" s="1026">
        <v>0</v>
      </c>
      <c r="CQ112" s="1026">
        <v>0</v>
      </c>
      <c r="CR112" s="1026">
        <v>0</v>
      </c>
      <c r="CU112" s="1026">
        <v>0</v>
      </c>
      <c r="CY112" s="1026">
        <v>0</v>
      </c>
      <c r="DA112" s="1026">
        <v>0</v>
      </c>
      <c r="DB112" s="1026">
        <v>0</v>
      </c>
      <c r="DH112" s="1026">
        <v>9476780313.3807507</v>
      </c>
      <c r="DI112" s="1026">
        <v>331015424.644867</v>
      </c>
      <c r="DJ112" s="1026">
        <v>17887941.530599099</v>
      </c>
      <c r="DK112" s="1026">
        <v>3640812853.1499729</v>
      </c>
      <c r="DL112" s="1026">
        <v>5487064094.0553112</v>
      </c>
      <c r="DN112" s="1026">
        <v>3171600697.8905401</v>
      </c>
      <c r="DQ112" s="1026">
        <v>34024165787.67572</v>
      </c>
      <c r="DR112" s="1026">
        <v>34024165787.67572</v>
      </c>
    </row>
    <row r="114" spans="2:121">
      <c r="B114" s="1790">
        <v>44927</v>
      </c>
      <c r="C114" s="1026">
        <v>8689951946.1726494</v>
      </c>
      <c r="D114" s="1026">
        <v>8689951946.1726494</v>
      </c>
      <c r="E114" s="1026">
        <v>6239131573.8760185</v>
      </c>
      <c r="F114" s="1026">
        <v>2450820372.2966313</v>
      </c>
      <c r="G114" s="1026">
        <v>0</v>
      </c>
      <c r="O114" s="1026">
        <v>2042664014.7164669</v>
      </c>
      <c r="P114" s="1026">
        <v>540878715.48324442</v>
      </c>
      <c r="Q114" s="1026">
        <v>165188495.86933333</v>
      </c>
      <c r="R114" s="1026">
        <v>84547182.096733332</v>
      </c>
      <c r="S114" s="1026">
        <v>80641313.772599995</v>
      </c>
      <c r="U114" s="1026">
        <v>375690219.61391109</v>
      </c>
      <c r="V114" s="1026">
        <v>111263638.6962</v>
      </c>
      <c r="W114" s="1026">
        <v>264426580.91771111</v>
      </c>
      <c r="Y114" s="1026">
        <v>0</v>
      </c>
      <c r="AC114" s="1026">
        <v>0</v>
      </c>
      <c r="AD114" s="1026">
        <v>0</v>
      </c>
      <c r="AE114" s="1026">
        <v>0</v>
      </c>
      <c r="AG114" s="1026">
        <v>2353059.7699999996</v>
      </c>
      <c r="AH114" s="1026">
        <v>2353059.7699999996</v>
      </c>
      <c r="AI114" s="1026">
        <v>0</v>
      </c>
      <c r="AK114" s="1026">
        <v>366558443.14466703</v>
      </c>
      <c r="AL114" s="1026">
        <v>358079279.79506701</v>
      </c>
      <c r="AM114" s="1026">
        <v>8479163.3496000003</v>
      </c>
      <c r="AO114" s="1026">
        <v>518715265.08604443</v>
      </c>
      <c r="AP114" s="1026">
        <v>329240423.68102223</v>
      </c>
      <c r="AQ114" s="1026">
        <v>189474841.4050222</v>
      </c>
      <c r="AS114" s="1026">
        <v>614158531.23251104</v>
      </c>
      <c r="AT114" s="1026">
        <v>0</v>
      </c>
      <c r="AU114" s="1026">
        <v>614158531.23251104</v>
      </c>
      <c r="AW114" s="1026">
        <v>0</v>
      </c>
      <c r="BB114" s="1026">
        <v>9599203593.933466</v>
      </c>
      <c r="BC114" s="1026">
        <v>8595967727.0885811</v>
      </c>
      <c r="BD114" s="1026">
        <v>8595967727.0885811</v>
      </c>
      <c r="BE114" s="1026">
        <v>0</v>
      </c>
      <c r="BF114" s="1026">
        <v>0</v>
      </c>
      <c r="BJ114" s="1026">
        <v>1003235866.844885</v>
      </c>
      <c r="BL114" s="1026">
        <v>1003235866.844885</v>
      </c>
      <c r="BM114" s="1026">
        <v>1003235866.844885</v>
      </c>
      <c r="BQ114" s="1026">
        <v>0</v>
      </c>
      <c r="BS114" s="1026">
        <v>0</v>
      </c>
      <c r="BX114" s="1026">
        <v>0</v>
      </c>
      <c r="CD114" s="1026">
        <v>0</v>
      </c>
      <c r="CE114" s="1026">
        <v>0</v>
      </c>
      <c r="CH114" s="1026">
        <v>0</v>
      </c>
      <c r="CL114" s="1026">
        <v>0</v>
      </c>
      <c r="CQ114" s="1026">
        <v>0</v>
      </c>
      <c r="CR114" s="1026">
        <v>0</v>
      </c>
      <c r="CU114" s="1026">
        <v>0</v>
      </c>
      <c r="CY114" s="1026">
        <v>0</v>
      </c>
      <c r="DA114" s="1026">
        <v>0</v>
      </c>
      <c r="DB114" s="1026">
        <v>0</v>
      </c>
      <c r="DH114" s="1026">
        <v>14087181972</v>
      </c>
      <c r="DI114" s="1026">
        <v>389185699.21370298</v>
      </c>
      <c r="DJ114" s="1026">
        <v>19560307.812099099</v>
      </c>
      <c r="DK114" s="1026">
        <v>731972912.58425355</v>
      </c>
      <c r="DL114" s="1026">
        <v>12946463052.389944</v>
      </c>
      <c r="DN114" s="1026">
        <v>3014912485.1751099</v>
      </c>
      <c r="DQ114" s="1026">
        <v>37433914011.997696</v>
      </c>
    </row>
    <row r="115" spans="2:121">
      <c r="B115" s="1790">
        <v>44958</v>
      </c>
      <c r="C115" s="1026">
        <v>9553235848.9115715</v>
      </c>
      <c r="D115" s="1026">
        <v>9553235848.9115715</v>
      </c>
      <c r="E115" s="1026">
        <v>7385939213.9799557</v>
      </c>
      <c r="F115" s="1026">
        <v>2167296634.9316149</v>
      </c>
      <c r="G115" s="1026">
        <v>0</v>
      </c>
      <c r="O115" s="1026">
        <v>2480841868.8797803</v>
      </c>
      <c r="P115" s="1026">
        <v>406556517.20848894</v>
      </c>
      <c r="Q115" s="1026">
        <v>140036863.75420836</v>
      </c>
      <c r="R115" s="1026">
        <v>115954599.00355557</v>
      </c>
      <c r="S115" s="1026">
        <v>24082264.750652779</v>
      </c>
      <c r="U115" s="1026">
        <v>266519653.45428056</v>
      </c>
      <c r="V115" s="1026">
        <v>167882978.50794443</v>
      </c>
      <c r="W115" s="1026">
        <v>98636674.94633612</v>
      </c>
      <c r="Y115" s="1026">
        <v>0</v>
      </c>
      <c r="AC115" s="1026">
        <v>500000000</v>
      </c>
      <c r="AD115" s="1026">
        <v>500000000</v>
      </c>
      <c r="AE115" s="1026">
        <v>0</v>
      </c>
      <c r="AG115" s="1026">
        <v>2355934.0600000205</v>
      </c>
      <c r="AH115" s="1026">
        <v>2355934.0600000205</v>
      </c>
      <c r="AI115" s="1026">
        <v>0</v>
      </c>
      <c r="AK115" s="1026">
        <v>369473597.04361105</v>
      </c>
      <c r="AL115" s="1026">
        <v>360369504.44999993</v>
      </c>
      <c r="AM115" s="1026">
        <v>9104092.59361111</v>
      </c>
      <c r="AO115" s="1026">
        <v>517952918.35176384</v>
      </c>
      <c r="AP115" s="1026">
        <v>484655352.86779165</v>
      </c>
      <c r="AQ115" s="1026">
        <v>33297565.483972222</v>
      </c>
      <c r="AS115" s="1026">
        <v>684502902.21591675</v>
      </c>
      <c r="AT115" s="1026">
        <v>383486727.15341669</v>
      </c>
      <c r="AU115" s="1026">
        <v>301016175.06250006</v>
      </c>
      <c r="AW115" s="1026">
        <v>0</v>
      </c>
      <c r="BB115" s="1026">
        <v>11996888738.699699</v>
      </c>
      <c r="BC115" s="1026">
        <v>10873267342.805475</v>
      </c>
      <c r="BD115" s="1026">
        <v>10873267342.805475</v>
      </c>
      <c r="BE115" s="1026">
        <v>0</v>
      </c>
      <c r="BF115" s="1026">
        <v>0</v>
      </c>
      <c r="BJ115" s="1026">
        <v>1123621395.8942251</v>
      </c>
      <c r="BL115" s="1026">
        <v>1123621395.8942251</v>
      </c>
      <c r="BM115" s="1026">
        <v>1123621395.8942251</v>
      </c>
      <c r="BQ115" s="1026">
        <v>0</v>
      </c>
      <c r="BS115" s="1026">
        <v>0</v>
      </c>
      <c r="BX115" s="1026">
        <v>0</v>
      </c>
      <c r="CD115" s="1026">
        <v>0</v>
      </c>
      <c r="CE115" s="1026">
        <v>0</v>
      </c>
      <c r="CH115" s="1026">
        <v>0</v>
      </c>
      <c r="CL115" s="1026">
        <v>0</v>
      </c>
      <c r="CQ115" s="1026">
        <v>0</v>
      </c>
      <c r="CR115" s="1026">
        <v>0</v>
      </c>
      <c r="CU115" s="1026">
        <v>0</v>
      </c>
      <c r="CY115" s="1026">
        <v>0</v>
      </c>
      <c r="DA115" s="1026">
        <v>0</v>
      </c>
      <c r="DB115" s="1026">
        <v>0</v>
      </c>
      <c r="DH115" s="1026">
        <v>16533356793.602501</v>
      </c>
      <c r="DI115" s="1026">
        <v>444844920.57370299</v>
      </c>
      <c r="DJ115" s="1026">
        <v>21268272.012099098</v>
      </c>
      <c r="DK115" s="1026">
        <v>2209398759.7010102</v>
      </c>
      <c r="DL115" s="1026">
        <v>13857844841.315689</v>
      </c>
      <c r="DN115" s="1026">
        <v>3427661706.793726</v>
      </c>
      <c r="DQ115" s="1026">
        <v>43991984956.887276</v>
      </c>
    </row>
  </sheetData>
  <customSheetViews>
    <customSheetView guid="{705E0D18-9A83-42CA-8732-90923BE2EC7D}" topLeftCell="A39">
      <selection activeCell="B51" sqref="B51:B53"/>
      <pageMargins left="0.7" right="0.7" top="0.75" bottom="0.75" header="0.3" footer="0.3"/>
      <pageSetup orientation="portrait" r:id="rId1"/>
    </customSheetView>
    <customSheetView guid="{D45E5F9E-4EA6-40A2-8A1D-3AC67FB8CE54}" topLeftCell="A34">
      <selection activeCell="D55" sqref="D55"/>
      <pageMargins left="0.7" right="0.7" top="0.75" bottom="0.75" header="0.3" footer="0.3"/>
      <pageSetup orientation="portrait" r:id="rId2"/>
    </customSheetView>
    <customSheetView guid="{89CA84C2-78F5-4B05-8F1D-B7C5F97BCB4E}" topLeftCell="A36">
      <selection activeCell="A46" sqref="A46:XFD46"/>
      <pageMargins left="0.7" right="0.7" top="0.75" bottom="0.75" header="0.3" footer="0.3"/>
      <pageSetup orientation="portrait" r:id="rId3"/>
    </customSheetView>
  </customSheetViews>
  <pageMargins left="0.7" right="0.7" top="0.75" bottom="0.75" header="0.3" footer="0.3"/>
  <pageSetup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002060"/>
    <pageSetUpPr autoPageBreaks="0" fitToPage="1"/>
  </sheetPr>
  <dimension ref="A1:Z299"/>
  <sheetViews>
    <sheetView showGridLines="0" tabSelected="1" showOutlineSymbols="0" zoomScale="62" zoomScaleNormal="50" zoomScaleSheetLayoutView="100" workbookViewId="0">
      <pane xSplit="2" ySplit="11" topLeftCell="C166" activePane="bottomRight" state="frozen"/>
      <selection pane="topRight" activeCell="C1" sqref="C1"/>
      <selection pane="bottomLeft" activeCell="A12" sqref="A12"/>
      <selection pane="bottomRight" activeCell="C174" sqref="C174"/>
    </sheetView>
  </sheetViews>
  <sheetFormatPr defaultColWidth="8.6640625" defaultRowHeight="15"/>
  <cols>
    <col min="1" max="1" width="10.109375" style="614" customWidth="1"/>
    <col min="2" max="2" width="8.77734375" style="614" customWidth="1"/>
    <col min="3" max="3" width="10.6640625" style="614" customWidth="1"/>
    <col min="4" max="4" width="17" style="614" customWidth="1"/>
    <col min="5" max="5" width="16.44140625" style="614" customWidth="1"/>
    <col min="6" max="6" width="15.77734375" style="614" bestFit="1" customWidth="1"/>
    <col min="7" max="7" width="14.109375" style="614" bestFit="1" customWidth="1"/>
    <col min="8" max="8" width="15.77734375" style="614" bestFit="1" customWidth="1"/>
    <col min="9" max="9" width="16.21875" style="614" customWidth="1"/>
    <col min="10" max="10" width="13.6640625" style="614" customWidth="1"/>
    <col min="11" max="11" width="15" style="614" customWidth="1"/>
    <col min="12" max="12" width="15.21875" style="614" customWidth="1"/>
    <col min="13" max="13" width="11.5546875" style="614" bestFit="1" customWidth="1"/>
    <col min="14" max="14" width="13" style="614" customWidth="1"/>
    <col min="15" max="15" width="12.6640625" style="614" bestFit="1" customWidth="1"/>
    <col min="16" max="16" width="10.6640625" style="614" bestFit="1" customWidth="1"/>
    <col min="17" max="17" width="21.5546875" style="614" bestFit="1" customWidth="1"/>
    <col min="18" max="18" width="19.21875" style="614" bestFit="1" customWidth="1"/>
    <col min="19" max="19" width="15.77734375" style="614" customWidth="1"/>
    <col min="20" max="20" width="17.44140625" style="614" bestFit="1" customWidth="1"/>
    <col min="21" max="21" width="16.77734375" style="614" customWidth="1"/>
    <col min="22" max="23" width="17.21875" style="614" bestFit="1" customWidth="1"/>
    <col min="24" max="24" width="17.5546875" style="614" customWidth="1"/>
    <col min="25" max="25" width="7.21875" style="1073" customWidth="1"/>
    <col min="26" max="26" width="9.21875" style="1030" bestFit="1" customWidth="1"/>
    <col min="27" max="16384" width="8.6640625" style="614"/>
  </cols>
  <sheetData>
    <row r="1" spans="1:26" ht="27" customHeight="1">
      <c r="B1" s="1851" t="s">
        <v>1752</v>
      </c>
      <c r="C1" s="1851"/>
      <c r="D1" s="1851"/>
      <c r="E1" s="1851"/>
      <c r="F1" s="1851"/>
      <c r="G1" s="1851"/>
      <c r="H1" s="1851"/>
      <c r="I1" s="1851"/>
      <c r="J1" s="1851"/>
      <c r="K1" s="1851"/>
      <c r="L1" s="1851"/>
      <c r="M1" s="1851"/>
      <c r="N1" s="1851"/>
      <c r="O1" s="1851"/>
      <c r="P1" s="1851"/>
      <c r="Q1" s="1851"/>
      <c r="R1" s="1851"/>
      <c r="S1" s="1851"/>
      <c r="T1" s="1851"/>
      <c r="U1" s="1851"/>
      <c r="V1" s="1851"/>
      <c r="W1" s="1851"/>
    </row>
    <row r="2" spans="1:26" ht="13.9" customHeight="1">
      <c r="A2" s="616"/>
      <c r="B2" s="957"/>
      <c r="C2" s="957"/>
      <c r="D2" s="957"/>
      <c r="E2" s="957"/>
      <c r="F2" s="957"/>
      <c r="G2" s="957"/>
      <c r="H2" s="957"/>
      <c r="I2" s="957"/>
      <c r="J2" s="957"/>
      <c r="K2" s="957"/>
      <c r="L2" s="957"/>
      <c r="M2" s="957"/>
      <c r="N2" s="957"/>
      <c r="O2" s="957"/>
      <c r="P2" s="957"/>
      <c r="Q2" s="957"/>
      <c r="R2" s="957"/>
      <c r="S2" s="957"/>
      <c r="T2" s="957"/>
      <c r="U2" s="957"/>
      <c r="V2" s="957"/>
      <c r="W2" s="957"/>
    </row>
    <row r="3" spans="1:26" ht="19.5" customHeight="1">
      <c r="A3" s="615"/>
      <c r="B3" s="1852" t="s">
        <v>1799</v>
      </c>
      <c r="C3" s="1852"/>
      <c r="D3" s="1852"/>
      <c r="E3" s="1852"/>
      <c r="F3" s="1852"/>
      <c r="G3" s="1852"/>
      <c r="H3" s="1852"/>
      <c r="I3" s="1852"/>
      <c r="J3" s="1852"/>
      <c r="K3" s="1852"/>
      <c r="L3" s="1852"/>
      <c r="M3" s="1852"/>
      <c r="N3" s="1852"/>
      <c r="O3" s="1852"/>
      <c r="P3" s="1852"/>
      <c r="Q3" s="1852"/>
      <c r="R3" s="1852"/>
      <c r="S3" s="1852"/>
      <c r="T3" s="1852"/>
      <c r="U3" s="1852"/>
      <c r="V3" s="1852"/>
      <c r="W3" s="1852"/>
    </row>
    <row r="4" spans="1:26" ht="13.9" customHeight="1" thickBot="1">
      <c r="A4" s="616"/>
      <c r="B4" s="752"/>
      <c r="C4" s="752"/>
      <c r="D4" s="752"/>
      <c r="E4" s="752"/>
      <c r="F4" s="752"/>
      <c r="G4" s="752"/>
      <c r="H4" s="752"/>
      <c r="I4" s="752"/>
      <c r="J4" s="752"/>
      <c r="K4" s="752"/>
      <c r="L4" s="752"/>
      <c r="M4" s="752"/>
      <c r="N4" s="752"/>
      <c r="O4" s="752"/>
      <c r="P4" s="752"/>
      <c r="Q4" s="752"/>
      <c r="R4" s="752"/>
      <c r="S4" s="752"/>
      <c r="T4" s="752"/>
      <c r="U4" s="752"/>
      <c r="V4" s="752"/>
      <c r="W4" s="752"/>
    </row>
    <row r="5" spans="1:26" ht="15" customHeight="1" thickTop="1">
      <c r="B5" s="1031"/>
      <c r="C5" s="1032"/>
      <c r="D5" s="1033"/>
      <c r="E5" s="1034"/>
      <c r="F5" s="1034"/>
      <c r="G5" s="1035"/>
      <c r="H5" s="1034"/>
      <c r="I5" s="1033"/>
      <c r="J5" s="1034"/>
      <c r="K5" s="1034"/>
      <c r="L5" s="1035"/>
      <c r="M5" s="1866"/>
      <c r="N5" s="1867"/>
      <c r="O5" s="1867"/>
      <c r="P5" s="1867"/>
      <c r="Q5" s="1867"/>
      <c r="R5" s="1868"/>
      <c r="S5" s="1036"/>
      <c r="T5" s="1036"/>
      <c r="U5" s="1036"/>
      <c r="V5" s="1036"/>
      <c r="W5" s="1036"/>
    </row>
    <row r="6" spans="1:26" ht="19.5" customHeight="1" thickBot="1">
      <c r="B6" s="1037"/>
      <c r="C6" s="1038"/>
      <c r="D6" s="1853"/>
      <c r="E6" s="1854"/>
      <c r="F6" s="1854"/>
      <c r="G6" s="1855"/>
      <c r="H6" s="1039"/>
      <c r="I6" s="1856"/>
      <c r="J6" s="1857"/>
      <c r="K6" s="1857"/>
      <c r="L6" s="1858"/>
      <c r="M6" s="1869"/>
      <c r="N6" s="1870"/>
      <c r="O6" s="1870"/>
      <c r="P6" s="1870"/>
      <c r="Q6" s="1870"/>
      <c r="R6" s="1871"/>
      <c r="S6" s="1040"/>
      <c r="T6" s="1040"/>
      <c r="U6" s="1040"/>
      <c r="V6" s="1040"/>
      <c r="W6" s="1040"/>
    </row>
    <row r="7" spans="1:26" ht="15" customHeight="1" thickTop="1" thickBot="1">
      <c r="B7" s="1171"/>
      <c r="C7" s="1171"/>
      <c r="E7" s="1162"/>
      <c r="F7" s="1162"/>
      <c r="G7" s="1162"/>
      <c r="H7" s="1172"/>
      <c r="I7" s="1859" t="s">
        <v>1694</v>
      </c>
      <c r="J7" s="1860"/>
      <c r="K7" s="1860"/>
      <c r="L7" s="1861"/>
      <c r="M7" s="1862" t="s">
        <v>1695</v>
      </c>
      <c r="N7" s="1863"/>
      <c r="O7" s="1863"/>
      <c r="P7" s="1864"/>
      <c r="Q7" s="1864"/>
      <c r="R7" s="1865"/>
      <c r="S7" s="1162"/>
      <c r="U7" s="1040"/>
      <c r="W7" s="1173" t="s">
        <v>287</v>
      </c>
    </row>
    <row r="8" spans="1:26" ht="16.5" customHeight="1" thickTop="1">
      <c r="B8" s="1162" t="s">
        <v>32</v>
      </c>
      <c r="C8" s="1162"/>
      <c r="D8" s="1162" t="s">
        <v>35</v>
      </c>
      <c r="E8" s="1162"/>
      <c r="F8" s="1162"/>
      <c r="G8" s="1162"/>
      <c r="H8" s="1162"/>
      <c r="I8" s="1824"/>
      <c r="J8" s="1825"/>
      <c r="K8" s="1825"/>
      <c r="L8" s="1826"/>
      <c r="M8" s="1827"/>
      <c r="N8" s="1828"/>
      <c r="O8" s="1829"/>
      <c r="P8" s="1845" t="s">
        <v>1796</v>
      </c>
      <c r="Q8" s="1846"/>
      <c r="R8" s="1847"/>
      <c r="S8" s="1163"/>
      <c r="T8" s="1162"/>
      <c r="U8" s="1162"/>
      <c r="W8" s="1162"/>
    </row>
    <row r="9" spans="1:26" ht="18" customHeight="1">
      <c r="B9" s="1171"/>
      <c r="C9" s="1162" t="s">
        <v>1326</v>
      </c>
      <c r="D9" s="1162" t="s">
        <v>998</v>
      </c>
      <c r="E9" s="1162" t="s">
        <v>999</v>
      </c>
      <c r="F9" s="1162" t="s">
        <v>1697</v>
      </c>
      <c r="G9" s="1162" t="s">
        <v>999</v>
      </c>
      <c r="H9" s="1162" t="s">
        <v>1698</v>
      </c>
      <c r="I9" s="1828"/>
      <c r="J9" s="1830"/>
      <c r="K9" s="1830"/>
      <c r="L9" s="1831"/>
      <c r="M9" s="1827"/>
      <c r="N9" s="1828" t="s">
        <v>1732</v>
      </c>
      <c r="O9" s="1829" t="s">
        <v>1733</v>
      </c>
      <c r="P9" s="1848"/>
      <c r="Q9" s="1849"/>
      <c r="R9" s="1850"/>
      <c r="S9" s="1163"/>
      <c r="T9" s="1162" t="s">
        <v>1735</v>
      </c>
      <c r="U9" s="1162"/>
      <c r="V9" s="1162" t="s">
        <v>1164</v>
      </c>
      <c r="W9" s="1162"/>
    </row>
    <row r="10" spans="1:26" ht="17.25" customHeight="1" thickBot="1">
      <c r="B10" s="1171"/>
      <c r="C10" s="1162" t="s">
        <v>1351</v>
      </c>
      <c r="D10" s="1162" t="s">
        <v>766</v>
      </c>
      <c r="E10" s="1162" t="s">
        <v>1001</v>
      </c>
      <c r="F10" s="1162" t="s">
        <v>1699</v>
      </c>
      <c r="G10" s="1162" t="s">
        <v>1001</v>
      </c>
      <c r="H10" s="1162" t="s">
        <v>1700</v>
      </c>
      <c r="I10" s="1830" t="s">
        <v>1800</v>
      </c>
      <c r="J10" s="1830" t="s">
        <v>1702</v>
      </c>
      <c r="K10" s="1828" t="s">
        <v>1141</v>
      </c>
      <c r="L10" s="1831" t="s">
        <v>1801</v>
      </c>
      <c r="M10" s="1827" t="s">
        <v>64</v>
      </c>
      <c r="N10" s="1828" t="s">
        <v>64</v>
      </c>
      <c r="O10" s="1829" t="s">
        <v>1734</v>
      </c>
      <c r="P10" s="1848"/>
      <c r="Q10" s="1849"/>
      <c r="R10" s="1850"/>
      <c r="S10" s="1163" t="s">
        <v>1722</v>
      </c>
      <c r="T10" s="1162" t="s">
        <v>1026</v>
      </c>
      <c r="U10" s="1162" t="s">
        <v>1479</v>
      </c>
      <c r="V10" s="1162" t="s">
        <v>1026</v>
      </c>
      <c r="W10" s="1162"/>
    </row>
    <row r="11" spans="1:26" ht="18.75" customHeight="1" thickBot="1">
      <c r="B11" s="1174"/>
      <c r="C11" s="1175" t="s">
        <v>1324</v>
      </c>
      <c r="D11" s="1162" t="s">
        <v>1004</v>
      </c>
      <c r="E11" s="1176" t="s">
        <v>1005</v>
      </c>
      <c r="F11" s="1176" t="s">
        <v>1706</v>
      </c>
      <c r="G11" s="1176" t="s">
        <v>1187</v>
      </c>
      <c r="H11" s="1176" t="s">
        <v>1707</v>
      </c>
      <c r="I11" s="1832" t="s">
        <v>1163</v>
      </c>
      <c r="J11" s="1833" t="s">
        <v>1708</v>
      </c>
      <c r="K11" s="1833"/>
      <c r="L11" s="1834"/>
      <c r="M11" s="1835"/>
      <c r="N11" s="1832"/>
      <c r="O11" s="1829"/>
      <c r="P11" s="1836" t="s">
        <v>1797</v>
      </c>
      <c r="Q11" s="1837" t="s">
        <v>1798</v>
      </c>
      <c r="R11" s="1838" t="s">
        <v>37</v>
      </c>
      <c r="S11" s="1796"/>
      <c r="T11" s="1176"/>
      <c r="U11" s="1176"/>
      <c r="V11" s="1176"/>
      <c r="W11" s="1176"/>
    </row>
    <row r="12" spans="1:26" ht="15" customHeight="1" thickTop="1">
      <c r="B12" s="1051"/>
      <c r="C12" s="1051"/>
      <c r="D12" s="1044"/>
      <c r="E12" s="1040"/>
      <c r="F12" s="1040"/>
      <c r="G12" s="1040"/>
      <c r="H12" s="1040"/>
      <c r="I12" s="1044"/>
      <c r="J12" s="1046"/>
      <c r="K12" s="1046"/>
      <c r="L12" s="1046"/>
      <c r="M12" s="1040"/>
      <c r="N12" s="1040"/>
      <c r="O12" s="1160"/>
      <c r="P12" s="1461"/>
      <c r="Q12" s="1461"/>
      <c r="R12" s="1040"/>
      <c r="S12" s="1040"/>
      <c r="T12" s="1040"/>
      <c r="U12" s="1040"/>
      <c r="V12" s="1040"/>
      <c r="W12" s="1040"/>
    </row>
    <row r="13" spans="1:26" ht="15" hidden="1" customHeight="1">
      <c r="B13" s="1161">
        <v>2015</v>
      </c>
      <c r="C13" s="1161"/>
      <c r="D13" s="1162"/>
      <c r="E13" s="1162"/>
      <c r="F13" s="1162"/>
      <c r="G13" s="1162"/>
      <c r="H13" s="1162"/>
      <c r="I13" s="1162"/>
      <c r="J13" s="1163"/>
      <c r="K13" s="1163"/>
      <c r="L13" s="1163"/>
      <c r="M13" s="1162"/>
      <c r="N13" s="1162"/>
      <c r="O13" s="1162"/>
      <c r="P13" s="1794"/>
      <c r="Q13" s="1794"/>
      <c r="R13" s="1162"/>
      <c r="S13" s="1162"/>
      <c r="T13" s="1162"/>
      <c r="U13" s="1162"/>
      <c r="V13" s="1162"/>
      <c r="W13" s="1162"/>
    </row>
    <row r="14" spans="1:26" ht="15" hidden="1" customHeight="1">
      <c r="B14" s="1164" t="s">
        <v>1170</v>
      </c>
      <c r="C14" s="1165">
        <v>0.56694593000000004</v>
      </c>
      <c r="D14" s="1166">
        <v>219.29290920999998</v>
      </c>
      <c r="E14" s="1166">
        <v>554.09626300000002</v>
      </c>
      <c r="F14" s="1166">
        <v>158.49816372000001</v>
      </c>
      <c r="G14" s="1167">
        <v>123.29803926</v>
      </c>
      <c r="H14" s="1167">
        <v>61.578197000000003</v>
      </c>
      <c r="I14" s="1167">
        <v>395.09584745000001</v>
      </c>
      <c r="J14" s="1168">
        <v>0</v>
      </c>
      <c r="K14" s="1168">
        <v>0</v>
      </c>
      <c r="L14" s="1168">
        <v>89.714111329999994</v>
      </c>
      <c r="M14" s="1167">
        <v>142.21219600000001</v>
      </c>
      <c r="N14" s="1167">
        <v>17.715889490000002</v>
      </c>
      <c r="O14" s="1167">
        <v>97.885136000000003</v>
      </c>
      <c r="P14" s="1795"/>
      <c r="Q14" s="1795"/>
      <c r="R14" s="1167">
        <v>2628.8731458299999</v>
      </c>
      <c r="S14" s="1167">
        <v>9.8538530000000009</v>
      </c>
      <c r="T14" s="1167">
        <v>529.79374413999994</v>
      </c>
      <c r="U14" s="1167">
        <v>281.45697897000002</v>
      </c>
      <c r="V14" s="1167">
        <v>370.07310184000005</v>
      </c>
      <c r="W14" s="1169">
        <v>5680.0045221700002</v>
      </c>
      <c r="Y14" s="1061" t="e">
        <v>#REF!</v>
      </c>
      <c r="Z14" s="1030" t="e">
        <v>#REF!</v>
      </c>
    </row>
    <row r="15" spans="1:26" ht="15" hidden="1" customHeight="1">
      <c r="B15" s="1164" t="s">
        <v>1172</v>
      </c>
      <c r="C15" s="1165">
        <v>0.42634881000000002</v>
      </c>
      <c r="D15" s="1166">
        <v>214.64046734999999</v>
      </c>
      <c r="E15" s="1166">
        <v>523.89349730000004</v>
      </c>
      <c r="F15" s="1166">
        <v>149.62583838999998</v>
      </c>
      <c r="G15" s="1167">
        <v>133.62192995000001</v>
      </c>
      <c r="H15" s="1167">
        <v>50.643382000000003</v>
      </c>
      <c r="I15" s="1167">
        <v>371.28872003999999</v>
      </c>
      <c r="J15" s="1168">
        <v>0</v>
      </c>
      <c r="K15" s="1168">
        <v>5.342778</v>
      </c>
      <c r="L15" s="1168">
        <v>87.626636930000004</v>
      </c>
      <c r="M15" s="1167">
        <v>137.63123200000001</v>
      </c>
      <c r="N15" s="1167">
        <v>17.308927740000001</v>
      </c>
      <c r="O15" s="1167">
        <v>99.445143000000002</v>
      </c>
      <c r="P15" s="1795"/>
      <c r="Q15" s="1795"/>
      <c r="R15" s="1167">
        <v>2617.21922735</v>
      </c>
      <c r="S15" s="1167">
        <v>9.7480519999999995</v>
      </c>
      <c r="T15" s="1167">
        <v>535.05053525999995</v>
      </c>
      <c r="U15" s="1167">
        <v>260.83574519999996</v>
      </c>
      <c r="V15" s="1167">
        <v>356.79711745999998</v>
      </c>
      <c r="W15" s="1169">
        <v>5571.1455787799996</v>
      </c>
      <c r="Y15" s="1061" t="e">
        <v>#REF!</v>
      </c>
      <c r="Z15" s="1030" t="e">
        <v>#REF!</v>
      </c>
    </row>
    <row r="16" spans="1:26" ht="15" hidden="1" customHeight="1">
      <c r="B16" s="1164" t="s">
        <v>1173</v>
      </c>
      <c r="C16" s="1165">
        <v>0.58156415000000006</v>
      </c>
      <c r="D16" s="1166">
        <v>246.90296856000001</v>
      </c>
      <c r="E16" s="1166">
        <v>477.68398248</v>
      </c>
      <c r="F16" s="1166">
        <v>147.78527004</v>
      </c>
      <c r="G16" s="1167">
        <v>158.67407231000001</v>
      </c>
      <c r="H16" s="1167">
        <v>63.476548999999999</v>
      </c>
      <c r="I16" s="1167">
        <v>376.41914373000003</v>
      </c>
      <c r="J16" s="1168">
        <v>0</v>
      </c>
      <c r="K16" s="1168">
        <v>5.3899169999999996</v>
      </c>
      <c r="L16" s="1168">
        <v>83.202850670000004</v>
      </c>
      <c r="M16" s="1167">
        <v>122.45244700000001</v>
      </c>
      <c r="N16" s="1167">
        <v>11.617811</v>
      </c>
      <c r="O16" s="1167">
        <v>64.426882000000006</v>
      </c>
      <c r="P16" s="1795"/>
      <c r="Q16" s="1795"/>
      <c r="R16" s="1167">
        <v>2761.19407245</v>
      </c>
      <c r="S16" s="1167">
        <v>26.519293999999999</v>
      </c>
      <c r="T16" s="1167">
        <v>527.21874876999993</v>
      </c>
      <c r="U16" s="1167">
        <v>290.95397156000001</v>
      </c>
      <c r="V16" s="1167">
        <v>361.97190949999998</v>
      </c>
      <c r="W16" s="1169">
        <v>5726.4714542200009</v>
      </c>
      <c r="Y16" s="1061" t="e">
        <v>#REF!</v>
      </c>
      <c r="Z16" s="1030" t="e">
        <v>#REF!</v>
      </c>
    </row>
    <row r="17" spans="2:26" ht="15" hidden="1" customHeight="1">
      <c r="B17" s="1164" t="s">
        <v>1174</v>
      </c>
      <c r="C17" s="1165">
        <v>0.72192398000000013</v>
      </c>
      <c r="D17" s="1166">
        <v>205.49121696</v>
      </c>
      <c r="E17" s="1166">
        <v>510.95039061</v>
      </c>
      <c r="F17" s="1166">
        <v>158.60236703999999</v>
      </c>
      <c r="G17" s="1167">
        <v>193.02295305000001</v>
      </c>
      <c r="H17" s="1167">
        <v>25.504653999999999</v>
      </c>
      <c r="I17" s="1167">
        <v>369.73065552000003</v>
      </c>
      <c r="J17" s="1168">
        <v>0</v>
      </c>
      <c r="K17" s="1168">
        <v>5.4363338399999996</v>
      </c>
      <c r="L17" s="1168">
        <v>77.35306525</v>
      </c>
      <c r="M17" s="1167">
        <v>128.927269</v>
      </c>
      <c r="N17" s="1167">
        <v>16.62137697</v>
      </c>
      <c r="O17" s="1167">
        <v>95.306522000000001</v>
      </c>
      <c r="P17" s="1795"/>
      <c r="Q17" s="1795"/>
      <c r="R17" s="1167">
        <v>2730.6398834899996</v>
      </c>
      <c r="S17" s="1167">
        <v>57.640788000000001</v>
      </c>
      <c r="T17" s="1167">
        <v>527.11888409000005</v>
      </c>
      <c r="U17" s="1167">
        <v>303.53292919</v>
      </c>
      <c r="V17" s="1167">
        <v>385.41554473000002</v>
      </c>
      <c r="W17" s="1169">
        <v>5792.01675772</v>
      </c>
      <c r="Y17" s="1061" t="e">
        <v>#REF!</v>
      </c>
      <c r="Z17" s="1030" t="e">
        <v>#REF!</v>
      </c>
    </row>
    <row r="18" spans="2:26" ht="15" hidden="1" customHeight="1">
      <c r="B18" s="1164" t="s">
        <v>1165</v>
      </c>
      <c r="C18" s="1165">
        <v>0.72361205000000006</v>
      </c>
      <c r="D18" s="1166">
        <v>237.31999743</v>
      </c>
      <c r="E18" s="1166">
        <v>513.80532466</v>
      </c>
      <c r="F18" s="1166">
        <v>135.07083553000001</v>
      </c>
      <c r="G18" s="1167">
        <v>155.9202176</v>
      </c>
      <c r="H18" s="1167">
        <v>25.040576000000001</v>
      </c>
      <c r="I18" s="1167">
        <v>660.96504447000007</v>
      </c>
      <c r="J18" s="1168">
        <v>0</v>
      </c>
      <c r="K18" s="1168">
        <v>5.4899159299999996</v>
      </c>
      <c r="L18" s="1168">
        <v>63.068097000000002</v>
      </c>
      <c r="M18" s="1167">
        <v>123.284716</v>
      </c>
      <c r="N18" s="1167">
        <v>16.318673280000002</v>
      </c>
      <c r="O18" s="1167">
        <v>96.946061999999998</v>
      </c>
      <c r="P18" s="1795"/>
      <c r="Q18" s="1795"/>
      <c r="R18" s="1167">
        <v>2737.6632636299996</v>
      </c>
      <c r="S18" s="1167">
        <v>76.006703999999999</v>
      </c>
      <c r="T18" s="1167">
        <v>525.71072257000003</v>
      </c>
      <c r="U18" s="1167">
        <v>306.70743467</v>
      </c>
      <c r="V18" s="1167">
        <v>384.2587658999999</v>
      </c>
      <c r="W18" s="1169">
        <v>6064.2999627200006</v>
      </c>
      <c r="Y18" s="1061" t="e">
        <v>#REF!</v>
      </c>
      <c r="Z18" s="1030" t="e">
        <v>#REF!</v>
      </c>
    </row>
    <row r="19" spans="2:26" ht="15" hidden="1" customHeight="1">
      <c r="B19" s="1164" t="s">
        <v>1175</v>
      </c>
      <c r="C19" s="1165">
        <v>0.7872711446666667</v>
      </c>
      <c r="D19" s="1166">
        <v>245.65922318593334</v>
      </c>
      <c r="E19" s="1166">
        <v>599.6999322117</v>
      </c>
      <c r="F19" s="1166">
        <v>155.12915428970001</v>
      </c>
      <c r="G19" s="1167">
        <v>119.50247587519388</v>
      </c>
      <c r="H19" s="1167">
        <v>25.153434499999999</v>
      </c>
      <c r="I19" s="1167">
        <v>791.12898248989995</v>
      </c>
      <c r="J19" s="1168">
        <v>0</v>
      </c>
      <c r="K19" s="1168">
        <v>4.3797052999999995</v>
      </c>
      <c r="L19" s="1168">
        <v>49.779743000000003</v>
      </c>
      <c r="M19" s="1167">
        <v>112.804649</v>
      </c>
      <c r="N19" s="1167">
        <v>15.77860678</v>
      </c>
      <c r="O19" s="1167">
        <v>46.874259000000002</v>
      </c>
      <c r="P19" s="1795"/>
      <c r="Q19" s="1795"/>
      <c r="R19" s="1167">
        <v>2692.9019487949599</v>
      </c>
      <c r="S19" s="1167">
        <v>74.041585799999993</v>
      </c>
      <c r="T19" s="1167">
        <v>498.44792678250724</v>
      </c>
      <c r="U19" s="1167">
        <v>281.13141384167824</v>
      </c>
      <c r="V19" s="1167">
        <v>386.20920323999991</v>
      </c>
      <c r="W19" s="1169">
        <v>6099.4095152362388</v>
      </c>
      <c r="Y19" s="1061" t="e">
        <v>#REF!</v>
      </c>
      <c r="Z19" s="1030" t="e">
        <v>#REF!</v>
      </c>
    </row>
    <row r="20" spans="2:26" ht="15" hidden="1" customHeight="1">
      <c r="B20" s="1164" t="s">
        <v>1176</v>
      </c>
      <c r="C20" s="1165">
        <v>0.92511275000000004</v>
      </c>
      <c r="D20" s="1166">
        <v>226.04417111000001</v>
      </c>
      <c r="E20" s="1166">
        <v>569.77883027999997</v>
      </c>
      <c r="F20" s="1166">
        <v>137.28589253000001</v>
      </c>
      <c r="G20" s="1167">
        <v>110.04287248</v>
      </c>
      <c r="H20" s="1167">
        <v>25.258697999999999</v>
      </c>
      <c r="I20" s="1167">
        <v>816.08250672999986</v>
      </c>
      <c r="J20" s="1168">
        <v>0</v>
      </c>
      <c r="K20" s="1168">
        <v>0</v>
      </c>
      <c r="L20" s="1168">
        <v>45.290246000000003</v>
      </c>
      <c r="M20" s="1167">
        <v>33.450823</v>
      </c>
      <c r="N20" s="1167">
        <v>15.680016539999999</v>
      </c>
      <c r="O20" s="1167">
        <v>46.510334999999998</v>
      </c>
      <c r="P20" s="1795"/>
      <c r="Q20" s="1795"/>
      <c r="R20" s="1167">
        <v>2706.9780921500001</v>
      </c>
      <c r="S20" s="1167">
        <v>74.420865000000006</v>
      </c>
      <c r="T20" s="1167">
        <v>504.14914328999998</v>
      </c>
      <c r="U20" s="1167">
        <v>297.8808866</v>
      </c>
      <c r="V20" s="1167">
        <v>388.76575912999994</v>
      </c>
      <c r="W20" s="1169">
        <v>5998.54425059</v>
      </c>
      <c r="Y20" s="1061" t="e">
        <v>#REF!</v>
      </c>
      <c r="Z20" s="1030" t="e">
        <v>#REF!</v>
      </c>
    </row>
    <row r="21" spans="2:26" ht="15" hidden="1" customHeight="1">
      <c r="B21" s="1164" t="s">
        <v>1177</v>
      </c>
      <c r="C21" s="1165">
        <v>0.99669406000000005</v>
      </c>
      <c r="D21" s="1166">
        <v>233.96708985999996</v>
      </c>
      <c r="E21" s="1166">
        <v>552.43221413000003</v>
      </c>
      <c r="F21" s="1166">
        <v>104.32556040999999</v>
      </c>
      <c r="G21" s="1167">
        <v>168.70803119999999</v>
      </c>
      <c r="H21" s="1167">
        <v>25.946432999999999</v>
      </c>
      <c r="I21" s="1167">
        <v>826.67351726000004</v>
      </c>
      <c r="J21" s="1168">
        <v>0</v>
      </c>
      <c r="K21" s="1168">
        <v>5.0845507699999999</v>
      </c>
      <c r="L21" s="1168">
        <v>33.080532740000002</v>
      </c>
      <c r="M21" s="1167">
        <v>28.903646999999999</v>
      </c>
      <c r="N21" s="1167">
        <v>20.324645329999999</v>
      </c>
      <c r="O21" s="1167">
        <v>48.045639999999999</v>
      </c>
      <c r="P21" s="1795"/>
      <c r="Q21" s="1795"/>
      <c r="R21" s="1167">
        <v>2693.3957900699997</v>
      </c>
      <c r="S21" s="1167">
        <v>73.141198000000003</v>
      </c>
      <c r="T21" s="1167">
        <v>535.18379902000004</v>
      </c>
      <c r="U21" s="1167">
        <v>288.95636411000004</v>
      </c>
      <c r="V21" s="1167">
        <v>390.47588303999999</v>
      </c>
      <c r="W21" s="1169">
        <v>6029.6415900000002</v>
      </c>
      <c r="Y21" s="1061" t="e">
        <v>#REF!</v>
      </c>
      <c r="Z21" s="1030" t="e">
        <v>#REF!</v>
      </c>
    </row>
    <row r="22" spans="2:26" ht="15" hidden="1" customHeight="1">
      <c r="B22" s="1164" t="s">
        <v>1178</v>
      </c>
      <c r="C22" s="1165">
        <v>0.98628269999999996</v>
      </c>
      <c r="D22" s="1166">
        <v>255.23195437999999</v>
      </c>
      <c r="E22" s="1166">
        <v>579.77109720999999</v>
      </c>
      <c r="F22" s="1166">
        <v>114.80694443</v>
      </c>
      <c r="G22" s="1167">
        <v>167.63762441349277</v>
      </c>
      <c r="H22" s="1167">
        <v>25.253903999999999</v>
      </c>
      <c r="I22" s="1167">
        <v>805.24889267999993</v>
      </c>
      <c r="J22" s="1168">
        <v>0</v>
      </c>
      <c r="K22" s="1168">
        <v>5.1258262699999992</v>
      </c>
      <c r="L22" s="1168">
        <v>20.61860759</v>
      </c>
      <c r="M22" s="1167">
        <v>29.14963625</v>
      </c>
      <c r="N22" s="1167">
        <v>21.86375718</v>
      </c>
      <c r="O22" s="1167">
        <v>45.661877310000001</v>
      </c>
      <c r="P22" s="1795"/>
      <c r="Q22" s="1795"/>
      <c r="R22" s="1167">
        <v>2786.4993934111076</v>
      </c>
      <c r="S22" s="1167">
        <v>73.16446418000001</v>
      </c>
      <c r="T22" s="1167">
        <v>599.19664738999995</v>
      </c>
      <c r="U22" s="1167">
        <v>295.15363324065135</v>
      </c>
      <c r="V22" s="1167">
        <v>392.31017686000001</v>
      </c>
      <c r="W22" s="1169">
        <v>6217.6807194952526</v>
      </c>
      <c r="Y22" s="1061" t="e">
        <v>#REF!</v>
      </c>
      <c r="Z22" s="1030" t="e">
        <v>#REF!</v>
      </c>
    </row>
    <row r="23" spans="2:26" ht="15" hidden="1" customHeight="1">
      <c r="B23" s="1164" t="s">
        <v>1179</v>
      </c>
      <c r="C23" s="1165">
        <v>0.88442494000000005</v>
      </c>
      <c r="D23" s="1166">
        <v>215.72795145399999</v>
      </c>
      <c r="E23" s="1166">
        <v>562.73555551169989</v>
      </c>
      <c r="F23" s="1166">
        <v>143.67563662969999</v>
      </c>
      <c r="G23" s="1167">
        <v>146.43324233770002</v>
      </c>
      <c r="H23" s="1167">
        <v>25.040291</v>
      </c>
      <c r="I23" s="1167">
        <v>853.50588599690013</v>
      </c>
      <c r="J23" s="1168">
        <v>0</v>
      </c>
      <c r="K23" s="1168">
        <v>5.1691875899999999</v>
      </c>
      <c r="L23" s="1168">
        <v>33.931483739999997</v>
      </c>
      <c r="M23" s="1167">
        <v>32.046033000000001</v>
      </c>
      <c r="N23" s="1167">
        <v>21.10564089</v>
      </c>
      <c r="O23" s="1167">
        <v>48.178766000000003</v>
      </c>
      <c r="P23" s="1795"/>
      <c r="Q23" s="1795"/>
      <c r="R23" s="1167">
        <v>2765.969061162617</v>
      </c>
      <c r="S23" s="1167">
        <v>74.831714000000005</v>
      </c>
      <c r="T23" s="1167">
        <v>599.33266299074842</v>
      </c>
      <c r="U23" s="1167">
        <v>297.00505607590003</v>
      </c>
      <c r="V23" s="1167">
        <v>391.45157359000001</v>
      </c>
      <c r="W23" s="1169">
        <v>6217.0241669092666</v>
      </c>
      <c r="Y23" s="1061" t="e">
        <v>#REF!</v>
      </c>
      <c r="Z23" s="1030" t="e">
        <v>#REF!</v>
      </c>
    </row>
    <row r="24" spans="2:26" ht="15" hidden="1" customHeight="1">
      <c r="B24" s="1164" t="s">
        <v>1180</v>
      </c>
      <c r="C24" s="1165">
        <v>1.1542073199999998</v>
      </c>
      <c r="D24" s="1166">
        <v>186.92768609230001</v>
      </c>
      <c r="E24" s="1166">
        <v>552.70621963170004</v>
      </c>
      <c r="F24" s="1166">
        <v>135.90030052294904</v>
      </c>
      <c r="G24" s="1167">
        <v>98.427575252508817</v>
      </c>
      <c r="H24" s="1167">
        <v>25.03896039</v>
      </c>
      <c r="I24" s="1167">
        <v>921.41197375976299</v>
      </c>
      <c r="J24" s="1168">
        <v>0</v>
      </c>
      <c r="K24" s="1168">
        <v>5.2118544199999999</v>
      </c>
      <c r="L24" s="1168">
        <v>20.401278740000002</v>
      </c>
      <c r="M24" s="1167">
        <v>28.652607</v>
      </c>
      <c r="N24" s="1167">
        <v>20.44583824</v>
      </c>
      <c r="O24" s="1167">
        <v>47.292653999999999</v>
      </c>
      <c r="P24" s="1795"/>
      <c r="Q24" s="1795"/>
      <c r="R24" s="1167">
        <v>2811.8826078763846</v>
      </c>
      <c r="S24" s="1167">
        <v>74.80697948000001</v>
      </c>
      <c r="T24" s="1167">
        <v>603.61777945662607</v>
      </c>
      <c r="U24" s="1167">
        <v>308.04280845359762</v>
      </c>
      <c r="V24" s="1167">
        <v>393.56092907999999</v>
      </c>
      <c r="W24" s="1169">
        <v>6235.4822597158309</v>
      </c>
      <c r="Y24" s="1061" t="e">
        <v>#REF!</v>
      </c>
      <c r="Z24" s="1030" t="e">
        <v>#REF!</v>
      </c>
    </row>
    <row r="25" spans="2:26" ht="15" hidden="1" customHeight="1">
      <c r="B25" s="1164" t="s">
        <v>1181</v>
      </c>
      <c r="C25" s="1165">
        <v>0.73696269999999997</v>
      </c>
      <c r="D25" s="1166">
        <v>181.56893906230002</v>
      </c>
      <c r="E25" s="1166">
        <v>563.67375004170003</v>
      </c>
      <c r="F25" s="1166">
        <v>127.53988080226065</v>
      </c>
      <c r="G25" s="1167">
        <v>93.579648768667283</v>
      </c>
      <c r="H25" s="1167">
        <v>25.039524929999999</v>
      </c>
      <c r="I25" s="1167">
        <v>1093.5350167767494</v>
      </c>
      <c r="J25" s="1168">
        <v>0</v>
      </c>
      <c r="K25" s="1168">
        <v>5.2118544199999999</v>
      </c>
      <c r="L25" s="1168">
        <v>17.451385740000003</v>
      </c>
      <c r="M25" s="1167">
        <v>25.99371</v>
      </c>
      <c r="N25" s="1167">
        <v>15.931582429999999</v>
      </c>
      <c r="O25" s="1167">
        <v>54.990951769999995</v>
      </c>
      <c r="P25" s="1795"/>
      <c r="Q25" s="1795"/>
      <c r="R25" s="1167">
        <v>2720.1127062924488</v>
      </c>
      <c r="S25" s="1167">
        <v>60.962729539999998</v>
      </c>
      <c r="T25" s="1167">
        <v>582.00459599013891</v>
      </c>
      <c r="U25" s="1167">
        <v>295.36665545883869</v>
      </c>
      <c r="V25" s="1167">
        <v>396.67803449000002</v>
      </c>
      <c r="W25" s="1169">
        <v>6260.3779292131039</v>
      </c>
      <c r="Y25" s="1061" t="e">
        <v>#REF!</v>
      </c>
      <c r="Z25" s="1030" t="e">
        <v>#REF!</v>
      </c>
    </row>
    <row r="26" spans="2:26" ht="15" customHeight="1">
      <c r="B26" s="1170"/>
      <c r="C26" s="1798"/>
      <c r="D26" s="1799"/>
      <c r="E26" s="1799"/>
      <c r="F26" s="1799"/>
      <c r="G26" s="1800"/>
      <c r="H26" s="1800"/>
      <c r="I26" s="1800"/>
      <c r="J26" s="1801"/>
      <c r="K26" s="1801"/>
      <c r="L26" s="1801"/>
      <c r="M26" s="1800"/>
      <c r="N26" s="1800"/>
      <c r="O26" s="1800"/>
      <c r="P26" s="1802"/>
      <c r="Q26" s="1802"/>
      <c r="R26" s="1800"/>
      <c r="S26" s="1800"/>
      <c r="T26" s="1800"/>
      <c r="U26" s="1800"/>
      <c r="V26" s="1800"/>
      <c r="W26" s="1803"/>
      <c r="Y26" s="1177"/>
    </row>
    <row r="27" spans="2:26" ht="15" hidden="1" customHeight="1">
      <c r="B27" s="1211">
        <v>2016</v>
      </c>
      <c r="C27" s="1804"/>
      <c r="D27" s="1805"/>
      <c r="E27" s="1805"/>
      <c r="F27" s="1805"/>
      <c r="G27" s="1806"/>
      <c r="H27" s="1806"/>
      <c r="I27" s="1806"/>
      <c r="J27" s="1807"/>
      <c r="K27" s="1807"/>
      <c r="L27" s="1807"/>
      <c r="M27" s="1806"/>
      <c r="N27" s="1806"/>
      <c r="O27" s="1806"/>
      <c r="P27" s="1808"/>
      <c r="Q27" s="1808"/>
      <c r="R27" s="1806"/>
      <c r="S27" s="1806"/>
      <c r="T27" s="1806"/>
      <c r="U27" s="1806"/>
      <c r="V27" s="1806"/>
      <c r="W27" s="1809"/>
      <c r="Y27" s="1177"/>
    </row>
    <row r="28" spans="2:26" ht="15" hidden="1" customHeight="1">
      <c r="B28" s="1213" t="s">
        <v>345</v>
      </c>
      <c r="C28" s="1804">
        <v>1.0474226979999999</v>
      </c>
      <c r="D28" s="1805">
        <v>171.98443696430002</v>
      </c>
      <c r="E28" s="1805">
        <v>667.53472377169987</v>
      </c>
      <c r="F28" s="1805">
        <v>119.1952387597</v>
      </c>
      <c r="G28" s="1806">
        <v>105.63218750362371</v>
      </c>
      <c r="H28" s="1806">
        <v>25.038319999999999</v>
      </c>
      <c r="I28" s="1806">
        <v>1039.3891917337357</v>
      </c>
      <c r="J28" s="1807">
        <v>0</v>
      </c>
      <c r="K28" s="1807">
        <v>5.22269673</v>
      </c>
      <c r="L28" s="1807">
        <v>19.085629000000001</v>
      </c>
      <c r="M28" s="1806">
        <v>28.5147683</v>
      </c>
      <c r="N28" s="1806">
        <v>15.63985516</v>
      </c>
      <c r="O28" s="1806">
        <v>62.62572815</v>
      </c>
      <c r="P28" s="1808"/>
      <c r="Q28" s="1808"/>
      <c r="R28" s="1806">
        <v>2703.9072550804722</v>
      </c>
      <c r="S28" s="1806">
        <v>61.490157140000001</v>
      </c>
      <c r="T28" s="1806">
        <v>582.75130776951482</v>
      </c>
      <c r="U28" s="1806">
        <v>278.82016564139997</v>
      </c>
      <c r="V28" s="1806">
        <v>396.55246525999996</v>
      </c>
      <c r="W28" s="1809">
        <v>6284.4315496624467</v>
      </c>
      <c r="Y28" s="1177" t="e">
        <v>#REF!</v>
      </c>
      <c r="Z28" s="1030" t="e">
        <v>#REF!</v>
      </c>
    </row>
    <row r="29" spans="2:26" ht="15" hidden="1" customHeight="1">
      <c r="B29" s="1215" t="s">
        <v>334</v>
      </c>
      <c r="C29" s="1804">
        <v>1.2093999654999998</v>
      </c>
      <c r="D29" s="1805">
        <v>140.74612773680002</v>
      </c>
      <c r="E29" s="1805">
        <v>702.1893174116999</v>
      </c>
      <c r="F29" s="1805">
        <v>96.277434186830106</v>
      </c>
      <c r="G29" s="1806">
        <v>93.072211062056127</v>
      </c>
      <c r="H29" s="1806">
        <v>25.038083579999999</v>
      </c>
      <c r="I29" s="1806">
        <v>1128.1232029599</v>
      </c>
      <c r="J29" s="1807">
        <v>0</v>
      </c>
      <c r="K29" s="1807">
        <v>5.1793040000000001</v>
      </c>
      <c r="L29" s="1807">
        <v>19.007518999999998</v>
      </c>
      <c r="M29" s="1806">
        <v>24.980537909999999</v>
      </c>
      <c r="N29" s="1806">
        <v>15.80160382</v>
      </c>
      <c r="O29" s="1806">
        <v>60.148714670000004</v>
      </c>
      <c r="P29" s="1808"/>
      <c r="Q29" s="1808"/>
      <c r="R29" s="1806">
        <v>2615.0458062247972</v>
      </c>
      <c r="S29" s="1806">
        <v>62.104994620800007</v>
      </c>
      <c r="T29" s="1806">
        <v>477.14552052691261</v>
      </c>
      <c r="U29" s="1806">
        <v>292.84071442089999</v>
      </c>
      <c r="V29" s="1806">
        <v>399.27576845999999</v>
      </c>
      <c r="W29" s="1809">
        <v>6158.1862605561946</v>
      </c>
      <c r="Y29" s="1177" t="e">
        <v>#REF!</v>
      </c>
      <c r="Z29" s="1030" t="e">
        <v>#REF!</v>
      </c>
    </row>
    <row r="30" spans="2:26" ht="15" hidden="1" customHeight="1">
      <c r="B30" s="1215" t="s">
        <v>335</v>
      </c>
      <c r="C30" s="1804">
        <v>1.3095436713999999</v>
      </c>
      <c r="D30" s="1805">
        <v>161.89955530089998</v>
      </c>
      <c r="E30" s="1805">
        <v>734.53262540169999</v>
      </c>
      <c r="F30" s="1805">
        <v>96.338996566247658</v>
      </c>
      <c r="G30" s="1806">
        <v>131.73992073499255</v>
      </c>
      <c r="H30" s="1806">
        <v>25.039335000000001</v>
      </c>
      <c r="I30" s="1806">
        <v>1143.3470037098998</v>
      </c>
      <c r="J30" s="1807">
        <v>0</v>
      </c>
      <c r="K30" s="1807">
        <v>5.1321250000000003</v>
      </c>
      <c r="L30" s="1807">
        <v>16.364352</v>
      </c>
      <c r="M30" s="1806">
        <v>22.582032229999999</v>
      </c>
      <c r="N30" s="1806">
        <v>14.240465650000001</v>
      </c>
      <c r="O30" s="1806">
        <v>102.93024582</v>
      </c>
      <c r="P30" s="1808"/>
      <c r="Q30" s="1808"/>
      <c r="R30" s="1806">
        <v>2618.9477191406309</v>
      </c>
      <c r="S30" s="1806">
        <v>62.644283078199997</v>
      </c>
      <c r="T30" s="1806">
        <v>470.95604003922534</v>
      </c>
      <c r="U30" s="1806">
        <v>298.0026207606</v>
      </c>
      <c r="V30" s="1806">
        <v>405.13850003999994</v>
      </c>
      <c r="W30" s="1809">
        <v>6311.1453641437956</v>
      </c>
      <c r="Y30" s="1177" t="e">
        <v>#REF!</v>
      </c>
      <c r="Z30" s="1030" t="e">
        <v>#REF!</v>
      </c>
    </row>
    <row r="31" spans="2:26" ht="15" hidden="1" customHeight="1">
      <c r="B31" s="1215" t="s">
        <v>336</v>
      </c>
      <c r="C31" s="1804">
        <v>1.3465734500000002</v>
      </c>
      <c r="D31" s="1805">
        <v>135.51367690000001</v>
      </c>
      <c r="E31" s="1805">
        <v>778.19438188999993</v>
      </c>
      <c r="F31" s="1805">
        <v>135.46741307969998</v>
      </c>
      <c r="G31" s="1806">
        <v>108.2945789</v>
      </c>
      <c r="H31" s="1806">
        <v>25.039470000000001</v>
      </c>
      <c r="I31" s="1806">
        <v>1200.94329862</v>
      </c>
      <c r="J31" s="1807">
        <v>0</v>
      </c>
      <c r="K31" s="1807">
        <v>5.0856690000000002</v>
      </c>
      <c r="L31" s="1807">
        <v>15.84911</v>
      </c>
      <c r="M31" s="1806">
        <v>25.061142699999998</v>
      </c>
      <c r="N31" s="1806">
        <v>14.96162692</v>
      </c>
      <c r="O31" s="1806">
        <v>101.48292606999999</v>
      </c>
      <c r="P31" s="1808"/>
      <c r="Q31" s="1808"/>
      <c r="R31" s="1806">
        <v>2573.6431655400002</v>
      </c>
      <c r="S31" s="1806">
        <v>69.573761210000015</v>
      </c>
      <c r="T31" s="1806">
        <v>413.71047123</v>
      </c>
      <c r="U31" s="1806">
        <v>309.73658696000001</v>
      </c>
      <c r="V31" s="1806">
        <v>404.70037194000008</v>
      </c>
      <c r="W31" s="1809">
        <v>6318.6042244096998</v>
      </c>
      <c r="Y31" s="1177" t="e">
        <v>#REF!</v>
      </c>
      <c r="Z31" s="1030" t="e">
        <v>#REF!</v>
      </c>
    </row>
    <row r="32" spans="2:26" ht="15" hidden="1" customHeight="1">
      <c r="B32" s="1215" t="s">
        <v>337</v>
      </c>
      <c r="C32" s="1804">
        <v>1.3764242169999998</v>
      </c>
      <c r="D32" s="1805">
        <v>89.56685469300001</v>
      </c>
      <c r="E32" s="1805">
        <v>891.43836949999991</v>
      </c>
      <c r="F32" s="1805">
        <v>130.5180807978077</v>
      </c>
      <c r="G32" s="1806">
        <v>85.325228638037203</v>
      </c>
      <c r="H32" s="1806">
        <v>25.039100000000001</v>
      </c>
      <c r="I32" s="1806">
        <v>1229.48264195</v>
      </c>
      <c r="J32" s="1807">
        <v>0</v>
      </c>
      <c r="K32" s="1807">
        <v>5.0368170000000001</v>
      </c>
      <c r="L32" s="1807">
        <v>16.628885</v>
      </c>
      <c r="M32" s="1806">
        <v>12.2877557</v>
      </c>
      <c r="N32" s="1806">
        <v>14.74906818</v>
      </c>
      <c r="O32" s="1806">
        <v>100.05150286999999</v>
      </c>
      <c r="P32" s="1808"/>
      <c r="Q32" s="1808"/>
      <c r="R32" s="1806">
        <v>2534.1857069504767</v>
      </c>
      <c r="S32" s="1806">
        <v>64.035365380000002</v>
      </c>
      <c r="T32" s="1806">
        <v>397.00229246806668</v>
      </c>
      <c r="U32" s="1806">
        <v>302.21718654</v>
      </c>
      <c r="V32" s="1806">
        <v>413.8156415900001</v>
      </c>
      <c r="W32" s="1809">
        <v>6312.7569214743889</v>
      </c>
      <c r="Y32" s="1177" t="e">
        <v>#REF!</v>
      </c>
      <c r="Z32" s="1030" t="e">
        <v>#REF!</v>
      </c>
    </row>
    <row r="33" spans="2:26" ht="15" hidden="1" customHeight="1">
      <c r="B33" s="1215" t="s">
        <v>338</v>
      </c>
      <c r="C33" s="1804">
        <v>1.41963857</v>
      </c>
      <c r="D33" s="1805">
        <v>108.53011759230002</v>
      </c>
      <c r="E33" s="1805">
        <v>934.42058122952892</v>
      </c>
      <c r="F33" s="1805">
        <v>84.646854086479408</v>
      </c>
      <c r="G33" s="1806">
        <v>123.21872805918618</v>
      </c>
      <c r="H33" s="1806">
        <v>25.037852000000001</v>
      </c>
      <c r="I33" s="1806">
        <v>1279.0213224299</v>
      </c>
      <c r="J33" s="1807">
        <v>0</v>
      </c>
      <c r="K33" s="1807">
        <v>0</v>
      </c>
      <c r="L33" s="1807">
        <v>16.419430429999998</v>
      </c>
      <c r="M33" s="1806">
        <v>28.07940821</v>
      </c>
      <c r="N33" s="1806">
        <v>14.57283739</v>
      </c>
      <c r="O33" s="1806">
        <v>97.861232520000016</v>
      </c>
      <c r="P33" s="1808"/>
      <c r="Q33" s="1808"/>
      <c r="R33" s="1806">
        <v>2523.6757467643806</v>
      </c>
      <c r="S33" s="1806">
        <v>64.125496689999991</v>
      </c>
      <c r="T33" s="1806">
        <v>407.69533586455083</v>
      </c>
      <c r="U33" s="1806">
        <v>298.97686003186561</v>
      </c>
      <c r="V33" s="1806">
        <v>431.62646099</v>
      </c>
      <c r="W33" s="1809">
        <v>6439.327902858191</v>
      </c>
      <c r="Y33" s="1177" t="e">
        <v>#REF!</v>
      </c>
      <c r="Z33" s="1030" t="e">
        <v>#REF!</v>
      </c>
    </row>
    <row r="34" spans="2:26" ht="15" hidden="1" customHeight="1">
      <c r="B34" s="1215" t="s">
        <v>339</v>
      </c>
      <c r="C34" s="1804">
        <v>1.4518472400000002</v>
      </c>
      <c r="D34" s="1805">
        <v>101.7401969923</v>
      </c>
      <c r="E34" s="1805">
        <v>977.62969578170009</v>
      </c>
      <c r="F34" s="1805">
        <v>79.499246059699999</v>
      </c>
      <c r="G34" s="1806">
        <v>141.27005319561047</v>
      </c>
      <c r="H34" s="1806">
        <v>25.037567199999998</v>
      </c>
      <c r="I34" s="1806">
        <v>1316.8650618899001</v>
      </c>
      <c r="J34" s="1807">
        <v>0</v>
      </c>
      <c r="K34" s="1807">
        <v>0</v>
      </c>
      <c r="L34" s="1807">
        <v>16.21002</v>
      </c>
      <c r="M34" s="1806">
        <v>26.560466640000001</v>
      </c>
      <c r="N34" s="1806">
        <v>15.37217223</v>
      </c>
      <c r="O34" s="1806">
        <v>99.711673709999999</v>
      </c>
      <c r="P34" s="1808"/>
      <c r="Q34" s="1808"/>
      <c r="R34" s="1806">
        <v>2414.7413257383769</v>
      </c>
      <c r="S34" s="1806">
        <v>65.716627639999999</v>
      </c>
      <c r="T34" s="1806">
        <v>393.12728124983909</v>
      </c>
      <c r="U34" s="1806">
        <v>284.01415187118914</v>
      </c>
      <c r="V34" s="1806">
        <v>440.68517188999999</v>
      </c>
      <c r="W34" s="1809">
        <v>6399.6325593286156</v>
      </c>
      <c r="Y34" s="1177" t="e">
        <v>#REF!</v>
      </c>
      <c r="Z34" s="1030" t="e">
        <v>#REF!</v>
      </c>
    </row>
    <row r="35" spans="2:26" ht="15" hidden="1" customHeight="1">
      <c r="B35" s="1215" t="s">
        <v>340</v>
      </c>
      <c r="C35" s="1804">
        <v>1.3552565400000001</v>
      </c>
      <c r="D35" s="1805">
        <v>140.23202054000001</v>
      </c>
      <c r="E35" s="1805">
        <v>1074.4694257000001</v>
      </c>
      <c r="F35" s="1805">
        <v>97.531985609999992</v>
      </c>
      <c r="G35" s="1806">
        <v>131.87967639000001</v>
      </c>
      <c r="H35" s="1806">
        <v>25.024455</v>
      </c>
      <c r="I35" s="1806">
        <v>1297.4436296900001</v>
      </c>
      <c r="J35" s="1807">
        <v>0</v>
      </c>
      <c r="K35" s="1807">
        <v>0</v>
      </c>
      <c r="L35" s="1807">
        <v>11.316049</v>
      </c>
      <c r="M35" s="1806">
        <v>22.894730249999999</v>
      </c>
      <c r="N35" s="1806">
        <v>15.37266574</v>
      </c>
      <c r="O35" s="1806">
        <v>99.545599449999983</v>
      </c>
      <c r="P35" s="1808"/>
      <c r="Q35" s="1808"/>
      <c r="R35" s="1806">
        <v>2414.8256961100001</v>
      </c>
      <c r="S35" s="1806">
        <v>67.255912540000011</v>
      </c>
      <c r="T35" s="1806">
        <v>390.15579482999999</v>
      </c>
      <c r="U35" s="1806">
        <v>313.59208361000003</v>
      </c>
      <c r="V35" s="1806">
        <v>447.33853725</v>
      </c>
      <c r="W35" s="1809">
        <v>6550.2335182500001</v>
      </c>
      <c r="Y35" s="1177" t="e">
        <v>#REF!</v>
      </c>
      <c r="Z35" s="1030" t="e">
        <v>#REF!</v>
      </c>
    </row>
    <row r="36" spans="2:26" ht="15" hidden="1" customHeight="1">
      <c r="B36" s="1215" t="s">
        <v>341</v>
      </c>
      <c r="C36" s="1804">
        <v>1.3976632499999999</v>
      </c>
      <c r="D36" s="1805">
        <v>91.626822512299995</v>
      </c>
      <c r="E36" s="1805">
        <v>1122.6652133717</v>
      </c>
      <c r="F36" s="1805">
        <v>143.91462657969998</v>
      </c>
      <c r="G36" s="1806">
        <v>169.62363350769999</v>
      </c>
      <c r="H36" s="1806">
        <v>25.011838000000001</v>
      </c>
      <c r="I36" s="1806">
        <v>1331.8771837498998</v>
      </c>
      <c r="J36" s="1807">
        <v>0</v>
      </c>
      <c r="K36" s="1807">
        <v>5.404064</v>
      </c>
      <c r="L36" s="1807">
        <v>3.2428180000000002</v>
      </c>
      <c r="M36" s="1806">
        <v>27.279846579999997</v>
      </c>
      <c r="N36" s="1806">
        <v>14.544005609999999</v>
      </c>
      <c r="O36" s="1806">
        <v>87.295904739999997</v>
      </c>
      <c r="P36" s="1808"/>
      <c r="Q36" s="1808"/>
      <c r="R36" s="1806">
        <v>2451.9205716200004</v>
      </c>
      <c r="S36" s="1806">
        <v>71.390368540000011</v>
      </c>
      <c r="T36" s="1806">
        <v>382.31225025825972</v>
      </c>
      <c r="U36" s="1806">
        <v>317.25977051610005</v>
      </c>
      <c r="V36" s="1806">
        <v>455.87306184000005</v>
      </c>
      <c r="W36" s="1809">
        <v>6702.6396426756601</v>
      </c>
      <c r="Y36" s="1177" t="e">
        <v>#REF!</v>
      </c>
      <c r="Z36" s="1030" t="e">
        <v>#REF!</v>
      </c>
    </row>
    <row r="37" spans="2:26" ht="15" hidden="1" customHeight="1">
      <c r="B37" s="1215" t="s">
        <v>342</v>
      </c>
      <c r="C37" s="1804">
        <v>1.27459229</v>
      </c>
      <c r="D37" s="1805">
        <v>81.034441470000004</v>
      </c>
      <c r="E37" s="1805">
        <v>1090.4353180599999</v>
      </c>
      <c r="F37" s="1805">
        <v>130.20280129</v>
      </c>
      <c r="G37" s="1806">
        <v>155.10956845999999</v>
      </c>
      <c r="H37" s="1806">
        <v>27.022425999999999</v>
      </c>
      <c r="I37" s="1806">
        <v>1376.20267322</v>
      </c>
      <c r="J37" s="1807">
        <v>0</v>
      </c>
      <c r="K37" s="1807">
        <v>15.445392</v>
      </c>
      <c r="L37" s="1807">
        <v>3.892115</v>
      </c>
      <c r="M37" s="1806">
        <v>28.736145</v>
      </c>
      <c r="N37" s="1806">
        <v>15.457660779999999</v>
      </c>
      <c r="O37" s="1806">
        <v>87.08869614999999</v>
      </c>
      <c r="P37" s="1808"/>
      <c r="Q37" s="1808"/>
      <c r="R37" s="1806">
        <v>2472.1041691199998</v>
      </c>
      <c r="S37" s="1806">
        <v>66.005315039999999</v>
      </c>
      <c r="T37" s="1806">
        <v>397.17807607999998</v>
      </c>
      <c r="U37" s="1806">
        <v>293.20010844000001</v>
      </c>
      <c r="V37" s="1806">
        <v>458.21587810999995</v>
      </c>
      <c r="W37" s="1809">
        <v>6698.6053765099996</v>
      </c>
      <c r="Y37" s="1177" t="e">
        <v>#REF!</v>
      </c>
      <c r="Z37" s="1030" t="e">
        <v>#REF!</v>
      </c>
    </row>
    <row r="38" spans="2:26" ht="15" hidden="1" customHeight="1">
      <c r="B38" s="1215" t="s">
        <v>343</v>
      </c>
      <c r="C38" s="1804">
        <v>4.2362066600000006</v>
      </c>
      <c r="D38" s="1805">
        <v>69.446761289999998</v>
      </c>
      <c r="E38" s="1805">
        <v>1242.1193844899999</v>
      </c>
      <c r="F38" s="1805">
        <v>103.16716980612695</v>
      </c>
      <c r="G38" s="1806">
        <v>136.33100057387304</v>
      </c>
      <c r="H38" s="1806">
        <v>27.022337</v>
      </c>
      <c r="I38" s="1806">
        <v>1349.82188152</v>
      </c>
      <c r="J38" s="1807">
        <v>0</v>
      </c>
      <c r="K38" s="1807">
        <v>15.482654</v>
      </c>
      <c r="L38" s="1807">
        <v>4.6021770000000002</v>
      </c>
      <c r="M38" s="1806">
        <v>17.627693000000001</v>
      </c>
      <c r="N38" s="1806">
        <v>15.439528730000001</v>
      </c>
      <c r="O38" s="1806">
        <v>85.177418410000001</v>
      </c>
      <c r="P38" s="1808"/>
      <c r="Q38" s="1808"/>
      <c r="R38" s="1806">
        <v>2510.9524845200003</v>
      </c>
      <c r="S38" s="1806">
        <v>68.47820904000001</v>
      </c>
      <c r="T38" s="1806">
        <v>350.50690121986366</v>
      </c>
      <c r="U38" s="1806">
        <v>285.63735398000028</v>
      </c>
      <c r="V38" s="1806">
        <v>466.16720749000001</v>
      </c>
      <c r="W38" s="1809">
        <v>6752.2163687298653</v>
      </c>
      <c r="Y38" s="1177" t="e">
        <v>#REF!</v>
      </c>
      <c r="Z38" s="1030" t="e">
        <v>#REF!</v>
      </c>
    </row>
    <row r="39" spans="2:26" ht="15" hidden="1" customHeight="1">
      <c r="B39" s="1215" t="s">
        <v>344</v>
      </c>
      <c r="C39" s="1804">
        <v>14.06625846</v>
      </c>
      <c r="D39" s="1805">
        <v>98.951052102299997</v>
      </c>
      <c r="E39" s="1805">
        <v>1306.9059532516999</v>
      </c>
      <c r="F39" s="1805">
        <v>134.35122947434772</v>
      </c>
      <c r="G39" s="1806">
        <v>156.67081501546153</v>
      </c>
      <c r="H39" s="1806">
        <v>27.022394999999999</v>
      </c>
      <c r="I39" s="1806">
        <v>1415.9897372799001</v>
      </c>
      <c r="J39" s="1807">
        <v>0</v>
      </c>
      <c r="K39" s="1807">
        <v>15.341118960000001</v>
      </c>
      <c r="L39" s="1807">
        <v>4.9419510000000004</v>
      </c>
      <c r="M39" s="1806">
        <v>17.793823</v>
      </c>
      <c r="N39" s="1806">
        <v>13.240949379999998</v>
      </c>
      <c r="O39" s="1806">
        <v>70.369215370000006</v>
      </c>
      <c r="P39" s="1808"/>
      <c r="Q39" s="1808"/>
      <c r="R39" s="1806">
        <v>2380.1215533382842</v>
      </c>
      <c r="S39" s="1806">
        <v>273.77574654</v>
      </c>
      <c r="T39" s="1806">
        <v>376.74725877473753</v>
      </c>
      <c r="U39" s="1806">
        <v>274.16097840559991</v>
      </c>
      <c r="V39" s="1806">
        <v>473.36445388000004</v>
      </c>
      <c r="W39" s="1809">
        <v>7053.8144892323317</v>
      </c>
      <c r="Y39" s="1177" t="e">
        <v>#REF!</v>
      </c>
      <c r="Z39" s="1030" t="e">
        <v>#REF!</v>
      </c>
    </row>
    <row r="40" spans="2:26" ht="15" customHeight="1">
      <c r="B40" s="1212"/>
      <c r="C40" s="1804"/>
      <c r="D40" s="1805"/>
      <c r="E40" s="1805"/>
      <c r="F40" s="1805"/>
      <c r="G40" s="1806"/>
      <c r="H40" s="1806"/>
      <c r="I40" s="1806"/>
      <c r="J40" s="1807"/>
      <c r="K40" s="1807"/>
      <c r="L40" s="1807"/>
      <c r="M40" s="1806"/>
      <c r="N40" s="1806"/>
      <c r="O40" s="1806"/>
      <c r="P40" s="1808"/>
      <c r="Q40" s="1808"/>
      <c r="R40" s="1806"/>
      <c r="S40" s="1806"/>
      <c r="T40" s="1806"/>
      <c r="U40" s="1806"/>
      <c r="V40" s="1806"/>
      <c r="W40" s="1809"/>
      <c r="Y40" s="1177"/>
    </row>
    <row r="41" spans="2:26" ht="15" customHeight="1">
      <c r="B41" s="1216">
        <v>2017</v>
      </c>
      <c r="C41" s="1804"/>
      <c r="D41" s="1805"/>
      <c r="E41" s="1805"/>
      <c r="F41" s="1805"/>
      <c r="G41" s="1806"/>
      <c r="H41" s="1806"/>
      <c r="I41" s="1806"/>
      <c r="J41" s="1807"/>
      <c r="K41" s="1807"/>
      <c r="L41" s="1807"/>
      <c r="M41" s="1806"/>
      <c r="N41" s="1806"/>
      <c r="O41" s="1806"/>
      <c r="P41" s="1808"/>
      <c r="Q41" s="1808"/>
      <c r="R41" s="1806"/>
      <c r="S41" s="1806"/>
      <c r="T41" s="1806"/>
      <c r="U41" s="1806"/>
      <c r="V41" s="1806"/>
      <c r="W41" s="1809"/>
      <c r="Y41" s="1177"/>
    </row>
    <row r="42" spans="2:26" ht="15" hidden="1" customHeight="1">
      <c r="B42" s="1212" t="s">
        <v>345</v>
      </c>
      <c r="C42" s="1810">
        <v>17.719062670000003</v>
      </c>
      <c r="D42" s="1811">
        <v>103.7542866723</v>
      </c>
      <c r="E42" s="1811">
        <v>1322.3811501417001</v>
      </c>
      <c r="F42" s="1811">
        <v>81.888622288832948</v>
      </c>
      <c r="G42" s="1811">
        <v>128.20668442856706</v>
      </c>
      <c r="H42" s="1811">
        <v>27.022455000000001</v>
      </c>
      <c r="I42" s="1811">
        <v>1484.9597176099001</v>
      </c>
      <c r="J42" s="1812">
        <v>0</v>
      </c>
      <c r="K42" s="1812">
        <v>15.449965000000001</v>
      </c>
      <c r="L42" s="1812">
        <v>3.6451880000000001</v>
      </c>
      <c r="M42" s="1811">
        <v>15.885876</v>
      </c>
      <c r="N42" s="1811">
        <v>15.10820249</v>
      </c>
      <c r="O42" s="1811">
        <v>68.567446319999988</v>
      </c>
      <c r="P42" s="1813"/>
      <c r="Q42" s="1813"/>
      <c r="R42" s="1811">
        <v>2467.7082701199997</v>
      </c>
      <c r="S42" s="1811">
        <v>53.855364039999998</v>
      </c>
      <c r="T42" s="1811">
        <v>395.72233977084448</v>
      </c>
      <c r="U42" s="1811">
        <v>251.9228050360999</v>
      </c>
      <c r="V42" s="1811">
        <v>479.27541236000002</v>
      </c>
      <c r="W42" s="1814">
        <v>6933.0728479482432</v>
      </c>
      <c r="Y42" s="1061" t="e">
        <v>#REF!</v>
      </c>
      <c r="Z42" s="1030" t="e">
        <v>#REF!</v>
      </c>
    </row>
    <row r="43" spans="2:26" ht="15" hidden="1" customHeight="1">
      <c r="B43" s="1212" t="s">
        <v>334</v>
      </c>
      <c r="C43" s="1810">
        <v>16.29159971</v>
      </c>
      <c r="D43" s="1811">
        <v>89.436499430000012</v>
      </c>
      <c r="E43" s="1811">
        <v>1396.0727409200001</v>
      </c>
      <c r="F43" s="1811">
        <v>96.105604078449218</v>
      </c>
      <c r="G43" s="1811">
        <v>137.33662609155076</v>
      </c>
      <c r="H43" s="1811">
        <v>48.6116952</v>
      </c>
      <c r="I43" s="1811">
        <v>1502.5103994200001</v>
      </c>
      <c r="J43" s="1812">
        <v>0</v>
      </c>
      <c r="K43" s="1812">
        <v>15.548707</v>
      </c>
      <c r="L43" s="1812">
        <v>3.2377630000000002</v>
      </c>
      <c r="M43" s="1811">
        <v>14.96855</v>
      </c>
      <c r="N43" s="1811">
        <v>14.900994539999999</v>
      </c>
      <c r="O43" s="1811">
        <v>68.169878260000004</v>
      </c>
      <c r="P43" s="1813"/>
      <c r="Q43" s="1813"/>
      <c r="R43" s="1811">
        <v>2238.9200344400001</v>
      </c>
      <c r="S43" s="1811">
        <v>239.71558916000001</v>
      </c>
      <c r="T43" s="1811">
        <v>398.50626927999997</v>
      </c>
      <c r="U43" s="1811">
        <v>266.01472541000004</v>
      </c>
      <c r="V43" s="1811">
        <v>480.08117767000005</v>
      </c>
      <c r="W43" s="1814">
        <v>7026.4288536100003</v>
      </c>
      <c r="Y43" s="1061" t="e">
        <v>#REF!</v>
      </c>
      <c r="Z43" s="1030" t="e">
        <v>#REF!</v>
      </c>
    </row>
    <row r="44" spans="2:26" ht="15" hidden="1" customHeight="1">
      <c r="B44" s="1212" t="s">
        <v>335</v>
      </c>
      <c r="C44" s="1810">
        <v>10.736170919999999</v>
      </c>
      <c r="D44" s="1811">
        <v>63.272396412300004</v>
      </c>
      <c r="E44" s="1811">
        <v>1421.4342344617</v>
      </c>
      <c r="F44" s="1811">
        <v>83.179707831678854</v>
      </c>
      <c r="G44" s="1811">
        <v>150.72890178572115</v>
      </c>
      <c r="H44" s="1811">
        <v>53.481777000000001</v>
      </c>
      <c r="I44" s="1811">
        <v>1578.6670363899002</v>
      </c>
      <c r="J44" s="1812">
        <v>0</v>
      </c>
      <c r="K44" s="1812">
        <v>15.658512999999999</v>
      </c>
      <c r="L44" s="1812">
        <v>3.8187039999999999</v>
      </c>
      <c r="M44" s="1811">
        <v>15.703196</v>
      </c>
      <c r="N44" s="1811">
        <v>15.65510373</v>
      </c>
      <c r="O44" s="1811">
        <v>69.892199719999994</v>
      </c>
      <c r="P44" s="1813"/>
      <c r="Q44" s="1813"/>
      <c r="R44" s="1811">
        <v>2554.2670112189548</v>
      </c>
      <c r="S44" s="1811">
        <v>23.664910539999997</v>
      </c>
      <c r="T44" s="1811">
        <v>422.42778071320862</v>
      </c>
      <c r="U44" s="1811">
        <v>314.46703179610006</v>
      </c>
      <c r="V44" s="1811">
        <v>483.97141116</v>
      </c>
      <c r="W44" s="1814">
        <v>7281.0260866795625</v>
      </c>
      <c r="Y44" s="1177"/>
    </row>
    <row r="45" spans="2:26" ht="15" hidden="1" customHeight="1">
      <c r="B45" s="1212" t="s">
        <v>336</v>
      </c>
      <c r="C45" s="1810">
        <v>9.8183661799999999</v>
      </c>
      <c r="D45" s="1811">
        <v>64.14122485</v>
      </c>
      <c r="E45" s="1811">
        <v>1383.4436237100001</v>
      </c>
      <c r="F45" s="1811">
        <v>75.917430019999998</v>
      </c>
      <c r="G45" s="1811">
        <v>209.03672606000001</v>
      </c>
      <c r="H45" s="1811">
        <v>51.432678000000003</v>
      </c>
      <c r="I45" s="1811">
        <v>1744.3766582400001</v>
      </c>
      <c r="J45" s="1812">
        <v>0</v>
      </c>
      <c r="K45" s="1812">
        <v>15.765273000000001</v>
      </c>
      <c r="L45" s="1812">
        <v>3.5991939999999998</v>
      </c>
      <c r="M45" s="1811">
        <v>15.821719999999999</v>
      </c>
      <c r="N45" s="1811">
        <v>16.930171119999997</v>
      </c>
      <c r="O45" s="1811">
        <v>73.964736329999994</v>
      </c>
      <c r="P45" s="1813"/>
      <c r="Q45" s="1813"/>
      <c r="R45" s="1811">
        <v>2493.3095816</v>
      </c>
      <c r="S45" s="1811">
        <v>26.381925989999999</v>
      </c>
      <c r="T45" s="1811">
        <v>489.06752321000005</v>
      </c>
      <c r="U45" s="1811">
        <v>263.68306799999999</v>
      </c>
      <c r="V45" s="1811">
        <v>492.58725117999995</v>
      </c>
      <c r="W45" s="1814">
        <v>7429.2771514900005</v>
      </c>
      <c r="Y45" s="1177"/>
    </row>
    <row r="46" spans="2:26" ht="15" hidden="1" customHeight="1">
      <c r="B46" s="1212" t="s">
        <v>337</v>
      </c>
      <c r="C46" s="1810">
        <v>12.362349050000001</v>
      </c>
      <c r="D46" s="1811">
        <v>52.629341752300007</v>
      </c>
      <c r="E46" s="1811">
        <v>1376.3002100281185</v>
      </c>
      <c r="F46" s="1811">
        <v>119.89270814808371</v>
      </c>
      <c r="G46" s="1811">
        <v>159.12360745931628</v>
      </c>
      <c r="H46" s="1811">
        <v>75.318404000000001</v>
      </c>
      <c r="I46" s="1811">
        <v>1739.7508710699001</v>
      </c>
      <c r="J46" s="1812">
        <v>0</v>
      </c>
      <c r="K46" s="1812">
        <v>15.732086000000001</v>
      </c>
      <c r="L46" s="1812">
        <v>33.613827999999998</v>
      </c>
      <c r="M46" s="1811">
        <v>16.746863000000001</v>
      </c>
      <c r="N46" s="1811">
        <v>16.29869454</v>
      </c>
      <c r="O46" s="1811">
        <v>72.399619789999988</v>
      </c>
      <c r="P46" s="1813"/>
      <c r="Q46" s="1813"/>
      <c r="R46" s="1811">
        <v>2528.2984007982845</v>
      </c>
      <c r="S46" s="1811">
        <v>28.372486600000002</v>
      </c>
      <c r="T46" s="1811">
        <v>486.11112339642261</v>
      </c>
      <c r="U46" s="1811">
        <v>290.65221571609999</v>
      </c>
      <c r="V46" s="1811">
        <v>492.01130351999996</v>
      </c>
      <c r="W46" s="1814">
        <v>7515.6141128685258</v>
      </c>
      <c r="Y46" s="1177"/>
    </row>
    <row r="47" spans="2:26" ht="15" customHeight="1">
      <c r="B47" s="1212" t="s">
        <v>338</v>
      </c>
      <c r="C47" s="1810">
        <v>7.0081753100000004</v>
      </c>
      <c r="D47" s="1811">
        <v>53.326710312299994</v>
      </c>
      <c r="E47" s="1811">
        <v>1578.5149488976688</v>
      </c>
      <c r="F47" s="1811">
        <v>141.41614220236826</v>
      </c>
      <c r="G47" s="1811">
        <v>82.206144065031751</v>
      </c>
      <c r="H47" s="1811">
        <v>110.554064</v>
      </c>
      <c r="I47" s="1811">
        <v>1786.8108860999</v>
      </c>
      <c r="J47" s="1812">
        <v>0</v>
      </c>
      <c r="K47" s="1812">
        <v>15.983896</v>
      </c>
      <c r="L47" s="1812">
        <v>34.951084000000002</v>
      </c>
      <c r="M47" s="1811">
        <v>47.922646999999998</v>
      </c>
      <c r="N47" s="1811">
        <v>16.536159430000001</v>
      </c>
      <c r="O47" s="1811">
        <v>82.23099959000001</v>
      </c>
      <c r="P47" s="1813"/>
      <c r="Q47" s="1813"/>
      <c r="R47" s="1811">
        <v>2583.5115248606089</v>
      </c>
      <c r="S47" s="1811">
        <v>23.928259820000001</v>
      </c>
      <c r="T47" s="1811">
        <v>533.46579674250893</v>
      </c>
      <c r="U47" s="1811">
        <v>273.56800291609994</v>
      </c>
      <c r="V47" s="1811">
        <v>497.28748192999996</v>
      </c>
      <c r="W47" s="1814">
        <v>7869.2229231764868</v>
      </c>
      <c r="Y47" s="1177"/>
    </row>
    <row r="48" spans="2:26" ht="15" customHeight="1">
      <c r="B48" s="1212" t="s">
        <v>339</v>
      </c>
      <c r="C48" s="1810">
        <v>6.7079648000000001</v>
      </c>
      <c r="D48" s="1811">
        <v>40.924082850000005</v>
      </c>
      <c r="E48" s="1811">
        <v>1684.4770168599998</v>
      </c>
      <c r="F48" s="1811">
        <v>137.62274144</v>
      </c>
      <c r="G48" s="1811">
        <v>53.715808530000004</v>
      </c>
      <c r="H48" s="1811">
        <v>103.61188199999999</v>
      </c>
      <c r="I48" s="1811">
        <v>1752.3546673100002</v>
      </c>
      <c r="J48" s="1812">
        <v>0</v>
      </c>
      <c r="K48" s="1812">
        <v>26.108315000000001</v>
      </c>
      <c r="L48" s="1812">
        <v>34.419798999999998</v>
      </c>
      <c r="M48" s="1811">
        <v>45.182505999999997</v>
      </c>
      <c r="N48" s="1811">
        <v>16.85303167</v>
      </c>
      <c r="O48" s="1811">
        <v>116.28377522</v>
      </c>
      <c r="P48" s="1813"/>
      <c r="Q48" s="1813"/>
      <c r="R48" s="1811">
        <v>2495.4308686700001</v>
      </c>
      <c r="S48" s="1811">
        <v>24.186495319999999</v>
      </c>
      <c r="T48" s="1811">
        <v>513.55037635999997</v>
      </c>
      <c r="U48" s="1811">
        <v>295.51029923000004</v>
      </c>
      <c r="V48" s="1811">
        <v>482.09091708999995</v>
      </c>
      <c r="W48" s="1814">
        <v>7829.0305473499993</v>
      </c>
      <c r="Y48" s="1177"/>
    </row>
    <row r="49" spans="2:25" ht="15" customHeight="1">
      <c r="B49" s="1212" t="s">
        <v>340</v>
      </c>
      <c r="C49" s="1810">
        <v>11.803724720000002</v>
      </c>
      <c r="D49" s="1811">
        <v>37.086595982299997</v>
      </c>
      <c r="E49" s="1811">
        <v>1882.3939067782719</v>
      </c>
      <c r="F49" s="1811">
        <v>124.33098917811549</v>
      </c>
      <c r="G49" s="1811">
        <v>161.21267784928449</v>
      </c>
      <c r="H49" s="1811">
        <v>7.899324</v>
      </c>
      <c r="I49" s="1811">
        <v>1856.1896263199001</v>
      </c>
      <c r="J49" s="1812">
        <v>0</v>
      </c>
      <c r="K49" s="1812">
        <v>26.285385000000002</v>
      </c>
      <c r="L49" s="1812">
        <v>64.588032999999996</v>
      </c>
      <c r="M49" s="1811">
        <v>41.318818</v>
      </c>
      <c r="N49" s="1811">
        <v>17.956699910000001</v>
      </c>
      <c r="O49" s="1811">
        <v>144.98790291</v>
      </c>
      <c r="P49" s="1813"/>
      <c r="Q49" s="1813"/>
      <c r="R49" s="1811">
        <v>2538.0647784473904</v>
      </c>
      <c r="S49" s="1811">
        <v>23.805733499999999</v>
      </c>
      <c r="T49" s="1811">
        <v>531.82202655579931</v>
      </c>
      <c r="U49" s="1811">
        <v>272.58648052610005</v>
      </c>
      <c r="V49" s="1811">
        <v>485.73129295999996</v>
      </c>
      <c r="W49" s="1814">
        <v>8228.0639956371615</v>
      </c>
      <c r="Y49" s="1177"/>
    </row>
    <row r="50" spans="2:25" ht="15" customHeight="1">
      <c r="B50" s="1212" t="s">
        <v>341</v>
      </c>
      <c r="C50" s="1810">
        <v>11.431577130000001</v>
      </c>
      <c r="D50" s="1811">
        <v>35.833208459999994</v>
      </c>
      <c r="E50" s="1811">
        <v>1961.7569357514844</v>
      </c>
      <c r="F50" s="1811">
        <v>109.58738982727182</v>
      </c>
      <c r="G50" s="1811">
        <v>172.66047137272818</v>
      </c>
      <c r="H50" s="1811">
        <v>31.285150000000002</v>
      </c>
      <c r="I50" s="1811">
        <v>1997.9635835899999</v>
      </c>
      <c r="J50" s="1812">
        <v>0</v>
      </c>
      <c r="K50" s="1812">
        <v>23.460965000000002</v>
      </c>
      <c r="L50" s="1812">
        <v>64.954280999999995</v>
      </c>
      <c r="M50" s="1811">
        <v>41.491148000000003</v>
      </c>
      <c r="N50" s="1811">
        <v>15.60344173</v>
      </c>
      <c r="O50" s="1811">
        <v>118.22995642000001</v>
      </c>
      <c r="P50" s="1813"/>
      <c r="Q50" s="1813"/>
      <c r="R50" s="1811">
        <v>2585.7293891800005</v>
      </c>
      <c r="S50" s="1811">
        <v>28.261756999999999</v>
      </c>
      <c r="T50" s="1811">
        <v>472.8301242</v>
      </c>
      <c r="U50" s="1811">
        <v>281.27230273000004</v>
      </c>
      <c r="V50" s="1811">
        <v>487.69557905000005</v>
      </c>
      <c r="W50" s="1814">
        <v>8440.0472604414845</v>
      </c>
      <c r="Y50" s="1177"/>
    </row>
    <row r="51" spans="2:25" ht="15" customHeight="1">
      <c r="B51" s="1212" t="s">
        <v>342</v>
      </c>
      <c r="C51" s="1810">
        <v>8.104792530000001</v>
      </c>
      <c r="D51" s="1811">
        <v>40.491952032299999</v>
      </c>
      <c r="E51" s="1811">
        <v>1961.82117469782</v>
      </c>
      <c r="F51" s="1811">
        <v>143.68455522738478</v>
      </c>
      <c r="G51" s="1811">
        <v>175.67122744802876</v>
      </c>
      <c r="H51" s="1811">
        <v>61.002667000000002</v>
      </c>
      <c r="I51" s="1811">
        <v>2106.5654485141458</v>
      </c>
      <c r="J51" s="1812">
        <v>0</v>
      </c>
      <c r="K51" s="1812">
        <v>24.437818</v>
      </c>
      <c r="L51" s="1812">
        <v>65.096613000000005</v>
      </c>
      <c r="M51" s="1811">
        <v>34.844946</v>
      </c>
      <c r="N51" s="1811">
        <v>17.79776416</v>
      </c>
      <c r="O51" s="1811">
        <v>99.132534295754198</v>
      </c>
      <c r="P51" s="1813"/>
      <c r="Q51" s="1813"/>
      <c r="R51" s="1811">
        <v>2606.9738669260437</v>
      </c>
      <c r="S51" s="1811">
        <v>29.368160629999998</v>
      </c>
      <c r="T51" s="1811">
        <v>432.36915462143554</v>
      </c>
      <c r="U51" s="1811">
        <v>287.82584646669994</v>
      </c>
      <c r="V51" s="1811">
        <v>508.94758343000001</v>
      </c>
      <c r="W51" s="1814">
        <v>8604.1361049796124</v>
      </c>
      <c r="Y51" s="1177"/>
    </row>
    <row r="52" spans="2:25" ht="15" customHeight="1">
      <c r="B52" s="1212" t="s">
        <v>343</v>
      </c>
      <c r="C52" s="1810">
        <v>9.0352560799999999</v>
      </c>
      <c r="D52" s="1811">
        <v>45.093165842299996</v>
      </c>
      <c r="E52" s="1811">
        <v>2126.7413524895132</v>
      </c>
      <c r="F52" s="1811">
        <v>161.14215223553751</v>
      </c>
      <c r="G52" s="1811">
        <v>174.7383749778875</v>
      </c>
      <c r="H52" s="1811">
        <v>74.261997390000019</v>
      </c>
      <c r="I52" s="1811">
        <v>2230.4225504699002</v>
      </c>
      <c r="J52" s="1812">
        <v>0</v>
      </c>
      <c r="K52" s="1812">
        <v>23.460965000000002</v>
      </c>
      <c r="L52" s="1812">
        <v>65.443734090000007</v>
      </c>
      <c r="M52" s="1811">
        <v>32.253377999999998</v>
      </c>
      <c r="N52" s="1811">
        <v>19.59994275</v>
      </c>
      <c r="O52" s="1811">
        <v>106.89566715000001</v>
      </c>
      <c r="P52" s="1813"/>
      <c r="Q52" s="1813"/>
      <c r="R52" s="1811">
        <v>2618.0517649050771</v>
      </c>
      <c r="S52" s="1811">
        <v>26.407389690000002</v>
      </c>
      <c r="T52" s="1811">
        <v>417.70735834788093</v>
      </c>
      <c r="U52" s="1811">
        <v>324.23436340568014</v>
      </c>
      <c r="V52" s="1811">
        <v>511.36118454999996</v>
      </c>
      <c r="W52" s="1814">
        <v>8966.8505973737774</v>
      </c>
      <c r="Y52" s="1177"/>
    </row>
    <row r="53" spans="2:25" ht="15" customHeight="1">
      <c r="B53" s="1212" t="s">
        <v>344</v>
      </c>
      <c r="C53" s="1810">
        <v>11.42868062</v>
      </c>
      <c r="D53" s="1811">
        <v>55.319870292300003</v>
      </c>
      <c r="E53" s="1811">
        <v>2373.9452746843108</v>
      </c>
      <c r="F53" s="1811">
        <v>141.47102232877933</v>
      </c>
      <c r="G53" s="1811">
        <v>203.53188979862068</v>
      </c>
      <c r="H53" s="1811">
        <v>66.552228999999997</v>
      </c>
      <c r="I53" s="1811">
        <v>2128.6864455799</v>
      </c>
      <c r="J53" s="1812">
        <v>0</v>
      </c>
      <c r="K53" s="1812">
        <v>23.460965000000002</v>
      </c>
      <c r="L53" s="1812">
        <v>66.32480984</v>
      </c>
      <c r="M53" s="1811">
        <v>29.415278000000001</v>
      </c>
      <c r="N53" s="1811">
        <v>19.368733241964605</v>
      </c>
      <c r="O53" s="1811">
        <v>145.02344314920003</v>
      </c>
      <c r="P53" s="1813"/>
      <c r="Q53" s="1813"/>
      <c r="R53" s="1811">
        <v>2579.8059338617563</v>
      </c>
      <c r="S53" s="1811">
        <v>40.0188104</v>
      </c>
      <c r="T53" s="1811">
        <v>508.32677349570514</v>
      </c>
      <c r="U53" s="1811">
        <v>324.52176257670021</v>
      </c>
      <c r="V53" s="1811">
        <v>536.37211463086305</v>
      </c>
      <c r="W53" s="1814">
        <v>9253.5740365001002</v>
      </c>
      <c r="Y53" s="1177"/>
    </row>
    <row r="54" spans="2:25" ht="15" customHeight="1">
      <c r="B54" s="1212"/>
      <c r="C54" s="1810"/>
      <c r="D54" s="1811"/>
      <c r="E54" s="1811"/>
      <c r="F54" s="1811"/>
      <c r="G54" s="1811"/>
      <c r="H54" s="1811"/>
      <c r="I54" s="1811"/>
      <c r="J54" s="1812"/>
      <c r="K54" s="1812"/>
      <c r="L54" s="1812"/>
      <c r="M54" s="1811"/>
      <c r="N54" s="1811"/>
      <c r="O54" s="1811"/>
      <c r="P54" s="1813"/>
      <c r="Q54" s="1813"/>
      <c r="R54" s="1811"/>
      <c r="S54" s="1811"/>
      <c r="T54" s="1811"/>
      <c r="U54" s="1811"/>
      <c r="V54" s="1811"/>
      <c r="W54" s="1814"/>
      <c r="Y54" s="1177"/>
    </row>
    <row r="55" spans="2:25" ht="15" customHeight="1">
      <c r="B55" s="1216">
        <v>2018</v>
      </c>
      <c r="C55" s="1810"/>
      <c r="D55" s="1811"/>
      <c r="E55" s="1811"/>
      <c r="F55" s="1811"/>
      <c r="G55" s="1811"/>
      <c r="H55" s="1811"/>
      <c r="I55" s="1811"/>
      <c r="J55" s="1812"/>
      <c r="K55" s="1812"/>
      <c r="L55" s="1812"/>
      <c r="M55" s="1811"/>
      <c r="N55" s="1811"/>
      <c r="O55" s="1811"/>
      <c r="P55" s="1813"/>
      <c r="Q55" s="1813"/>
      <c r="R55" s="1811"/>
      <c r="S55" s="1811"/>
      <c r="T55" s="1811"/>
      <c r="U55" s="1811"/>
      <c r="V55" s="1811"/>
      <c r="W55" s="1814"/>
      <c r="Y55" s="1177"/>
    </row>
    <row r="56" spans="2:25" ht="15" customHeight="1">
      <c r="B56" s="1212" t="s">
        <v>345</v>
      </c>
      <c r="C56" s="1810">
        <v>22.40009877</v>
      </c>
      <c r="D56" s="1811">
        <v>64.102215752299998</v>
      </c>
      <c r="E56" s="1811">
        <v>2294.4883011353995</v>
      </c>
      <c r="F56" s="1811">
        <v>192.08147187970002</v>
      </c>
      <c r="G56" s="1811">
        <v>103.41578218632314</v>
      </c>
      <c r="H56" s="1811">
        <v>81.911614999999998</v>
      </c>
      <c r="I56" s="1811">
        <v>2143.2309732262015</v>
      </c>
      <c r="J56" s="1812">
        <v>0</v>
      </c>
      <c r="K56" s="1812">
        <v>23.45</v>
      </c>
      <c r="L56" s="1812">
        <v>65.901426499999999</v>
      </c>
      <c r="M56" s="1811">
        <v>26.319329</v>
      </c>
      <c r="N56" s="1811">
        <v>20.590420170000002</v>
      </c>
      <c r="O56" s="1811">
        <v>154.84532385</v>
      </c>
      <c r="P56" s="1813"/>
      <c r="Q56" s="1813"/>
      <c r="R56" s="1811">
        <v>2451.1059795974206</v>
      </c>
      <c r="S56" s="1811">
        <v>28.676645049999998</v>
      </c>
      <c r="T56" s="1811">
        <v>500.95618001648239</v>
      </c>
      <c r="U56" s="1811">
        <v>294.21881371669997</v>
      </c>
      <c r="V56" s="1811">
        <v>538.92328786999985</v>
      </c>
      <c r="W56" s="1814">
        <v>9006.6178637205267</v>
      </c>
      <c r="Y56" s="1177"/>
    </row>
    <row r="57" spans="2:25" ht="15" customHeight="1">
      <c r="B57" s="1212" t="s">
        <v>334</v>
      </c>
      <c r="C57" s="1810">
        <v>18.342056449999998</v>
      </c>
      <c r="D57" s="1811">
        <v>43.9675790123</v>
      </c>
      <c r="E57" s="1811">
        <v>2296.7617450297034</v>
      </c>
      <c r="F57" s="1811">
        <v>223.72354567834174</v>
      </c>
      <c r="G57" s="1811">
        <v>108.28301291905828</v>
      </c>
      <c r="H57" s="1811">
        <v>96.168420999999995</v>
      </c>
      <c r="I57" s="1811">
        <v>2109.3398511759274</v>
      </c>
      <c r="J57" s="1812">
        <v>0</v>
      </c>
      <c r="K57" s="1812">
        <v>23.45</v>
      </c>
      <c r="L57" s="1812">
        <v>66.100318869999995</v>
      </c>
      <c r="M57" s="1811">
        <v>24.286016</v>
      </c>
      <c r="N57" s="1811">
        <v>21.106732369999996</v>
      </c>
      <c r="O57" s="1811">
        <v>145.02980128000002</v>
      </c>
      <c r="P57" s="1813"/>
      <c r="Q57" s="1813"/>
      <c r="R57" s="1811">
        <v>2461.4862582627984</v>
      </c>
      <c r="S57" s="1811">
        <v>28.665968929999998</v>
      </c>
      <c r="T57" s="1811">
        <v>507.81620508027265</v>
      </c>
      <c r="U57" s="1811">
        <v>290.62114208669999</v>
      </c>
      <c r="V57" s="1811">
        <v>536.34935696000002</v>
      </c>
      <c r="W57" s="1814">
        <v>9001.4980111051009</v>
      </c>
      <c r="Y57" s="1177"/>
    </row>
    <row r="58" spans="2:25" ht="15" customHeight="1">
      <c r="B58" s="1212" t="s">
        <v>335</v>
      </c>
      <c r="C58" s="1810">
        <v>14.80709062</v>
      </c>
      <c r="D58" s="1811">
        <v>53.620816502299995</v>
      </c>
      <c r="E58" s="1811">
        <v>2238.770499291631</v>
      </c>
      <c r="F58" s="1811">
        <v>240.66995431744192</v>
      </c>
      <c r="G58" s="1811">
        <v>124.48297314995807</v>
      </c>
      <c r="H58" s="1811">
        <v>99.509209999999996</v>
      </c>
      <c r="I58" s="1811">
        <v>2163.9960764389411</v>
      </c>
      <c r="J58" s="1812">
        <v>0</v>
      </c>
      <c r="K58" s="1812">
        <v>23.45</v>
      </c>
      <c r="L58" s="1812">
        <v>66.694305759999992</v>
      </c>
      <c r="M58" s="1811">
        <v>19.163340000000002</v>
      </c>
      <c r="N58" s="1811">
        <v>15.901291390000001</v>
      </c>
      <c r="O58" s="1811">
        <v>127.10111260999999</v>
      </c>
      <c r="P58" s="1813"/>
      <c r="Q58" s="1813"/>
      <c r="R58" s="1811">
        <v>2535.8157333590962</v>
      </c>
      <c r="S58" s="1811">
        <v>30.398528300000002</v>
      </c>
      <c r="T58" s="1811">
        <v>504.12690473780975</v>
      </c>
      <c r="U58" s="1811">
        <v>325.77591095007642</v>
      </c>
      <c r="V58" s="1811">
        <v>552.33767512999998</v>
      </c>
      <c r="W58" s="1814">
        <v>9136.6214225572548</v>
      </c>
      <c r="Y58" s="1177"/>
    </row>
    <row r="59" spans="2:25" ht="15" customHeight="1">
      <c r="B59" s="1212" t="s">
        <v>336</v>
      </c>
      <c r="C59" s="1810">
        <v>13.473017789999998</v>
      </c>
      <c r="D59" s="1811">
        <v>56.666748312300001</v>
      </c>
      <c r="E59" s="1811">
        <v>2207.9148164185408</v>
      </c>
      <c r="F59" s="1811">
        <v>274.97195145805972</v>
      </c>
      <c r="G59" s="1811">
        <v>116.74830273934033</v>
      </c>
      <c r="H59" s="1811">
        <v>78.503912</v>
      </c>
      <c r="I59" s="1811">
        <v>2314.9018693962016</v>
      </c>
      <c r="J59" s="1812">
        <v>0</v>
      </c>
      <c r="K59" s="1812">
        <v>24.748073999999999</v>
      </c>
      <c r="L59" s="1812">
        <v>66.971598659999998</v>
      </c>
      <c r="M59" s="1811">
        <v>13.437642</v>
      </c>
      <c r="N59" s="1811">
        <v>20.885908820000001</v>
      </c>
      <c r="O59" s="1811">
        <v>120.77112482</v>
      </c>
      <c r="P59" s="1813"/>
      <c r="Q59" s="1813"/>
      <c r="R59" s="1811">
        <v>2519.8119688245233</v>
      </c>
      <c r="S59" s="1811">
        <v>28.310532649999999</v>
      </c>
      <c r="T59" s="1811">
        <v>531.97813153726054</v>
      </c>
      <c r="U59" s="1811">
        <v>298.95678154669855</v>
      </c>
      <c r="V59" s="1811">
        <v>554.94669194999994</v>
      </c>
      <c r="W59" s="1814">
        <v>9243.9990729229248</v>
      </c>
      <c r="Y59" s="1177"/>
    </row>
    <row r="60" spans="2:25" ht="15" customHeight="1">
      <c r="B60" s="1212" t="s">
        <v>337</v>
      </c>
      <c r="C60" s="1810">
        <v>12.852146640000001</v>
      </c>
      <c r="D60" s="1811">
        <v>62.769137932299998</v>
      </c>
      <c r="E60" s="1811">
        <v>2308.9521459992975</v>
      </c>
      <c r="F60" s="1811">
        <v>339.50162993105715</v>
      </c>
      <c r="G60" s="1811">
        <v>130.13337113634284</v>
      </c>
      <c r="H60" s="1811">
        <v>85.736126999999996</v>
      </c>
      <c r="I60" s="1811">
        <v>2562.3553400459268</v>
      </c>
      <c r="J60" s="1812">
        <v>0</v>
      </c>
      <c r="K60" s="1812">
        <v>24.96818</v>
      </c>
      <c r="L60" s="1812">
        <v>66.935066680000006</v>
      </c>
      <c r="M60" s="1811">
        <v>8.437678</v>
      </c>
      <c r="N60" s="1811">
        <v>20.88007734</v>
      </c>
      <c r="O60" s="1811">
        <v>134.01263062000001</v>
      </c>
      <c r="P60" s="1813"/>
      <c r="Q60" s="1813"/>
      <c r="R60" s="1811">
        <v>2556.2459219809734</v>
      </c>
      <c r="S60" s="1811">
        <v>23.902989560000002</v>
      </c>
      <c r="T60" s="1811">
        <v>458.92687750790441</v>
      </c>
      <c r="U60" s="1811">
        <v>307.89640276670224</v>
      </c>
      <c r="V60" s="1811">
        <v>555.31283154999994</v>
      </c>
      <c r="W60" s="1814">
        <v>9659.8185546905042</v>
      </c>
      <c r="Y60" s="1177"/>
    </row>
    <row r="61" spans="2:25" ht="15" customHeight="1">
      <c r="B61" s="1212" t="s">
        <v>346</v>
      </c>
      <c r="C61" s="1810">
        <v>7.4802243799999992</v>
      </c>
      <c r="D61" s="1811">
        <v>52.610701332300003</v>
      </c>
      <c r="E61" s="1811">
        <v>2848.510908914378</v>
      </c>
      <c r="F61" s="1811">
        <v>331.76276231947605</v>
      </c>
      <c r="G61" s="1811">
        <v>117.25820032792394</v>
      </c>
      <c r="H61" s="1811">
        <v>84.054282999999998</v>
      </c>
      <c r="I61" s="1811">
        <v>2538.3216015148314</v>
      </c>
      <c r="J61" s="1812">
        <v>0</v>
      </c>
      <c r="K61" s="1812">
        <v>26.192688</v>
      </c>
      <c r="L61" s="1812">
        <v>66.547821049999996</v>
      </c>
      <c r="M61" s="1811">
        <v>7.4352640000000001</v>
      </c>
      <c r="N61" s="1811">
        <v>19.430274300000001</v>
      </c>
      <c r="O61" s="1811">
        <v>195.99781939000002</v>
      </c>
      <c r="P61" s="1813"/>
      <c r="Q61" s="1813"/>
      <c r="R61" s="1811">
        <v>2662.20892564511</v>
      </c>
      <c r="S61" s="1811">
        <v>25.463988560000001</v>
      </c>
      <c r="T61" s="1811">
        <v>551.39050065991353</v>
      </c>
      <c r="U61" s="1811">
        <v>302.93433016670014</v>
      </c>
      <c r="V61" s="1811">
        <v>563.40997005999998</v>
      </c>
      <c r="W61" s="1814">
        <v>10401.010263620632</v>
      </c>
      <c r="Y61" s="1177"/>
    </row>
    <row r="62" spans="2:25" ht="15" customHeight="1">
      <c r="B62" s="1212" t="s">
        <v>347</v>
      </c>
      <c r="C62" s="1810">
        <v>17.854450869999997</v>
      </c>
      <c r="D62" s="1811">
        <v>54.254459650000008</v>
      </c>
      <c r="E62" s="1811">
        <v>3189.6226000752054</v>
      </c>
      <c r="F62" s="1811">
        <v>281.13498599000002</v>
      </c>
      <c r="G62" s="1811">
        <v>109.30969506999999</v>
      </c>
      <c r="H62" s="1811">
        <v>95.426000999999999</v>
      </c>
      <c r="I62" s="1811">
        <v>2949.1521704347952</v>
      </c>
      <c r="J62" s="1812">
        <v>0</v>
      </c>
      <c r="K62" s="1812">
        <v>0</v>
      </c>
      <c r="L62" s="1812">
        <v>67.49196422</v>
      </c>
      <c r="M62" s="1811">
        <v>4.5120459999999998</v>
      </c>
      <c r="N62" s="1811">
        <v>21.007238709999999</v>
      </c>
      <c r="O62" s="1811">
        <v>181.98735012</v>
      </c>
      <c r="P62" s="1813"/>
      <c r="Q62" s="1813"/>
      <c r="R62" s="1811">
        <v>2414.5947334499997</v>
      </c>
      <c r="S62" s="1811">
        <v>26.02632156</v>
      </c>
      <c r="T62" s="1811">
        <v>611.35543159000008</v>
      </c>
      <c r="U62" s="1811">
        <v>322.52676803000003</v>
      </c>
      <c r="V62" s="1811">
        <v>565.14997246999997</v>
      </c>
      <c r="W62" s="1814">
        <v>10911.406189240002</v>
      </c>
      <c r="Y62" s="1177"/>
    </row>
    <row r="63" spans="2:25" ht="15" customHeight="1">
      <c r="B63" s="1212" t="s">
        <v>340</v>
      </c>
      <c r="C63" s="1810">
        <v>21.014284589999999</v>
      </c>
      <c r="D63" s="1811">
        <v>67.826272770000017</v>
      </c>
      <c r="E63" s="1811">
        <v>3196.7070113143841</v>
      </c>
      <c r="F63" s="1811">
        <v>232.33813286</v>
      </c>
      <c r="G63" s="1811">
        <v>102.46209039</v>
      </c>
      <c r="H63" s="1811">
        <v>66.262016000000003</v>
      </c>
      <c r="I63" s="1811">
        <v>3014.9038735656163</v>
      </c>
      <c r="J63" s="1812">
        <v>0</v>
      </c>
      <c r="K63" s="1812">
        <v>0</v>
      </c>
      <c r="L63" s="1812">
        <v>67.288203230000008</v>
      </c>
      <c r="M63" s="1811">
        <v>7.0511530000000002</v>
      </c>
      <c r="N63" s="1811">
        <v>20.619430490000003</v>
      </c>
      <c r="O63" s="1811">
        <v>186.73620409</v>
      </c>
      <c r="P63" s="1813"/>
      <c r="Q63" s="1813"/>
      <c r="R63" s="1811">
        <v>2490.9888666900001</v>
      </c>
      <c r="S63" s="1811">
        <v>29.819007120000002</v>
      </c>
      <c r="T63" s="1811">
        <v>647.67365322000001</v>
      </c>
      <c r="U63" s="1811">
        <v>329.41778206999999</v>
      </c>
      <c r="V63" s="1811">
        <v>566.32999005999989</v>
      </c>
      <c r="W63" s="1814">
        <v>11047.43797146</v>
      </c>
      <c r="Y63" s="1177"/>
    </row>
    <row r="64" spans="2:25" ht="15" customHeight="1">
      <c r="B64" s="1212" t="s">
        <v>341</v>
      </c>
      <c r="C64" s="1810">
        <v>16.251698859999998</v>
      </c>
      <c r="D64" s="1811">
        <v>58.185615412299995</v>
      </c>
      <c r="E64" s="1811">
        <v>3487.9106091142039</v>
      </c>
      <c r="F64" s="1811">
        <v>305.303086421025</v>
      </c>
      <c r="G64" s="1811">
        <v>137.83675836637499</v>
      </c>
      <c r="H64" s="1811">
        <v>78.005746000000002</v>
      </c>
      <c r="I64" s="1811">
        <v>2789.7759487999001</v>
      </c>
      <c r="J64" s="1812">
        <v>0</v>
      </c>
      <c r="K64" s="1812">
        <v>45.206273000000003</v>
      </c>
      <c r="L64" s="1812">
        <v>68.092966660000002</v>
      </c>
      <c r="M64" s="1811">
        <v>5.4234999999999998</v>
      </c>
      <c r="N64" s="1811">
        <v>20.386247240000003</v>
      </c>
      <c r="O64" s="1811">
        <v>212.16903697000001</v>
      </c>
      <c r="P64" s="1813"/>
      <c r="Q64" s="1813"/>
      <c r="R64" s="1811">
        <v>2577.0597176856045</v>
      </c>
      <c r="S64" s="1811">
        <v>36.677043170000005</v>
      </c>
      <c r="T64" s="1811">
        <v>637.41203837260036</v>
      </c>
      <c r="U64" s="1811">
        <v>357.42561562026469</v>
      </c>
      <c r="V64" s="1811">
        <v>571.82906187000003</v>
      </c>
      <c r="W64" s="1814">
        <v>11404.950963562273</v>
      </c>
      <c r="Y64" s="1177"/>
    </row>
    <row r="65" spans="2:25" ht="15" customHeight="1">
      <c r="B65" s="1212" t="s">
        <v>342</v>
      </c>
      <c r="C65" s="1810">
        <v>33.058976120000004</v>
      </c>
      <c r="D65" s="1811">
        <v>67.976504852299996</v>
      </c>
      <c r="E65" s="1811">
        <v>3505.8255215361423</v>
      </c>
      <c r="F65" s="1811">
        <v>272.1405221022199</v>
      </c>
      <c r="G65" s="1811">
        <v>173.1491806351801</v>
      </c>
      <c r="H65" s="1811">
        <v>51.445520000000002</v>
      </c>
      <c r="I65" s="1811">
        <v>2728.8345299826397</v>
      </c>
      <c r="J65" s="1812">
        <v>0</v>
      </c>
      <c r="K65" s="1812">
        <v>45.206273000000003</v>
      </c>
      <c r="L65" s="1812">
        <v>68.407741439999995</v>
      </c>
      <c r="M65" s="1811">
        <v>4.5875690000000002</v>
      </c>
      <c r="N65" s="1811">
        <v>9.3528520000000004</v>
      </c>
      <c r="O65" s="1811">
        <v>188.83019145999998</v>
      </c>
      <c r="P65" s="1813"/>
      <c r="Q65" s="1813"/>
      <c r="R65" s="1811">
        <v>2697.3745991866044</v>
      </c>
      <c r="S65" s="1811">
        <v>38.714535670000004</v>
      </c>
      <c r="T65" s="1811">
        <v>647.52492727260028</v>
      </c>
      <c r="U65" s="1811">
        <v>353.24261251669986</v>
      </c>
      <c r="V65" s="1811">
        <v>569.19973688000016</v>
      </c>
      <c r="W65" s="1814">
        <v>11454.871793654385</v>
      </c>
      <c r="Y65" s="1177"/>
    </row>
    <row r="66" spans="2:25" ht="15" customHeight="1">
      <c r="B66" s="1212" t="s">
        <v>343</v>
      </c>
      <c r="C66" s="1810">
        <v>25.839137640000001</v>
      </c>
      <c r="D66" s="1811">
        <v>81.417276842299998</v>
      </c>
      <c r="E66" s="1811">
        <v>3384.3766115672943</v>
      </c>
      <c r="F66" s="1811">
        <v>264.64301010322646</v>
      </c>
      <c r="G66" s="1811">
        <v>198.18107745812841</v>
      </c>
      <c r="H66" s="1811">
        <v>63.909079440000006</v>
      </c>
      <c r="I66" s="1811">
        <v>2793.8992941554361</v>
      </c>
      <c r="J66" s="1812">
        <v>0</v>
      </c>
      <c r="K66" s="1812">
        <v>45.206273000000003</v>
      </c>
      <c r="L66" s="1812">
        <v>68.65154566999999</v>
      </c>
      <c r="M66" s="1811">
        <v>6.9888950000000003</v>
      </c>
      <c r="N66" s="1811">
        <v>8.1348819999999993</v>
      </c>
      <c r="O66" s="1811">
        <v>217.69172091999999</v>
      </c>
      <c r="P66" s="1813"/>
      <c r="Q66" s="1813"/>
      <c r="R66" s="1811">
        <v>2672.3164429412586</v>
      </c>
      <c r="S66" s="1811">
        <v>46.058597364000001</v>
      </c>
      <c r="T66" s="1811">
        <v>633.21181108299902</v>
      </c>
      <c r="U66" s="1811">
        <v>406.55250270670018</v>
      </c>
      <c r="V66" s="1811">
        <v>569.81216200999995</v>
      </c>
      <c r="W66" s="1814">
        <v>11486.890319901344</v>
      </c>
      <c r="Y66" s="1177"/>
    </row>
    <row r="67" spans="2:25" ht="15" customHeight="1">
      <c r="B67" s="1212" t="s">
        <v>344</v>
      </c>
      <c r="C67" s="1810">
        <v>18.16754121</v>
      </c>
      <c r="D67" s="1811">
        <v>89.912233882300001</v>
      </c>
      <c r="E67" s="1811">
        <v>3736.9754321023061</v>
      </c>
      <c r="F67" s="1811">
        <v>317.34304575072605</v>
      </c>
      <c r="G67" s="1811">
        <v>224.43910954667399</v>
      </c>
      <c r="H67" s="1811">
        <v>74.844008000000002</v>
      </c>
      <c r="I67" s="1811">
        <v>2633.6929609342833</v>
      </c>
      <c r="J67" s="1812">
        <v>0</v>
      </c>
      <c r="K67" s="1812">
        <v>43.371932999999999</v>
      </c>
      <c r="L67" s="1812">
        <v>69.157905549999995</v>
      </c>
      <c r="M67" s="1811">
        <v>6.20303</v>
      </c>
      <c r="N67" s="1811">
        <v>9.1825960000000002</v>
      </c>
      <c r="O67" s="1811">
        <v>204.30560850000001</v>
      </c>
      <c r="P67" s="1813"/>
      <c r="Q67" s="1813"/>
      <c r="R67" s="1811">
        <v>2707.6009063010206</v>
      </c>
      <c r="S67" s="1811">
        <v>53.746415120000002</v>
      </c>
      <c r="T67" s="1811">
        <v>573.76064919294549</v>
      </c>
      <c r="U67" s="1811">
        <v>406.1576507317003</v>
      </c>
      <c r="V67" s="1811">
        <v>633.85183728000004</v>
      </c>
      <c r="W67" s="1814">
        <v>11802.712863101955</v>
      </c>
      <c r="Y67" s="1177"/>
    </row>
    <row r="68" spans="2:25" ht="15" customHeight="1">
      <c r="B68" s="1166"/>
      <c r="C68" s="1815"/>
      <c r="D68" s="1816"/>
      <c r="E68" s="1817"/>
      <c r="F68" s="1816"/>
      <c r="G68" s="1817"/>
      <c r="H68" s="1816"/>
      <c r="I68" s="1817"/>
      <c r="J68" s="1816"/>
      <c r="K68" s="1817"/>
      <c r="L68" s="1816"/>
      <c r="M68" s="1817"/>
      <c r="N68" s="1816"/>
      <c r="O68" s="1817"/>
      <c r="P68" s="1813"/>
      <c r="Q68" s="1817"/>
      <c r="R68" s="1816"/>
      <c r="S68" s="1817"/>
      <c r="T68" s="1816"/>
      <c r="U68" s="1817"/>
      <c r="V68" s="1816"/>
      <c r="W68" s="1818"/>
      <c r="X68" s="1792"/>
      <c r="Y68" s="1177"/>
    </row>
    <row r="69" spans="2:25" ht="15" customHeight="1">
      <c r="B69" s="1482">
        <v>2019</v>
      </c>
      <c r="C69" s="1815"/>
      <c r="D69" s="1805"/>
      <c r="E69" s="1817"/>
      <c r="F69" s="1805"/>
      <c r="G69" s="1817"/>
      <c r="H69" s="1805"/>
      <c r="I69" s="1817"/>
      <c r="J69" s="1805"/>
      <c r="K69" s="1817"/>
      <c r="L69" s="1805"/>
      <c r="M69" s="1817"/>
      <c r="N69" s="1805"/>
      <c r="O69" s="1817"/>
      <c r="P69" s="1813"/>
      <c r="Q69" s="1817"/>
      <c r="R69" s="1805"/>
      <c r="S69" s="1817"/>
      <c r="T69" s="1805"/>
      <c r="U69" s="1817"/>
      <c r="V69" s="1805"/>
      <c r="W69" s="1818"/>
      <c r="X69" s="1793"/>
      <c r="Y69" s="1177"/>
    </row>
    <row r="70" spans="2:25" ht="15" customHeight="1">
      <c r="B70" s="1214" t="s">
        <v>345</v>
      </c>
      <c r="C70" s="1819">
        <v>42.047230540000008</v>
      </c>
      <c r="D70" s="1820">
        <v>106.9149638423</v>
      </c>
      <c r="E70" s="1821">
        <v>3766.6958646109915</v>
      </c>
      <c r="F70" s="1820">
        <v>338.08772877382995</v>
      </c>
      <c r="G70" s="1821">
        <v>249.76507178323311</v>
      </c>
      <c r="H70" s="1820">
        <v>46.139206000000001</v>
      </c>
      <c r="I70" s="1821">
        <v>2621.1985107434161</v>
      </c>
      <c r="J70" s="1820">
        <v>0</v>
      </c>
      <c r="K70" s="1821">
        <v>61.020733999999997</v>
      </c>
      <c r="L70" s="1820">
        <v>68.66153645</v>
      </c>
      <c r="M70" s="1821">
        <v>4.4135510499999997</v>
      </c>
      <c r="N70" s="1820">
        <v>8.0560340000000004</v>
      </c>
      <c r="O70" s="1821">
        <v>189.15128197869808</v>
      </c>
      <c r="P70" s="1813"/>
      <c r="Q70" s="1821"/>
      <c r="R70" s="1820">
        <v>2594.5277336026256</v>
      </c>
      <c r="S70" s="1821">
        <v>33.841721040000003</v>
      </c>
      <c r="T70" s="1820">
        <v>517.24416762352053</v>
      </c>
      <c r="U70" s="1821">
        <v>428.8160258099993</v>
      </c>
      <c r="V70" s="1820">
        <v>649.93688777</v>
      </c>
      <c r="W70" s="1818">
        <v>11726.518249618617</v>
      </c>
      <c r="X70" s="1792"/>
      <c r="Y70" s="1177"/>
    </row>
    <row r="71" spans="2:25" ht="15" customHeight="1">
      <c r="B71" s="1214" t="s">
        <v>334</v>
      </c>
      <c r="C71" s="1819">
        <v>52.627360459999998</v>
      </c>
      <c r="D71" s="1820">
        <v>238.66726412416003</v>
      </c>
      <c r="E71" s="1821">
        <v>3601.9364220417001</v>
      </c>
      <c r="F71" s="1820">
        <v>293.36413829970002</v>
      </c>
      <c r="G71" s="1821">
        <v>549.58551703696639</v>
      </c>
      <c r="H71" s="1820">
        <v>205.65379091937004</v>
      </c>
      <c r="I71" s="1821">
        <v>2675.2947555818696</v>
      </c>
      <c r="J71" s="1820">
        <v>0</v>
      </c>
      <c r="K71" s="1821">
        <v>60.520425618275517</v>
      </c>
      <c r="L71" s="1820">
        <v>2.00325146</v>
      </c>
      <c r="M71" s="1821">
        <v>5.8350418700000004</v>
      </c>
      <c r="N71" s="1820">
        <v>7.7124625499999997</v>
      </c>
      <c r="O71" s="1821">
        <v>208.30765575999999</v>
      </c>
      <c r="P71" s="1813"/>
      <c r="Q71" s="1821"/>
      <c r="R71" s="1820">
        <v>2784.1652801869695</v>
      </c>
      <c r="S71" s="1821">
        <v>31.044783779999999</v>
      </c>
      <c r="T71" s="1820">
        <v>490.73792323000004</v>
      </c>
      <c r="U71" s="1821">
        <v>472.77758770049479</v>
      </c>
      <c r="V71" s="1820">
        <v>696.82162013999994</v>
      </c>
      <c r="W71" s="1818">
        <v>12377.055280759507</v>
      </c>
      <c r="X71" s="1792"/>
      <c r="Y71" s="1177"/>
    </row>
    <row r="72" spans="2:25" ht="15" customHeight="1">
      <c r="B72" s="1214" t="s">
        <v>335</v>
      </c>
      <c r="C72" s="1819">
        <v>59.169790989999996</v>
      </c>
      <c r="D72" s="1820">
        <v>244.61614612229997</v>
      </c>
      <c r="E72" s="1821">
        <v>3729.8110988565491</v>
      </c>
      <c r="F72" s="1820">
        <v>393.22255554780628</v>
      </c>
      <c r="G72" s="1821">
        <v>712.08319466916532</v>
      </c>
      <c r="H72" s="1820">
        <v>55.054526000000003</v>
      </c>
      <c r="I72" s="1821">
        <v>2635.6783789482506</v>
      </c>
      <c r="J72" s="1820">
        <v>0</v>
      </c>
      <c r="K72" s="1821">
        <v>61.515900999999999</v>
      </c>
      <c r="L72" s="1820">
        <v>4.5347437099999999</v>
      </c>
      <c r="M72" s="1821">
        <v>4.2729140000000001</v>
      </c>
      <c r="N72" s="1820">
        <v>9.5274210000000004</v>
      </c>
      <c r="O72" s="1821">
        <v>340.65649512481997</v>
      </c>
      <c r="P72" s="1813"/>
      <c r="Q72" s="1821"/>
      <c r="R72" s="1820">
        <v>2660.8956741219959</v>
      </c>
      <c r="S72" s="1821">
        <v>25.330530639999999</v>
      </c>
      <c r="T72" s="1820">
        <v>523.71671585000001</v>
      </c>
      <c r="U72" s="1821">
        <v>755.56847521368093</v>
      </c>
      <c r="V72" s="1820">
        <v>971.53480695000007</v>
      </c>
      <c r="W72" s="1814">
        <v>13187.189368744564</v>
      </c>
      <c r="X72" s="1485"/>
      <c r="Y72" s="1177"/>
    </row>
    <row r="73" spans="2:25" ht="15" customHeight="1">
      <c r="B73" s="1491" t="s">
        <v>336</v>
      </c>
      <c r="C73" s="1819">
        <v>40.815579309999997</v>
      </c>
      <c r="D73" s="1820">
        <v>331.97402999230002</v>
      </c>
      <c r="E73" s="1821">
        <v>3876.8271381316999</v>
      </c>
      <c r="F73" s="1820">
        <v>492.10207921969999</v>
      </c>
      <c r="G73" s="1821">
        <v>981.80444711261703</v>
      </c>
      <c r="H73" s="1820">
        <v>91.746700000000004</v>
      </c>
      <c r="I73" s="1821">
        <v>2590.9667389899</v>
      </c>
      <c r="J73" s="1820">
        <v>0</v>
      </c>
      <c r="K73" s="1821">
        <v>61.793213999999999</v>
      </c>
      <c r="L73" s="1820">
        <v>3.9538135899999998</v>
      </c>
      <c r="M73" s="1821">
        <v>3.975606</v>
      </c>
      <c r="N73" s="1820">
        <v>9.6176700000000004</v>
      </c>
      <c r="O73" s="1821">
        <v>407.84517212999998</v>
      </c>
      <c r="P73" s="1813"/>
      <c r="Q73" s="1821"/>
      <c r="R73" s="1820">
        <v>2721.5720534126508</v>
      </c>
      <c r="S73" s="1821">
        <v>24.554729079999998</v>
      </c>
      <c r="T73" s="1820">
        <v>620.52434468999957</v>
      </c>
      <c r="U73" s="1821">
        <v>935.27098938670065</v>
      </c>
      <c r="V73" s="1820">
        <v>1002.4722234000001</v>
      </c>
      <c r="W73" s="1814">
        <v>14197.816528445568</v>
      </c>
      <c r="X73" s="1485"/>
      <c r="Y73" s="1177"/>
    </row>
    <row r="74" spans="2:25" ht="15" customHeight="1">
      <c r="B74" s="1491" t="s">
        <v>337</v>
      </c>
      <c r="C74" s="1819">
        <v>94.590399650000009</v>
      </c>
      <c r="D74" s="1820">
        <v>444.69534254230007</v>
      </c>
      <c r="E74" s="1821">
        <v>3886.0665673290268</v>
      </c>
      <c r="F74" s="1820">
        <v>571.50116038144972</v>
      </c>
      <c r="G74" s="1821">
        <v>1747.6889844370342</v>
      </c>
      <c r="H74" s="1820">
        <v>154.079103</v>
      </c>
      <c r="I74" s="1821">
        <v>2508.4289424067024</v>
      </c>
      <c r="J74" s="1820">
        <v>0</v>
      </c>
      <c r="K74" s="1821">
        <v>62.117674999999998</v>
      </c>
      <c r="L74" s="1820">
        <v>4.1970934</v>
      </c>
      <c r="M74" s="1821">
        <v>3.9251320000000001</v>
      </c>
      <c r="N74" s="1820">
        <v>9.431559</v>
      </c>
      <c r="O74" s="1821">
        <v>636.78199428896551</v>
      </c>
      <c r="P74" s="1813"/>
      <c r="Q74" s="1821"/>
      <c r="R74" s="1820">
        <v>3056.8639953770935</v>
      </c>
      <c r="S74" s="1821">
        <v>34.461137402760002</v>
      </c>
      <c r="T74" s="1820">
        <v>910.14440428999887</v>
      </c>
      <c r="U74" s="1821">
        <v>1832.9468682066999</v>
      </c>
      <c r="V74" s="1820">
        <v>1142.7688692000002</v>
      </c>
      <c r="W74" s="1814">
        <v>17100.689227912033</v>
      </c>
      <c r="X74" s="1485"/>
      <c r="Y74" s="1177"/>
    </row>
    <row r="75" spans="2:25" ht="15" customHeight="1">
      <c r="B75" s="1491" t="s">
        <v>338</v>
      </c>
      <c r="C75" s="1819">
        <v>119.68880736689246</v>
      </c>
      <c r="D75" s="1820">
        <v>810.71266227540764</v>
      </c>
      <c r="E75" s="1821">
        <v>4104.1658174225549</v>
      </c>
      <c r="F75" s="1820">
        <v>413.18184831091907</v>
      </c>
      <c r="G75" s="1821">
        <v>2244.9797368679874</v>
      </c>
      <c r="H75" s="1820">
        <v>538.87570300000004</v>
      </c>
      <c r="I75" s="1821">
        <v>2596.9691484359037</v>
      </c>
      <c r="J75" s="1820">
        <v>0</v>
      </c>
      <c r="K75" s="1821">
        <v>63.0887650716396</v>
      </c>
      <c r="L75" s="1820">
        <v>6.6223034699999994</v>
      </c>
      <c r="M75" s="1821">
        <v>3.8935708200000003</v>
      </c>
      <c r="N75" s="1820">
        <v>8.7341062699999998</v>
      </c>
      <c r="O75" s="1821">
        <v>929.36433277827587</v>
      </c>
      <c r="P75" s="1813"/>
      <c r="Q75" s="1821"/>
      <c r="R75" s="1820">
        <v>3667.4454228561781</v>
      </c>
      <c r="S75" s="1821">
        <v>37.024181433060008</v>
      </c>
      <c r="T75" s="1820">
        <v>1606.5284470999995</v>
      </c>
      <c r="U75" s="1821">
        <v>1374.2260639020726</v>
      </c>
      <c r="V75" s="1820">
        <v>1621.3293332408571</v>
      </c>
      <c r="W75" s="1814">
        <v>20146.830250621748</v>
      </c>
      <c r="X75" s="1485"/>
      <c r="Y75" s="1177"/>
    </row>
    <row r="76" spans="2:25" ht="15" customHeight="1">
      <c r="B76" s="1491" t="s">
        <v>339</v>
      </c>
      <c r="C76" s="1819">
        <v>224.74689827246286</v>
      </c>
      <c r="D76" s="1820">
        <v>791.30654499983712</v>
      </c>
      <c r="E76" s="1821">
        <v>5081.192349717966</v>
      </c>
      <c r="F76" s="1820">
        <v>275.4372161127439</v>
      </c>
      <c r="G76" s="1821">
        <v>3602.8914671646562</v>
      </c>
      <c r="H76" s="1820">
        <v>801.93085827999994</v>
      </c>
      <c r="I76" s="1821">
        <v>2640.5507856438999</v>
      </c>
      <c r="J76" s="1820">
        <v>0</v>
      </c>
      <c r="K76" s="1821">
        <v>103.363789</v>
      </c>
      <c r="L76" s="1820">
        <v>5.4923299600000002</v>
      </c>
      <c r="M76" s="1821">
        <v>2.1761840000000001</v>
      </c>
      <c r="N76" s="1820">
        <v>9.0026379999999993</v>
      </c>
      <c r="O76" s="1821">
        <v>164.57983802999996</v>
      </c>
      <c r="P76" s="1813"/>
      <c r="Q76" s="1821"/>
      <c r="R76" s="1820">
        <v>4043.7463437067941</v>
      </c>
      <c r="S76" s="1821">
        <v>32.654108203177998</v>
      </c>
      <c r="T76" s="1820">
        <v>1587.6796490319603</v>
      </c>
      <c r="U76" s="1821">
        <v>1873.4409630193934</v>
      </c>
      <c r="V76" s="1820">
        <v>1722.659706356889</v>
      </c>
      <c r="W76" s="1814">
        <v>22962.851669499778</v>
      </c>
      <c r="X76" s="1485"/>
      <c r="Y76" s="1177"/>
    </row>
    <row r="77" spans="2:25" ht="15" customHeight="1">
      <c r="B77" s="1491" t="s">
        <v>340</v>
      </c>
      <c r="C77" s="1819">
        <v>178.7405683790769</v>
      </c>
      <c r="D77" s="1820">
        <v>1054.0633399780231</v>
      </c>
      <c r="E77" s="1821">
        <v>7123.1019165010603</v>
      </c>
      <c r="F77" s="1820">
        <v>461.83040526934417</v>
      </c>
      <c r="G77" s="1821">
        <v>3778.7486559386657</v>
      </c>
      <c r="H77" s="1820">
        <v>1050.7360325899997</v>
      </c>
      <c r="I77" s="1821">
        <v>3106.9016449015862</v>
      </c>
      <c r="J77" s="1820">
        <v>0</v>
      </c>
      <c r="K77" s="1821">
        <v>103.86212222206301</v>
      </c>
      <c r="L77" s="1820">
        <v>6.7817364800000002</v>
      </c>
      <c r="M77" s="1821">
        <v>1.0443707900000001</v>
      </c>
      <c r="N77" s="1820">
        <v>9.2129026700000001</v>
      </c>
      <c r="O77" s="1821">
        <v>212.50291695999994</v>
      </c>
      <c r="P77" s="1813"/>
      <c r="Q77" s="1821"/>
      <c r="R77" s="1820">
        <v>4430.7766956637997</v>
      </c>
      <c r="S77" s="1821">
        <v>37.418508694174477</v>
      </c>
      <c r="T77" s="1820">
        <v>2614.6428554514382</v>
      </c>
      <c r="U77" s="1821">
        <v>1744.1649958070657</v>
      </c>
      <c r="V77" s="1820">
        <v>1989.2677052268</v>
      </c>
      <c r="W77" s="1814">
        <v>27903.797373523099</v>
      </c>
      <c r="X77" s="1485"/>
      <c r="Y77" s="1177"/>
    </row>
    <row r="78" spans="2:25" ht="15" customHeight="1">
      <c r="B78" s="1491" t="s">
        <v>341</v>
      </c>
      <c r="C78" s="1819">
        <v>108.51448394651369</v>
      </c>
      <c r="D78" s="1820">
        <v>1915.4060023157863</v>
      </c>
      <c r="E78" s="1821">
        <v>8246.0864241509535</v>
      </c>
      <c r="F78" s="1820">
        <v>676.17449681771745</v>
      </c>
      <c r="G78" s="1821">
        <v>5563.163148564201</v>
      </c>
      <c r="H78" s="1820">
        <v>1575.7495650000001</v>
      </c>
      <c r="I78" s="1821">
        <v>3240.853378310077</v>
      </c>
      <c r="J78" s="1820">
        <v>0</v>
      </c>
      <c r="K78" s="1821">
        <v>26.958455000000001</v>
      </c>
      <c r="L78" s="1820">
        <v>6.4668738499999998</v>
      </c>
      <c r="M78" s="1821">
        <v>1.3727332299999999</v>
      </c>
      <c r="N78" s="1820">
        <v>9.3970227099999999</v>
      </c>
      <c r="O78" s="1821">
        <v>187.52976296</v>
      </c>
      <c r="P78" s="1813"/>
      <c r="Q78" s="1821"/>
      <c r="R78" s="1820">
        <v>4993.7127265291265</v>
      </c>
      <c r="S78" s="1821">
        <v>42.301831866245998</v>
      </c>
      <c r="T78" s="1820">
        <v>3707.7959803385966</v>
      </c>
      <c r="U78" s="1821">
        <v>3074.0974678591215</v>
      </c>
      <c r="V78" s="1820">
        <v>2440.6277375971335</v>
      </c>
      <c r="W78" s="1814">
        <v>35816.208091045468</v>
      </c>
      <c r="X78" s="1485"/>
      <c r="Y78" s="1177"/>
    </row>
    <row r="79" spans="2:25" ht="15" customHeight="1">
      <c r="B79" s="1491" t="s">
        <v>342</v>
      </c>
      <c r="C79" s="1819">
        <v>138.01398186362846</v>
      </c>
      <c r="D79" s="1820">
        <v>1702.3477140255179</v>
      </c>
      <c r="E79" s="1821">
        <v>10537.813307593922</v>
      </c>
      <c r="F79" s="1820">
        <v>2437.0750564596192</v>
      </c>
      <c r="G79" s="1821">
        <v>7376.7963608377358</v>
      </c>
      <c r="H79" s="1820">
        <v>906.97734615000024</v>
      </c>
      <c r="I79" s="1821">
        <v>3416.2278658045607</v>
      </c>
      <c r="J79" s="1820">
        <v>0</v>
      </c>
      <c r="K79" s="1821">
        <v>27.053670010216212</v>
      </c>
      <c r="L79" s="1820">
        <v>5.2866049999999998</v>
      </c>
      <c r="M79" s="1821">
        <v>1.14981234</v>
      </c>
      <c r="N79" s="1820">
        <v>7.9386719199999973</v>
      </c>
      <c r="O79" s="1821">
        <v>254.84251336999998</v>
      </c>
      <c r="P79" s="1813"/>
      <c r="Q79" s="1821"/>
      <c r="R79" s="1820">
        <v>5859.3234931639918</v>
      </c>
      <c r="S79" s="1821">
        <v>41.944997081420013</v>
      </c>
      <c r="T79" s="1820">
        <v>4081.0938533891858</v>
      </c>
      <c r="U79" s="1821">
        <v>1658.1948320821687</v>
      </c>
      <c r="V79" s="1820">
        <v>2434.2076585933978</v>
      </c>
      <c r="W79" s="1814">
        <v>40886.287739685373</v>
      </c>
      <c r="X79" s="1485"/>
      <c r="Y79" s="1177"/>
    </row>
    <row r="80" spans="2:25" ht="15" customHeight="1">
      <c r="B80" s="1491" t="s">
        <v>343</v>
      </c>
      <c r="C80" s="1819">
        <v>113.91831583999998</v>
      </c>
      <c r="D80" s="1820">
        <v>2078.5383177276713</v>
      </c>
      <c r="E80" s="1821">
        <v>10430.548514094362</v>
      </c>
      <c r="F80" s="1820">
        <v>2073.3531153859863</v>
      </c>
      <c r="G80" s="1821">
        <v>7977.2733203284197</v>
      </c>
      <c r="H80" s="1820">
        <v>940.69687615000021</v>
      </c>
      <c r="I80" s="1821">
        <v>3737.7223957481146</v>
      </c>
      <c r="J80" s="1820">
        <v>0</v>
      </c>
      <c r="K80" s="1821">
        <v>27.145813662648649</v>
      </c>
      <c r="L80" s="1820">
        <v>11.825627000000001</v>
      </c>
      <c r="M80" s="1821">
        <v>1.37396823</v>
      </c>
      <c r="N80" s="1820">
        <v>8.7376197099999988</v>
      </c>
      <c r="O80" s="1821">
        <v>248.79446451000001</v>
      </c>
      <c r="P80" s="1813"/>
      <c r="Q80" s="1821"/>
      <c r="R80" s="1820">
        <v>7670.9582641173274</v>
      </c>
      <c r="S80" s="1821">
        <v>42.067124689569994</v>
      </c>
      <c r="T80" s="1820">
        <v>3148.2762486026049</v>
      </c>
      <c r="U80" s="1821">
        <v>1627.2655291239789</v>
      </c>
      <c r="V80" s="1820">
        <v>3059.4016617777397</v>
      </c>
      <c r="W80" s="1814">
        <v>43197.897176698418</v>
      </c>
      <c r="X80" s="1485"/>
      <c r="Y80" s="1177"/>
    </row>
    <row r="81" spans="2:25" ht="15" customHeight="1">
      <c r="B81" s="1491" t="s">
        <v>344</v>
      </c>
      <c r="C81" s="1819">
        <v>158.44073477000001</v>
      </c>
      <c r="D81" s="1820">
        <v>2300.0056135199998</v>
      </c>
      <c r="E81" s="1821">
        <v>12821.54308308</v>
      </c>
      <c r="F81" s="1820">
        <v>934.73215019769998</v>
      </c>
      <c r="G81" s="1821">
        <v>7898.4798018471811</v>
      </c>
      <c r="H81" s="1820">
        <v>1984.083989</v>
      </c>
      <c r="I81" s="1821">
        <v>3716.3090996044903</v>
      </c>
      <c r="J81" s="1820">
        <v>0</v>
      </c>
      <c r="K81" s="1821">
        <v>24.747219999999999</v>
      </c>
      <c r="L81" s="1820">
        <v>20.652925</v>
      </c>
      <c r="M81" s="1821">
        <v>1.32970448</v>
      </c>
      <c r="N81" s="1820">
        <v>8.1071512999999999</v>
      </c>
      <c r="O81" s="1821">
        <v>268.61446999000003</v>
      </c>
      <c r="P81" s="1813"/>
      <c r="Q81" s="1821"/>
      <c r="R81" s="1820">
        <v>8975.9987407669742</v>
      </c>
      <c r="S81" s="1821">
        <v>61.836614957660011</v>
      </c>
      <c r="T81" s="1820">
        <v>4867.6684020029261</v>
      </c>
      <c r="U81" s="1821">
        <v>2740.161376625992</v>
      </c>
      <c r="V81" s="1820">
        <v>6935.5599385716332</v>
      </c>
      <c r="W81" s="1814">
        <v>53718.271015714556</v>
      </c>
      <c r="X81" s="1485"/>
      <c r="Y81" s="1177"/>
    </row>
    <row r="82" spans="2:25" ht="15" customHeight="1">
      <c r="B82" s="1791"/>
      <c r="C82" s="1819"/>
      <c r="D82" s="1822"/>
      <c r="E82" s="1821"/>
      <c r="F82" s="1822"/>
      <c r="G82" s="1821"/>
      <c r="H82" s="1822"/>
      <c r="I82" s="1821"/>
      <c r="J82" s="1822"/>
      <c r="K82" s="1821"/>
      <c r="L82" s="1822"/>
      <c r="M82" s="1821"/>
      <c r="N82" s="1822"/>
      <c r="O82" s="1821"/>
      <c r="P82" s="1813"/>
      <c r="Q82" s="1821"/>
      <c r="R82" s="1822"/>
      <c r="S82" s="1821"/>
      <c r="T82" s="1822"/>
      <c r="U82" s="1821"/>
      <c r="V82" s="1822"/>
      <c r="W82" s="1823"/>
      <c r="X82" s="1485"/>
      <c r="Y82" s="1177"/>
    </row>
    <row r="83" spans="2:25" ht="15" customHeight="1">
      <c r="B83" s="1791">
        <v>2020</v>
      </c>
      <c r="C83" s="1819"/>
      <c r="D83" s="1822"/>
      <c r="E83" s="1821"/>
      <c r="F83" s="1822"/>
      <c r="G83" s="1821"/>
      <c r="H83" s="1822"/>
      <c r="I83" s="1821"/>
      <c r="J83" s="1822"/>
      <c r="K83" s="1821"/>
      <c r="L83" s="1822"/>
      <c r="M83" s="1821"/>
      <c r="N83" s="1822"/>
      <c r="O83" s="1821"/>
      <c r="P83" s="1813"/>
      <c r="Q83" s="1821"/>
      <c r="R83" s="1822"/>
      <c r="S83" s="1821"/>
      <c r="T83" s="1822"/>
      <c r="U83" s="1821"/>
      <c r="V83" s="1822"/>
      <c r="W83" s="1823"/>
      <c r="X83" s="1485"/>
      <c r="Y83" s="1177"/>
    </row>
    <row r="84" spans="2:25" ht="15" customHeight="1">
      <c r="B84" s="1491" t="s">
        <v>345</v>
      </c>
      <c r="C84" s="1819">
        <v>165.80242026000005</v>
      </c>
      <c r="D84" s="1820">
        <v>2845.6151883870948</v>
      </c>
      <c r="E84" s="1821">
        <v>12018.431264950321</v>
      </c>
      <c r="F84" s="1820">
        <v>708.00306291971935</v>
      </c>
      <c r="G84" s="1821">
        <v>7706.5685003637927</v>
      </c>
      <c r="H84" s="1820">
        <v>1811.3783390000001</v>
      </c>
      <c r="I84" s="1821">
        <v>4029.429282982675</v>
      </c>
      <c r="J84" s="1820">
        <v>0</v>
      </c>
      <c r="K84" s="1821">
        <v>125.5201026485</v>
      </c>
      <c r="L84" s="1820">
        <v>14.973869649999999</v>
      </c>
      <c r="M84" s="1821">
        <v>5.1112120000000001</v>
      </c>
      <c r="N84" s="1820">
        <v>12.173035209999995</v>
      </c>
      <c r="O84" s="1821">
        <v>326.11174165999995</v>
      </c>
      <c r="P84" s="1813"/>
      <c r="Q84" s="1821"/>
      <c r="R84" s="1820">
        <v>10766.90642313494</v>
      </c>
      <c r="S84" s="1821">
        <v>77.590091216531192</v>
      </c>
      <c r="T84" s="1820">
        <v>2965.9299160693904</v>
      </c>
      <c r="U84" s="1821">
        <v>3395.9040780229907</v>
      </c>
      <c r="V84" s="1820">
        <v>8058.1468049317355</v>
      </c>
      <c r="W84" s="1814">
        <v>55033.595333407684</v>
      </c>
      <c r="X84" s="1485"/>
      <c r="Y84" s="1177"/>
    </row>
    <row r="85" spans="2:25" ht="15" customHeight="1">
      <c r="B85" s="1491" t="s">
        <v>334</v>
      </c>
      <c r="C85" s="1819">
        <v>251.70480344999999</v>
      </c>
      <c r="D85" s="1820">
        <v>2756.56705569</v>
      </c>
      <c r="E85" s="1821">
        <v>12731.96678377</v>
      </c>
      <c r="F85" s="1820">
        <v>889.15739537000002</v>
      </c>
      <c r="G85" s="1821">
        <v>8264.7647275100007</v>
      </c>
      <c r="H85" s="1820">
        <v>1532.8690429999999</v>
      </c>
      <c r="I85" s="1821">
        <v>3877.1917934399999</v>
      </c>
      <c r="J85" s="1820">
        <v>0</v>
      </c>
      <c r="K85" s="1821">
        <v>117.447964</v>
      </c>
      <c r="L85" s="1820">
        <v>13.991935</v>
      </c>
      <c r="M85" s="1821">
        <v>5.1474880000000001</v>
      </c>
      <c r="N85" s="1820">
        <v>11.562137999999999</v>
      </c>
      <c r="O85" s="1821">
        <v>329.46523968999998</v>
      </c>
      <c r="P85" s="1813"/>
      <c r="Q85" s="1821"/>
      <c r="R85" s="1820">
        <v>11656.90567201</v>
      </c>
      <c r="S85" s="1821">
        <v>88.372430727077187</v>
      </c>
      <c r="T85" s="1820">
        <v>5441.7041876499998</v>
      </c>
      <c r="U85" s="1821">
        <v>11907.897062800001</v>
      </c>
      <c r="V85" s="1820">
        <v>8653.6896859899989</v>
      </c>
      <c r="W85" s="1814">
        <v>68530.405406097067</v>
      </c>
      <c r="X85" s="1485"/>
      <c r="Y85" s="1177"/>
    </row>
    <row r="86" spans="2:25" ht="15" customHeight="1">
      <c r="B86" s="1491" t="s">
        <v>335</v>
      </c>
      <c r="C86" s="1819">
        <v>242.40806435000005</v>
      </c>
      <c r="D86" s="1820">
        <v>3063.9214466399999</v>
      </c>
      <c r="E86" s="1821">
        <v>14545.584056964668</v>
      </c>
      <c r="F86" s="1820">
        <v>1948.14364743789</v>
      </c>
      <c r="G86" s="1821">
        <v>12381.16987492276</v>
      </c>
      <c r="H86" s="1820">
        <v>2497.4651437199991</v>
      </c>
      <c r="I86" s="1821">
        <v>4373.7647660898247</v>
      </c>
      <c r="J86" s="1820">
        <v>0</v>
      </c>
      <c r="K86" s="1821">
        <v>7.9863019999999993E-2</v>
      </c>
      <c r="L86" s="1820">
        <v>20.234351939999996</v>
      </c>
      <c r="M86" s="1821">
        <v>4.3918644200000001</v>
      </c>
      <c r="N86" s="1820">
        <v>11.385297150000005</v>
      </c>
      <c r="O86" s="1821">
        <v>765.81826920000003</v>
      </c>
      <c r="P86" s="1813"/>
      <c r="Q86" s="1821"/>
      <c r="R86" s="1820">
        <v>14041.672142240321</v>
      </c>
      <c r="S86" s="1821">
        <v>127.46101817193166</v>
      </c>
      <c r="T86" s="1820">
        <v>7917.3115320800498</v>
      </c>
      <c r="U86" s="1821">
        <v>5718.5273660055236</v>
      </c>
      <c r="V86" s="1820">
        <v>9244.6194379078097</v>
      </c>
      <c r="W86" s="1814">
        <v>76903.958142260773</v>
      </c>
      <c r="X86" s="1485"/>
      <c r="Y86" s="1177"/>
    </row>
    <row r="87" spans="2:25" ht="15" customHeight="1">
      <c r="B87" s="1491" t="s">
        <v>336</v>
      </c>
      <c r="C87" s="1819">
        <v>263.29264411499997</v>
      </c>
      <c r="D87" s="1820">
        <v>3147.7472986773</v>
      </c>
      <c r="E87" s="1821">
        <v>16673.435460270521</v>
      </c>
      <c r="F87" s="1820">
        <v>1287.5127765133911</v>
      </c>
      <c r="G87" s="1821">
        <v>13285.139606465196</v>
      </c>
      <c r="H87" s="1820">
        <v>3056.3217062799999</v>
      </c>
      <c r="I87" s="1821">
        <v>4235.9600825058924</v>
      </c>
      <c r="J87" s="1820">
        <v>0</v>
      </c>
      <c r="K87" s="1821">
        <v>7.9863019999999993E-2</v>
      </c>
      <c r="L87" s="1820">
        <v>18.388272180000001</v>
      </c>
      <c r="M87" s="1821">
        <v>4.4672444499999999</v>
      </c>
      <c r="N87" s="1820">
        <v>9.7463397999999994</v>
      </c>
      <c r="O87" s="1821">
        <v>834.71964059250013</v>
      </c>
      <c r="P87" s="1813"/>
      <c r="Q87" s="1821"/>
      <c r="R87" s="1820">
        <v>14864.304695778814</v>
      </c>
      <c r="S87" s="1821">
        <v>129.90265924217164</v>
      </c>
      <c r="T87" s="1820">
        <v>7642.7961158645385</v>
      </c>
      <c r="U87" s="1821">
        <v>6534.1429878198678</v>
      </c>
      <c r="V87" s="1820">
        <v>9703.9275186379891</v>
      </c>
      <c r="W87" s="1814">
        <v>81691.884912213194</v>
      </c>
      <c r="X87" s="1485"/>
      <c r="Y87" s="1177"/>
    </row>
    <row r="88" spans="2:25" ht="15" customHeight="1">
      <c r="B88" s="1491" t="s">
        <v>337</v>
      </c>
      <c r="C88" s="1819">
        <v>284.32552181999978</v>
      </c>
      <c r="D88" s="1820">
        <v>3144.5692793822996</v>
      </c>
      <c r="E88" s="1821">
        <v>19827.455932122964</v>
      </c>
      <c r="F88" s="1820">
        <v>1553.6830441954994</v>
      </c>
      <c r="G88" s="1821">
        <v>15003.28592745053</v>
      </c>
      <c r="H88" s="1820">
        <v>3130.37603184</v>
      </c>
      <c r="I88" s="1821">
        <v>4160.5040244364363</v>
      </c>
      <c r="J88" s="1820">
        <v>0</v>
      </c>
      <c r="K88" s="1821">
        <v>0.124241003</v>
      </c>
      <c r="L88" s="1820">
        <v>45.794999187945209</v>
      </c>
      <c r="M88" s="1821">
        <v>4.5254282100000003</v>
      </c>
      <c r="N88" s="1820">
        <v>9.6115398799999969</v>
      </c>
      <c r="O88" s="1821">
        <v>768.00548507999986</v>
      </c>
      <c r="P88" s="1813"/>
      <c r="Q88" s="1821"/>
      <c r="R88" s="1820">
        <v>17762.272779049661</v>
      </c>
      <c r="S88" s="1821">
        <v>143.43531878021165</v>
      </c>
      <c r="T88" s="1820">
        <v>7042.0440824979705</v>
      </c>
      <c r="U88" s="1821">
        <v>6012.3951149111153</v>
      </c>
      <c r="V88" s="1820">
        <v>9845.0880669366106</v>
      </c>
      <c r="W88" s="1814">
        <v>88737.496816784245</v>
      </c>
      <c r="X88" s="1485"/>
      <c r="Y88" s="1177"/>
    </row>
    <row r="89" spans="2:25" ht="22.5" customHeight="1">
      <c r="B89" s="1491" t="s">
        <v>338</v>
      </c>
      <c r="C89" s="1819">
        <v>515.11439773480902</v>
      </c>
      <c r="D89" s="1820">
        <v>8372.3876751101416</v>
      </c>
      <c r="E89" s="1821">
        <v>26368.552704394406</v>
      </c>
      <c r="F89" s="1820">
        <v>3570.8508066445456</v>
      </c>
      <c r="G89" s="1821">
        <v>34550.438447647677</v>
      </c>
      <c r="H89" s="1820">
        <v>7527.4569275200001</v>
      </c>
      <c r="I89" s="1821">
        <v>5841.9827605772407</v>
      </c>
      <c r="J89" s="1820">
        <v>0</v>
      </c>
      <c r="K89" s="1821">
        <v>0.124241003</v>
      </c>
      <c r="L89" s="1820">
        <v>90.142378102739741</v>
      </c>
      <c r="M89" s="1821">
        <v>4.2858107400000005</v>
      </c>
      <c r="N89" s="1820">
        <v>9.408919710000001</v>
      </c>
      <c r="O89" s="1821">
        <v>2010.791203993</v>
      </c>
      <c r="P89" s="1813"/>
      <c r="Q89" s="1821"/>
      <c r="R89" s="1820">
        <v>26638.87368925089</v>
      </c>
      <c r="S89" s="1821">
        <v>215.55996846211752</v>
      </c>
      <c r="T89" s="1820">
        <v>24299.334085621213</v>
      </c>
      <c r="U89" s="1821">
        <v>14590.26325223035</v>
      </c>
      <c r="V89" s="1820">
        <v>18983.050288713363</v>
      </c>
      <c r="W89" s="1814">
        <v>173588.61755745547</v>
      </c>
      <c r="X89" s="1485"/>
      <c r="Y89" s="1177"/>
    </row>
    <row r="90" spans="2:25" ht="15" customHeight="1">
      <c r="B90" s="1491" t="s">
        <v>339</v>
      </c>
      <c r="C90" s="1819">
        <v>577.98863605047882</v>
      </c>
      <c r="D90" s="1820">
        <v>16536.530188144472</v>
      </c>
      <c r="E90" s="1821">
        <v>49470.129928650742</v>
      </c>
      <c r="F90" s="1820">
        <v>4219.8064599068803</v>
      </c>
      <c r="G90" s="1821">
        <v>40259.840343373136</v>
      </c>
      <c r="H90" s="1820">
        <v>11399.930877679999</v>
      </c>
      <c r="I90" s="1821">
        <v>6357.8436867641522</v>
      </c>
      <c r="J90" s="1820">
        <v>0</v>
      </c>
      <c r="K90" s="1821">
        <v>0</v>
      </c>
      <c r="L90" s="1820">
        <v>74.568191580000004</v>
      </c>
      <c r="M90" s="1821">
        <v>4.3269800700000003</v>
      </c>
      <c r="N90" s="1820">
        <v>12.610752069999998</v>
      </c>
      <c r="O90" s="1821">
        <v>1025.7786604100002</v>
      </c>
      <c r="P90" s="1813"/>
      <c r="Q90" s="1821"/>
      <c r="R90" s="1820">
        <v>33054.989642204135</v>
      </c>
      <c r="S90" s="1821">
        <v>229.055097755368</v>
      </c>
      <c r="T90" s="1820">
        <v>28551.071776340672</v>
      </c>
      <c r="U90" s="1821">
        <v>10247.641949009509</v>
      </c>
      <c r="V90" s="1820">
        <v>19646.486174080124</v>
      </c>
      <c r="W90" s="1814">
        <v>221668.59934408963</v>
      </c>
      <c r="X90" s="1485"/>
      <c r="Y90" s="1177"/>
    </row>
    <row r="91" spans="2:25" ht="15" customHeight="1">
      <c r="B91" s="1491" t="s">
        <v>340</v>
      </c>
      <c r="C91" s="1819">
        <v>821.16395903259786</v>
      </c>
      <c r="D91" s="1820">
        <v>26519.726474787705</v>
      </c>
      <c r="E91" s="1821">
        <v>49165.585254698257</v>
      </c>
      <c r="F91" s="1820">
        <v>4265.435534936817</v>
      </c>
      <c r="G91" s="1821">
        <v>38763.724473960414</v>
      </c>
      <c r="H91" s="1820">
        <v>14219.238741980003</v>
      </c>
      <c r="I91" s="1821">
        <v>6484.6823623196606</v>
      </c>
      <c r="J91" s="1820">
        <v>0</v>
      </c>
      <c r="K91" s="1821">
        <v>0</v>
      </c>
      <c r="L91" s="1820">
        <v>39.071659500000003</v>
      </c>
      <c r="M91" s="1821">
        <v>14.045998539999999</v>
      </c>
      <c r="N91" s="1820">
        <v>14.73582568</v>
      </c>
      <c r="O91" s="1821">
        <v>1046.289402312892</v>
      </c>
      <c r="P91" s="1813"/>
      <c r="Q91" s="1821"/>
      <c r="R91" s="1820">
        <v>38741.305003576796</v>
      </c>
      <c r="S91" s="1821">
        <v>230.99620454051305</v>
      </c>
      <c r="T91" s="1820">
        <v>25354.637077556301</v>
      </c>
      <c r="U91" s="1821">
        <v>9460.4900319476747</v>
      </c>
      <c r="V91" s="1820">
        <v>19961.163593719713</v>
      </c>
      <c r="W91" s="1814">
        <v>235102.29159908937</v>
      </c>
      <c r="X91" s="1485"/>
      <c r="Y91" s="1177"/>
    </row>
    <row r="92" spans="2:25" ht="15" customHeight="1">
      <c r="B92" s="1491" t="s">
        <v>341</v>
      </c>
      <c r="C92" s="1819">
        <v>891.26113781630931</v>
      </c>
      <c r="D92" s="1820">
        <v>27646.412336929341</v>
      </c>
      <c r="E92" s="1821">
        <v>51169.669341644651</v>
      </c>
      <c r="F92" s="1820">
        <v>3898.6508139372427</v>
      </c>
      <c r="G92" s="1821">
        <v>38420.203443756196</v>
      </c>
      <c r="H92" s="1820">
        <v>14126.827709409999</v>
      </c>
      <c r="I92" s="1821">
        <v>6354.1871432156631</v>
      </c>
      <c r="J92" s="1820">
        <v>0</v>
      </c>
      <c r="K92" s="1821">
        <v>0</v>
      </c>
      <c r="L92" s="1820">
        <v>107.39743971000001</v>
      </c>
      <c r="M92" s="1821">
        <v>9.6066195399999987</v>
      </c>
      <c r="N92" s="1820">
        <v>22.300003159999999</v>
      </c>
      <c r="O92" s="1821">
        <v>1050.3771399876389</v>
      </c>
      <c r="P92" s="1813"/>
      <c r="Q92" s="1821"/>
      <c r="R92" s="1820">
        <v>41088.909369683905</v>
      </c>
      <c r="S92" s="1821">
        <v>228.94614592217405</v>
      </c>
      <c r="T92" s="1820">
        <v>28289.362696712571</v>
      </c>
      <c r="U92" s="1821">
        <v>17608.700273939819</v>
      </c>
      <c r="V92" s="1820">
        <v>19375.08146153505</v>
      </c>
      <c r="W92" s="1814">
        <v>250287.89307690057</v>
      </c>
      <c r="X92" s="1485"/>
      <c r="Y92" s="1177"/>
    </row>
    <row r="93" spans="2:25" ht="15" customHeight="1">
      <c r="B93" s="1491" t="s">
        <v>342</v>
      </c>
      <c r="C93" s="1819">
        <v>896.47511049291711</v>
      </c>
      <c r="D93" s="1820">
        <v>29309.790437936826</v>
      </c>
      <c r="E93" s="1821">
        <v>60589.1933731994</v>
      </c>
      <c r="F93" s="1820">
        <v>3602.5784057723167</v>
      </c>
      <c r="G93" s="1821">
        <v>38877.305980978686</v>
      </c>
      <c r="H93" s="1820">
        <v>13530.73927835</v>
      </c>
      <c r="I93" s="1821">
        <v>7763.9746341646005</v>
      </c>
      <c r="J93" s="1820">
        <v>0</v>
      </c>
      <c r="K93" s="1821">
        <v>20.061505833000002</v>
      </c>
      <c r="L93" s="1820">
        <v>109.83230804</v>
      </c>
      <c r="M93" s="1821">
        <v>17.565743600000001</v>
      </c>
      <c r="N93" s="1820">
        <v>22.182395369999998</v>
      </c>
      <c r="O93" s="1821">
        <v>1018.9997883681668</v>
      </c>
      <c r="P93" s="1813"/>
      <c r="Q93" s="1821"/>
      <c r="R93" s="1820">
        <v>48440.915202059645</v>
      </c>
      <c r="S93" s="1821">
        <v>268.06594228095889</v>
      </c>
      <c r="T93" s="1820">
        <v>29764.701080167753</v>
      </c>
      <c r="U93" s="1821">
        <v>15978.216989720539</v>
      </c>
      <c r="V93" s="1820">
        <v>19616.634158700141</v>
      </c>
      <c r="W93" s="1814">
        <v>269827.23233503493</v>
      </c>
      <c r="X93" s="1485"/>
      <c r="Y93" s="1177"/>
    </row>
    <row r="94" spans="2:25" ht="15" customHeight="1">
      <c r="B94" s="1491" t="s">
        <v>343</v>
      </c>
      <c r="C94" s="1819">
        <v>919.42098697021333</v>
      </c>
      <c r="D94" s="1820">
        <v>31596.890379232438</v>
      </c>
      <c r="E94" s="1821">
        <v>67899.100980597446</v>
      </c>
      <c r="F94" s="1820">
        <v>3494.8661935404348</v>
      </c>
      <c r="G94" s="1821">
        <v>39693.383497635477</v>
      </c>
      <c r="H94" s="1820">
        <v>14134.739278120294</v>
      </c>
      <c r="I94" s="1821">
        <v>7098.294860925489</v>
      </c>
      <c r="J94" s="1820">
        <v>0</v>
      </c>
      <c r="K94" s="1821">
        <v>0.02</v>
      </c>
      <c r="L94" s="1820">
        <v>110.37102988000001</v>
      </c>
      <c r="M94" s="1821">
        <v>20.00465063</v>
      </c>
      <c r="N94" s="1820">
        <v>16.809829560000001</v>
      </c>
      <c r="O94" s="1821">
        <v>1269.9419038216047</v>
      </c>
      <c r="P94" s="1813"/>
      <c r="Q94" s="1821"/>
      <c r="R94" s="1820">
        <v>54496.74089063338</v>
      </c>
      <c r="S94" s="1821">
        <v>259.89641618912589</v>
      </c>
      <c r="T94" s="1820">
        <v>29821.163007059447</v>
      </c>
      <c r="U94" s="1821">
        <v>16683.477272577238</v>
      </c>
      <c r="V94" s="1820">
        <v>19526.696010814907</v>
      </c>
      <c r="W94" s="1814">
        <v>287041.8171881875</v>
      </c>
      <c r="X94" s="1485"/>
      <c r="Y94" s="1177"/>
    </row>
    <row r="95" spans="2:25" ht="15" customHeight="1">
      <c r="B95" s="1491" t="s">
        <v>344</v>
      </c>
      <c r="C95" s="1819">
        <v>1019.7614847151862</v>
      </c>
      <c r="D95" s="1820">
        <v>36507.585152765503</v>
      </c>
      <c r="E95" s="1821">
        <v>70392.069923854491</v>
      </c>
      <c r="F95" s="1820">
        <v>4949.4758184462708</v>
      </c>
      <c r="G95" s="1821">
        <v>37346.168725469623</v>
      </c>
      <c r="H95" s="1820">
        <v>10803.581773460004</v>
      </c>
      <c r="I95" s="1821">
        <v>9985.569516464464</v>
      </c>
      <c r="J95" s="1820">
        <v>0</v>
      </c>
      <c r="K95" s="1821">
        <v>0</v>
      </c>
      <c r="L95" s="1820">
        <v>1.1755683299999999</v>
      </c>
      <c r="M95" s="1821">
        <v>23.295996579999997</v>
      </c>
      <c r="N95" s="1820">
        <v>26.755438450641371</v>
      </c>
      <c r="O95" s="1821">
        <v>1269.0086457410212</v>
      </c>
      <c r="P95" s="1813"/>
      <c r="Q95" s="1821"/>
      <c r="R95" s="1820">
        <v>62953.033501615122</v>
      </c>
      <c r="S95" s="1821">
        <v>718.15973289848569</v>
      </c>
      <c r="T95" s="1820">
        <v>29608.014420734176</v>
      </c>
      <c r="U95" s="1821">
        <v>12793.914017730012</v>
      </c>
      <c r="V95" s="1820">
        <v>28230.821116799634</v>
      </c>
      <c r="W95" s="1814">
        <v>306628.39083405456</v>
      </c>
      <c r="X95" s="1485"/>
      <c r="Y95" s="1177"/>
    </row>
    <row r="96" spans="2:25" ht="15" customHeight="1">
      <c r="B96" s="1791"/>
      <c r="C96" s="1819"/>
      <c r="D96" s="1822"/>
      <c r="E96" s="1821"/>
      <c r="F96" s="1822"/>
      <c r="G96" s="1821"/>
      <c r="H96" s="1822"/>
      <c r="I96" s="1821"/>
      <c r="J96" s="1822"/>
      <c r="K96" s="1821"/>
      <c r="L96" s="1822"/>
      <c r="M96" s="1821"/>
      <c r="N96" s="1822"/>
      <c r="O96" s="1821"/>
      <c r="P96" s="1813"/>
      <c r="Q96" s="1821"/>
      <c r="R96" s="1822"/>
      <c r="S96" s="1821"/>
      <c r="T96" s="1822"/>
      <c r="U96" s="1821"/>
      <c r="V96" s="1822"/>
      <c r="W96" s="1823"/>
      <c r="X96" s="1485"/>
      <c r="Y96" s="1177"/>
    </row>
    <row r="97" spans="2:25" ht="15" customHeight="1">
      <c r="B97" s="1791">
        <v>2021</v>
      </c>
      <c r="C97" s="1819"/>
      <c r="D97" s="1822"/>
      <c r="E97" s="1821"/>
      <c r="F97" s="1822"/>
      <c r="G97" s="1821"/>
      <c r="H97" s="1822"/>
      <c r="I97" s="1821"/>
      <c r="J97" s="1822"/>
      <c r="K97" s="1821"/>
      <c r="L97" s="1822"/>
      <c r="M97" s="1821"/>
      <c r="N97" s="1822"/>
      <c r="O97" s="1821"/>
      <c r="P97" s="1813"/>
      <c r="Q97" s="1821"/>
      <c r="R97" s="1822"/>
      <c r="S97" s="1821"/>
      <c r="T97" s="1822"/>
      <c r="U97" s="1821"/>
      <c r="V97" s="1822"/>
      <c r="W97" s="1823"/>
      <c r="X97" s="1485"/>
      <c r="Y97" s="1177"/>
    </row>
    <row r="98" spans="2:25" ht="15" customHeight="1">
      <c r="B98" s="1491" t="s">
        <v>345</v>
      </c>
      <c r="C98" s="1819">
        <v>1237.432749626993</v>
      </c>
      <c r="D98" s="1820">
        <v>39565.640098348151</v>
      </c>
      <c r="E98" s="1821">
        <v>71463.638194376006</v>
      </c>
      <c r="F98" s="1820">
        <v>12288.890147297148</v>
      </c>
      <c r="G98" s="1821">
        <v>39092.850319493176</v>
      </c>
      <c r="H98" s="1820">
        <v>10921.985333600005</v>
      </c>
      <c r="I98" s="1821">
        <v>8281.797168595187</v>
      </c>
      <c r="J98" s="1820">
        <v>0</v>
      </c>
      <c r="K98" s="1821">
        <v>0</v>
      </c>
      <c r="L98" s="1820">
        <v>1.1755683299999999</v>
      </c>
      <c r="M98" s="1821">
        <v>16.674753689999999</v>
      </c>
      <c r="N98" s="1820">
        <v>18.010885780641381</v>
      </c>
      <c r="O98" s="1821">
        <v>1264.2782107763801</v>
      </c>
      <c r="P98" s="1813"/>
      <c r="Q98" s="1821"/>
      <c r="R98" s="1820">
        <v>71090.960598166334</v>
      </c>
      <c r="S98" s="1821">
        <v>718.83445440280127</v>
      </c>
      <c r="T98" s="1820">
        <v>25036.220140313388</v>
      </c>
      <c r="U98" s="1821">
        <v>12333.210667442145</v>
      </c>
      <c r="V98" s="1820">
        <v>32123.105067280911</v>
      </c>
      <c r="W98" s="1814">
        <v>325454.70435751928</v>
      </c>
      <c r="X98" s="1485"/>
      <c r="Y98" s="1177"/>
    </row>
    <row r="99" spans="2:25" ht="15" customHeight="1">
      <c r="B99" s="1491" t="s">
        <v>334</v>
      </c>
      <c r="C99" s="1819">
        <v>1320.2705665274527</v>
      </c>
      <c r="D99" s="1820">
        <v>38100.026719783105</v>
      </c>
      <c r="E99" s="1821">
        <v>69341.48097840097</v>
      </c>
      <c r="F99" s="1820">
        <v>16867.758611021171</v>
      </c>
      <c r="G99" s="1821">
        <v>38108.831466820098</v>
      </c>
      <c r="H99" s="1820">
        <v>6341.38730175</v>
      </c>
      <c r="I99" s="1821">
        <v>12518.154135411763</v>
      </c>
      <c r="J99" s="1820">
        <v>0</v>
      </c>
      <c r="K99" s="1821">
        <v>0</v>
      </c>
      <c r="L99" s="1820">
        <v>1.2598291400000001</v>
      </c>
      <c r="M99" s="1821">
        <v>24.14611077</v>
      </c>
      <c r="N99" s="1820">
        <v>22.687134760000006</v>
      </c>
      <c r="O99" s="1821">
        <v>1493.6638891844195</v>
      </c>
      <c r="P99" s="1813"/>
      <c r="Q99" s="1821"/>
      <c r="R99" s="1820">
        <v>77324.344161709349</v>
      </c>
      <c r="S99" s="1821">
        <v>774.89360623718028</v>
      </c>
      <c r="T99" s="1820">
        <v>28339.171656172348</v>
      </c>
      <c r="U99" s="1821">
        <v>15953.140724622284</v>
      </c>
      <c r="V99" s="1820">
        <v>33612.141430475509</v>
      </c>
      <c r="W99" s="1814">
        <v>340143.3583227857</v>
      </c>
      <c r="X99" s="1485"/>
      <c r="Y99" s="1177"/>
    </row>
    <row r="100" spans="2:25" ht="15" customHeight="1">
      <c r="B100" s="1491" t="s">
        <v>335</v>
      </c>
      <c r="C100" s="1819">
        <v>1244.1577387078685</v>
      </c>
      <c r="D100" s="1820">
        <v>38369.529944744776</v>
      </c>
      <c r="E100" s="1821">
        <v>76479.440973152232</v>
      </c>
      <c r="F100" s="1820">
        <v>5317.6086420544825</v>
      </c>
      <c r="G100" s="1821">
        <v>41401.238868890534</v>
      </c>
      <c r="H100" s="1820">
        <v>8733.6461833699996</v>
      </c>
      <c r="I100" s="1821">
        <v>15889.612578518543</v>
      </c>
      <c r="J100" s="1820">
        <v>0</v>
      </c>
      <c r="K100" s="1821">
        <v>19.208966073592997</v>
      </c>
      <c r="L100" s="1820">
        <v>34.561678760000007</v>
      </c>
      <c r="M100" s="1821">
        <v>15.1673046</v>
      </c>
      <c r="N100" s="1820">
        <v>21.673102619999998</v>
      </c>
      <c r="O100" s="1821">
        <v>1309.7514061731999</v>
      </c>
      <c r="P100" s="1813"/>
      <c r="Q100" s="1821"/>
      <c r="R100" s="1820">
        <v>80607.034206234996</v>
      </c>
      <c r="S100" s="1821">
        <v>878.97484919735405</v>
      </c>
      <c r="T100" s="1820">
        <v>32908.131657602185</v>
      </c>
      <c r="U100" s="1821">
        <v>19302.342852146132</v>
      </c>
      <c r="V100" s="1820">
        <v>30861.861220082184</v>
      </c>
      <c r="W100" s="1814">
        <v>353393.94217292813</v>
      </c>
      <c r="X100" s="1485"/>
      <c r="Y100" s="1177"/>
    </row>
    <row r="101" spans="2:25" ht="15" customHeight="1">
      <c r="B101" s="1491" t="s">
        <v>336</v>
      </c>
      <c r="C101" s="1819">
        <v>1430.8252926900564</v>
      </c>
      <c r="D101" s="1820">
        <v>38008.88833061995</v>
      </c>
      <c r="E101" s="1821">
        <v>79592.643220105281</v>
      </c>
      <c r="F101" s="1820">
        <v>5639.3991414903949</v>
      </c>
      <c r="G101" s="1821">
        <v>48564.032876672187</v>
      </c>
      <c r="H101" s="1820">
        <v>7679.04890798</v>
      </c>
      <c r="I101" s="1821">
        <v>18267.006720651552</v>
      </c>
      <c r="J101" s="1820">
        <v>0</v>
      </c>
      <c r="K101" s="1821">
        <v>19.234112413593003</v>
      </c>
      <c r="L101" s="1820">
        <v>62.892621770000005</v>
      </c>
      <c r="M101" s="1821">
        <v>19.862290460000001</v>
      </c>
      <c r="N101" s="1820">
        <v>12.70980696</v>
      </c>
      <c r="O101" s="1821">
        <v>1336.7006112573117</v>
      </c>
      <c r="P101" s="1813"/>
      <c r="Q101" s="1821"/>
      <c r="R101" s="1820">
        <v>91062.158071130485</v>
      </c>
      <c r="S101" s="1821">
        <v>956.74901016039166</v>
      </c>
      <c r="T101" s="1820">
        <v>34537.877205338104</v>
      </c>
      <c r="U101" s="1821">
        <v>21214.882806030302</v>
      </c>
      <c r="V101" s="1820">
        <v>32383.773129268477</v>
      </c>
      <c r="W101" s="1814">
        <v>380788.6841549981</v>
      </c>
      <c r="X101" s="1485"/>
      <c r="Y101" s="1177"/>
    </row>
    <row r="102" spans="2:25" ht="15" customHeight="1">
      <c r="B102" s="1491" t="s">
        <v>337</v>
      </c>
      <c r="C102" s="1819">
        <v>1648.0869409180677</v>
      </c>
      <c r="D102" s="1820">
        <v>28677.209403756046</v>
      </c>
      <c r="E102" s="1821">
        <v>87611.511705284633</v>
      </c>
      <c r="F102" s="1820">
        <v>6479.6602544089619</v>
      </c>
      <c r="G102" s="1821">
        <v>59745.096623495592</v>
      </c>
      <c r="H102" s="1820">
        <v>11582.438164430003</v>
      </c>
      <c r="I102" s="1821">
        <v>18846.749644089825</v>
      </c>
      <c r="J102" s="1820">
        <v>0</v>
      </c>
      <c r="K102" s="1821">
        <v>152.745454139</v>
      </c>
      <c r="L102" s="1820">
        <v>93.365795689999985</v>
      </c>
      <c r="M102" s="1821">
        <v>21.769086189999996</v>
      </c>
      <c r="N102" s="1820">
        <v>16.584885829999997</v>
      </c>
      <c r="O102" s="1821">
        <v>1263.7451299204627</v>
      </c>
      <c r="P102" s="1813"/>
      <c r="Q102" s="1821"/>
      <c r="R102" s="1820">
        <v>94790.456954221154</v>
      </c>
      <c r="S102" s="1821">
        <v>990.40627427039169</v>
      </c>
      <c r="T102" s="1820">
        <v>35592.276201412096</v>
      </c>
      <c r="U102" s="1821">
        <v>21398.949833113002</v>
      </c>
      <c r="V102" s="1820">
        <v>31307.454520310403</v>
      </c>
      <c r="W102" s="1814">
        <v>400218.50687147956</v>
      </c>
      <c r="X102" s="1485"/>
      <c r="Y102" s="1177"/>
    </row>
    <row r="103" spans="2:25" ht="15" customHeight="1">
      <c r="B103" s="1491" t="s">
        <v>338</v>
      </c>
      <c r="C103" s="1819">
        <v>1419.2678156317043</v>
      </c>
      <c r="D103" s="1820">
        <v>28452.533320118913</v>
      </c>
      <c r="E103" s="1821">
        <v>69413.258568944919</v>
      </c>
      <c r="F103" s="1820">
        <v>24215.352575919831</v>
      </c>
      <c r="G103" s="1821">
        <v>70835.984558332755</v>
      </c>
      <c r="H103" s="1820">
        <v>17601.308274349991</v>
      </c>
      <c r="I103" s="1821">
        <v>17152.752306373393</v>
      </c>
      <c r="J103" s="1820">
        <v>0</v>
      </c>
      <c r="K103" s="1821">
        <v>19.458551492593003</v>
      </c>
      <c r="L103" s="1820">
        <v>92.908501569999999</v>
      </c>
      <c r="M103" s="1821">
        <v>17.910696379999997</v>
      </c>
      <c r="N103" s="1820">
        <v>77.787746562234005</v>
      </c>
      <c r="O103" s="1821">
        <v>1511.861100685421</v>
      </c>
      <c r="P103" s="1813"/>
      <c r="Q103" s="1821"/>
      <c r="R103" s="1820">
        <v>106954.14659528484</v>
      </c>
      <c r="S103" s="1821">
        <v>1247.0759859194188</v>
      </c>
      <c r="T103" s="1820">
        <v>26856.450002074442</v>
      </c>
      <c r="U103" s="1821">
        <v>26444.567254794048</v>
      </c>
      <c r="V103" s="1820">
        <v>33288.944067788841</v>
      </c>
      <c r="W103" s="1814">
        <v>425601.5679222233</v>
      </c>
      <c r="X103" s="1485"/>
      <c r="Y103" s="1177"/>
    </row>
    <row r="104" spans="2:25" ht="15" customHeight="1">
      <c r="B104" s="1491" t="s">
        <v>339</v>
      </c>
      <c r="C104" s="1819">
        <v>1794.7151922622909</v>
      </c>
      <c r="D104" s="1820">
        <v>29100.733282490004</v>
      </c>
      <c r="E104" s="1821">
        <v>97429.498920991187</v>
      </c>
      <c r="F104" s="1820">
        <v>15901.017628288631</v>
      </c>
      <c r="G104" s="1821">
        <v>79937.017205340773</v>
      </c>
      <c r="H104" s="1820">
        <v>25314.300713660003</v>
      </c>
      <c r="I104" s="1821">
        <v>21665.104477991597</v>
      </c>
      <c r="J104" s="1820">
        <v>0</v>
      </c>
      <c r="K104" s="1821">
        <v>290.75974922741295</v>
      </c>
      <c r="L104" s="1820">
        <v>47.385984810000011</v>
      </c>
      <c r="M104" s="1821">
        <v>17.324915730000001</v>
      </c>
      <c r="N104" s="1820">
        <v>67.801893699048009</v>
      </c>
      <c r="O104" s="1821">
        <v>1351.1255824130096</v>
      </c>
      <c r="P104" s="1813"/>
      <c r="Q104" s="1821"/>
      <c r="R104" s="1820">
        <v>117348.1610732988</v>
      </c>
      <c r="S104" s="1821">
        <v>1301.1836702621979</v>
      </c>
      <c r="T104" s="1820">
        <v>26869.180029422769</v>
      </c>
      <c r="U104" s="1821">
        <v>29079.63990647599</v>
      </c>
      <c r="V104" s="1820">
        <v>33587.679455010126</v>
      </c>
      <c r="W104" s="1814">
        <v>481102.62968137383</v>
      </c>
      <c r="X104" s="1485"/>
      <c r="Y104" s="1177"/>
    </row>
    <row r="105" spans="2:25" ht="15" customHeight="1">
      <c r="B105" s="1491" t="s">
        <v>340</v>
      </c>
      <c r="C105" s="1819">
        <v>2137.7231596948932</v>
      </c>
      <c r="D105" s="1820">
        <v>31734.836592077754</v>
      </c>
      <c r="E105" s="1821">
        <v>85441.978047272787</v>
      </c>
      <c r="F105" s="1820">
        <v>9099.1002529692178</v>
      </c>
      <c r="G105" s="1821">
        <v>70391.641155320176</v>
      </c>
      <c r="H105" s="1820">
        <v>25194.948194840003</v>
      </c>
      <c r="I105" s="1821">
        <v>31434.202421817117</v>
      </c>
      <c r="J105" s="1820">
        <v>0</v>
      </c>
      <c r="K105" s="1821">
        <v>339.72032817511712</v>
      </c>
      <c r="L105" s="1820">
        <v>51.278915339999998</v>
      </c>
      <c r="M105" s="1821">
        <v>22.486841999999999</v>
      </c>
      <c r="N105" s="1820">
        <v>63.942873060000004</v>
      </c>
      <c r="O105" s="1821">
        <v>1583.2816625999999</v>
      </c>
      <c r="P105" s="1813"/>
      <c r="Q105" s="1821"/>
      <c r="R105" s="1820">
        <v>132522.62575308484</v>
      </c>
      <c r="S105" s="1821">
        <v>1337.1914512501937</v>
      </c>
      <c r="T105" s="1820">
        <v>32281.12419863899</v>
      </c>
      <c r="U105" s="1821">
        <v>30022.429830397261</v>
      </c>
      <c r="V105" s="1820">
        <v>37697.053277803308</v>
      </c>
      <c r="W105" s="1814">
        <v>491355.56495634164</v>
      </c>
      <c r="X105" s="1485"/>
      <c r="Y105" s="1177"/>
    </row>
    <row r="106" spans="2:25" ht="15" customHeight="1">
      <c r="B106" s="1491" t="s">
        <v>341</v>
      </c>
      <c r="C106" s="1819">
        <v>2417.8076538149689</v>
      </c>
      <c r="D106" s="1820">
        <v>36259.537919917755</v>
      </c>
      <c r="E106" s="1821">
        <v>93032.710274515121</v>
      </c>
      <c r="F106" s="1820">
        <v>6164.7758561452301</v>
      </c>
      <c r="G106" s="1821">
        <v>66640.782989862491</v>
      </c>
      <c r="H106" s="1820">
        <v>25023.376334720004</v>
      </c>
      <c r="I106" s="1821">
        <v>31460.813003247986</v>
      </c>
      <c r="J106" s="1820">
        <v>0</v>
      </c>
      <c r="K106" s="1821">
        <v>366.87612351511711</v>
      </c>
      <c r="L106" s="1820">
        <v>57.599992630000003</v>
      </c>
      <c r="M106" s="1821">
        <v>21.073847350000001</v>
      </c>
      <c r="N106" s="1820">
        <v>62.451161749622671</v>
      </c>
      <c r="O106" s="1821">
        <v>1531.0846812825162</v>
      </c>
      <c r="P106" s="1813"/>
      <c r="Q106" s="1821"/>
      <c r="R106" s="1820">
        <v>134780.91905705124</v>
      </c>
      <c r="S106" s="1821">
        <v>1342.6209939717712</v>
      </c>
      <c r="T106" s="1820">
        <v>31980.97134841136</v>
      </c>
      <c r="U106" s="1821">
        <v>30439.335524620514</v>
      </c>
      <c r="V106" s="1820">
        <v>34630.853436819983</v>
      </c>
      <c r="W106" s="1814">
        <v>496213.59019962559</v>
      </c>
      <c r="X106" s="1485"/>
      <c r="Y106" s="1177"/>
    </row>
    <row r="107" spans="2:25" ht="15" customHeight="1">
      <c r="B107" s="1491" t="s">
        <v>342</v>
      </c>
      <c r="C107" s="1819">
        <v>1993.0648404767296</v>
      </c>
      <c r="D107" s="1820">
        <v>47379.621037848214</v>
      </c>
      <c r="E107" s="1821">
        <v>99470.018469153249</v>
      </c>
      <c r="F107" s="1820">
        <v>7339.7056899594336</v>
      </c>
      <c r="G107" s="1821">
        <v>86302.621509932316</v>
      </c>
      <c r="H107" s="1820">
        <v>26924.179061319992</v>
      </c>
      <c r="I107" s="1821">
        <v>37639.156781495229</v>
      </c>
      <c r="J107" s="1820">
        <v>0</v>
      </c>
      <c r="K107" s="1821">
        <v>188.06883608000001</v>
      </c>
      <c r="L107" s="1820">
        <v>121.58808708999999</v>
      </c>
      <c r="M107" s="1821">
        <v>21.204081080000002</v>
      </c>
      <c r="N107" s="1820">
        <v>75.410259523930577</v>
      </c>
      <c r="O107" s="1821">
        <v>1683.890123643605</v>
      </c>
      <c r="P107" s="1813"/>
      <c r="Q107" s="1821"/>
      <c r="R107" s="1820">
        <v>149477.36247947146</v>
      </c>
      <c r="S107" s="1821">
        <v>1523.3448939086431</v>
      </c>
      <c r="T107" s="1820">
        <v>49580.963424031899</v>
      </c>
      <c r="U107" s="1821">
        <v>40853.062313923248</v>
      </c>
      <c r="V107" s="1820">
        <v>36664.308694868378</v>
      </c>
      <c r="W107" s="1814">
        <v>587237.57058380637</v>
      </c>
      <c r="X107" s="1485"/>
      <c r="Y107" s="1177"/>
    </row>
    <row r="108" spans="2:25" ht="15" customHeight="1">
      <c r="B108" s="1491" t="s">
        <v>343</v>
      </c>
      <c r="C108" s="1819">
        <v>2168.8012308263023</v>
      </c>
      <c r="D108" s="1820">
        <v>49327.153704158656</v>
      </c>
      <c r="E108" s="1821">
        <v>100125.89741195246</v>
      </c>
      <c r="F108" s="1820">
        <v>12723.731123892405</v>
      </c>
      <c r="G108" s="1821">
        <v>71667.325821488805</v>
      </c>
      <c r="H108" s="1820">
        <v>29748.472404060001</v>
      </c>
      <c r="I108" s="1821">
        <v>41015.563334518782</v>
      </c>
      <c r="J108" s="1820">
        <v>0</v>
      </c>
      <c r="K108" s="1821">
        <v>187.02941503</v>
      </c>
      <c r="L108" s="1820">
        <v>999.12188348999996</v>
      </c>
      <c r="M108" s="1821">
        <v>21.240818029999996</v>
      </c>
      <c r="N108" s="1820">
        <v>74.762207480000001</v>
      </c>
      <c r="O108" s="1821">
        <v>1882.5265583099997</v>
      </c>
      <c r="P108" s="1813"/>
      <c r="Q108" s="1821"/>
      <c r="R108" s="1820">
        <v>168661.25312074783</v>
      </c>
      <c r="S108" s="1821">
        <v>1484.2431401786434</v>
      </c>
      <c r="T108" s="1820">
        <v>52327.675869386243</v>
      </c>
      <c r="U108" s="1821">
        <v>40073.219908262487</v>
      </c>
      <c r="V108" s="1820">
        <v>43878.521873354279</v>
      </c>
      <c r="W108" s="1814">
        <v>616366.53982516692</v>
      </c>
      <c r="X108" s="1485"/>
      <c r="Y108" s="1177"/>
    </row>
    <row r="109" spans="2:25" ht="15" customHeight="1">
      <c r="B109" s="1491" t="s">
        <v>344</v>
      </c>
      <c r="C109" s="1819">
        <v>2315.3186309218245</v>
      </c>
      <c r="D109" s="1820">
        <v>46412.992075140821</v>
      </c>
      <c r="E109" s="1821">
        <v>109803.84144443228</v>
      </c>
      <c r="F109" s="1820">
        <v>10942.922753992814</v>
      </c>
      <c r="G109" s="1821">
        <v>87347.067390053271</v>
      </c>
      <c r="H109" s="1820">
        <v>33690.926954480004</v>
      </c>
      <c r="I109" s="1821">
        <v>38610.292712465402</v>
      </c>
      <c r="J109" s="1820">
        <v>0</v>
      </c>
      <c r="K109" s="1821">
        <v>185.98999397999998</v>
      </c>
      <c r="L109" s="1820">
        <v>4146.1287777899997</v>
      </c>
      <c r="M109" s="1821">
        <v>21.092276050000002</v>
      </c>
      <c r="N109" s="1820">
        <v>167.53382440903283</v>
      </c>
      <c r="O109" s="1821">
        <v>2798.6138234862065</v>
      </c>
      <c r="P109" s="1813"/>
      <c r="Q109" s="1821"/>
      <c r="R109" s="1820">
        <v>184836.86868636211</v>
      </c>
      <c r="S109" s="1821">
        <v>3368.7544100074347</v>
      </c>
      <c r="T109" s="1820">
        <v>60916.98399343402</v>
      </c>
      <c r="U109" s="1821">
        <v>41811.665857354419</v>
      </c>
      <c r="V109" s="1820">
        <v>59011.629935987876</v>
      </c>
      <c r="W109" s="1814">
        <v>686388.62354034744</v>
      </c>
      <c r="X109" s="1485"/>
      <c r="Y109" s="1177"/>
    </row>
    <row r="110" spans="2:25" ht="15" customHeight="1">
      <c r="B110" s="1791"/>
      <c r="C110" s="1819"/>
      <c r="D110" s="1822"/>
      <c r="E110" s="1821"/>
      <c r="F110" s="1822"/>
      <c r="G110" s="1821"/>
      <c r="H110" s="1822"/>
      <c r="I110" s="1821"/>
      <c r="J110" s="1822"/>
      <c r="K110" s="1821"/>
      <c r="L110" s="1822"/>
      <c r="M110" s="1821"/>
      <c r="N110" s="1822"/>
      <c r="O110" s="1821"/>
      <c r="P110" s="1813"/>
      <c r="Q110" s="1821"/>
      <c r="R110" s="1822"/>
      <c r="S110" s="1821"/>
      <c r="T110" s="1822"/>
      <c r="U110" s="1821"/>
      <c r="V110" s="1822"/>
      <c r="W110" s="1823"/>
      <c r="X110" s="1485"/>
      <c r="Y110" s="1177"/>
    </row>
    <row r="111" spans="2:25" ht="15" customHeight="1">
      <c r="B111" s="1791">
        <v>2022</v>
      </c>
      <c r="C111" s="1819"/>
      <c r="D111" s="1822"/>
      <c r="E111" s="1821"/>
      <c r="F111" s="1822"/>
      <c r="G111" s="1821"/>
      <c r="H111" s="1822"/>
      <c r="I111" s="1821"/>
      <c r="J111" s="1822"/>
      <c r="K111" s="1821"/>
      <c r="L111" s="1822"/>
      <c r="M111" s="1821"/>
      <c r="N111" s="1822"/>
      <c r="O111" s="1821"/>
      <c r="P111" s="1813"/>
      <c r="Q111" s="1821"/>
      <c r="R111" s="1822"/>
      <c r="S111" s="1821"/>
      <c r="T111" s="1822"/>
      <c r="U111" s="1821"/>
      <c r="V111" s="1822"/>
      <c r="W111" s="1823"/>
      <c r="X111" s="1485"/>
      <c r="Y111" s="1177"/>
    </row>
    <row r="112" spans="2:25" ht="15" customHeight="1">
      <c r="B112" s="1491" t="s">
        <v>345</v>
      </c>
      <c r="C112" s="1819">
        <v>2359.2745764118085</v>
      </c>
      <c r="D112" s="1820">
        <v>49206.019538970599</v>
      </c>
      <c r="E112" s="1821">
        <v>108119.97354399652</v>
      </c>
      <c r="F112" s="1820">
        <v>10419.902363300838</v>
      </c>
      <c r="G112" s="1821">
        <v>66808.449677259414</v>
      </c>
      <c r="H112" s="1820">
        <v>30774.307061759999</v>
      </c>
      <c r="I112" s="1821">
        <v>38636.843612439894</v>
      </c>
      <c r="J112" s="1820">
        <v>0</v>
      </c>
      <c r="K112" s="1821">
        <v>186.79842857475001</v>
      </c>
      <c r="L112" s="1820">
        <v>801.49688670000057</v>
      </c>
      <c r="M112" s="1821">
        <v>20.331259450000005</v>
      </c>
      <c r="N112" s="1820">
        <v>163.02428706999999</v>
      </c>
      <c r="O112" s="1821">
        <v>3628.7266379799999</v>
      </c>
      <c r="P112" s="1813"/>
      <c r="Q112" s="1821"/>
      <c r="R112" s="1820">
        <v>199495.33648713198</v>
      </c>
      <c r="S112" s="1821">
        <v>2997.9391244061921</v>
      </c>
      <c r="T112" s="1820">
        <v>53627.759107176396</v>
      </c>
      <c r="U112" s="1821">
        <v>47405.91028499425</v>
      </c>
      <c r="V112" s="1820">
        <v>69989.79500036627</v>
      </c>
      <c r="W112" s="1814">
        <v>684641.88787798898</v>
      </c>
      <c r="X112" s="1485"/>
      <c r="Y112" s="1177"/>
    </row>
    <row r="113" spans="2:25" ht="15" customHeight="1">
      <c r="B113" s="1491" t="s">
        <v>334</v>
      </c>
      <c r="C113" s="1819">
        <v>1971.778166982461</v>
      </c>
      <c r="D113" s="1820">
        <v>57553.544473852497</v>
      </c>
      <c r="E113" s="1821">
        <v>112522.98820275778</v>
      </c>
      <c r="F113" s="1820">
        <v>14300.659443813283</v>
      </c>
      <c r="G113" s="1821">
        <v>70750.629860102359</v>
      </c>
      <c r="H113" s="1820">
        <v>28703.534293519995</v>
      </c>
      <c r="I113" s="1821">
        <v>44705.211443962762</v>
      </c>
      <c r="J113" s="1820">
        <v>0</v>
      </c>
      <c r="K113" s="1821">
        <v>0</v>
      </c>
      <c r="L113" s="1820">
        <v>976.55371168000022</v>
      </c>
      <c r="M113" s="1821">
        <v>20.339659520000005</v>
      </c>
      <c r="N113" s="1820">
        <v>158.05550511999999</v>
      </c>
      <c r="O113" s="1821">
        <v>5367.1618993498723</v>
      </c>
      <c r="P113" s="1813"/>
      <c r="Q113" s="1821"/>
      <c r="R113" s="1820">
        <v>215520.36573533612</v>
      </c>
      <c r="S113" s="1821">
        <v>3055.498889473693</v>
      </c>
      <c r="T113" s="1820">
        <v>55099.612965400411</v>
      </c>
      <c r="U113" s="1821">
        <v>53459.117365165439</v>
      </c>
      <c r="V113" s="1820">
        <v>70832.474340232337</v>
      </c>
      <c r="W113" s="1814">
        <v>734997.52595626912</v>
      </c>
      <c r="X113" s="1485"/>
      <c r="Y113" s="1177"/>
    </row>
    <row r="114" spans="2:25" ht="15" customHeight="1">
      <c r="B114" s="1491" t="s">
        <v>335</v>
      </c>
      <c r="C114" s="1819">
        <v>1541.4855643553465</v>
      </c>
      <c r="D114" s="1820">
        <v>70856.325393019608</v>
      </c>
      <c r="E114" s="1821">
        <v>130423.47715146317</v>
      </c>
      <c r="F114" s="1820">
        <v>15503.45607553091</v>
      </c>
      <c r="G114" s="1821">
        <v>82662.704059647745</v>
      </c>
      <c r="H114" s="1820">
        <v>43284.133509580002</v>
      </c>
      <c r="I114" s="1821">
        <v>44874.229793338694</v>
      </c>
      <c r="J114" s="1820">
        <v>0</v>
      </c>
      <c r="K114" s="1821">
        <v>0</v>
      </c>
      <c r="L114" s="1820">
        <v>1380.1959922066669</v>
      </c>
      <c r="M114" s="1821">
        <v>19.404682299999997</v>
      </c>
      <c r="N114" s="1820">
        <v>253.41611046161026</v>
      </c>
      <c r="O114" s="1821">
        <v>6240.9385512599774</v>
      </c>
      <c r="P114" s="1813"/>
      <c r="Q114" s="1821"/>
      <c r="R114" s="1820">
        <v>258715.04533443094</v>
      </c>
      <c r="S114" s="1821">
        <v>3092.6929650649358</v>
      </c>
      <c r="T114" s="1820">
        <v>65660.610708471737</v>
      </c>
      <c r="U114" s="1821">
        <v>58874.690496704905</v>
      </c>
      <c r="V114" s="1820">
        <v>76938.867402308926</v>
      </c>
      <c r="W114" s="1814">
        <v>860321.6737901452</v>
      </c>
      <c r="X114" s="1485"/>
      <c r="Y114" s="1177"/>
    </row>
    <row r="115" spans="2:25" ht="15" customHeight="1">
      <c r="B115" s="1491" t="s">
        <v>336</v>
      </c>
      <c r="C115" s="1819">
        <v>1939.6377771240905</v>
      </c>
      <c r="D115" s="1820">
        <v>70204.431582390855</v>
      </c>
      <c r="E115" s="1821">
        <v>144168.02453680549</v>
      </c>
      <c r="F115" s="1820">
        <v>23452.876729104803</v>
      </c>
      <c r="G115" s="1821">
        <v>117033.41692559293</v>
      </c>
      <c r="H115" s="1820">
        <v>26628.790022670008</v>
      </c>
      <c r="I115" s="1821">
        <v>57772.471358759867</v>
      </c>
      <c r="J115" s="1820">
        <v>0</v>
      </c>
      <c r="K115" s="1821">
        <v>0</v>
      </c>
      <c r="L115" s="1820">
        <v>722.54195249999998</v>
      </c>
      <c r="M115" s="1821">
        <v>37.542772499999998</v>
      </c>
      <c r="N115" s="1820">
        <v>252.43751095112003</v>
      </c>
      <c r="O115" s="1821">
        <v>6858.0611800829583</v>
      </c>
      <c r="P115" s="1813"/>
      <c r="Q115" s="1821"/>
      <c r="R115" s="1820">
        <v>305476.78565907123</v>
      </c>
      <c r="S115" s="1821">
        <v>4348.4604035017983</v>
      </c>
      <c r="T115" s="1820">
        <v>53372.280276653968</v>
      </c>
      <c r="U115" s="1821">
        <v>62788.545174398001</v>
      </c>
      <c r="V115" s="1820">
        <v>71414.749993686943</v>
      </c>
      <c r="W115" s="1814">
        <v>946471.05385579402</v>
      </c>
      <c r="X115" s="1485"/>
      <c r="Y115" s="1177"/>
    </row>
    <row r="116" spans="2:25" ht="15" customHeight="1">
      <c r="B116" s="1491" t="s">
        <v>337</v>
      </c>
      <c r="C116" s="1819">
        <v>2397.9419746189051</v>
      </c>
      <c r="D116" s="1820">
        <v>131996.37850290074</v>
      </c>
      <c r="E116" s="1821">
        <v>211837.59328837533</v>
      </c>
      <c r="F116" s="1820">
        <v>31586.611825254939</v>
      </c>
      <c r="G116" s="1821">
        <v>190366.80955394116</v>
      </c>
      <c r="H116" s="1820">
        <v>61757.616835560009</v>
      </c>
      <c r="I116" s="1821">
        <v>64373.907161512288</v>
      </c>
      <c r="J116" s="1820">
        <v>0</v>
      </c>
      <c r="K116" s="1821">
        <v>154.98587960147685</v>
      </c>
      <c r="L116" s="1820">
        <v>1559.1388454900002</v>
      </c>
      <c r="M116" s="1821">
        <v>41.284364568492009</v>
      </c>
      <c r="N116" s="1820">
        <v>289.00209571000005</v>
      </c>
      <c r="O116" s="1821">
        <v>16193.810927667251</v>
      </c>
      <c r="P116" s="1813"/>
      <c r="Q116" s="1821"/>
      <c r="R116" s="1820">
        <v>398048.89833446057</v>
      </c>
      <c r="S116" s="1821">
        <v>4712.74241996607</v>
      </c>
      <c r="T116" s="1820">
        <v>134993.53570206792</v>
      </c>
      <c r="U116" s="1821">
        <v>94851.59609836126</v>
      </c>
      <c r="V116" s="1820">
        <v>111543.84346421619</v>
      </c>
      <c r="W116" s="1814">
        <v>1456705.6972742726</v>
      </c>
      <c r="X116" s="1485"/>
      <c r="Y116" s="1177"/>
    </row>
    <row r="117" spans="2:25" ht="15" customHeight="1">
      <c r="B117" s="1491" t="s">
        <v>338</v>
      </c>
      <c r="C117" s="1819">
        <v>2263.1763931140331</v>
      </c>
      <c r="D117" s="1820">
        <v>127839.16282121562</v>
      </c>
      <c r="E117" s="1821">
        <v>234109.42500986555</v>
      </c>
      <c r="F117" s="1820">
        <v>40937.283730746109</v>
      </c>
      <c r="G117" s="1821">
        <v>219607.38887144244</v>
      </c>
      <c r="H117" s="1820">
        <v>63631.756092960008</v>
      </c>
      <c r="I117" s="1821">
        <v>83690.43910506666</v>
      </c>
      <c r="J117" s="1820">
        <v>0</v>
      </c>
      <c r="K117" s="1821">
        <v>653.9703741072268</v>
      </c>
      <c r="L117" s="1820">
        <v>2159.1247677299998</v>
      </c>
      <c r="M117" s="1821">
        <v>61.198202936766002</v>
      </c>
      <c r="N117" s="1820">
        <v>226.2872584095756</v>
      </c>
      <c r="O117" s="1821">
        <v>13888.603841842436</v>
      </c>
      <c r="P117" s="1813"/>
      <c r="Q117" s="1821"/>
      <c r="R117" s="1820">
        <v>478163.38228794228</v>
      </c>
      <c r="S117" s="1821">
        <v>8954.4588463195651</v>
      </c>
      <c r="T117" s="1820">
        <v>169511.81321968534</v>
      </c>
      <c r="U117" s="1821">
        <v>110528.08554274644</v>
      </c>
      <c r="V117" s="1820">
        <v>168440.53526658445</v>
      </c>
      <c r="W117" s="1814">
        <v>1724666.0916327145</v>
      </c>
      <c r="X117" s="1485"/>
      <c r="Y117" s="1177"/>
    </row>
    <row r="118" spans="2:25" ht="15" customHeight="1">
      <c r="B118" s="1491" t="s">
        <v>339</v>
      </c>
      <c r="C118" s="1819">
        <v>1578.4688078899994</v>
      </c>
      <c r="D118" s="1820">
        <v>147217.73985726965</v>
      </c>
      <c r="E118" s="1821">
        <v>284912.88521211175</v>
      </c>
      <c r="F118" s="1820">
        <v>34334.128387934717</v>
      </c>
      <c r="G118" s="1821">
        <v>202815.27966846488</v>
      </c>
      <c r="H118" s="1820">
        <v>41246.784758129987</v>
      </c>
      <c r="I118" s="1821">
        <v>86971.631476500246</v>
      </c>
      <c r="J118" s="1820">
        <v>0</v>
      </c>
      <c r="K118" s="1821">
        <v>394.33852300000001</v>
      </c>
      <c r="L118" s="1820">
        <v>1852.13517727</v>
      </c>
      <c r="M118" s="1821">
        <v>100.65072755822</v>
      </c>
      <c r="N118" s="1820">
        <v>349.67575122000005</v>
      </c>
      <c r="O118" s="1821">
        <v>22516.209554838413</v>
      </c>
      <c r="P118" s="1813"/>
      <c r="Q118" s="1821"/>
      <c r="R118" s="1820">
        <v>556692.12344577012</v>
      </c>
      <c r="S118" s="1821">
        <v>9737.9194693883492</v>
      </c>
      <c r="T118" s="1820">
        <v>144090.1811648419</v>
      </c>
      <c r="U118" s="1821">
        <v>129869.54508089776</v>
      </c>
      <c r="V118" s="1820">
        <v>192524.31972921963</v>
      </c>
      <c r="W118" s="1814">
        <v>1857204.0167923057</v>
      </c>
      <c r="X118" s="1485"/>
      <c r="Y118" s="1177"/>
    </row>
    <row r="119" spans="2:25" ht="15" customHeight="1">
      <c r="B119" s="1491" t="s">
        <v>340</v>
      </c>
      <c r="C119" s="1819">
        <v>1630.7001030632325</v>
      </c>
      <c r="D119" s="1820">
        <v>247190.4610274694</v>
      </c>
      <c r="E119" s="1821">
        <v>377078.79701928882</v>
      </c>
      <c r="F119" s="1820">
        <v>64650.961702780573</v>
      </c>
      <c r="G119" s="1821">
        <v>273181.97489546973</v>
      </c>
      <c r="H119" s="1820">
        <v>29186.585179160003</v>
      </c>
      <c r="I119" s="1821">
        <v>95346.120394156736</v>
      </c>
      <c r="J119" s="1820">
        <v>0</v>
      </c>
      <c r="K119" s="1821">
        <v>330.11547745688819</v>
      </c>
      <c r="L119" s="1820">
        <v>3556.9649155833999</v>
      </c>
      <c r="M119" s="1821">
        <v>113.49851120000001</v>
      </c>
      <c r="N119" s="1820">
        <v>287.14108635999997</v>
      </c>
      <c r="O119" s="1821">
        <v>26564.567954420003</v>
      </c>
      <c r="P119" s="1813"/>
      <c r="Q119" s="1821"/>
      <c r="R119" s="1820">
        <v>681253.30216406472</v>
      </c>
      <c r="S119" s="1821">
        <v>11493.923359576569</v>
      </c>
      <c r="T119" s="1820">
        <v>167029.36119618389</v>
      </c>
      <c r="U119" s="1821">
        <v>238442.98372474522</v>
      </c>
      <c r="V119" s="1820">
        <v>194745.11170523489</v>
      </c>
      <c r="W119" s="1814">
        <v>2412082.5704162144</v>
      </c>
      <c r="X119" s="1485"/>
      <c r="Y119" s="1177"/>
    </row>
    <row r="120" spans="2:25" ht="15" customHeight="1">
      <c r="B120" s="1491" t="s">
        <v>341</v>
      </c>
      <c r="C120" s="1819">
        <v>1791.7051382482887</v>
      </c>
      <c r="D120" s="1820">
        <v>270594.59201313939</v>
      </c>
      <c r="E120" s="1821">
        <v>465301.30605625233</v>
      </c>
      <c r="F120" s="1820">
        <v>68020.951977247765</v>
      </c>
      <c r="G120" s="1821">
        <v>370323.6933022787</v>
      </c>
      <c r="H120" s="1820">
        <v>18184.962520370002</v>
      </c>
      <c r="I120" s="1821">
        <v>134414.52876185905</v>
      </c>
      <c r="J120" s="1820">
        <v>0</v>
      </c>
      <c r="K120" s="1821">
        <v>267.40193317645264</v>
      </c>
      <c r="L120" s="1820">
        <v>4916.5618059406988</v>
      </c>
      <c r="M120" s="1821">
        <v>115.1094597</v>
      </c>
      <c r="N120" s="1820">
        <v>306.32840900261357</v>
      </c>
      <c r="O120" s="1821">
        <v>21773.497588873524</v>
      </c>
      <c r="P120" s="1813"/>
      <c r="Q120" s="1821"/>
      <c r="R120" s="1820">
        <v>806774.23557594419</v>
      </c>
      <c r="S120" s="1821">
        <v>12680.887991549351</v>
      </c>
      <c r="T120" s="1820">
        <v>146133.1444940996</v>
      </c>
      <c r="U120" s="1821">
        <v>215417.6822864222</v>
      </c>
      <c r="V120" s="1820">
        <v>219933.24247723789</v>
      </c>
      <c r="W120" s="1814">
        <v>2756949.8317913422</v>
      </c>
      <c r="X120" s="1485"/>
      <c r="Y120" s="1177"/>
    </row>
    <row r="121" spans="2:25" ht="15" customHeight="1">
      <c r="B121" s="1491" t="s">
        <v>342</v>
      </c>
      <c r="C121" s="1819">
        <v>1704.7944872442752</v>
      </c>
      <c r="D121" s="1820">
        <v>281204.64074243471</v>
      </c>
      <c r="E121" s="1821">
        <v>480106.4858172462</v>
      </c>
      <c r="F121" s="1820">
        <v>94573.077774024845</v>
      </c>
      <c r="G121" s="1821">
        <v>343440.15286715695</v>
      </c>
      <c r="H121" s="1820">
        <v>22895.348504960002</v>
      </c>
      <c r="I121" s="1821">
        <v>136939.74262073485</v>
      </c>
      <c r="J121" s="1820">
        <v>0</v>
      </c>
      <c r="K121" s="1821">
        <v>204.68838890601705</v>
      </c>
      <c r="L121" s="1820">
        <v>2201.5510440477001</v>
      </c>
      <c r="M121" s="1821">
        <v>116.47825534</v>
      </c>
      <c r="N121" s="1820">
        <v>341.96251995999995</v>
      </c>
      <c r="O121" s="1821">
        <v>22935.502964290001</v>
      </c>
      <c r="P121" s="1813"/>
      <c r="Q121" s="1821"/>
      <c r="R121" s="1820">
        <v>852069.3905170958</v>
      </c>
      <c r="S121" s="1821">
        <v>15525.654940722296</v>
      </c>
      <c r="T121" s="1820">
        <v>165306.91130408176</v>
      </c>
      <c r="U121" s="1821">
        <v>232188.99373359649</v>
      </c>
      <c r="V121" s="1820">
        <v>245924.22235049205</v>
      </c>
      <c r="W121" s="1814">
        <v>2897679.5988323344</v>
      </c>
      <c r="X121" s="1485"/>
      <c r="Y121" s="1177"/>
    </row>
    <row r="122" spans="2:25" ht="15" customHeight="1">
      <c r="B122" s="1491" t="s">
        <v>343</v>
      </c>
      <c r="C122" s="1819">
        <v>1644.946493183382</v>
      </c>
      <c r="D122" s="1820">
        <v>259109.17966897413</v>
      </c>
      <c r="E122" s="1821">
        <v>533438.97498324153</v>
      </c>
      <c r="F122" s="1820">
        <v>101870.32390121254</v>
      </c>
      <c r="G122" s="1821">
        <v>299715.00847402925</v>
      </c>
      <c r="H122" s="1820">
        <v>17089.042240839997</v>
      </c>
      <c r="I122" s="1821">
        <v>180534.43845062522</v>
      </c>
      <c r="J122" s="1820">
        <v>0</v>
      </c>
      <c r="K122" s="1821">
        <v>141.97484462558151</v>
      </c>
      <c r="L122" s="1820">
        <v>2292.2803159189002</v>
      </c>
      <c r="M122" s="1821">
        <v>119.52908927321606</v>
      </c>
      <c r="N122" s="1820">
        <v>303.55207663000004</v>
      </c>
      <c r="O122" s="1821">
        <v>22178.734018182935</v>
      </c>
      <c r="P122" s="1813"/>
      <c r="Q122" s="1821"/>
      <c r="R122" s="1820">
        <v>960814.76683856198</v>
      </c>
      <c r="S122" s="1821">
        <v>15450.385109855686</v>
      </c>
      <c r="T122" s="1820">
        <v>170944.78287996483</v>
      </c>
      <c r="U122" s="1821">
        <v>196338.19066977958</v>
      </c>
      <c r="V122" s="1820">
        <v>250551.18658736383</v>
      </c>
      <c r="W122" s="1814">
        <v>3012537.2966422625</v>
      </c>
      <c r="X122" s="1485"/>
      <c r="Y122" s="1177"/>
    </row>
    <row r="123" spans="2:25" ht="15" customHeight="1">
      <c r="B123" s="1491" t="s">
        <v>344</v>
      </c>
      <c r="C123" s="1819">
        <v>1778.7102312906452</v>
      </c>
      <c r="D123" s="1820">
        <v>263863.64921704103</v>
      </c>
      <c r="E123" s="1821">
        <v>603136.2554430603</v>
      </c>
      <c r="F123" s="1820">
        <v>110935.76751831143</v>
      </c>
      <c r="G123" s="1821">
        <v>299087.30483350047</v>
      </c>
      <c r="H123" s="1820">
        <v>7965.3691739500027</v>
      </c>
      <c r="I123" s="1821">
        <v>266725.4097120174</v>
      </c>
      <c r="J123" s="1820">
        <v>0</v>
      </c>
      <c r="K123" s="1821">
        <v>79.261300355145934</v>
      </c>
      <c r="L123" s="1820">
        <v>3887.7785799991198</v>
      </c>
      <c r="M123" s="1821">
        <v>114.4213855</v>
      </c>
      <c r="N123" s="1820">
        <v>282.61313368221187</v>
      </c>
      <c r="O123" s="1821">
        <v>30272.250805210268</v>
      </c>
      <c r="P123" s="1813"/>
      <c r="Q123" s="1821"/>
      <c r="R123" s="1820">
        <v>1066654.1224070794</v>
      </c>
      <c r="S123" s="1821">
        <v>16130.628132130072</v>
      </c>
      <c r="T123" s="1820">
        <v>159126.15509109088</v>
      </c>
      <c r="U123" s="1821">
        <v>189560.01184005965</v>
      </c>
      <c r="V123" s="1820">
        <v>344235.09845620283</v>
      </c>
      <c r="W123" s="1814">
        <v>3363834.8072604816</v>
      </c>
      <c r="X123" s="1485"/>
      <c r="Y123" s="1177"/>
    </row>
    <row r="124" spans="2:25" ht="15" customHeight="1">
      <c r="B124" s="1791"/>
      <c r="C124" s="1819"/>
      <c r="D124" s="1822"/>
      <c r="E124" s="1821"/>
      <c r="F124" s="1822"/>
      <c r="G124" s="1821"/>
      <c r="H124" s="1822"/>
      <c r="I124" s="1821"/>
      <c r="J124" s="1822"/>
      <c r="K124" s="1821"/>
      <c r="L124" s="1822"/>
      <c r="M124" s="1821"/>
      <c r="N124" s="1822"/>
      <c r="O124" s="1821"/>
      <c r="P124" s="1813"/>
      <c r="Q124" s="1821"/>
      <c r="R124" s="1822"/>
      <c r="S124" s="1821"/>
      <c r="T124" s="1822"/>
      <c r="U124" s="1821"/>
      <c r="V124" s="1822"/>
      <c r="W124" s="1823"/>
      <c r="X124" s="1485"/>
      <c r="Y124" s="1177"/>
    </row>
    <row r="125" spans="2:25" ht="15" customHeight="1">
      <c r="B125" s="1491">
        <v>2023</v>
      </c>
      <c r="C125" s="1819"/>
      <c r="D125" s="1820"/>
      <c r="E125" s="1821"/>
      <c r="F125" s="1820"/>
      <c r="G125" s="1821"/>
      <c r="H125" s="1820"/>
      <c r="I125" s="1821"/>
      <c r="J125" s="1820"/>
      <c r="K125" s="1821"/>
      <c r="L125" s="1820"/>
      <c r="M125" s="1821"/>
      <c r="N125" s="1820"/>
      <c r="O125" s="1821"/>
      <c r="P125" s="1813"/>
      <c r="Q125" s="1821"/>
      <c r="R125" s="1820"/>
      <c r="S125" s="1821"/>
      <c r="T125" s="1820"/>
      <c r="U125" s="1821"/>
      <c r="V125" s="1820"/>
      <c r="W125" s="1814"/>
      <c r="X125" s="1485"/>
      <c r="Y125" s="1177"/>
    </row>
    <row r="126" spans="2:25" ht="15" customHeight="1">
      <c r="B126" s="1491" t="s">
        <v>345</v>
      </c>
      <c r="C126" s="1819">
        <v>2391.6149004362064</v>
      </c>
      <c r="D126" s="1820">
        <v>340953.55880302883</v>
      </c>
      <c r="E126" s="1821">
        <v>654740.29125693778</v>
      </c>
      <c r="F126" s="1820">
        <v>143455.70010078594</v>
      </c>
      <c r="G126" s="1821">
        <v>335380.17299358768</v>
      </c>
      <c r="H126" s="1820">
        <v>-1443.5860772599999</v>
      </c>
      <c r="I126" s="1821">
        <v>301026.07244907838</v>
      </c>
      <c r="J126" s="1820">
        <v>0</v>
      </c>
      <c r="K126" s="1821">
        <v>105.96978205016121</v>
      </c>
      <c r="L126" s="1820">
        <v>4873.8655214999999</v>
      </c>
      <c r="M126" s="1821">
        <v>228.45056879000003</v>
      </c>
      <c r="N126" s="1820">
        <v>251.23962037999999</v>
      </c>
      <c r="O126" s="1821">
        <v>44113.168018008837</v>
      </c>
      <c r="P126" s="1813"/>
      <c r="Q126" s="1821"/>
      <c r="R126" s="1820">
        <v>1307512.9781039935</v>
      </c>
      <c r="S126" s="1821">
        <v>17767.700889651045</v>
      </c>
      <c r="T126" s="1820">
        <v>227545.42016788959</v>
      </c>
      <c r="U126" s="1821">
        <v>204830.77526576089</v>
      </c>
      <c r="V126" s="1820">
        <v>374080.77085236373</v>
      </c>
      <c r="W126" s="1814">
        <v>3957814.1632169825</v>
      </c>
      <c r="X126" s="1485"/>
      <c r="Y126" s="1177"/>
    </row>
    <row r="127" spans="2:25" ht="15" customHeight="1">
      <c r="B127" s="1491" t="s">
        <v>334</v>
      </c>
      <c r="C127" s="1819">
        <v>1470.5622784711395</v>
      </c>
      <c r="D127" s="1820">
        <v>366544.7095794229</v>
      </c>
      <c r="E127" s="1821">
        <v>691937.49396511959</v>
      </c>
      <c r="F127" s="1820">
        <v>71097.364710048379</v>
      </c>
      <c r="G127" s="1821">
        <v>452795.43416961964</v>
      </c>
      <c r="H127" s="1820">
        <v>21074.53057703</v>
      </c>
      <c r="I127" s="1821">
        <v>306913.92234566994</v>
      </c>
      <c r="J127" s="1820">
        <v>0</v>
      </c>
      <c r="K127" s="1821">
        <v>50.018739649401311</v>
      </c>
      <c r="L127" s="1820">
        <v>1524.980729290812</v>
      </c>
      <c r="M127" s="1821">
        <v>318.96404699999999</v>
      </c>
      <c r="N127" s="1820">
        <v>197.44224919192501</v>
      </c>
      <c r="O127" s="1821">
        <v>44691.500903260727</v>
      </c>
      <c r="P127" s="1813"/>
      <c r="Q127" s="1821"/>
      <c r="R127" s="1820">
        <v>1481851.0523169737</v>
      </c>
      <c r="S127" s="1821">
        <v>18037.177195053453</v>
      </c>
      <c r="T127" s="1820">
        <v>226932.95913623212</v>
      </c>
      <c r="U127" s="1821">
        <v>224983.29084948084</v>
      </c>
      <c r="V127" s="1820">
        <v>411002.80214189226</v>
      </c>
      <c r="W127" s="1814">
        <v>4321424.2059334069</v>
      </c>
      <c r="X127" s="1485"/>
      <c r="Y127" s="1177"/>
    </row>
    <row r="128" spans="2:25" ht="15" customHeight="1">
      <c r="B128" s="1491" t="s">
        <v>335</v>
      </c>
      <c r="C128" s="1819">
        <v>1771.9808636594155</v>
      </c>
      <c r="D128" s="1820">
        <v>344570.46388161875</v>
      </c>
      <c r="E128" s="1821">
        <v>755463.34445648559</v>
      </c>
      <c r="F128" s="1820">
        <v>103284.07366123205</v>
      </c>
      <c r="G128" s="1821">
        <v>478333.20744031935</v>
      </c>
      <c r="H128" s="1820">
        <v>41928.662164590009</v>
      </c>
      <c r="I128" s="1821">
        <v>330669.67833065527</v>
      </c>
      <c r="J128" s="1820">
        <v>0</v>
      </c>
      <c r="K128" s="1821">
        <v>0</v>
      </c>
      <c r="L128" s="1820">
        <v>3884.1107546200001</v>
      </c>
      <c r="M128" s="1821">
        <v>432.21664287065988</v>
      </c>
      <c r="N128" s="1820">
        <v>149.77775204546617</v>
      </c>
      <c r="O128" s="1821">
        <v>48725.376949414494</v>
      </c>
      <c r="P128" s="1813"/>
      <c r="Q128" s="1821"/>
      <c r="R128" s="1820">
        <v>1679284.888643469</v>
      </c>
      <c r="S128" s="1821">
        <v>28439.55939120636</v>
      </c>
      <c r="T128" s="1820">
        <v>554840.85367978422</v>
      </c>
      <c r="U128" s="1821">
        <v>254605.57180181719</v>
      </c>
      <c r="V128" s="1820">
        <v>438790.16990672442</v>
      </c>
      <c r="W128" s="1814">
        <v>5065173.9363205126</v>
      </c>
      <c r="X128" s="1485"/>
      <c r="Y128" s="1177"/>
    </row>
    <row r="129" spans="2:25" ht="15" customHeight="1">
      <c r="B129" s="1491" t="s">
        <v>336</v>
      </c>
      <c r="C129" s="1819">
        <v>1631.2413715477373</v>
      </c>
      <c r="D129" s="1820">
        <v>388822.82519288594</v>
      </c>
      <c r="E129" s="1821">
        <v>903029.49269236519</v>
      </c>
      <c r="F129" s="1820">
        <v>144252.30650455129</v>
      </c>
      <c r="G129" s="1821">
        <v>555886.9244346671</v>
      </c>
      <c r="H129" s="1820">
        <v>32206.950130279998</v>
      </c>
      <c r="I129" s="1821">
        <v>361846.09435607039</v>
      </c>
      <c r="J129" s="1820">
        <v>0</v>
      </c>
      <c r="K129" s="1821">
        <v>0</v>
      </c>
      <c r="L129" s="1820">
        <v>8716.4506682926167</v>
      </c>
      <c r="M129" s="1821">
        <v>559.82201921708986</v>
      </c>
      <c r="N129" s="1820">
        <v>99.27638752277899</v>
      </c>
      <c r="O129" s="1821">
        <v>54058.394867328461</v>
      </c>
      <c r="P129" s="1813"/>
      <c r="Q129" s="1821"/>
      <c r="R129" s="1820">
        <v>1722384.3961776805</v>
      </c>
      <c r="S129" s="1821">
        <v>28899.911090768674</v>
      </c>
      <c r="T129" s="1820">
        <v>214270.9218597055</v>
      </c>
      <c r="U129" s="1821">
        <v>321765.39403225976</v>
      </c>
      <c r="V129" s="1820">
        <v>476263.19308081886</v>
      </c>
      <c r="W129" s="1814">
        <v>5214693.5948659629</v>
      </c>
      <c r="X129" s="1485"/>
      <c r="Y129" s="1177"/>
    </row>
    <row r="130" spans="2:25" ht="15" customHeight="1">
      <c r="B130" s="1491" t="s">
        <v>337</v>
      </c>
      <c r="C130" s="1819">
        <v>1010.2595500906111</v>
      </c>
      <c r="D130" s="1820">
        <v>907818.70212973421</v>
      </c>
      <c r="E130" s="1821">
        <v>1932225.5691353555</v>
      </c>
      <c r="F130" s="1820">
        <v>281052.93405965797</v>
      </c>
      <c r="G130" s="1821">
        <v>1351116.9685417551</v>
      </c>
      <c r="H130" s="1820">
        <v>84147.316984850011</v>
      </c>
      <c r="I130" s="1821">
        <v>570367.60105044488</v>
      </c>
      <c r="J130" s="1820">
        <v>0</v>
      </c>
      <c r="K130" s="1821">
        <v>0</v>
      </c>
      <c r="L130" s="1820">
        <v>8974.7760034183684</v>
      </c>
      <c r="M130" s="1821">
        <v>4599.1457996600002</v>
      </c>
      <c r="N130" s="1820">
        <v>80.342619819999996</v>
      </c>
      <c r="O130" s="1821">
        <v>112188.05941304998</v>
      </c>
      <c r="P130" s="1813"/>
      <c r="Q130" s="1821"/>
      <c r="R130" s="1820">
        <v>3844133.7975071366</v>
      </c>
      <c r="S130" s="1821">
        <v>65696.389755148819</v>
      </c>
      <c r="T130" s="1820">
        <v>607438.10487165593</v>
      </c>
      <c r="U130" s="1821">
        <v>669908.72150323796</v>
      </c>
      <c r="V130" s="1820">
        <v>758154.16550862696</v>
      </c>
      <c r="W130" s="1814">
        <v>11198912.854433645</v>
      </c>
      <c r="X130" s="1485"/>
      <c r="Y130" s="1177"/>
    </row>
    <row r="131" spans="2:25" ht="15" customHeight="1">
      <c r="B131" s="1491" t="s">
        <v>338</v>
      </c>
      <c r="C131" s="1819">
        <v>1762.1112236646738</v>
      </c>
      <c r="D131" s="1820">
        <v>1979000.7072983054</v>
      </c>
      <c r="E131" s="1821">
        <v>4218755.039468254</v>
      </c>
      <c r="F131" s="1820">
        <v>444538.08648257022</v>
      </c>
      <c r="G131" s="1821">
        <v>2584596.6311290804</v>
      </c>
      <c r="H131" s="1820">
        <v>350042.51354422997</v>
      </c>
      <c r="I131" s="1821">
        <v>865465.54633274372</v>
      </c>
      <c r="J131" s="1820">
        <v>0</v>
      </c>
      <c r="K131" s="1821">
        <v>0</v>
      </c>
      <c r="L131" s="1820">
        <v>221.09327662999999</v>
      </c>
      <c r="M131" s="1821">
        <v>10133.464695677814</v>
      </c>
      <c r="N131" s="1820">
        <v>8052.3377347450942</v>
      </c>
      <c r="O131" s="1821">
        <v>260946.25544356043</v>
      </c>
      <c r="P131" s="1813"/>
      <c r="Q131" s="1821"/>
      <c r="R131" s="1820">
        <v>8487837.6253010612</v>
      </c>
      <c r="S131" s="1821">
        <v>92224.257157756612</v>
      </c>
      <c r="T131" s="1820">
        <v>1390786.2407733677</v>
      </c>
      <c r="U131" s="1821">
        <v>1304228.9213678169</v>
      </c>
      <c r="V131" s="1820">
        <v>2222499.3784362613</v>
      </c>
      <c r="W131" s="1814">
        <v>24221090.209665727</v>
      </c>
      <c r="X131" s="1485"/>
      <c r="Y131" s="1177"/>
    </row>
    <row r="132" spans="2:25" ht="15" customHeight="1">
      <c r="B132" s="1491" t="s">
        <v>339</v>
      </c>
      <c r="C132" s="1819">
        <v>1305.1261824052137</v>
      </c>
      <c r="D132" s="1820">
        <v>1428604.0174678916</v>
      </c>
      <c r="E132" s="1821">
        <v>3898282.5341096502</v>
      </c>
      <c r="F132" s="1820">
        <v>359151.14737005159</v>
      </c>
      <c r="G132" s="1821">
        <v>2646743.264225821</v>
      </c>
      <c r="H132" s="1820">
        <v>337541.82018986001</v>
      </c>
      <c r="I132" s="1821">
        <v>1133463.1350955747</v>
      </c>
      <c r="J132" s="1820">
        <v>0</v>
      </c>
      <c r="K132" s="1821">
        <v>0</v>
      </c>
      <c r="L132" s="1820">
        <v>153.30378066</v>
      </c>
      <c r="M132" s="1821">
        <v>7368.0914686466995</v>
      </c>
      <c r="N132" s="1820">
        <v>68.073167202966005</v>
      </c>
      <c r="O132" s="1821">
        <v>208253.69846341241</v>
      </c>
      <c r="P132" s="1813"/>
      <c r="Q132" s="1821"/>
      <c r="R132" s="1820">
        <v>6917007.2968457909</v>
      </c>
      <c r="S132" s="1821">
        <v>129308.57655165116</v>
      </c>
      <c r="T132" s="1820">
        <v>829382.28117128788</v>
      </c>
      <c r="U132" s="1821">
        <v>1155945.5688387086</v>
      </c>
      <c r="V132" s="1820">
        <v>2438538.2004563962</v>
      </c>
      <c r="W132" s="1814">
        <v>21491116.13538501</v>
      </c>
      <c r="X132" s="1485"/>
      <c r="Y132" s="1177"/>
    </row>
    <row r="133" spans="2:25" ht="15" customHeight="1">
      <c r="B133" s="1491" t="s">
        <v>340</v>
      </c>
      <c r="C133" s="1819">
        <v>1664.0886591650142</v>
      </c>
      <c r="D133" s="1820">
        <v>1370651.8119350146</v>
      </c>
      <c r="E133" s="1821">
        <v>4309693.7429858539</v>
      </c>
      <c r="F133" s="1820">
        <v>391792.23147294839</v>
      </c>
      <c r="G133" s="1821">
        <v>2693989.0608716947</v>
      </c>
      <c r="H133" s="1820">
        <v>208098.88081963998</v>
      </c>
      <c r="I133" s="1821">
        <v>1084784.899638522</v>
      </c>
      <c r="J133" s="1820">
        <v>0</v>
      </c>
      <c r="K133" s="1821">
        <v>0</v>
      </c>
      <c r="L133" s="1820">
        <v>138.30378066</v>
      </c>
      <c r="M133" s="1821">
        <v>7469.94902525</v>
      </c>
      <c r="N133" s="1820">
        <v>75.802837230978994</v>
      </c>
      <c r="O133" s="1821">
        <v>205341.46866560847</v>
      </c>
      <c r="P133" s="1813"/>
      <c r="Q133" s="1821"/>
      <c r="R133" s="1820">
        <v>6863348.1356066559</v>
      </c>
      <c r="S133" s="1821">
        <v>127816.15852227114</v>
      </c>
      <c r="T133" s="1820">
        <v>701626.16017322114</v>
      </c>
      <c r="U133" s="1821">
        <v>1081800.0945233218</v>
      </c>
      <c r="V133" s="1820">
        <v>2446465.0186283696</v>
      </c>
      <c r="W133" s="1814">
        <v>21494755.808145426</v>
      </c>
      <c r="X133" s="1485"/>
      <c r="Y133" s="1177"/>
    </row>
    <row r="134" spans="2:25" ht="15" customHeight="1">
      <c r="B134" s="1491" t="s">
        <v>341</v>
      </c>
      <c r="C134" s="1819">
        <v>1503.5636137505051</v>
      </c>
      <c r="D134" s="1820">
        <v>1763364.327574119</v>
      </c>
      <c r="E134" s="1821">
        <v>4914305.5549943065</v>
      </c>
      <c r="F134" s="1820">
        <v>517813.91540594224</v>
      </c>
      <c r="G134" s="1821">
        <v>2760807.7794490578</v>
      </c>
      <c r="H134" s="1820">
        <v>247094.60292695003</v>
      </c>
      <c r="I134" s="1821">
        <v>1204684.1443274415</v>
      </c>
      <c r="J134" s="1820">
        <v>0</v>
      </c>
      <c r="K134" s="1821">
        <v>0</v>
      </c>
      <c r="L134" s="1820">
        <v>9.7519893199999999</v>
      </c>
      <c r="M134" s="1821">
        <v>9935.8170872600003</v>
      </c>
      <c r="N134" s="1820">
        <v>92.048539032444296</v>
      </c>
      <c r="O134" s="1821">
        <v>219878.94425660762</v>
      </c>
      <c r="P134" s="1813"/>
      <c r="Q134" s="1821"/>
      <c r="R134" s="1820">
        <v>8245053.8019276187</v>
      </c>
      <c r="S134" s="1821">
        <v>151685.42542113116</v>
      </c>
      <c r="T134" s="1820">
        <v>776997.56805391016</v>
      </c>
      <c r="U134" s="1821">
        <v>1312147.7839830734</v>
      </c>
      <c r="V134" s="1820">
        <v>2668520.8078733915</v>
      </c>
      <c r="W134" s="1814">
        <v>24793895.837422911</v>
      </c>
      <c r="X134" s="1485"/>
      <c r="Y134" s="1177"/>
    </row>
    <row r="135" spans="2:25" ht="16.5">
      <c r="B135" s="1491" t="s">
        <v>342</v>
      </c>
      <c r="C135" s="1819">
        <v>1977.1836614166361</v>
      </c>
      <c r="D135" s="1820">
        <v>2059471.8469958128</v>
      </c>
      <c r="E135" s="1821">
        <v>5625069.6996149169</v>
      </c>
      <c r="F135" s="1820">
        <v>562790.91210492491</v>
      </c>
      <c r="G135" s="1821">
        <v>2202475.2090037372</v>
      </c>
      <c r="H135" s="1820">
        <v>175235.9359974</v>
      </c>
      <c r="I135" s="1821">
        <v>1172130.2188130606</v>
      </c>
      <c r="J135" s="1820">
        <v>0</v>
      </c>
      <c r="K135" s="1821">
        <v>0</v>
      </c>
      <c r="L135" s="1820">
        <v>2.6498270000000001E-2</v>
      </c>
      <c r="M135" s="1821">
        <v>10816.829856750001</v>
      </c>
      <c r="N135" s="1820">
        <v>98.056557489999989</v>
      </c>
      <c r="O135" s="1821">
        <v>237525.73050400038</v>
      </c>
      <c r="P135" s="1813"/>
      <c r="Q135" s="1821"/>
      <c r="R135" s="1820">
        <v>8864363.0864202976</v>
      </c>
      <c r="S135" s="1821">
        <v>153534.69715768116</v>
      </c>
      <c r="T135" s="1820">
        <v>958746.41672140756</v>
      </c>
      <c r="U135" s="1821">
        <v>1351846.5388005078</v>
      </c>
      <c r="V135" s="1820">
        <v>2767099.332923051</v>
      </c>
      <c r="W135" s="1814">
        <v>26143181.721630722</v>
      </c>
      <c r="X135" s="1485"/>
      <c r="Y135" s="1177"/>
    </row>
    <row r="136" spans="2:25" ht="16.5">
      <c r="B136" s="1491" t="s">
        <v>343</v>
      </c>
      <c r="C136" s="1819">
        <v>2295.1757738442461</v>
      </c>
      <c r="D136" s="1820">
        <v>2278921.9149086555</v>
      </c>
      <c r="E136" s="1821">
        <v>5913094.1545570465</v>
      </c>
      <c r="F136" s="1820">
        <v>568556.41012143344</v>
      </c>
      <c r="G136" s="1821">
        <v>2451980.9959827298</v>
      </c>
      <c r="H136" s="1820">
        <v>180229.24866535998</v>
      </c>
      <c r="I136" s="1821">
        <v>1337040.4041294185</v>
      </c>
      <c r="J136" s="1820">
        <v>0</v>
      </c>
      <c r="K136" s="1821">
        <v>0</v>
      </c>
      <c r="L136" s="1820">
        <v>2.6498270000000001E-2</v>
      </c>
      <c r="M136" s="1821">
        <v>10921.42312709</v>
      </c>
      <c r="N136" s="1820">
        <v>59.769231070000004</v>
      </c>
      <c r="O136" s="1821">
        <v>238702.2967038207</v>
      </c>
      <c r="P136" s="1813"/>
      <c r="Q136" s="1821"/>
      <c r="R136" s="1820">
        <v>9040518.079625655</v>
      </c>
      <c r="S136" s="1821">
        <v>158702.10589507117</v>
      </c>
      <c r="T136" s="1820">
        <v>1046256.9788259927</v>
      </c>
      <c r="U136" s="1821">
        <v>1702370.263082443</v>
      </c>
      <c r="V136" s="1820">
        <v>2868031.9839079245</v>
      </c>
      <c r="W136" s="1814">
        <v>27797681.231035829</v>
      </c>
      <c r="X136" s="1485"/>
      <c r="Y136" s="1177"/>
    </row>
    <row r="137" spans="2:25" ht="16.5">
      <c r="B137" s="1491" t="s">
        <v>344</v>
      </c>
      <c r="C137" s="1819">
        <v>2947.4889712726972</v>
      </c>
      <c r="D137" s="1820">
        <v>2536437.9730244433</v>
      </c>
      <c r="E137" s="1821">
        <v>5489443.2417981327</v>
      </c>
      <c r="F137" s="1820">
        <v>657432.62609824864</v>
      </c>
      <c r="G137" s="1821">
        <v>2268702.9554290939</v>
      </c>
      <c r="H137" s="1820">
        <v>155742.88185364002</v>
      </c>
      <c r="I137" s="1821">
        <v>2420663.3919547359</v>
      </c>
      <c r="J137" s="1820">
        <v>0</v>
      </c>
      <c r="K137" s="1821">
        <v>0</v>
      </c>
      <c r="L137" s="1820">
        <v>2.6498270000000001E-2</v>
      </c>
      <c r="M137" s="1821">
        <v>12324.586830380002</v>
      </c>
      <c r="N137" s="1820">
        <v>73.453852549999993</v>
      </c>
      <c r="O137" s="1821">
        <v>248699.7949469772</v>
      </c>
      <c r="P137" s="1813"/>
      <c r="Q137" s="1821"/>
      <c r="R137" s="1820">
        <v>9507281.4557701051</v>
      </c>
      <c r="S137" s="1821">
        <v>255007.08253472051</v>
      </c>
      <c r="T137" s="1820">
        <v>1184706.9128205332</v>
      </c>
      <c r="U137" s="1821">
        <v>1748495.9777242732</v>
      </c>
      <c r="V137" s="1820">
        <v>3349062.3104440966</v>
      </c>
      <c r="W137" s="1814">
        <v>29837022.16055147</v>
      </c>
      <c r="X137" s="1485"/>
      <c r="Y137" s="1177"/>
    </row>
    <row r="138" spans="2:25" ht="16.5">
      <c r="B138" s="1791"/>
      <c r="C138" s="1819"/>
      <c r="D138" s="1822"/>
      <c r="E138" s="1821"/>
      <c r="F138" s="1822"/>
      <c r="G138" s="1821"/>
      <c r="H138" s="1822"/>
      <c r="I138" s="1821"/>
      <c r="J138" s="1822"/>
      <c r="K138" s="1821"/>
      <c r="L138" s="1822"/>
      <c r="M138" s="1821"/>
      <c r="N138" s="1822"/>
      <c r="O138" s="1821"/>
      <c r="P138" s="1813"/>
      <c r="Q138" s="1821"/>
      <c r="R138" s="1822"/>
      <c r="S138" s="1821"/>
      <c r="T138" s="1822"/>
      <c r="U138" s="1821"/>
      <c r="V138" s="1822"/>
      <c r="W138" s="1823"/>
      <c r="X138" s="1485"/>
      <c r="Y138" s="1177"/>
    </row>
    <row r="139" spans="2:25" ht="16.5">
      <c r="B139" s="1491">
        <v>2024</v>
      </c>
      <c r="C139" s="1819"/>
      <c r="D139" s="1822"/>
      <c r="E139" s="1821"/>
      <c r="F139" s="1822"/>
      <c r="G139" s="1821"/>
      <c r="H139" s="1822"/>
      <c r="I139" s="1821"/>
      <c r="J139" s="1822"/>
      <c r="K139" s="1821"/>
      <c r="L139" s="1822"/>
      <c r="M139" s="1821"/>
      <c r="N139" s="1822"/>
      <c r="O139" s="1821"/>
      <c r="P139" s="1813"/>
      <c r="Q139" s="1821"/>
      <c r="R139" s="1822"/>
      <c r="S139" s="1821"/>
      <c r="T139" s="1822"/>
      <c r="U139" s="1821"/>
      <c r="V139" s="1822"/>
      <c r="W139" s="1823"/>
      <c r="X139" s="1485"/>
      <c r="Y139" s="1177"/>
    </row>
    <row r="140" spans="2:25" ht="16.5">
      <c r="B140" s="1491" t="s">
        <v>345</v>
      </c>
      <c r="C140" s="1819">
        <v>2536.359307199808</v>
      </c>
      <c r="D140" s="1820">
        <v>4749173.9509378541</v>
      </c>
      <c r="E140" s="1821">
        <v>8535153.8271799646</v>
      </c>
      <c r="F140" s="1820">
        <v>940210.7977205551</v>
      </c>
      <c r="G140" s="1821">
        <v>3564879.0063432129</v>
      </c>
      <c r="H140" s="1820">
        <v>285807.59561278002</v>
      </c>
      <c r="I140" s="1821">
        <v>3972600.8658074625</v>
      </c>
      <c r="J140" s="1820">
        <v>0</v>
      </c>
      <c r="K140" s="1821">
        <v>0</v>
      </c>
      <c r="L140" s="1820">
        <v>2.6498270000000001E-2</v>
      </c>
      <c r="M140" s="1821">
        <v>17912.408903790001</v>
      </c>
      <c r="N140" s="1820">
        <v>198.79785830999998</v>
      </c>
      <c r="O140" s="1821">
        <v>374088.29175260302</v>
      </c>
      <c r="P140" s="1813"/>
      <c r="Q140" s="1821"/>
      <c r="R140" s="1820">
        <v>14957169.296071474</v>
      </c>
      <c r="S140" s="1821">
        <v>312516.29954901052</v>
      </c>
      <c r="T140" s="1820">
        <v>1949662.445002652</v>
      </c>
      <c r="U140" s="1821">
        <v>2737500.8773372071</v>
      </c>
      <c r="V140" s="1820">
        <v>4289981.5291128205</v>
      </c>
      <c r="W140" s="1814">
        <v>46689392.374995172</v>
      </c>
      <c r="X140" s="1485"/>
      <c r="Y140" s="1177"/>
    </row>
    <row r="141" spans="2:25" ht="16.5">
      <c r="B141" s="1491" t="s">
        <v>334</v>
      </c>
      <c r="C141" s="1819">
        <v>2519.2544552529171</v>
      </c>
      <c r="D141" s="1820">
        <v>6564463.7109388644</v>
      </c>
      <c r="E141" s="1821">
        <v>11709703.616501877</v>
      </c>
      <c r="F141" s="1820">
        <v>1772649.6522226806</v>
      </c>
      <c r="G141" s="1821">
        <v>4708270.6247303672</v>
      </c>
      <c r="H141" s="1820">
        <v>153450.01327841001</v>
      </c>
      <c r="I141" s="1821">
        <v>5911393.4493898423</v>
      </c>
      <c r="J141" s="1820">
        <v>0</v>
      </c>
      <c r="K141" s="1821">
        <v>0</v>
      </c>
      <c r="L141" s="1820">
        <v>2.6498270000000001E-2</v>
      </c>
      <c r="M141" s="1821">
        <v>26073.063104805002</v>
      </c>
      <c r="N141" s="1820">
        <v>232.00328472199999</v>
      </c>
      <c r="O141" s="1821">
        <v>488602.76373099</v>
      </c>
      <c r="P141" s="1813"/>
      <c r="Q141" s="1821"/>
      <c r="R141" s="1820">
        <v>22234523.090550296</v>
      </c>
      <c r="S141" s="1821">
        <v>378975.16316571052</v>
      </c>
      <c r="T141" s="1820">
        <v>2608075.1420762991</v>
      </c>
      <c r="U141" s="1821">
        <v>3125793.3317835373</v>
      </c>
      <c r="V141" s="1820">
        <v>5812047.2788865753</v>
      </c>
      <c r="W141" s="1814">
        <v>65496772.184598505</v>
      </c>
      <c r="X141" s="1485"/>
      <c r="Y141" s="1177"/>
    </row>
    <row r="142" spans="2:25" ht="16.5">
      <c r="B142" s="1491" t="s">
        <v>335</v>
      </c>
      <c r="C142" s="1819">
        <v>2435.723733110879</v>
      </c>
      <c r="D142" s="1820">
        <v>8601285.4630309027</v>
      </c>
      <c r="E142" s="1821">
        <v>15501059.945057927</v>
      </c>
      <c r="F142" s="1820">
        <v>2213233.2718514316</v>
      </c>
      <c r="G142" s="1821">
        <v>6701169.4221425094</v>
      </c>
      <c r="H142" s="1820">
        <v>775336.86872479005</v>
      </c>
      <c r="I142" s="1821">
        <v>8098495.3081942284</v>
      </c>
      <c r="J142" s="1820">
        <v>0</v>
      </c>
      <c r="K142" s="1821">
        <v>0</v>
      </c>
      <c r="L142" s="1820">
        <v>2.6498270000000001E-2</v>
      </c>
      <c r="M142" s="1821">
        <v>47609.34518733</v>
      </c>
      <c r="N142" s="1820">
        <v>143.34780697304114</v>
      </c>
      <c r="O142" s="1821">
        <v>729484.92308510258</v>
      </c>
      <c r="P142" s="1813"/>
      <c r="Q142" s="1821"/>
      <c r="R142" s="1820">
        <v>34077197.020970486</v>
      </c>
      <c r="S142" s="1821">
        <v>597886.19550052634</v>
      </c>
      <c r="T142" s="1820">
        <v>2860196.6072296505</v>
      </c>
      <c r="U142" s="1821">
        <v>4317386.4594876729</v>
      </c>
      <c r="V142" s="1820">
        <v>8974860.627245998</v>
      </c>
      <c r="W142" s="1814">
        <v>93497780.555746913</v>
      </c>
      <c r="X142" s="1485"/>
      <c r="Y142" s="1177"/>
    </row>
    <row r="143" spans="2:25" ht="16.5">
      <c r="B143" s="1491" t="s">
        <v>336</v>
      </c>
      <c r="C143" s="1819">
        <v>5.8898536865402145</v>
      </c>
      <c r="D143" s="1820">
        <v>4141.5064631140967</v>
      </c>
      <c r="E143" s="1821">
        <v>9980.6839141780019</v>
      </c>
      <c r="F143" s="1820">
        <v>1414.2799487468026</v>
      </c>
      <c r="G143" s="1821">
        <v>5461.7012488413866</v>
      </c>
      <c r="H143" s="1820">
        <v>287.09164296000006</v>
      </c>
      <c r="I143" s="1821">
        <v>5206.0788544859779</v>
      </c>
      <c r="J143" s="1820">
        <v>0</v>
      </c>
      <c r="K143" s="1821">
        <v>0</v>
      </c>
      <c r="L143" s="1820">
        <v>1.06E-5</v>
      </c>
      <c r="M143" s="1821">
        <v>31.175787843077277</v>
      </c>
      <c r="N143" s="1820">
        <v>87.99653914999999</v>
      </c>
      <c r="O143" s="1821">
        <v>440.48756459493018</v>
      </c>
      <c r="P143" s="1813"/>
      <c r="Q143" s="1821"/>
      <c r="R143" s="1820">
        <v>20170.861075169581</v>
      </c>
      <c r="S143" s="1821">
        <v>246.21043832174948</v>
      </c>
      <c r="T143" s="1820">
        <v>2510.1501450963469</v>
      </c>
      <c r="U143" s="1821">
        <v>5472.9720965223405</v>
      </c>
      <c r="V143" s="1820">
        <v>4360.9937117869431</v>
      </c>
      <c r="W143" s="1814">
        <v>59818.07929509777</v>
      </c>
      <c r="X143" s="1485"/>
      <c r="Y143" s="1177"/>
    </row>
    <row r="144" spans="2:25" ht="16.5">
      <c r="B144" s="1491" t="s">
        <v>337</v>
      </c>
      <c r="C144" s="1819">
        <v>10.603354193406574</v>
      </c>
      <c r="D144" s="1820">
        <v>3583.0202372232297</v>
      </c>
      <c r="E144" s="1821">
        <v>11575.445697253197</v>
      </c>
      <c r="F144" s="1820">
        <v>1506.0085055833431</v>
      </c>
      <c r="G144" s="1821">
        <v>6092.3672283082333</v>
      </c>
      <c r="H144" s="1820">
        <v>382.86998657999999</v>
      </c>
      <c r="I144" s="1821">
        <v>5420.5645420929577</v>
      </c>
      <c r="J144" s="1820">
        <v>0</v>
      </c>
      <c r="K144" s="1821">
        <v>0</v>
      </c>
      <c r="L144" s="1820">
        <v>1.06E-5</v>
      </c>
      <c r="M144" s="1821">
        <v>29.634052176069005</v>
      </c>
      <c r="N144" s="1820">
        <v>1.3716941299999998</v>
      </c>
      <c r="O144" s="1821">
        <v>433.36227504349483</v>
      </c>
      <c r="P144" s="1813"/>
      <c r="Q144" s="1821"/>
      <c r="R144" s="1820">
        <v>21315.86624798624</v>
      </c>
      <c r="S144" s="1821">
        <v>348.49654954174946</v>
      </c>
      <c r="T144" s="1820">
        <v>2114.7306430411877</v>
      </c>
      <c r="U144" s="1821">
        <v>6339.5482528823813</v>
      </c>
      <c r="V144" s="1820">
        <v>4613.8664435384462</v>
      </c>
      <c r="W144" s="1814">
        <v>63767.755720173947</v>
      </c>
      <c r="X144" s="1485"/>
      <c r="Y144" s="1177"/>
    </row>
    <row r="145" spans="2:26" ht="16.5">
      <c r="B145" s="1491" t="s">
        <v>338</v>
      </c>
      <c r="C145" s="1819">
        <v>8.0083152637917152</v>
      </c>
      <c r="D145" s="1820">
        <v>4111.491645811001</v>
      </c>
      <c r="E145" s="1821">
        <v>11498.96615002066</v>
      </c>
      <c r="F145" s="1820">
        <v>1627.3168181309998</v>
      </c>
      <c r="G145" s="1821">
        <v>5775.3407954861368</v>
      </c>
      <c r="H145" s="1820">
        <v>298.04536182000004</v>
      </c>
      <c r="I145" s="1821">
        <v>6080.6929095166333</v>
      </c>
      <c r="J145" s="1820">
        <v>0</v>
      </c>
      <c r="K145" s="1821">
        <v>0</v>
      </c>
      <c r="L145" s="1820">
        <v>7.2294127699999997</v>
      </c>
      <c r="M145" s="1821">
        <v>24.699598175132</v>
      </c>
      <c r="N145" s="1820">
        <v>1.4898409465541067</v>
      </c>
      <c r="O145" s="1821">
        <v>446.44684088062417</v>
      </c>
      <c r="P145" s="1813"/>
      <c r="Q145" s="1821"/>
      <c r="R145" s="1820">
        <v>22801.094325962058</v>
      </c>
      <c r="S145" s="1821">
        <v>345.71925612084175</v>
      </c>
      <c r="T145" s="1820">
        <v>2541.3152541265899</v>
      </c>
      <c r="U145" s="1821">
        <v>6558.0273292331985</v>
      </c>
      <c r="V145" s="1820">
        <v>5419.4588300060941</v>
      </c>
      <c r="W145" s="1814">
        <v>67545.342684270319</v>
      </c>
      <c r="X145" s="1485"/>
      <c r="Y145" s="1177"/>
    </row>
    <row r="146" spans="2:26" ht="16.5">
      <c r="B146" s="1491" t="s">
        <v>339</v>
      </c>
      <c r="C146" s="1819">
        <v>5.0524496966354073</v>
      </c>
      <c r="D146" s="1820">
        <v>4943.8229254083126</v>
      </c>
      <c r="E146" s="1821">
        <v>10426.184213872422</v>
      </c>
      <c r="F146" s="1820">
        <v>1342.4652062372097</v>
      </c>
      <c r="G146" s="1821">
        <v>5743.9350846597572</v>
      </c>
      <c r="H146" s="1820">
        <v>351.43862847999998</v>
      </c>
      <c r="I146" s="1821">
        <v>6988.9852259953668</v>
      </c>
      <c r="J146" s="1820">
        <v>0</v>
      </c>
      <c r="K146" s="1821">
        <v>9.8499999999999989E-6</v>
      </c>
      <c r="L146" s="1820">
        <v>5.2052108999999991</v>
      </c>
      <c r="M146" s="1821">
        <v>25.129676229299999</v>
      </c>
      <c r="N146" s="1820">
        <v>0.16257843999999999</v>
      </c>
      <c r="O146" s="1821">
        <v>432.3517740579112</v>
      </c>
      <c r="P146" s="1813"/>
      <c r="Q146" s="1821"/>
      <c r="R146" s="1820">
        <v>24895.029505054772</v>
      </c>
      <c r="S146" s="1821">
        <v>348.08859486084179</v>
      </c>
      <c r="T146" s="1820">
        <v>2342.852036855043</v>
      </c>
      <c r="U146" s="1821">
        <v>6539.5897358985103</v>
      </c>
      <c r="V146" s="1820">
        <v>6244.2275753700396</v>
      </c>
      <c r="W146" s="1814">
        <v>70634.520431866113</v>
      </c>
      <c r="X146" s="1485"/>
      <c r="Y146" s="1177"/>
    </row>
    <row r="147" spans="2:26" ht="16.5">
      <c r="B147" s="1491" t="s">
        <v>340</v>
      </c>
      <c r="C147" s="1819">
        <v>5.2584045062036449</v>
      </c>
      <c r="D147" s="1820">
        <v>5703.8589731529864</v>
      </c>
      <c r="E147" s="1821">
        <v>12540.810636015296</v>
      </c>
      <c r="F147" s="1820">
        <v>1453.0438468686373</v>
      </c>
      <c r="G147" s="1821">
        <v>4411.3785135458165</v>
      </c>
      <c r="H147" s="1820">
        <v>205.92501671000005</v>
      </c>
      <c r="I147" s="1821">
        <v>6149.3780549381881</v>
      </c>
      <c r="J147" s="1820">
        <v>0</v>
      </c>
      <c r="K147" s="1821">
        <v>0</v>
      </c>
      <c r="L147" s="1820">
        <v>2.4339045700000002</v>
      </c>
      <c r="M147" s="1821">
        <v>126.04970952735201</v>
      </c>
      <c r="N147" s="1820">
        <v>0.18944060000000001</v>
      </c>
      <c r="O147" s="1821">
        <v>378.0487210451069</v>
      </c>
      <c r="P147" s="1813"/>
      <c r="Q147" s="1821"/>
      <c r="R147" s="1820">
        <v>25591.15195636695</v>
      </c>
      <c r="S147" s="1821">
        <v>542.14663428707843</v>
      </c>
      <c r="T147" s="1820">
        <v>2767.8876987065473</v>
      </c>
      <c r="U147" s="1821">
        <v>7004.3585120772577</v>
      </c>
      <c r="V147" s="1820">
        <v>6832.5960494680585</v>
      </c>
      <c r="W147" s="1814">
        <v>73714.516072385479</v>
      </c>
      <c r="X147" s="1485"/>
      <c r="Y147" s="1177"/>
    </row>
    <row r="148" spans="2:26" ht="16.5">
      <c r="B148" s="1491" t="s">
        <v>341</v>
      </c>
      <c r="C148" s="1819">
        <v>6.8225796361280189</v>
      </c>
      <c r="D148" s="1820">
        <v>9465.3050602054063</v>
      </c>
      <c r="E148" s="1821">
        <v>20161.223693922148</v>
      </c>
      <c r="F148" s="1820">
        <v>2742.2197377600814</v>
      </c>
      <c r="G148" s="1821">
        <v>7903.8147966661354</v>
      </c>
      <c r="H148" s="1820">
        <v>340.45015825000007</v>
      </c>
      <c r="I148" s="1821">
        <v>10295.584722941045</v>
      </c>
      <c r="J148" s="1820">
        <v>0</v>
      </c>
      <c r="K148" s="1821">
        <v>0</v>
      </c>
      <c r="L148" s="1820">
        <v>1.06E-5</v>
      </c>
      <c r="M148" s="1821">
        <v>244.936321193407</v>
      </c>
      <c r="N148" s="1820">
        <v>0.33482372748303835</v>
      </c>
      <c r="O148" s="1821">
        <v>600.93176178853037</v>
      </c>
      <c r="P148" s="1813"/>
      <c r="Q148" s="1821"/>
      <c r="R148" s="1820">
        <v>43094.110497859438</v>
      </c>
      <c r="S148" s="1821">
        <v>979.13019863614397</v>
      </c>
      <c r="T148" s="1820">
        <v>4853.4413621750637</v>
      </c>
      <c r="U148" s="1821">
        <v>11326.851405627491</v>
      </c>
      <c r="V148" s="1820">
        <v>9785.3493632104437</v>
      </c>
      <c r="W148" s="1814">
        <v>121800.50649419895</v>
      </c>
      <c r="X148" s="1485"/>
      <c r="Y148" s="1177"/>
    </row>
    <row r="149" spans="2:26" ht="16.5">
      <c r="B149" s="1491" t="s">
        <v>342</v>
      </c>
      <c r="C149" s="1819">
        <v>39.645305256128218</v>
      </c>
      <c r="D149" s="1820">
        <v>12315.399108560592</v>
      </c>
      <c r="E149" s="1821">
        <v>27597.635654233269</v>
      </c>
      <c r="F149" s="1820">
        <v>3670.1256148635107</v>
      </c>
      <c r="G149" s="1821">
        <v>7120.6156755235988</v>
      </c>
      <c r="H149" s="1820">
        <v>129.13624841999996</v>
      </c>
      <c r="I149" s="1821">
        <v>11256.445776446451</v>
      </c>
      <c r="J149" s="1820">
        <v>0</v>
      </c>
      <c r="K149" s="1821">
        <v>0</v>
      </c>
      <c r="L149" s="1820">
        <v>1.06E-5</v>
      </c>
      <c r="M149" s="1821">
        <v>239.010226749552</v>
      </c>
      <c r="N149" s="1820">
        <v>8.3399350000000011E-2</v>
      </c>
      <c r="O149" s="1821">
        <v>679.62010452999573</v>
      </c>
      <c r="P149" s="1813"/>
      <c r="Q149" s="1821"/>
      <c r="R149" s="1820">
        <v>49545.15638427229</v>
      </c>
      <c r="S149" s="1821">
        <v>1042.8079835261226</v>
      </c>
      <c r="T149" s="1820">
        <v>6380.1041900807613</v>
      </c>
      <c r="U149" s="1821">
        <v>11454.82802520219</v>
      </c>
      <c r="V149" s="1820">
        <v>11116.571858039941</v>
      </c>
      <c r="W149" s="1814">
        <v>142587.18556565439</v>
      </c>
      <c r="X149" s="1485"/>
      <c r="Y149" s="1177"/>
    </row>
    <row r="150" spans="2:26" ht="16.5">
      <c r="B150" s="1491" t="s">
        <v>343</v>
      </c>
      <c r="C150" s="1819">
        <v>58.260625446128039</v>
      </c>
      <c r="D150" s="1820">
        <v>10111.615931727647</v>
      </c>
      <c r="E150" s="1821">
        <v>27498.536875899448</v>
      </c>
      <c r="F150" s="1820">
        <v>3102.1710016352831</v>
      </c>
      <c r="G150" s="1821">
        <v>5626.0793137063347</v>
      </c>
      <c r="H150" s="1820">
        <v>117.32755776</v>
      </c>
      <c r="I150" s="1821">
        <v>9757.4810744917922</v>
      </c>
      <c r="J150" s="1820">
        <v>0</v>
      </c>
      <c r="K150" s="1821">
        <v>9.8499999999999989E-6</v>
      </c>
      <c r="L150" s="1820">
        <v>1.06E-5</v>
      </c>
      <c r="M150" s="1821">
        <v>287.55088678948817</v>
      </c>
      <c r="N150" s="1820">
        <v>2326.3625721984554</v>
      </c>
      <c r="O150" s="1821">
        <v>572.57470613168221</v>
      </c>
      <c r="P150" s="1813"/>
      <c r="Q150" s="1821"/>
      <c r="R150" s="1820">
        <v>45782.986124277049</v>
      </c>
      <c r="S150" s="1821">
        <v>1064.7285793716346</v>
      </c>
      <c r="T150" s="1820">
        <v>6685.9392505092137</v>
      </c>
      <c r="U150" s="1821">
        <v>11362.325209663482</v>
      </c>
      <c r="V150" s="1820">
        <v>10783.9052537648</v>
      </c>
      <c r="W150" s="1814">
        <v>135137.84498382243</v>
      </c>
      <c r="X150" s="1485"/>
      <c r="Y150" s="1177"/>
    </row>
    <row r="151" spans="2:26" ht="16.5">
      <c r="B151" s="1491" t="s">
        <v>344</v>
      </c>
      <c r="C151" s="1819">
        <v>64.891383676128299</v>
      </c>
      <c r="D151" s="1820">
        <v>8774.4986705149076</v>
      </c>
      <c r="E151" s="1821">
        <v>29312.779976986545</v>
      </c>
      <c r="F151" s="1820">
        <v>3217.8689668337188</v>
      </c>
      <c r="G151" s="1821">
        <v>7673.1738551502722</v>
      </c>
      <c r="H151" s="1820">
        <v>287.56709562000003</v>
      </c>
      <c r="I151" s="1821">
        <v>10942.77108864872</v>
      </c>
      <c r="J151" s="1820">
        <v>0</v>
      </c>
      <c r="K151" s="1821">
        <v>9.8499999999999989E-6</v>
      </c>
      <c r="L151" s="1820">
        <v>8.2852627699999992</v>
      </c>
      <c r="M151" s="1821">
        <v>54.883713541620004</v>
      </c>
      <c r="N151" s="1820">
        <v>0.57472148000000001</v>
      </c>
      <c r="O151" s="1821">
        <v>549.66101706289976</v>
      </c>
      <c r="P151" s="1813"/>
      <c r="Q151" s="1821"/>
      <c r="R151" s="1820">
        <v>46926.142642445702</v>
      </c>
      <c r="S151" s="1821">
        <v>1073.6309324538129</v>
      </c>
      <c r="T151" s="1820">
        <v>6555.2962558004019</v>
      </c>
      <c r="U151" s="1821">
        <v>13399.699498235719</v>
      </c>
      <c r="V151" s="1820">
        <v>11326.460316681691</v>
      </c>
      <c r="W151" s="1814">
        <v>140168.18540775211</v>
      </c>
      <c r="X151" s="1485"/>
      <c r="Y151" s="1177"/>
    </row>
    <row r="152" spans="2:26" ht="16.5">
      <c r="B152" s="1791"/>
      <c r="C152" s="1819"/>
      <c r="D152" s="1822"/>
      <c r="E152" s="1821"/>
      <c r="F152" s="1822"/>
      <c r="G152" s="1821"/>
      <c r="H152" s="1822"/>
      <c r="I152" s="1821"/>
      <c r="J152" s="1822"/>
      <c r="K152" s="1821"/>
      <c r="L152" s="1822"/>
      <c r="M152" s="1821"/>
      <c r="N152" s="1822"/>
      <c r="O152" s="1821"/>
      <c r="P152" s="1813"/>
      <c r="Q152" s="1821"/>
      <c r="R152" s="1822"/>
      <c r="S152" s="1821"/>
      <c r="T152" s="1822"/>
      <c r="U152" s="1821"/>
      <c r="V152" s="1822"/>
      <c r="W152" s="1823"/>
      <c r="X152" s="1485"/>
      <c r="Y152" s="1177"/>
    </row>
    <row r="153" spans="2:26" ht="14.65" customHeight="1">
      <c r="B153" s="1791">
        <v>2025</v>
      </c>
      <c r="C153" s="1819"/>
      <c r="D153" s="1822"/>
      <c r="E153" s="1821"/>
      <c r="F153" s="1822"/>
      <c r="G153" s="1821"/>
      <c r="H153" s="1822"/>
      <c r="I153" s="1821"/>
      <c r="J153" s="1822"/>
      <c r="K153" s="1821"/>
      <c r="L153" s="1822"/>
      <c r="M153" s="1821"/>
      <c r="N153" s="1822"/>
      <c r="O153" s="1821"/>
      <c r="P153" s="1813"/>
      <c r="Q153" s="1821"/>
      <c r="R153" s="1822"/>
      <c r="S153" s="1821"/>
      <c r="T153" s="1822"/>
      <c r="U153" s="1821"/>
      <c r="V153" s="1822"/>
      <c r="W153" s="1823"/>
      <c r="X153" s="1485"/>
      <c r="Y153" s="1177"/>
    </row>
    <row r="154" spans="2:26" ht="15" customHeight="1">
      <c r="B154" s="1462" t="s">
        <v>345</v>
      </c>
      <c r="C154" s="1819">
        <v>55.468492684440442</v>
      </c>
      <c r="D154" s="1820">
        <v>11470.103115587091</v>
      </c>
      <c r="E154" s="1821">
        <v>27587.575848202887</v>
      </c>
      <c r="F154" s="1820">
        <v>2805.1442540284243</v>
      </c>
      <c r="G154" s="1821">
        <v>5383.9304489706983</v>
      </c>
      <c r="H154" s="1820">
        <v>896.66874676976522</v>
      </c>
      <c r="I154" s="1821">
        <v>12362.229062194028</v>
      </c>
      <c r="J154" s="1820">
        <v>0</v>
      </c>
      <c r="K154" s="1821">
        <v>0</v>
      </c>
      <c r="L154" s="1820">
        <v>807.93835833084995</v>
      </c>
      <c r="M154" s="1821">
        <v>342.86724728800795</v>
      </c>
      <c r="N154" s="1820">
        <v>0</v>
      </c>
      <c r="O154" s="1821">
        <v>201.81990623304699</v>
      </c>
      <c r="P154" s="1813">
        <v>6018.6811967951062</v>
      </c>
      <c r="Q154" s="1821">
        <v>38456.07994964419</v>
      </c>
      <c r="R154" s="1820">
        <v>44474.761146439305</v>
      </c>
      <c r="S154" s="1821">
        <v>4490.0365031918573</v>
      </c>
      <c r="T154" s="1820">
        <v>6786.7599449654399</v>
      </c>
      <c r="U154" s="1821">
        <v>7296.7678244081435</v>
      </c>
      <c r="V154" s="1820">
        <v>14700.770979370673</v>
      </c>
      <c r="W154" s="1814">
        <v>139662.84187866465</v>
      </c>
      <c r="X154" s="1219"/>
      <c r="Y154" s="921"/>
      <c r="Z154" s="614"/>
    </row>
    <row r="155" spans="2:26" ht="15" customHeight="1">
      <c r="B155" s="1462" t="s">
        <v>334</v>
      </c>
      <c r="C155" s="1819">
        <v>60.094339843584812</v>
      </c>
      <c r="D155" s="1820">
        <v>10394.09723056407</v>
      </c>
      <c r="E155" s="1821">
        <v>26074.712458369024</v>
      </c>
      <c r="F155" s="1820">
        <v>2500.8342039829158</v>
      </c>
      <c r="G155" s="1821">
        <v>7466.4855682438138</v>
      </c>
      <c r="H155" s="1820">
        <v>879.05242810378809</v>
      </c>
      <c r="I155" s="1821">
        <v>11985.912706289822</v>
      </c>
      <c r="J155" s="1820">
        <v>0</v>
      </c>
      <c r="K155" s="1821">
        <v>0</v>
      </c>
      <c r="L155" s="1820">
        <v>1227.3970427647928</v>
      </c>
      <c r="M155" s="1821">
        <v>525.18587213260992</v>
      </c>
      <c r="N155" s="1820">
        <v>0</v>
      </c>
      <c r="O155" s="1821">
        <v>210.91066930377997</v>
      </c>
      <c r="P155" s="1813">
        <v>5135.1357853843447</v>
      </c>
      <c r="Q155" s="1821">
        <v>39602.198075118671</v>
      </c>
      <c r="R155" s="1820">
        <v>44737.333860502993</v>
      </c>
      <c r="S155" s="1821">
        <v>4572.7787175073199</v>
      </c>
      <c r="T155" s="1820">
        <v>7060.844913308305</v>
      </c>
      <c r="U155" s="1821">
        <v>6529.146270357468</v>
      </c>
      <c r="V155" s="1820">
        <v>14603.011491492371</v>
      </c>
      <c r="W155" s="1814">
        <v>138827.7977727667</v>
      </c>
      <c r="X155" s="1219"/>
      <c r="Y155" s="921"/>
      <c r="Z155" s="614"/>
    </row>
    <row r="156" spans="2:26" ht="15" customHeight="1">
      <c r="B156" s="1462" t="s">
        <v>335</v>
      </c>
      <c r="C156" s="1819">
        <v>79.634176806130085</v>
      </c>
      <c r="D156" s="1820">
        <v>7880.5433916044194</v>
      </c>
      <c r="E156" s="1821">
        <v>27417.579628613006</v>
      </c>
      <c r="F156" s="1820">
        <v>2717.5096265081947</v>
      </c>
      <c r="G156" s="1821">
        <v>11623.76330121104</v>
      </c>
      <c r="H156" s="1820">
        <v>820.111807941812</v>
      </c>
      <c r="I156" s="1821">
        <v>12300.302321546609</v>
      </c>
      <c r="J156" s="1820">
        <v>0</v>
      </c>
      <c r="K156" s="1821">
        <v>0</v>
      </c>
      <c r="L156" s="1820">
        <v>1342.0239156228417</v>
      </c>
      <c r="M156" s="1821">
        <v>509.00801503350368</v>
      </c>
      <c r="N156" s="1820">
        <v>0</v>
      </c>
      <c r="O156" s="1821">
        <v>196.71627145674228</v>
      </c>
      <c r="P156" s="1813">
        <v>4699.0848017729068</v>
      </c>
      <c r="Q156" s="1821">
        <v>40942.543460221132</v>
      </c>
      <c r="R156" s="1820">
        <v>45641.628261994039</v>
      </c>
      <c r="S156" s="1821">
        <v>4354.5002810826691</v>
      </c>
      <c r="T156" s="1820">
        <v>7859.2460893881325</v>
      </c>
      <c r="U156" s="1821">
        <v>6540.9749278089748</v>
      </c>
      <c r="V156" s="1820">
        <v>15243.803180942559</v>
      </c>
      <c r="W156" s="1814">
        <v>144527.34519756067</v>
      </c>
      <c r="X156" s="1219"/>
      <c r="Y156" s="921"/>
      <c r="Z156" s="614"/>
    </row>
    <row r="157" spans="2:26" ht="16.5">
      <c r="B157" s="1462" t="s">
        <v>336</v>
      </c>
      <c r="C157" s="1819">
        <v>87.992691589992134</v>
      </c>
      <c r="D157" s="1820">
        <v>8108.0165990617961</v>
      </c>
      <c r="E157" s="1821">
        <v>30664.796008973528</v>
      </c>
      <c r="F157" s="1820">
        <v>2649.1954492226478</v>
      </c>
      <c r="G157" s="1821">
        <v>12068.340560794864</v>
      </c>
      <c r="H157" s="1820">
        <v>413.79584069486481</v>
      </c>
      <c r="I157" s="1821">
        <v>12241.983930217597</v>
      </c>
      <c r="J157" s="1820">
        <v>0</v>
      </c>
      <c r="K157" s="1821">
        <v>0</v>
      </c>
      <c r="L157" s="1820">
        <v>1095.1464521501766</v>
      </c>
      <c r="M157" s="1821">
        <v>477.99501501492597</v>
      </c>
      <c r="N157" s="1820">
        <v>0</v>
      </c>
      <c r="O157" s="1821">
        <v>177.76528729771999</v>
      </c>
      <c r="P157" s="1813">
        <v>4854.9872812901285</v>
      </c>
      <c r="Q157" s="1821">
        <v>44593.498506945914</v>
      </c>
      <c r="R157" s="1820">
        <v>49448.485788236059</v>
      </c>
      <c r="S157" s="1821">
        <v>4042.9024089549598</v>
      </c>
      <c r="T157" s="1820">
        <v>6452.9061181624302</v>
      </c>
      <c r="U157" s="1821">
        <v>9497.3727209865156</v>
      </c>
      <c r="V157" s="1820">
        <v>15304.562305457133</v>
      </c>
      <c r="W157" s="1814">
        <v>152731.25717681521</v>
      </c>
      <c r="X157" s="1219"/>
      <c r="Y157" s="921"/>
      <c r="Z157" s="614"/>
    </row>
    <row r="158" spans="2:26" ht="16.5">
      <c r="B158" s="1462" t="s">
        <v>337</v>
      </c>
      <c r="C158" s="1819">
        <v>133.32875719999998</v>
      </c>
      <c r="D158" s="1820">
        <v>7539.980915409079</v>
      </c>
      <c r="E158" s="1821">
        <v>31081.987203851808</v>
      </c>
      <c r="F158" s="1820">
        <v>2649.4224708706615</v>
      </c>
      <c r="G158" s="1821">
        <v>16140.558767408687</v>
      </c>
      <c r="H158" s="1820">
        <v>419.6021706380813</v>
      </c>
      <c r="I158" s="1821">
        <v>12259.882143804089</v>
      </c>
      <c r="J158" s="1820">
        <v>0</v>
      </c>
      <c r="K158" s="1821">
        <v>0</v>
      </c>
      <c r="L158" s="1820">
        <v>953.79159590919153</v>
      </c>
      <c r="M158" s="1821">
        <v>469.50527358418714</v>
      </c>
      <c r="N158" s="1820">
        <v>0</v>
      </c>
      <c r="O158" s="1821">
        <v>151.7428162673624</v>
      </c>
      <c r="P158" s="1813">
        <v>5278.0063703531259</v>
      </c>
      <c r="Q158" s="1821">
        <v>46383.599021969181</v>
      </c>
      <c r="R158" s="1820">
        <v>51661.605392322301</v>
      </c>
      <c r="S158" s="1821">
        <v>3991.3513105109641</v>
      </c>
      <c r="T158" s="1820">
        <v>7163.6559849117384</v>
      </c>
      <c r="U158" s="1821">
        <v>9319.3456547036367</v>
      </c>
      <c r="V158" s="1820">
        <v>15249.334154543663</v>
      </c>
      <c r="W158" s="1814">
        <v>159185.09461193546</v>
      </c>
      <c r="X158" s="1219"/>
      <c r="Y158" s="921"/>
      <c r="Z158" s="614"/>
    </row>
    <row r="159" spans="2:26" ht="16.5">
      <c r="B159" s="1462" t="s">
        <v>338</v>
      </c>
      <c r="C159" s="1819">
        <v>181.74380372841972</v>
      </c>
      <c r="D159" s="1820">
        <v>8374.0995258126404</v>
      </c>
      <c r="E159" s="1821">
        <v>32527.569442197477</v>
      </c>
      <c r="F159" s="1820">
        <v>5410.9823723006393</v>
      </c>
      <c r="G159" s="1821">
        <v>14549.69743886174</v>
      </c>
      <c r="H159" s="1820">
        <v>119.41700389011889</v>
      </c>
      <c r="I159" s="1821">
        <v>13604.066884670801</v>
      </c>
      <c r="J159" s="1820">
        <v>0</v>
      </c>
      <c r="K159" s="1821">
        <v>0</v>
      </c>
      <c r="L159" s="1820">
        <v>992.17398260699883</v>
      </c>
      <c r="M159" s="1821">
        <v>508.80760698346006</v>
      </c>
      <c r="N159" s="1820">
        <v>0</v>
      </c>
      <c r="O159" s="1821">
        <v>141.15444065259621</v>
      </c>
      <c r="P159" s="1813">
        <v>5228.0859538703717</v>
      </c>
      <c r="Q159" s="1821">
        <v>47537.515777337758</v>
      </c>
      <c r="R159" s="1820">
        <v>52765.601731208131</v>
      </c>
      <c r="S159" s="1821">
        <v>6477.3156504665121</v>
      </c>
      <c r="T159" s="1820">
        <v>7532.5294269170945</v>
      </c>
      <c r="U159" s="1821">
        <v>8140.553647057287</v>
      </c>
      <c r="V159" s="1820">
        <v>15060.645009922324</v>
      </c>
      <c r="W159" s="1814">
        <v>166386.35796727624</v>
      </c>
      <c r="X159" s="1219"/>
      <c r="Y159" s="921"/>
      <c r="Z159" s="614"/>
    </row>
    <row r="160" spans="2:26" ht="16.5">
      <c r="B160" s="1462" t="s">
        <v>339</v>
      </c>
      <c r="C160" s="1819">
        <v>183.04934572841975</v>
      </c>
      <c r="D160" s="1820">
        <v>8394.2569908026362</v>
      </c>
      <c r="E160" s="1821">
        <v>32530.269235248881</v>
      </c>
      <c r="F160" s="1820">
        <v>5422.5459290597564</v>
      </c>
      <c r="G160" s="1821">
        <v>14534.13237037223</v>
      </c>
      <c r="H160" s="1820">
        <v>119.41700389011889</v>
      </c>
      <c r="I160" s="1821">
        <v>13602.137878248035</v>
      </c>
      <c r="J160" s="1820">
        <v>0</v>
      </c>
      <c r="K160" s="1821">
        <v>0</v>
      </c>
      <c r="L160" s="1820">
        <v>992.17398260699883</v>
      </c>
      <c r="M160" s="1821">
        <v>508.80760698346006</v>
      </c>
      <c r="N160" s="1820">
        <v>0</v>
      </c>
      <c r="O160" s="1821">
        <v>141.15443858259621</v>
      </c>
      <c r="P160" s="1813">
        <v>5228.0859538703726</v>
      </c>
      <c r="Q160" s="1821">
        <v>47619.43639003815</v>
      </c>
      <c r="R160" s="1820">
        <v>52847.522343908509</v>
      </c>
      <c r="S160" s="1821">
        <v>6442.5708676465129</v>
      </c>
      <c r="T160" s="1820">
        <v>7493.6393523796505</v>
      </c>
      <c r="U160" s="1821">
        <v>8217.2459059858993</v>
      </c>
      <c r="V160" s="1820">
        <v>15090.149519205072</v>
      </c>
      <c r="W160" s="1814">
        <v>166519.07277064881</v>
      </c>
      <c r="X160" s="1219"/>
      <c r="Y160" s="921"/>
      <c r="Z160" s="614"/>
    </row>
    <row r="161" spans="2:26" ht="16.5">
      <c r="B161" s="1462" t="s">
        <v>340</v>
      </c>
      <c r="C161" s="1819">
        <v>193.1919185493135</v>
      </c>
      <c r="D161" s="1820">
        <v>13295.373817832069</v>
      </c>
      <c r="E161" s="1821">
        <v>33500.175536697403</v>
      </c>
      <c r="F161" s="1820">
        <v>4346.9278248502651</v>
      </c>
      <c r="G161" s="1821">
        <v>8753.411167375938</v>
      </c>
      <c r="H161" s="1820">
        <v>609.59016595846151</v>
      </c>
      <c r="I161" s="1821">
        <v>14232.015562279696</v>
      </c>
      <c r="J161" s="1820">
        <v>0</v>
      </c>
      <c r="K161" s="1821">
        <v>0</v>
      </c>
      <c r="L161" s="1820">
        <v>583.15797151900551</v>
      </c>
      <c r="M161" s="1821">
        <v>540.43982592968428</v>
      </c>
      <c r="N161" s="1820">
        <v>21.455950697612003</v>
      </c>
      <c r="O161" s="1821">
        <v>129.27433904025904</v>
      </c>
      <c r="P161" s="1813">
        <v>6419.7679732891611</v>
      </c>
      <c r="Q161" s="1821">
        <v>47719.811143250168</v>
      </c>
      <c r="R161" s="1820">
        <v>54139.579116539324</v>
      </c>
      <c r="S161" s="1821">
        <v>7481.6375604553668</v>
      </c>
      <c r="T161" s="1820">
        <v>8543.3145214359029</v>
      </c>
      <c r="U161" s="1821">
        <v>9652.1253992595302</v>
      </c>
      <c r="V161" s="1820">
        <v>15411.879558934359</v>
      </c>
      <c r="W161" s="1814">
        <v>171433.55023735421</v>
      </c>
      <c r="X161" s="1219"/>
      <c r="Y161" s="921"/>
      <c r="Z161" s="614"/>
    </row>
    <row r="162" spans="2:26" ht="16.5">
      <c r="B162" s="1462" t="s">
        <v>341</v>
      </c>
      <c r="C162" s="1819">
        <v>201.68150140169871</v>
      </c>
      <c r="D162" s="1820">
        <v>13950.40054682938</v>
      </c>
      <c r="E162" s="1821">
        <v>32362.469641986045</v>
      </c>
      <c r="F162" s="1820">
        <v>3553.9292459030075</v>
      </c>
      <c r="G162" s="1821">
        <v>11188.765736073452</v>
      </c>
      <c r="H162" s="1820">
        <v>921.93516659538579</v>
      </c>
      <c r="I162" s="1821">
        <v>13421.602731301015</v>
      </c>
      <c r="J162" s="1820">
        <v>0</v>
      </c>
      <c r="K162" s="1821">
        <v>0</v>
      </c>
      <c r="L162" s="1820">
        <v>757.43749303999903</v>
      </c>
      <c r="M162" s="1821">
        <v>561.9531819524741</v>
      </c>
      <c r="N162" s="1820">
        <v>18.841210965811523</v>
      </c>
      <c r="O162" s="1821">
        <v>110.21798457324761</v>
      </c>
      <c r="P162" s="1813">
        <v>6020.4500186579571</v>
      </c>
      <c r="Q162" s="1821">
        <v>49450.810601191421</v>
      </c>
      <c r="R162" s="1820">
        <v>55471.260619849389</v>
      </c>
      <c r="S162" s="1821">
        <v>5730.7957812605609</v>
      </c>
      <c r="T162" s="1820">
        <v>8537.3565570519586</v>
      </c>
      <c r="U162" s="1821">
        <v>10340.975508582831</v>
      </c>
      <c r="V162" s="1820">
        <v>15804.218219846292</v>
      </c>
      <c r="W162" s="1814">
        <v>172933.84112721254</v>
      </c>
      <c r="X162" s="1219"/>
      <c r="Y162" s="921"/>
      <c r="Z162" s="614"/>
    </row>
    <row r="163" spans="2:26" ht="16.5">
      <c r="B163" s="1462" t="s">
        <v>342</v>
      </c>
      <c r="C163" s="1819">
        <v>204.51205147814142</v>
      </c>
      <c r="D163" s="1820">
        <v>12507.214329189706</v>
      </c>
      <c r="E163" s="1821">
        <v>32947.477972347115</v>
      </c>
      <c r="F163" s="1820">
        <v>4526.8878391379503</v>
      </c>
      <c r="G163" s="1821">
        <v>11385.805971967247</v>
      </c>
      <c r="H163" s="1820">
        <v>910.64420686976121</v>
      </c>
      <c r="I163" s="1821">
        <v>14013.133133859967</v>
      </c>
      <c r="J163" s="1820">
        <v>0</v>
      </c>
      <c r="K163" s="1821">
        <v>0</v>
      </c>
      <c r="L163" s="1820">
        <v>655.58631600398257</v>
      </c>
      <c r="M163" s="1821">
        <v>539.18536014164897</v>
      </c>
      <c r="N163" s="1820">
        <v>23.481956493984999</v>
      </c>
      <c r="O163" s="1821">
        <v>267.06074849318929</v>
      </c>
      <c r="P163" s="1813">
        <v>6236.1020258440121</v>
      </c>
      <c r="Q163" s="1821">
        <v>51566.502036099766</v>
      </c>
      <c r="R163" s="1820">
        <v>57802.604061943784</v>
      </c>
      <c r="S163" s="1821">
        <v>4997.8522607434943</v>
      </c>
      <c r="T163" s="1820">
        <v>7774.841808841039</v>
      </c>
      <c r="U163" s="1821">
        <v>9423.2145429683114</v>
      </c>
      <c r="V163" s="1820">
        <v>16097.867478842911</v>
      </c>
      <c r="W163" s="1814">
        <v>174077.37003932221</v>
      </c>
      <c r="X163" s="1219"/>
      <c r="Y163" s="921"/>
      <c r="Z163" s="614"/>
    </row>
    <row r="164" spans="2:26" ht="16.5">
      <c r="B164" s="1462" t="s">
        <v>343</v>
      </c>
      <c r="C164" s="1819">
        <v>263.56331807651418</v>
      </c>
      <c r="D164" s="1820">
        <v>12673.287012184752</v>
      </c>
      <c r="E164" s="1821">
        <v>33851.527806968137</v>
      </c>
      <c r="F164" s="1820">
        <v>5484.3548692718896</v>
      </c>
      <c r="G164" s="1821">
        <v>10816.25780908709</v>
      </c>
      <c r="H164" s="1820">
        <v>828.02563390296427</v>
      </c>
      <c r="I164" s="1821">
        <v>14055.198553987961</v>
      </c>
      <c r="J164" s="1820">
        <v>0</v>
      </c>
      <c r="K164" s="1821">
        <v>0</v>
      </c>
      <c r="L164" s="1820">
        <v>649.5067922457838</v>
      </c>
      <c r="M164" s="1821">
        <v>515.30210025780013</v>
      </c>
      <c r="N164" s="1820">
        <v>23.740524820000001</v>
      </c>
      <c r="O164" s="1821">
        <v>327.35772827582315</v>
      </c>
      <c r="P164" s="1813">
        <v>5880.2735406799766</v>
      </c>
      <c r="Q164" s="1821">
        <v>53183.113662807125</v>
      </c>
      <c r="R164" s="1820">
        <v>59063.387203487102</v>
      </c>
      <c r="S164" s="1821">
        <v>5737.7351310004578</v>
      </c>
      <c r="T164" s="1820">
        <v>9054.8017376052994</v>
      </c>
      <c r="U164" s="1821">
        <v>9275.5346983728214</v>
      </c>
      <c r="V164" s="1820">
        <v>15949.319944000485</v>
      </c>
      <c r="W164" s="1814">
        <v>178568.90086354487</v>
      </c>
      <c r="X164" s="1219"/>
      <c r="Y164" s="921"/>
      <c r="Z164" s="614"/>
    </row>
    <row r="165" spans="2:26" ht="16.5">
      <c r="B165" s="1462" t="s">
        <v>344</v>
      </c>
      <c r="C165" s="1819">
        <v>309.45702835933946</v>
      </c>
      <c r="D165" s="1820">
        <v>13291.254805412713</v>
      </c>
      <c r="E165" s="1821">
        <v>36167.65731333819</v>
      </c>
      <c r="F165" s="1820">
        <v>3188.9277981997589</v>
      </c>
      <c r="G165" s="1821">
        <v>10104.593071375188</v>
      </c>
      <c r="H165" s="1820">
        <v>819.99996759075884</v>
      </c>
      <c r="I165" s="1821">
        <v>15607.968661173167</v>
      </c>
      <c r="J165" s="1820">
        <v>0</v>
      </c>
      <c r="K165" s="1821">
        <v>0</v>
      </c>
      <c r="L165" s="1820">
        <v>1469.050833391364</v>
      </c>
      <c r="M165" s="1821">
        <v>453.9349712235902</v>
      </c>
      <c r="N165" s="1820">
        <v>20.772895590789958</v>
      </c>
      <c r="O165" s="1821">
        <v>412.11052663972015</v>
      </c>
      <c r="P165" s="1813">
        <v>5956.9932931820667</v>
      </c>
      <c r="Q165" s="1821">
        <v>53287.331370442713</v>
      </c>
      <c r="R165" s="1820">
        <v>59244.324663624771</v>
      </c>
      <c r="S165" s="1821">
        <v>4666.3419159056248</v>
      </c>
      <c r="T165" s="1820">
        <v>8262.0548186960295</v>
      </c>
      <c r="U165" s="1821">
        <v>8562.8292562268216</v>
      </c>
      <c r="V165" s="1820">
        <v>17160.25106294073</v>
      </c>
      <c r="W165" s="1814">
        <v>179741.52958968858</v>
      </c>
      <c r="X165" s="1219"/>
      <c r="Y165" s="921"/>
      <c r="Z165" s="614"/>
    </row>
    <row r="166" spans="2:26" ht="16.5">
      <c r="B166" s="1462"/>
      <c r="C166" s="1819"/>
      <c r="D166" s="1820"/>
      <c r="E166" s="1821"/>
      <c r="F166" s="1820"/>
      <c r="G166" s="1821"/>
      <c r="H166" s="1820"/>
      <c r="I166" s="1821"/>
      <c r="J166" s="1820"/>
      <c r="K166" s="1821"/>
      <c r="L166" s="1820"/>
      <c r="M166" s="1821"/>
      <c r="N166" s="1820"/>
      <c r="O166" s="1821"/>
      <c r="P166" s="1813"/>
      <c r="Q166" s="1821"/>
      <c r="R166" s="1820"/>
      <c r="S166" s="1821"/>
      <c r="T166" s="1820"/>
      <c r="U166" s="1821"/>
      <c r="V166" s="1820"/>
      <c r="W166" s="1814"/>
      <c r="X166" s="1219"/>
      <c r="Y166" s="921"/>
      <c r="Z166" s="614"/>
    </row>
    <row r="167" spans="2:26" ht="16.5">
      <c r="B167" s="1791">
        <v>2026</v>
      </c>
      <c r="C167" s="1819"/>
      <c r="D167" s="1820"/>
      <c r="E167" s="1821"/>
      <c r="F167" s="1820"/>
      <c r="G167" s="1821"/>
      <c r="H167" s="1820"/>
      <c r="I167" s="1821"/>
      <c r="J167" s="1820"/>
      <c r="K167" s="1821"/>
      <c r="L167" s="1820"/>
      <c r="M167" s="1821"/>
      <c r="N167" s="1820"/>
      <c r="O167" s="1821"/>
      <c r="P167" s="1813"/>
      <c r="Q167" s="1821"/>
      <c r="R167" s="1820"/>
      <c r="S167" s="1821"/>
      <c r="T167" s="1820"/>
      <c r="U167" s="1821"/>
      <c r="V167" s="1820"/>
      <c r="W167" s="1814"/>
      <c r="X167" s="1219"/>
      <c r="Y167" s="921"/>
      <c r="Z167" s="614"/>
    </row>
    <row r="168" spans="2:26" ht="16.5">
      <c r="B168" s="1462" t="s">
        <v>345</v>
      </c>
      <c r="C168" s="1819">
        <v>311.75443184981526</v>
      </c>
      <c r="D168" s="1820">
        <v>18070.794984267068</v>
      </c>
      <c r="E168" s="1821">
        <v>33083.607623438445</v>
      </c>
      <c r="F168" s="1820">
        <v>4251.6798114029943</v>
      </c>
      <c r="G168" s="1821">
        <v>9737.0318808010634</v>
      </c>
      <c r="H168" s="1820">
        <v>703.47792090270593</v>
      </c>
      <c r="I168" s="1821">
        <v>15231.531937708627</v>
      </c>
      <c r="J168" s="1820">
        <v>0</v>
      </c>
      <c r="K168" s="1821">
        <v>0</v>
      </c>
      <c r="L168" s="1820">
        <v>1542.211378884549</v>
      </c>
      <c r="M168" s="1483">
        <v>429.78750235117974</v>
      </c>
      <c r="N168" s="1820">
        <v>23.287655995663997</v>
      </c>
      <c r="O168" s="1821">
        <v>428.07079258801258</v>
      </c>
      <c r="P168" s="1813">
        <v>5548.7014215489735</v>
      </c>
      <c r="Q168" s="1821">
        <v>53453.832140216102</v>
      </c>
      <c r="R168" s="1820">
        <v>59002.533561765078</v>
      </c>
      <c r="S168" s="1821">
        <v>4727.544293734707</v>
      </c>
      <c r="T168" s="1820">
        <v>8573.5028359727257</v>
      </c>
      <c r="U168" s="1821">
        <v>9234.3249178431852</v>
      </c>
      <c r="V168" s="1820">
        <v>17001.462653837825</v>
      </c>
      <c r="W168" s="1814">
        <v>182352.60418334365</v>
      </c>
      <c r="X168" s="1219"/>
      <c r="Y168" s="921"/>
      <c r="Z168" s="614"/>
    </row>
    <row r="169" spans="2:26" ht="16.5">
      <c r="B169" s="1462" t="s">
        <v>334</v>
      </c>
      <c r="C169" s="1819">
        <v>317.73840420913649</v>
      </c>
      <c r="D169" s="1820">
        <v>16635.453427271957</v>
      </c>
      <c r="E169" s="1821">
        <v>34876.584868397687</v>
      </c>
      <c r="F169" s="1820">
        <v>4744.6796304114168</v>
      </c>
      <c r="G169" s="1821">
        <v>10065.839798673027</v>
      </c>
      <c r="H169" s="1820">
        <v>785.87967532264929</v>
      </c>
      <c r="I169" s="1821">
        <v>15098.191250069267</v>
      </c>
      <c r="J169" s="1820">
        <v>0</v>
      </c>
      <c r="K169" s="1821">
        <v>0</v>
      </c>
      <c r="L169" s="1820">
        <v>907.93257400433504</v>
      </c>
      <c r="M169" s="1483">
        <v>12.671080877262686</v>
      </c>
      <c r="N169" s="1820">
        <v>23.75971383624</v>
      </c>
      <c r="O169" s="1821">
        <v>901.37145777432374</v>
      </c>
      <c r="P169" s="1813">
        <v>5626.1635102665186</v>
      </c>
      <c r="Q169" s="1821">
        <v>54912.58508329773</v>
      </c>
      <c r="R169" s="1820">
        <v>60538.748593564233</v>
      </c>
      <c r="S169" s="1821">
        <v>4371.9821213380628</v>
      </c>
      <c r="T169" s="1820">
        <v>8179.5553351594453</v>
      </c>
      <c r="U169" s="1821">
        <v>9180.951822432331</v>
      </c>
      <c r="V169" s="1820">
        <v>17530.070164695269</v>
      </c>
      <c r="W169" s="1814">
        <v>184171.40991803666</v>
      </c>
      <c r="X169" s="1219"/>
      <c r="Y169" s="921"/>
      <c r="Z169" s="614"/>
    </row>
    <row r="170" spans="2:26" ht="16.5">
      <c r="B170" s="1462" t="s">
        <v>335</v>
      </c>
      <c r="C170" s="1819">
        <v>301.97809874231194</v>
      </c>
      <c r="D170" s="1820">
        <v>14998.642638601583</v>
      </c>
      <c r="E170" s="1821">
        <v>36981.743514489703</v>
      </c>
      <c r="F170" s="1820">
        <v>4290.8385274213642</v>
      </c>
      <c r="G170" s="1821">
        <v>9551.4267386478314</v>
      </c>
      <c r="H170" s="1820">
        <v>895.81194024874094</v>
      </c>
      <c r="I170" s="1821">
        <v>15119.082587473569</v>
      </c>
      <c r="J170" s="1820">
        <v>0</v>
      </c>
      <c r="K170" s="1821">
        <v>0</v>
      </c>
      <c r="L170" s="1820">
        <v>1641.9611690614456</v>
      </c>
      <c r="M170" s="1483">
        <v>11.410695764158</v>
      </c>
      <c r="N170" s="1820">
        <v>21.71857655598188</v>
      </c>
      <c r="O170" s="1821">
        <v>921.163482804512</v>
      </c>
      <c r="P170" s="1813">
        <v>5962.4077521862109</v>
      </c>
      <c r="Q170" s="1821">
        <v>57631.595985236665</v>
      </c>
      <c r="R170" s="1820">
        <v>63594.003737422878</v>
      </c>
      <c r="S170" s="1821">
        <v>4262.072026604591</v>
      </c>
      <c r="T170" s="1820">
        <v>8335.314057453541</v>
      </c>
      <c r="U170" s="1821">
        <v>8916.5475019496153</v>
      </c>
      <c r="V170" s="1820">
        <v>17180.231747662041</v>
      </c>
      <c r="W170" s="1814">
        <v>187023.94704090385</v>
      </c>
      <c r="X170" s="1219"/>
      <c r="Y170" s="921"/>
      <c r="Z170" s="614"/>
    </row>
    <row r="171" spans="2:26" ht="16.5">
      <c r="B171" s="1462" t="s">
        <v>336</v>
      </c>
      <c r="C171" s="1819">
        <v>291.13285916087165</v>
      </c>
      <c r="D171" s="1822">
        <v>16159.915180419128</v>
      </c>
      <c r="E171" s="1821">
        <v>38650.197154709771</v>
      </c>
      <c r="F171" s="1822">
        <v>4399.0968781910933</v>
      </c>
      <c r="G171" s="1821">
        <v>9242.6856289094994</v>
      </c>
      <c r="H171" s="1822">
        <v>1010.2788018839791</v>
      </c>
      <c r="I171" s="1821">
        <v>15108.946659475576</v>
      </c>
      <c r="J171" s="1822">
        <v>0</v>
      </c>
      <c r="K171" s="1821">
        <v>0</v>
      </c>
      <c r="L171" s="1822">
        <v>1740.069532146561</v>
      </c>
      <c r="M171" s="1483">
        <v>9.3746943786524994</v>
      </c>
      <c r="N171" s="1822">
        <v>22.016053860320003</v>
      </c>
      <c r="O171" s="1821">
        <v>919.43532440241813</v>
      </c>
      <c r="P171" s="1813">
        <v>5643.7204281774493</v>
      </c>
      <c r="Q171" s="1821">
        <v>59966.858953545649</v>
      </c>
      <c r="R171" s="1822">
        <v>65610.579381723088</v>
      </c>
      <c r="S171" s="1821">
        <v>4005.7900051949764</v>
      </c>
      <c r="T171" s="1822">
        <v>8344.7311732078069</v>
      </c>
      <c r="U171" s="1821">
        <v>9519.4423995062607</v>
      </c>
      <c r="V171" s="1822">
        <v>17143.712834994873</v>
      </c>
      <c r="W171" s="1823">
        <v>192177.40456216491</v>
      </c>
      <c r="X171" s="1219"/>
      <c r="Y171" s="921"/>
      <c r="Z171" s="614"/>
    </row>
    <row r="172" spans="2:26" ht="16.5">
      <c r="B172" s="1462" t="s">
        <v>337</v>
      </c>
      <c r="C172" s="1819">
        <v>348.65502617245505</v>
      </c>
      <c r="D172" s="1822">
        <v>14459.480795053052</v>
      </c>
      <c r="E172" s="1821">
        <v>40868.073019252835</v>
      </c>
      <c r="F172" s="1822">
        <v>3741.9249547643853</v>
      </c>
      <c r="G172" s="1821">
        <v>15352.060156478547</v>
      </c>
      <c r="H172" s="1822">
        <v>1007.0041274117416</v>
      </c>
      <c r="I172" s="1821">
        <v>16925.453431943039</v>
      </c>
      <c r="J172" s="1822">
        <v>0</v>
      </c>
      <c r="K172" s="1821">
        <v>0</v>
      </c>
      <c r="L172" s="1822">
        <v>2007.6168161322566</v>
      </c>
      <c r="M172" s="1483">
        <v>23.539091816022001</v>
      </c>
      <c r="N172" s="1822">
        <v>21.977803247680004</v>
      </c>
      <c r="O172" s="1821">
        <v>1094.7603020079266</v>
      </c>
      <c r="P172" s="1813">
        <v>5831.9211286207674</v>
      </c>
      <c r="Q172" s="1821">
        <v>67055.492694088243</v>
      </c>
      <c r="R172" s="1822">
        <v>72887.413822709015</v>
      </c>
      <c r="S172" s="1821">
        <v>3830.5654796217946</v>
      </c>
      <c r="T172" s="1822">
        <v>8763.9762723625754</v>
      </c>
      <c r="U172" s="1821">
        <v>10259.4578139638</v>
      </c>
      <c r="V172" s="1822">
        <v>17812.645309059695</v>
      </c>
      <c r="W172" s="1823">
        <v>209404.60422199679</v>
      </c>
      <c r="X172" s="1219"/>
      <c r="Y172" s="921"/>
      <c r="Z172" s="614"/>
    </row>
    <row r="173" spans="2:26" ht="16.5">
      <c r="B173" s="1462" t="s">
        <v>338</v>
      </c>
      <c r="C173" s="1819">
        <v>264.98423318368356</v>
      </c>
      <c r="D173" s="1822">
        <v>15292.960401297174</v>
      </c>
      <c r="E173" s="1821">
        <v>43386.590248521818</v>
      </c>
      <c r="F173" s="1822">
        <v>4117.9704524724893</v>
      </c>
      <c r="G173" s="1821">
        <v>14836.007607610964</v>
      </c>
      <c r="H173" s="1822">
        <v>747.19995582664512</v>
      </c>
      <c r="I173" s="1821">
        <v>17545.10353329709</v>
      </c>
      <c r="J173" s="1822">
        <v>0</v>
      </c>
      <c r="K173" s="1821">
        <v>0</v>
      </c>
      <c r="L173" s="1822">
        <v>1755.5718292661877</v>
      </c>
      <c r="M173" s="1483">
        <v>17.036391241676</v>
      </c>
      <c r="N173" s="1822">
        <v>21.269640255399548</v>
      </c>
      <c r="O173" s="1821">
        <v>856.73495767186319</v>
      </c>
      <c r="P173" s="1813">
        <v>6000.5067326780909</v>
      </c>
      <c r="Q173" s="1821">
        <v>69930.200042179917</v>
      </c>
      <c r="R173" s="1822">
        <v>75930.706774858001</v>
      </c>
      <c r="S173" s="1821">
        <v>3914.8663429165745</v>
      </c>
      <c r="T173" s="1822">
        <v>9938.3032637009928</v>
      </c>
      <c r="U173" s="1821">
        <v>9359.866259229686</v>
      </c>
      <c r="V173" s="1822">
        <v>17986.717928825947</v>
      </c>
      <c r="W173" s="1823">
        <v>215971.88982017618</v>
      </c>
      <c r="X173" s="1219"/>
      <c r="Y173" s="921"/>
      <c r="Z173" s="614"/>
    </row>
    <row r="174" spans="2:26" ht="16.5">
      <c r="B174" s="1462" t="s">
        <v>339</v>
      </c>
      <c r="C174" s="1819">
        <v>330.60868016452775</v>
      </c>
      <c r="D174" s="1822">
        <v>15929.966550348965</v>
      </c>
      <c r="E174" s="1821">
        <v>43004.239340350287</v>
      </c>
      <c r="F174" s="1822">
        <v>4227.8411770180901</v>
      </c>
      <c r="G174" s="1821">
        <v>15565.737380841045</v>
      </c>
      <c r="H174" s="1822">
        <v>1171.2193154049025</v>
      </c>
      <c r="I174" s="1821">
        <v>17196.448018362851</v>
      </c>
      <c r="J174" s="1462"/>
      <c r="K174" s="1462"/>
      <c r="L174" s="1822">
        <v>2975.9827547230088</v>
      </c>
      <c r="M174" s="1483">
        <v>51.448389490389999</v>
      </c>
      <c r="N174" s="1822">
        <v>23.573637409619998</v>
      </c>
      <c r="O174" s="1821">
        <v>914.07312304742197</v>
      </c>
      <c r="P174" s="1813">
        <v>6313.271167580051</v>
      </c>
      <c r="Q174" s="1821">
        <v>72314.972647559523</v>
      </c>
      <c r="R174" s="1822">
        <v>78628.243815139576</v>
      </c>
      <c r="S174" s="1821">
        <v>4088.0837352831104</v>
      </c>
      <c r="T174" s="1822">
        <v>10609.788174860914</v>
      </c>
      <c r="U174" s="1821">
        <v>9864.6960176612592</v>
      </c>
      <c r="V174" s="1822">
        <v>17894.199239093672</v>
      </c>
      <c r="W174" s="1823">
        <v>222476.14934919964</v>
      </c>
      <c r="X174" s="1219"/>
      <c r="Y174" s="921"/>
      <c r="Z174" s="614"/>
    </row>
    <row r="175" spans="2:26" ht="17.25" thickBot="1">
      <c r="B175" s="1839"/>
      <c r="C175" s="1840"/>
      <c r="D175" s="1841"/>
      <c r="E175" s="1842"/>
      <c r="F175" s="1841"/>
      <c r="G175" s="1842"/>
      <c r="H175" s="1841"/>
      <c r="I175" s="1842"/>
      <c r="J175" s="1841"/>
      <c r="K175" s="1842"/>
      <c r="L175" s="1841"/>
      <c r="M175" s="1842"/>
      <c r="N175" s="1841"/>
      <c r="O175" s="1842"/>
      <c r="P175" s="1843"/>
      <c r="Q175" s="1842"/>
      <c r="R175" s="1841"/>
      <c r="S175" s="1842"/>
      <c r="T175" s="1841"/>
      <c r="U175" s="1842"/>
      <c r="V175" s="1841"/>
      <c r="W175" s="1844"/>
      <c r="X175" s="1219"/>
      <c r="Y175" s="921"/>
      <c r="Z175" s="614"/>
    </row>
    <row r="177" spans="2:26" ht="15.75">
      <c r="B177" s="1434" t="s">
        <v>1802</v>
      </c>
      <c r="C177" s="926"/>
      <c r="D177" s="926"/>
      <c r="E177" s="1069"/>
      <c r="F177" s="1069"/>
      <c r="G177" s="1069"/>
      <c r="H177" s="1069"/>
      <c r="I177" s="1069"/>
      <c r="J177" s="1069"/>
      <c r="K177" s="1069"/>
      <c r="L177" s="1069"/>
      <c r="M177" s="1069"/>
      <c r="N177" s="1069"/>
      <c r="O177" s="1069"/>
      <c r="P177" s="1069"/>
      <c r="Q177" s="1069"/>
      <c r="R177" s="1069"/>
      <c r="S177" s="1069"/>
      <c r="T177" s="1069"/>
      <c r="U177" s="1069"/>
      <c r="V177" s="1069"/>
      <c r="W177" s="1069"/>
      <c r="X177" s="1070"/>
    </row>
    <row r="178" spans="2:26" ht="16.5">
      <c r="B178" s="1157"/>
      <c r="C178" s="1158"/>
      <c r="D178" s="1158"/>
      <c r="E178" s="1069"/>
      <c r="F178" s="1069"/>
      <c r="G178" s="1069"/>
      <c r="H178" s="1069"/>
      <c r="I178" s="1069"/>
      <c r="J178" s="1069"/>
      <c r="K178" s="1069"/>
      <c r="L178" s="1069"/>
      <c r="M178" s="1069"/>
      <c r="N178" s="1069"/>
      <c r="O178" s="1069"/>
      <c r="P178" s="1069"/>
      <c r="Q178" s="1069"/>
      <c r="R178" s="1069"/>
      <c r="S178" s="1069"/>
      <c r="T178" s="1069"/>
      <c r="U178" s="1069"/>
      <c r="V178" s="1069"/>
      <c r="W178" s="1069"/>
      <c r="X178" s="1070"/>
      <c r="Y178" s="1797"/>
      <c r="Z178" s="1159"/>
    </row>
    <row r="179" spans="2:26" s="921" customFormat="1" ht="19.5" customHeight="1">
      <c r="B179" s="237" t="s">
        <v>998</v>
      </c>
      <c r="C179" s="614"/>
      <c r="D179" s="614"/>
      <c r="E179" s="614"/>
      <c r="Y179" s="1073"/>
      <c r="Z179" s="1074"/>
    </row>
    <row r="180" spans="2:26" s="921" customFormat="1" ht="19.5" customHeight="1">
      <c r="B180" s="921" t="s">
        <v>1753</v>
      </c>
      <c r="Y180" s="1073"/>
      <c r="Z180" s="1074"/>
    </row>
    <row r="181" spans="2:26" s="921" customFormat="1">
      <c r="B181" s="921" t="s">
        <v>1730</v>
      </c>
      <c r="Y181" s="1073"/>
      <c r="Z181" s="1074"/>
    </row>
    <row r="182" spans="2:26" s="921" customFormat="1" ht="16.5">
      <c r="B182" s="921" t="s">
        <v>1731</v>
      </c>
      <c r="O182" s="1483"/>
      <c r="P182" s="1483"/>
      <c r="Q182" s="1483"/>
      <c r="R182" s="1789"/>
      <c r="Y182" s="1073"/>
      <c r="Z182" s="1074"/>
    </row>
    <row r="183" spans="2:26" s="921" customFormat="1">
      <c r="Y183" s="1073"/>
      <c r="Z183" s="1074"/>
    </row>
    <row r="184" spans="2:26" s="921" customFormat="1">
      <c r="Y184" s="1073"/>
      <c r="Z184" s="1074"/>
    </row>
    <row r="185" spans="2:26" s="921" customFormat="1">
      <c r="Y185" s="1073"/>
      <c r="Z185" s="1074"/>
    </row>
    <row r="186" spans="2:26" s="921" customFormat="1">
      <c r="Y186" s="1073"/>
      <c r="Z186" s="1074"/>
    </row>
    <row r="187" spans="2:26" s="921" customFormat="1">
      <c r="Y187" s="1073"/>
      <c r="Z187" s="1074"/>
    </row>
    <row r="188" spans="2:26" s="921" customFormat="1">
      <c r="Y188" s="1073"/>
      <c r="Z188" s="1074"/>
    </row>
    <row r="189" spans="2:26" s="921" customFormat="1">
      <c r="Y189" s="1073"/>
      <c r="Z189" s="1074"/>
    </row>
    <row r="190" spans="2:26" s="921" customFormat="1">
      <c r="Y190" s="1073"/>
      <c r="Z190" s="1074"/>
    </row>
    <row r="191" spans="2:26" s="921" customFormat="1">
      <c r="Y191" s="1073"/>
      <c r="Z191" s="1074"/>
    </row>
    <row r="192" spans="2:26" s="921" customFormat="1">
      <c r="Y192" s="1073"/>
      <c r="Z192" s="1074"/>
    </row>
    <row r="193" spans="25:26" s="921" customFormat="1">
      <c r="Y193" s="1073"/>
      <c r="Z193" s="1074"/>
    </row>
    <row r="194" spans="25:26" s="921" customFormat="1">
      <c r="Y194" s="1073"/>
      <c r="Z194" s="1074"/>
    </row>
    <row r="195" spans="25:26" s="921" customFormat="1">
      <c r="Y195" s="1073"/>
      <c r="Z195" s="1074"/>
    </row>
    <row r="196" spans="25:26" s="921" customFormat="1">
      <c r="Y196" s="1073"/>
      <c r="Z196" s="1074"/>
    </row>
    <row r="197" spans="25:26" s="921" customFormat="1">
      <c r="Y197" s="1073"/>
      <c r="Z197" s="1074"/>
    </row>
    <row r="198" spans="25:26" s="921" customFormat="1">
      <c r="Y198" s="1073"/>
      <c r="Z198" s="1074"/>
    </row>
    <row r="199" spans="25:26" s="921" customFormat="1">
      <c r="Y199" s="1073"/>
      <c r="Z199" s="1074"/>
    </row>
    <row r="200" spans="25:26" s="921" customFormat="1">
      <c r="Y200" s="1073"/>
      <c r="Z200" s="1074"/>
    </row>
    <row r="201" spans="25:26" s="921" customFormat="1">
      <c r="Y201" s="1073"/>
      <c r="Z201" s="1074"/>
    </row>
    <row r="202" spans="25:26" s="921" customFormat="1">
      <c r="Y202" s="1073"/>
      <c r="Z202" s="1074"/>
    </row>
    <row r="203" spans="25:26" s="921" customFormat="1">
      <c r="Y203" s="1073"/>
      <c r="Z203" s="1074"/>
    </row>
    <row r="204" spans="25:26" s="921" customFormat="1">
      <c r="Y204" s="1073"/>
      <c r="Z204" s="1074"/>
    </row>
    <row r="205" spans="25:26" s="921" customFormat="1">
      <c r="Y205" s="1073"/>
      <c r="Z205" s="1074"/>
    </row>
    <row r="206" spans="25:26" s="921" customFormat="1">
      <c r="Y206" s="1073"/>
      <c r="Z206" s="1074"/>
    </row>
    <row r="207" spans="25:26" s="921" customFormat="1">
      <c r="Y207" s="1073"/>
      <c r="Z207" s="1074"/>
    </row>
    <row r="208" spans="25:26" s="921" customFormat="1">
      <c r="Y208" s="1073"/>
      <c r="Z208" s="1074"/>
    </row>
    <row r="209" spans="25:26" s="921" customFormat="1">
      <c r="Y209" s="1073"/>
      <c r="Z209" s="1074"/>
    </row>
    <row r="210" spans="25:26" s="921" customFormat="1">
      <c r="Y210" s="1073"/>
      <c r="Z210" s="1074"/>
    </row>
    <row r="211" spans="25:26" s="921" customFormat="1">
      <c r="Y211" s="1073"/>
      <c r="Z211" s="1074"/>
    </row>
    <row r="212" spans="25:26" s="921" customFormat="1">
      <c r="Y212" s="1073"/>
      <c r="Z212" s="1074"/>
    </row>
    <row r="213" spans="25:26" s="921" customFormat="1">
      <c r="Y213" s="1073"/>
      <c r="Z213" s="1074"/>
    </row>
    <row r="214" spans="25:26" s="921" customFormat="1">
      <c r="Y214" s="1073"/>
      <c r="Z214" s="1074"/>
    </row>
    <row r="215" spans="25:26" s="921" customFormat="1">
      <c r="Y215" s="1073"/>
      <c r="Z215" s="1074"/>
    </row>
    <row r="216" spans="25:26" s="921" customFormat="1">
      <c r="Y216" s="1073"/>
      <c r="Z216" s="1074"/>
    </row>
    <row r="217" spans="25:26" s="921" customFormat="1">
      <c r="Y217" s="1073"/>
      <c r="Z217" s="1074"/>
    </row>
    <row r="218" spans="25:26" s="921" customFormat="1">
      <c r="Y218" s="1073"/>
      <c r="Z218" s="1074"/>
    </row>
    <row r="219" spans="25:26" s="921" customFormat="1">
      <c r="Y219" s="1073"/>
      <c r="Z219" s="1074"/>
    </row>
    <row r="220" spans="25:26" s="921" customFormat="1">
      <c r="Y220" s="1073"/>
      <c r="Z220" s="1074"/>
    </row>
    <row r="221" spans="25:26" s="921" customFormat="1">
      <c r="Y221" s="1073"/>
      <c r="Z221" s="1074"/>
    </row>
    <row r="222" spans="25:26" s="921" customFormat="1">
      <c r="Y222" s="1073"/>
      <c r="Z222" s="1074"/>
    </row>
    <row r="223" spans="25:26" s="921" customFormat="1">
      <c r="Y223" s="1073"/>
      <c r="Z223" s="1074"/>
    </row>
    <row r="224" spans="25:26" s="921" customFormat="1">
      <c r="Y224" s="1073"/>
      <c r="Z224" s="1074"/>
    </row>
    <row r="225" spans="25:26" s="921" customFormat="1">
      <c r="Y225" s="1073"/>
      <c r="Z225" s="1074"/>
    </row>
    <row r="226" spans="25:26" s="921" customFormat="1">
      <c r="Y226" s="1073"/>
      <c r="Z226" s="1074"/>
    </row>
    <row r="227" spans="25:26" s="921" customFormat="1">
      <c r="Y227" s="1073"/>
      <c r="Z227" s="1074"/>
    </row>
    <row r="228" spans="25:26" s="921" customFormat="1">
      <c r="Y228" s="1073"/>
      <c r="Z228" s="1074"/>
    </row>
    <row r="229" spans="25:26" s="921" customFormat="1">
      <c r="Y229" s="1073"/>
      <c r="Z229" s="1074"/>
    </row>
    <row r="230" spans="25:26" s="921" customFormat="1">
      <c r="Y230" s="1073"/>
      <c r="Z230" s="1074"/>
    </row>
    <row r="231" spans="25:26" s="921" customFormat="1">
      <c r="Y231" s="1073"/>
      <c r="Z231" s="1074"/>
    </row>
    <row r="232" spans="25:26" s="921" customFormat="1">
      <c r="Y232" s="1073"/>
      <c r="Z232" s="1074"/>
    </row>
    <row r="233" spans="25:26" s="921" customFormat="1">
      <c r="Y233" s="1073"/>
      <c r="Z233" s="1074"/>
    </row>
    <row r="234" spans="25:26" s="921" customFormat="1">
      <c r="Y234" s="1073"/>
      <c r="Z234" s="1074"/>
    </row>
    <row r="235" spans="25:26" s="921" customFormat="1">
      <c r="Y235" s="1073"/>
      <c r="Z235" s="1074"/>
    </row>
    <row r="236" spans="25:26" s="921" customFormat="1">
      <c r="Y236" s="1073"/>
      <c r="Z236" s="1074"/>
    </row>
    <row r="237" spans="25:26" s="921" customFormat="1">
      <c r="Y237" s="1073"/>
      <c r="Z237" s="1074"/>
    </row>
    <row r="238" spans="25:26" s="921" customFormat="1">
      <c r="Y238" s="1073"/>
      <c r="Z238" s="1074"/>
    </row>
    <row r="239" spans="25:26" s="921" customFormat="1">
      <c r="Y239" s="1073"/>
      <c r="Z239" s="1074"/>
    </row>
    <row r="240" spans="25:26" s="921" customFormat="1">
      <c r="Y240" s="1073"/>
      <c r="Z240" s="1074"/>
    </row>
    <row r="241" spans="25:26" s="921" customFormat="1">
      <c r="Y241" s="1073"/>
      <c r="Z241" s="1074"/>
    </row>
    <row r="242" spans="25:26" s="921" customFormat="1">
      <c r="Y242" s="1073"/>
      <c r="Z242" s="1074"/>
    </row>
    <row r="243" spans="25:26" s="921" customFormat="1">
      <c r="Y243" s="1073"/>
      <c r="Z243" s="1074"/>
    </row>
    <row r="244" spans="25:26" s="921" customFormat="1">
      <c r="Y244" s="1073"/>
      <c r="Z244" s="1074"/>
    </row>
    <row r="245" spans="25:26" s="921" customFormat="1">
      <c r="Y245" s="1073"/>
      <c r="Z245" s="1074"/>
    </row>
    <row r="246" spans="25:26" s="921" customFormat="1">
      <c r="Y246" s="1073"/>
      <c r="Z246" s="1074"/>
    </row>
    <row r="247" spans="25:26" s="921" customFormat="1">
      <c r="Y247" s="1073"/>
      <c r="Z247" s="1074"/>
    </row>
    <row r="248" spans="25:26" s="921" customFormat="1">
      <c r="Y248" s="1073"/>
      <c r="Z248" s="1074"/>
    </row>
    <row r="249" spans="25:26" s="921" customFormat="1">
      <c r="Y249" s="1073"/>
      <c r="Z249" s="1074"/>
    </row>
    <row r="250" spans="25:26" s="921" customFormat="1">
      <c r="Y250" s="1073"/>
      <c r="Z250" s="1074"/>
    </row>
    <row r="251" spans="25:26" s="921" customFormat="1">
      <c r="Y251" s="1073"/>
      <c r="Z251" s="1074"/>
    </row>
    <row r="252" spans="25:26" s="921" customFormat="1">
      <c r="Y252" s="1073"/>
      <c r="Z252" s="1074"/>
    </row>
    <row r="253" spans="25:26" s="921" customFormat="1">
      <c r="Y253" s="1073"/>
      <c r="Z253" s="1074"/>
    </row>
    <row r="254" spans="25:26" s="921" customFormat="1">
      <c r="Y254" s="1073"/>
      <c r="Z254" s="1074"/>
    </row>
    <row r="255" spans="25:26" s="921" customFormat="1">
      <c r="Y255" s="1073"/>
      <c r="Z255" s="1074"/>
    </row>
    <row r="256" spans="25:26" s="921" customFormat="1">
      <c r="Y256" s="1073"/>
      <c r="Z256" s="1074"/>
    </row>
    <row r="257" spans="25:26" s="921" customFormat="1">
      <c r="Y257" s="1073"/>
      <c r="Z257" s="1074"/>
    </row>
    <row r="258" spans="25:26" s="921" customFormat="1">
      <c r="Y258" s="1073"/>
      <c r="Z258" s="1074"/>
    </row>
    <row r="259" spans="25:26" s="921" customFormat="1">
      <c r="Y259" s="1073"/>
      <c r="Z259" s="1074"/>
    </row>
    <row r="260" spans="25:26" s="921" customFormat="1">
      <c r="Y260" s="1073"/>
      <c r="Z260" s="1074"/>
    </row>
    <row r="261" spans="25:26" s="921" customFormat="1">
      <c r="Y261" s="1073"/>
      <c r="Z261" s="1074"/>
    </row>
    <row r="262" spans="25:26" s="921" customFormat="1">
      <c r="Y262" s="1073"/>
      <c r="Z262" s="1074"/>
    </row>
    <row r="263" spans="25:26" s="921" customFormat="1">
      <c r="Y263" s="1073"/>
      <c r="Z263" s="1074"/>
    </row>
    <row r="264" spans="25:26" s="921" customFormat="1">
      <c r="Y264" s="1073"/>
      <c r="Z264" s="1074"/>
    </row>
    <row r="265" spans="25:26" s="921" customFormat="1">
      <c r="Y265" s="1073"/>
      <c r="Z265" s="1074"/>
    </row>
    <row r="266" spans="25:26" s="921" customFormat="1">
      <c r="Y266" s="1073"/>
      <c r="Z266" s="1074"/>
    </row>
    <row r="267" spans="25:26" s="921" customFormat="1">
      <c r="Y267" s="1073"/>
      <c r="Z267" s="1074"/>
    </row>
    <row r="268" spans="25:26" s="921" customFormat="1">
      <c r="Y268" s="1073"/>
      <c r="Z268" s="1074"/>
    </row>
    <row r="269" spans="25:26" s="921" customFormat="1">
      <c r="Y269" s="1073"/>
      <c r="Z269" s="1074"/>
    </row>
    <row r="270" spans="25:26" s="921" customFormat="1">
      <c r="Y270" s="1073"/>
      <c r="Z270" s="1074"/>
    </row>
    <row r="271" spans="25:26" s="921" customFormat="1">
      <c r="Y271" s="1073"/>
      <c r="Z271" s="1074"/>
    </row>
    <row r="272" spans="25:26" s="921" customFormat="1">
      <c r="Y272" s="1073"/>
      <c r="Z272" s="1074"/>
    </row>
    <row r="273" spans="25:26" s="921" customFormat="1">
      <c r="Y273" s="1073"/>
      <c r="Z273" s="1074"/>
    </row>
    <row r="274" spans="25:26" s="921" customFormat="1">
      <c r="Y274" s="1073"/>
      <c r="Z274" s="1074"/>
    </row>
    <row r="275" spans="25:26" s="921" customFormat="1">
      <c r="Y275" s="1073"/>
      <c r="Z275" s="1074"/>
    </row>
    <row r="276" spans="25:26" s="921" customFormat="1">
      <c r="Y276" s="1073"/>
      <c r="Z276" s="1074"/>
    </row>
    <row r="277" spans="25:26" s="921" customFormat="1">
      <c r="Y277" s="1073"/>
      <c r="Z277" s="1074"/>
    </row>
    <row r="278" spans="25:26" s="921" customFormat="1">
      <c r="Y278" s="1073"/>
      <c r="Z278" s="1074"/>
    </row>
    <row r="279" spans="25:26" s="921" customFormat="1">
      <c r="Y279" s="1073"/>
      <c r="Z279" s="1074"/>
    </row>
    <row r="280" spans="25:26" s="921" customFormat="1">
      <c r="Y280" s="1073"/>
      <c r="Z280" s="1074"/>
    </row>
    <row r="281" spans="25:26" s="921" customFormat="1">
      <c r="Y281" s="1073"/>
      <c r="Z281" s="1074"/>
    </row>
    <row r="282" spans="25:26" s="921" customFormat="1">
      <c r="Y282" s="1073"/>
      <c r="Z282" s="1074"/>
    </row>
    <row r="283" spans="25:26" s="921" customFormat="1">
      <c r="Y283" s="1073"/>
      <c r="Z283" s="1074"/>
    </row>
    <row r="284" spans="25:26" s="921" customFormat="1">
      <c r="Y284" s="1073"/>
      <c r="Z284" s="1074"/>
    </row>
    <row r="285" spans="25:26" s="921" customFormat="1">
      <c r="Y285" s="1073"/>
      <c r="Z285" s="1074"/>
    </row>
    <row r="286" spans="25:26" s="921" customFormat="1">
      <c r="Y286" s="1073"/>
      <c r="Z286" s="1074"/>
    </row>
    <row r="287" spans="25:26" s="921" customFormat="1">
      <c r="Y287" s="1073"/>
      <c r="Z287" s="1074"/>
    </row>
    <row r="288" spans="25:26" s="921" customFormat="1">
      <c r="Y288" s="1073"/>
      <c r="Z288" s="1074"/>
    </row>
    <row r="289" spans="25:26" s="921" customFormat="1">
      <c r="Y289" s="1073"/>
      <c r="Z289" s="1074"/>
    </row>
    <row r="290" spans="25:26" s="921" customFormat="1">
      <c r="Y290" s="1073"/>
      <c r="Z290" s="1074"/>
    </row>
    <row r="291" spans="25:26" s="921" customFormat="1">
      <c r="Y291" s="1073"/>
      <c r="Z291" s="1074"/>
    </row>
    <row r="292" spans="25:26" s="921" customFormat="1">
      <c r="Y292" s="1073"/>
      <c r="Z292" s="1074"/>
    </row>
    <row r="293" spans="25:26" s="921" customFormat="1">
      <c r="Y293" s="1073"/>
      <c r="Z293" s="1074"/>
    </row>
    <row r="294" spans="25:26" s="921" customFormat="1">
      <c r="Y294" s="1073"/>
      <c r="Z294" s="1074"/>
    </row>
    <row r="295" spans="25:26" s="921" customFormat="1">
      <c r="Y295" s="1073"/>
      <c r="Z295" s="1074"/>
    </row>
    <row r="296" spans="25:26" s="921" customFormat="1">
      <c r="Y296" s="1073"/>
      <c r="Z296" s="1074"/>
    </row>
    <row r="297" spans="25:26" s="921" customFormat="1">
      <c r="Y297" s="1073"/>
      <c r="Z297" s="1074"/>
    </row>
    <row r="298" spans="25:26" s="921" customFormat="1">
      <c r="Y298" s="1073"/>
      <c r="Z298" s="1074"/>
    </row>
    <row r="299" spans="25:26" s="921" customFormat="1">
      <c r="Y299" s="1073"/>
      <c r="Z299" s="1074"/>
    </row>
  </sheetData>
  <customSheetViews>
    <customSheetView guid="{705E0D18-9A83-42CA-8732-90923BE2EC7D}" scale="85" showGridLines="0" outlineSymbols="0" fitToPage="1" printArea="1" hiddenRows="1">
      <selection activeCell="B1" sqref="B1:U69"/>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hiddenRows="1" topLeftCell="N26">
      <selection activeCell="U64" sqref="U64"/>
      <pageMargins left="0.01" right="0.01" top="0.17" bottom="0.02" header="0.51" footer="0.5"/>
      <printOptions horizontalCentered="1"/>
      <pageSetup paperSize="9" scale="62" orientation="landscape" horizontalDpi="300" verticalDpi="300" r:id="rId2"/>
      <headerFooter alignWithMargins="0"/>
    </customSheetView>
    <customSheetView guid="{89CA84C2-78F5-4B05-8F1D-B7C5F97BCB4E}" scale="85" showGridLines="0" outlineSymbols="0" fitToPage="1" printArea="1" hiddenRows="1" topLeftCell="A48">
      <selection activeCell="T54" sqref="T54"/>
      <pageMargins left="0.01" right="0.01" top="0.17" bottom="0.02" header="0.51" footer="0.5"/>
      <printOptions horizontalCentered="1"/>
      <pageSetup paperSize="9" scale="62" orientation="landscape" horizontalDpi="300" verticalDpi="300" r:id="rId3"/>
      <headerFooter alignWithMargins="0"/>
    </customSheetView>
  </customSheetViews>
  <mergeCells count="8">
    <mergeCell ref="P8:R10"/>
    <mergeCell ref="B1:W1"/>
    <mergeCell ref="B3:W3"/>
    <mergeCell ref="D6:G6"/>
    <mergeCell ref="I6:L6"/>
    <mergeCell ref="I7:L7"/>
    <mergeCell ref="M7:R7"/>
    <mergeCell ref="M5:R6"/>
  </mergeCells>
  <phoneticPr fontId="52" type="noConversion"/>
  <printOptions horizontalCentered="1"/>
  <pageMargins left="0.01" right="0.01" top="0.17" bottom="0.02" header="0.51" footer="0.5"/>
  <pageSetup paperSize="9" scale="62" orientation="landscape" horizontalDpi="300" verticalDpi="300" r:id="rId4"/>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DD01C71B487D940B53B660897D1A384" ma:contentTypeVersion="12" ma:contentTypeDescription="Create a new document." ma:contentTypeScope="" ma:versionID="adde8f45da77071a82e72bb84e3c272a">
  <xsd:schema xmlns:xsd="http://www.w3.org/2001/XMLSchema" xmlns:xs="http://www.w3.org/2001/XMLSchema" xmlns:p="http://schemas.microsoft.com/office/2006/metadata/properties" xmlns:ns2="c57596bb-2f98-4ee8-801d-06420f533239" xmlns:ns3="dfb6415e-248b-4af1-a5cf-33e90bc5f7e5" targetNamespace="http://schemas.microsoft.com/office/2006/metadata/properties" ma:root="true" ma:fieldsID="2193ea951c9dc62da8799841badf9fc2" ns2:_="" ns3:_="">
    <xsd:import namespace="c57596bb-2f98-4ee8-801d-06420f533239"/>
    <xsd:import namespace="dfb6415e-248b-4af1-a5cf-33e90bc5f7e5"/>
    <xsd:element name="properties">
      <xsd:complexType>
        <xsd:sequence>
          <xsd:element name="documentManagement">
            <xsd:complexType>
              <xsd:all>
                <xsd:element ref="ns2:MediaServiceBillingMetadata" minOccurs="0"/>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7596bb-2f98-4ee8-801d-06420f533239" elementFormDefault="qualified">
    <xsd:import namespace="http://schemas.microsoft.com/office/2006/documentManagement/types"/>
    <xsd:import namespace="http://schemas.microsoft.com/office/infopath/2007/PartnerControls"/>
    <xsd:element name="MediaServiceBillingMetadata" ma:index="8" nillable="true" ma:displayName="MediaServiceBillingMetadata" ma:hidden="true" ma:internalName="MediaServiceBillingMetadata" ma:readOnly="true">
      <xsd:simpleType>
        <xsd:restriction base="dms:Not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01124f01-26df-412e-a3fb-b6cd1d2139f4"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fb6415e-248b-4af1-a5cf-33e90bc5f7e5"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c579fe4-683b-4ea8-a402-f509277b9471}" ma:internalName="TaxCatchAll" ma:showField="CatchAllData" ma:web="dfb6415e-248b-4af1-a5cf-33e90bc5f7e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57596bb-2f98-4ee8-801d-06420f533239">
      <Terms xmlns="http://schemas.microsoft.com/office/infopath/2007/PartnerControls"/>
    </lcf76f155ced4ddcb4097134ff3c332f>
    <TaxCatchAll xmlns="dfb6415e-248b-4af1-a5cf-33e90bc5f7e5" xsi:nil="true"/>
  </documentManagement>
</p:properties>
</file>

<file path=customXml/itemProps1.xml><?xml version="1.0" encoding="utf-8"?>
<ds:datastoreItem xmlns:ds="http://schemas.openxmlformats.org/officeDocument/2006/customXml" ds:itemID="{B5FB8D39-BF44-458D-9E84-E186B3C718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7596bb-2f98-4ee8-801d-06420f533239"/>
    <ds:schemaRef ds:uri="dfb6415e-248b-4af1-a5cf-33e90bc5f7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90B6431-0064-4420-8991-E781D0299D23}">
  <ds:schemaRefs>
    <ds:schemaRef ds:uri="http://schemas.microsoft.com/sharepoint/v3/contenttype/forms"/>
  </ds:schemaRefs>
</ds:datastoreItem>
</file>

<file path=customXml/itemProps3.xml><?xml version="1.0" encoding="utf-8"?>
<ds:datastoreItem xmlns:ds="http://schemas.openxmlformats.org/officeDocument/2006/customXml" ds:itemID="{8656AB5B-2297-4970-98BD-093185FBD0E2}">
  <ds:schemaRefs>
    <ds:schemaRef ds:uri="http://schemas.microsoft.com/office/2006/metadata/properties"/>
    <ds:schemaRef ds:uri="http://schemas.microsoft.com/office/infopath/2007/PartnerControls"/>
    <ds:schemaRef ds:uri="c57596bb-2f98-4ee8-801d-06420f533239"/>
    <ds:schemaRef ds:uri="dfb6415e-248b-4af1-a5cf-33e90bc5f7e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42</vt:i4>
      </vt:variant>
      <vt:variant>
        <vt:lpstr>Named Ranges</vt:lpstr>
      </vt:variant>
      <vt:variant>
        <vt:i4>34</vt:i4>
      </vt:variant>
    </vt:vector>
  </HeadingPairs>
  <TitlesOfParts>
    <vt:vector size="76" baseType="lpstr">
      <vt:lpstr>NEW11</vt:lpstr>
      <vt:lpstr>1.1</vt:lpstr>
      <vt:lpstr>1.2</vt:lpstr>
      <vt:lpstr>1.3</vt:lpstr>
      <vt:lpstr>Input Merchant Assets</vt:lpstr>
      <vt:lpstr>Input Merchant Liabilities</vt:lpstr>
      <vt:lpstr>Input POSB Assets</vt:lpstr>
      <vt:lpstr>Input POSB Liabilities</vt:lpstr>
      <vt:lpstr>Table 3 Comm Assets </vt:lpstr>
      <vt:lpstr>Table 7 Merchant Bank Assets</vt:lpstr>
      <vt:lpstr>Table 8 Merchant Liabilities</vt:lpstr>
      <vt:lpstr>Table 9 POSB Assets</vt:lpstr>
      <vt:lpstr>Table 10 POSB Liabilities</vt:lpstr>
      <vt:lpstr>Table 11Combined Com Mer Assets</vt:lpstr>
      <vt:lpstr>Table 12 Combined ComMer Liab</vt:lpstr>
      <vt:lpstr>Table 13 CombBuildPOSB Assets</vt:lpstr>
      <vt:lpstr>Table 14 CombBuildPOSB Liab</vt:lpstr>
      <vt:lpstr>2.1</vt:lpstr>
      <vt:lpstr>2.2</vt:lpstr>
      <vt:lpstr>2.3</vt:lpstr>
      <vt:lpstr>2.4</vt:lpstr>
      <vt:lpstr>2.5</vt:lpstr>
      <vt:lpstr>4.1</vt:lpstr>
      <vt:lpstr>4.2</vt:lpstr>
      <vt:lpstr>4.3</vt:lpstr>
      <vt:lpstr>4.4</vt:lpstr>
      <vt:lpstr>5.1</vt:lpstr>
      <vt:lpstr>6</vt:lpstr>
      <vt:lpstr>5.2</vt:lpstr>
      <vt:lpstr>3.1</vt:lpstr>
      <vt:lpstr>6.1</vt:lpstr>
      <vt:lpstr>6.1-new</vt:lpstr>
      <vt:lpstr>7.1</vt:lpstr>
      <vt:lpstr>7.2</vt:lpstr>
      <vt:lpstr>9.1</vt:lpstr>
      <vt:lpstr>9.2</vt:lpstr>
      <vt:lpstr>13.0</vt:lpstr>
      <vt:lpstr>13.1</vt:lpstr>
      <vt:lpstr>15.2</vt:lpstr>
      <vt:lpstr>180</vt:lpstr>
      <vt:lpstr>13.2</vt:lpstr>
      <vt:lpstr>16</vt:lpstr>
      <vt:lpstr>'1.1'!Print_Area</vt:lpstr>
      <vt:lpstr>'1.2'!Print_Area</vt:lpstr>
      <vt:lpstr>'1.3'!Print_Area</vt:lpstr>
      <vt:lpstr>'13.0'!Print_Area</vt:lpstr>
      <vt:lpstr>'13.1'!Print_Area</vt:lpstr>
      <vt:lpstr>'15.2'!Print_Area</vt:lpstr>
      <vt:lpstr>'180'!Print_Area</vt:lpstr>
      <vt:lpstr>'2.1'!Print_Area</vt:lpstr>
      <vt:lpstr>'2.3'!Print_Area</vt:lpstr>
      <vt:lpstr>'2.5'!Print_Area</vt:lpstr>
      <vt:lpstr>'3.1'!Print_Area</vt:lpstr>
      <vt:lpstr>'4.1'!Print_Area</vt:lpstr>
      <vt:lpstr>'4.2'!Print_Area</vt:lpstr>
      <vt:lpstr>'4.3'!Print_Area</vt:lpstr>
      <vt:lpstr>'6'!Print_Area</vt:lpstr>
      <vt:lpstr>'6.1'!Print_Area</vt:lpstr>
      <vt:lpstr>'6.1-new'!Print_Area</vt:lpstr>
      <vt:lpstr>'7.1'!Print_Area</vt:lpstr>
      <vt:lpstr>'7.2'!Print_Area</vt:lpstr>
      <vt:lpstr>'9.1'!Print_Area</vt:lpstr>
      <vt:lpstr>'9.2'!Print_Area</vt:lpstr>
      <vt:lpstr>'NEW11'!Print_Area</vt:lpstr>
      <vt:lpstr>'Table 10 POSB Liabilities'!Print_Area</vt:lpstr>
      <vt:lpstr>'Table 11Combined Com Mer Assets'!Print_Area</vt:lpstr>
      <vt:lpstr>'Table 12 Combined ComMer Liab'!Print_Area</vt:lpstr>
      <vt:lpstr>'Table 13 CombBuildPOSB Assets'!Print_Area</vt:lpstr>
      <vt:lpstr>'Table 14 CombBuildPOSB Liab'!Print_Area</vt:lpstr>
      <vt:lpstr>'Table 3 Comm Assets '!Print_Area</vt:lpstr>
      <vt:lpstr>'Table 7 Merchant Bank Assets'!Print_Area</vt:lpstr>
      <vt:lpstr>'Table 8 Merchant Liabilities'!Print_Area</vt:lpstr>
      <vt:lpstr>'Table 9 POSB Assets'!Print_Area</vt:lpstr>
      <vt:lpstr>'1.1'!Print_Titles</vt:lpstr>
      <vt:lpstr>'1.2'!Print_Titles</vt:lpstr>
      <vt:lpstr>'1.3'!Print_Titles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Simelizwe Ncube</dc:creator>
  <cp:lastModifiedBy>Precious Sakuringwa</cp:lastModifiedBy>
  <cp:lastPrinted>2020-11-06T11:15:33Z</cp:lastPrinted>
  <dcterms:created xsi:type="dcterms:W3CDTF">2004-03-05T06:56:41Z</dcterms:created>
  <dcterms:modified xsi:type="dcterms:W3CDTF">2026-09-02T09:44:31Z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afb0f1d-b4fc-4210-84af-afb3360f1d29_Enabled">
    <vt:lpwstr>True</vt:lpwstr>
  </property>
  <property fmtid="{D5CDD505-2E9C-101B-9397-08002B2CF9AE}" pid="3" name="MSIP_Label_fafb0f1d-b4fc-4210-84af-afb3360f1d29_SiteId">
    <vt:lpwstr>c7ce9d4c-2f2a-420a-ae6f-0ee6f93dec55</vt:lpwstr>
  </property>
  <property fmtid="{D5CDD505-2E9C-101B-9397-08002B2CF9AE}" pid="4" name="MSIP_Label_fafb0f1d-b4fc-4210-84af-afb3360f1d29_Owner">
    <vt:lpwstr>mukokip@rbz.co.zw</vt:lpwstr>
  </property>
  <property fmtid="{D5CDD505-2E9C-101B-9397-08002B2CF9AE}" pid="5" name="MSIP_Label_fafb0f1d-b4fc-4210-84af-afb3360f1d29_SetDate">
    <vt:lpwstr>2022-09-01T08:31:38.9880643Z</vt:lpwstr>
  </property>
  <property fmtid="{D5CDD505-2E9C-101B-9397-08002B2CF9AE}" pid="6" name="MSIP_Label_fafb0f1d-b4fc-4210-84af-afb3360f1d29_Name">
    <vt:lpwstr>General</vt:lpwstr>
  </property>
  <property fmtid="{D5CDD505-2E9C-101B-9397-08002B2CF9AE}" pid="7" name="MSIP_Label_fafb0f1d-b4fc-4210-84af-afb3360f1d29_Application">
    <vt:lpwstr>Microsoft Azure Information Protection</vt:lpwstr>
  </property>
  <property fmtid="{D5CDD505-2E9C-101B-9397-08002B2CF9AE}" pid="8" name="MSIP_Label_fafb0f1d-b4fc-4210-84af-afb3360f1d29_ActionId">
    <vt:lpwstr>3a56cede-500f-480e-8a8a-23a24559435f</vt:lpwstr>
  </property>
  <property fmtid="{D5CDD505-2E9C-101B-9397-08002B2CF9AE}" pid="9" name="MSIP_Label_fafb0f1d-b4fc-4210-84af-afb3360f1d29_Extended_MSFT_Method">
    <vt:lpwstr>Manual</vt:lpwstr>
  </property>
  <property fmtid="{D5CDD505-2E9C-101B-9397-08002B2CF9AE}" pid="10" name="Sensitivity">
    <vt:lpwstr>General</vt:lpwstr>
  </property>
  <property fmtid="{D5CDD505-2E9C-101B-9397-08002B2CF9AE}" pid="11" name="ContentTypeId">
    <vt:lpwstr>0x0101008DD01C71B487D940B53B660897D1A384</vt:lpwstr>
  </property>
  <property fmtid="{D5CDD505-2E9C-101B-9397-08002B2CF9AE}" pid="12" name="MediaServiceImageTags">
    <vt:lpwstr/>
  </property>
</Properties>
</file>